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SysAdmin\Log\Research2\prime8_temp_downloads\model_checkouts\"/>
    </mc:Choice>
  </mc:AlternateContent>
  <xr:revisionPtr revIDLastSave="0" documentId="13_ncr:1_{2353C83E-147A-4E03-9FB6-5EABE9E250AE}" xr6:coauthVersionLast="47" xr6:coauthVersionMax="47" xr10:uidLastSave="{00000000-0000-0000-0000-000000000000}"/>
  <bookViews>
    <workbookView xWindow="360" yWindow="7716" windowWidth="14052" windowHeight="17112" tabRatio="880" xr2:uid="{00000000-000D-0000-FFFF-FFFF00000000}"/>
  </bookViews>
  <sheets>
    <sheet name="ImportantDisclosures" sheetId="251" r:id="rId1"/>
    <sheet name="Valuation Summary" sheetId="139" r:id="rId2"/>
    <sheet name="Divisional" sheetId="4" r:id="rId3"/>
    <sheet name="IS" sheetId="2" r:id="rId4"/>
    <sheet name="CFS" sheetId="242" r:id="rId5"/>
    <sheet name="BS" sheetId="243" r:id="rId6"/>
    <sheet name="Airbus" sheetId="11" r:id="rId7"/>
    <sheet name="Defence &amp; Space" sheetId="220" r:id="rId8"/>
    <sheet name="Helicopters" sheetId="178" r:id="rId9"/>
    <sheet name="Bull Bear Base" sheetId="244" r:id="rId10"/>
    <sheet name="IndexInformation" sheetId="252" state="hidden" r:id="rId11"/>
    <sheet name="ModPubIndex" sheetId="253" state="hidden" r:id="rId12"/>
  </sheets>
  <definedNames>
    <definedName name="_AnnualCashFlowStatement">CFS!$A$2:$K$42</definedName>
    <definedName name="_AnnualIncomeStatement">IS!$A$3:$K$74</definedName>
    <definedName name="_AnnualSegmentIncomeStatement">Divisional!$A$2:$K$239</definedName>
    <definedName name="_bdm.85ea40ee2a9044d89c4124e76e31d543.edm" hidden="1">#REF!</definedName>
    <definedName name="_EADSKeyPerformanceMeasures">'Valuation Summary'!$A$1:$F$86</definedName>
    <definedName name="_QuarterlyIncomeStatement">IS!$A$3:$EQ$62</definedName>
    <definedName name="_QuarterlySegmentIncomeStatement">Divisional!$A$2:$AV$239</definedName>
    <definedName name="africa">0</definedName>
    <definedName name="africaCountries">#REF!</definedName>
    <definedName name="allRegions">#REF!</definedName>
    <definedName name="americaRegion">#REF!</definedName>
    <definedName name="americas">0.26</definedName>
    <definedName name="americasStates">#REF!</definedName>
    <definedName name="AppVersion">"GEG-1.0"</definedName>
    <definedName name="asiaPacific">0.3</definedName>
    <definedName name="asiaPacificExJapan">0.06</definedName>
    <definedName name="asiaPacificExJapanCountries">#REF!</definedName>
    <definedName name="asiaPacificRegion">#REF!</definedName>
    <definedName name="asiaPacificStates">#REF!</definedName>
    <definedName name="australasia">"NA"</definedName>
    <definedName name="BRICS">0.24</definedName>
    <definedName name="centralEasternEurope">0</definedName>
    <definedName name="centralEasternEuropeCountries">#REF!</definedName>
    <definedName name="china">0.24</definedName>
    <definedName name="consumerDemandExposure">#REF!</definedName>
    <definedName name="consumersExposure">0</definedName>
    <definedName name="countryList">"Country Mapping"</definedName>
    <definedName name="DCF_123465">#REF!</definedName>
    <definedName name="developedEuropeExUK">0.4</definedName>
    <definedName name="developedEuropeExUKCountries">#REF!</definedName>
    <definedName name="domesticAndForeignExposure">#REF!</definedName>
    <definedName name="domesticCostExposure">#REF!</definedName>
    <definedName name="EEMEA">0.04</definedName>
    <definedName name="endDemandExposure">#REF!</definedName>
    <definedName name="europe">0.4</definedName>
    <definedName name="europeRegion">#REF!</definedName>
    <definedName name="europeStates">#REF!</definedName>
    <definedName name="india">0</definedName>
    <definedName name="instructions">#REF!</definedName>
    <definedName name="italy">"NA"</definedName>
    <definedName name="japan">0</definedName>
    <definedName name="latinAmerica">0.02</definedName>
    <definedName name="latinAmericaCountries">#REF!</definedName>
    <definedName name="Linking_1">#REF!</definedName>
    <definedName name="Linking_10">#REF!</definedName>
    <definedName name="Linking_100">#REF!</definedName>
    <definedName name="Linking_101">#REF!</definedName>
    <definedName name="Linking_102">#REF!</definedName>
    <definedName name="Linking_103">#REF!</definedName>
    <definedName name="Linking_104">#REF!</definedName>
    <definedName name="Linking_105">#REF!</definedName>
    <definedName name="Linking_106">#REF!</definedName>
    <definedName name="Linking_108">#REF!</definedName>
    <definedName name="Linking_11">#REF!</definedName>
    <definedName name="Linking_116">#REF!</definedName>
    <definedName name="Linking_117">#REF!</definedName>
    <definedName name="Linking_118">#REF!</definedName>
    <definedName name="Linking_119">#REF!</definedName>
    <definedName name="Linking_12">#REF!</definedName>
    <definedName name="Linking_120">#REF!</definedName>
    <definedName name="Linking_121">IS!$A$2:$DG$66</definedName>
    <definedName name="Linking_122">#REF!</definedName>
    <definedName name="Linking_123">#REF!</definedName>
    <definedName name="Linking_124">#REF!</definedName>
    <definedName name="Linking_125">#REF!</definedName>
    <definedName name="Linking_126">#REF!</definedName>
    <definedName name="Linking_127">#REF!</definedName>
    <definedName name="Linking_128">#REF!</definedName>
    <definedName name="Linking_129">#REF!</definedName>
    <definedName name="Linking_13">#REF!</definedName>
    <definedName name="Linking_130">#REF!</definedName>
    <definedName name="Linking_131">#REF!</definedName>
    <definedName name="Linking_132">#REF!</definedName>
    <definedName name="Linking_133">#REF!</definedName>
    <definedName name="Linking_134">#REF!</definedName>
    <definedName name="Linking_135">#REF!</definedName>
    <definedName name="Linking_136">#REF!</definedName>
    <definedName name="Linking_137">#REF!</definedName>
    <definedName name="Linking_138">#REF!</definedName>
    <definedName name="Linking_139">#REF!</definedName>
    <definedName name="Linking_14">#REF!</definedName>
    <definedName name="Linking_140">#REF!</definedName>
    <definedName name="Linking_141">#REF!</definedName>
    <definedName name="Linking_142">#REF!</definedName>
    <definedName name="Linking_143">#REF!</definedName>
    <definedName name="Linking_144">#REF!</definedName>
    <definedName name="Linking_145">#REF!</definedName>
    <definedName name="Linking_146">#REF!</definedName>
    <definedName name="Linking_147">#REF!</definedName>
    <definedName name="Linking_148">#REF!</definedName>
    <definedName name="Linking_149">#REF!</definedName>
    <definedName name="Linking_15">#REF!</definedName>
    <definedName name="Linking_150">#REF!</definedName>
    <definedName name="Linking_151">#REF!</definedName>
    <definedName name="Linking_152">#REF!</definedName>
    <definedName name="Linking_153">#REF!</definedName>
    <definedName name="Linking_154">#REF!</definedName>
    <definedName name="Linking_155">#REF!</definedName>
    <definedName name="Linking_156">#REF!</definedName>
    <definedName name="Linking_157">#REF!</definedName>
    <definedName name="Linking_158">#REF!</definedName>
    <definedName name="Linking_159">#REF!</definedName>
    <definedName name="Linking_16">#REF!</definedName>
    <definedName name="Linking_160">#REF!</definedName>
    <definedName name="Linking_161">#REF!</definedName>
    <definedName name="Linking_162">#REF!</definedName>
    <definedName name="Linking_163">#REF!</definedName>
    <definedName name="Linking_164">#REF!</definedName>
    <definedName name="Linking_165">#REF!</definedName>
    <definedName name="Linking_166">#REF!</definedName>
    <definedName name="Linking_167">#REF!</definedName>
    <definedName name="Linking_168">#REF!</definedName>
    <definedName name="Linking_169">#REF!</definedName>
    <definedName name="Linking_17">#REF!</definedName>
    <definedName name="Linking_170">#REF!</definedName>
    <definedName name="Linking_171">#REF!</definedName>
    <definedName name="Linking_172">#REF!</definedName>
    <definedName name="Linking_173">#REF!</definedName>
    <definedName name="Linking_174">#REF!</definedName>
    <definedName name="Linking_175">#REF!</definedName>
    <definedName name="Linking_176">#REF!</definedName>
    <definedName name="Linking_177">#REF!</definedName>
    <definedName name="Linking_178">#REF!</definedName>
    <definedName name="Linking_179">#REF!</definedName>
    <definedName name="Linking_18">#REF!</definedName>
    <definedName name="Linking_180">#REF!</definedName>
    <definedName name="Linking_181">#REF!</definedName>
    <definedName name="Linking_182">#REF!</definedName>
    <definedName name="Linking_183">#REF!</definedName>
    <definedName name="Linking_19">#REF!</definedName>
    <definedName name="Linking_2">#REF!</definedName>
    <definedName name="Linking_20">#REF!</definedName>
    <definedName name="Linking_21">#REF!</definedName>
    <definedName name="Linking_22">#REF!</definedName>
    <definedName name="Linking_23">#REF!</definedName>
    <definedName name="Linking_24">#REF!</definedName>
    <definedName name="Linking_25">#REF!</definedName>
    <definedName name="Linking_26">#REF!</definedName>
    <definedName name="Linking_27">#REF!</definedName>
    <definedName name="Linking_28">#REF!</definedName>
    <definedName name="Linking_29">#REF!</definedName>
    <definedName name="Linking_3">#REF!</definedName>
    <definedName name="Linking_30">#REF!</definedName>
    <definedName name="Linking_31">#REF!</definedName>
    <definedName name="Linking_32">#REF!</definedName>
    <definedName name="Linking_33">#REF!</definedName>
    <definedName name="Linking_34">#REF!</definedName>
    <definedName name="Linking_35">#REF!</definedName>
    <definedName name="Linking_36">#REF!</definedName>
    <definedName name="Linking_37">#REF!</definedName>
    <definedName name="Linking_38">#REF!</definedName>
    <definedName name="Linking_39">#REF!</definedName>
    <definedName name="Linking_4">#REF!</definedName>
    <definedName name="Linking_40">#REF!</definedName>
    <definedName name="Linking_41">#REF!</definedName>
    <definedName name="Linking_42">#REF!</definedName>
    <definedName name="Linking_43">#REF!</definedName>
    <definedName name="Linking_44">#REF!</definedName>
    <definedName name="Linking_45">#REF!</definedName>
    <definedName name="Linking_46">#REF!</definedName>
    <definedName name="Linking_47">#REF!</definedName>
    <definedName name="Linking_48">#REF!</definedName>
    <definedName name="Linking_49">#REF!</definedName>
    <definedName name="Linking_5">#REF!</definedName>
    <definedName name="Linking_50">#REF!</definedName>
    <definedName name="Linking_51">#REF!</definedName>
    <definedName name="Linking_53">'Valuation Summary'!$A$1:$U$77</definedName>
    <definedName name="Linking_54">#REF!</definedName>
    <definedName name="Linking_55">#REF!</definedName>
    <definedName name="Linking_56">#REF!</definedName>
    <definedName name="Linking_57">#REF!</definedName>
    <definedName name="Linking_58">#REF!</definedName>
    <definedName name="Linking_59">#REF!</definedName>
    <definedName name="Linking_6">#REF!</definedName>
    <definedName name="Linking_60">#REF!</definedName>
    <definedName name="Linking_62">#REF!</definedName>
    <definedName name="Linking_64">#REF!</definedName>
    <definedName name="Linking_66">#REF!</definedName>
    <definedName name="Linking_67">#REF!</definedName>
    <definedName name="Linking_68">#REF!</definedName>
    <definedName name="Linking_69">#REF!</definedName>
    <definedName name="Linking_7">#REF!</definedName>
    <definedName name="Linking_70">#REF!</definedName>
    <definedName name="Linking_72">#REF!</definedName>
    <definedName name="Linking_74">#REF!</definedName>
    <definedName name="Linking_75">#REF!</definedName>
    <definedName name="Linking_76">#REF!</definedName>
    <definedName name="Linking_77">#REF!</definedName>
    <definedName name="Linking_8">#REF!</definedName>
    <definedName name="Linking_82">#REF!</definedName>
    <definedName name="Linking_83">#REF!</definedName>
    <definedName name="Linking_84">#REF!</definedName>
    <definedName name="Linking_85">#REF!</definedName>
    <definedName name="Linking_86">#REF!</definedName>
    <definedName name="Linking_87">#REF!</definedName>
    <definedName name="Linking_88">#REF!</definedName>
    <definedName name="Linking_89">#REF!</definedName>
    <definedName name="Linking_9">#REF!</definedName>
    <definedName name="Linking_90">#REF!</definedName>
    <definedName name="Linking_94">#REF!</definedName>
    <definedName name="Linking_95">#REF!</definedName>
    <definedName name="Linking_96">#REF!</definedName>
    <definedName name="Linking_97">#REF!</definedName>
    <definedName name="Linking_98">#REF!</definedName>
    <definedName name="Linking_Range_1">'Valuation Summary'!$A$1:$L$86</definedName>
    <definedName name="Linking_Range_11">'Valuation Summary'!$A$1:$M$86</definedName>
    <definedName name="Linking_Range_12">Divisional!$A$2:$AH$61</definedName>
    <definedName name="Linking_Range_14">'Valuation Summary'!$A$1:$L$86</definedName>
    <definedName name="Linking_Range_15">IS!$A$79:$AA$89</definedName>
    <definedName name="Linking_Range_16">IS!$A$90:$AH$90</definedName>
    <definedName name="Linking_Range_17">IS!$A$90:$AH$90</definedName>
    <definedName name="Linking_Range_18">IS!$A$79:$AH$89</definedName>
    <definedName name="Linking_Range_19">IS!$A$90:$AA$90</definedName>
    <definedName name="Linking_Range_2">Divisional!$A$2:$AA$61</definedName>
    <definedName name="Linking_Range_20">IS!$A$90:$ER$90</definedName>
    <definedName name="Linking_Range_21">IS!$A$90:$ER$90</definedName>
    <definedName name="Linking_Range_24">IS!$A$90:$ER$90</definedName>
    <definedName name="Linking_Range_26">'Valuation Summary'!$A$1:$M$86</definedName>
    <definedName name="Linking_Range_27">IS!$A$2:$AH$66</definedName>
    <definedName name="Linking_Range_29">'Valuation Summary'!$A$1:$N$86</definedName>
    <definedName name="Linking_Range_30">'Valuation Summary'!$A$1:$N$86</definedName>
    <definedName name="Linking_Range_33">Divisional!$A$2:$AO$61</definedName>
    <definedName name="Linking_Range_34">IS!$A$2:$AO$66</definedName>
    <definedName name="Linking_Range_35">#REF!</definedName>
    <definedName name="Linking_Range_36">#REF!</definedName>
    <definedName name="Linking_Range_37">#REF!</definedName>
    <definedName name="Linking_Range_38">#REF!</definedName>
    <definedName name="Linking_Range_39">#REF!</definedName>
    <definedName name="Linking_Range_40">#REF!</definedName>
    <definedName name="Linking_Range_41">#REF!</definedName>
    <definedName name="Linking_Range_42">'Valuation Summary'!$A$1:$Q$77</definedName>
    <definedName name="Linking_Range_43">#REF!</definedName>
    <definedName name="Linking_Range_44">'Valuation Summary'!$A$1:$R$77</definedName>
    <definedName name="Linking_Range_45">#REF!</definedName>
    <definedName name="Linking_Range_46">#REF!</definedName>
    <definedName name="Linking_Range_47">#REF!</definedName>
    <definedName name="Linking_Range_48">#REF!</definedName>
    <definedName name="Linking_Range_49">'Valuation Summary'!$A$1:$AB$99</definedName>
    <definedName name="Linking_Range_7">Divisional!$A$2:$AA$61</definedName>
    <definedName name="middleEast">0.04</definedName>
    <definedName name="middleEastAfrica">0.04</definedName>
    <definedName name="middleEastAfricaRegion">#REF!</definedName>
    <definedName name="middleEastAfricaStates">#REF!</definedName>
    <definedName name="mwTaxrate1">#REF!</definedName>
    <definedName name="northAmerica">0.24</definedName>
    <definedName name="northAmericaCountries">#REF!</definedName>
    <definedName name="otherAfrica">"NA"</definedName>
    <definedName name="otherAsiaPacific">0.06</definedName>
    <definedName name="otherCentralEasternEurope">"NA"</definedName>
    <definedName name="otherDevelopedEurope">0.4</definedName>
    <definedName name="otherLATAM">"NA"</definedName>
    <definedName name="_xlnm.Print_Area" localSheetId="6">Airbus!$A$1:$DH$414</definedName>
    <definedName name="_xlnm.Print_Area" localSheetId="7">'Defence &amp; Space'!$A$1:$BZ$87</definedName>
    <definedName name="_xlnm.Print_Area" localSheetId="2">Divisional!$A$1:$DN$156</definedName>
    <definedName name="_xlnm.Print_Area" localSheetId="8">Helicopters!$A$1:$CL$164</definedName>
    <definedName name="_xlnm.Print_Area" localSheetId="3">IS!$A$1:$DG$88</definedName>
    <definedName name="_xlnm.Print_Area" localSheetId="1">'Valuation Summary'!$A$1:$AB$99</definedName>
    <definedName name="_xlnm.Print_Area">#REF!</definedName>
    <definedName name="_xlnm.Print_Titles">#REF!</definedName>
    <definedName name="regionalCostExposure">#REF!</definedName>
    <definedName name="rngBRICS">#REF!,#REF!,#REF!,#REF!</definedName>
    <definedName name="rngContinentWiseValue">#REF!</definedName>
    <definedName name="rngCountryWiseValue">#REF!</definedName>
    <definedName name="rngEEMEA">#REF!,#REF!,#REF!,#REF!</definedName>
    <definedName name="rngStateWiseValue">#REF!</definedName>
    <definedName name="rngTotalRegionExposure">1</definedName>
    <definedName name="sedol">4012250</definedName>
    <definedName name="showVersionCheckMessage">1</definedName>
    <definedName name="socioEconomicRegion">#REF!</definedName>
    <definedName name="socioEconomicRegions">#REF!</definedName>
    <definedName name="spain">"NA"</definedName>
    <definedName name="totalConsumerDemandExposure">0</definedName>
    <definedName name="totalDomesticCostExposure">#REF!</definedName>
    <definedName name="totalDomesticRevenueExposure">#REF!</definedName>
    <definedName name="totalEndDemandRevenueExposure">#REF!</definedName>
    <definedName name="totalRegionCostExposure">#REF!</definedName>
    <definedName name="totalRegionRevenueExposure">#REF!</definedName>
    <definedName name="uk">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46" i="242" l="1"/>
  <c r="EJ354" i="11"/>
  <c r="EQ354" i="11" s="1"/>
  <c r="DM398" i="11" l="1"/>
  <c r="DO56" i="11" l="1"/>
  <c r="DE73" i="178" l="1"/>
  <c r="DB70" i="178"/>
  <c r="DB63" i="178"/>
  <c r="DB29" i="178"/>
  <c r="CP71" i="220"/>
  <c r="DJ55" i="11"/>
  <c r="DJ54" i="11"/>
  <c r="DJ53" i="11"/>
  <c r="DJ52" i="11"/>
  <c r="DJ51" i="11"/>
  <c r="DJ50" i="11"/>
  <c r="DJ10" i="11"/>
  <c r="DI210" i="243"/>
  <c r="DI209" i="243"/>
  <c r="DI206" i="243"/>
  <c r="DI55" i="243"/>
  <c r="DI54" i="243"/>
  <c r="DI52" i="243"/>
  <c r="DI51" i="243"/>
  <c r="DI44" i="243"/>
  <c r="DI43" i="243"/>
  <c r="DI42" i="243"/>
  <c r="DI41" i="243"/>
  <c r="DI273" i="243" s="1"/>
  <c r="DI40" i="243"/>
  <c r="DI174" i="243" s="1"/>
  <c r="DI39" i="243"/>
  <c r="DI251" i="243" s="1"/>
  <c r="DI38" i="243"/>
  <c r="DI84" i="242" s="1"/>
  <c r="DI33" i="243"/>
  <c r="DI32" i="243"/>
  <c r="DI31" i="243"/>
  <c r="DI30" i="243"/>
  <c r="DI173" i="243" s="1"/>
  <c r="DI29" i="243"/>
  <c r="DI170" i="243" s="1"/>
  <c r="DI28" i="243"/>
  <c r="DI83" i="242" s="1"/>
  <c r="DI27" i="243"/>
  <c r="DI20" i="243"/>
  <c r="DI18" i="243"/>
  <c r="DI17" i="243"/>
  <c r="DI16" i="243"/>
  <c r="DI15" i="243"/>
  <c r="DI14" i="243"/>
  <c r="DI13" i="243"/>
  <c r="DI8" i="243"/>
  <c r="DI164" i="243" s="1"/>
  <c r="DI7" i="243"/>
  <c r="DI80" i="242" s="1"/>
  <c r="DI6" i="243"/>
  <c r="DI240" i="243" s="1"/>
  <c r="DI5" i="243"/>
  <c r="DI4" i="243"/>
  <c r="DI161" i="243" s="1"/>
  <c r="DI3" i="243"/>
  <c r="DI158" i="243" s="1"/>
  <c r="DI2" i="243"/>
  <c r="DI85" i="242"/>
  <c r="DI59" i="242"/>
  <c r="DI57" i="242"/>
  <c r="DI55" i="242"/>
  <c r="DI50" i="242"/>
  <c r="DI48" i="242"/>
  <c r="DI40" i="242"/>
  <c r="DI37" i="242"/>
  <c r="DI36" i="242"/>
  <c r="DI35" i="242"/>
  <c r="DI34" i="242"/>
  <c r="DI33" i="242"/>
  <c r="DI30" i="242"/>
  <c r="DI29" i="242"/>
  <c r="DI28" i="242"/>
  <c r="DI27" i="242"/>
  <c r="DI26" i="242"/>
  <c r="DI54" i="242" s="1"/>
  <c r="DI24" i="242"/>
  <c r="DI20" i="242"/>
  <c r="DI11" i="242"/>
  <c r="DI47" i="242" s="1"/>
  <c r="DI10" i="242"/>
  <c r="DI8" i="242"/>
  <c r="DI7" i="242"/>
  <c r="DI6" i="242"/>
  <c r="DI5" i="242"/>
  <c r="DI2" i="242"/>
  <c r="DI73" i="2"/>
  <c r="DI70" i="2"/>
  <c r="DI69" i="2"/>
  <c r="DI55" i="2"/>
  <c r="DI44" i="2"/>
  <c r="DI4" i="242" s="1"/>
  <c r="DI40" i="2"/>
  <c r="DI196" i="243" s="1"/>
  <c r="DI35" i="2"/>
  <c r="DI34" i="2"/>
  <c r="DI32" i="2"/>
  <c r="DI30" i="2"/>
  <c r="DI245" i="243" s="1"/>
  <c r="DI29" i="2"/>
  <c r="DI26" i="2"/>
  <c r="DI50" i="2" s="1"/>
  <c r="DI25" i="2"/>
  <c r="DI9" i="2"/>
  <c r="DP196" i="4"/>
  <c r="DP195" i="4"/>
  <c r="DP194" i="4"/>
  <c r="DP193" i="4"/>
  <c r="DP185" i="4"/>
  <c r="DP182" i="4"/>
  <c r="DP181" i="4"/>
  <c r="DP180" i="4"/>
  <c r="DP155" i="4"/>
  <c r="DP137" i="4"/>
  <c r="DP130" i="4"/>
  <c r="DP129" i="4"/>
  <c r="DP128" i="4"/>
  <c r="DP127" i="4"/>
  <c r="DP123" i="4"/>
  <c r="DP117" i="4"/>
  <c r="DP116" i="4"/>
  <c r="DB14" i="178" s="1"/>
  <c r="DP115" i="4"/>
  <c r="DP97" i="4"/>
  <c r="DP93" i="4"/>
  <c r="DP71" i="4"/>
  <c r="DP95" i="4" s="1"/>
  <c r="DP59" i="4"/>
  <c r="DP53" i="4"/>
  <c r="DP52" i="4"/>
  <c r="DB11" i="178" s="1"/>
  <c r="DP51" i="4"/>
  <c r="DP38" i="4"/>
  <c r="DP37" i="4"/>
  <c r="DP36" i="4"/>
  <c r="DP35" i="4"/>
  <c r="DP30" i="4"/>
  <c r="DP28" i="4"/>
  <c r="DP27" i="4"/>
  <c r="DB7" i="178" s="1"/>
  <c r="DP26" i="4"/>
  <c r="DP12" i="4"/>
  <c r="DP6" i="4"/>
  <c r="DP5" i="4"/>
  <c r="DP4" i="4"/>
  <c r="DI152" i="243" s="1"/>
  <c r="DL17" i="2"/>
  <c r="DL16" i="2"/>
  <c r="DL14" i="2"/>
  <c r="DL72" i="2"/>
  <c r="DI72" i="2" s="1"/>
  <c r="DL50" i="2"/>
  <c r="DL31" i="2"/>
  <c r="DL36" i="2" s="1"/>
  <c r="DL208" i="243"/>
  <c r="DI208" i="243" s="1"/>
  <c r="DL207" i="243"/>
  <c r="DI207" i="243" s="1"/>
  <c r="DL205" i="243"/>
  <c r="DI205" i="243" s="1"/>
  <c r="DL204" i="243"/>
  <c r="DI204" i="243" s="1"/>
  <c r="DL273" i="243"/>
  <c r="DL255" i="243"/>
  <c r="DL251" i="243"/>
  <c r="DL241" i="243"/>
  <c r="DL240" i="243"/>
  <c r="DL243" i="243" s="1"/>
  <c r="DL212" i="243"/>
  <c r="DL197" i="243"/>
  <c r="DL189" i="243"/>
  <c r="DL174" i="243"/>
  <c r="DL173" i="243"/>
  <c r="DL170" i="243"/>
  <c r="DL164" i="243"/>
  <c r="DL161" i="243"/>
  <c r="DL158" i="243"/>
  <c r="DL152" i="243"/>
  <c r="DM385" i="11"/>
  <c r="DM45" i="11"/>
  <c r="DM42" i="11"/>
  <c r="DM356" i="11" s="1"/>
  <c r="DM15" i="11"/>
  <c r="DM16" i="11" s="1"/>
  <c r="DM11" i="11"/>
  <c r="DM10" i="11"/>
  <c r="CS72" i="220"/>
  <c r="CS18" i="220"/>
  <c r="CS15" i="220"/>
  <c r="CS9" i="220"/>
  <c r="CS4" i="220"/>
  <c r="CS28" i="220" s="1"/>
  <c r="DS39" i="4"/>
  <c r="DP39" i="4" s="1"/>
  <c r="DS205" i="4"/>
  <c r="DS199" i="4"/>
  <c r="DS198" i="4"/>
  <c r="DS197" i="4"/>
  <c r="DS196" i="4"/>
  <c r="DS195" i="4"/>
  <c r="DS194" i="4"/>
  <c r="DS193" i="4"/>
  <c r="DS186" i="4"/>
  <c r="DS131" i="4"/>
  <c r="DS135" i="4" s="1"/>
  <c r="DS122" i="4"/>
  <c r="DS124" i="4" s="1"/>
  <c r="DS95" i="4"/>
  <c r="DS110" i="4" s="1"/>
  <c r="DS93" i="4"/>
  <c r="DS58" i="4"/>
  <c r="DS60" i="4" s="1"/>
  <c r="DL22" i="2" s="1"/>
  <c r="DS47" i="4"/>
  <c r="DP47" i="4" s="1"/>
  <c r="DS45" i="4"/>
  <c r="DS44" i="4"/>
  <c r="DS43" i="4"/>
  <c r="DM56" i="11" s="1"/>
  <c r="DS29" i="4"/>
  <c r="DS31" i="4" s="1"/>
  <c r="DS18" i="4"/>
  <c r="DS17" i="4"/>
  <c r="DS16" i="4"/>
  <c r="DS11" i="4"/>
  <c r="DS13" i="4" s="1"/>
  <c r="DL154" i="243" s="1"/>
  <c r="DE30" i="178"/>
  <c r="DL25" i="242"/>
  <c r="DL23" i="242"/>
  <c r="DL53" i="242" s="1"/>
  <c r="DL9" i="242"/>
  <c r="DL84" i="242"/>
  <c r="DL83" i="242"/>
  <c r="DL81" i="242"/>
  <c r="DL80" i="242"/>
  <c r="DL54" i="242"/>
  <c r="DL47" i="242"/>
  <c r="DL46" i="242"/>
  <c r="DL38" i="242"/>
  <c r="DL4" i="242"/>
  <c r="DL2" i="242"/>
  <c r="DL118" i="243"/>
  <c r="DL115" i="243"/>
  <c r="DL104" i="243"/>
  <c r="DL97" i="243"/>
  <c r="DL78" i="243"/>
  <c r="DL77" i="243"/>
  <c r="DL76" i="243"/>
  <c r="DL71" i="243"/>
  <c r="DL70" i="243"/>
  <c r="DL53" i="243"/>
  <c r="DI53" i="243" s="1"/>
  <c r="DL37" i="243"/>
  <c r="DL256" i="243" s="1"/>
  <c r="DL35" i="243"/>
  <c r="DL34" i="243" s="1"/>
  <c r="DI34" i="243" s="1"/>
  <c r="DI178" i="243" s="1"/>
  <c r="DL19" i="243"/>
  <c r="DI19" i="243" s="1"/>
  <c r="DL11" i="243"/>
  <c r="DL9" i="243"/>
  <c r="DI9" i="243" s="1"/>
  <c r="DS40" i="4" l="1"/>
  <c r="DM357" i="11"/>
  <c r="DI81" i="242"/>
  <c r="CS75" i="220"/>
  <c r="CS76" i="220" s="1"/>
  <c r="CS64" i="220"/>
  <c r="CS65" i="220" s="1"/>
  <c r="DL21" i="243"/>
  <c r="DI21" i="243" s="1"/>
  <c r="DI22" i="243" s="1"/>
  <c r="DL82" i="242"/>
  <c r="DL86" i="242" s="1"/>
  <c r="DI31" i="2"/>
  <c r="DI36" i="2" s="1"/>
  <c r="DI211" i="243"/>
  <c r="DP45" i="4"/>
  <c r="DL45" i="243"/>
  <c r="DI45" i="243" s="1"/>
  <c r="DL159" i="243"/>
  <c r="DM43" i="11"/>
  <c r="DJ11" i="11"/>
  <c r="CS14" i="220"/>
  <c r="DL10" i="243"/>
  <c r="DI10" i="243" s="1"/>
  <c r="CS19" i="220"/>
  <c r="DL175" i="243"/>
  <c r="DL176" i="243" s="1"/>
  <c r="DP29" i="4"/>
  <c r="DP31" i="4" s="1"/>
  <c r="DP58" i="4"/>
  <c r="DP60" i="4" s="1"/>
  <c r="DI22" i="2" s="1"/>
  <c r="DI27" i="2" s="1"/>
  <c r="DP122" i="4"/>
  <c r="DP124" i="4" s="1"/>
  <c r="DB10" i="178"/>
  <c r="CS31" i="220"/>
  <c r="CS34" i="220" s="1"/>
  <c r="CS45" i="220"/>
  <c r="CS41" i="220"/>
  <c r="CS73" i="220"/>
  <c r="DL165" i="243"/>
  <c r="DL171" i="243"/>
  <c r="DL153" i="243"/>
  <c r="DL27" i="2"/>
  <c r="DL38" i="2" s="1"/>
  <c r="DI35" i="243"/>
  <c r="DI37" i="243"/>
  <c r="DI256" i="243" s="1"/>
  <c r="DS32" i="4"/>
  <c r="DS200" i="4"/>
  <c r="CS10" i="220"/>
  <c r="DL252" i="243"/>
  <c r="DL253" i="243" s="1"/>
  <c r="DL8" i="2"/>
  <c r="DL10" i="2" s="1"/>
  <c r="DL11" i="2" s="1"/>
  <c r="DP40" i="4"/>
  <c r="DI56" i="243"/>
  <c r="DI212" i="243"/>
  <c r="DI213" i="243" s="1"/>
  <c r="CP4" i="220"/>
  <c r="CP28" i="220" s="1"/>
  <c r="CP73" i="220" s="1"/>
  <c r="DL56" i="243"/>
  <c r="DI234" i="243"/>
  <c r="DP110" i="4"/>
  <c r="DI82" i="242"/>
  <c r="DI86" i="242" s="1"/>
  <c r="DI255" i="243"/>
  <c r="DJ42" i="11"/>
  <c r="DB4" i="178"/>
  <c r="DB8" i="178" s="1"/>
  <c r="DL162" i="243"/>
  <c r="DL211" i="243"/>
  <c r="DL213" i="243" s="1"/>
  <c r="DI38" i="242"/>
  <c r="DJ45" i="11"/>
  <c r="DL31" i="242"/>
  <c r="DB73" i="178"/>
  <c r="DL178" i="243"/>
  <c r="DL186" i="243" s="1"/>
  <c r="DP11" i="4"/>
  <c r="DP13" i="4" s="1"/>
  <c r="DP131" i="4"/>
  <c r="DP135" i="4" s="1"/>
  <c r="DP186" i="4"/>
  <c r="DI189" i="243"/>
  <c r="DI175" i="243"/>
  <c r="DI186" i="243"/>
  <c r="DI241" i="243"/>
  <c r="DI243" i="243" s="1"/>
  <c r="DI46" i="242"/>
  <c r="DP43" i="4"/>
  <c r="DP44" i="4"/>
  <c r="DL79" i="243"/>
  <c r="DL65" i="243" s="1"/>
  <c r="DM5" i="11"/>
  <c r="DM9" i="11"/>
  <c r="DM307" i="11" s="1"/>
  <c r="DM46" i="11"/>
  <c r="CS42" i="220"/>
  <c r="CS46" i="220"/>
  <c r="CS43" i="220"/>
  <c r="CS40" i="220"/>
  <c r="CS44" i="220"/>
  <c r="CS16" i="220"/>
  <c r="DS46" i="4"/>
  <c r="DS48" i="4" s="1"/>
  <c r="DL54" i="2" s="1"/>
  <c r="DS125" i="4"/>
  <c r="DS132" i="4"/>
  <c r="DL52" i="242"/>
  <c r="DL51" i="242"/>
  <c r="DL49" i="243"/>
  <c r="DL24" i="243"/>
  <c r="DL167" i="243" l="1"/>
  <c r="DP32" i="4"/>
  <c r="DI47" i="243"/>
  <c r="DI49" i="243" s="1"/>
  <c r="DI58" i="243" s="1"/>
  <c r="DL274" i="243"/>
  <c r="DI167" i="243"/>
  <c r="DI185" i="243" s="1"/>
  <c r="DI11" i="243"/>
  <c r="DI24" i="243" s="1"/>
  <c r="DP132" i="4"/>
  <c r="DJ43" i="11"/>
  <c r="DP125" i="4"/>
  <c r="DI38" i="2"/>
  <c r="DL179" i="243"/>
  <c r="DP46" i="4"/>
  <c r="DP48" i="4" s="1"/>
  <c r="DI54" i="2" s="1"/>
  <c r="DI252" i="243"/>
  <c r="DI253" i="243" s="1"/>
  <c r="DB15" i="178"/>
  <c r="DI154" i="243"/>
  <c r="DI168" i="243" s="1"/>
  <c r="DI8" i="2"/>
  <c r="DJ46" i="11"/>
  <c r="DL168" i="243"/>
  <c r="DL185" i="243"/>
  <c r="DB12" i="178"/>
  <c r="DM391" i="11"/>
  <c r="DB24" i="178"/>
  <c r="DL58" i="243"/>
  <c r="DL59" i="243" s="1"/>
  <c r="DL41" i="2"/>
  <c r="DL42" i="2"/>
  <c r="DL46" i="2" s="1"/>
  <c r="DL56" i="2" s="1"/>
  <c r="DU76" i="2"/>
  <c r="EB76" i="2" s="1"/>
  <c r="EI76" i="2" s="1"/>
  <c r="EP76" i="2" s="1"/>
  <c r="DN77" i="2"/>
  <c r="DN69" i="2" s="1"/>
  <c r="DI59" i="243" l="1"/>
  <c r="DI42" i="2"/>
  <c r="DI46" i="2" s="1"/>
  <c r="DI41" i="2"/>
  <c r="DI10" i="2"/>
  <c r="DI11" i="2" s="1"/>
  <c r="DI274" i="243"/>
  <c r="DI153" i="243"/>
  <c r="DI179" i="243"/>
  <c r="DI165" i="243"/>
  <c r="DI162" i="243"/>
  <c r="DI159" i="243"/>
  <c r="DI171" i="243"/>
  <c r="DI176" i="243"/>
  <c r="DL57" i="2"/>
  <c r="DL48" i="2"/>
  <c r="DL47" i="2"/>
  <c r="DL51" i="2"/>
  <c r="DL59" i="2" s="1"/>
  <c r="DJ141" i="11"/>
  <c r="DP205" i="4" s="1"/>
  <c r="DJ138" i="11"/>
  <c r="DJ137" i="11"/>
  <c r="DJ136" i="11"/>
  <c r="DJ126" i="11"/>
  <c r="DJ125" i="11"/>
  <c r="DJ122" i="11"/>
  <c r="DJ121" i="11"/>
  <c r="DJ116" i="11"/>
  <c r="DP199" i="4" s="1"/>
  <c r="DJ115" i="11"/>
  <c r="DP198" i="4" s="1"/>
  <c r="DJ114" i="11"/>
  <c r="DP197" i="4" s="1"/>
  <c r="DJ102" i="11"/>
  <c r="DM139" i="11"/>
  <c r="DS204" i="4" s="1"/>
  <c r="DM127" i="11"/>
  <c r="DS202" i="4" s="1"/>
  <c r="DM123" i="11"/>
  <c r="DS201" i="4" s="1"/>
  <c r="DM117" i="11"/>
  <c r="DM104" i="11"/>
  <c r="DS207" i="4" s="1"/>
  <c r="CM81" i="220"/>
  <c r="DP200" i="4" l="1"/>
  <c r="DI3" i="242"/>
  <c r="DI48" i="2"/>
  <c r="DI47" i="2"/>
  <c r="DI51" i="2"/>
  <c r="DL62" i="2"/>
  <c r="DL61" i="2"/>
  <c r="DL66" i="2"/>
  <c r="DL65" i="2"/>
  <c r="DN5" i="243"/>
  <c r="DN6" i="243"/>
  <c r="DM6" i="243" s="1"/>
  <c r="DK138" i="11" l="1"/>
  <c r="DK126" i="11"/>
  <c r="DM34" i="2" l="1"/>
  <c r="DK34" i="2" s="1"/>
  <c r="DN55" i="2"/>
  <c r="DM185" i="4"/>
  <c r="DM182" i="4"/>
  <c r="DM181" i="4"/>
  <c r="DM180" i="4"/>
  <c r="DN186" i="4"/>
  <c r="DI385" i="11"/>
  <c r="DJ385" i="11" s="1"/>
  <c r="DM186" i="4" l="1"/>
  <c r="DN235" i="11"/>
  <c r="DL235" i="11" s="1"/>
  <c r="DN234" i="11"/>
  <c r="DL234" i="11" s="1"/>
  <c r="DN233" i="11"/>
  <c r="DL233" i="11" s="1"/>
  <c r="DN221" i="11"/>
  <c r="DL221" i="11" s="1"/>
  <c r="DA73" i="178" l="1"/>
  <c r="DA46" i="178"/>
  <c r="DA38" i="178"/>
  <c r="DA30" i="178"/>
  <c r="DA14" i="178"/>
  <c r="DA11" i="178"/>
  <c r="DA7" i="178"/>
  <c r="DA4" i="178"/>
  <c r="CO72" i="220"/>
  <c r="CO38" i="220"/>
  <c r="CO18" i="220"/>
  <c r="CP18" i="220" s="1"/>
  <c r="CP19" i="220" s="1"/>
  <c r="CO15" i="220"/>
  <c r="CO9" i="220"/>
  <c r="CO4" i="220"/>
  <c r="CO28" i="220" s="1"/>
  <c r="CO46" i="220" s="1"/>
  <c r="CP46" i="220" s="1"/>
  <c r="CP54" i="220" s="1"/>
  <c r="DI45" i="11"/>
  <c r="DI42" i="11"/>
  <c r="DI356" i="11" s="1"/>
  <c r="DI15" i="11"/>
  <c r="DI16" i="11" s="1"/>
  <c r="DI11" i="11"/>
  <c r="DI10" i="11"/>
  <c r="DH25" i="242"/>
  <c r="DI25" i="242" s="1"/>
  <c r="DH23" i="242"/>
  <c r="DH9" i="242"/>
  <c r="DI9" i="242" s="1"/>
  <c r="DI21" i="242" s="1"/>
  <c r="DH84" i="242"/>
  <c r="DH83" i="242"/>
  <c r="DH81" i="242"/>
  <c r="DH80" i="242"/>
  <c r="DH54" i="242"/>
  <c r="DH47" i="242"/>
  <c r="DH46" i="242"/>
  <c r="DH38" i="242"/>
  <c r="DH4" i="242"/>
  <c r="DH50" i="2"/>
  <c r="DH31" i="2"/>
  <c r="DH36" i="2" s="1"/>
  <c r="DH17" i="2"/>
  <c r="DI17" i="2" s="1"/>
  <c r="DH16" i="2"/>
  <c r="DI16" i="2" s="1"/>
  <c r="DH14" i="2"/>
  <c r="DI14" i="2" s="1"/>
  <c r="DO131" i="4"/>
  <c r="DO122" i="4"/>
  <c r="DO124" i="4" s="1"/>
  <c r="DO95" i="4"/>
  <c r="DO110" i="4" s="1"/>
  <c r="DO93" i="4"/>
  <c r="DO58" i="4"/>
  <c r="DO60" i="4" s="1"/>
  <c r="DH22" i="2" s="1"/>
  <c r="DH27" i="2" s="1"/>
  <c r="DO45" i="4"/>
  <c r="DO44" i="4"/>
  <c r="DO43" i="4"/>
  <c r="DI56" i="11" s="1"/>
  <c r="DJ56" i="11" s="1"/>
  <c r="DJ58" i="11" s="1"/>
  <c r="DO40" i="4"/>
  <c r="DH273" i="243"/>
  <c r="DH255" i="243"/>
  <c r="DH251" i="243"/>
  <c r="DH241" i="243"/>
  <c r="DH240" i="243"/>
  <c r="DH212" i="243"/>
  <c r="DH208" i="243"/>
  <c r="DH207" i="243"/>
  <c r="DH205" i="243"/>
  <c r="DH204" i="243"/>
  <c r="DH197" i="243"/>
  <c r="DH174" i="243"/>
  <c r="DH173" i="243"/>
  <c r="DH170" i="243"/>
  <c r="DH164" i="243"/>
  <c r="DH161" i="243"/>
  <c r="DH158" i="243"/>
  <c r="DH152" i="243"/>
  <c r="DH115" i="243"/>
  <c r="DH104" i="243"/>
  <c r="DH77" i="243"/>
  <c r="DI77" i="243" s="1"/>
  <c r="DH76" i="243"/>
  <c r="DH53" i="243"/>
  <c r="DH53" i="242" l="1"/>
  <c r="DI23" i="242"/>
  <c r="CO75" i="220"/>
  <c r="CP9" i="220"/>
  <c r="DI45" i="242"/>
  <c r="DI49" i="242" s="1"/>
  <c r="DJ59" i="11"/>
  <c r="DI43" i="11"/>
  <c r="DH31" i="242"/>
  <c r="CO19" i="220"/>
  <c r="DH82" i="242"/>
  <c r="DH86" i="242" s="1"/>
  <c r="DA8" i="178"/>
  <c r="CO76" i="220"/>
  <c r="DH211" i="243"/>
  <c r="DH213" i="243" s="1"/>
  <c r="DI235" i="243" s="1"/>
  <c r="DI5" i="11"/>
  <c r="DJ5" i="11" s="1"/>
  <c r="DJ14" i="11" s="1"/>
  <c r="DI357" i="11"/>
  <c r="DA15" i="178"/>
  <c r="DA10" i="178"/>
  <c r="DI46" i="11"/>
  <c r="CO73" i="220"/>
  <c r="DH243" i="243"/>
  <c r="DI246" i="243" s="1"/>
  <c r="DH15" i="2"/>
  <c r="DI15" i="2" s="1"/>
  <c r="CO31" i="220"/>
  <c r="DA56" i="178"/>
  <c r="CO40" i="220"/>
  <c r="CP40" i="220" s="1"/>
  <c r="CP48" i="220" s="1"/>
  <c r="CO43" i="220"/>
  <c r="CP43" i="220" s="1"/>
  <c r="CP51" i="220" s="1"/>
  <c r="CO10" i="220"/>
  <c r="CO64" i="220"/>
  <c r="CO65" i="220" s="1"/>
  <c r="CO14" i="220"/>
  <c r="CP14" i="220" s="1"/>
  <c r="DA24" i="178"/>
  <c r="DA40" i="178" s="1"/>
  <c r="DA12" i="178"/>
  <c r="CO44" i="220"/>
  <c r="CP44" i="220" s="1"/>
  <c r="CP52" i="220" s="1"/>
  <c r="CO41" i="220"/>
  <c r="CP41" i="220" s="1"/>
  <c r="CP49" i="220" s="1"/>
  <c r="CO45" i="220"/>
  <c r="CP45" i="220" s="1"/>
  <c r="CP53" i="220" s="1"/>
  <c r="CO42" i="220"/>
  <c r="CP42" i="220" s="1"/>
  <c r="CP50" i="220" s="1"/>
  <c r="CO16" i="220"/>
  <c r="DI9" i="11"/>
  <c r="DI58" i="11"/>
  <c r="DH52" i="242"/>
  <c r="DH51" i="242"/>
  <c r="DH38" i="2"/>
  <c r="DH41" i="2" s="1"/>
  <c r="DO132" i="4"/>
  <c r="DO46" i="4"/>
  <c r="DO48" i="4" s="1"/>
  <c r="DH54" i="2" s="1"/>
  <c r="DO135" i="4"/>
  <c r="DH175" i="243"/>
  <c r="DH37" i="243"/>
  <c r="DH35" i="243"/>
  <c r="DH19" i="243"/>
  <c r="DH11" i="243"/>
  <c r="DH9" i="243"/>
  <c r="DI307" i="11" l="1"/>
  <c r="DJ9" i="11"/>
  <c r="DJ15" i="11" s="1"/>
  <c r="DJ16" i="11" s="1"/>
  <c r="CO34" i="220"/>
  <c r="CP31" i="220"/>
  <c r="CP15" i="220"/>
  <c r="CP16" i="220" s="1"/>
  <c r="CP10" i="220"/>
  <c r="CP75" i="220"/>
  <c r="CP76" i="220" s="1"/>
  <c r="DI31" i="242"/>
  <c r="DI42" i="242" s="1"/>
  <c r="DI53" i="242"/>
  <c r="DA42" i="178"/>
  <c r="DA27" i="178"/>
  <c r="DA34" i="178" s="1"/>
  <c r="DH42" i="2"/>
  <c r="DH46" i="2" s="1"/>
  <c r="DA57" i="178"/>
  <c r="DH256" i="243"/>
  <c r="DH252" i="243"/>
  <c r="DH253" i="243" s="1"/>
  <c r="DI59" i="11"/>
  <c r="CT4" i="178"/>
  <c r="DN399" i="11"/>
  <c r="DL399" i="11" s="1"/>
  <c r="DJ399" i="11"/>
  <c r="CP37" i="220" l="1"/>
  <c r="CP38" i="220" s="1"/>
  <c r="CP34" i="220"/>
  <c r="DA31" i="178"/>
  <c r="DI52" i="242"/>
  <c r="DI58" i="242" s="1"/>
  <c r="DI60" i="242" s="1"/>
  <c r="DI51" i="242"/>
  <c r="DI56" i="242" s="1"/>
  <c r="DI61" i="242" s="1"/>
  <c r="DH3" i="242"/>
  <c r="DH21" i="242" s="1"/>
  <c r="DH45" i="242" s="1"/>
  <c r="DH49" i="242" s="1"/>
  <c r="DH56" i="2"/>
  <c r="DH51" i="2"/>
  <c r="CT24" i="178"/>
  <c r="DA25" i="178" s="1"/>
  <c r="DA5" i="178"/>
  <c r="DH47" i="2"/>
  <c r="DI139" i="11"/>
  <c r="DI127" i="11"/>
  <c r="DI123" i="11"/>
  <c r="DI117" i="11"/>
  <c r="DI104" i="11"/>
  <c r="DH57" i="2" l="1"/>
  <c r="DH61" i="2" s="1"/>
  <c r="DI56" i="2"/>
  <c r="DI119" i="11"/>
  <c r="DJ117" i="11"/>
  <c r="DI88" i="11"/>
  <c r="DJ127" i="11"/>
  <c r="DP202" i="4" s="1"/>
  <c r="DI89" i="11"/>
  <c r="DJ139" i="11"/>
  <c r="DH42" i="242"/>
  <c r="DI85" i="11"/>
  <c r="DJ104" i="11"/>
  <c r="DP207" i="4" s="1"/>
  <c r="DI87" i="11"/>
  <c r="DJ123" i="11"/>
  <c r="DH59" i="2"/>
  <c r="DH58" i="242"/>
  <c r="DH60" i="242" s="1"/>
  <c r="DH56" i="242"/>
  <c r="DH61" i="242" s="1"/>
  <c r="DI86" i="11"/>
  <c r="DI129" i="11"/>
  <c r="DU168" i="243"/>
  <c r="EB168" i="243" s="1"/>
  <c r="EI168" i="243" s="1"/>
  <c r="DI57" i="2" l="1"/>
  <c r="DI59" i="2"/>
  <c r="DJ87" i="11"/>
  <c r="DJ95" i="11" s="1"/>
  <c r="DP201" i="4"/>
  <c r="DJ89" i="11"/>
  <c r="DJ97" i="11" s="1"/>
  <c r="DP204" i="4"/>
  <c r="DM89" i="11"/>
  <c r="DJ129" i="11"/>
  <c r="DP203" i="4" s="1"/>
  <c r="DP206" i="4" s="1"/>
  <c r="DP208" i="4" s="1"/>
  <c r="DJ88" i="11"/>
  <c r="DJ96" i="11" s="1"/>
  <c r="DI90" i="11"/>
  <c r="DM87" i="11"/>
  <c r="DJ119" i="11"/>
  <c r="DJ86" i="11"/>
  <c r="DJ94" i="11" s="1"/>
  <c r="DJ103" i="11"/>
  <c r="DJ85" i="11"/>
  <c r="DM85" i="11" s="1"/>
  <c r="DH65" i="2"/>
  <c r="DH66" i="2"/>
  <c r="DV359" i="11"/>
  <c r="DO359" i="11"/>
  <c r="DN398" i="11"/>
  <c r="DH385" i="11"/>
  <c r="DV205" i="11"/>
  <c r="DV204" i="11"/>
  <c r="DI66" i="2" l="1"/>
  <c r="DI65" i="2"/>
  <c r="DI62" i="2"/>
  <c r="DI61" i="2"/>
  <c r="DM86" i="11"/>
  <c r="DM88" i="11"/>
  <c r="DJ93" i="11"/>
  <c r="DJ98" i="11" s="1"/>
  <c r="DJ90" i="11"/>
  <c r="CY70" i="178"/>
  <c r="CY63" i="178"/>
  <c r="CW63" i="178" s="1"/>
  <c r="CY29" i="178"/>
  <c r="CZ73" i="178"/>
  <c r="CM71" i="220"/>
  <c r="DG55" i="11"/>
  <c r="DE55" i="11" s="1"/>
  <c r="DG54" i="11"/>
  <c r="DE54" i="11" s="1"/>
  <c r="DG53" i="11"/>
  <c r="DE53" i="11" s="1"/>
  <c r="DG52" i="11"/>
  <c r="DE52" i="11" s="1"/>
  <c r="DG51" i="11"/>
  <c r="DE51" i="11" s="1"/>
  <c r="DG50" i="11"/>
  <c r="DE50" i="11" s="1"/>
  <c r="DG10" i="11"/>
  <c r="DE10" i="11"/>
  <c r="DF85" i="242"/>
  <c r="DD85" i="242" s="1"/>
  <c r="DF59" i="242"/>
  <c r="DD59" i="242" s="1"/>
  <c r="DF57" i="242"/>
  <c r="DF55" i="242"/>
  <c r="DD55" i="242" s="1"/>
  <c r="DF50" i="242"/>
  <c r="DD50" i="242" s="1"/>
  <c r="DF48" i="242"/>
  <c r="DF40" i="242"/>
  <c r="DD40" i="242" s="1"/>
  <c r="DF37" i="242"/>
  <c r="DD37" i="242" s="1"/>
  <c r="DF36" i="242"/>
  <c r="DF35" i="242"/>
  <c r="DD35" i="242" s="1"/>
  <c r="DF34" i="242"/>
  <c r="DD34" i="242" s="1"/>
  <c r="DF30" i="242"/>
  <c r="DD30" i="242" s="1"/>
  <c r="DF29" i="242"/>
  <c r="DD29" i="242" s="1"/>
  <c r="DF27" i="242"/>
  <c r="DD27" i="242" s="1"/>
  <c r="DF26" i="242"/>
  <c r="DF54" i="242" s="1"/>
  <c r="DF11" i="242"/>
  <c r="DD11" i="242" s="1"/>
  <c r="DD47" i="242" s="1"/>
  <c r="DF10" i="242"/>
  <c r="DD10" i="242" s="1"/>
  <c r="DF7" i="242"/>
  <c r="DD7" i="242" s="1"/>
  <c r="DF5" i="242"/>
  <c r="DD5" i="242" s="1"/>
  <c r="DF2" i="242"/>
  <c r="DD2" i="242"/>
  <c r="DM130" i="4"/>
  <c r="DK130" i="4" s="1"/>
  <c r="DM129" i="4"/>
  <c r="DM128" i="4"/>
  <c r="DM127" i="4"/>
  <c r="DM123" i="4"/>
  <c r="DM117" i="4"/>
  <c r="CM18" i="220" s="1"/>
  <c r="DM116" i="4"/>
  <c r="CY14" i="178" s="1"/>
  <c r="DM115" i="4"/>
  <c r="DM97" i="4"/>
  <c r="DM93" i="4"/>
  <c r="DM71" i="4"/>
  <c r="DM95" i="4" s="1"/>
  <c r="DM59" i="4"/>
  <c r="DK59" i="4" s="1"/>
  <c r="DM53" i="4"/>
  <c r="CM15" i="220" s="1"/>
  <c r="DM52" i="4"/>
  <c r="CY11" i="178" s="1"/>
  <c r="DM51" i="4"/>
  <c r="DK51" i="4" s="1"/>
  <c r="DM38" i="4"/>
  <c r="DK38" i="4" s="1"/>
  <c r="DM37" i="4"/>
  <c r="DK37" i="4" s="1"/>
  <c r="DM36" i="4"/>
  <c r="DK36" i="4" s="1"/>
  <c r="DM35" i="4"/>
  <c r="DK35" i="4" s="1"/>
  <c r="DM30" i="4"/>
  <c r="DK30" i="4" s="1"/>
  <c r="DM28" i="4"/>
  <c r="CM9" i="220" s="1"/>
  <c r="CM75" i="220" s="1"/>
  <c r="DM27" i="4"/>
  <c r="DM44" i="4" s="1"/>
  <c r="DM26" i="4"/>
  <c r="DM43" i="4" s="1"/>
  <c r="DM12" i="4"/>
  <c r="DK12" i="4" s="1"/>
  <c r="DM6" i="4"/>
  <c r="CM4" i="220" s="1"/>
  <c r="DM5" i="4"/>
  <c r="CY4" i="178" s="1"/>
  <c r="DM4" i="4"/>
  <c r="DK4" i="4" s="1"/>
  <c r="DK185" i="4"/>
  <c r="DK182" i="4"/>
  <c r="DK181" i="4"/>
  <c r="DK180" i="4"/>
  <c r="DK93" i="4"/>
  <c r="DG266" i="243"/>
  <c r="DG265" i="243" s="1"/>
  <c r="CZ64" i="178"/>
  <c r="CZ62" i="178"/>
  <c r="CZ46" i="178"/>
  <c r="CZ38" i="178"/>
  <c r="CZ30" i="178"/>
  <c r="CZ21" i="178"/>
  <c r="CZ14" i="178"/>
  <c r="CZ11" i="178"/>
  <c r="CZ7" i="178"/>
  <c r="CZ56" i="178" s="1"/>
  <c r="CZ4" i="178"/>
  <c r="CZ18" i="178" s="1"/>
  <c r="CN72" i="220"/>
  <c r="CN69" i="220"/>
  <c r="CN38" i="220"/>
  <c r="CN25" i="220"/>
  <c r="CN18" i="220"/>
  <c r="CN15" i="220"/>
  <c r="CN9" i="220"/>
  <c r="CN75" i="220" s="1"/>
  <c r="CN4" i="220"/>
  <c r="DH71" i="11"/>
  <c r="DH45" i="11"/>
  <c r="DH42" i="11"/>
  <c r="DH15" i="11"/>
  <c r="DH16" i="11" s="1"/>
  <c r="DH11" i="11"/>
  <c r="DH77" i="11" s="1"/>
  <c r="DG33" i="242"/>
  <c r="DF33" i="242" s="1"/>
  <c r="DG24" i="242"/>
  <c r="DF24" i="242" s="1"/>
  <c r="DG28" i="242"/>
  <c r="DF28" i="242" s="1"/>
  <c r="DG25" i="242"/>
  <c r="DG23" i="242"/>
  <c r="DG6" i="242"/>
  <c r="DF6" i="242" s="1"/>
  <c r="DG9" i="242"/>
  <c r="DG8" i="242"/>
  <c r="DF8" i="242" s="1"/>
  <c r="DG84" i="242"/>
  <c r="DG83" i="242"/>
  <c r="DG81" i="242"/>
  <c r="DG80" i="242"/>
  <c r="DG54" i="242"/>
  <c r="DG47" i="242"/>
  <c r="DG20" i="242"/>
  <c r="DG46" i="242" s="1"/>
  <c r="DG4" i="242"/>
  <c r="DG273" i="243"/>
  <c r="DG268" i="243"/>
  <c r="DG259" i="243"/>
  <c r="DG255" i="243"/>
  <c r="DG251" i="243"/>
  <c r="DG245" i="243"/>
  <c r="DG241" i="243"/>
  <c r="DG240" i="243"/>
  <c r="DG234" i="243"/>
  <c r="DG212" i="243"/>
  <c r="DG211" i="243"/>
  <c r="DG196" i="243"/>
  <c r="DG197" i="243" s="1"/>
  <c r="DG174" i="243"/>
  <c r="DG173" i="243"/>
  <c r="DG170" i="243"/>
  <c r="DG164" i="243"/>
  <c r="DG161" i="243"/>
  <c r="DG158" i="243"/>
  <c r="DG152" i="243"/>
  <c r="DG98" i="243"/>
  <c r="DG53" i="243"/>
  <c r="DF53" i="243" s="1"/>
  <c r="DG37" i="243"/>
  <c r="DG45" i="243" s="1"/>
  <c r="DF45" i="243" s="1"/>
  <c r="DG35" i="243"/>
  <c r="DG49" i="243" s="1"/>
  <c r="DG19" i="243"/>
  <c r="DF19" i="243" s="1"/>
  <c r="DG11" i="243"/>
  <c r="DG24" i="243" s="1"/>
  <c r="DG9" i="243"/>
  <c r="DG55" i="2"/>
  <c r="DF55" i="2" s="1"/>
  <c r="DD55" i="2" s="1"/>
  <c r="DG17" i="2"/>
  <c r="DG16" i="2"/>
  <c r="DG14" i="2"/>
  <c r="DN39" i="4"/>
  <c r="DN40" i="4" s="1"/>
  <c r="DN205" i="4"/>
  <c r="DN199" i="4"/>
  <c r="DN198" i="4"/>
  <c r="DN197" i="4"/>
  <c r="DN196" i="4"/>
  <c r="DN195" i="4"/>
  <c r="DN194" i="4"/>
  <c r="DN193" i="4"/>
  <c r="DN211" i="4"/>
  <c r="DN155" i="4"/>
  <c r="DN137" i="4"/>
  <c r="DN142" i="4"/>
  <c r="DN141" i="4"/>
  <c r="DN131" i="4"/>
  <c r="DN135" i="4" s="1"/>
  <c r="DG89" i="243" s="1"/>
  <c r="DN122" i="4"/>
  <c r="DN124" i="4" s="1"/>
  <c r="DN95" i="4"/>
  <c r="DN110" i="4" s="1"/>
  <c r="DN93" i="4"/>
  <c r="DN64" i="4"/>
  <c r="DN88" i="4" s="1"/>
  <c r="DN103" i="4" s="1"/>
  <c r="DN63" i="4"/>
  <c r="DN87" i="4" s="1"/>
  <c r="DN58" i="4"/>
  <c r="DN60" i="4" s="1"/>
  <c r="DG22" i="2" s="1"/>
  <c r="DN45" i="4"/>
  <c r="DN44" i="4"/>
  <c r="DN43" i="4"/>
  <c r="DH56" i="11" s="1"/>
  <c r="DN29" i="4"/>
  <c r="DN31" i="4" s="1"/>
  <c r="DN18" i="4"/>
  <c r="DN17" i="4"/>
  <c r="DN16" i="4"/>
  <c r="DN11" i="4"/>
  <c r="DN13" i="4" s="1"/>
  <c r="DG154" i="243" s="1"/>
  <c r="DG115" i="243"/>
  <c r="DG104" i="243"/>
  <c r="DG103" i="243"/>
  <c r="DG96" i="243"/>
  <c r="DG85" i="243"/>
  <c r="DG77" i="243"/>
  <c r="DG76" i="243"/>
  <c r="DG65" i="243"/>
  <c r="DG72" i="243" s="1"/>
  <c r="DF55" i="243"/>
  <c r="DF54" i="243"/>
  <c r="DF52" i="243"/>
  <c r="DF51" i="243"/>
  <c r="DF44" i="243"/>
  <c r="DF43" i="243"/>
  <c r="DF42" i="243"/>
  <c r="DF41" i="243"/>
  <c r="DF40" i="243"/>
  <c r="DF174" i="243" s="1"/>
  <c r="DF39" i="243"/>
  <c r="DF38" i="243"/>
  <c r="DF84" i="242" s="1"/>
  <c r="DF33" i="243"/>
  <c r="DF32" i="243"/>
  <c r="DF31" i="243"/>
  <c r="DF30" i="243"/>
  <c r="DF173" i="243" s="1"/>
  <c r="DF29" i="243"/>
  <c r="DF170" i="243" s="1"/>
  <c r="DF28" i="243"/>
  <c r="DF83" i="242" s="1"/>
  <c r="DF27" i="243"/>
  <c r="DF20" i="243"/>
  <c r="DF18" i="243"/>
  <c r="DF17" i="243"/>
  <c r="DF16" i="243"/>
  <c r="DF15" i="243"/>
  <c r="DF14" i="243"/>
  <c r="DF13" i="243"/>
  <c r="DF8" i="243"/>
  <c r="DF164" i="243" s="1"/>
  <c r="DF7" i="243"/>
  <c r="DF80" i="242" s="1"/>
  <c r="DF6" i="243"/>
  <c r="DF81" i="242" s="1"/>
  <c r="DF5" i="243"/>
  <c r="DF4" i="243"/>
  <c r="DF161" i="243" s="1"/>
  <c r="DF3" i="243"/>
  <c r="DF158" i="243" s="1"/>
  <c r="DF73" i="2"/>
  <c r="DD73" i="2" s="1"/>
  <c r="DG72" i="2"/>
  <c r="DF72" i="2" s="1"/>
  <c r="DD72" i="2" s="1"/>
  <c r="DF70" i="2"/>
  <c r="DD70" i="2" s="1"/>
  <c r="DF69" i="2"/>
  <c r="DD69" i="2" s="1"/>
  <c r="DG50" i="2"/>
  <c r="DF44" i="2"/>
  <c r="DD44" i="2" s="1"/>
  <c r="DD4" i="242" s="1"/>
  <c r="DF40" i="2"/>
  <c r="DD40" i="2" s="1"/>
  <c r="DF35" i="2"/>
  <c r="DD35" i="2" s="1"/>
  <c r="DF34" i="2"/>
  <c r="DD34" i="2" s="1"/>
  <c r="DF32" i="2"/>
  <c r="DD32" i="2" s="1"/>
  <c r="DG31" i="2"/>
  <c r="DG36" i="2" s="1"/>
  <c r="DF30" i="2"/>
  <c r="DD30" i="2" s="1"/>
  <c r="DF29" i="2"/>
  <c r="DD29" i="2" s="1"/>
  <c r="DF26" i="2"/>
  <c r="DF50" i="2" s="1"/>
  <c r="DF25" i="2"/>
  <c r="DF9" i="2"/>
  <c r="DD9" i="2" s="1"/>
  <c r="DM90" i="11" l="1"/>
  <c r="DH69" i="243"/>
  <c r="DL69" i="243"/>
  <c r="DL72" i="243" s="1"/>
  <c r="DH95" i="243"/>
  <c r="DL95" i="243"/>
  <c r="DF9" i="243"/>
  <c r="DN9" i="243"/>
  <c r="DM9" i="243" s="1"/>
  <c r="DD26" i="242"/>
  <c r="DD54" i="242" s="1"/>
  <c r="DG84" i="243"/>
  <c r="DG83" i="243" s="1"/>
  <c r="DG91" i="243" s="1"/>
  <c r="DK52" i="4"/>
  <c r="CW11" i="178" s="1"/>
  <c r="DH43" i="11"/>
  <c r="DF38" i="242"/>
  <c r="DG31" i="242"/>
  <c r="DG82" i="242"/>
  <c r="DG86" i="242" s="1"/>
  <c r="DG213" i="243"/>
  <c r="DG56" i="243"/>
  <c r="DG58" i="243" s="1"/>
  <c r="DG59" i="243" s="1"/>
  <c r="CN16" i="220"/>
  <c r="DG38" i="242"/>
  <c r="CN19" i="220"/>
  <c r="DG252" i="243"/>
  <c r="DG253" i="243" s="1"/>
  <c r="DK5" i="4"/>
  <c r="CM16" i="220"/>
  <c r="DG165" i="243"/>
  <c r="DF175" i="243"/>
  <c r="CM19" i="220"/>
  <c r="DG78" i="243"/>
  <c r="DK6" i="4"/>
  <c r="CK4" i="220" s="1"/>
  <c r="DD31" i="2"/>
  <c r="DD36" i="2" s="1"/>
  <c r="DG159" i="243"/>
  <c r="DG153" i="243"/>
  <c r="DG171" i="243"/>
  <c r="DF82" i="242"/>
  <c r="DF86" i="242" s="1"/>
  <c r="CY12" i="178"/>
  <c r="CY15" i="178"/>
  <c r="DG162" i="243"/>
  <c r="DN200" i="4"/>
  <c r="CN14" i="220"/>
  <c r="CZ24" i="178"/>
  <c r="CZ27" i="178" s="1"/>
  <c r="CZ34" i="178" s="1"/>
  <c r="DG175" i="243"/>
  <c r="DG176" i="243" s="1"/>
  <c r="DG256" i="243"/>
  <c r="DM29" i="4"/>
  <c r="DM31" i="4" s="1"/>
  <c r="DM131" i="4"/>
  <c r="DF4" i="242"/>
  <c r="DF20" i="242"/>
  <c r="DF46" i="242" s="1"/>
  <c r="DM110" i="4"/>
  <c r="CY7" i="178"/>
  <c r="CY8" i="178" s="1"/>
  <c r="DG34" i="243"/>
  <c r="DG53" i="242"/>
  <c r="DG51" i="242" s="1"/>
  <c r="CZ8" i="178"/>
  <c r="CZ10" i="178"/>
  <c r="DK26" i="4"/>
  <c r="DE45" i="11" s="1"/>
  <c r="CW4" i="178"/>
  <c r="CY73" i="178"/>
  <c r="DG10" i="243"/>
  <c r="DH5" i="11"/>
  <c r="CN64" i="220"/>
  <c r="CZ15" i="178"/>
  <c r="DK28" i="4"/>
  <c r="CK9" i="220" s="1"/>
  <c r="CK75" i="220" s="1"/>
  <c r="DM11" i="4"/>
  <c r="DM13" i="4" s="1"/>
  <c r="DM122" i="4"/>
  <c r="DM124" i="4" s="1"/>
  <c r="DG42" i="11"/>
  <c r="CN10" i="220"/>
  <c r="DK186" i="4"/>
  <c r="DF152" i="243"/>
  <c r="DG45" i="11"/>
  <c r="DH63" i="11"/>
  <c r="DH40" i="11"/>
  <c r="DH356" i="11"/>
  <c r="DH357" i="11" s="1"/>
  <c r="CY24" i="178"/>
  <c r="CM10" i="220"/>
  <c r="CM14" i="220"/>
  <c r="DF47" i="242"/>
  <c r="DK27" i="4"/>
  <c r="DM58" i="4"/>
  <c r="DM60" i="4" s="1"/>
  <c r="DK53" i="4"/>
  <c r="DM45" i="4"/>
  <c r="DM46" i="4" s="1"/>
  <c r="DK71" i="4"/>
  <c r="DK95" i="4" s="1"/>
  <c r="DK110" i="4" s="1"/>
  <c r="CZ12" i="178"/>
  <c r="CN28" i="220"/>
  <c r="CN22" i="220"/>
  <c r="DH9" i="11"/>
  <c r="DH58" i="11"/>
  <c r="DH46" i="11"/>
  <c r="DG85" i="2" s="1"/>
  <c r="DG195" i="243"/>
  <c r="DF56" i="243"/>
  <c r="DF37" i="243"/>
  <c r="DF47" i="243" s="1"/>
  <c r="DG21" i="243"/>
  <c r="DF21" i="243" s="1"/>
  <c r="DF22" i="243" s="1"/>
  <c r="DG102" i="243"/>
  <c r="DG111" i="243" s="1"/>
  <c r="DF31" i="2"/>
  <c r="DF36" i="2" s="1"/>
  <c r="DN132" i="4"/>
  <c r="DN46" i="4"/>
  <c r="DN48" i="4" s="1"/>
  <c r="DG54" i="2" s="1"/>
  <c r="DN102" i="4"/>
  <c r="DG27" i="2"/>
  <c r="DG38" i="2" s="1"/>
  <c r="DG8" i="2"/>
  <c r="DG10" i="2" s="1"/>
  <c r="DG11" i="2" s="1"/>
  <c r="DN32" i="4"/>
  <c r="DG87" i="2" s="1"/>
  <c r="DN125" i="4"/>
  <c r="DG86" i="2" s="1"/>
  <c r="DN162" i="4"/>
  <c r="DG15" i="2"/>
  <c r="DG64" i="243"/>
  <c r="DH88" i="243" l="1"/>
  <c r="DL88" i="243"/>
  <c r="DL64" i="243"/>
  <c r="DL66" i="243" s="1"/>
  <c r="DL85" i="243" s="1"/>
  <c r="DL73" i="243"/>
  <c r="DH107" i="243"/>
  <c r="DL107" i="243"/>
  <c r="CW12" i="178"/>
  <c r="DK11" i="4"/>
  <c r="DK13" i="4" s="1"/>
  <c r="CW24" i="178"/>
  <c r="CZ40" i="178"/>
  <c r="CZ57" i="178"/>
  <c r="CZ42" i="178"/>
  <c r="DM125" i="4"/>
  <c r="DM32" i="4"/>
  <c r="CK10" i="220"/>
  <c r="DG274" i="243"/>
  <c r="DK29" i="4"/>
  <c r="DK31" i="4" s="1"/>
  <c r="DK32" i="4" s="1"/>
  <c r="CW7" i="178"/>
  <c r="CW10" i="178" s="1"/>
  <c r="DF34" i="243"/>
  <c r="DG178" i="243"/>
  <c r="DK45" i="4"/>
  <c r="CK15" i="220"/>
  <c r="DF189" i="243"/>
  <c r="DD20" i="242"/>
  <c r="DK58" i="4"/>
  <c r="DK60" i="4" s="1"/>
  <c r="DD22" i="2" s="1"/>
  <c r="DG52" i="242"/>
  <c r="DK43" i="4"/>
  <c r="DD8" i="2"/>
  <c r="DD10" i="2" s="1"/>
  <c r="DD11" i="2" s="1"/>
  <c r="DF10" i="243"/>
  <c r="DG167" i="243"/>
  <c r="DM132" i="4"/>
  <c r="CY10" i="178"/>
  <c r="CZ31" i="178"/>
  <c r="DF154" i="243"/>
  <c r="DH307" i="11"/>
  <c r="DK44" i="4"/>
  <c r="CZ53" i="178"/>
  <c r="CN44" i="220"/>
  <c r="CN40" i="220"/>
  <c r="CN45" i="220"/>
  <c r="CN43" i="220"/>
  <c r="CN31" i="220"/>
  <c r="CN34" i="220" s="1"/>
  <c r="CN73" i="220"/>
  <c r="CN46" i="220"/>
  <c r="CN42" i="220"/>
  <c r="CN41" i="220"/>
  <c r="CN76" i="220"/>
  <c r="CN65" i="220"/>
  <c r="DN143" i="4"/>
  <c r="DN149" i="4" s="1"/>
  <c r="DN65" i="4"/>
  <c r="DH59" i="11"/>
  <c r="DN161" i="4"/>
  <c r="DG41" i="2"/>
  <c r="DG42" i="2"/>
  <c r="DG46" i="2" s="1"/>
  <c r="DK46" i="4" l="1"/>
  <c r="DG3" i="242"/>
  <c r="DG21" i="242" s="1"/>
  <c r="DG56" i="2"/>
  <c r="CK16" i="220"/>
  <c r="CK14" i="220"/>
  <c r="DD46" i="242"/>
  <c r="CW8" i="178"/>
  <c r="CZ50" i="178"/>
  <c r="DF153" i="243"/>
  <c r="DF165" i="243"/>
  <c r="DF162" i="243"/>
  <c r="DF159" i="243"/>
  <c r="DF171" i="243"/>
  <c r="DF176" i="243"/>
  <c r="DG168" i="243"/>
  <c r="DG185" i="243"/>
  <c r="DG179" i="243"/>
  <c r="DG186" i="243"/>
  <c r="DF167" i="243"/>
  <c r="DF11" i="243"/>
  <c r="DF24" i="243" s="1"/>
  <c r="DF178" i="243"/>
  <c r="DF35" i="243"/>
  <c r="DF49" i="243" s="1"/>
  <c r="DF58" i="243" s="1"/>
  <c r="CN61" i="220"/>
  <c r="DN89" i="4"/>
  <c r="DN70" i="4"/>
  <c r="DN72" i="4" s="1"/>
  <c r="DN150" i="4"/>
  <c r="DG108" i="243"/>
  <c r="DG51" i="2"/>
  <c r="DG48" i="2"/>
  <c r="DG47" i="2"/>
  <c r="DG263" i="243" s="1"/>
  <c r="DG138" i="11"/>
  <c r="DE138" i="11" s="1"/>
  <c r="DG137" i="11"/>
  <c r="DE137" i="11" s="1"/>
  <c r="DH139" i="11"/>
  <c r="DN204" i="4" s="1"/>
  <c r="DG126" i="11"/>
  <c r="DE126" i="11" s="1"/>
  <c r="DG125" i="11"/>
  <c r="DE125" i="11" s="1"/>
  <c r="DG122" i="11"/>
  <c r="DE122" i="11" s="1"/>
  <c r="DG121" i="11"/>
  <c r="DE121" i="11" s="1"/>
  <c r="DH127" i="11"/>
  <c r="DN202" i="4" s="1"/>
  <c r="DH117" i="11"/>
  <c r="DG103" i="11"/>
  <c r="DE103" i="11" s="1"/>
  <c r="DG102" i="11"/>
  <c r="DE102" i="11" s="1"/>
  <c r="DH104" i="11"/>
  <c r="DN207" i="4" s="1"/>
  <c r="DG42" i="242" l="1"/>
  <c r="DG45" i="242"/>
  <c r="DG49" i="242" s="1"/>
  <c r="CZ51" i="178"/>
  <c r="CN58" i="220"/>
  <c r="DF179" i="243"/>
  <c r="DF186" i="243"/>
  <c r="DF59" i="243"/>
  <c r="DF168" i="243"/>
  <c r="DF185" i="243"/>
  <c r="DN104" i="4"/>
  <c r="DN109" i="4" s="1"/>
  <c r="DN111" i="4" s="1"/>
  <c r="DN94" i="4"/>
  <c r="DN96" i="4" s="1"/>
  <c r="DN98" i="4" s="1"/>
  <c r="DG57" i="2"/>
  <c r="DG61" i="2" s="1"/>
  <c r="DG59" i="2"/>
  <c r="C21" i="244"/>
  <c r="CN59" i="220" l="1"/>
  <c r="DG58" i="242"/>
  <c r="DG60" i="242" s="1"/>
  <c r="DG62" i="242" s="1"/>
  <c r="DG56" i="242"/>
  <c r="DG61" i="242" s="1"/>
  <c r="DG20" i="2"/>
  <c r="DG18" i="2" s="1"/>
  <c r="DG13" i="2" s="1"/>
  <c r="DG156" i="243" s="1"/>
  <c r="DN99" i="4"/>
  <c r="DG116" i="243"/>
  <c r="DG62" i="2"/>
  <c r="DG66" i="2"/>
  <c r="DG65" i="2"/>
  <c r="DG262" i="243" s="1"/>
  <c r="CV38" i="178"/>
  <c r="DC208" i="243"/>
  <c r="DC207" i="243"/>
  <c r="DC205" i="243"/>
  <c r="DC204" i="243"/>
  <c r="DC212" i="243"/>
  <c r="DC241" i="243"/>
  <c r="DC240" i="243"/>
  <c r="DC245" i="243"/>
  <c r="DC234" i="243"/>
  <c r="DC189" i="243"/>
  <c r="DC174" i="243"/>
  <c r="DC173" i="243"/>
  <c r="DC152" i="243"/>
  <c r="DC170" i="243"/>
  <c r="DC164" i="243"/>
  <c r="DC161" i="243"/>
  <c r="DC158" i="243"/>
  <c r="DC104" i="243"/>
  <c r="DJ186" i="4"/>
  <c r="CV46" i="178"/>
  <c r="CV11" i="178"/>
  <c r="CV7" i="178"/>
  <c r="CV4" i="178"/>
  <c r="CV24" i="178" s="1"/>
  <c r="CV40" i="178" s="1"/>
  <c r="CJ15" i="220"/>
  <c r="CJ9" i="220"/>
  <c r="CJ64" i="220" s="1"/>
  <c r="CJ4" i="220"/>
  <c r="DD45" i="11"/>
  <c r="DD15" i="11"/>
  <c r="DD16" i="11" s="1"/>
  <c r="DD11" i="11"/>
  <c r="DD10" i="11"/>
  <c r="DC72" i="2"/>
  <c r="DC47" i="242"/>
  <c r="DC36" i="242"/>
  <c r="DD36" i="242" s="1"/>
  <c r="DC33" i="242"/>
  <c r="DD33" i="242" s="1"/>
  <c r="DC28" i="242"/>
  <c r="DD28" i="242" s="1"/>
  <c r="DC25" i="242"/>
  <c r="DC23" i="242"/>
  <c r="DC8" i="242"/>
  <c r="DD8" i="242" s="1"/>
  <c r="DD38" i="242" l="1"/>
  <c r="DG123" i="243"/>
  <c r="CV42" i="178"/>
  <c r="CV8" i="178"/>
  <c r="CJ14" i="220"/>
  <c r="CJ75" i="220"/>
  <c r="CV12" i="178"/>
  <c r="DC175" i="243"/>
  <c r="CV56" i="178"/>
  <c r="CV57" i="178" s="1"/>
  <c r="CV27" i="178"/>
  <c r="CJ16" i="220"/>
  <c r="CJ28" i="220"/>
  <c r="CJ10" i="220"/>
  <c r="DC243" i="243"/>
  <c r="DC31" i="2"/>
  <c r="DJ47" i="4"/>
  <c r="DC17" i="2"/>
  <c r="DC16" i="2"/>
  <c r="DC14" i="2"/>
  <c r="DC35" i="243"/>
  <c r="DC34" i="243" s="1"/>
  <c r="DC178" i="243" s="1"/>
  <c r="DC11" i="243"/>
  <c r="DC53" i="243"/>
  <c r="DC37" i="243"/>
  <c r="DC252" i="243" s="1"/>
  <c r="DC19" i="243"/>
  <c r="DC9" i="243"/>
  <c r="DC10" i="243" l="1"/>
  <c r="DC167" i="243" s="1"/>
  <c r="CJ76" i="220"/>
  <c r="DC45" i="243"/>
  <c r="DC186" i="243"/>
  <c r="DC185" i="243"/>
  <c r="CJ44" i="220"/>
  <c r="CJ43" i="220"/>
  <c r="CJ42" i="220"/>
  <c r="CJ41" i="220"/>
  <c r="CJ40" i="220"/>
  <c r="CJ45" i="220"/>
  <c r="CJ31" i="220"/>
  <c r="CJ46" i="220"/>
  <c r="CV34" i="178"/>
  <c r="CJ65" i="220"/>
  <c r="CJ34" i="220" l="1"/>
  <c r="DD139" i="11"/>
  <c r="DD89" i="11" s="1"/>
  <c r="DD97" i="11" s="1"/>
  <c r="DD127" i="11"/>
  <c r="DD88" i="11" s="1"/>
  <c r="DD96" i="11" s="1"/>
  <c r="DD117" i="11"/>
  <c r="DD86" i="11" s="1"/>
  <c r="DD94" i="11" s="1"/>
  <c r="DD104" i="11"/>
  <c r="DD85" i="11" s="1"/>
  <c r="DD93" i="11" s="1"/>
  <c r="CZ261" i="243" l="1"/>
  <c r="DG155" i="4"/>
  <c r="DG137" i="4"/>
  <c r="DG260" i="243" l="1"/>
  <c r="DG264" i="243"/>
  <c r="DE208" i="243"/>
  <c r="DE207" i="243"/>
  <c r="DE205" i="243"/>
  <c r="DE204" i="243"/>
  <c r="CZ98" i="243"/>
  <c r="DG95" i="243" s="1"/>
  <c r="DG97" i="243" s="1"/>
  <c r="DE53" i="243"/>
  <c r="DA37" i="243"/>
  <c r="DE19" i="243"/>
  <c r="DE9" i="243"/>
  <c r="DL39" i="4"/>
  <c r="DM39" i="4" s="1"/>
  <c r="DE25" i="242"/>
  <c r="DF25" i="242" s="1"/>
  <c r="DD25" i="242" s="1"/>
  <c r="DE23" i="242"/>
  <c r="DF23" i="242" s="1"/>
  <c r="DE17" i="2"/>
  <c r="DF17" i="2" s="1"/>
  <c r="DD17" i="2" s="1"/>
  <c r="DE16" i="2"/>
  <c r="DF16" i="2" s="1"/>
  <c r="DD16" i="2" s="1"/>
  <c r="DE14" i="2"/>
  <c r="DF14" i="2" s="1"/>
  <c r="DD14" i="2" s="1"/>
  <c r="DF31" i="242" l="1"/>
  <c r="DF53" i="242"/>
  <c r="DD23" i="242"/>
  <c r="DM40" i="4"/>
  <c r="DB85" i="242"/>
  <c r="DE84" i="242"/>
  <c r="DE83" i="242"/>
  <c r="DE81" i="242"/>
  <c r="DE80" i="242"/>
  <c r="DB59" i="242"/>
  <c r="DB57" i="242"/>
  <c r="DB55" i="242"/>
  <c r="DB50" i="242"/>
  <c r="DB48" i="242"/>
  <c r="DE54" i="242"/>
  <c r="DE53" i="242"/>
  <c r="DE47" i="242"/>
  <c r="DE46" i="242"/>
  <c r="DB40" i="242"/>
  <c r="DB37" i="242"/>
  <c r="DB36" i="242"/>
  <c r="DB35" i="242"/>
  <c r="DB34" i="242"/>
  <c r="DB33" i="242"/>
  <c r="DB30" i="242"/>
  <c r="DB29" i="242"/>
  <c r="DB28" i="242"/>
  <c r="DB27" i="242"/>
  <c r="DB26" i="242"/>
  <c r="DB54" i="242" s="1"/>
  <c r="DB24" i="242"/>
  <c r="DC24" i="242" s="1"/>
  <c r="DD24" i="242" s="1"/>
  <c r="DB20" i="242"/>
  <c r="DB46" i="242" s="1"/>
  <c r="DB11" i="242"/>
  <c r="DB47" i="242" s="1"/>
  <c r="DB10" i="242"/>
  <c r="DB8" i="242"/>
  <c r="DB7" i="242"/>
  <c r="DB6" i="242"/>
  <c r="DC6" i="242" s="1"/>
  <c r="DD6" i="242" s="1"/>
  <c r="DB5" i="242"/>
  <c r="DE38" i="242"/>
  <c r="DE31" i="242"/>
  <c r="DE9" i="242"/>
  <c r="DF9" i="242" s="1"/>
  <c r="DE4" i="242"/>
  <c r="DE273" i="243"/>
  <c r="DE255" i="243"/>
  <c r="DE251" i="243"/>
  <c r="DE245" i="243"/>
  <c r="DE241" i="243"/>
  <c r="DE240" i="243"/>
  <c r="DB210" i="243"/>
  <c r="DB209" i="243"/>
  <c r="DB208" i="243"/>
  <c r="DB207" i="243"/>
  <c r="DB206" i="243"/>
  <c r="DB205" i="243"/>
  <c r="DB204" i="243"/>
  <c r="DE234" i="243"/>
  <c r="DE212" i="243"/>
  <c r="DE211" i="243"/>
  <c r="DE174" i="243"/>
  <c r="DE173" i="243"/>
  <c r="DE170" i="243"/>
  <c r="DE164" i="243"/>
  <c r="DE161" i="243"/>
  <c r="DE158" i="243"/>
  <c r="DE152" i="243"/>
  <c r="DE104" i="243"/>
  <c r="DB55" i="243"/>
  <c r="DB54" i="243"/>
  <c r="DB53" i="243"/>
  <c r="DB52" i="243"/>
  <c r="DB51" i="243"/>
  <c r="DB44" i="243"/>
  <c r="DB43" i="243"/>
  <c r="DB42" i="243"/>
  <c r="DB41" i="243"/>
  <c r="DB212" i="243" s="1"/>
  <c r="DB40" i="243"/>
  <c r="DB174" i="243" s="1"/>
  <c r="DB39" i="243"/>
  <c r="DB251" i="243" s="1"/>
  <c r="DB38" i="243"/>
  <c r="DB84" i="242" s="1"/>
  <c r="DB33" i="243"/>
  <c r="DB32" i="243"/>
  <c r="DB31" i="243"/>
  <c r="DB30" i="243"/>
  <c r="DB173" i="243" s="1"/>
  <c r="DB29" i="243"/>
  <c r="DB170" i="243" s="1"/>
  <c r="DB28" i="243"/>
  <c r="DB83" i="242" s="1"/>
  <c r="DB27" i="243"/>
  <c r="DB255" i="243" s="1"/>
  <c r="DB20" i="243"/>
  <c r="DB19" i="243"/>
  <c r="DB18" i="243"/>
  <c r="DB17" i="243"/>
  <c r="DB16" i="243"/>
  <c r="DB15" i="243"/>
  <c r="DB14" i="243"/>
  <c r="DB13" i="243"/>
  <c r="DB9" i="243"/>
  <c r="DB8" i="243"/>
  <c r="DB164" i="243" s="1"/>
  <c r="DB7" i="243"/>
  <c r="DB80" i="242" s="1"/>
  <c r="DB6" i="243"/>
  <c r="DB5" i="243"/>
  <c r="DB4" i="243"/>
  <c r="DB161" i="243" s="1"/>
  <c r="DB3" i="243"/>
  <c r="DB158" i="243" s="1"/>
  <c r="DE37" i="243"/>
  <c r="DE252" i="243" s="1"/>
  <c r="DE253" i="243" s="1"/>
  <c r="DE35" i="243"/>
  <c r="DE34" i="243" s="1"/>
  <c r="DE11" i="243"/>
  <c r="DE24" i="243" s="1"/>
  <c r="DE56" i="243"/>
  <c r="DE21" i="243"/>
  <c r="DB21" i="243" s="1"/>
  <c r="DB73" i="2"/>
  <c r="DB70" i="2"/>
  <c r="DB69" i="2"/>
  <c r="DB55" i="2"/>
  <c r="DB44" i="2"/>
  <c r="DB4" i="242" s="1"/>
  <c r="DB40" i="2"/>
  <c r="DB35" i="2"/>
  <c r="DB34" i="2"/>
  <c r="DB32" i="2"/>
  <c r="DB30" i="2"/>
  <c r="DB245" i="243" s="1"/>
  <c r="DB29" i="2"/>
  <c r="DB234" i="243" s="1"/>
  <c r="DB26" i="2"/>
  <c r="DB50" i="2" s="1"/>
  <c r="DB25" i="2"/>
  <c r="DB9" i="2"/>
  <c r="DE72" i="2"/>
  <c r="DB72" i="2" s="1"/>
  <c r="DE50" i="2"/>
  <c r="DE31" i="2"/>
  <c r="DE36" i="2" s="1"/>
  <c r="CU70" i="178"/>
  <c r="CV70" i="178" s="1"/>
  <c r="CW70" i="178" s="1"/>
  <c r="CU63" i="178"/>
  <c r="CX73" i="178"/>
  <c r="CU29" i="178"/>
  <c r="CX46" i="178"/>
  <c r="CX38" i="178"/>
  <c r="CX30" i="178"/>
  <c r="CX14" i="178"/>
  <c r="CX11" i="178"/>
  <c r="CX7" i="178"/>
  <c r="CX56" i="178" s="1"/>
  <c r="CX4" i="178"/>
  <c r="CX24" i="178" s="1"/>
  <c r="CX40" i="178" s="1"/>
  <c r="CY40" i="178" s="1"/>
  <c r="CI81" i="220"/>
  <c r="CJ81" i="220" s="1"/>
  <c r="CK81" i="220" s="1"/>
  <c r="CI71" i="220"/>
  <c r="CL72" i="220"/>
  <c r="CL38" i="220"/>
  <c r="CL18" i="220"/>
  <c r="CL15" i="220"/>
  <c r="CL9" i="220"/>
  <c r="CL4" i="220"/>
  <c r="DC263" i="11"/>
  <c r="DC262" i="11"/>
  <c r="DC261" i="11"/>
  <c r="DC245" i="11"/>
  <c r="DC359" i="11"/>
  <c r="DC358" i="11"/>
  <c r="DC386" i="11"/>
  <c r="DD386" i="11" s="1"/>
  <c r="DD385" i="11" s="1"/>
  <c r="DF398" i="11"/>
  <c r="DC399" i="11"/>
  <c r="DF385" i="11"/>
  <c r="DF387" i="11" s="1"/>
  <c r="DF269" i="11"/>
  <c r="DF263" i="11"/>
  <c r="DF262" i="11"/>
  <c r="DF261" i="11"/>
  <c r="DF245" i="11"/>
  <c r="DC198" i="11"/>
  <c r="DF198" i="11"/>
  <c r="DF197" i="11"/>
  <c r="DF196" i="11"/>
  <c r="DF187" i="11"/>
  <c r="DF186" i="11"/>
  <c r="DF185" i="11"/>
  <c r="DF184" i="11"/>
  <c r="DF172" i="11"/>
  <c r="DC55" i="11"/>
  <c r="DC54" i="11"/>
  <c r="DC53" i="11"/>
  <c r="DC52" i="11"/>
  <c r="DC51" i="11"/>
  <c r="DC50" i="11"/>
  <c r="DF45" i="11"/>
  <c r="DM47" i="11" s="1"/>
  <c r="DF42" i="11"/>
  <c r="DC10" i="11"/>
  <c r="DF15" i="11"/>
  <c r="DF16" i="11" s="1"/>
  <c r="DF11" i="11"/>
  <c r="DM12" i="11" s="1"/>
  <c r="DF10" i="11"/>
  <c r="DI185" i="4"/>
  <c r="DI182" i="4"/>
  <c r="DI181" i="4"/>
  <c r="DI180" i="4"/>
  <c r="DL186" i="4"/>
  <c r="DI130" i="4"/>
  <c r="DI129" i="4"/>
  <c r="DJ129" i="4" s="1"/>
  <c r="DK129" i="4" s="1"/>
  <c r="DI128" i="4"/>
  <c r="DJ128" i="4" s="1"/>
  <c r="DK128" i="4" s="1"/>
  <c r="DI127" i="4"/>
  <c r="DJ127" i="4" s="1"/>
  <c r="DK127" i="4" s="1"/>
  <c r="DL131" i="4"/>
  <c r="DI123" i="4"/>
  <c r="DJ123" i="4" s="1"/>
  <c r="DK123" i="4" s="1"/>
  <c r="DI117" i="4"/>
  <c r="DJ117" i="4" s="1"/>
  <c r="DI116" i="4"/>
  <c r="DI115" i="4"/>
  <c r="DL122" i="4"/>
  <c r="DL124" i="4" s="1"/>
  <c r="DI97" i="4"/>
  <c r="DI93" i="4"/>
  <c r="DL95" i="4"/>
  <c r="DL110" i="4" s="1"/>
  <c r="DL93" i="4"/>
  <c r="DI59" i="4"/>
  <c r="DI53" i="4"/>
  <c r="DI52" i="4"/>
  <c r="DI51" i="4"/>
  <c r="DL58" i="4"/>
  <c r="DL60" i="4" s="1"/>
  <c r="DE22" i="2" s="1"/>
  <c r="DL45" i="4"/>
  <c r="DL44" i="4"/>
  <c r="DL43" i="4"/>
  <c r="DI38" i="4"/>
  <c r="DI37" i="4"/>
  <c r="DI36" i="4"/>
  <c r="DI35" i="4"/>
  <c r="DL40" i="4"/>
  <c r="DI30" i="4"/>
  <c r="DI28" i="4"/>
  <c r="DI27" i="4"/>
  <c r="DI26" i="4"/>
  <c r="DL29" i="4"/>
  <c r="DL31" i="4" s="1"/>
  <c r="DL18" i="4"/>
  <c r="DL17" i="4"/>
  <c r="DL16" i="4"/>
  <c r="DI12" i="4"/>
  <c r="DI6" i="4"/>
  <c r="DI5" i="4"/>
  <c r="DI4" i="4"/>
  <c r="DL11" i="4"/>
  <c r="DL13" i="4" s="1"/>
  <c r="CS261" i="243"/>
  <c r="CJ71" i="220" l="1"/>
  <c r="CK71" i="220" s="1"/>
  <c r="CP72" i="220"/>
  <c r="CS7" i="220"/>
  <c r="CS5" i="220"/>
  <c r="DP17" i="4"/>
  <c r="DP18" i="4"/>
  <c r="DE154" i="243"/>
  <c r="DE162" i="243" s="1"/>
  <c r="DS23" i="4"/>
  <c r="CV29" i="178"/>
  <c r="CW29" i="178" s="1"/>
  <c r="CW73" i="178" s="1"/>
  <c r="DB30" i="178"/>
  <c r="DP16" i="4"/>
  <c r="DD31" i="242"/>
  <c r="DD53" i="242"/>
  <c r="CW40" i="178"/>
  <c r="CY45" i="178"/>
  <c r="DF52" i="242"/>
  <c r="DF51" i="242"/>
  <c r="CJ18" i="220"/>
  <c r="CJ19" i="220" s="1"/>
  <c r="DK117" i="4"/>
  <c r="CK18" i="220" s="1"/>
  <c r="CK19" i="220" s="1"/>
  <c r="DK131" i="4"/>
  <c r="DB152" i="243"/>
  <c r="DC45" i="11"/>
  <c r="DJ47" i="11" s="1"/>
  <c r="CU4" i="178"/>
  <c r="CU7" i="178"/>
  <c r="CI4" i="220"/>
  <c r="DE82" i="242"/>
  <c r="DE86" i="242" s="1"/>
  <c r="CX10" i="178"/>
  <c r="DJ131" i="4"/>
  <c r="DB273" i="243"/>
  <c r="DC42" i="11"/>
  <c r="DJ115" i="4"/>
  <c r="DK115" i="4" s="1"/>
  <c r="DE49" i="243"/>
  <c r="DE58" i="243" s="1"/>
  <c r="CJ73" i="220"/>
  <c r="CU14" i="178"/>
  <c r="DJ116" i="4"/>
  <c r="DB81" i="242"/>
  <c r="DB82" i="242" s="1"/>
  <c r="DB86" i="242" s="1"/>
  <c r="DE178" i="243"/>
  <c r="DE186" i="243" s="1"/>
  <c r="DB34" i="243"/>
  <c r="DB178" i="243" s="1"/>
  <c r="DB186" i="243" s="1"/>
  <c r="DB240" i="243"/>
  <c r="DB56" i="243"/>
  <c r="DI186" i="4"/>
  <c r="DF56" i="11"/>
  <c r="DL46" i="4"/>
  <c r="DB175" i="243"/>
  <c r="CL10" i="220"/>
  <c r="DF400" i="11"/>
  <c r="DB37" i="243"/>
  <c r="DE45" i="243"/>
  <c r="DB45" i="243" s="1"/>
  <c r="DE213" i="243"/>
  <c r="DE243" i="243"/>
  <c r="DB241" i="243"/>
  <c r="DE256" i="243"/>
  <c r="DE175" i="243"/>
  <c r="DB22" i="243"/>
  <c r="DE52" i="242"/>
  <c r="CL16" i="220"/>
  <c r="DF43" i="11"/>
  <c r="CL19" i="220"/>
  <c r="DI43" i="4"/>
  <c r="CU73" i="178"/>
  <c r="DC264" i="11"/>
  <c r="DE51" i="242"/>
  <c r="DB31" i="2"/>
  <c r="DB36" i="2" s="1"/>
  <c r="DE27" i="2"/>
  <c r="DE38" i="2" s="1"/>
  <c r="CL64" i="220"/>
  <c r="DI29" i="4"/>
  <c r="DI31" i="4" s="1"/>
  <c r="DI44" i="4"/>
  <c r="DF46" i="11"/>
  <c r="CL14" i="220"/>
  <c r="CL28" i="220"/>
  <c r="CL75" i="220"/>
  <c r="CX8" i="178"/>
  <c r="DE8" i="2"/>
  <c r="DE10" i="2" s="1"/>
  <c r="DE11" i="2" s="1"/>
  <c r="CX57" i="178"/>
  <c r="DI11" i="4"/>
  <c r="DI13" i="4" s="1"/>
  <c r="DL32" i="4"/>
  <c r="DI45" i="4"/>
  <c r="DL132" i="4"/>
  <c r="DC11" i="11"/>
  <c r="DJ12" i="11" s="1"/>
  <c r="DF356" i="11"/>
  <c r="DL125" i="4"/>
  <c r="DI122" i="4"/>
  <c r="DI124" i="4" s="1"/>
  <c r="DI131" i="4"/>
  <c r="CX15" i="178"/>
  <c r="CU11" i="178"/>
  <c r="DB38" i="242"/>
  <c r="DB211" i="243"/>
  <c r="DB213" i="243" s="1"/>
  <c r="DE10" i="243"/>
  <c r="CX42" i="178"/>
  <c r="CY42" i="178" s="1"/>
  <c r="CX27" i="178"/>
  <c r="CY27" i="178" s="1"/>
  <c r="CX12" i="178"/>
  <c r="DF264" i="11"/>
  <c r="DF9" i="11"/>
  <c r="DG9" i="11" s="1"/>
  <c r="DF5" i="11"/>
  <c r="DG5" i="11" s="1"/>
  <c r="DI58" i="4"/>
  <c r="DI60" i="4" s="1"/>
  <c r="DB22" i="2" s="1"/>
  <c r="DD123" i="11"/>
  <c r="DD87" i="11" s="1"/>
  <c r="DE159" i="243" l="1"/>
  <c r="CV31" i="178"/>
  <c r="DE153" i="243"/>
  <c r="DE171" i="243"/>
  <c r="CV73" i="178"/>
  <c r="DE165" i="243"/>
  <c r="CL42" i="220"/>
  <c r="CM42" i="220" s="1"/>
  <c r="CK42" i="220" s="1"/>
  <c r="CS29" i="220"/>
  <c r="CI28" i="220"/>
  <c r="CP29" i="220" s="1"/>
  <c r="CP5" i="220"/>
  <c r="CP7" i="220"/>
  <c r="DP23" i="4"/>
  <c r="DE176" i="243"/>
  <c r="CU24" i="178"/>
  <c r="DB25" i="178" s="1"/>
  <c r="DB5" i="178"/>
  <c r="DF409" i="11"/>
  <c r="DC46" i="11"/>
  <c r="CU15" i="178"/>
  <c r="CU8" i="178"/>
  <c r="CW27" i="178"/>
  <c r="CY31" i="178"/>
  <c r="CY37" i="178"/>
  <c r="DD52" i="242"/>
  <c r="DD51" i="242"/>
  <c r="CW42" i="178"/>
  <c r="CY46" i="178"/>
  <c r="DE42" i="11"/>
  <c r="CU10" i="178"/>
  <c r="CV14" i="178"/>
  <c r="CV15" i="178" s="1"/>
  <c r="DK116" i="4"/>
  <c r="CW14" i="178" s="1"/>
  <c r="CW15" i="178" s="1"/>
  <c r="CW45" i="178"/>
  <c r="DF58" i="11"/>
  <c r="DF59" i="11" s="1"/>
  <c r="DG56" i="11"/>
  <c r="DG11" i="11"/>
  <c r="DG15" i="11" s="1"/>
  <c r="DI46" i="4"/>
  <c r="DD42" i="11"/>
  <c r="DD356" i="11" s="1"/>
  <c r="DD357" i="11" s="1"/>
  <c r="DJ122" i="4"/>
  <c r="DJ124" i="4" s="1"/>
  <c r="DJ132" i="4" s="1"/>
  <c r="DB35" i="243"/>
  <c r="DD95" i="11"/>
  <c r="DD98" i="11" s="1"/>
  <c r="DD90" i="11"/>
  <c r="CU12" i="178"/>
  <c r="DI132" i="4"/>
  <c r="DE179" i="243"/>
  <c r="DB243" i="243"/>
  <c r="DC246" i="243" s="1"/>
  <c r="DI32" i="4"/>
  <c r="DB47" i="243"/>
  <c r="DB252" i="243"/>
  <c r="DB253" i="243" s="1"/>
  <c r="DB256" i="243"/>
  <c r="DB10" i="243"/>
  <c r="DE167" i="243"/>
  <c r="CL45" i="220"/>
  <c r="CM45" i="220" s="1"/>
  <c r="CL41" i="220"/>
  <c r="CM41" i="220" s="1"/>
  <c r="DI125" i="4"/>
  <c r="DE274" i="243"/>
  <c r="CL76" i="220"/>
  <c r="DF357" i="11"/>
  <c r="DB154" i="243"/>
  <c r="DB8" i="2"/>
  <c r="CL46" i="220"/>
  <c r="CM46" i="220" s="1"/>
  <c r="CL73" i="220"/>
  <c r="CL40" i="220"/>
  <c r="CM40" i="220" s="1"/>
  <c r="CL44" i="220"/>
  <c r="CM44" i="220" s="1"/>
  <c r="CL31" i="220"/>
  <c r="CL43" i="220"/>
  <c r="CM43" i="220" s="1"/>
  <c r="CL65" i="220"/>
  <c r="DF391" i="11"/>
  <c r="DB27" i="2"/>
  <c r="DB38" i="2" s="1"/>
  <c r="DF307" i="11"/>
  <c r="DC43" i="11"/>
  <c r="DE41" i="2"/>
  <c r="DE42" i="2"/>
  <c r="DE46" i="2" s="1"/>
  <c r="CX34" i="178"/>
  <c r="CY34" i="178" s="1"/>
  <c r="CX31" i="178"/>
  <c r="DC141" i="11"/>
  <c r="DC269" i="11" s="1"/>
  <c r="DC138" i="11"/>
  <c r="DC137" i="11"/>
  <c r="DF127" i="11"/>
  <c r="DG127" i="11" s="1"/>
  <c r="DF123" i="11"/>
  <c r="DF117" i="11"/>
  <c r="DC102" i="11"/>
  <c r="DF104" i="11"/>
  <c r="DG104" i="11" s="1"/>
  <c r="DE104" i="11" s="1"/>
  <c r="DE85" i="11" s="1"/>
  <c r="CI73" i="220" l="1"/>
  <c r="CM31" i="220"/>
  <c r="CS32" i="220"/>
  <c r="DK122" i="4"/>
  <c r="DK124" i="4" s="1"/>
  <c r="DK132" i="4" s="1"/>
  <c r="CK40" i="220"/>
  <c r="CK41" i="220"/>
  <c r="CK46" i="220"/>
  <c r="CW46" i="178"/>
  <c r="CK45" i="220"/>
  <c r="CW34" i="178"/>
  <c r="CY38" i="178"/>
  <c r="CK43" i="220"/>
  <c r="CK31" i="220"/>
  <c r="CK44" i="220"/>
  <c r="CW31" i="178"/>
  <c r="CW37" i="178"/>
  <c r="DG14" i="11"/>
  <c r="DG16" i="11" s="1"/>
  <c r="DG43" i="11"/>
  <c r="DG46" i="11"/>
  <c r="DG58" i="11"/>
  <c r="DF119" i="11"/>
  <c r="DG117" i="11"/>
  <c r="DE117" i="11" s="1"/>
  <c r="DE86" i="11" s="1"/>
  <c r="DB49" i="243"/>
  <c r="DB58" i="243" s="1"/>
  <c r="DB167" i="243"/>
  <c r="DB185" i="243" s="1"/>
  <c r="DB11" i="243"/>
  <c r="DB24" i="243" s="1"/>
  <c r="DE185" i="243"/>
  <c r="DE168" i="243"/>
  <c r="CL34" i="220"/>
  <c r="CX53" i="178"/>
  <c r="CY53" i="178" s="1"/>
  <c r="DF313" i="11"/>
  <c r="DF353" i="11"/>
  <c r="DB179" i="243"/>
  <c r="DB162" i="243"/>
  <c r="DB153" i="243"/>
  <c r="DB159" i="243"/>
  <c r="DB165" i="243"/>
  <c r="DB171" i="243"/>
  <c r="DB176" i="243"/>
  <c r="DB42" i="2"/>
  <c r="DB46" i="2" s="1"/>
  <c r="DB41" i="2"/>
  <c r="DE3" i="242"/>
  <c r="DE21" i="242" s="1"/>
  <c r="DB10" i="2"/>
  <c r="DB11" i="2" s="1"/>
  <c r="DB274" i="243"/>
  <c r="DE48" i="2"/>
  <c r="DE47" i="2"/>
  <c r="DE51" i="2"/>
  <c r="DD15" i="2" l="1"/>
  <c r="CM34" i="220"/>
  <c r="CM28" i="220" s="1"/>
  <c r="CM50" i="220" s="1"/>
  <c r="CS35" i="220"/>
  <c r="DK125" i="4"/>
  <c r="CM54" i="220"/>
  <c r="CM37" i="220"/>
  <c r="CM38" i="220" s="1"/>
  <c r="CM76" i="220"/>
  <c r="CM73" i="220"/>
  <c r="CW38" i="178"/>
  <c r="CY54" i="178"/>
  <c r="CM51" i="220"/>
  <c r="CM53" i="220"/>
  <c r="CM48" i="220"/>
  <c r="CK34" i="220"/>
  <c r="DG59" i="11"/>
  <c r="DB59" i="243"/>
  <c r="DB168" i="243"/>
  <c r="DE42" i="242"/>
  <c r="DE45" i="242"/>
  <c r="DE49" i="242" s="1"/>
  <c r="CL61" i="220"/>
  <c r="CM61" i="220" s="1"/>
  <c r="DB3" i="242"/>
  <c r="DB47" i="2"/>
  <c r="DB51" i="2"/>
  <c r="DB48" i="2"/>
  <c r="CX50" i="178"/>
  <c r="CY50" i="178" s="1"/>
  <c r="CY56" i="178" s="1"/>
  <c r="CY57" i="178" s="1"/>
  <c r="DU36" i="242"/>
  <c r="EB36" i="242" s="1"/>
  <c r="EI36" i="242" s="1"/>
  <c r="EP36" i="242" s="1"/>
  <c r="CM49" i="220" l="1"/>
  <c r="CM52" i="220"/>
  <c r="CM62" i="220"/>
  <c r="CY51" i="178"/>
  <c r="CK28" i="220"/>
  <c r="CX51" i="178"/>
  <c r="CL58" i="220"/>
  <c r="CM58" i="220" s="1"/>
  <c r="DE58" i="242"/>
  <c r="DE60" i="242" s="1"/>
  <c r="DE56" i="242"/>
  <c r="DE61" i="242" s="1"/>
  <c r="DI137" i="4"/>
  <c r="DA104" i="243"/>
  <c r="DA115" i="243"/>
  <c r="DA84" i="242"/>
  <c r="DA83" i="242"/>
  <c r="DA81" i="242"/>
  <c r="DA80" i="242"/>
  <c r="DA25" i="242"/>
  <c r="DB25" i="242" s="1"/>
  <c r="DA23" i="242"/>
  <c r="DA9" i="242"/>
  <c r="DA54" i="242"/>
  <c r="DA47" i="242"/>
  <c r="DA46" i="242"/>
  <c r="DA38" i="242"/>
  <c r="DA4" i="242"/>
  <c r="CZ85" i="243"/>
  <c r="DA273" i="243"/>
  <c r="DA255" i="243"/>
  <c r="DA251" i="243"/>
  <c r="DA245" i="243"/>
  <c r="DA241" i="243"/>
  <c r="DA240" i="243"/>
  <c r="DA208" i="243"/>
  <c r="DA207" i="243"/>
  <c r="DA205" i="243"/>
  <c r="DA204" i="243"/>
  <c r="DA234" i="243"/>
  <c r="DA212" i="243"/>
  <c r="DA174" i="243"/>
  <c r="DA173" i="243"/>
  <c r="DA170" i="243"/>
  <c r="DA164" i="243"/>
  <c r="DA161" i="243"/>
  <c r="DA158" i="243"/>
  <c r="DA152" i="243"/>
  <c r="DA53" i="243"/>
  <c r="DA56" i="243" s="1"/>
  <c r="DA45" i="243"/>
  <c r="DA35" i="243"/>
  <c r="DA34" i="243" s="1"/>
  <c r="DA178" i="243" s="1"/>
  <c r="DA19" i="243"/>
  <c r="DA21" i="243" s="1"/>
  <c r="DA11" i="243"/>
  <c r="DA24" i="243" s="1"/>
  <c r="DA9" i="243"/>
  <c r="DA72" i="2"/>
  <c r="DA17" i="2"/>
  <c r="DB17" i="2" s="1"/>
  <c r="DA16" i="2"/>
  <c r="DB16" i="2" s="1"/>
  <c r="DA14" i="2"/>
  <c r="DB14" i="2" s="1"/>
  <c r="DA50" i="2"/>
  <c r="DA31" i="2"/>
  <c r="DA36" i="2" s="1"/>
  <c r="CH72" i="220"/>
  <c r="CH38" i="220"/>
  <c r="CH18" i="220"/>
  <c r="CI18" i="220" s="1"/>
  <c r="CI19" i="220" s="1"/>
  <c r="CH15" i="220"/>
  <c r="CH9" i="220"/>
  <c r="CI9" i="220" s="1"/>
  <c r="CH4" i="220"/>
  <c r="CT73" i="178"/>
  <c r="CO5" i="220" l="1"/>
  <c r="CO7" i="220"/>
  <c r="CK76" i="220"/>
  <c r="CK73" i="220"/>
  <c r="CK50" i="220"/>
  <c r="CK52" i="220"/>
  <c r="CK53" i="220"/>
  <c r="CK48" i="220"/>
  <c r="CK37" i="220"/>
  <c r="CK38" i="220" s="1"/>
  <c r="CK54" i="220"/>
  <c r="CK49" i="220"/>
  <c r="CK51" i="220"/>
  <c r="CM59" i="220"/>
  <c r="CM64" i="220"/>
  <c r="CM65" i="220" s="1"/>
  <c r="DB9" i="242"/>
  <c r="DB21" i="242" s="1"/>
  <c r="DB45" i="242" s="1"/>
  <c r="DB49" i="242" s="1"/>
  <c r="CL59" i="220"/>
  <c r="CI10" i="220"/>
  <c r="CI75" i="220"/>
  <c r="CI76" i="220" s="1"/>
  <c r="DA53" i="242"/>
  <c r="DA52" i="242" s="1"/>
  <c r="DB23" i="242"/>
  <c r="CH16" i="220"/>
  <c r="CH19" i="220"/>
  <c r="DA175" i="243"/>
  <c r="DA82" i="242"/>
  <c r="DA86" i="242" s="1"/>
  <c r="DA49" i="243"/>
  <c r="DA58" i="243" s="1"/>
  <c r="DA243" i="243"/>
  <c r="DB246" i="243" s="1"/>
  <c r="DA31" i="242"/>
  <c r="DA186" i="243"/>
  <c r="DA252" i="243"/>
  <c r="DA253" i="243" s="1"/>
  <c r="DA256" i="243"/>
  <c r="CH10" i="220"/>
  <c r="CH28" i="220"/>
  <c r="CH64" i="220"/>
  <c r="CH14" i="220"/>
  <c r="CI14" i="220" s="1"/>
  <c r="CI15" i="220" s="1"/>
  <c r="CI16" i="220" s="1"/>
  <c r="CH75" i="220"/>
  <c r="DA211" i="243"/>
  <c r="DA213" i="243" s="1"/>
  <c r="DB235" i="243" s="1"/>
  <c r="DA10" i="243"/>
  <c r="DA167" i="243" s="1"/>
  <c r="DA185" i="243" s="1"/>
  <c r="CT46" i="178"/>
  <c r="CT38" i="178"/>
  <c r="CT30" i="178"/>
  <c r="CT14" i="178"/>
  <c r="CT11" i="178"/>
  <c r="CT7" i="178"/>
  <c r="CT56" i="178" s="1"/>
  <c r="CH42" i="220" l="1"/>
  <c r="CI42" i="220" s="1"/>
  <c r="CI50" i="220" s="1"/>
  <c r="CO29" i="220"/>
  <c r="DA51" i="242"/>
  <c r="DC9" i="242"/>
  <c r="DD9" i="242" s="1"/>
  <c r="DB31" i="242"/>
  <c r="DB42" i="242" s="1"/>
  <c r="DB53" i="242"/>
  <c r="CH44" i="220"/>
  <c r="CI44" i="220" s="1"/>
  <c r="CI52" i="220" s="1"/>
  <c r="CH45" i="220"/>
  <c r="CI45" i="220" s="1"/>
  <c r="CI53" i="220" s="1"/>
  <c r="CH41" i="220"/>
  <c r="CI41" i="220" s="1"/>
  <c r="CI49" i="220" s="1"/>
  <c r="CT10" i="178"/>
  <c r="CT40" i="178"/>
  <c r="CT27" i="178"/>
  <c r="DA28" i="178" s="1"/>
  <c r="CH65" i="220"/>
  <c r="CT57" i="178"/>
  <c r="CT15" i="178"/>
  <c r="CH46" i="220"/>
  <c r="CI46" i="220" s="1"/>
  <c r="CI54" i="220" s="1"/>
  <c r="CH31" i="220"/>
  <c r="CH73" i="220"/>
  <c r="CH43" i="220"/>
  <c r="CI43" i="220" s="1"/>
  <c r="CI51" i="220" s="1"/>
  <c r="CT12" i="178"/>
  <c r="CH40" i="220"/>
  <c r="CI40" i="220" s="1"/>
  <c r="CI48" i="220" s="1"/>
  <c r="CH76" i="220"/>
  <c r="CT42" i="178"/>
  <c r="DB414" i="11"/>
  <c r="DB385" i="11"/>
  <c r="DB269" i="11"/>
  <c r="DB263" i="11"/>
  <c r="DB262" i="11"/>
  <c r="DB261" i="11"/>
  <c r="DB245" i="11"/>
  <c r="DB45" i="11"/>
  <c r="DI47" i="11" s="1"/>
  <c r="DH186" i="4"/>
  <c r="DH131" i="4"/>
  <c r="DH135" i="4" s="1"/>
  <c r="DH39" i="4"/>
  <c r="DI39" i="4" s="1"/>
  <c r="DB10" i="11"/>
  <c r="DB15" i="11"/>
  <c r="DB16" i="11" s="1"/>
  <c r="CU42" i="178" l="1"/>
  <c r="DA43" i="178"/>
  <c r="CU40" i="178"/>
  <c r="CU45" i="178" s="1"/>
  <c r="CU46" i="178" s="1"/>
  <c r="DA41" i="178"/>
  <c r="CI31" i="220"/>
  <c r="CO32" i="220"/>
  <c r="DI40" i="4"/>
  <c r="DJ39" i="4"/>
  <c r="DK39" i="4" s="1"/>
  <c r="DK40" i="4" s="1"/>
  <c r="DB387" i="11"/>
  <c r="DB400" i="11" s="1"/>
  <c r="DB409" i="11" s="1"/>
  <c r="DC409" i="11" s="1"/>
  <c r="DC385" i="11"/>
  <c r="DB52" i="242"/>
  <c r="DB58" i="242" s="1"/>
  <c r="DB60" i="242" s="1"/>
  <c r="DB51" i="242"/>
  <c r="DB56" i="242" s="1"/>
  <c r="DB61" i="242" s="1"/>
  <c r="CI37" i="220"/>
  <c r="CI38" i="220" s="1"/>
  <c r="CT31" i="178"/>
  <c r="DA32" i="178" s="1"/>
  <c r="CU27" i="178"/>
  <c r="CT34" i="178"/>
  <c r="DA35" i="178" s="1"/>
  <c r="DB264" i="11"/>
  <c r="CH34" i="220"/>
  <c r="CO35" i="220" s="1"/>
  <c r="CI34" i="220" l="1"/>
  <c r="CP35" i="220" s="1"/>
  <c r="CP32" i="220"/>
  <c r="DC393" i="11"/>
  <c r="DC387" i="11"/>
  <c r="DC400" i="11" s="1"/>
  <c r="CU31" i="178"/>
  <c r="CU37" i="178"/>
  <c r="CU34" i="178"/>
  <c r="DG235" i="11"/>
  <c r="DE235" i="11" s="1"/>
  <c r="DG234" i="11"/>
  <c r="DE234" i="11" s="1"/>
  <c r="DG233" i="11"/>
  <c r="DE233" i="11" s="1"/>
  <c r="DG221" i="11"/>
  <c r="DE221" i="11" s="1"/>
  <c r="DG198" i="11"/>
  <c r="DE198" i="11"/>
  <c r="CU38" i="178" l="1"/>
  <c r="DH205" i="4"/>
  <c r="DH199" i="4"/>
  <c r="DH198" i="4"/>
  <c r="DH197" i="4"/>
  <c r="DH196" i="4"/>
  <c r="DH195" i="4"/>
  <c r="DH194" i="4"/>
  <c r="DH193" i="4"/>
  <c r="DG190" i="4"/>
  <c r="DB127" i="11"/>
  <c r="DB123" i="11"/>
  <c r="DB117" i="11"/>
  <c r="DB104" i="11"/>
  <c r="DB119" i="11" l="1"/>
  <c r="DC117" i="11"/>
  <c r="DC86" i="11" s="1"/>
  <c r="DC94" i="11" s="1"/>
  <c r="DB85" i="11"/>
  <c r="DC104" i="11"/>
  <c r="DB87" i="11"/>
  <c r="DC123" i="11"/>
  <c r="DC87" i="11" s="1"/>
  <c r="DC95" i="11" s="1"/>
  <c r="DB88" i="11"/>
  <c r="DC127" i="11"/>
  <c r="DH202" i="4"/>
  <c r="DH200" i="4"/>
  <c r="DH207" i="4"/>
  <c r="DB86" i="11"/>
  <c r="DH201" i="4"/>
  <c r="DB129" i="11"/>
  <c r="DH203" i="4" s="1"/>
  <c r="DB94" i="11" l="1"/>
  <c r="DF94" i="11" s="1"/>
  <c r="DF86" i="11"/>
  <c r="DB96" i="11"/>
  <c r="DB93" i="11"/>
  <c r="DB95" i="11"/>
  <c r="DF95" i="11" s="1"/>
  <c r="DF87" i="11"/>
  <c r="DC85" i="11"/>
  <c r="DF85" i="11" s="1"/>
  <c r="DC103" i="11"/>
  <c r="DC129" i="11"/>
  <c r="DC88" i="11"/>
  <c r="DC96" i="11" s="1"/>
  <c r="DN51" i="243"/>
  <c r="DM51" i="243" s="1"/>
  <c r="DK51" i="243" s="1"/>
  <c r="DF96" i="11" l="1"/>
  <c r="DF88" i="11"/>
  <c r="DC93" i="11"/>
  <c r="DF93" i="11" s="1"/>
  <c r="DG399" i="11"/>
  <c r="DE399" i="11" s="1"/>
  <c r="CY85" i="242" l="1"/>
  <c r="CW85" i="242" s="1"/>
  <c r="CZ84" i="242"/>
  <c r="CZ83" i="242"/>
  <c r="CZ81" i="242"/>
  <c r="CZ80" i="242"/>
  <c r="CY59" i="242"/>
  <c r="CY57" i="242"/>
  <c r="CW57" i="242" s="1"/>
  <c r="CY55" i="242"/>
  <c r="CW55" i="242" s="1"/>
  <c r="CY50" i="242"/>
  <c r="CY48" i="242"/>
  <c r="CW48" i="242" s="1"/>
  <c r="CZ54" i="242"/>
  <c r="CZ47" i="242"/>
  <c r="CY40" i="242"/>
  <c r="CZ36" i="242"/>
  <c r="CY36" i="242" s="1"/>
  <c r="CZ33" i="242"/>
  <c r="CY33" i="242" s="1"/>
  <c r="CY37" i="242"/>
  <c r="CY35" i="242"/>
  <c r="CY34" i="242"/>
  <c r="CY30" i="242"/>
  <c r="CY29" i="242"/>
  <c r="CY27" i="242"/>
  <c r="CY26" i="242"/>
  <c r="CY54" i="242" s="1"/>
  <c r="CY24" i="242"/>
  <c r="CZ28" i="242"/>
  <c r="CY28" i="242" s="1"/>
  <c r="CZ25" i="242"/>
  <c r="CZ23" i="242"/>
  <c r="CZ53" i="242" s="1"/>
  <c r="CY11" i="242"/>
  <c r="CY47" i="242" s="1"/>
  <c r="CY7" i="242"/>
  <c r="CY5" i="242"/>
  <c r="CZ9" i="242"/>
  <c r="CZ8" i="242"/>
  <c r="CY8" i="242" s="1"/>
  <c r="CZ6" i="242"/>
  <c r="CY6" i="242" s="1"/>
  <c r="CZ20" i="242"/>
  <c r="CY20" i="242" s="1"/>
  <c r="CZ4" i="242"/>
  <c r="CZ273" i="243"/>
  <c r="CZ266" i="243"/>
  <c r="CZ268" i="243"/>
  <c r="CZ259" i="243"/>
  <c r="CZ255" i="243"/>
  <c r="CZ251" i="243"/>
  <c r="CZ245" i="243"/>
  <c r="CZ241" i="243"/>
  <c r="CZ240" i="243"/>
  <c r="CZ234" i="243"/>
  <c r="CY210" i="243"/>
  <c r="CW210" i="243" s="1"/>
  <c r="CY209" i="243"/>
  <c r="CW209" i="243" s="1"/>
  <c r="CY208" i="243"/>
  <c r="CW208" i="243" s="1"/>
  <c r="CY207" i="243"/>
  <c r="CW207" i="243" s="1"/>
  <c r="CY206" i="243"/>
  <c r="CW206" i="243" s="1"/>
  <c r="CY205" i="243"/>
  <c r="CW205" i="243" s="1"/>
  <c r="CY204" i="243"/>
  <c r="CZ212" i="243"/>
  <c r="CZ211" i="243"/>
  <c r="CZ196" i="243"/>
  <c r="CZ197" i="243" s="1"/>
  <c r="CZ174" i="243"/>
  <c r="CZ173" i="243"/>
  <c r="CZ170" i="243"/>
  <c r="CZ164" i="243"/>
  <c r="CZ161" i="243"/>
  <c r="CZ158" i="243"/>
  <c r="CZ152" i="243"/>
  <c r="CZ115" i="243"/>
  <c r="CZ104" i="243"/>
  <c r="CZ103" i="243"/>
  <c r="CZ96" i="243"/>
  <c r="CZ77" i="243"/>
  <c r="CZ76" i="243"/>
  <c r="CZ65" i="243"/>
  <c r="CZ72" i="243" s="1"/>
  <c r="DG69" i="243" s="1"/>
  <c r="CY55" i="243"/>
  <c r="CW55" i="243" s="1"/>
  <c r="CY54" i="243"/>
  <c r="CW54" i="243" s="1"/>
  <c r="CY52" i="243"/>
  <c r="CW52" i="243" s="1"/>
  <c r="CY51" i="243"/>
  <c r="CY44" i="243"/>
  <c r="CW44" i="243" s="1"/>
  <c r="CY43" i="243"/>
  <c r="CW43" i="243" s="1"/>
  <c r="CY42" i="243"/>
  <c r="CW42" i="243" s="1"/>
  <c r="CY41" i="243"/>
  <c r="CW41" i="243" s="1"/>
  <c r="CY40" i="243"/>
  <c r="CY174" i="243" s="1"/>
  <c r="CY39" i="243"/>
  <c r="CW39" i="243" s="1"/>
  <c r="CW251" i="243" s="1"/>
  <c r="CY38" i="243"/>
  <c r="CY84" i="242" s="1"/>
  <c r="CY33" i="243"/>
  <c r="CW33" i="243" s="1"/>
  <c r="CY32" i="243"/>
  <c r="CW32" i="243" s="1"/>
  <c r="CY31" i="243"/>
  <c r="CW31" i="243" s="1"/>
  <c r="CY30" i="243"/>
  <c r="CW30" i="243" s="1"/>
  <c r="CW173" i="243" s="1"/>
  <c r="CY29" i="243"/>
  <c r="CY170" i="243" s="1"/>
  <c r="CY28" i="243"/>
  <c r="CY83" i="242" s="1"/>
  <c r="CY27" i="243"/>
  <c r="CW27" i="243" s="1"/>
  <c r="CY20" i="243"/>
  <c r="CW20" i="243" s="1"/>
  <c r="CY18" i="243"/>
  <c r="CW18" i="243" s="1"/>
  <c r="CY17" i="243"/>
  <c r="CW17" i="243" s="1"/>
  <c r="CY16" i="243"/>
  <c r="CW16" i="243" s="1"/>
  <c r="CY15" i="243"/>
  <c r="CW15" i="243" s="1"/>
  <c r="CY14" i="243"/>
  <c r="CW14" i="243" s="1"/>
  <c r="CY13" i="243"/>
  <c r="CY8" i="243"/>
  <c r="CY164" i="243" s="1"/>
  <c r="CY7" i="243"/>
  <c r="CY241" i="243" s="1"/>
  <c r="CY6" i="243"/>
  <c r="CY5" i="243"/>
  <c r="CW5" i="243" s="1"/>
  <c r="CY4" i="243"/>
  <c r="CW4" i="243" s="1"/>
  <c r="CW161" i="243" s="1"/>
  <c r="CY3" i="243"/>
  <c r="CZ53" i="243"/>
  <c r="CZ37" i="243"/>
  <c r="CZ256" i="243" s="1"/>
  <c r="CZ35" i="243"/>
  <c r="DG71" i="243" l="1"/>
  <c r="DG73" i="243"/>
  <c r="CZ84" i="243"/>
  <c r="CZ83" i="243" s="1"/>
  <c r="CZ91" i="243" s="1"/>
  <c r="DA95" i="243"/>
  <c r="CY53" i="243"/>
  <c r="CW53" i="243" s="1"/>
  <c r="CZ52" i="242"/>
  <c r="CZ195" i="243"/>
  <c r="CY81" i="242"/>
  <c r="CZ102" i="243"/>
  <c r="CZ111" i="243" s="1"/>
  <c r="CZ82" i="242"/>
  <c r="CZ86" i="242" s="1"/>
  <c r="CZ175" i="243"/>
  <c r="CY211" i="243"/>
  <c r="CZ78" i="243"/>
  <c r="CW273" i="243"/>
  <c r="CW212" i="243"/>
  <c r="CY212" i="243"/>
  <c r="CW6" i="243"/>
  <c r="CW28" i="243"/>
  <c r="CW83" i="242" s="1"/>
  <c r="CW38" i="243"/>
  <c r="CW84" i="242" s="1"/>
  <c r="CW51" i="243"/>
  <c r="CY161" i="243"/>
  <c r="CY173" i="243"/>
  <c r="CY175" i="243" s="1"/>
  <c r="CW204" i="243"/>
  <c r="CW211" i="243" s="1"/>
  <c r="CY240" i="243"/>
  <c r="CY251" i="243"/>
  <c r="CY255" i="243"/>
  <c r="CY80" i="242"/>
  <c r="CY37" i="243"/>
  <c r="CW3" i="243"/>
  <c r="CW7" i="243"/>
  <c r="CW29" i="243"/>
  <c r="CW170" i="243" s="1"/>
  <c r="CZ213" i="243"/>
  <c r="DG235" i="243" s="1"/>
  <c r="CY273" i="243"/>
  <c r="CW8" i="243"/>
  <c r="CW164" i="243" s="1"/>
  <c r="CW13" i="243"/>
  <c r="CW40" i="243"/>
  <c r="CW174" i="243" s="1"/>
  <c r="CW175" i="243" s="1"/>
  <c r="CY158" i="243"/>
  <c r="CW255" i="243"/>
  <c r="CZ252" i="243"/>
  <c r="CY46" i="242"/>
  <c r="CZ46" i="242"/>
  <c r="CZ51" i="242"/>
  <c r="CZ38" i="242"/>
  <c r="CY38" i="242"/>
  <c r="CZ31" i="242"/>
  <c r="CZ265" i="243"/>
  <c r="CZ64" i="243"/>
  <c r="CZ19" i="243"/>
  <c r="CY19" i="243" s="1"/>
  <c r="CW19" i="243" s="1"/>
  <c r="CZ11" i="243"/>
  <c r="CZ24" i="243" s="1"/>
  <c r="CZ9" i="243"/>
  <c r="CY9" i="243" s="1"/>
  <c r="CW9" i="243" s="1"/>
  <c r="CZ56" i="243"/>
  <c r="CZ45" i="243"/>
  <c r="CY45" i="243" s="1"/>
  <c r="CW45" i="243" s="1"/>
  <c r="CZ49" i="243"/>
  <c r="CZ106" i="2"/>
  <c r="CZ101" i="2"/>
  <c r="CY34" i="2"/>
  <c r="CY73" i="2"/>
  <c r="CY70" i="2"/>
  <c r="CY69" i="2"/>
  <c r="CW69" i="2" s="1"/>
  <c r="CY55" i="2"/>
  <c r="CY44" i="2"/>
  <c r="CY4" i="242" s="1"/>
  <c r="CY40" i="2"/>
  <c r="CW40" i="2" s="1"/>
  <c r="CY35" i="2"/>
  <c r="CW35" i="2" s="1"/>
  <c r="CY32" i="2"/>
  <c r="CW32" i="2" s="1"/>
  <c r="CY30" i="2"/>
  <c r="CY245" i="243" s="1"/>
  <c r="CY29" i="2"/>
  <c r="CY234" i="243" s="1"/>
  <c r="CY26" i="2"/>
  <c r="CY50" i="2" s="1"/>
  <c r="CY25" i="2"/>
  <c r="CW25" i="2" s="1"/>
  <c r="CY9" i="2"/>
  <c r="CW9" i="2" s="1"/>
  <c r="CZ72" i="2"/>
  <c r="CZ105" i="2" s="1"/>
  <c r="CZ50" i="2"/>
  <c r="CZ31" i="2"/>
  <c r="CZ36" i="2" s="1"/>
  <c r="CZ17" i="2"/>
  <c r="CZ16" i="2"/>
  <c r="CZ14" i="2"/>
  <c r="CF81" i="220"/>
  <c r="CG72" i="220"/>
  <c r="CF71" i="220"/>
  <c r="CM72" i="220" s="1"/>
  <c r="CG69" i="220"/>
  <c r="CG38" i="220"/>
  <c r="CG25" i="220"/>
  <c r="CG18" i="220"/>
  <c r="CG15" i="220"/>
  <c r="CG9" i="220"/>
  <c r="CG4" i="220"/>
  <c r="CS64" i="178"/>
  <c r="CR63" i="178"/>
  <c r="CP63" i="178" s="1"/>
  <c r="CS62" i="178"/>
  <c r="CS46" i="178"/>
  <c r="CR29" i="178"/>
  <c r="CY30" i="178" s="1"/>
  <c r="CS38" i="178"/>
  <c r="CS21" i="178"/>
  <c r="CS14" i="178"/>
  <c r="CS11" i="178"/>
  <c r="CS7" i="178"/>
  <c r="CS4" i="178"/>
  <c r="CX263" i="11"/>
  <c r="CX262" i="11"/>
  <c r="CX261" i="11"/>
  <c r="CW56" i="243" l="1"/>
  <c r="CG28" i="220"/>
  <c r="CG42" i="220" s="1"/>
  <c r="CN7" i="220"/>
  <c r="CN5" i="220"/>
  <c r="CS24" i="178"/>
  <c r="CZ25" i="178" s="1"/>
  <c r="CZ5" i="178"/>
  <c r="DA88" i="243"/>
  <c r="DG88" i="243"/>
  <c r="CY56" i="243"/>
  <c r="DA107" i="243"/>
  <c r="DG107" i="243"/>
  <c r="DG112" i="243" s="1"/>
  <c r="DA235" i="243"/>
  <c r="DE235" i="243"/>
  <c r="CY82" i="242"/>
  <c r="CY86" i="242" s="1"/>
  <c r="CZ10" i="243"/>
  <c r="CZ167" i="243" s="1"/>
  <c r="CZ185" i="243" s="1"/>
  <c r="CG10" i="220"/>
  <c r="CG16" i="220"/>
  <c r="CG19" i="220"/>
  <c r="CY213" i="243"/>
  <c r="CS15" i="178"/>
  <c r="CW44" i="2"/>
  <c r="CW4" i="242" s="1"/>
  <c r="CZ21" i="243"/>
  <c r="CY21" i="243" s="1"/>
  <c r="CW21" i="243" s="1"/>
  <c r="CW22" i="243" s="1"/>
  <c r="CX264" i="11"/>
  <c r="CW213" i="243"/>
  <c r="CW29" i="2"/>
  <c r="CW30" i="2"/>
  <c r="CW245" i="243" s="1"/>
  <c r="CY31" i="2"/>
  <c r="CY36" i="2" s="1"/>
  <c r="CY72" i="2"/>
  <c r="CW72" i="2" s="1"/>
  <c r="CW26" i="2"/>
  <c r="CW50" i="2" s="1"/>
  <c r="CZ253" i="243"/>
  <c r="CY252" i="243"/>
  <c r="CY47" i="243"/>
  <c r="CY256" i="243"/>
  <c r="CW37" i="243"/>
  <c r="CW80" i="242"/>
  <c r="CW241" i="243"/>
  <c r="CW158" i="243"/>
  <c r="CW81" i="242"/>
  <c r="CW240" i="243"/>
  <c r="CS40" i="178"/>
  <c r="CZ41" i="178" s="1"/>
  <c r="CS18" i="178"/>
  <c r="CG43" i="220"/>
  <c r="CG46" i="220"/>
  <c r="CS8" i="178"/>
  <c r="CS56" i="178"/>
  <c r="CG41" i="220"/>
  <c r="CG44" i="220"/>
  <c r="CS10" i="178"/>
  <c r="CG64" i="220"/>
  <c r="CS12" i="178"/>
  <c r="CG22" i="220"/>
  <c r="CG40" i="220"/>
  <c r="CG75" i="220"/>
  <c r="CZ58" i="243"/>
  <c r="CZ59" i="243" s="1"/>
  <c r="CZ34" i="243"/>
  <c r="CG31" i="220"/>
  <c r="CN32" i="220" s="1"/>
  <c r="CG14" i="220"/>
  <c r="CG76" i="220" l="1"/>
  <c r="CG73" i="220"/>
  <c r="CS27" i="178"/>
  <c r="CS34" i="178" s="1"/>
  <c r="CZ35" i="178" s="1"/>
  <c r="DG92" i="243"/>
  <c r="DG90" i="243"/>
  <c r="DG121" i="243"/>
  <c r="DG125" i="243"/>
  <c r="CS42" i="178"/>
  <c r="CZ43" i="178" s="1"/>
  <c r="CG45" i="220"/>
  <c r="CN29" i="220"/>
  <c r="CY10" i="243"/>
  <c r="CW10" i="243" s="1"/>
  <c r="CY22" i="243"/>
  <c r="CW234" i="243"/>
  <c r="CW31" i="2"/>
  <c r="CW36" i="2" s="1"/>
  <c r="CY253" i="243"/>
  <c r="CW252" i="243"/>
  <c r="CW253" i="243" s="1"/>
  <c r="CZ178" i="243"/>
  <c r="CZ186" i="243" s="1"/>
  <c r="CY34" i="243"/>
  <c r="CW82" i="242"/>
  <c r="CW86" i="242" s="1"/>
  <c r="CW47" i="243"/>
  <c r="CW256" i="243"/>
  <c r="CS31" i="178"/>
  <c r="CZ32" i="178" s="1"/>
  <c r="CG65" i="220"/>
  <c r="CS57" i="178"/>
  <c r="CG34" i="220"/>
  <c r="CN35" i="220" s="1"/>
  <c r="CZ28" i="178" l="1"/>
  <c r="CY167" i="243"/>
  <c r="CY185" i="243" s="1"/>
  <c r="CY11" i="243"/>
  <c r="CY24" i="243" s="1"/>
  <c r="CW167" i="243"/>
  <c r="CW185" i="243" s="1"/>
  <c r="CW11" i="243"/>
  <c r="CW24" i="243" s="1"/>
  <c r="CW34" i="243"/>
  <c r="CY178" i="243"/>
  <c r="CY186" i="243" s="1"/>
  <c r="CY35" i="243"/>
  <c r="CY49" i="243" s="1"/>
  <c r="CY58" i="243" s="1"/>
  <c r="CZ263" i="11"/>
  <c r="CZ262" i="11"/>
  <c r="CZ261" i="11"/>
  <c r="DG398" i="11"/>
  <c r="CZ399" i="11"/>
  <c r="CX399" i="11" s="1"/>
  <c r="CZ398" i="11"/>
  <c r="CZ386" i="11"/>
  <c r="CZ385" i="11" s="1"/>
  <c r="DA398" i="11"/>
  <c r="DA385" i="11"/>
  <c r="DA387" i="11" s="1"/>
  <c r="DA269" i="11"/>
  <c r="DA245" i="11"/>
  <c r="CS198" i="11"/>
  <c r="CQ198" i="11"/>
  <c r="CX198" i="11"/>
  <c r="CZ198" i="11"/>
  <c r="DA71" i="11"/>
  <c r="CZ54" i="11"/>
  <c r="CX54" i="11" s="1"/>
  <c r="CZ53" i="11"/>
  <c r="CX53" i="11" s="1"/>
  <c r="CZ52" i="11"/>
  <c r="CX52" i="11" s="1"/>
  <c r="CZ51" i="11"/>
  <c r="CX51" i="11" s="1"/>
  <c r="CZ50" i="11"/>
  <c r="CX50" i="11" s="1"/>
  <c r="CZ55" i="11"/>
  <c r="CX55" i="11" s="1"/>
  <c r="DA45" i="11"/>
  <c r="DH47" i="11" s="1"/>
  <c r="DA42" i="11"/>
  <c r="DA356" i="11" s="1"/>
  <c r="CX10" i="11"/>
  <c r="CZ10" i="11"/>
  <c r="DA11" i="11"/>
  <c r="DA15" i="11"/>
  <c r="DA16" i="11" s="1"/>
  <c r="DF185" i="4"/>
  <c r="DD185" i="4" s="1"/>
  <c r="DF182" i="4"/>
  <c r="DD182" i="4" s="1"/>
  <c r="DF181" i="4"/>
  <c r="DD181" i="4" s="1"/>
  <c r="DF180" i="4"/>
  <c r="DG186" i="4"/>
  <c r="DF130" i="4"/>
  <c r="DD130" i="4" s="1"/>
  <c r="DF129" i="4"/>
  <c r="DF128" i="4"/>
  <c r="DF127" i="4"/>
  <c r="DG131" i="4"/>
  <c r="DF123" i="4"/>
  <c r="DF117" i="4"/>
  <c r="CF18" i="220" s="1"/>
  <c r="DF116" i="4"/>
  <c r="CR14" i="178" s="1"/>
  <c r="DF115" i="4"/>
  <c r="CZ42" i="11" s="1"/>
  <c r="DG122" i="4"/>
  <c r="DG124" i="4" s="1"/>
  <c r="DD93" i="4"/>
  <c r="DF97" i="4"/>
  <c r="DD97" i="4" s="1"/>
  <c r="DG95" i="4"/>
  <c r="DG110" i="4" s="1"/>
  <c r="DG93" i="4"/>
  <c r="DF93" i="4"/>
  <c r="DF59" i="4"/>
  <c r="DG58" i="4"/>
  <c r="DG60" i="4" s="1"/>
  <c r="CZ22" i="2" s="1"/>
  <c r="DF53" i="4"/>
  <c r="DD53" i="4" s="1"/>
  <c r="DF52" i="4"/>
  <c r="DD52" i="4" s="1"/>
  <c r="DF51" i="4"/>
  <c r="DG45" i="4"/>
  <c r="DG44" i="4"/>
  <c r="DG43" i="4"/>
  <c r="DA56" i="11" s="1"/>
  <c r="DF38" i="4"/>
  <c r="DD38" i="4" s="1"/>
  <c r="DF37" i="4"/>
  <c r="DD37" i="4" s="1"/>
  <c r="DF36" i="4"/>
  <c r="DD36" i="4" s="1"/>
  <c r="DF35" i="4"/>
  <c r="DG39" i="4"/>
  <c r="DF30" i="4"/>
  <c r="DD30" i="4" s="1"/>
  <c r="DF28" i="4"/>
  <c r="DD28" i="4" s="1"/>
  <c r="CD9" i="220" s="1"/>
  <c r="DF27" i="4"/>
  <c r="CR7" i="178" s="1"/>
  <c r="DF26" i="4"/>
  <c r="DD26" i="4" s="1"/>
  <c r="DG29" i="4"/>
  <c r="DG31" i="4" s="1"/>
  <c r="DG18" i="4"/>
  <c r="DG17" i="4"/>
  <c r="DG16" i="4"/>
  <c r="DF12" i="4"/>
  <c r="DD12" i="4" s="1"/>
  <c r="DF6" i="4"/>
  <c r="DF5" i="4"/>
  <c r="DF4" i="4"/>
  <c r="DM16" i="4" s="1"/>
  <c r="DG11" i="4"/>
  <c r="DG13" i="4" s="1"/>
  <c r="DN23" i="4" s="1"/>
  <c r="CR4" i="178" l="1"/>
  <c r="CY5" i="178" s="1"/>
  <c r="DM17" i="4"/>
  <c r="CF4" i="220"/>
  <c r="CF19" i="220" s="1"/>
  <c r="DM18" i="4"/>
  <c r="DA77" i="11"/>
  <c r="DH12" i="11"/>
  <c r="DH398" i="11"/>
  <c r="CY59" i="243"/>
  <c r="DF131" i="4"/>
  <c r="DA357" i="11"/>
  <c r="DD5" i="4"/>
  <c r="DD6" i="4"/>
  <c r="DG40" i="4"/>
  <c r="CR8" i="178"/>
  <c r="DG132" i="4"/>
  <c r="DA40" i="11"/>
  <c r="CZ264" i="11"/>
  <c r="CW178" i="243"/>
  <c r="CW186" i="243" s="1"/>
  <c r="CW35" i="243"/>
  <c r="CW49" i="243" s="1"/>
  <c r="CW58" i="243" s="1"/>
  <c r="CW59" i="243" s="1"/>
  <c r="DA400" i="11"/>
  <c r="DA409" i="11" s="1"/>
  <c r="CD75" i="220"/>
  <c r="CZ154" i="243"/>
  <c r="CZ8" i="2"/>
  <c r="CX45" i="11"/>
  <c r="DE47" i="11" s="1"/>
  <c r="CZ27" i="2"/>
  <c r="CZ38" i="2" s="1"/>
  <c r="DD4" i="4"/>
  <c r="DK16" i="4" s="1"/>
  <c r="CY152" i="243"/>
  <c r="DG32" i="4"/>
  <c r="DF58" i="4"/>
  <c r="DF60" i="4" s="1"/>
  <c r="CY22" i="2" s="1"/>
  <c r="DD59" i="4"/>
  <c r="DG125" i="4"/>
  <c r="CZ15" i="2"/>
  <c r="DF122" i="4"/>
  <c r="DF124" i="4" s="1"/>
  <c r="DF132" i="4" s="1"/>
  <c r="DG135" i="4"/>
  <c r="CZ89" i="243" s="1"/>
  <c r="CZ45" i="11"/>
  <c r="DG47" i="11" s="1"/>
  <c r="DD45" i="4"/>
  <c r="CD15" i="220"/>
  <c r="CR24" i="178"/>
  <c r="CY25" i="178" s="1"/>
  <c r="DD35" i="4"/>
  <c r="DF44" i="4"/>
  <c r="CR11" i="178"/>
  <c r="DD51" i="4"/>
  <c r="DD43" i="4" s="1"/>
  <c r="DF186" i="4"/>
  <c r="DD180" i="4"/>
  <c r="DD186" i="4" s="1"/>
  <c r="DD27" i="4"/>
  <c r="CP7" i="178" s="1"/>
  <c r="DF45" i="4"/>
  <c r="CF15" i="220"/>
  <c r="CP11" i="178"/>
  <c r="CR15" i="178"/>
  <c r="DF29" i="4"/>
  <c r="DF31" i="4" s="1"/>
  <c r="CF9" i="220"/>
  <c r="DA9" i="11"/>
  <c r="DA63" i="11"/>
  <c r="DA43" i="11"/>
  <c r="DA58" i="11"/>
  <c r="DH60" i="11" s="1"/>
  <c r="CZ387" i="11"/>
  <c r="CZ400" i="11" s="1"/>
  <c r="DA46" i="11"/>
  <c r="DA5" i="11"/>
  <c r="DG46" i="4"/>
  <c r="DG48" i="4" s="1"/>
  <c r="CZ54" i="2" s="1"/>
  <c r="DF43" i="4"/>
  <c r="DF11" i="4"/>
  <c r="DF13" i="4" s="1"/>
  <c r="DM23" i="4" s="1"/>
  <c r="CD4" i="220" l="1"/>
  <c r="DK18" i="4"/>
  <c r="CP4" i="178"/>
  <c r="CP8" i="178" s="1"/>
  <c r="DK17" i="4"/>
  <c r="CM7" i="220"/>
  <c r="CM5" i="220"/>
  <c r="DD58" i="4"/>
  <c r="DD60" i="4" s="1"/>
  <c r="CW22" i="2" s="1"/>
  <c r="CW27" i="2" s="1"/>
  <c r="CW38" i="2" s="1"/>
  <c r="DF32" i="4"/>
  <c r="DF46" i="4"/>
  <c r="CF16" i="220"/>
  <c r="CF14" i="220"/>
  <c r="CY154" i="243"/>
  <c r="CY8" i="2"/>
  <c r="CR12" i="178"/>
  <c r="CR10" i="178"/>
  <c r="CD16" i="220"/>
  <c r="CD14" i="220"/>
  <c r="CP10" i="178"/>
  <c r="CP12" i="178"/>
  <c r="DF125" i="4"/>
  <c r="CY15" i="2"/>
  <c r="CY27" i="2"/>
  <c r="CY38" i="2" s="1"/>
  <c r="CZ42" i="2"/>
  <c r="CZ46" i="2" s="1"/>
  <c r="CZ41" i="2"/>
  <c r="CZ10" i="2"/>
  <c r="CZ11" i="2" s="1"/>
  <c r="CZ274" i="243"/>
  <c r="CF75" i="220"/>
  <c r="CF10" i="220"/>
  <c r="DD44" i="4"/>
  <c r="DD46" i="4" s="1"/>
  <c r="DD29" i="4"/>
  <c r="DD31" i="4" s="1"/>
  <c r="CZ162" i="243"/>
  <c r="CZ165" i="243"/>
  <c r="CZ159" i="243"/>
  <c r="CZ179" i="243"/>
  <c r="CZ168" i="243"/>
  <c r="CZ171" i="243"/>
  <c r="CZ153" i="243"/>
  <c r="CZ176" i="243"/>
  <c r="DD11" i="4"/>
  <c r="DD13" i="4" s="1"/>
  <c r="DK23" i="4" s="1"/>
  <c r="CW152" i="243"/>
  <c r="DA391" i="11"/>
  <c r="DA307" i="11"/>
  <c r="DA59" i="11"/>
  <c r="CS30" i="178"/>
  <c r="CS73" i="178"/>
  <c r="CR70" i="178"/>
  <c r="CW5" i="178" l="1"/>
  <c r="CP24" i="178"/>
  <c r="CW25" i="178" s="1"/>
  <c r="CD10" i="220"/>
  <c r="CK5" i="220"/>
  <c r="CK7" i="220"/>
  <c r="DD32" i="4"/>
  <c r="CW154" i="243"/>
  <c r="CW8" i="2"/>
  <c r="CY41" i="2"/>
  <c r="CY42" i="2"/>
  <c r="CY46" i="2" s="1"/>
  <c r="CY10" i="2"/>
  <c r="CY11" i="2" s="1"/>
  <c r="CY274" i="243"/>
  <c r="CW42" i="2"/>
  <c r="CW46" i="2" s="1"/>
  <c r="CW41" i="2"/>
  <c r="CY179" i="243"/>
  <c r="CY171" i="243"/>
  <c r="CY168" i="243"/>
  <c r="CY165" i="243"/>
  <c r="CY162" i="243"/>
  <c r="CY159" i="243"/>
  <c r="CY153" i="243"/>
  <c r="CY176" i="243"/>
  <c r="CZ3" i="242"/>
  <c r="CZ56" i="2"/>
  <c r="CZ48" i="2"/>
  <c r="CZ47" i="2"/>
  <c r="CZ263" i="243" s="1"/>
  <c r="CZ51" i="2"/>
  <c r="DA313" i="11"/>
  <c r="A165" i="11"/>
  <c r="A164" i="11"/>
  <c r="A162" i="11"/>
  <c r="A163" i="11"/>
  <c r="A161" i="11"/>
  <c r="A159" i="11"/>
  <c r="A160" i="11"/>
  <c r="A158" i="11"/>
  <c r="A156" i="11"/>
  <c r="A157" i="11"/>
  <c r="A155" i="11"/>
  <c r="A152" i="11"/>
  <c r="A153" i="11"/>
  <c r="A151" i="11"/>
  <c r="A149" i="11"/>
  <c r="A148" i="11"/>
  <c r="CZ59" i="2" l="1"/>
  <c r="CZ65" i="2" s="1"/>
  <c r="CZ262" i="243" s="1"/>
  <c r="CZ102" i="2"/>
  <c r="CZ21" i="242"/>
  <c r="CW274" i="243"/>
  <c r="CW10" i="2"/>
  <c r="CW11" i="2" s="1"/>
  <c r="CZ57" i="2"/>
  <c r="CW3" i="242"/>
  <c r="CW51" i="2"/>
  <c r="CY3" i="242"/>
  <c r="CY51" i="2"/>
  <c r="CY48" i="2"/>
  <c r="CY47" i="2"/>
  <c r="CW165" i="243"/>
  <c r="CW153" i="243"/>
  <c r="CW171" i="243"/>
  <c r="CW159" i="243"/>
  <c r="CW162" i="243"/>
  <c r="CW168" i="243"/>
  <c r="CW179" i="243"/>
  <c r="CW176" i="243"/>
  <c r="DA139" i="11"/>
  <c r="DA127" i="11"/>
  <c r="DA123" i="11"/>
  <c r="CZ116" i="11"/>
  <c r="CX116" i="11" s="1"/>
  <c r="CZ115" i="11"/>
  <c r="CX115" i="11" s="1"/>
  <c r="CZ114" i="11"/>
  <c r="CX114" i="11" s="1"/>
  <c r="DA117" i="11"/>
  <c r="DA104" i="11"/>
  <c r="CT104" i="11"/>
  <c r="DA129" i="11" l="1"/>
  <c r="CZ66" i="2"/>
  <c r="DG94" i="2"/>
  <c r="CZ62" i="2"/>
  <c r="DG63" i="2" s="1"/>
  <c r="CZ61" i="2"/>
  <c r="CZ42" i="242"/>
  <c r="CZ45" i="242"/>
  <c r="CZ49" i="242" s="1"/>
  <c r="CZ56" i="242" l="1"/>
  <c r="CZ61" i="242" s="1"/>
  <c r="CZ58" i="242"/>
  <c r="CZ60" i="242" s="1"/>
  <c r="CZ62" i="242" s="1"/>
  <c r="T47" i="242" l="1"/>
  <c r="R47" i="242"/>
  <c r="N47" i="242"/>
  <c r="AA47" i="242"/>
  <c r="Y47" i="242"/>
  <c r="U47" i="242"/>
  <c r="AH47" i="242"/>
  <c r="AF47" i="242"/>
  <c r="AB47" i="242"/>
  <c r="AO47" i="242"/>
  <c r="AM47" i="242"/>
  <c r="AI47" i="242"/>
  <c r="AV47" i="242"/>
  <c r="AT47" i="242"/>
  <c r="AP47" i="242"/>
  <c r="BC47" i="242"/>
  <c r="BA47" i="242"/>
  <c r="AW47" i="242"/>
  <c r="BJ47" i="242"/>
  <c r="BH47" i="242"/>
  <c r="BD47" i="242"/>
  <c r="BQ47" i="242"/>
  <c r="BO47" i="242"/>
  <c r="BK47" i="242"/>
  <c r="BX47" i="242"/>
  <c r="BV47" i="242"/>
  <c r="BR47" i="242"/>
  <c r="CE47" i="242"/>
  <c r="CC47" i="242"/>
  <c r="BY47" i="242"/>
  <c r="CL47" i="242"/>
  <c r="CJ47" i="242"/>
  <c r="CF47" i="242"/>
  <c r="CS47" i="242"/>
  <c r="CQ47" i="242"/>
  <c r="CM47" i="242"/>
  <c r="CX47" i="242"/>
  <c r="CT47" i="242"/>
  <c r="K16" i="2"/>
  <c r="K14" i="2"/>
  <c r="L16" i="2"/>
  <c r="L14" i="2" l="1"/>
  <c r="S16" i="2"/>
  <c r="P16" i="2"/>
  <c r="O16" i="2"/>
  <c r="S14" i="2"/>
  <c r="P14" i="2"/>
  <c r="O14" i="2"/>
  <c r="Z16" i="2"/>
  <c r="W16" i="2"/>
  <c r="V16" i="2"/>
  <c r="Z14" i="2"/>
  <c r="W14" i="2"/>
  <c r="V14" i="2"/>
  <c r="AG16" i="2"/>
  <c r="AD16" i="2"/>
  <c r="AC16" i="2"/>
  <c r="AG14" i="2"/>
  <c r="AD14" i="2"/>
  <c r="AC14" i="2"/>
  <c r="AN16" i="2"/>
  <c r="AK16" i="2"/>
  <c r="AJ16" i="2"/>
  <c r="AN14" i="2"/>
  <c r="AK14" i="2"/>
  <c r="AJ14" i="2"/>
  <c r="AR16" i="2"/>
  <c r="AR14" i="2"/>
  <c r="AV16" i="2"/>
  <c r="AU16" i="2" s="1"/>
  <c r="AV14" i="2"/>
  <c r="AU14" i="2" s="1"/>
  <c r="BC16" i="2"/>
  <c r="BA16" i="2"/>
  <c r="AY16" i="2" s="1"/>
  <c r="AW16" i="2"/>
  <c r="BC14" i="2"/>
  <c r="BA14" i="2"/>
  <c r="AY14" i="2" s="1"/>
  <c r="AW14" i="2"/>
  <c r="BJ16" i="2"/>
  <c r="BH16" i="2"/>
  <c r="BF16" i="2" s="1"/>
  <c r="BD16" i="2"/>
  <c r="BJ14" i="2"/>
  <c r="BH14" i="2"/>
  <c r="BF14" i="2" s="1"/>
  <c r="BD14" i="2"/>
  <c r="BQ16" i="2"/>
  <c r="BM16" i="2"/>
  <c r="BL16" i="2"/>
  <c r="BK16" i="2"/>
  <c r="BQ14" i="2"/>
  <c r="BM14" i="2"/>
  <c r="BL14" i="2"/>
  <c r="BK14" i="2"/>
  <c r="BX16" i="2"/>
  <c r="BX14" i="2"/>
  <c r="BR16" i="2"/>
  <c r="BT16" i="2"/>
  <c r="BS16" i="2"/>
  <c r="BR14" i="2"/>
  <c r="BT14" i="2"/>
  <c r="BS14" i="2"/>
  <c r="BY16" i="2"/>
  <c r="CC16" i="2"/>
  <c r="CA16" i="2"/>
  <c r="CE16" i="2"/>
  <c r="CE14" i="2"/>
  <c r="CC14" i="2"/>
  <c r="CA14" i="2"/>
  <c r="BY14" i="2"/>
  <c r="CH16" i="2"/>
  <c r="CF16" i="2"/>
  <c r="CG16" i="2" s="1"/>
  <c r="CL16" i="2"/>
  <c r="CL14" i="2"/>
  <c r="CH14" i="2"/>
  <c r="CF14" i="2"/>
  <c r="CG14" i="2" s="1"/>
  <c r="CS16" i="2"/>
  <c r="CQ16" i="2"/>
  <c r="CO16" i="2"/>
  <c r="CM16" i="2"/>
  <c r="CS14" i="2"/>
  <c r="CQ14" i="2"/>
  <c r="CO14" i="2"/>
  <c r="CM14" i="2"/>
  <c r="CX16" i="2"/>
  <c r="CY16" i="2" s="1"/>
  <c r="CV16" i="2"/>
  <c r="CT16" i="2"/>
  <c r="CX14" i="2"/>
  <c r="CY14" i="2" s="1"/>
  <c r="CV14" i="2"/>
  <c r="CT14" i="2"/>
  <c r="CN14" i="2" l="1"/>
  <c r="AX14" i="2"/>
  <c r="BO14" i="2"/>
  <c r="BP14" i="2" s="1"/>
  <c r="BN14" i="2" s="1"/>
  <c r="BE14" i="2"/>
  <c r="CW14" i="2"/>
  <c r="CD16" i="2"/>
  <c r="CB16" i="2" s="1"/>
  <c r="BV14" i="2"/>
  <c r="BW14" i="2" s="1"/>
  <c r="BU14" i="2" s="1"/>
  <c r="CW16" i="2"/>
  <c r="AX16" i="2"/>
  <c r="BV16" i="2"/>
  <c r="BW16" i="2" s="1"/>
  <c r="BU16" i="2" s="1"/>
  <c r="CR14" i="2"/>
  <c r="CP14" i="2" s="1"/>
  <c r="Q16" i="2"/>
  <c r="CD14" i="2"/>
  <c r="CB14" i="2" s="1"/>
  <c r="BI14" i="2"/>
  <c r="BG14" i="2" s="1"/>
  <c r="BB16" i="2"/>
  <c r="AZ16" i="2" s="1"/>
  <c r="CN16" i="2"/>
  <c r="AE14" i="2"/>
  <c r="BI16" i="2"/>
  <c r="BG16" i="2" s="1"/>
  <c r="BE16" i="2"/>
  <c r="X16" i="2"/>
  <c r="AL14" i="2"/>
  <c r="AE16" i="2"/>
  <c r="Q14" i="2"/>
  <c r="CR16" i="2"/>
  <c r="CP16" i="2" s="1"/>
  <c r="AL16" i="2"/>
  <c r="CU14" i="2"/>
  <c r="BB14" i="2"/>
  <c r="AZ14" i="2" s="1"/>
  <c r="X14" i="2"/>
  <c r="DN16" i="2"/>
  <c r="DU16" i="2" s="1"/>
  <c r="CJ14" i="2"/>
  <c r="CK14" i="2" s="1"/>
  <c r="CI14" i="2" s="1"/>
  <c r="BZ14" i="2"/>
  <c r="CJ16" i="2"/>
  <c r="CK16" i="2" s="1"/>
  <c r="CI16" i="2" s="1"/>
  <c r="BO16" i="2"/>
  <c r="BP16" i="2" s="1"/>
  <c r="BN16" i="2" s="1"/>
  <c r="AS16" i="2"/>
  <c r="AQ16" i="2"/>
  <c r="AS14" i="2"/>
  <c r="AQ14" i="2"/>
  <c r="BZ16" i="2"/>
  <c r="CU16" i="2"/>
  <c r="S11" i="242"/>
  <c r="S47" i="242" s="1"/>
  <c r="T10" i="242"/>
  <c r="O11" i="242"/>
  <c r="O47" i="242" s="1"/>
  <c r="R10" i="242"/>
  <c r="N10" i="242"/>
  <c r="Z11" i="242"/>
  <c r="AA10" i="242"/>
  <c r="V11" i="242"/>
  <c r="V47" i="242" s="1"/>
  <c r="Y10" i="242"/>
  <c r="U10" i="242"/>
  <c r="AG11" i="242"/>
  <c r="AH10" i="242"/>
  <c r="AC11" i="242"/>
  <c r="AC47" i="242" s="1"/>
  <c r="AF10" i="242"/>
  <c r="AB10" i="242"/>
  <c r="AO10" i="242"/>
  <c r="AN11" i="242"/>
  <c r="AN47" i="242" s="1"/>
  <c r="AJ11" i="242"/>
  <c r="AJ47" i="242" s="1"/>
  <c r="AM10" i="242"/>
  <c r="AI10" i="242"/>
  <c r="AV10" i="242"/>
  <c r="AU11" i="242"/>
  <c r="AU47" i="242" s="1"/>
  <c r="AQ11" i="242"/>
  <c r="AT10" i="242"/>
  <c r="AP10" i="242"/>
  <c r="BC10" i="242"/>
  <c r="BB11" i="242"/>
  <c r="BB47" i="242" s="1"/>
  <c r="AX11" i="242"/>
  <c r="BA10" i="242"/>
  <c r="AW10" i="242"/>
  <c r="BI11" i="242"/>
  <c r="BI47" i="242" s="1"/>
  <c r="BJ10" i="242"/>
  <c r="BE11" i="242"/>
  <c r="BH10" i="242"/>
  <c r="BD10" i="242"/>
  <c r="BQ10" i="242"/>
  <c r="BP11" i="242"/>
  <c r="BP47" i="242" s="1"/>
  <c r="BO10" i="242"/>
  <c r="BL11" i="242"/>
  <c r="BK10" i="242"/>
  <c r="BW11" i="242"/>
  <c r="BW47" i="242" s="1"/>
  <c r="BX10" i="242"/>
  <c r="BS11" i="242"/>
  <c r="BS47" i="242" s="1"/>
  <c r="BV10" i="242"/>
  <c r="BR10" i="242"/>
  <c r="CD11" i="242"/>
  <c r="CD47" i="242" s="1"/>
  <c r="CE10" i="242"/>
  <c r="BZ11" i="242"/>
  <c r="BZ47" i="242" s="1"/>
  <c r="CC10" i="242"/>
  <c r="BY10" i="242"/>
  <c r="CL10" i="242"/>
  <c r="CK11" i="242"/>
  <c r="CG11" i="242"/>
  <c r="CG47" i="242" s="1"/>
  <c r="CJ10" i="242"/>
  <c r="CF10" i="242"/>
  <c r="CR11" i="242"/>
  <c r="CR47" i="242" s="1"/>
  <c r="CS10" i="242"/>
  <c r="CN11" i="242"/>
  <c r="CN47" i="242" s="1"/>
  <c r="CQ10" i="242"/>
  <c r="CM10" i="242"/>
  <c r="CU11" i="242"/>
  <c r="CX10" i="242"/>
  <c r="CY10" i="242" s="1"/>
  <c r="CT10" i="242"/>
  <c r="C71" i="220"/>
  <c r="C68" i="220"/>
  <c r="G71" i="220"/>
  <c r="G68" i="220"/>
  <c r="E68" i="220" s="1"/>
  <c r="K69" i="220"/>
  <c r="K38" i="220"/>
  <c r="J81" i="220"/>
  <c r="K81" i="220" s="1"/>
  <c r="J71" i="220"/>
  <c r="K71" i="220" s="1"/>
  <c r="J68" i="220"/>
  <c r="N81" i="220"/>
  <c r="M72" i="220"/>
  <c r="N71" i="220"/>
  <c r="M69" i="220"/>
  <c r="N68" i="220"/>
  <c r="L68" i="220" s="1"/>
  <c r="M38" i="220"/>
  <c r="I72" i="220"/>
  <c r="I69" i="220"/>
  <c r="I38" i="220"/>
  <c r="R69" i="220"/>
  <c r="R38" i="220"/>
  <c r="Q81" i="220"/>
  <c r="R81" i="220" s="1"/>
  <c r="Q71" i="220"/>
  <c r="R71" i="220" s="1"/>
  <c r="Q68" i="220"/>
  <c r="U81" i="220"/>
  <c r="T72" i="220"/>
  <c r="U71" i="220"/>
  <c r="T69" i="220"/>
  <c r="U68" i="220"/>
  <c r="T38" i="220"/>
  <c r="P72" i="220"/>
  <c r="P69" i="220"/>
  <c r="P38" i="220"/>
  <c r="U69" i="220" l="1"/>
  <c r="DM16" i="2"/>
  <c r="DJ16" i="2" s="1"/>
  <c r="EB16" i="2"/>
  <c r="DS16" i="2"/>
  <c r="R72" i="220"/>
  <c r="L69" i="220"/>
  <c r="J69" i="220"/>
  <c r="L81" i="220"/>
  <c r="CO11" i="242"/>
  <c r="CO47" i="242" s="1"/>
  <c r="AK11" i="242"/>
  <c r="AK47" i="242" s="1"/>
  <c r="W11" i="242"/>
  <c r="W47" i="242" s="1"/>
  <c r="CA11" i="242"/>
  <c r="CB11" i="242" s="1"/>
  <c r="CB47" i="242" s="1"/>
  <c r="BF11" i="242"/>
  <c r="BF47" i="242" s="1"/>
  <c r="BE47" i="242"/>
  <c r="AG47" i="242"/>
  <c r="AY11" i="242"/>
  <c r="AY47" i="242" s="1"/>
  <c r="AX47" i="242"/>
  <c r="CV11" i="242"/>
  <c r="CU47" i="242"/>
  <c r="CH11" i="242"/>
  <c r="CH47" i="242" s="1"/>
  <c r="BT11" i="242"/>
  <c r="BT47" i="242" s="1"/>
  <c r="BM11" i="242"/>
  <c r="BM47" i="242" s="1"/>
  <c r="BL47" i="242"/>
  <c r="AR11" i="242"/>
  <c r="AR47" i="242" s="1"/>
  <c r="AQ47" i="242"/>
  <c r="AD11" i="242"/>
  <c r="AD47" i="242" s="1"/>
  <c r="Z47" i="242"/>
  <c r="P11" i="242"/>
  <c r="CK47" i="242"/>
  <c r="S81" i="220"/>
  <c r="D71" i="220"/>
  <c r="E71" i="220" s="1"/>
  <c r="S68" i="220"/>
  <c r="S69" i="220" s="1"/>
  <c r="J72" i="220"/>
  <c r="N69" i="220"/>
  <c r="L71" i="220"/>
  <c r="Q69" i="220"/>
  <c r="Q72" i="220"/>
  <c r="N72" i="220"/>
  <c r="U72" i="220"/>
  <c r="S71" i="220"/>
  <c r="Y69" i="220"/>
  <c r="Y38" i="220"/>
  <c r="X81" i="220"/>
  <c r="Y81" i="220" s="1"/>
  <c r="X71" i="220"/>
  <c r="X72" i="220" s="1"/>
  <c r="X68" i="220"/>
  <c r="X69" i="220" s="1"/>
  <c r="AB81" i="220"/>
  <c r="AA72" i="220"/>
  <c r="AB71" i="220"/>
  <c r="AA69" i="220"/>
  <c r="AB68" i="220"/>
  <c r="AA38" i="220"/>
  <c r="W72" i="220"/>
  <c r="W69" i="220"/>
  <c r="W38" i="220"/>
  <c r="AF69" i="220"/>
  <c r="AF38" i="220"/>
  <c r="AE81" i="220"/>
  <c r="AF81" i="220" s="1"/>
  <c r="AE71" i="220"/>
  <c r="AE68" i="220"/>
  <c r="AI81" i="220"/>
  <c r="AH72" i="220"/>
  <c r="AI71" i="220"/>
  <c r="AH69" i="220"/>
  <c r="AI68" i="220"/>
  <c r="AG68" i="220" s="1"/>
  <c r="AH38" i="220"/>
  <c r="AD72" i="220"/>
  <c r="AD69" i="220"/>
  <c r="AD38" i="220"/>
  <c r="AM69" i="220"/>
  <c r="CV47" i="242" l="1"/>
  <c r="CW11" i="242"/>
  <c r="CW47" i="242" s="1"/>
  <c r="CP11" i="242"/>
  <c r="CP47" i="242" s="1"/>
  <c r="AZ11" i="242"/>
  <c r="AZ47" i="242" s="1"/>
  <c r="AL11" i="242"/>
  <c r="AL47" i="242" s="1"/>
  <c r="BU11" i="242"/>
  <c r="BU47" i="242" s="1"/>
  <c r="DO16" i="2"/>
  <c r="DP16" i="2" s="1"/>
  <c r="DZ16" i="2"/>
  <c r="EA16" i="2" s="1"/>
  <c r="EI16" i="2"/>
  <c r="DT16" i="2"/>
  <c r="AS11" i="242"/>
  <c r="AS47" i="242" s="1"/>
  <c r="BG11" i="242"/>
  <c r="BG47" i="242" s="1"/>
  <c r="X11" i="242"/>
  <c r="X47" i="242" s="1"/>
  <c r="AG81" i="220"/>
  <c r="AI69" i="220"/>
  <c r="Z81" i="220"/>
  <c r="AE72" i="220"/>
  <c r="CA47" i="242"/>
  <c r="BN11" i="242"/>
  <c r="BN47" i="242" s="1"/>
  <c r="Q11" i="242"/>
  <c r="Q47" i="242" s="1"/>
  <c r="P47" i="242"/>
  <c r="CI11" i="242"/>
  <c r="CI47" i="242" s="1"/>
  <c r="AE11" i="242"/>
  <c r="AE47" i="242" s="1"/>
  <c r="DK16" i="2"/>
  <c r="AF71" i="220"/>
  <c r="AG71" i="220" s="1"/>
  <c r="AB69" i="220"/>
  <c r="Z68" i="220"/>
  <c r="Z69" i="220" s="1"/>
  <c r="Y71" i="220"/>
  <c r="Z71" i="220" s="1"/>
  <c r="K72" i="220"/>
  <c r="L72" i="220"/>
  <c r="S72" i="220"/>
  <c r="AE69" i="220"/>
  <c r="AB72" i="220"/>
  <c r="AI72" i="220"/>
  <c r="AM38" i="220"/>
  <c r="AL68" i="220"/>
  <c r="AL69" i="220" s="1"/>
  <c r="AL81" i="220"/>
  <c r="AM81" i="220" s="1"/>
  <c r="AL71" i="220"/>
  <c r="AM71" i="220" s="1"/>
  <c r="AP68" i="220"/>
  <c r="AN68" i="220" s="1"/>
  <c r="AN69" i="220" s="1"/>
  <c r="AO69" i="220"/>
  <c r="AK69" i="220"/>
  <c r="AP81" i="220"/>
  <c r="AO72" i="220"/>
  <c r="AP71" i="220"/>
  <c r="AO38" i="220"/>
  <c r="AK72" i="220"/>
  <c r="AK38" i="220"/>
  <c r="AT38" i="220"/>
  <c r="AS81" i="220"/>
  <c r="AT81" i="220" s="1"/>
  <c r="AS71" i="220"/>
  <c r="AW81" i="220"/>
  <c r="AV72" i="220"/>
  <c r="AW71" i="220"/>
  <c r="AV38" i="220"/>
  <c r="AR72" i="220"/>
  <c r="AR38" i="220"/>
  <c r="BA38" i="220"/>
  <c r="AZ81" i="220"/>
  <c r="BA81" i="220" s="1"/>
  <c r="AZ71" i="220"/>
  <c r="BA71" i="220" s="1"/>
  <c r="BD81" i="220"/>
  <c r="BC72" i="220"/>
  <c r="BD71" i="220"/>
  <c r="BC38" i="220"/>
  <c r="AY72" i="220"/>
  <c r="AY38" i="220"/>
  <c r="BH38" i="220"/>
  <c r="BG81" i="220"/>
  <c r="BH81" i="220" s="1"/>
  <c r="BG71" i="220"/>
  <c r="BK81" i="220"/>
  <c r="BJ72" i="220"/>
  <c r="BK71" i="220"/>
  <c r="BJ38" i="220"/>
  <c r="BF72" i="220"/>
  <c r="BF38" i="220"/>
  <c r="BQ72" i="220"/>
  <c r="BM72" i="220"/>
  <c r="CE72" i="220"/>
  <c r="CA72" i="220"/>
  <c r="BX72" i="220"/>
  <c r="BT72" i="220"/>
  <c r="BO38" i="220"/>
  <c r="BN81" i="220"/>
  <c r="BO81" i="220" s="1"/>
  <c r="BN71" i="220"/>
  <c r="BR81" i="220"/>
  <c r="BR71" i="220"/>
  <c r="BQ38" i="220"/>
  <c r="BM38" i="220"/>
  <c r="F18" i="220"/>
  <c r="B18" i="220"/>
  <c r="F15" i="220"/>
  <c r="B15" i="220"/>
  <c r="F9" i="220"/>
  <c r="F75" i="220" s="1"/>
  <c r="B9" i="220"/>
  <c r="B75" i="220" s="1"/>
  <c r="M18" i="220"/>
  <c r="I18" i="220"/>
  <c r="M15" i="220"/>
  <c r="I15" i="220"/>
  <c r="M9" i="220"/>
  <c r="M75" i="220" s="1"/>
  <c r="I9" i="220"/>
  <c r="I75" i="220" s="1"/>
  <c r="T18" i="220"/>
  <c r="P18" i="220"/>
  <c r="T15" i="220"/>
  <c r="P15" i="220"/>
  <c r="T9" i="220"/>
  <c r="T75" i="220" s="1"/>
  <c r="P9" i="220"/>
  <c r="P75" i="220" s="1"/>
  <c r="AA18" i="220"/>
  <c r="W18" i="220"/>
  <c r="AA15" i="220"/>
  <c r="W15" i="220"/>
  <c r="AA9" i="220"/>
  <c r="AA75" i="220" s="1"/>
  <c r="W9" i="220"/>
  <c r="W75" i="220" s="1"/>
  <c r="AH18" i="220"/>
  <c r="AH15" i="220"/>
  <c r="AF15" i="220"/>
  <c r="AH9" i="220"/>
  <c r="AF9" i="220"/>
  <c r="AF75" i="220" s="1"/>
  <c r="AD18" i="220"/>
  <c r="AD15" i="220"/>
  <c r="AD9" i="220"/>
  <c r="AD75" i="220" s="1"/>
  <c r="AO18" i="220"/>
  <c r="AK18" i="220"/>
  <c r="AL15" i="220"/>
  <c r="AK15" i="220"/>
  <c r="AL9" i="220"/>
  <c r="AL75" i="220" s="1"/>
  <c r="AK9" i="220"/>
  <c r="AK75" i="220" s="1"/>
  <c r="AV18" i="220"/>
  <c r="AV15" i="220"/>
  <c r="AT9" i="220"/>
  <c r="AT75" i="220" s="1"/>
  <c r="AS9" i="220"/>
  <c r="AR18" i="220"/>
  <c r="AR15" i="220"/>
  <c r="AR9" i="220"/>
  <c r="BC18" i="220"/>
  <c r="AY18" i="220"/>
  <c r="BC15" i="220"/>
  <c r="BA15" i="220"/>
  <c r="AY15" i="220"/>
  <c r="BA9" i="220"/>
  <c r="BA75" i="220" s="1"/>
  <c r="AZ9" i="220"/>
  <c r="AZ75" i="220" s="1"/>
  <c r="AY9" i="220"/>
  <c r="BJ18" i="220"/>
  <c r="BF18" i="220"/>
  <c r="BJ15" i="220"/>
  <c r="BH15" i="220"/>
  <c r="BF15" i="220"/>
  <c r="BJ9" i="220"/>
  <c r="BJ75" i="220" s="1"/>
  <c r="BH9" i="220"/>
  <c r="BF9" i="220"/>
  <c r="BF75" i="220" s="1"/>
  <c r="BQ18" i="220"/>
  <c r="BO15" i="220"/>
  <c r="BO9" i="220"/>
  <c r="BO75" i="220" s="1"/>
  <c r="BN15" i="220"/>
  <c r="BN9" i="220"/>
  <c r="BN75" i="220" s="1"/>
  <c r="BM18" i="220"/>
  <c r="BM15" i="220"/>
  <c r="BM9" i="220"/>
  <c r="BM75" i="220" s="1"/>
  <c r="F4" i="220"/>
  <c r="F28" i="220" s="1"/>
  <c r="B4" i="220"/>
  <c r="B28" i="220" s="1"/>
  <c r="M4" i="220"/>
  <c r="I4" i="220"/>
  <c r="T4" i="220"/>
  <c r="P4" i="220"/>
  <c r="P28" i="220" s="1"/>
  <c r="AA4" i="220"/>
  <c r="W4" i="220"/>
  <c r="AH4" i="220"/>
  <c r="AF4" i="220"/>
  <c r="AD4" i="220"/>
  <c r="AD28" i="220" s="1"/>
  <c r="AL4" i="220"/>
  <c r="AK4" i="220"/>
  <c r="AT4" i="220"/>
  <c r="AT28" i="220" s="1"/>
  <c r="AS4" i="220"/>
  <c r="AR4" i="220"/>
  <c r="BA4" i="220"/>
  <c r="BA28" i="220" s="1"/>
  <c r="AZ4" i="220"/>
  <c r="AY4" i="220"/>
  <c r="BJ4" i="220"/>
  <c r="BH4" i="220"/>
  <c r="BH28" i="220" s="1"/>
  <c r="BF4" i="220"/>
  <c r="BO4" i="220"/>
  <c r="BO28" i="220" s="1"/>
  <c r="BN4" i="220"/>
  <c r="BN28" i="220" s="1"/>
  <c r="BM4" i="220"/>
  <c r="BM28" i="220" s="1"/>
  <c r="BM43" i="220" s="1"/>
  <c r="P64" i="178"/>
  <c r="P46" i="178"/>
  <c r="P38" i="178"/>
  <c r="O70" i="178"/>
  <c r="O66" i="178"/>
  <c r="P66" i="178" s="1"/>
  <c r="O63" i="178"/>
  <c r="O61" i="178"/>
  <c r="R73" i="178"/>
  <c r="S70" i="178"/>
  <c r="S66" i="178"/>
  <c r="R64" i="178"/>
  <c r="S63" i="178"/>
  <c r="Q63" i="178" s="1"/>
  <c r="S61" i="178"/>
  <c r="O29" i="178"/>
  <c r="P29" i="178" s="1"/>
  <c r="R46" i="178"/>
  <c r="R38" i="178"/>
  <c r="N73" i="178"/>
  <c r="N64" i="178"/>
  <c r="N46" i="178"/>
  <c r="N38" i="178"/>
  <c r="W64" i="178"/>
  <c r="W62" i="178"/>
  <c r="W46" i="178"/>
  <c r="W38" i="178"/>
  <c r="V70" i="178"/>
  <c r="W70" i="178" s="1"/>
  <c r="V66" i="178"/>
  <c r="W66" i="178" s="1"/>
  <c r="V63" i="178"/>
  <c r="V61" i="178"/>
  <c r="Y73" i="178"/>
  <c r="Z70" i="178"/>
  <c r="Y67" i="178"/>
  <c r="Z66" i="178"/>
  <c r="Y64" i="178"/>
  <c r="Z63" i="178"/>
  <c r="X63" i="178" s="1"/>
  <c r="Y62" i="178"/>
  <c r="Z61" i="178"/>
  <c r="X61" i="178" s="1"/>
  <c r="V29" i="178"/>
  <c r="Y46" i="178"/>
  <c r="Y38" i="178"/>
  <c r="Y30" i="178"/>
  <c r="U73" i="178"/>
  <c r="U67" i="178"/>
  <c r="U64" i="178"/>
  <c r="U62" i="178"/>
  <c r="U46" i="178"/>
  <c r="U38" i="178"/>
  <c r="U30" i="178"/>
  <c r="AD64" i="178"/>
  <c r="AD62" i="178"/>
  <c r="AD46" i="178"/>
  <c r="AD38" i="178"/>
  <c r="AC70" i="178"/>
  <c r="AD70" i="178" s="1"/>
  <c r="AC66" i="178"/>
  <c r="AC63" i="178"/>
  <c r="AC61" i="178"/>
  <c r="AC29" i="178"/>
  <c r="AD29" i="178" s="1"/>
  <c r="AF73" i="178"/>
  <c r="AG70" i="178"/>
  <c r="AF67" i="178"/>
  <c r="AG66" i="178"/>
  <c r="AF64" i="178"/>
  <c r="AG63" i="178"/>
  <c r="AE63" i="178" s="1"/>
  <c r="AF62" i="178"/>
  <c r="AG61" i="178"/>
  <c r="AF46" i="178"/>
  <c r="AF38" i="178"/>
  <c r="AF30" i="178"/>
  <c r="AB73" i="178"/>
  <c r="AB67" i="178"/>
  <c r="AB64" i="178"/>
  <c r="AB62" i="178"/>
  <c r="AB46" i="178"/>
  <c r="AB38" i="178"/>
  <c r="AB30" i="178"/>
  <c r="AK64" i="178"/>
  <c r="AK62" i="178"/>
  <c r="AK46" i="178"/>
  <c r="AK38" i="178"/>
  <c r="AJ70" i="178"/>
  <c r="AJ66" i="178"/>
  <c r="AJ63" i="178"/>
  <c r="AJ61" i="178"/>
  <c r="AM73" i="178"/>
  <c r="AN70" i="178"/>
  <c r="AM67" i="178"/>
  <c r="AN66" i="178"/>
  <c r="AM64" i="178"/>
  <c r="AN63" i="178"/>
  <c r="AL63" i="178" s="1"/>
  <c r="AM62" i="178"/>
  <c r="AN61" i="178"/>
  <c r="AJ29" i="178"/>
  <c r="AK29" i="178" s="1"/>
  <c r="AM46" i="178"/>
  <c r="AM38" i="178"/>
  <c r="AM30" i="178"/>
  <c r="AI73" i="178"/>
  <c r="AI67" i="178"/>
  <c r="AI64" i="178"/>
  <c r="AI62" i="178"/>
  <c r="AI46" i="178"/>
  <c r="AI38" i="178"/>
  <c r="AI30" i="178"/>
  <c r="AR64" i="178"/>
  <c r="AR62" i="178"/>
  <c r="AR46" i="178"/>
  <c r="AR38" i="178"/>
  <c r="AQ70" i="178"/>
  <c r="AQ66" i="178"/>
  <c r="AQ63" i="178"/>
  <c r="AQ61" i="178"/>
  <c r="AT73" i="178"/>
  <c r="AU70" i="178"/>
  <c r="AT67" i="178"/>
  <c r="AU66" i="178"/>
  <c r="AT64" i="178"/>
  <c r="AU63" i="178"/>
  <c r="AS63" i="178" s="1"/>
  <c r="AT62" i="178"/>
  <c r="AU61" i="178"/>
  <c r="AQ29" i="178"/>
  <c r="AR29" i="178" s="1"/>
  <c r="AT46" i="178"/>
  <c r="AT38" i="178"/>
  <c r="AT30" i="178"/>
  <c r="AU29" i="178"/>
  <c r="AP73" i="178"/>
  <c r="AP67" i="178"/>
  <c r="AP64" i="178"/>
  <c r="AP62" i="178"/>
  <c r="AP46" i="178"/>
  <c r="AP38" i="178"/>
  <c r="AP30" i="178"/>
  <c r="AJ67" i="178" l="1"/>
  <c r="BB81" i="220"/>
  <c r="AQ64" i="178"/>
  <c r="O64" i="178"/>
  <c r="V30" i="178"/>
  <c r="S64" i="178"/>
  <c r="BG72" i="220"/>
  <c r="BF7" i="220"/>
  <c r="AF14" i="220"/>
  <c r="V62" i="178"/>
  <c r="O73" i="178"/>
  <c r="AS72" i="220"/>
  <c r="AQ67" i="178"/>
  <c r="AN64" i="178"/>
  <c r="AJ62" i="178"/>
  <c r="BN14" i="220"/>
  <c r="AC62" i="178"/>
  <c r="BO14" i="220"/>
  <c r="V67" i="178"/>
  <c r="AU64" i="178"/>
  <c r="AC67" i="178"/>
  <c r="BR72" i="220"/>
  <c r="Y72" i="220"/>
  <c r="AR66" i="178"/>
  <c r="AS66" i="178" s="1"/>
  <c r="BH16" i="220"/>
  <c r="BA16" i="220"/>
  <c r="DX16" i="2"/>
  <c r="DY16" i="2" s="1"/>
  <c r="AQ62" i="178"/>
  <c r="BM14" i="220"/>
  <c r="DQ16" i="2"/>
  <c r="DR16" i="2" s="1"/>
  <c r="AR30" i="178"/>
  <c r="EP16" i="2"/>
  <c r="EG16" i="2"/>
  <c r="EH16" i="2" s="1"/>
  <c r="AK66" i="178"/>
  <c r="AL66" i="178" s="1"/>
  <c r="AD73" i="178"/>
  <c r="X66" i="178"/>
  <c r="V73" i="178"/>
  <c r="Q66" i="178"/>
  <c r="AR7" i="220"/>
  <c r="BA7" i="220"/>
  <c r="BI81" i="220"/>
  <c r="DV16" i="2"/>
  <c r="DW16" i="2" s="1"/>
  <c r="BH71" i="220"/>
  <c r="BI71" i="220" s="1"/>
  <c r="AU81" i="220"/>
  <c r="AN81" i="220"/>
  <c r="AF72" i="220"/>
  <c r="AG69" i="220"/>
  <c r="AK30" i="178"/>
  <c r="W67" i="178"/>
  <c r="AU73" i="178"/>
  <c r="AQ73" i="178"/>
  <c r="AS61" i="178"/>
  <c r="AS64" i="178" s="1"/>
  <c r="AJ73" i="178"/>
  <c r="AK70" i="178"/>
  <c r="AK73" i="178" s="1"/>
  <c r="AG64" i="178"/>
  <c r="AC64" i="178"/>
  <c r="AE61" i="178"/>
  <c r="AE62" i="178" s="1"/>
  <c r="W29" i="178"/>
  <c r="W30" i="178" s="1"/>
  <c r="P70" i="178"/>
  <c r="P73" i="178" s="1"/>
  <c r="AD66" i="178"/>
  <c r="AJ64" i="178"/>
  <c r="AR70" i="178"/>
  <c r="AJ30" i="178"/>
  <c r="AL61" i="178"/>
  <c r="AL64" i="178" s="1"/>
  <c r="AG62" i="178"/>
  <c r="AC73" i="178"/>
  <c r="Z64" i="178"/>
  <c r="V64" i="178"/>
  <c r="Q61" i="178"/>
  <c r="Q64" i="178" s="1"/>
  <c r="AK5" i="220"/>
  <c r="AK28" i="220"/>
  <c r="AK42" i="220" s="1"/>
  <c r="AF28" i="220"/>
  <c r="AF44" i="220" s="1"/>
  <c r="W28" i="220"/>
  <c r="AD29" i="220" s="1"/>
  <c r="W10" i="220"/>
  <c r="AH5" i="220"/>
  <c r="AA28" i="220"/>
  <c r="AA44" i="220" s="1"/>
  <c r="T28" i="220"/>
  <c r="T41" i="220" s="1"/>
  <c r="T19" i="220"/>
  <c r="BO7" i="220"/>
  <c r="AA7" i="220"/>
  <c r="AK10" i="220"/>
  <c r="AD10" i="220"/>
  <c r="BO40" i="220"/>
  <c r="BO29" i="220"/>
  <c r="BO5" i="220"/>
  <c r="BF5" i="220"/>
  <c r="BF28" i="220"/>
  <c r="BM29" i="220" s="1"/>
  <c r="BJ28" i="220"/>
  <c r="BJ43" i="220" s="1"/>
  <c r="AY5" i="220"/>
  <c r="AY28" i="220"/>
  <c r="AY73" i="220" s="1"/>
  <c r="AR5" i="220"/>
  <c r="AR28" i="220"/>
  <c r="AR44" i="220" s="1"/>
  <c r="AL28" i="220"/>
  <c r="AL73" i="220" s="1"/>
  <c r="AS7" i="220"/>
  <c r="AR75" i="220"/>
  <c r="AR10" i="220"/>
  <c r="AH10" i="220"/>
  <c r="AH75" i="220"/>
  <c r="AZ5" i="220"/>
  <c r="AZ28" i="220"/>
  <c r="AZ76" i="220" s="1"/>
  <c r="AS5" i="220"/>
  <c r="AS28" i="220"/>
  <c r="AS73" i="220" s="1"/>
  <c r="AH7" i="220"/>
  <c r="AH28" i="220"/>
  <c r="AH45" i="220" s="1"/>
  <c r="BM7" i="220"/>
  <c r="BH7" i="220"/>
  <c r="AY7" i="220"/>
  <c r="AK7" i="220"/>
  <c r="AD7" i="220"/>
  <c r="W7" i="220"/>
  <c r="BF10" i="220"/>
  <c r="AY75" i="220"/>
  <c r="AY10" i="220"/>
  <c r="AR14" i="220"/>
  <c r="AT10" i="220"/>
  <c r="BH5" i="220"/>
  <c r="BA5" i="220"/>
  <c r="I5" i="220"/>
  <c r="I28" i="220"/>
  <c r="I41" i="220" s="1"/>
  <c r="I10" i="220"/>
  <c r="M5" i="220"/>
  <c r="M28" i="220"/>
  <c r="M46" i="220" s="1"/>
  <c r="AZ7" i="220"/>
  <c r="BM19" i="220"/>
  <c r="BH14" i="220"/>
  <c r="BH75" i="220"/>
  <c r="BH76" i="220" s="1"/>
  <c r="AZ10" i="220"/>
  <c r="AD19" i="220"/>
  <c r="I16" i="220"/>
  <c r="M16" i="220"/>
  <c r="I19" i="220"/>
  <c r="M19" i="220"/>
  <c r="B16" i="220"/>
  <c r="F16" i="220"/>
  <c r="AK19" i="220"/>
  <c r="AH14" i="220"/>
  <c r="W16" i="220"/>
  <c r="AA16" i="220"/>
  <c r="W19" i="220"/>
  <c r="AA19" i="220"/>
  <c r="T10" i="220"/>
  <c r="BN10" i="220"/>
  <c r="BO10" i="220"/>
  <c r="BJ10" i="220"/>
  <c r="BF19" i="220"/>
  <c r="BJ19" i="220"/>
  <c r="AR19" i="220"/>
  <c r="AK16" i="220"/>
  <c r="AF10" i="220"/>
  <c r="M10" i="220"/>
  <c r="B10" i="220"/>
  <c r="BM10" i="220"/>
  <c r="BF16" i="220"/>
  <c r="BJ16" i="220"/>
  <c r="BA14" i="220"/>
  <c r="AY16" i="220"/>
  <c r="AY19" i="220"/>
  <c r="AS10" i="220"/>
  <c r="AL10" i="220"/>
  <c r="AL16" i="220"/>
  <c r="AD14" i="220"/>
  <c r="AF16" i="220"/>
  <c r="AH19" i="220"/>
  <c r="AA10" i="220"/>
  <c r="P10" i="220"/>
  <c r="P16" i="220"/>
  <c r="T16" i="220"/>
  <c r="P19" i="220"/>
  <c r="F10" i="220"/>
  <c r="B19" i="220"/>
  <c r="F19" i="220"/>
  <c r="AS75" i="220"/>
  <c r="BM31" i="220"/>
  <c r="BM34" i="220" s="1"/>
  <c r="Z72" i="220"/>
  <c r="BM46" i="220"/>
  <c r="BM45" i="220"/>
  <c r="BM41" i="220"/>
  <c r="BM44" i="220"/>
  <c r="BH41" i="220"/>
  <c r="BH44" i="220"/>
  <c r="BH40" i="220"/>
  <c r="BH46" i="220"/>
  <c r="BH43" i="220"/>
  <c r="BH45" i="220"/>
  <c r="BH42" i="220"/>
  <c r="BH31" i="220"/>
  <c r="BH34" i="220" s="1"/>
  <c r="BH29" i="220"/>
  <c r="BA45" i="220"/>
  <c r="BA40" i="220"/>
  <c r="BA42" i="220"/>
  <c r="BA44" i="220"/>
  <c r="BA41" i="220"/>
  <c r="BA31" i="220"/>
  <c r="BA34" i="220" s="1"/>
  <c r="BA46" i="220"/>
  <c r="BA43" i="220"/>
  <c r="BA29" i="220"/>
  <c r="AT44" i="220"/>
  <c r="AT41" i="220"/>
  <c r="AT46" i="220"/>
  <c r="AT43" i="220"/>
  <c r="AT40" i="220"/>
  <c r="AT45" i="220"/>
  <c r="AT42" i="220"/>
  <c r="AT31" i="220"/>
  <c r="AT34" i="220" s="1"/>
  <c r="BM73" i="220"/>
  <c r="BP81" i="220"/>
  <c r="BO76" i="220"/>
  <c r="P44" i="220"/>
  <c r="P40" i="220"/>
  <c r="P42" i="220"/>
  <c r="P43" i="220"/>
  <c r="P46" i="220"/>
  <c r="P31" i="220"/>
  <c r="P34" i="220" s="1"/>
  <c r="P73" i="220"/>
  <c r="P41" i="220"/>
  <c r="P45" i="220"/>
  <c r="P76" i="220"/>
  <c r="B73" i="220"/>
  <c r="B76" i="220"/>
  <c r="F73" i="220"/>
  <c r="F76" i="220"/>
  <c r="BM40" i="220"/>
  <c r="BM76" i="220"/>
  <c r="BN73" i="220"/>
  <c r="BA76" i="220"/>
  <c r="AT76" i="220"/>
  <c r="BO46" i="220"/>
  <c r="BO43" i="220"/>
  <c r="BO45" i="220"/>
  <c r="BO42" i="220"/>
  <c r="BO31" i="220"/>
  <c r="BO34" i="220" s="1"/>
  <c r="BO41" i="220"/>
  <c r="AD73" i="220"/>
  <c r="AD45" i="220"/>
  <c r="AD41" i="220"/>
  <c r="AD40" i="220"/>
  <c r="AD44" i="220"/>
  <c r="AD46" i="220"/>
  <c r="AD31" i="220"/>
  <c r="AD43" i="220"/>
  <c r="AD42" i="220"/>
  <c r="AD76" i="220"/>
  <c r="BM42" i="220"/>
  <c r="BN76" i="220"/>
  <c r="BO44" i="220"/>
  <c r="AN71" i="220"/>
  <c r="AN72" i="220" s="1"/>
  <c r="AL72" i="220"/>
  <c r="BO71" i="220"/>
  <c r="BP71" i="220" s="1"/>
  <c r="AT71" i="220"/>
  <c r="AU71" i="220" s="1"/>
  <c r="AP69" i="220"/>
  <c r="AM72" i="220"/>
  <c r="AG72" i="220"/>
  <c r="AP72" i="220"/>
  <c r="AZ72" i="220"/>
  <c r="AW72" i="220"/>
  <c r="BA73" i="220"/>
  <c r="BB71" i="220"/>
  <c r="BK72" i="220"/>
  <c r="BD72" i="220"/>
  <c r="BN72" i="220"/>
  <c r="B14" i="220"/>
  <c r="F14" i="220"/>
  <c r="I14" i="220"/>
  <c r="M14" i="220"/>
  <c r="P14" i="220"/>
  <c r="T14" i="220"/>
  <c r="W14" i="220"/>
  <c r="AA14" i="220"/>
  <c r="AH16" i="220"/>
  <c r="AD16" i="220"/>
  <c r="AK14" i="220"/>
  <c r="AL14" i="220"/>
  <c r="AR16" i="220"/>
  <c r="BA10" i="220"/>
  <c r="AY14" i="220"/>
  <c r="BH10" i="220"/>
  <c r="BF14" i="220"/>
  <c r="BJ14" i="220"/>
  <c r="BO16" i="220"/>
  <c r="BN16" i="220"/>
  <c r="BM16" i="220"/>
  <c r="P5" i="220"/>
  <c r="T5" i="220"/>
  <c r="W5" i="220"/>
  <c r="AD5" i="220"/>
  <c r="AA5" i="220"/>
  <c r="BM5" i="220"/>
  <c r="Z62" i="178"/>
  <c r="X64" i="178"/>
  <c r="X70" i="178"/>
  <c r="Z67" i="178"/>
  <c r="AC30" i="178"/>
  <c r="AE70" i="178"/>
  <c r="AN67" i="178"/>
  <c r="AG67" i="178"/>
  <c r="AN62" i="178"/>
  <c r="AQ30" i="178"/>
  <c r="AS29" i="178"/>
  <c r="AU67" i="178"/>
  <c r="AU62" i="178"/>
  <c r="AD30" i="178" l="1"/>
  <c r="M76" i="220"/>
  <c r="AY44" i="220"/>
  <c r="W41" i="220"/>
  <c r="AK76" i="220"/>
  <c r="AH44" i="220"/>
  <c r="AE44" i="220" s="1"/>
  <c r="P29" i="220"/>
  <c r="AF45" i="220"/>
  <c r="BJ44" i="220"/>
  <c r="AS67" i="178"/>
  <c r="AK43" i="220"/>
  <c r="AL62" i="178"/>
  <c r="I31" i="220"/>
  <c r="I34" i="220" s="1"/>
  <c r="P35" i="220" s="1"/>
  <c r="AK45" i="220"/>
  <c r="BF43" i="220"/>
  <c r="BG43" i="220" s="1"/>
  <c r="I45" i="220"/>
  <c r="BF46" i="220"/>
  <c r="I42" i="220"/>
  <c r="AK31" i="220"/>
  <c r="AK34" i="220" s="1"/>
  <c r="BF40" i="220"/>
  <c r="I46" i="220"/>
  <c r="J46" i="220" s="1"/>
  <c r="AK46" i="220"/>
  <c r="X62" i="178"/>
  <c r="BF76" i="220"/>
  <c r="I43" i="220"/>
  <c r="AK40" i="220"/>
  <c r="AK29" i="220"/>
  <c r="BF44" i="220"/>
  <c r="I29" i="220"/>
  <c r="AK44" i="220"/>
  <c r="BF73" i="220"/>
  <c r="I40" i="220"/>
  <c r="AK73" i="220"/>
  <c r="BF41" i="220"/>
  <c r="I73" i="220"/>
  <c r="AH42" i="220"/>
  <c r="AE42" i="220" s="1"/>
  <c r="AK41" i="220"/>
  <c r="BJ31" i="220"/>
  <c r="BJ34" i="220" s="1"/>
  <c r="M40" i="220"/>
  <c r="I44" i="220"/>
  <c r="BF31" i="220"/>
  <c r="BF34" i="220" s="1"/>
  <c r="BM35" i="220" s="1"/>
  <c r="BF45" i="220"/>
  <c r="I76" i="220"/>
  <c r="BF42" i="220"/>
  <c r="AF73" i="220"/>
  <c r="BJ76" i="220"/>
  <c r="AH43" i="220"/>
  <c r="AE43" i="220" s="1"/>
  <c r="BJ41" i="220"/>
  <c r="BJ73" i="220"/>
  <c r="AF31" i="220"/>
  <c r="AF34" i="220" s="1"/>
  <c r="AH46" i="220"/>
  <c r="AE46" i="220" s="1"/>
  <c r="BJ46" i="220"/>
  <c r="AF42" i="220"/>
  <c r="AH31" i="220"/>
  <c r="AE31" i="220" s="1"/>
  <c r="AH40" i="220"/>
  <c r="AE40" i="220" s="1"/>
  <c r="BJ40" i="220"/>
  <c r="AF46" i="220"/>
  <c r="AL76" i="220"/>
  <c r="W31" i="220"/>
  <c r="W34" i="220" s="1"/>
  <c r="W35" i="220" s="1"/>
  <c r="W44" i="220"/>
  <c r="X44" i="220" s="1"/>
  <c r="W29" i="220"/>
  <c r="T43" i="220"/>
  <c r="Q43" i="220" s="1"/>
  <c r="W45" i="220"/>
  <c r="W42" i="220"/>
  <c r="T76" i="220"/>
  <c r="T31" i="220"/>
  <c r="Q31" i="220" s="1"/>
  <c r="W73" i="220"/>
  <c r="W46" i="220"/>
  <c r="T40" i="220"/>
  <c r="Q40" i="220" s="1"/>
  <c r="T42" i="220"/>
  <c r="Q42" i="220" s="1"/>
  <c r="W76" i="220"/>
  <c r="W40" i="220"/>
  <c r="W43" i="220"/>
  <c r="T73" i="220"/>
  <c r="T46" i="220"/>
  <c r="Q46" i="220" s="1"/>
  <c r="BF29" i="220"/>
  <c r="AH76" i="220"/>
  <c r="AF41" i="220"/>
  <c r="AF40" i="220"/>
  <c r="BJ42" i="220"/>
  <c r="M44" i="220"/>
  <c r="M41" i="220"/>
  <c r="J41" i="220" s="1"/>
  <c r="AY41" i="220"/>
  <c r="BH73" i="220"/>
  <c r="M45" i="220"/>
  <c r="AH41" i="220"/>
  <c r="AE41" i="220" s="1"/>
  <c r="AH73" i="220"/>
  <c r="AY31" i="220"/>
  <c r="AY34" i="220" s="1"/>
  <c r="BJ45" i="220"/>
  <c r="AF43" i="220"/>
  <c r="BH72" i="220"/>
  <c r="M42" i="220"/>
  <c r="M29" i="220"/>
  <c r="AY42" i="220"/>
  <c r="BH32" i="220"/>
  <c r="AY46" i="220"/>
  <c r="Q70" i="178"/>
  <c r="M43" i="220"/>
  <c r="T29" i="220"/>
  <c r="M73" i="220"/>
  <c r="AY40" i="220"/>
  <c r="AS76" i="220"/>
  <c r="AK67" i="178"/>
  <c r="X67" i="178"/>
  <c r="AR31" i="220"/>
  <c r="AR34" i="220" s="1"/>
  <c r="AH29" i="220"/>
  <c r="AA42" i="220"/>
  <c r="BO32" i="220"/>
  <c r="M31" i="220"/>
  <c r="AY43" i="220"/>
  <c r="AA31" i="220"/>
  <c r="AA34" i="220" s="1"/>
  <c r="AR42" i="220"/>
  <c r="AA46" i="220"/>
  <c r="AA41" i="220"/>
  <c r="AU72" i="220"/>
  <c r="AA43" i="220"/>
  <c r="AA45" i="220"/>
  <c r="AR76" i="220"/>
  <c r="AZ73" i="220"/>
  <c r="AA73" i="220"/>
  <c r="AR73" i="220"/>
  <c r="AR46" i="220"/>
  <c r="AA76" i="220"/>
  <c r="AR29" i="220"/>
  <c r="AA40" i="220"/>
  <c r="AA29" i="220"/>
  <c r="AY76" i="220"/>
  <c r="AR45" i="220"/>
  <c r="AY45" i="220"/>
  <c r="AY29" i="220"/>
  <c r="AF76" i="220"/>
  <c r="AL70" i="178"/>
  <c r="AR43" i="220"/>
  <c r="T45" i="220"/>
  <c r="Q45" i="220" s="1"/>
  <c r="AR40" i="220"/>
  <c r="T44" i="220"/>
  <c r="Q44" i="220" s="1"/>
  <c r="AR67" i="178"/>
  <c r="AR41" i="220"/>
  <c r="EN16" i="2"/>
  <c r="EE16" i="2"/>
  <c r="EF16" i="2" s="1"/>
  <c r="BA72" i="220"/>
  <c r="AZ29" i="220"/>
  <c r="EC16" i="2"/>
  <c r="ED16" i="2" s="1"/>
  <c r="AT72" i="220"/>
  <c r="AT73" i="220"/>
  <c r="AS62" i="178"/>
  <c r="AE66" i="178"/>
  <c r="AE67" i="178" s="1"/>
  <c r="AD67" i="178"/>
  <c r="AE64" i="178"/>
  <c r="AS70" i="178"/>
  <c r="AS73" i="178" s="1"/>
  <c r="AR73" i="178"/>
  <c r="W73" i="178"/>
  <c r="BA32" i="220"/>
  <c r="AS29" i="220"/>
  <c r="AE45" i="220"/>
  <c r="BO73" i="220"/>
  <c r="BO72" i="220"/>
  <c r="AD34" i="220"/>
  <c r="Q41" i="220"/>
  <c r="BB72" i="220"/>
  <c r="BA35" i="220"/>
  <c r="BI72" i="220"/>
  <c r="BP72" i="220"/>
  <c r="BO35" i="220"/>
  <c r="BH35" i="220"/>
  <c r="BG45" i="220" l="1"/>
  <c r="BF35" i="220"/>
  <c r="J44" i="220"/>
  <c r="BG46" i="220"/>
  <c r="BG44" i="220"/>
  <c r="AK32" i="220"/>
  <c r="X41" i="220"/>
  <c r="AR35" i="220"/>
  <c r="AD32" i="220"/>
  <c r="AK35" i="220"/>
  <c r="J40" i="220"/>
  <c r="P32" i="220"/>
  <c r="J31" i="220"/>
  <c r="Q32" i="220" s="1"/>
  <c r="BG42" i="220"/>
  <c r="BG40" i="220"/>
  <c r="BG41" i="220"/>
  <c r="X43" i="220"/>
  <c r="J42" i="220"/>
  <c r="X45" i="220"/>
  <c r="J45" i="220"/>
  <c r="X42" i="220"/>
  <c r="J43" i="220"/>
  <c r="BG31" i="220"/>
  <c r="W32" i="220"/>
  <c r="BM32" i="220"/>
  <c r="T34" i="220"/>
  <c r="AA35" i="220" s="1"/>
  <c r="AH34" i="220"/>
  <c r="AH35" i="220" s="1"/>
  <c r="X40" i="220"/>
  <c r="X46" i="220"/>
  <c r="T32" i="220"/>
  <c r="M34" i="220"/>
  <c r="AR32" i="220"/>
  <c r="AY32" i="220"/>
  <c r="AH32" i="220"/>
  <c r="AY35" i="220"/>
  <c r="BF32" i="220"/>
  <c r="AA32" i="220"/>
  <c r="X31" i="220"/>
  <c r="X32" i="220" s="1"/>
  <c r="AL67" i="178"/>
  <c r="EJ16" i="2"/>
  <c r="EK16" i="2" s="1"/>
  <c r="EO16" i="2"/>
  <c r="AD35" i="220"/>
  <c r="T35" i="220" l="1"/>
  <c r="AE32" i="220"/>
  <c r="EL16" i="2"/>
  <c r="EM16" i="2" s="1"/>
  <c r="AY64" i="178"/>
  <c r="AY62" i="178"/>
  <c r="AY46" i="178"/>
  <c r="AY38" i="178"/>
  <c r="AX66" i="178"/>
  <c r="AY66" i="178" s="1"/>
  <c r="AX61" i="178"/>
  <c r="AX70" i="178"/>
  <c r="AY70" i="178" s="1"/>
  <c r="AX63" i="178"/>
  <c r="BB66" i="178"/>
  <c r="BB67" i="178" s="1"/>
  <c r="BB61" i="178"/>
  <c r="BA67" i="178"/>
  <c r="AW64" i="178"/>
  <c r="BA64" i="178"/>
  <c r="BA62" i="178"/>
  <c r="BA73" i="178"/>
  <c r="BB70" i="178"/>
  <c r="BB63" i="178"/>
  <c r="AZ63" i="178" s="1"/>
  <c r="AX29" i="178"/>
  <c r="AX30" i="178" s="1"/>
  <c r="BA46" i="178"/>
  <c r="BA38" i="178"/>
  <c r="BA30" i="178"/>
  <c r="BB29" i="178"/>
  <c r="AW62" i="178"/>
  <c r="AW67" i="178"/>
  <c r="AW73" i="178"/>
  <c r="AW46" i="178"/>
  <c r="AW38" i="178"/>
  <c r="AW30" i="178"/>
  <c r="R14" i="178"/>
  <c r="N14" i="178"/>
  <c r="Y14" i="178"/>
  <c r="U14" i="178"/>
  <c r="AF14" i="178"/>
  <c r="AB14" i="178"/>
  <c r="AM14" i="178"/>
  <c r="AI14" i="178"/>
  <c r="AT14" i="178"/>
  <c r="AP14" i="178"/>
  <c r="BA14" i="178"/>
  <c r="AW14" i="178"/>
  <c r="BH14" i="178"/>
  <c r="BD14" i="178"/>
  <c r="BO14" i="178"/>
  <c r="BK14" i="178"/>
  <c r="BV14" i="178"/>
  <c r="BR14" i="178"/>
  <c r="CC14" i="178"/>
  <c r="BY14" i="178"/>
  <c r="BF46" i="178"/>
  <c r="BF38" i="178"/>
  <c r="BE70" i="178"/>
  <c r="BF70" i="178" s="1"/>
  <c r="BE63" i="178"/>
  <c r="BH73" i="178"/>
  <c r="BI70" i="178"/>
  <c r="BI63" i="178"/>
  <c r="BG63" i="178" s="1"/>
  <c r="BE29" i="178"/>
  <c r="BH46" i="178"/>
  <c r="BH38" i="178"/>
  <c r="BH30" i="178"/>
  <c r="BI29" i="178"/>
  <c r="BD73" i="178"/>
  <c r="BD46" i="178"/>
  <c r="BD38" i="178"/>
  <c r="BD30" i="178"/>
  <c r="BM46" i="178"/>
  <c r="BM38" i="178"/>
  <c r="BL70" i="178"/>
  <c r="BL63" i="178"/>
  <c r="BO73" i="178"/>
  <c r="BP70" i="178"/>
  <c r="BP63" i="178"/>
  <c r="BN63" i="178" s="1"/>
  <c r="BL29" i="178"/>
  <c r="BM29" i="178" s="1"/>
  <c r="BO46" i="178"/>
  <c r="BO38" i="178"/>
  <c r="BO30" i="178"/>
  <c r="BP29" i="178"/>
  <c r="BK73" i="178"/>
  <c r="BK46" i="178"/>
  <c r="BK38" i="178"/>
  <c r="BK30" i="178"/>
  <c r="BT46" i="178"/>
  <c r="BT38" i="178"/>
  <c r="BS70" i="178"/>
  <c r="BT70" i="178" s="1"/>
  <c r="BS63" i="178"/>
  <c r="BV73" i="178"/>
  <c r="BW70" i="178"/>
  <c r="BW63" i="178"/>
  <c r="BU63" i="178" s="1"/>
  <c r="BS29" i="178"/>
  <c r="BT29" i="178" s="1"/>
  <c r="BV46" i="178"/>
  <c r="BV38" i="178"/>
  <c r="BV30" i="178"/>
  <c r="BW29" i="178"/>
  <c r="BW30" i="178" s="1"/>
  <c r="BR73" i="178"/>
  <c r="BR46" i="178"/>
  <c r="BR38" i="178"/>
  <c r="BR30" i="178"/>
  <c r="CC30" i="178"/>
  <c r="BY30" i="178"/>
  <c r="CJ30" i="178"/>
  <c r="CF30" i="178"/>
  <c r="CA46" i="178"/>
  <c r="CA38" i="178"/>
  <c r="BZ70" i="178"/>
  <c r="CA70" i="178" s="1"/>
  <c r="BZ63" i="178"/>
  <c r="BZ29" i="178"/>
  <c r="CC73" i="178"/>
  <c r="CD70" i="178"/>
  <c r="CD63" i="178"/>
  <c r="CB63" i="178" s="1"/>
  <c r="CC46" i="178"/>
  <c r="CC38" i="178"/>
  <c r="CD29" i="178"/>
  <c r="BY73" i="178"/>
  <c r="BY46" i="178"/>
  <c r="BY38" i="178"/>
  <c r="R11" i="178"/>
  <c r="N11" i="178"/>
  <c r="R7" i="178"/>
  <c r="N7" i="178"/>
  <c r="Y11" i="178"/>
  <c r="U11" i="178"/>
  <c r="Y7" i="178"/>
  <c r="U7" i="178"/>
  <c r="AF11" i="178"/>
  <c r="AB11" i="178"/>
  <c r="AF7" i="178"/>
  <c r="AB7" i="178"/>
  <c r="AM11" i="178"/>
  <c r="AI11" i="178"/>
  <c r="AM7" i="178"/>
  <c r="AI7" i="178"/>
  <c r="AT11" i="178"/>
  <c r="AR11" i="178"/>
  <c r="AP11" i="178"/>
  <c r="AT7" i="178"/>
  <c r="AR7" i="178"/>
  <c r="AP7" i="178"/>
  <c r="AX11" i="178"/>
  <c r="AW11" i="178"/>
  <c r="AX7" i="178"/>
  <c r="AW7" i="178"/>
  <c r="BD7" i="178"/>
  <c r="BE7" i="178"/>
  <c r="BF7" i="178"/>
  <c r="BH11" i="178"/>
  <c r="BD11" i="178"/>
  <c r="BO11" i="178"/>
  <c r="BM11" i="178"/>
  <c r="BK11" i="178"/>
  <c r="BM7" i="178"/>
  <c r="BL7" i="178"/>
  <c r="BK7" i="178"/>
  <c r="BV11" i="178"/>
  <c r="BT11" i="178"/>
  <c r="BR11" i="178"/>
  <c r="BV7" i="178"/>
  <c r="BT7" i="178"/>
  <c r="BR7" i="178"/>
  <c r="BY11" i="178"/>
  <c r="BY7" i="178"/>
  <c r="BZ11" i="178"/>
  <c r="BZ7" i="178"/>
  <c r="CA11" i="178"/>
  <c r="CA7" i="178"/>
  <c r="R4" i="178"/>
  <c r="R24" i="178" s="1"/>
  <c r="N4" i="178"/>
  <c r="N24" i="178" s="1"/>
  <c r="Y4" i="178"/>
  <c r="Y24" i="178" s="1"/>
  <c r="U4" i="178"/>
  <c r="U24" i="178" s="1"/>
  <c r="AF4" i="178"/>
  <c r="AF24" i="178" s="1"/>
  <c r="AB4" i="178"/>
  <c r="AB24" i="178" s="1"/>
  <c r="AM4" i="178"/>
  <c r="AM24" i="178" s="1"/>
  <c r="AI4" i="178"/>
  <c r="AI24" i="178" s="1"/>
  <c r="AT4" i="178"/>
  <c r="AT24" i="178" s="1"/>
  <c r="AR4" i="178"/>
  <c r="AR24" i="178" s="1"/>
  <c r="AP4" i="178"/>
  <c r="AP24" i="178" s="1"/>
  <c r="AX4" i="178"/>
  <c r="AX24" i="178" s="1"/>
  <c r="AW4" i="178"/>
  <c r="AW24" i="178" s="1"/>
  <c r="BF4" i="178"/>
  <c r="BF24" i="178" s="1"/>
  <c r="BE4" i="178"/>
  <c r="BD4" i="178"/>
  <c r="BM4" i="178"/>
  <c r="BM24" i="178" s="1"/>
  <c r="BM27" i="178" s="1"/>
  <c r="BM34" i="178" s="1"/>
  <c r="BL4" i="178"/>
  <c r="BL24" i="178" s="1"/>
  <c r="BK4" i="178"/>
  <c r="BK24" i="178" s="1"/>
  <c r="BV4" i="178"/>
  <c r="BV24" i="178" s="1"/>
  <c r="BT4" i="178"/>
  <c r="BT24" i="178" s="1"/>
  <c r="BR4" i="178"/>
  <c r="BR24" i="178" s="1"/>
  <c r="CA4" i="178"/>
  <c r="CA24" i="178" s="1"/>
  <c r="BZ4" i="178"/>
  <c r="BY4" i="178"/>
  <c r="BY24" i="178" s="1"/>
  <c r="P143" i="11"/>
  <c r="P74" i="11" s="1"/>
  <c r="S74" i="11"/>
  <c r="O74" i="11"/>
  <c r="Q15" i="11"/>
  <c r="Q16" i="11" s="1"/>
  <c r="S15" i="11"/>
  <c r="S16" i="11" s="1"/>
  <c r="O15" i="11"/>
  <c r="O16" i="11" s="1"/>
  <c r="W143" i="11"/>
  <c r="W74" i="11" s="1"/>
  <c r="Z74" i="11"/>
  <c r="V74" i="11"/>
  <c r="X15" i="11"/>
  <c r="X16" i="11" s="1"/>
  <c r="Z15" i="11"/>
  <c r="Z16" i="11" s="1"/>
  <c r="V15" i="11"/>
  <c r="AG74" i="11"/>
  <c r="AC74" i="11"/>
  <c r="AD143" i="11"/>
  <c r="AD74" i="11" s="1"/>
  <c r="AE15" i="11"/>
  <c r="AE16" i="11" s="1"/>
  <c r="AG15" i="11"/>
  <c r="AG16" i="11" s="1"/>
  <c r="AC15" i="11"/>
  <c r="AC16" i="11" s="1"/>
  <c r="AK143" i="11"/>
  <c r="AL143" i="11" s="1"/>
  <c r="AL74" i="11" s="1"/>
  <c r="AN74" i="11"/>
  <c r="AJ74" i="11"/>
  <c r="AL15" i="11"/>
  <c r="AL16" i="11" s="1"/>
  <c r="AN15" i="11"/>
  <c r="AN16" i="11" s="1"/>
  <c r="AJ15" i="11"/>
  <c r="AJ16" i="11" s="1"/>
  <c r="AW85" i="11"/>
  <c r="AW93" i="11" s="1"/>
  <c r="AU15" i="11"/>
  <c r="AU16" i="11" s="1"/>
  <c r="AS15" i="11"/>
  <c r="AS16" i="11" s="1"/>
  <c r="AQ15" i="11"/>
  <c r="AQ16" i="11" s="1"/>
  <c r="AZ15" i="11"/>
  <c r="AZ16" i="11" s="1"/>
  <c r="BB15" i="11"/>
  <c r="BB16" i="11" s="1"/>
  <c r="AX15" i="11"/>
  <c r="AX16" i="11" s="1"/>
  <c r="BD85" i="11"/>
  <c r="BG15" i="11"/>
  <c r="BG16" i="11" s="1"/>
  <c r="BI15" i="11"/>
  <c r="BI16" i="11" s="1"/>
  <c r="BE15" i="11"/>
  <c r="BE16" i="11" s="1"/>
  <c r="BN15" i="11"/>
  <c r="BP15" i="11"/>
  <c r="BP16" i="11" s="1"/>
  <c r="BL15" i="11"/>
  <c r="BL16" i="11" s="1"/>
  <c r="BU15" i="11"/>
  <c r="BW15" i="11"/>
  <c r="BW16" i="11" s="1"/>
  <c r="BS15" i="11"/>
  <c r="BS16" i="11" s="1"/>
  <c r="CB15" i="11"/>
  <c r="CB16" i="11" s="1"/>
  <c r="CD15" i="11"/>
  <c r="CD16" i="11" s="1"/>
  <c r="BZ15" i="11"/>
  <c r="BZ16" i="11" s="1"/>
  <c r="BA123" i="11"/>
  <c r="AZ123" i="11"/>
  <c r="AY123" i="11"/>
  <c r="AY87" i="11" s="1"/>
  <c r="AY95" i="11" s="1"/>
  <c r="AX123" i="11"/>
  <c r="AX87" i="11" s="1"/>
  <c r="AX95" i="11" s="1"/>
  <c r="AQ123" i="11"/>
  <c r="AQ87" i="11" s="1"/>
  <c r="AQ95" i="11" s="1"/>
  <c r="AR123" i="11"/>
  <c r="AS123" i="11"/>
  <c r="AS87" i="11" s="1"/>
  <c r="AT123" i="11"/>
  <c r="AT141" i="11"/>
  <c r="AS141" i="11"/>
  <c r="AR141" i="11"/>
  <c r="AQ141" i="11"/>
  <c r="AT139" i="11"/>
  <c r="AT89" i="11" s="1"/>
  <c r="AT97" i="11" s="1"/>
  <c r="AS139" i="11"/>
  <c r="AS89" i="11" s="1"/>
  <c r="AS97" i="11" s="1"/>
  <c r="AR139" i="11"/>
  <c r="AR89" i="11" s="1"/>
  <c r="AR97" i="11" s="1"/>
  <c r="AQ139" i="11"/>
  <c r="AQ89" i="11" s="1"/>
  <c r="AQ97" i="11" s="1"/>
  <c r="AV127" i="11"/>
  <c r="AU127" i="11"/>
  <c r="AT127" i="11"/>
  <c r="AT88" i="11" s="1"/>
  <c r="AT96" i="11" s="1"/>
  <c r="AS127" i="11"/>
  <c r="AS88" i="11" s="1"/>
  <c r="AS96" i="11" s="1"/>
  <c r="AR127" i="11"/>
  <c r="AR88" i="11" s="1"/>
  <c r="AR96" i="11" s="1"/>
  <c r="AQ127" i="11"/>
  <c r="AQ88" i="11" s="1"/>
  <c r="AQ96" i="11" s="1"/>
  <c r="AT116" i="11"/>
  <c r="AS116" i="11"/>
  <c r="AR116" i="11"/>
  <c r="AQ116" i="11"/>
  <c r="AT115" i="11"/>
  <c r="AS115" i="11"/>
  <c r="AR115" i="11"/>
  <c r="AQ115" i="11"/>
  <c r="AT114" i="11"/>
  <c r="AS114" i="11"/>
  <c r="AR114" i="11"/>
  <c r="AQ114" i="11"/>
  <c r="AT111" i="11"/>
  <c r="AS111" i="11"/>
  <c r="AR111" i="11"/>
  <c r="AQ111" i="11"/>
  <c r="AT110" i="11"/>
  <c r="AS110" i="11"/>
  <c r="AR110" i="11"/>
  <c r="AQ110" i="11"/>
  <c r="AT109" i="11"/>
  <c r="AS109" i="11"/>
  <c r="AR109" i="11"/>
  <c r="AQ109" i="11"/>
  <c r="AT108" i="11"/>
  <c r="AS108" i="11"/>
  <c r="AR108" i="11"/>
  <c r="AQ108" i="11"/>
  <c r="AV104" i="11"/>
  <c r="AU104" i="11"/>
  <c r="AT104" i="11"/>
  <c r="AT85" i="11" s="1"/>
  <c r="AT93" i="11" s="1"/>
  <c r="AS104" i="11"/>
  <c r="AS85" i="11" s="1"/>
  <c r="AS93" i="11" s="1"/>
  <c r="AR104" i="11"/>
  <c r="AR85" i="11" s="1"/>
  <c r="AR93" i="11" s="1"/>
  <c r="AQ104" i="11"/>
  <c r="AQ85" i="11" s="1"/>
  <c r="BA141" i="11"/>
  <c r="AZ141" i="11"/>
  <c r="AY141" i="11"/>
  <c r="AX141" i="11"/>
  <c r="BA139" i="11"/>
  <c r="BA89" i="11" s="1"/>
  <c r="BA97" i="11" s="1"/>
  <c r="AZ139" i="11"/>
  <c r="AZ89" i="11" s="1"/>
  <c r="AZ97" i="11" s="1"/>
  <c r="AY139" i="11"/>
  <c r="AY89" i="11" s="1"/>
  <c r="AY97" i="11" s="1"/>
  <c r="AX139" i="11"/>
  <c r="AX89" i="11" s="1"/>
  <c r="AX97" i="11" s="1"/>
  <c r="BC127" i="11"/>
  <c r="BB127" i="11"/>
  <c r="BA127" i="11"/>
  <c r="BA88" i="11" s="1"/>
  <c r="BA96" i="11" s="1"/>
  <c r="AZ127" i="11"/>
  <c r="AZ88" i="11" s="1"/>
  <c r="AY127" i="11"/>
  <c r="AY88" i="11" s="1"/>
  <c r="AY96" i="11" s="1"/>
  <c r="AX127" i="11"/>
  <c r="AX88" i="11" s="1"/>
  <c r="AX96" i="11" s="1"/>
  <c r="BA116" i="11"/>
  <c r="AZ116" i="11"/>
  <c r="AY116" i="11"/>
  <c r="AX116" i="11"/>
  <c r="BA115" i="11"/>
  <c r="AZ115" i="11"/>
  <c r="AY115" i="11"/>
  <c r="AX115" i="11"/>
  <c r="BA114" i="11"/>
  <c r="AZ114" i="11"/>
  <c r="AY114" i="11"/>
  <c r="AX114" i="11"/>
  <c r="BA111" i="11"/>
  <c r="AZ111" i="11"/>
  <c r="AY111" i="11"/>
  <c r="AX111" i="11"/>
  <c r="BA110" i="11"/>
  <c r="AZ110" i="11"/>
  <c r="AY110" i="11"/>
  <c r="AX110" i="11"/>
  <c r="BA109" i="11"/>
  <c r="AZ109" i="11"/>
  <c r="AY109" i="11"/>
  <c r="AX109" i="11"/>
  <c r="BA108" i="11"/>
  <c r="AZ108" i="11"/>
  <c r="AY108" i="11"/>
  <c r="AX108" i="11"/>
  <c r="BC104" i="11"/>
  <c r="BB104" i="11"/>
  <c r="BA104" i="11"/>
  <c r="BA85" i="11" s="1"/>
  <c r="BA93" i="11" s="1"/>
  <c r="AZ104" i="11"/>
  <c r="AZ85" i="11" s="1"/>
  <c r="AY104" i="11"/>
  <c r="AY85" i="11" s="1"/>
  <c r="AX104" i="11"/>
  <c r="AX85" i="11" s="1"/>
  <c r="AX93" i="11" s="1"/>
  <c r="BJ141" i="11"/>
  <c r="BI141" i="11"/>
  <c r="BH141" i="11"/>
  <c r="BG141" i="11"/>
  <c r="BF141" i="11"/>
  <c r="BE141" i="11"/>
  <c r="BJ139" i="11"/>
  <c r="BI139" i="11"/>
  <c r="BH139" i="11"/>
  <c r="BH89" i="11" s="1"/>
  <c r="BH97" i="11" s="1"/>
  <c r="BG139" i="11"/>
  <c r="BG89" i="11" s="1"/>
  <c r="BF139" i="11"/>
  <c r="BF89" i="11" s="1"/>
  <c r="BF97" i="11" s="1"/>
  <c r="BE139" i="11"/>
  <c r="BE89" i="11" s="1"/>
  <c r="BE97" i="11" s="1"/>
  <c r="BJ127" i="11"/>
  <c r="BI127" i="11"/>
  <c r="BH127" i="11"/>
  <c r="BH88" i="11" s="1"/>
  <c r="BH96" i="11" s="1"/>
  <c r="BG127" i="11"/>
  <c r="BG88" i="11" s="1"/>
  <c r="BF127" i="11"/>
  <c r="BF88" i="11" s="1"/>
  <c r="BF96" i="11" s="1"/>
  <c r="BE127" i="11"/>
  <c r="BE88" i="11" s="1"/>
  <c r="BE96" i="11" s="1"/>
  <c r="BJ116" i="11"/>
  <c r="BI116" i="11"/>
  <c r="BH116" i="11"/>
  <c r="BG116" i="11"/>
  <c r="BF116" i="11"/>
  <c r="BE116" i="11"/>
  <c r="BJ115" i="11"/>
  <c r="BI115" i="11"/>
  <c r="BH115" i="11"/>
  <c r="BG115" i="11"/>
  <c r="BF115" i="11"/>
  <c r="BE115" i="11"/>
  <c r="BJ114" i="11"/>
  <c r="BI114" i="11"/>
  <c r="BH114" i="11"/>
  <c r="BG114" i="11"/>
  <c r="BF114" i="11"/>
  <c r="BE114" i="11"/>
  <c r="BJ111" i="11"/>
  <c r="BI111" i="11"/>
  <c r="BH111" i="11"/>
  <c r="BG111" i="11"/>
  <c r="BF111" i="11"/>
  <c r="BE111" i="11"/>
  <c r="BJ110" i="11"/>
  <c r="BI110" i="11"/>
  <c r="BH110" i="11"/>
  <c r="BG110" i="11"/>
  <c r="BF110" i="11"/>
  <c r="BE110" i="11"/>
  <c r="BJ109" i="11"/>
  <c r="BI109" i="11"/>
  <c r="BH109" i="11"/>
  <c r="BG109" i="11"/>
  <c r="BF109" i="11"/>
  <c r="BE109" i="11"/>
  <c r="BJ108" i="11"/>
  <c r="BI108" i="11"/>
  <c r="BH108" i="11"/>
  <c r="BG108" i="11"/>
  <c r="BF108" i="11"/>
  <c r="BE108" i="11"/>
  <c r="BJ104" i="11"/>
  <c r="BH104" i="11"/>
  <c r="BH85" i="11" s="1"/>
  <c r="BH93" i="11" s="1"/>
  <c r="BG104" i="11"/>
  <c r="BG85" i="11" s="1"/>
  <c r="BG93" i="11" s="1"/>
  <c r="BF104" i="11"/>
  <c r="BF85" i="11" s="1"/>
  <c r="BE104" i="11"/>
  <c r="BE85" i="11" s="1"/>
  <c r="BN141" i="11"/>
  <c r="BM141" i="11"/>
  <c r="BL141" i="11"/>
  <c r="BN139" i="11"/>
  <c r="BN89" i="11" s="1"/>
  <c r="BN97" i="11" s="1"/>
  <c r="BM139" i="11"/>
  <c r="BM89" i="11" s="1"/>
  <c r="BM97" i="11" s="1"/>
  <c r="BL139" i="11"/>
  <c r="BL89" i="11" s="1"/>
  <c r="BL97" i="11" s="1"/>
  <c r="BN127" i="11"/>
  <c r="BN88" i="11" s="1"/>
  <c r="BM127" i="11"/>
  <c r="BM88" i="11" s="1"/>
  <c r="BM96" i="11" s="1"/>
  <c r="BL127" i="11"/>
  <c r="BN116" i="11"/>
  <c r="BM116" i="11"/>
  <c r="BL116" i="11"/>
  <c r="BN115" i="11"/>
  <c r="BM115" i="11"/>
  <c r="BL115" i="11"/>
  <c r="BN114" i="11"/>
  <c r="BM114" i="11"/>
  <c r="BL114" i="11"/>
  <c r="BN111" i="11"/>
  <c r="BM111" i="11"/>
  <c r="BL111" i="11"/>
  <c r="BN110" i="11"/>
  <c r="BM110" i="11"/>
  <c r="BL110" i="11"/>
  <c r="BN109" i="11"/>
  <c r="BM109" i="11"/>
  <c r="BL109" i="11"/>
  <c r="BN108" i="11"/>
  <c r="BM108" i="11"/>
  <c r="BL108" i="11"/>
  <c r="BN104" i="11"/>
  <c r="BN85" i="11" s="1"/>
  <c r="BN93" i="11" s="1"/>
  <c r="BM104" i="11"/>
  <c r="BM85" i="11" s="1"/>
  <c r="BL104" i="11"/>
  <c r="BL85" i="11" s="1"/>
  <c r="BL93" i="11" s="1"/>
  <c r="BU141" i="11"/>
  <c r="BT141" i="11"/>
  <c r="BS141" i="11"/>
  <c r="BU139" i="11"/>
  <c r="BU89" i="11" s="1"/>
  <c r="BU97" i="11" s="1"/>
  <c r="BT139" i="11"/>
  <c r="BT89" i="11" s="1"/>
  <c r="BT97" i="11" s="1"/>
  <c r="BS139" i="11"/>
  <c r="BS89" i="11" s="1"/>
  <c r="BS97" i="11" s="1"/>
  <c r="BU127" i="11"/>
  <c r="BU88" i="11" s="1"/>
  <c r="BT127" i="11"/>
  <c r="BT88" i="11" s="1"/>
  <c r="BT96" i="11" s="1"/>
  <c r="BS127" i="11"/>
  <c r="BS88" i="11" s="1"/>
  <c r="BS96" i="11" s="1"/>
  <c r="BU123" i="11"/>
  <c r="BT123" i="11"/>
  <c r="BS123" i="11"/>
  <c r="BU116" i="11"/>
  <c r="BT116" i="11"/>
  <c r="BS116" i="11"/>
  <c r="BU115" i="11"/>
  <c r="BT115" i="11"/>
  <c r="BS115" i="11"/>
  <c r="BU114" i="11"/>
  <c r="BT114" i="11"/>
  <c r="BS114" i="11"/>
  <c r="BU111" i="11"/>
  <c r="BT111" i="11"/>
  <c r="BS111" i="11"/>
  <c r="BU110" i="11"/>
  <c r="BT110" i="11"/>
  <c r="BS110" i="11"/>
  <c r="BU109" i="11"/>
  <c r="BT109" i="11"/>
  <c r="BS109" i="11"/>
  <c r="BU108" i="11"/>
  <c r="BT108" i="11"/>
  <c r="BS108" i="11"/>
  <c r="BU104" i="11"/>
  <c r="BU85" i="11" s="1"/>
  <c r="BU93" i="11" s="1"/>
  <c r="BT104" i="11"/>
  <c r="BS104" i="11"/>
  <c r="BS85" i="11" s="1"/>
  <c r="BS93" i="11" s="1"/>
  <c r="CB141" i="11"/>
  <c r="CA141" i="11"/>
  <c r="BZ141" i="11"/>
  <c r="CB139" i="11"/>
  <c r="CB89" i="11" s="1"/>
  <c r="CB97" i="11" s="1"/>
  <c r="CA139" i="11"/>
  <c r="CA89" i="11" s="1"/>
  <c r="CA97" i="11" s="1"/>
  <c r="BZ139" i="11"/>
  <c r="BZ89" i="11" s="1"/>
  <c r="BZ97" i="11" s="1"/>
  <c r="CB127" i="11"/>
  <c r="CB88" i="11" s="1"/>
  <c r="CA127" i="11"/>
  <c r="CA88" i="11" s="1"/>
  <c r="CA96" i="11" s="1"/>
  <c r="BZ127" i="11"/>
  <c r="BZ88" i="11" s="1"/>
  <c r="BZ96" i="11" s="1"/>
  <c r="CB123" i="11"/>
  <c r="CA123" i="11"/>
  <c r="BZ123" i="11"/>
  <c r="CB116" i="11"/>
  <c r="CA116" i="11"/>
  <c r="BZ116" i="11"/>
  <c r="CB115" i="11"/>
  <c r="CA115" i="11"/>
  <c r="BZ115" i="11"/>
  <c r="CB114" i="11"/>
  <c r="CA114" i="11"/>
  <c r="BZ114" i="11"/>
  <c r="CB111" i="11"/>
  <c r="CA111" i="11"/>
  <c r="BZ111" i="11"/>
  <c r="CB110" i="11"/>
  <c r="CA110" i="11"/>
  <c r="BZ110" i="11"/>
  <c r="CB109" i="11"/>
  <c r="CA109" i="11"/>
  <c r="BZ109" i="11"/>
  <c r="CB108" i="11"/>
  <c r="CA108" i="11"/>
  <c r="BZ108" i="11"/>
  <c r="CB104" i="11"/>
  <c r="CB85" i="11" s="1"/>
  <c r="CB93" i="11" s="1"/>
  <c r="CA104" i="11"/>
  <c r="BZ104" i="11"/>
  <c r="BZ85" i="11" s="1"/>
  <c r="BZ93" i="11" s="1"/>
  <c r="CG109" i="11"/>
  <c r="CH109" i="11"/>
  <c r="CI109" i="11"/>
  <c r="CG110" i="11"/>
  <c r="CH110" i="11"/>
  <c r="CI110" i="11"/>
  <c r="CG111" i="11"/>
  <c r="CH111" i="11"/>
  <c r="CI111" i="11"/>
  <c r="CG108" i="11"/>
  <c r="CH108" i="11"/>
  <c r="CI108" i="11"/>
  <c r="CG141" i="11"/>
  <c r="CH141" i="11"/>
  <c r="CI141" i="11"/>
  <c r="CG139" i="11"/>
  <c r="CG89" i="11" s="1"/>
  <c r="CG97" i="11" s="1"/>
  <c r="CH139" i="11"/>
  <c r="CH89" i="11" s="1"/>
  <c r="CH97" i="11" s="1"/>
  <c r="CI139" i="11"/>
  <c r="CI89" i="11" s="1"/>
  <c r="CG127" i="11"/>
  <c r="CG88" i="11" s="1"/>
  <c r="CG96" i="11" s="1"/>
  <c r="CH127" i="11"/>
  <c r="CH88" i="11" s="1"/>
  <c r="CH96" i="11" s="1"/>
  <c r="CI127" i="11"/>
  <c r="CI88" i="11" s="1"/>
  <c r="CG123" i="11"/>
  <c r="CG87" i="11" s="1"/>
  <c r="CG95" i="11" s="1"/>
  <c r="CH123" i="11"/>
  <c r="CH87" i="11" s="1"/>
  <c r="CH95" i="11" s="1"/>
  <c r="CI123" i="11"/>
  <c r="CG114" i="11"/>
  <c r="CH114" i="11"/>
  <c r="CI114" i="11"/>
  <c r="CG115" i="11"/>
  <c r="CH115" i="11"/>
  <c r="CI115" i="11"/>
  <c r="CG116" i="11"/>
  <c r="CH116" i="11"/>
  <c r="CI116" i="11"/>
  <c r="CG104" i="11"/>
  <c r="CG85" i="11" s="1"/>
  <c r="CG93" i="11" s="1"/>
  <c r="CH104" i="11"/>
  <c r="CH85" i="11" s="1"/>
  <c r="CI104" i="11"/>
  <c r="CI85" i="11" s="1"/>
  <c r="CI93" i="11" s="1"/>
  <c r="BE58" i="11"/>
  <c r="BF58" i="11"/>
  <c r="BE52" i="11"/>
  <c r="BI52" i="11"/>
  <c r="V51" i="11"/>
  <c r="Z51" i="11"/>
  <c r="S58" i="11"/>
  <c r="O58" i="11"/>
  <c r="S45" i="11"/>
  <c r="O45" i="11"/>
  <c r="S42" i="11"/>
  <c r="O42" i="11"/>
  <c r="Z45" i="11"/>
  <c r="V45" i="11"/>
  <c r="Z42" i="11"/>
  <c r="V42" i="11"/>
  <c r="AG45" i="11"/>
  <c r="AC45" i="11"/>
  <c r="AG42" i="11"/>
  <c r="AC42" i="11"/>
  <c r="AN45" i="11"/>
  <c r="AJ45" i="11"/>
  <c r="AN42" i="11"/>
  <c r="AJ42" i="11"/>
  <c r="AU45" i="11"/>
  <c r="AS45" i="11"/>
  <c r="AQ45" i="11"/>
  <c r="AU42" i="11"/>
  <c r="AQ42" i="11"/>
  <c r="BB45" i="11"/>
  <c r="AX45" i="11"/>
  <c r="BB42" i="11"/>
  <c r="AX42" i="11"/>
  <c r="BF45" i="11"/>
  <c r="BE45" i="11"/>
  <c r="BI42" i="11"/>
  <c r="BE42" i="11"/>
  <c r="BN45" i="11"/>
  <c r="BM45" i="11"/>
  <c r="BL45" i="11"/>
  <c r="BP42" i="11"/>
  <c r="BL42" i="11"/>
  <c r="BU45" i="11"/>
  <c r="BT45" i="11"/>
  <c r="BS45" i="11"/>
  <c r="BW42" i="11"/>
  <c r="BS42" i="11"/>
  <c r="CD45" i="11"/>
  <c r="CB45" i="11"/>
  <c r="BZ45" i="11"/>
  <c r="CD42" i="11"/>
  <c r="BZ42" i="11"/>
  <c r="CI45" i="11"/>
  <c r="CH45" i="11"/>
  <c r="CG45" i="11"/>
  <c r="CK42" i="11"/>
  <c r="CG42" i="11"/>
  <c r="CK15" i="11"/>
  <c r="CK16" i="11" s="1"/>
  <c r="CI15" i="11"/>
  <c r="CI16" i="11" s="1"/>
  <c r="CG15" i="11"/>
  <c r="S11" i="11"/>
  <c r="S5" i="11" s="1"/>
  <c r="O11" i="11"/>
  <c r="O5" i="11" s="1"/>
  <c r="Z11" i="11"/>
  <c r="Z5" i="11" s="1"/>
  <c r="V11" i="11"/>
  <c r="AG11" i="11"/>
  <c r="AG5" i="11" s="1"/>
  <c r="AC11" i="11"/>
  <c r="AN11" i="11"/>
  <c r="AJ11" i="11"/>
  <c r="AU11" i="11"/>
  <c r="AU5" i="11" s="1"/>
  <c r="AS11" i="11"/>
  <c r="AQ11" i="11"/>
  <c r="AQ5" i="11" s="1"/>
  <c r="BB11" i="11"/>
  <c r="AX11" i="11"/>
  <c r="BF11" i="11"/>
  <c r="BE11" i="11"/>
  <c r="BN11" i="11"/>
  <c r="BN5" i="11" s="1"/>
  <c r="BM11" i="11"/>
  <c r="BL11" i="11"/>
  <c r="BU11" i="11"/>
  <c r="BU5" i="11" s="1"/>
  <c r="BT11" i="11"/>
  <c r="BS11" i="11"/>
  <c r="CD11" i="11"/>
  <c r="CD5" i="11" s="1"/>
  <c r="CB11" i="11"/>
  <c r="CB5" i="11" s="1"/>
  <c r="BZ11" i="11"/>
  <c r="BZ5" i="11" s="1"/>
  <c r="CI11" i="11"/>
  <c r="CI5" i="11" s="1"/>
  <c r="CH11" i="11"/>
  <c r="CG11" i="11"/>
  <c r="BS18" i="4"/>
  <c r="BR18" i="4"/>
  <c r="BS17" i="4"/>
  <c r="BR17" i="4"/>
  <c r="BS16" i="4"/>
  <c r="BR16" i="4"/>
  <c r="BL18" i="4"/>
  <c r="BK18" i="4"/>
  <c r="BL17" i="4"/>
  <c r="BK17" i="4"/>
  <c r="BL16" i="4"/>
  <c r="BK16" i="4"/>
  <c r="BA18" i="4"/>
  <c r="AW18" i="4"/>
  <c r="BA17" i="4"/>
  <c r="AW17" i="4"/>
  <c r="BA16" i="4"/>
  <c r="AW16" i="4"/>
  <c r="AT18" i="4"/>
  <c r="AP18" i="4"/>
  <c r="AT17" i="4"/>
  <c r="AP17" i="4"/>
  <c r="AT16" i="4"/>
  <c r="AP16" i="4"/>
  <c r="AQ130" i="4"/>
  <c r="AQ129" i="4"/>
  <c r="AR129" i="4" s="1"/>
  <c r="AQ128" i="4"/>
  <c r="AR128" i="4" s="1"/>
  <c r="AQ127" i="4"/>
  <c r="AU129" i="4"/>
  <c r="AU128" i="4"/>
  <c r="AU127" i="4"/>
  <c r="AT131" i="4"/>
  <c r="AP131" i="4"/>
  <c r="S59" i="242"/>
  <c r="S57" i="242"/>
  <c r="S40" i="242"/>
  <c r="S37" i="242"/>
  <c r="S36" i="242"/>
  <c r="S35" i="242"/>
  <c r="S34" i="242"/>
  <c r="S30" i="242"/>
  <c r="S29" i="242"/>
  <c r="S27" i="242"/>
  <c r="S26" i="242"/>
  <c r="S24" i="242"/>
  <c r="S7" i="242"/>
  <c r="O59" i="242"/>
  <c r="P59" i="242" s="1"/>
  <c r="O57" i="242"/>
  <c r="P57" i="242" s="1"/>
  <c r="O40" i="242"/>
  <c r="P40" i="242" s="1"/>
  <c r="O37" i="242"/>
  <c r="P37" i="242" s="1"/>
  <c r="O36" i="242"/>
  <c r="P36" i="242" s="1"/>
  <c r="O35" i="242"/>
  <c r="P35" i="242" s="1"/>
  <c r="O34" i="242"/>
  <c r="P34" i="242" s="1"/>
  <c r="O33" i="242"/>
  <c r="P33" i="242" s="1"/>
  <c r="O30" i="242"/>
  <c r="P30" i="242" s="1"/>
  <c r="O29" i="242"/>
  <c r="P29" i="242" s="1"/>
  <c r="O28" i="242"/>
  <c r="P28" i="242" s="1"/>
  <c r="O27" i="242"/>
  <c r="P27" i="242" s="1"/>
  <c r="O26" i="242"/>
  <c r="O54" i="242" s="1"/>
  <c r="O24" i="242"/>
  <c r="P24" i="242" s="1"/>
  <c r="O20" i="242"/>
  <c r="O46" i="242" s="1"/>
  <c r="O8" i="242"/>
  <c r="P8" i="242" s="1"/>
  <c r="O7" i="242"/>
  <c r="P7" i="242" s="1"/>
  <c r="O6" i="242"/>
  <c r="P6" i="242" s="1"/>
  <c r="O5" i="242"/>
  <c r="P5" i="242" s="1"/>
  <c r="O86" i="242"/>
  <c r="R25" i="242"/>
  <c r="R23" i="242"/>
  <c r="R53" i="242" s="1"/>
  <c r="R9" i="242"/>
  <c r="O9" i="242" s="1"/>
  <c r="P9" i="242" s="1"/>
  <c r="R54" i="242"/>
  <c r="R46" i="242"/>
  <c r="R50" i="242" s="1"/>
  <c r="R38" i="242"/>
  <c r="R4" i="242"/>
  <c r="N25" i="242"/>
  <c r="N23" i="242"/>
  <c r="N53" i="242" s="1"/>
  <c r="N54" i="242"/>
  <c r="N46" i="242"/>
  <c r="N50" i="242" s="1"/>
  <c r="N38" i="242"/>
  <c r="N4" i="242"/>
  <c r="T54" i="242"/>
  <c r="Z80" i="242"/>
  <c r="X80" i="242" s="1"/>
  <c r="Z55" i="243"/>
  <c r="X55" i="243" s="1"/>
  <c r="Z54" i="243"/>
  <c r="X54" i="243" s="1"/>
  <c r="Z53" i="243"/>
  <c r="X53" i="243" s="1"/>
  <c r="Z52" i="243"/>
  <c r="X52" i="243" s="1"/>
  <c r="Z51" i="243"/>
  <c r="X51" i="243" s="1"/>
  <c r="Z43" i="243"/>
  <c r="X43" i="243" s="1"/>
  <c r="Z42" i="243"/>
  <c r="X42" i="243" s="1"/>
  <c r="Z41" i="243"/>
  <c r="Z212" i="243" s="1"/>
  <c r="Z40" i="243"/>
  <c r="Z39" i="243"/>
  <c r="X39" i="243" s="1"/>
  <c r="Z38" i="243"/>
  <c r="Z84" i="242" s="1"/>
  <c r="Z33" i="243"/>
  <c r="X33" i="243" s="1"/>
  <c r="Z32" i="243"/>
  <c r="X32" i="243" s="1"/>
  <c r="Z31" i="243"/>
  <c r="X31" i="243" s="1"/>
  <c r="Z30" i="243"/>
  <c r="X30" i="243" s="1"/>
  <c r="X173" i="243" s="1"/>
  <c r="Z29" i="243"/>
  <c r="Z170" i="243" s="1"/>
  <c r="Z28" i="243"/>
  <c r="Z83" i="242" s="1"/>
  <c r="Z27" i="243"/>
  <c r="Z255" i="243" s="1"/>
  <c r="Z20" i="243"/>
  <c r="X20" i="243" s="1"/>
  <c r="Z18" i="243"/>
  <c r="X18" i="243" s="1"/>
  <c r="Z17" i="243"/>
  <c r="X17" i="243" s="1"/>
  <c r="Z16" i="243"/>
  <c r="X16" i="243" s="1"/>
  <c r="Z15" i="243"/>
  <c r="X15" i="243" s="1"/>
  <c r="Z14" i="243"/>
  <c r="Z13" i="243"/>
  <c r="X13" i="243" s="1"/>
  <c r="Z8" i="243"/>
  <c r="Z164" i="243" s="1"/>
  <c r="Z6" i="243"/>
  <c r="Z5" i="243"/>
  <c r="X5" i="243" s="1"/>
  <c r="Z4" i="243"/>
  <c r="X4" i="243" s="1"/>
  <c r="X161" i="243" s="1"/>
  <c r="Z3" i="243"/>
  <c r="Z59" i="242"/>
  <c r="Z57" i="242"/>
  <c r="Z40" i="242"/>
  <c r="Z37" i="242"/>
  <c r="Z36" i="242"/>
  <c r="Z35" i="242"/>
  <c r="Z34" i="242"/>
  <c r="Z30" i="242"/>
  <c r="Z29" i="242"/>
  <c r="Z27" i="242"/>
  <c r="Z26" i="242"/>
  <c r="Z7" i="242"/>
  <c r="AA54" i="242"/>
  <c r="W211" i="243"/>
  <c r="W255" i="243"/>
  <c r="W251" i="243"/>
  <c r="W241" i="243"/>
  <c r="W240" i="243"/>
  <c r="W170" i="243"/>
  <c r="W161" i="243"/>
  <c r="W158" i="243"/>
  <c r="W37" i="243"/>
  <c r="W252" i="243" s="1"/>
  <c r="W19" i="243"/>
  <c r="W56" i="243"/>
  <c r="W49" i="243"/>
  <c r="W24" i="243"/>
  <c r="W80" i="242"/>
  <c r="W84" i="242"/>
  <c r="W83" i="242"/>
  <c r="W81" i="242"/>
  <c r="V55" i="243"/>
  <c r="V54" i="243"/>
  <c r="V53" i="243"/>
  <c r="V52" i="243"/>
  <c r="V51" i="243"/>
  <c r="V42" i="243"/>
  <c r="V39" i="243"/>
  <c r="V251" i="243" s="1"/>
  <c r="V38" i="243"/>
  <c r="V84" i="242" s="1"/>
  <c r="V31" i="243"/>
  <c r="V29" i="243"/>
  <c r="V170" i="243" s="1"/>
  <c r="V28" i="243"/>
  <c r="V83" i="242" s="1"/>
  <c r="V27" i="243"/>
  <c r="V18" i="243"/>
  <c r="V16" i="243"/>
  <c r="V15" i="243"/>
  <c r="V14" i="243"/>
  <c r="V13" i="243"/>
  <c r="V7" i="243"/>
  <c r="V241" i="243" s="1"/>
  <c r="V6" i="243"/>
  <c r="V4" i="243"/>
  <c r="V161" i="243" s="1"/>
  <c r="V3" i="243"/>
  <c r="V158" i="243" s="1"/>
  <c r="Y211" i="243"/>
  <c r="Y255" i="243"/>
  <c r="Y251" i="243"/>
  <c r="Y245" i="243"/>
  <c r="Y241" i="243"/>
  <c r="Y240" i="243"/>
  <c r="Y189" i="243"/>
  <c r="Y170" i="243"/>
  <c r="Y161" i="243"/>
  <c r="Y158" i="243"/>
  <c r="Y152" i="243"/>
  <c r="Y43" i="243"/>
  <c r="V43" i="243" s="1"/>
  <c r="W43" i="243" s="1"/>
  <c r="Y41" i="243"/>
  <c r="Y273" i="243" s="1"/>
  <c r="Y40" i="243"/>
  <c r="V40" i="243" s="1"/>
  <c r="Y37" i="243"/>
  <c r="V37" i="243" s="1"/>
  <c r="Y35" i="243"/>
  <c r="Y49" i="243" s="1"/>
  <c r="Y33" i="243"/>
  <c r="V33" i="243" s="1"/>
  <c r="W33" i="243" s="1"/>
  <c r="Y32" i="243"/>
  <c r="V32" i="243" s="1"/>
  <c r="W32" i="243" s="1"/>
  <c r="Y30" i="243"/>
  <c r="V30" i="243" s="1"/>
  <c r="Y20" i="243"/>
  <c r="V20" i="243" s="1"/>
  <c r="W20" i="243" s="1"/>
  <c r="Y19" i="243"/>
  <c r="V19" i="243" s="1"/>
  <c r="Y17" i="243"/>
  <c r="V17" i="243" s="1"/>
  <c r="W17" i="243" s="1"/>
  <c r="Y11" i="243"/>
  <c r="Y24" i="243" s="1"/>
  <c r="Y8" i="243"/>
  <c r="Y5" i="243"/>
  <c r="V5" i="243" s="1"/>
  <c r="W5" i="243" s="1"/>
  <c r="Y56" i="243"/>
  <c r="Y80" i="242"/>
  <c r="V59" i="242"/>
  <c r="W59" i="242" s="1"/>
  <c r="V57" i="242"/>
  <c r="W57" i="242" s="1"/>
  <c r="V40" i="242"/>
  <c r="W40" i="242" s="1"/>
  <c r="V37" i="242"/>
  <c r="W37" i="242" s="1"/>
  <c r="V36" i="242"/>
  <c r="W36" i="242" s="1"/>
  <c r="V35" i="242"/>
  <c r="W35" i="242" s="1"/>
  <c r="V34" i="242"/>
  <c r="W34" i="242" s="1"/>
  <c r="V33" i="242"/>
  <c r="W33" i="242" s="1"/>
  <c r="V30" i="242"/>
  <c r="W30" i="242" s="1"/>
  <c r="V29" i="242"/>
  <c r="W29" i="242" s="1"/>
  <c r="V28" i="242"/>
  <c r="W28" i="242" s="1"/>
  <c r="V27" i="242"/>
  <c r="W27" i="242" s="1"/>
  <c r="V26" i="242"/>
  <c r="V54" i="242" s="1"/>
  <c r="V24" i="242"/>
  <c r="W24" i="242" s="1"/>
  <c r="V20" i="242"/>
  <c r="V8" i="242"/>
  <c r="W8" i="242" s="1"/>
  <c r="V7" i="242"/>
  <c r="W7" i="242" s="1"/>
  <c r="V6" i="242"/>
  <c r="W6" i="242" s="1"/>
  <c r="V5" i="242"/>
  <c r="W5" i="242" s="1"/>
  <c r="Y25" i="242"/>
  <c r="Y23" i="242"/>
  <c r="Y53" i="242" s="1"/>
  <c r="Y9" i="242"/>
  <c r="Y84" i="242"/>
  <c r="Y83" i="242"/>
  <c r="Y81" i="242"/>
  <c r="Y54" i="242"/>
  <c r="Y46" i="242"/>
  <c r="Y50" i="242" s="1"/>
  <c r="Y38" i="242"/>
  <c r="Y4" i="242"/>
  <c r="U255" i="243"/>
  <c r="U251" i="243"/>
  <c r="U245" i="243"/>
  <c r="U241" i="243"/>
  <c r="U240" i="243"/>
  <c r="U211" i="243"/>
  <c r="U189" i="243"/>
  <c r="U170" i="243"/>
  <c r="U161" i="243"/>
  <c r="U158" i="243"/>
  <c r="U152" i="243"/>
  <c r="U43" i="243"/>
  <c r="U41" i="243"/>
  <c r="U212" i="243" s="1"/>
  <c r="U40" i="243"/>
  <c r="U174" i="243" s="1"/>
  <c r="U37" i="243"/>
  <c r="U256" i="243" s="1"/>
  <c r="U33" i="243"/>
  <c r="U32" i="243"/>
  <c r="U30" i="243"/>
  <c r="U173" i="243" s="1"/>
  <c r="U20" i="243"/>
  <c r="U19" i="243"/>
  <c r="U17" i="243"/>
  <c r="U8" i="243"/>
  <c r="U164" i="243" s="1"/>
  <c r="U5" i="243"/>
  <c r="U56" i="243"/>
  <c r="U49" i="243"/>
  <c r="U24" i="243"/>
  <c r="U25" i="242"/>
  <c r="U23" i="242"/>
  <c r="U53" i="242" s="1"/>
  <c r="U9" i="242"/>
  <c r="U84" i="242"/>
  <c r="U83" i="242"/>
  <c r="U81" i="242"/>
  <c r="U80" i="242"/>
  <c r="U54" i="242"/>
  <c r="U46" i="242"/>
  <c r="U50" i="242" s="1"/>
  <c r="U38" i="242"/>
  <c r="U4" i="242"/>
  <c r="AG80" i="242"/>
  <c r="AE80" i="242" s="1"/>
  <c r="AG55" i="243"/>
  <c r="AE55" i="243" s="1"/>
  <c r="AG54" i="243"/>
  <c r="AE54" i="243" s="1"/>
  <c r="AG53" i="243"/>
  <c r="AE53" i="243" s="1"/>
  <c r="AG52" i="243"/>
  <c r="AE52" i="243" s="1"/>
  <c r="AG51" i="243"/>
  <c r="AG43" i="243"/>
  <c r="AE43" i="243" s="1"/>
  <c r="AG42" i="243"/>
  <c r="AE42" i="243" s="1"/>
  <c r="AG41" i="243"/>
  <c r="AG212" i="243" s="1"/>
  <c r="AG40" i="243"/>
  <c r="AG174" i="243" s="1"/>
  <c r="AG39" i="243"/>
  <c r="AG251" i="243" s="1"/>
  <c r="AG38" i="243"/>
  <c r="AG84" i="242" s="1"/>
  <c r="AG33" i="243"/>
  <c r="AE33" i="243" s="1"/>
  <c r="AG32" i="243"/>
  <c r="AE32" i="243" s="1"/>
  <c r="AG31" i="243"/>
  <c r="AE31" i="243" s="1"/>
  <c r="AG30" i="243"/>
  <c r="AG173" i="243" s="1"/>
  <c r="AG29" i="243"/>
  <c r="AG170" i="243" s="1"/>
  <c r="AG28" i="243"/>
  <c r="AE28" i="243" s="1"/>
  <c r="AE83" i="242" s="1"/>
  <c r="AG27" i="243"/>
  <c r="AG20" i="243"/>
  <c r="AE20" i="243" s="1"/>
  <c r="AG18" i="243"/>
  <c r="AE18" i="243" s="1"/>
  <c r="AG17" i="243"/>
  <c r="AE17" i="243" s="1"/>
  <c r="AG16" i="243"/>
  <c r="AE16" i="243" s="1"/>
  <c r="AG15" i="243"/>
  <c r="AE15" i="243" s="1"/>
  <c r="AG14" i="243"/>
  <c r="AG13" i="243"/>
  <c r="AE13" i="243" s="1"/>
  <c r="AG8" i="243"/>
  <c r="AG164" i="243" s="1"/>
  <c r="AG6" i="243"/>
  <c r="AG5" i="243"/>
  <c r="AE5" i="243" s="1"/>
  <c r="AG4" i="243"/>
  <c r="AG161" i="243" s="1"/>
  <c r="AG3" i="243"/>
  <c r="AG158" i="243" s="1"/>
  <c r="AG59" i="242"/>
  <c r="AG57" i="242"/>
  <c r="AG40" i="242"/>
  <c r="AG37" i="242"/>
  <c r="AG36" i="242"/>
  <c r="AG35" i="242"/>
  <c r="AG34" i="242"/>
  <c r="AG33" i="242"/>
  <c r="AG30" i="242"/>
  <c r="AG29" i="242"/>
  <c r="AG28" i="242"/>
  <c r="AG27" i="242"/>
  <c r="AG26" i="242"/>
  <c r="AG54" i="242" s="1"/>
  <c r="AG7" i="242"/>
  <c r="AH54" i="242"/>
  <c r="AD209" i="243"/>
  <c r="AD208" i="243"/>
  <c r="AD207" i="243"/>
  <c r="AD205" i="243"/>
  <c r="AD204" i="243"/>
  <c r="AD273" i="243"/>
  <c r="AD255" i="243"/>
  <c r="AD251" i="243"/>
  <c r="AD240" i="243"/>
  <c r="AD212" i="243"/>
  <c r="AD170" i="243"/>
  <c r="AD161" i="243"/>
  <c r="AD158" i="243"/>
  <c r="AD44" i="243"/>
  <c r="AD37" i="243"/>
  <c r="AD256" i="243" s="1"/>
  <c r="AD35" i="243"/>
  <c r="AD19" i="243"/>
  <c r="AD11" i="243"/>
  <c r="AD24" i="243" s="1"/>
  <c r="AD9" i="243"/>
  <c r="AD7" i="243"/>
  <c r="AD241" i="243" s="1"/>
  <c r="AD56" i="243"/>
  <c r="AD84" i="242"/>
  <c r="AD83" i="242"/>
  <c r="AD81" i="242"/>
  <c r="AC210" i="243"/>
  <c r="AC209" i="243"/>
  <c r="AC206" i="243"/>
  <c r="AF208" i="243"/>
  <c r="AC208" i="243" s="1"/>
  <c r="AF207" i="243"/>
  <c r="AC207" i="243" s="1"/>
  <c r="AF205" i="243"/>
  <c r="AC205" i="243" s="1"/>
  <c r="AF204" i="243"/>
  <c r="AC204" i="243" s="1"/>
  <c r="AF273" i="243"/>
  <c r="AF255" i="243"/>
  <c r="AF251" i="243"/>
  <c r="AF245" i="243"/>
  <c r="AF240" i="243"/>
  <c r="AF212" i="243"/>
  <c r="AF189" i="243"/>
  <c r="AF170" i="243"/>
  <c r="AF161" i="243"/>
  <c r="AF158" i="243"/>
  <c r="AF152" i="243"/>
  <c r="AC55" i="243"/>
  <c r="AC54" i="243"/>
  <c r="AC53" i="243"/>
  <c r="AC52" i="243"/>
  <c r="AC51" i="243"/>
  <c r="AC42" i="243"/>
  <c r="AC41" i="243"/>
  <c r="AC273" i="243" s="1"/>
  <c r="AC39" i="243"/>
  <c r="AC251" i="243" s="1"/>
  <c r="AC38" i="243"/>
  <c r="AC84" i="242" s="1"/>
  <c r="AC33" i="243"/>
  <c r="AC31" i="243"/>
  <c r="AC29" i="243"/>
  <c r="AC170" i="243" s="1"/>
  <c r="AC28" i="243"/>
  <c r="AC83" i="242" s="1"/>
  <c r="AC27" i="243"/>
  <c r="AC255" i="243" s="1"/>
  <c r="AC20" i="243"/>
  <c r="AC18" i="243"/>
  <c r="AC16" i="243"/>
  <c r="AC15" i="243"/>
  <c r="AC14" i="243"/>
  <c r="AC13" i="243"/>
  <c r="AC6" i="243"/>
  <c r="AC5" i="243"/>
  <c r="AC4" i="243"/>
  <c r="AC161" i="243" s="1"/>
  <c r="AC3" i="243"/>
  <c r="AF44" i="243"/>
  <c r="AC44" i="243" s="1"/>
  <c r="AF37" i="243"/>
  <c r="AF256" i="243" s="1"/>
  <c r="AF35" i="243"/>
  <c r="AF32" i="243"/>
  <c r="AF43" i="243" s="1"/>
  <c r="AC43" i="243" s="1"/>
  <c r="AF30" i="243"/>
  <c r="AF173" i="243" s="1"/>
  <c r="AF19" i="243"/>
  <c r="AC19" i="243" s="1"/>
  <c r="AF11" i="243"/>
  <c r="AF24" i="243" s="1"/>
  <c r="AF9" i="243"/>
  <c r="AC9" i="243" s="1"/>
  <c r="AF8" i="243"/>
  <c r="AF7" i="243"/>
  <c r="AF80" i="242" s="1"/>
  <c r="AF56" i="243"/>
  <c r="AC59" i="242"/>
  <c r="AD59" i="242" s="1"/>
  <c r="AC57" i="242"/>
  <c r="AD57" i="242" s="1"/>
  <c r="AC40" i="242"/>
  <c r="AD40" i="242" s="1"/>
  <c r="AC37" i="242"/>
  <c r="AD37" i="242" s="1"/>
  <c r="AC36" i="242"/>
  <c r="AD36" i="242" s="1"/>
  <c r="AC35" i="242"/>
  <c r="AD35" i="242" s="1"/>
  <c r="AC34" i="242"/>
  <c r="AD34" i="242" s="1"/>
  <c r="AC33" i="242"/>
  <c r="AD33" i="242" s="1"/>
  <c r="AC30" i="242"/>
  <c r="AD30" i="242" s="1"/>
  <c r="AC29" i="242"/>
  <c r="AD29" i="242" s="1"/>
  <c r="AC28" i="242"/>
  <c r="AD28" i="242" s="1"/>
  <c r="AC27" i="242"/>
  <c r="AD27" i="242" s="1"/>
  <c r="AC26" i="242"/>
  <c r="AC54" i="242" s="1"/>
  <c r="AC20" i="242"/>
  <c r="AC189" i="243" s="1"/>
  <c r="AC8" i="242"/>
  <c r="AD8" i="242" s="1"/>
  <c r="AC7" i="242"/>
  <c r="AD7" i="242" s="1"/>
  <c r="AC6" i="242"/>
  <c r="AD6" i="242" s="1"/>
  <c r="AC5" i="242"/>
  <c r="AD5" i="242" s="1"/>
  <c r="AF25" i="242"/>
  <c r="AF24" i="242"/>
  <c r="AF23" i="242"/>
  <c r="AF53" i="242" s="1"/>
  <c r="AF9" i="242"/>
  <c r="AF84" i="242"/>
  <c r="AF83" i="242"/>
  <c r="AF81" i="242"/>
  <c r="AF54" i="242"/>
  <c r="AF46" i="242"/>
  <c r="AF50" i="242" s="1"/>
  <c r="AF38" i="242"/>
  <c r="AF4" i="242"/>
  <c r="AB211" i="243"/>
  <c r="AB255" i="243"/>
  <c r="AB251" i="243"/>
  <c r="AB245" i="243"/>
  <c r="AB241" i="243"/>
  <c r="AB240" i="243"/>
  <c r="AB189" i="243"/>
  <c r="AB170" i="243"/>
  <c r="AB161" i="243"/>
  <c r="AB158" i="243"/>
  <c r="AB152" i="243"/>
  <c r="AB43" i="243"/>
  <c r="AB41" i="243"/>
  <c r="AB273" i="243" s="1"/>
  <c r="AB40" i="243"/>
  <c r="AB174" i="243" s="1"/>
  <c r="AB37" i="243"/>
  <c r="AB252" i="243" s="1"/>
  <c r="AB33" i="243"/>
  <c r="AB32" i="243"/>
  <c r="AB30" i="243"/>
  <c r="AB173" i="243" s="1"/>
  <c r="AB19" i="243"/>
  <c r="AB20" i="243"/>
  <c r="AB17" i="243"/>
  <c r="AB11" i="243"/>
  <c r="AB24" i="243" s="1"/>
  <c r="AB8" i="243"/>
  <c r="AB164" i="243" s="1"/>
  <c r="AB5" i="243"/>
  <c r="AB56" i="243"/>
  <c r="AB84" i="242"/>
  <c r="AB83" i="242"/>
  <c r="AB81" i="242"/>
  <c r="AB25" i="242"/>
  <c r="AB24" i="242"/>
  <c r="AB23" i="242"/>
  <c r="AB53" i="242" s="1"/>
  <c r="AC10" i="242"/>
  <c r="AD10" i="242" s="1"/>
  <c r="AB9" i="242"/>
  <c r="AB54" i="242"/>
  <c r="AB46" i="242"/>
  <c r="AB50" i="242" s="1"/>
  <c r="AB38" i="242"/>
  <c r="AB4" i="242"/>
  <c r="AN204" i="243"/>
  <c r="AL204" i="243" s="1"/>
  <c r="AN55" i="243"/>
  <c r="AL55" i="243" s="1"/>
  <c r="AN54" i="243"/>
  <c r="AL54" i="243" s="1"/>
  <c r="AN53" i="243"/>
  <c r="AL53" i="243" s="1"/>
  <c r="AN52" i="243"/>
  <c r="AL52" i="243" s="1"/>
  <c r="AN51" i="243"/>
  <c r="AN43" i="243"/>
  <c r="AL43" i="243" s="1"/>
  <c r="AN42" i="243"/>
  <c r="AL42" i="243" s="1"/>
  <c r="AN41" i="243"/>
  <c r="AL41" i="243" s="1"/>
  <c r="AL212" i="243" s="1"/>
  <c r="AN40" i="243"/>
  <c r="AN174" i="243" s="1"/>
  <c r="AN39" i="243"/>
  <c r="AL39" i="243" s="1"/>
  <c r="AL251" i="243" s="1"/>
  <c r="AN38" i="243"/>
  <c r="AL38" i="243" s="1"/>
  <c r="AL84" i="242" s="1"/>
  <c r="AN33" i="243"/>
  <c r="AL33" i="243" s="1"/>
  <c r="AN32" i="243"/>
  <c r="AL32" i="243" s="1"/>
  <c r="AN31" i="243"/>
  <c r="AL31" i="243" s="1"/>
  <c r="AN30" i="243"/>
  <c r="AL30" i="243" s="1"/>
  <c r="AL173" i="243" s="1"/>
  <c r="AN29" i="243"/>
  <c r="AL29" i="243" s="1"/>
  <c r="AL170" i="243" s="1"/>
  <c r="AN28" i="243"/>
  <c r="AN27" i="243"/>
  <c r="AN255" i="243" s="1"/>
  <c r="AN20" i="243"/>
  <c r="AL20" i="243" s="1"/>
  <c r="AN18" i="243"/>
  <c r="AL18" i="243" s="1"/>
  <c r="AN17" i="243"/>
  <c r="AL17" i="243" s="1"/>
  <c r="AN16" i="243"/>
  <c r="AL16" i="243" s="1"/>
  <c r="AN15" i="243"/>
  <c r="AL15" i="243" s="1"/>
  <c r="AN14" i="243"/>
  <c r="AL14" i="243" s="1"/>
  <c r="AN13" i="243"/>
  <c r="AL13" i="243" s="1"/>
  <c r="AN8" i="243"/>
  <c r="AL8" i="243" s="1"/>
  <c r="AL164" i="243" s="1"/>
  <c r="AN7" i="243"/>
  <c r="AN241" i="243" s="1"/>
  <c r="AN6" i="243"/>
  <c r="AN5" i="243"/>
  <c r="AL5" i="243" s="1"/>
  <c r="AN4" i="243"/>
  <c r="AL4" i="243" s="1"/>
  <c r="AL161" i="243" s="1"/>
  <c r="AN3" i="243"/>
  <c r="AL3" i="243" s="1"/>
  <c r="AN59" i="242"/>
  <c r="AN57" i="242"/>
  <c r="AN50" i="242"/>
  <c r="AN40" i="242"/>
  <c r="AN37" i="242"/>
  <c r="AN36" i="242"/>
  <c r="AN35" i="242"/>
  <c r="AN34" i="242"/>
  <c r="AN33" i="242"/>
  <c r="AN30" i="242"/>
  <c r="AN29" i="242"/>
  <c r="AN28" i="242"/>
  <c r="AN27" i="242"/>
  <c r="AN26" i="242"/>
  <c r="AN54" i="242" s="1"/>
  <c r="AN7" i="242"/>
  <c r="AN5" i="242"/>
  <c r="AK209" i="243"/>
  <c r="AK208" i="243"/>
  <c r="AK207" i="243"/>
  <c r="AK205" i="243"/>
  <c r="AK204" i="243"/>
  <c r="AK273" i="243"/>
  <c r="AK255" i="243"/>
  <c r="AK251" i="243"/>
  <c r="AK240" i="243"/>
  <c r="AK212" i="243"/>
  <c r="AK174" i="243"/>
  <c r="AK173" i="243"/>
  <c r="AK170" i="243"/>
  <c r="AK164" i="243"/>
  <c r="AK161" i="243"/>
  <c r="AK158" i="243"/>
  <c r="AK44" i="243"/>
  <c r="AK37" i="243"/>
  <c r="AK35" i="243"/>
  <c r="AK34" i="243" s="1"/>
  <c r="AK178" i="243" s="1"/>
  <c r="AK19" i="243"/>
  <c r="AK21" i="243" s="1"/>
  <c r="AK11" i="243"/>
  <c r="AK24" i="243" s="1"/>
  <c r="AK9" i="243"/>
  <c r="AK7" i="243"/>
  <c r="AK80" i="242" s="1"/>
  <c r="AK56" i="243"/>
  <c r="AK84" i="242"/>
  <c r="AK83" i="242"/>
  <c r="AK81" i="242"/>
  <c r="AJ82" i="242"/>
  <c r="AJ210" i="243"/>
  <c r="AJ206" i="243"/>
  <c r="AM209" i="243"/>
  <c r="AJ209" i="243" s="1"/>
  <c r="AM208" i="243"/>
  <c r="AJ208" i="243" s="1"/>
  <c r="AM207" i="243"/>
  <c r="AJ207" i="243" s="1"/>
  <c r="AM205" i="243"/>
  <c r="AJ205" i="243" s="1"/>
  <c r="AM204" i="243"/>
  <c r="AJ204" i="243" s="1"/>
  <c r="AM273" i="243"/>
  <c r="AM255" i="243"/>
  <c r="AM251" i="243"/>
  <c r="AM245" i="243"/>
  <c r="AM240" i="243"/>
  <c r="AM212" i="243"/>
  <c r="AM189" i="243"/>
  <c r="AM174" i="243"/>
  <c r="AM173" i="243"/>
  <c r="AM170" i="243"/>
  <c r="AM164" i="243"/>
  <c r="AM161" i="243"/>
  <c r="AM158" i="243"/>
  <c r="AM152" i="243"/>
  <c r="AJ55" i="243"/>
  <c r="AJ54" i="243"/>
  <c r="AJ53" i="243"/>
  <c r="AJ52" i="243"/>
  <c r="AJ51" i="243"/>
  <c r="AJ43" i="243"/>
  <c r="AJ42" i="243"/>
  <c r="AJ41" i="243"/>
  <c r="AJ273" i="243" s="1"/>
  <c r="AJ40" i="243"/>
  <c r="AJ174" i="243" s="1"/>
  <c r="AJ39" i="243"/>
  <c r="AJ251" i="243" s="1"/>
  <c r="AJ38" i="243"/>
  <c r="AJ84" i="242" s="1"/>
  <c r="AJ33" i="243"/>
  <c r="AJ32" i="243"/>
  <c r="AJ31" i="243"/>
  <c r="AJ30" i="243"/>
  <c r="AJ173" i="243" s="1"/>
  <c r="AJ29" i="243"/>
  <c r="AJ170" i="243" s="1"/>
  <c r="AJ28" i="243"/>
  <c r="AJ83" i="242" s="1"/>
  <c r="AJ27" i="243"/>
  <c r="AJ255" i="243" s="1"/>
  <c r="AJ20" i="243"/>
  <c r="AJ18" i="243"/>
  <c r="AJ17" i="243"/>
  <c r="AJ16" i="243"/>
  <c r="AJ15" i="243"/>
  <c r="AJ14" i="243"/>
  <c r="AJ13" i="243"/>
  <c r="AJ8" i="243"/>
  <c r="AJ164" i="243" s="1"/>
  <c r="AJ6" i="243"/>
  <c r="AJ5" i="243"/>
  <c r="AJ4" i="243"/>
  <c r="AJ161" i="243" s="1"/>
  <c r="AJ3" i="243"/>
  <c r="AJ158" i="243" s="1"/>
  <c r="AM44" i="243"/>
  <c r="AJ44" i="243" s="1"/>
  <c r="AM37" i="243"/>
  <c r="AM35" i="243"/>
  <c r="AM34" i="243" s="1"/>
  <c r="AJ34" i="243" s="1"/>
  <c r="AJ178" i="243" s="1"/>
  <c r="AM19" i="243"/>
  <c r="AJ19" i="243" s="1"/>
  <c r="AM11" i="243"/>
  <c r="AM24" i="243" s="1"/>
  <c r="AM9" i="243"/>
  <c r="AJ9" i="243" s="1"/>
  <c r="AM7" i="243"/>
  <c r="AM80" i="242" s="1"/>
  <c r="AM56" i="243"/>
  <c r="AJ59" i="242"/>
  <c r="AK59" i="242" s="1"/>
  <c r="AJ57" i="242"/>
  <c r="AK57" i="242" s="1"/>
  <c r="AJ40" i="242"/>
  <c r="AK40" i="242" s="1"/>
  <c r="AJ37" i="242"/>
  <c r="AK37" i="242" s="1"/>
  <c r="AJ36" i="242"/>
  <c r="AK36" i="242" s="1"/>
  <c r="AJ35" i="242"/>
  <c r="AK35" i="242" s="1"/>
  <c r="AJ34" i="242"/>
  <c r="AK34" i="242" s="1"/>
  <c r="AJ33" i="242"/>
  <c r="AK33" i="242" s="1"/>
  <c r="AJ30" i="242"/>
  <c r="AK30" i="242" s="1"/>
  <c r="AJ29" i="242"/>
  <c r="AK29" i="242" s="1"/>
  <c r="AJ28" i="242"/>
  <c r="AK28" i="242" s="1"/>
  <c r="AJ27" i="242"/>
  <c r="AK27" i="242" s="1"/>
  <c r="AJ26" i="242"/>
  <c r="AJ54" i="242" s="1"/>
  <c r="AJ20" i="242"/>
  <c r="AJ189" i="243" s="1"/>
  <c r="AJ8" i="242"/>
  <c r="AK8" i="242" s="1"/>
  <c r="AJ7" i="242"/>
  <c r="AK7" i="242" s="1"/>
  <c r="AJ6" i="242"/>
  <c r="AK6" i="242" s="1"/>
  <c r="AJ5" i="242"/>
  <c r="AK5" i="242" s="1"/>
  <c r="AM25" i="242"/>
  <c r="AM24" i="242"/>
  <c r="AM23" i="242"/>
  <c r="AM9" i="242"/>
  <c r="AM84" i="242"/>
  <c r="AM83" i="242"/>
  <c r="AM81" i="242"/>
  <c r="AM54" i="242"/>
  <c r="AM46" i="242"/>
  <c r="AM38" i="242"/>
  <c r="AM4" i="242"/>
  <c r="AI7" i="243"/>
  <c r="AI241" i="243" s="1"/>
  <c r="AI209" i="243"/>
  <c r="AI208" i="243"/>
  <c r="AI207" i="243"/>
  <c r="AI205" i="243"/>
  <c r="AI204" i="243"/>
  <c r="AI273" i="243"/>
  <c r="AI255" i="243"/>
  <c r="AI251" i="243"/>
  <c r="AI245" i="243"/>
  <c r="AI240" i="243"/>
  <c r="AI212" i="243"/>
  <c r="AI189" i="243"/>
  <c r="AI174" i="243"/>
  <c r="AI173" i="243"/>
  <c r="AI170" i="243"/>
  <c r="AI164" i="243"/>
  <c r="AI161" i="243"/>
  <c r="AI158" i="243"/>
  <c r="AI152" i="243"/>
  <c r="AI44" i="243"/>
  <c r="AI37" i="243"/>
  <c r="AI252" i="243" s="1"/>
  <c r="AI35" i="243"/>
  <c r="AI49" i="243" s="1"/>
  <c r="AI19" i="243"/>
  <c r="AI21" i="243" s="1"/>
  <c r="AI11" i="243"/>
  <c r="AI24" i="243" s="1"/>
  <c r="AI9" i="243"/>
  <c r="AI56" i="243"/>
  <c r="AI25" i="242"/>
  <c r="AI24" i="242"/>
  <c r="AI23" i="242"/>
  <c r="AI9" i="242"/>
  <c r="AI84" i="242"/>
  <c r="AI83" i="242"/>
  <c r="AI81" i="242"/>
  <c r="AI54" i="242"/>
  <c r="AI46" i="242"/>
  <c r="AI50" i="242" s="1"/>
  <c r="AJ50" i="242" s="1"/>
  <c r="AK50" i="242" s="1"/>
  <c r="AI38" i="242"/>
  <c r="AI4" i="242"/>
  <c r="AU209" i="243"/>
  <c r="AS209" i="243" s="1"/>
  <c r="AU208" i="243"/>
  <c r="AS208" i="243" s="1"/>
  <c r="AU207" i="243"/>
  <c r="AS207" i="243" s="1"/>
  <c r="AU205" i="243"/>
  <c r="AS205" i="243" s="1"/>
  <c r="AU204" i="243"/>
  <c r="AS204" i="243" s="1"/>
  <c r="AU55" i="243"/>
  <c r="AS55" i="243" s="1"/>
  <c r="AU54" i="243"/>
  <c r="AS54" i="243" s="1"/>
  <c r="AU52" i="243"/>
  <c r="AS52" i="243" s="1"/>
  <c r="AU51" i="243"/>
  <c r="AU43" i="243"/>
  <c r="AS43" i="243" s="1"/>
  <c r="AU42" i="243"/>
  <c r="AS42" i="243" s="1"/>
  <c r="AU41" i="243"/>
  <c r="AU273" i="243" s="1"/>
  <c r="AU40" i="243"/>
  <c r="AU174" i="243" s="1"/>
  <c r="AU39" i="243"/>
  <c r="AU38" i="243"/>
  <c r="AS38" i="243" s="1"/>
  <c r="AS84" i="242" s="1"/>
  <c r="AU33" i="243"/>
  <c r="AS33" i="243" s="1"/>
  <c r="AU32" i="243"/>
  <c r="AS32" i="243" s="1"/>
  <c r="AU31" i="243"/>
  <c r="AS31" i="243" s="1"/>
  <c r="AU30" i="243"/>
  <c r="AS30" i="243" s="1"/>
  <c r="AS173" i="243" s="1"/>
  <c r="AU29" i="243"/>
  <c r="AU28" i="243"/>
  <c r="AS28" i="243" s="1"/>
  <c r="AS83" i="242" s="1"/>
  <c r="AU27" i="243"/>
  <c r="AU255" i="243" s="1"/>
  <c r="AU20" i="243"/>
  <c r="AS20" i="243" s="1"/>
  <c r="AU18" i="243"/>
  <c r="AS18" i="243" s="1"/>
  <c r="AU17" i="243"/>
  <c r="AS17" i="243" s="1"/>
  <c r="AU16" i="243"/>
  <c r="AS16" i="243" s="1"/>
  <c r="AU15" i="243"/>
  <c r="AS15" i="243" s="1"/>
  <c r="AU14" i="243"/>
  <c r="AS14" i="243" s="1"/>
  <c r="AU13" i="243"/>
  <c r="AU8" i="243"/>
  <c r="AU7" i="243"/>
  <c r="AU80" i="242" s="1"/>
  <c r="AU6" i="243"/>
  <c r="AU5" i="243"/>
  <c r="AS5" i="243" s="1"/>
  <c r="AU4" i="243"/>
  <c r="AU3" i="243"/>
  <c r="AU158" i="243" s="1"/>
  <c r="AU59" i="242"/>
  <c r="AU57" i="242"/>
  <c r="AU40" i="242"/>
  <c r="AU37" i="242"/>
  <c r="AU36" i="242"/>
  <c r="AU35" i="242"/>
  <c r="AU34" i="242"/>
  <c r="AU30" i="242"/>
  <c r="AU29" i="242"/>
  <c r="AU27" i="242"/>
  <c r="AU26" i="242"/>
  <c r="AU54" i="242" s="1"/>
  <c r="AU7" i="242"/>
  <c r="AU5" i="242"/>
  <c r="AR209" i="243"/>
  <c r="AR208" i="243"/>
  <c r="AR207" i="243"/>
  <c r="AR205" i="243"/>
  <c r="AR273" i="243"/>
  <c r="AR255" i="243"/>
  <c r="AR251" i="243"/>
  <c r="AR245" i="243"/>
  <c r="AR241" i="243"/>
  <c r="AR240" i="243"/>
  <c r="AR234" i="243"/>
  <c r="AR212" i="243"/>
  <c r="AR174" i="243"/>
  <c r="AR173" i="243"/>
  <c r="AR170" i="243"/>
  <c r="AR164" i="243"/>
  <c r="AR161" i="243"/>
  <c r="AR158" i="243"/>
  <c r="AR152" i="243"/>
  <c r="AR44" i="243"/>
  <c r="AR37" i="243"/>
  <c r="AR35" i="243"/>
  <c r="AR34" i="243" s="1"/>
  <c r="AR178" i="243" s="1"/>
  <c r="AR19" i="243"/>
  <c r="AR21" i="243" s="1"/>
  <c r="AR11" i="243"/>
  <c r="AR24" i="243" s="1"/>
  <c r="AR9" i="243"/>
  <c r="AR56" i="243"/>
  <c r="AR84" i="242"/>
  <c r="AR83" i="242"/>
  <c r="AR81" i="242"/>
  <c r="AR80" i="242"/>
  <c r="AR4" i="242"/>
  <c r="AQ210" i="243"/>
  <c r="AQ206" i="243"/>
  <c r="AQ204" i="243"/>
  <c r="AT209" i="243"/>
  <c r="AQ209" i="243" s="1"/>
  <c r="AT208" i="243"/>
  <c r="AQ208" i="243" s="1"/>
  <c r="AT207" i="243"/>
  <c r="AQ207" i="243" s="1"/>
  <c r="AT205" i="243"/>
  <c r="AQ205" i="243" s="1"/>
  <c r="AT273" i="243"/>
  <c r="AT255" i="243"/>
  <c r="AT251" i="243"/>
  <c r="AT245" i="243"/>
  <c r="AT241" i="243"/>
  <c r="AT240" i="243"/>
  <c r="AT234" i="243"/>
  <c r="AT212" i="243"/>
  <c r="AT189" i="243"/>
  <c r="AT174" i="243"/>
  <c r="AT173" i="243"/>
  <c r="AT170" i="243"/>
  <c r="AT164" i="243"/>
  <c r="AT161" i="243"/>
  <c r="AT158" i="243"/>
  <c r="AT152" i="243"/>
  <c r="AQ55" i="243"/>
  <c r="AQ54" i="243"/>
  <c r="AQ53" i="243"/>
  <c r="AQ52" i="243"/>
  <c r="AQ51" i="243"/>
  <c r="AQ43" i="243"/>
  <c r="AQ42" i="243"/>
  <c r="AQ41" i="243"/>
  <c r="AQ273" i="243" s="1"/>
  <c r="AQ40" i="243"/>
  <c r="AQ174" i="243" s="1"/>
  <c r="AQ39" i="243"/>
  <c r="AQ38" i="243"/>
  <c r="AQ84" i="242" s="1"/>
  <c r="AQ33" i="243"/>
  <c r="AQ32" i="243"/>
  <c r="AQ31" i="243"/>
  <c r="AQ30" i="243"/>
  <c r="AQ173" i="243" s="1"/>
  <c r="AQ29" i="243"/>
  <c r="AQ170" i="243" s="1"/>
  <c r="AQ28" i="243"/>
  <c r="AQ83" i="242" s="1"/>
  <c r="AQ27" i="243"/>
  <c r="AQ20" i="243"/>
  <c r="AQ18" i="243"/>
  <c r="AQ17" i="243"/>
  <c r="AQ16" i="243"/>
  <c r="AQ15" i="243"/>
  <c r="AQ14" i="243"/>
  <c r="AQ13" i="243"/>
  <c r="AQ8" i="243"/>
  <c r="AQ164" i="243" s="1"/>
  <c r="AQ7" i="243"/>
  <c r="AQ80" i="242" s="1"/>
  <c r="AQ6" i="243"/>
  <c r="AQ5" i="243"/>
  <c r="AQ4" i="243"/>
  <c r="AQ161" i="243" s="1"/>
  <c r="AQ3" i="243"/>
  <c r="AT44" i="243"/>
  <c r="AQ44" i="243" s="1"/>
  <c r="AT37" i="243"/>
  <c r="AT256" i="243" s="1"/>
  <c r="AT35" i="243"/>
  <c r="AT34" i="243" s="1"/>
  <c r="AQ34" i="243" s="1"/>
  <c r="AQ178" i="243" s="1"/>
  <c r="AT19" i="243"/>
  <c r="AQ19" i="243" s="1"/>
  <c r="AT11" i="243"/>
  <c r="AT24" i="243" s="1"/>
  <c r="AT9" i="243"/>
  <c r="AQ9" i="243" s="1"/>
  <c r="AT56" i="243"/>
  <c r="AQ59" i="242"/>
  <c r="AR59" i="242" s="1"/>
  <c r="AQ57" i="242"/>
  <c r="AR57" i="242" s="1"/>
  <c r="AQ40" i="242"/>
  <c r="AR40" i="242" s="1"/>
  <c r="AQ37" i="242"/>
  <c r="AR37" i="242" s="1"/>
  <c r="AQ36" i="242"/>
  <c r="AR36" i="242" s="1"/>
  <c r="AQ35" i="242"/>
  <c r="AR35" i="242" s="1"/>
  <c r="AQ34" i="242"/>
  <c r="AR34" i="242" s="1"/>
  <c r="AQ33" i="242"/>
  <c r="AQ30" i="242"/>
  <c r="AR30" i="242" s="1"/>
  <c r="AQ29" i="242"/>
  <c r="AR29" i="242" s="1"/>
  <c r="AQ28" i="242"/>
  <c r="AR28" i="242" s="1"/>
  <c r="AQ27" i="242"/>
  <c r="AR27" i="242" s="1"/>
  <c r="AQ26" i="242"/>
  <c r="AR26" i="242" s="1"/>
  <c r="AR54" i="242" s="1"/>
  <c r="AQ24" i="242"/>
  <c r="AR24" i="242" s="1"/>
  <c r="AQ20" i="242"/>
  <c r="AQ8" i="242"/>
  <c r="AR8" i="242" s="1"/>
  <c r="AQ7" i="242"/>
  <c r="AR7" i="242" s="1"/>
  <c r="AQ6" i="242"/>
  <c r="AR6" i="242" s="1"/>
  <c r="AQ5" i="242"/>
  <c r="AR5" i="242" s="1"/>
  <c r="AT84" i="242"/>
  <c r="AT83" i="242"/>
  <c r="AT81" i="242"/>
  <c r="AT80" i="242"/>
  <c r="AT9" i="242"/>
  <c r="AT54" i="242"/>
  <c r="AT46" i="242"/>
  <c r="AT50" i="242" s="1"/>
  <c r="AT38" i="242"/>
  <c r="AT25" i="242"/>
  <c r="AT23" i="242"/>
  <c r="AT4" i="242"/>
  <c r="AP209" i="243"/>
  <c r="AP208" i="243"/>
  <c r="AP207" i="243"/>
  <c r="AP205" i="243"/>
  <c r="AP204" i="243"/>
  <c r="AP273" i="243"/>
  <c r="AP255" i="243"/>
  <c r="AP251" i="243"/>
  <c r="AP245" i="243"/>
  <c r="AP241" i="243"/>
  <c r="AP240" i="243"/>
  <c r="AP212" i="243"/>
  <c r="AP189" i="243"/>
  <c r="AP174" i="243"/>
  <c r="AP173" i="243"/>
  <c r="AP170" i="243"/>
  <c r="AP164" i="243"/>
  <c r="AP161" i="243"/>
  <c r="AP158" i="243"/>
  <c r="AP152" i="243"/>
  <c r="AP44" i="243"/>
  <c r="AP37" i="243"/>
  <c r="AP35" i="243"/>
  <c r="AP34" i="243" s="1"/>
  <c r="AP178" i="243" s="1"/>
  <c r="AP19" i="243"/>
  <c r="AP21" i="243" s="1"/>
  <c r="AP11" i="243"/>
  <c r="AP24" i="243" s="1"/>
  <c r="AP9" i="243"/>
  <c r="AP56" i="243"/>
  <c r="AP84" i="242"/>
  <c r="AP83" i="242"/>
  <c r="AP81" i="242"/>
  <c r="AP80" i="242"/>
  <c r="AP9" i="242"/>
  <c r="AP54" i="242"/>
  <c r="AP46" i="242"/>
  <c r="AP50" i="242" s="1"/>
  <c r="AP38" i="242"/>
  <c r="AP25" i="242"/>
  <c r="AP23" i="242"/>
  <c r="AP4" i="242"/>
  <c r="BB59" i="242"/>
  <c r="BB57" i="242"/>
  <c r="BB40" i="242"/>
  <c r="BB37" i="242"/>
  <c r="BB30" i="242"/>
  <c r="BB29" i="242"/>
  <c r="BB27" i="242"/>
  <c r="BB26" i="242"/>
  <c r="BB5" i="242"/>
  <c r="AX86" i="242"/>
  <c r="AX59" i="242"/>
  <c r="AY59" i="242" s="1"/>
  <c r="AX57" i="242"/>
  <c r="AY57" i="242" s="1"/>
  <c r="AX40" i="242"/>
  <c r="AY40" i="242" s="1"/>
  <c r="AX37" i="242"/>
  <c r="AY37" i="242" s="1"/>
  <c r="AX36" i="242"/>
  <c r="AY36" i="242" s="1"/>
  <c r="AX35" i="242"/>
  <c r="AY35" i="242" s="1"/>
  <c r="AX34" i="242"/>
  <c r="AX33" i="242"/>
  <c r="AY33" i="242" s="1"/>
  <c r="AX30" i="242"/>
  <c r="AY30" i="242" s="1"/>
  <c r="AX29" i="242"/>
  <c r="AY29" i="242" s="1"/>
  <c r="AX28" i="242"/>
  <c r="AY28" i="242" s="1"/>
  <c r="AX27" i="242"/>
  <c r="AY27" i="242" s="1"/>
  <c r="AX26" i="242"/>
  <c r="AX54" i="242" s="1"/>
  <c r="AX24" i="242"/>
  <c r="AY24" i="242" s="1"/>
  <c r="AX20" i="242"/>
  <c r="AX8" i="242"/>
  <c r="AY8" i="242" s="1"/>
  <c r="AX7" i="242"/>
  <c r="AY7" i="242" s="1"/>
  <c r="AX6" i="242"/>
  <c r="AY6" i="242" s="1"/>
  <c r="AX5" i="242"/>
  <c r="AY5" i="242" s="1"/>
  <c r="BA25" i="242"/>
  <c r="BA23" i="242"/>
  <c r="BA9" i="242"/>
  <c r="BA54" i="242"/>
  <c r="BA46" i="242"/>
  <c r="BA50" i="242" s="1"/>
  <c r="BA38" i="242"/>
  <c r="BA4" i="242"/>
  <c r="AW25" i="242"/>
  <c r="AW23" i="242"/>
  <c r="AW9" i="242"/>
  <c r="AW54" i="242"/>
  <c r="AW46" i="242"/>
  <c r="AW50" i="242" s="1"/>
  <c r="AW38" i="242"/>
  <c r="AW4" i="242"/>
  <c r="CL35" i="242"/>
  <c r="BI209" i="243"/>
  <c r="BG209" i="243" s="1"/>
  <c r="BI208" i="243"/>
  <c r="BG208" i="243" s="1"/>
  <c r="BI207" i="243"/>
  <c r="BG207" i="243" s="1"/>
  <c r="BI205" i="243"/>
  <c r="BG205" i="243" s="1"/>
  <c r="BI204" i="243"/>
  <c r="BI55" i="243"/>
  <c r="BG55" i="243" s="1"/>
  <c r="BI54" i="243"/>
  <c r="BG54" i="243" s="1"/>
  <c r="BI52" i="243"/>
  <c r="BG52" i="243" s="1"/>
  <c r="BI51" i="243"/>
  <c r="BI43" i="243"/>
  <c r="BG43" i="243" s="1"/>
  <c r="BI42" i="243"/>
  <c r="BG42" i="243" s="1"/>
  <c r="BI41" i="243"/>
  <c r="BI212" i="243" s="1"/>
  <c r="BI40" i="243"/>
  <c r="BI174" i="243" s="1"/>
  <c r="BI39" i="243"/>
  <c r="BI251" i="243" s="1"/>
  <c r="BI38" i="243"/>
  <c r="BG38" i="243" s="1"/>
  <c r="BG84" i="242" s="1"/>
  <c r="BI33" i="243"/>
  <c r="BG33" i="243" s="1"/>
  <c r="BI32" i="243"/>
  <c r="BG32" i="243" s="1"/>
  <c r="BI31" i="243"/>
  <c r="BG31" i="243" s="1"/>
  <c r="BI30" i="243"/>
  <c r="BI173" i="243" s="1"/>
  <c r="BI29" i="243"/>
  <c r="BI170" i="243" s="1"/>
  <c r="BI28" i="243"/>
  <c r="BI83" i="242" s="1"/>
  <c r="BI27" i="243"/>
  <c r="BG27" i="243" s="1"/>
  <c r="BI20" i="243"/>
  <c r="BG20" i="243" s="1"/>
  <c r="BI18" i="243"/>
  <c r="BG18" i="243" s="1"/>
  <c r="BI17" i="243"/>
  <c r="BG17" i="243" s="1"/>
  <c r="BI16" i="243"/>
  <c r="BG16" i="243" s="1"/>
  <c r="BI15" i="243"/>
  <c r="BG15" i="243" s="1"/>
  <c r="BI14" i="243"/>
  <c r="BG14" i="243" s="1"/>
  <c r="BI13" i="243"/>
  <c r="BG13" i="243" s="1"/>
  <c r="BI8" i="243"/>
  <c r="BG8" i="243" s="1"/>
  <c r="BG164" i="243" s="1"/>
  <c r="BI7" i="243"/>
  <c r="BI241" i="243" s="1"/>
  <c r="BI6" i="243"/>
  <c r="BG6" i="243" s="1"/>
  <c r="BI5" i="243"/>
  <c r="BG5" i="243" s="1"/>
  <c r="BI4" i="243"/>
  <c r="BI161" i="243" s="1"/>
  <c r="BI3" i="243"/>
  <c r="BI158" i="243" s="1"/>
  <c r="BI59" i="242"/>
  <c r="BI57" i="242"/>
  <c r="BI40" i="242"/>
  <c r="BI37" i="242"/>
  <c r="BI36" i="242"/>
  <c r="BI35" i="242"/>
  <c r="BI34" i="242"/>
  <c r="BI30" i="242"/>
  <c r="BI29" i="242"/>
  <c r="BI27" i="242"/>
  <c r="BI26" i="242"/>
  <c r="BI24" i="242"/>
  <c r="BI7" i="242"/>
  <c r="BI5" i="242"/>
  <c r="BF209" i="243"/>
  <c r="BF208" i="243"/>
  <c r="BF207" i="243"/>
  <c r="BF205" i="243"/>
  <c r="BF204" i="243"/>
  <c r="BF273" i="243"/>
  <c r="BF255" i="243"/>
  <c r="BF251" i="243"/>
  <c r="BF241" i="243"/>
  <c r="BF240" i="243"/>
  <c r="BF212" i="243"/>
  <c r="BF174" i="243"/>
  <c r="BF173" i="243"/>
  <c r="BF170" i="243"/>
  <c r="BF164" i="243"/>
  <c r="BF161" i="243"/>
  <c r="BF158" i="243"/>
  <c r="BF37" i="243"/>
  <c r="BF45" i="243" s="1"/>
  <c r="BF19" i="243"/>
  <c r="BF21" i="243" s="1"/>
  <c r="BF11" i="243"/>
  <c r="BF9" i="243"/>
  <c r="BF56" i="243"/>
  <c r="BF49" i="243"/>
  <c r="BF84" i="242"/>
  <c r="BF83" i="242"/>
  <c r="BF81" i="242"/>
  <c r="BF80" i="242"/>
  <c r="BE210" i="243"/>
  <c r="BE206" i="243"/>
  <c r="BE152" i="243"/>
  <c r="BE55" i="243"/>
  <c r="BE54" i="243"/>
  <c r="BE53" i="243"/>
  <c r="BE52" i="243"/>
  <c r="BE51" i="243"/>
  <c r="BE44" i="243"/>
  <c r="BE43" i="243"/>
  <c r="BE42" i="243"/>
  <c r="BE41" i="243"/>
  <c r="BE273" i="243" s="1"/>
  <c r="BE40" i="243"/>
  <c r="BE174" i="243" s="1"/>
  <c r="BE39" i="243"/>
  <c r="BE251" i="243" s="1"/>
  <c r="BE38" i="243"/>
  <c r="BE33" i="243"/>
  <c r="BE32" i="243"/>
  <c r="BE31" i="243"/>
  <c r="BE30" i="243"/>
  <c r="BE173" i="243" s="1"/>
  <c r="BE29" i="243"/>
  <c r="BE170" i="243" s="1"/>
  <c r="BE28" i="243"/>
  <c r="BE83" i="242" s="1"/>
  <c r="BE27" i="243"/>
  <c r="BE255" i="243" s="1"/>
  <c r="BE20" i="243"/>
  <c r="BE18" i="243"/>
  <c r="BE17" i="243"/>
  <c r="BE16" i="243"/>
  <c r="BE15" i="243"/>
  <c r="BE14" i="243"/>
  <c r="BE13" i="243"/>
  <c r="BE8" i="243"/>
  <c r="BE164" i="243" s="1"/>
  <c r="BE7" i="243"/>
  <c r="BE80" i="242" s="1"/>
  <c r="BE6" i="243"/>
  <c r="BE5" i="243"/>
  <c r="BE4" i="243"/>
  <c r="BE161" i="243" s="1"/>
  <c r="BE3" i="243"/>
  <c r="BH209" i="243"/>
  <c r="BE209" i="243" s="1"/>
  <c r="BH208" i="243"/>
  <c r="BE208" i="243" s="1"/>
  <c r="BH207" i="243"/>
  <c r="BE207" i="243" s="1"/>
  <c r="BH205" i="243"/>
  <c r="BE205" i="243" s="1"/>
  <c r="BH204" i="243"/>
  <c r="BE204" i="243" s="1"/>
  <c r="BH273" i="243"/>
  <c r="BH255" i="243"/>
  <c r="BH251" i="243"/>
  <c r="BH245" i="243"/>
  <c r="BH241" i="243"/>
  <c r="BH240" i="243"/>
  <c r="BH212" i="243"/>
  <c r="BH189" i="243"/>
  <c r="BH174" i="243"/>
  <c r="BH173" i="243"/>
  <c r="BH170" i="243"/>
  <c r="BH164" i="243"/>
  <c r="BH161" i="243"/>
  <c r="BH158" i="243"/>
  <c r="BH37" i="243"/>
  <c r="BH45" i="243" s="1"/>
  <c r="BE45" i="243" s="1"/>
  <c r="BH19" i="243"/>
  <c r="BE19" i="243" s="1"/>
  <c r="BH11" i="243"/>
  <c r="BH9" i="243"/>
  <c r="BE9" i="243" s="1"/>
  <c r="BH56" i="243"/>
  <c r="BH49" i="243"/>
  <c r="BE59" i="242"/>
  <c r="BF59" i="242" s="1"/>
  <c r="BE57" i="242"/>
  <c r="BF57" i="242" s="1"/>
  <c r="BE40" i="242"/>
  <c r="BF40" i="242" s="1"/>
  <c r="BE37" i="242"/>
  <c r="BF37" i="242" s="1"/>
  <c r="BE36" i="242"/>
  <c r="BF36" i="242" s="1"/>
  <c r="BE35" i="242"/>
  <c r="BF35" i="242" s="1"/>
  <c r="BE34" i="242"/>
  <c r="BF34" i="242" s="1"/>
  <c r="BE33" i="242"/>
  <c r="BF33" i="242" s="1"/>
  <c r="BE30" i="242"/>
  <c r="BF30" i="242" s="1"/>
  <c r="BE29" i="242"/>
  <c r="BF29" i="242" s="1"/>
  <c r="BE28" i="242"/>
  <c r="BF28" i="242" s="1"/>
  <c r="BE27" i="242"/>
  <c r="BF27" i="242" s="1"/>
  <c r="BE26" i="242"/>
  <c r="BE54" i="242" s="1"/>
  <c r="BE24" i="242"/>
  <c r="BF24" i="242" s="1"/>
  <c r="BE20" i="242"/>
  <c r="BE46" i="242" s="1"/>
  <c r="BE8" i="242"/>
  <c r="BF8" i="242" s="1"/>
  <c r="BE7" i="242"/>
  <c r="BF7" i="242" s="1"/>
  <c r="BE6" i="242"/>
  <c r="BF6" i="242" s="1"/>
  <c r="BE5" i="242"/>
  <c r="BF5" i="242" s="1"/>
  <c r="BD25" i="242"/>
  <c r="BH25" i="242"/>
  <c r="BH23" i="242"/>
  <c r="BH53" i="242" s="1"/>
  <c r="BH9" i="242"/>
  <c r="BH84" i="242"/>
  <c r="BH83" i="242"/>
  <c r="BH81" i="242"/>
  <c r="BH80" i="242"/>
  <c r="BH54" i="242"/>
  <c r="BH46" i="242"/>
  <c r="BH50" i="242" s="1"/>
  <c r="BH38" i="242"/>
  <c r="BH4" i="242"/>
  <c r="BD209" i="243"/>
  <c r="BD208" i="243"/>
  <c r="BD207" i="243"/>
  <c r="BD205" i="243"/>
  <c r="BD204" i="243"/>
  <c r="BD152" i="243"/>
  <c r="BD273" i="243"/>
  <c r="BD255" i="243"/>
  <c r="BD251" i="243"/>
  <c r="BD245" i="243"/>
  <c r="BD241" i="243"/>
  <c r="BD240" i="243"/>
  <c r="BD212" i="243"/>
  <c r="BD189" i="243"/>
  <c r="BD174" i="243"/>
  <c r="BD173" i="243"/>
  <c r="BD170" i="243"/>
  <c r="BD164" i="243"/>
  <c r="BD161" i="243"/>
  <c r="BD158" i="243"/>
  <c r="BD37" i="243"/>
  <c r="BD45" i="243" s="1"/>
  <c r="BD35" i="243"/>
  <c r="BD49" i="243" s="1"/>
  <c r="BD19" i="243"/>
  <c r="BD21" i="243" s="1"/>
  <c r="BD11" i="243"/>
  <c r="BD9" i="243"/>
  <c r="BD56" i="243"/>
  <c r="BD23" i="242"/>
  <c r="BD9" i="242"/>
  <c r="BD84" i="242"/>
  <c r="BD83" i="242"/>
  <c r="BD81" i="242"/>
  <c r="BD80" i="242"/>
  <c r="BD54" i="242"/>
  <c r="BD46" i="242"/>
  <c r="BD50" i="242" s="1"/>
  <c r="BD38" i="242"/>
  <c r="BD4" i="242"/>
  <c r="EO10" i="242"/>
  <c r="EM10" i="242" s="1"/>
  <c r="EK10" i="242"/>
  <c r="EH10" i="242"/>
  <c r="EF10" i="242" s="1"/>
  <c r="ED10" i="242"/>
  <c r="EA10" i="242"/>
  <c r="DY10" i="242" s="1"/>
  <c r="DW10" i="242"/>
  <c r="DT10" i="242"/>
  <c r="DR10" i="242" s="1"/>
  <c r="DP10" i="242"/>
  <c r="DM10" i="242"/>
  <c r="DK10" i="242" s="1"/>
  <c r="AO54" i="242"/>
  <c r="AV54" i="242"/>
  <c r="BC54" i="242"/>
  <c r="BJ54" i="242"/>
  <c r="BP209" i="243"/>
  <c r="BN209" i="243" s="1"/>
  <c r="BP204" i="243"/>
  <c r="BP55" i="243"/>
  <c r="BN55" i="243" s="1"/>
  <c r="BP54" i="243"/>
  <c r="BN54" i="243" s="1"/>
  <c r="BP52" i="243"/>
  <c r="BP51" i="243"/>
  <c r="BN51" i="243" s="1"/>
  <c r="BP44" i="243"/>
  <c r="BN44" i="243" s="1"/>
  <c r="BP43" i="243"/>
  <c r="BN43" i="243" s="1"/>
  <c r="BP42" i="243"/>
  <c r="BN42" i="243" s="1"/>
  <c r="BP41" i="243"/>
  <c r="BP212" i="243" s="1"/>
  <c r="BP40" i="243"/>
  <c r="BN40" i="243" s="1"/>
  <c r="BN174" i="243" s="1"/>
  <c r="BP39" i="243"/>
  <c r="BP251" i="243" s="1"/>
  <c r="BP38" i="243"/>
  <c r="BP84" i="242" s="1"/>
  <c r="BP33" i="243"/>
  <c r="BN33" i="243" s="1"/>
  <c r="BP32" i="243"/>
  <c r="BN32" i="243" s="1"/>
  <c r="BP31" i="243"/>
  <c r="BN31" i="243" s="1"/>
  <c r="BP30" i="243"/>
  <c r="BN30" i="243" s="1"/>
  <c r="BN173" i="243" s="1"/>
  <c r="BP29" i="243"/>
  <c r="BP170" i="243" s="1"/>
  <c r="BP28" i="243"/>
  <c r="BP83" i="242" s="1"/>
  <c r="BP27" i="243"/>
  <c r="BP20" i="243"/>
  <c r="BN20" i="243" s="1"/>
  <c r="BP18" i="243"/>
  <c r="BP17" i="243"/>
  <c r="BN17" i="243" s="1"/>
  <c r="BP16" i="243"/>
  <c r="BN16" i="243" s="1"/>
  <c r="BP15" i="243"/>
  <c r="BN15" i="243" s="1"/>
  <c r="BP14" i="243"/>
  <c r="BP13" i="243"/>
  <c r="BN13" i="243" s="1"/>
  <c r="BP8" i="243"/>
  <c r="BP164" i="243" s="1"/>
  <c r="BP7" i="243"/>
  <c r="BN7" i="243" s="1"/>
  <c r="BP6" i="243"/>
  <c r="BN6" i="243" s="1"/>
  <c r="BP5" i="243"/>
  <c r="BN5" i="243" s="1"/>
  <c r="BP4" i="243"/>
  <c r="BN4" i="243" s="1"/>
  <c r="BN161" i="243" s="1"/>
  <c r="BP3" i="243"/>
  <c r="BP158" i="243" s="1"/>
  <c r="BP59" i="242"/>
  <c r="BP57" i="242"/>
  <c r="BP40" i="242"/>
  <c r="BP37" i="242"/>
  <c r="BP36" i="242"/>
  <c r="BP35" i="242"/>
  <c r="BP34" i="242"/>
  <c r="BP30" i="242"/>
  <c r="BP29" i="242"/>
  <c r="BP27" i="242"/>
  <c r="BP26" i="242"/>
  <c r="BP54" i="242" s="1"/>
  <c r="BP24" i="242"/>
  <c r="BP7" i="242"/>
  <c r="BP5" i="242"/>
  <c r="AQ81" i="242" l="1"/>
  <c r="AS112" i="11"/>
  <c r="AM45" i="243"/>
  <c r="AJ45" i="243" s="1"/>
  <c r="AX64" i="178"/>
  <c r="BH21" i="243"/>
  <c r="BE21" i="243" s="1"/>
  <c r="BE22" i="243" s="1"/>
  <c r="BH10" i="243"/>
  <c r="BE10" i="243" s="1"/>
  <c r="BE167" i="243" s="1"/>
  <c r="BF10" i="243"/>
  <c r="BF167" i="243" s="1"/>
  <c r="BF185" i="243" s="1"/>
  <c r="BW73" i="178"/>
  <c r="BZ30" i="178"/>
  <c r="CD30" i="178"/>
  <c r="BL73" i="178"/>
  <c r="BT12" i="178"/>
  <c r="AN84" i="242"/>
  <c r="X40" i="242"/>
  <c r="CG47" i="11"/>
  <c r="Q35" i="242"/>
  <c r="AT112" i="11"/>
  <c r="Y243" i="243"/>
  <c r="X34" i="242"/>
  <c r="W21" i="243"/>
  <c r="AK49" i="243"/>
  <c r="AK58" i="243" s="1"/>
  <c r="AK59" i="243" s="1"/>
  <c r="BC88" i="11"/>
  <c r="BJ88" i="11"/>
  <c r="AU97" i="11"/>
  <c r="Z240" i="243"/>
  <c r="BY12" i="178"/>
  <c r="AT21" i="243"/>
  <c r="AQ21" i="243" s="1"/>
  <c r="AQ22" i="243" s="1"/>
  <c r="AP45" i="243"/>
  <c r="AN251" i="243"/>
  <c r="AI34" i="243"/>
  <c r="AI178" i="243" s="1"/>
  <c r="BD10" i="243"/>
  <c r="BD167" i="243" s="1"/>
  <c r="BD185" i="243" s="1"/>
  <c r="AR211" i="243"/>
  <c r="AR213" i="243" s="1"/>
  <c r="AU83" i="242"/>
  <c r="AD80" i="242"/>
  <c r="AD82" i="242" s="1"/>
  <c r="AD86" i="242" s="1"/>
  <c r="AS128" i="4"/>
  <c r="AJ43" i="11"/>
  <c r="BE43" i="11"/>
  <c r="CG117" i="11"/>
  <c r="CG86" i="11" s="1"/>
  <c r="CG94" i="11" s="1"/>
  <c r="CG98" i="11" s="1"/>
  <c r="CG112" i="11"/>
  <c r="BM117" i="11"/>
  <c r="BM86" i="11" s="1"/>
  <c r="BM94" i="11" s="1"/>
  <c r="BG117" i="11"/>
  <c r="BG86" i="11" s="1"/>
  <c r="BG94" i="11" s="1"/>
  <c r="AM21" i="243"/>
  <c r="AJ21" i="243" s="1"/>
  <c r="AJ22" i="243" s="1"/>
  <c r="BM12" i="11"/>
  <c r="AC47" i="11"/>
  <c r="AZ117" i="11"/>
  <c r="AZ86" i="11" s="1"/>
  <c r="AZ94" i="11" s="1"/>
  <c r="AB256" i="243"/>
  <c r="BB46" i="11"/>
  <c r="AB253" i="243"/>
  <c r="BE56" i="11"/>
  <c r="CB117" i="11"/>
  <c r="CB86" i="11" s="1"/>
  <c r="CB94" i="11" s="1"/>
  <c r="BH117" i="11"/>
  <c r="BH86" i="11" s="1"/>
  <c r="BH94" i="11" s="1"/>
  <c r="BJ117" i="11"/>
  <c r="BF243" i="243"/>
  <c r="W253" i="243"/>
  <c r="BL117" i="11"/>
  <c r="BL86" i="11" s="1"/>
  <c r="BL94" i="11" s="1"/>
  <c r="BT46" i="11"/>
  <c r="AU47" i="11"/>
  <c r="AG47" i="11"/>
  <c r="CH117" i="11"/>
  <c r="CH86" i="11" s="1"/>
  <c r="CH94" i="11" s="1"/>
  <c r="CH112" i="11"/>
  <c r="BA117" i="11"/>
  <c r="BA86" i="11" s="1"/>
  <c r="BA94" i="11" s="1"/>
  <c r="AR117" i="11"/>
  <c r="AR86" i="11" s="1"/>
  <c r="AR94" i="11" s="1"/>
  <c r="BD8" i="178"/>
  <c r="BM12" i="178"/>
  <c r="AP10" i="243"/>
  <c r="AP167" i="243" s="1"/>
  <c r="AP185" i="243" s="1"/>
  <c r="AJ81" i="242"/>
  <c r="AK45" i="243"/>
  <c r="BE117" i="11"/>
  <c r="BE86" i="11" s="1"/>
  <c r="BE94" i="11" s="1"/>
  <c r="AX129" i="11"/>
  <c r="BL12" i="11"/>
  <c r="AN43" i="11"/>
  <c r="BU117" i="11"/>
  <c r="BU86" i="11" s="1"/>
  <c r="BU94" i="11" s="1"/>
  <c r="BT129" i="11"/>
  <c r="BF117" i="11"/>
  <c r="BF86" i="11" s="1"/>
  <c r="BF94" i="11" s="1"/>
  <c r="AY112" i="11"/>
  <c r="AY129" i="11"/>
  <c r="AT117" i="11"/>
  <c r="AT86" i="11" s="1"/>
  <c r="AT94" i="11" s="1"/>
  <c r="BD243" i="243"/>
  <c r="AK241" i="243"/>
  <c r="AK243" i="243" s="1"/>
  <c r="AF40" i="243"/>
  <c r="AF174" i="243" s="1"/>
  <c r="AF175" i="243" s="1"/>
  <c r="U213" i="243"/>
  <c r="W243" i="243"/>
  <c r="AQ131" i="4"/>
  <c r="BM46" i="11"/>
  <c r="V58" i="11"/>
  <c r="V59" i="11" s="1"/>
  <c r="AS129" i="11"/>
  <c r="BE30" i="178"/>
  <c r="AU84" i="242"/>
  <c r="AI80" i="242"/>
  <c r="AI82" i="242" s="1"/>
  <c r="AI86" i="242" s="1"/>
  <c r="AM49" i="243"/>
  <c r="AM58" i="243" s="1"/>
  <c r="AM59" i="243" s="1"/>
  <c r="AC7" i="243"/>
  <c r="AC80" i="242" s="1"/>
  <c r="AF241" i="243"/>
  <c r="AF243" i="243" s="1"/>
  <c r="CH46" i="11"/>
  <c r="BM47" i="11"/>
  <c r="BI117" i="11"/>
  <c r="AX117" i="11"/>
  <c r="AX86" i="11" s="1"/>
  <c r="AX94" i="11" s="1"/>
  <c r="AX98" i="11" s="1"/>
  <c r="CA8" i="178"/>
  <c r="BV8" i="178"/>
  <c r="BH211" i="243"/>
  <c r="BH213" i="243" s="1"/>
  <c r="BE240" i="243"/>
  <c r="AJ7" i="243"/>
  <c r="AJ80" i="242" s="1"/>
  <c r="AM241" i="243"/>
  <c r="AM243" i="243" s="1"/>
  <c r="AC32" i="243"/>
  <c r="AD32" i="243" s="1"/>
  <c r="AD43" i="243" s="1"/>
  <c r="AD243" i="243"/>
  <c r="X29" i="243"/>
  <c r="X170" i="243" s="1"/>
  <c r="CG129" i="11"/>
  <c r="CB129" i="11"/>
  <c r="BU129" i="11"/>
  <c r="CA10" i="178"/>
  <c r="BT73" i="178"/>
  <c r="BB64" i="178"/>
  <c r="AX73" i="178"/>
  <c r="BI164" i="243"/>
  <c r="AI211" i="243"/>
  <c r="AI213" i="243" s="1"/>
  <c r="AC81" i="242"/>
  <c r="CI117" i="11"/>
  <c r="CI86" i="11" s="1"/>
  <c r="CH129" i="11"/>
  <c r="CI112" i="11"/>
  <c r="CA112" i="11"/>
  <c r="BT112" i="11"/>
  <c r="AQ112" i="11"/>
  <c r="BR8" i="178"/>
  <c r="AM8" i="178"/>
  <c r="AS129" i="4"/>
  <c r="CG12" i="11"/>
  <c r="BT47" i="11"/>
  <c r="Z46" i="11"/>
  <c r="CB112" i="11"/>
  <c r="BZ129" i="11"/>
  <c r="BU112" i="11"/>
  <c r="BT117" i="11"/>
  <c r="BT86" i="11" s="1"/>
  <c r="BT94" i="11" s="1"/>
  <c r="BS129" i="11"/>
  <c r="BM112" i="11"/>
  <c r="AW10" i="178"/>
  <c r="BP73" i="178"/>
  <c r="BI73" i="178"/>
  <c r="AZ61" i="178"/>
  <c r="AZ64" i="178" s="1"/>
  <c r="AZ66" i="178"/>
  <c r="AZ67" i="178" s="1"/>
  <c r="AY67" i="178"/>
  <c r="BT30" i="178"/>
  <c r="CA29" i="178"/>
  <c r="CB29" i="178" s="1"/>
  <c r="BS73" i="178"/>
  <c r="BM70" i="178"/>
  <c r="BM73" i="178" s="1"/>
  <c r="AX67" i="178"/>
  <c r="AY29" i="178"/>
  <c r="AY30" i="178" s="1"/>
  <c r="AX68" i="178"/>
  <c r="CD73" i="178"/>
  <c r="BZ73" i="178"/>
  <c r="BI30" i="178"/>
  <c r="BB30" i="178"/>
  <c r="BB62" i="178"/>
  <c r="AX62" i="178"/>
  <c r="BE73" i="178"/>
  <c r="BF29" i="178"/>
  <c r="BM30" i="178" s="1"/>
  <c r="BB73" i="178"/>
  <c r="Q143" i="11"/>
  <c r="X143" i="11"/>
  <c r="X74" i="11" s="1"/>
  <c r="BT12" i="11"/>
  <c r="CG5" i="11"/>
  <c r="CG46" i="11"/>
  <c r="BS43" i="11"/>
  <c r="BS47" i="11"/>
  <c r="BS46" i="11"/>
  <c r="BL43" i="11"/>
  <c r="BE47" i="11"/>
  <c r="BE46" i="11"/>
  <c r="BF46" i="11"/>
  <c r="AN47" i="11"/>
  <c r="AN46" i="11"/>
  <c r="AG43" i="11"/>
  <c r="O43" i="11"/>
  <c r="BF59" i="11"/>
  <c r="CK95" i="11"/>
  <c r="BS9" i="11"/>
  <c r="BS5" i="11"/>
  <c r="BE9" i="11"/>
  <c r="BE5" i="11"/>
  <c r="AC5" i="11"/>
  <c r="AD5" i="11" s="1"/>
  <c r="AC43" i="11"/>
  <c r="AC12" i="11"/>
  <c r="AG12" i="11"/>
  <c r="AQ12" i="11"/>
  <c r="AU12" i="11"/>
  <c r="BU12" i="11"/>
  <c r="BZ12" i="11"/>
  <c r="CI12" i="11"/>
  <c r="CG43" i="11"/>
  <c r="BZ43" i="11"/>
  <c r="BB43" i="11"/>
  <c r="AX47" i="11"/>
  <c r="AX46" i="11"/>
  <c r="AU43" i="11"/>
  <c r="AQ47" i="11"/>
  <c r="AQ46" i="11"/>
  <c r="Z43" i="11"/>
  <c r="S43" i="11"/>
  <c r="BE59" i="11"/>
  <c r="AR127" i="4"/>
  <c r="AR131" i="4" s="1"/>
  <c r="BL46" i="11"/>
  <c r="BL47" i="11"/>
  <c r="AU46" i="11"/>
  <c r="AJ47" i="11"/>
  <c r="AJ46" i="11"/>
  <c r="CI129" i="11"/>
  <c r="CI87" i="11"/>
  <c r="CI95" i="11" s="1"/>
  <c r="CA117" i="11"/>
  <c r="CA86" i="11" s="1"/>
  <c r="CA94" i="11" s="1"/>
  <c r="BL9" i="11"/>
  <c r="BL5" i="11"/>
  <c r="AX9" i="11"/>
  <c r="AX5" i="11"/>
  <c r="AX12" i="11"/>
  <c r="BB9" i="11"/>
  <c r="BB5" i="11"/>
  <c r="BB12" i="11"/>
  <c r="AS5" i="11"/>
  <c r="AS9" i="11"/>
  <c r="AJ5" i="11"/>
  <c r="AJ9" i="11"/>
  <c r="AN9" i="11"/>
  <c r="AN5" i="11"/>
  <c r="V43" i="11"/>
  <c r="V5" i="11"/>
  <c r="W5" i="11" s="1"/>
  <c r="V12" i="11"/>
  <c r="Z12" i="11"/>
  <c r="AJ12" i="11"/>
  <c r="AN12" i="11"/>
  <c r="BE12" i="11"/>
  <c r="BS12" i="11"/>
  <c r="CB12" i="11"/>
  <c r="CD43" i="11"/>
  <c r="BZ47" i="11"/>
  <c r="BZ46" i="11"/>
  <c r="CD46" i="11"/>
  <c r="AX43" i="11"/>
  <c r="BB47" i="11"/>
  <c r="AQ43" i="11"/>
  <c r="CA85" i="11"/>
  <c r="CD85" i="11" s="1"/>
  <c r="CA129" i="11"/>
  <c r="CA87" i="11"/>
  <c r="CA95" i="11" s="1"/>
  <c r="BG97" i="11"/>
  <c r="BJ97" i="11" s="1"/>
  <c r="BJ89" i="11"/>
  <c r="AZ93" i="11"/>
  <c r="BC93" i="11" s="1"/>
  <c r="BC85" i="11"/>
  <c r="CI46" i="11"/>
  <c r="BG112" i="11"/>
  <c r="BE112" i="11"/>
  <c r="BI112" i="11"/>
  <c r="AZ112" i="11"/>
  <c r="AX112" i="11"/>
  <c r="AS117" i="11"/>
  <c r="AS86" i="11" s="1"/>
  <c r="AS94" i="11" s="1"/>
  <c r="AQ117" i="11"/>
  <c r="AQ86" i="11" s="1"/>
  <c r="AQ94" i="11" s="1"/>
  <c r="AQ129" i="11"/>
  <c r="BZ87" i="11"/>
  <c r="BZ95" i="11" s="1"/>
  <c r="BU87" i="11"/>
  <c r="BU95" i="11" s="1"/>
  <c r="AR42" i="178"/>
  <c r="AR27" i="178"/>
  <c r="AR34" i="178" s="1"/>
  <c r="AR40" i="178"/>
  <c r="AR68" i="178"/>
  <c r="BZ8" i="178"/>
  <c r="CB46" i="11"/>
  <c r="BU46" i="11"/>
  <c r="AS46" i="11"/>
  <c r="AC46" i="11"/>
  <c r="V46" i="11"/>
  <c r="Z58" i="11"/>
  <c r="Z59" i="11" s="1"/>
  <c r="BZ112" i="11"/>
  <c r="BZ117" i="11"/>
  <c r="BZ86" i="11" s="1"/>
  <c r="BZ94" i="11" s="1"/>
  <c r="BS112" i="11"/>
  <c r="BS117" i="11"/>
  <c r="BS86" i="11" s="1"/>
  <c r="BS94" i="11" s="1"/>
  <c r="BH112" i="11"/>
  <c r="BF112" i="11"/>
  <c r="BJ112" i="11"/>
  <c r="BA112" i="11"/>
  <c r="AY117" i="11"/>
  <c r="AY86" i="11" s="1"/>
  <c r="AY94" i="11" s="1"/>
  <c r="AR112" i="11"/>
  <c r="AR129" i="11"/>
  <c r="AR87" i="11"/>
  <c r="AR95" i="11" s="1"/>
  <c r="AU95" i="11" s="1"/>
  <c r="AZ129" i="11"/>
  <c r="AV89" i="11"/>
  <c r="BZ24" i="178"/>
  <c r="BL112" i="11"/>
  <c r="BA129" i="11"/>
  <c r="BA87" i="11"/>
  <c r="BA95" i="11" s="1"/>
  <c r="CB87" i="11"/>
  <c r="CB95" i="11" s="1"/>
  <c r="BS87" i="11"/>
  <c r="BS95" i="11" s="1"/>
  <c r="BL88" i="11"/>
  <c r="BL96" i="11" s="1"/>
  <c r="BP96" i="11" s="1"/>
  <c r="AZ87" i="11"/>
  <c r="AZ95" i="11" s="1"/>
  <c r="AG46" i="11"/>
  <c r="O46" i="11"/>
  <c r="S46" i="11"/>
  <c r="AT129" i="11"/>
  <c r="AT87" i="11"/>
  <c r="AT95" i="11" s="1"/>
  <c r="BT85" i="11"/>
  <c r="BT93" i="11" s="1"/>
  <c r="BT87" i="11"/>
  <c r="BT95" i="11" s="1"/>
  <c r="BE24" i="178"/>
  <c r="BE25" i="178" s="1"/>
  <c r="BE5" i="178"/>
  <c r="CA42" i="178"/>
  <c r="CA25" i="178"/>
  <c r="BT40" i="178"/>
  <c r="BT27" i="178"/>
  <c r="BT31" i="178" s="1"/>
  <c r="BT25" i="178"/>
  <c r="BK40" i="178"/>
  <c r="BK27" i="178"/>
  <c r="BK31" i="178" s="1"/>
  <c r="BM25" i="178"/>
  <c r="BF40" i="178"/>
  <c r="BF42" i="178"/>
  <c r="BF27" i="178"/>
  <c r="BF34" i="178" s="1"/>
  <c r="AW68" i="178"/>
  <c r="AW42" i="178"/>
  <c r="AW27" i="178"/>
  <c r="AW31" i="178" s="1"/>
  <c r="AW40" i="178"/>
  <c r="AI40" i="178"/>
  <c r="AI27" i="178"/>
  <c r="AI68" i="178"/>
  <c r="AI42" i="178"/>
  <c r="AM40" i="178"/>
  <c r="AM27" i="178"/>
  <c r="AM34" i="178" s="1"/>
  <c r="AM42" i="178"/>
  <c r="AM68" i="178"/>
  <c r="U42" i="178"/>
  <c r="U40" i="178"/>
  <c r="U68" i="178"/>
  <c r="U27" i="178"/>
  <c r="Y40" i="178"/>
  <c r="Y68" i="178"/>
  <c r="Y27" i="178"/>
  <c r="Y42" i="178"/>
  <c r="BY5" i="178"/>
  <c r="BT5" i="178"/>
  <c r="BK5" i="178"/>
  <c r="AW5" i="178"/>
  <c r="AI5" i="178"/>
  <c r="AM5" i="178"/>
  <c r="U5" i="178"/>
  <c r="Y5" i="178"/>
  <c r="CA12" i="178"/>
  <c r="BM8" i="178"/>
  <c r="BK8" i="178"/>
  <c r="AX12" i="178"/>
  <c r="AT8" i="178"/>
  <c r="AT12" i="178"/>
  <c r="AR8" i="178"/>
  <c r="AI8" i="178"/>
  <c r="AI12" i="178"/>
  <c r="AF8" i="178"/>
  <c r="Y8" i="178"/>
  <c r="N8" i="178"/>
  <c r="CA27" i="178"/>
  <c r="BL5" i="178"/>
  <c r="BY8" i="178"/>
  <c r="AP12" i="178"/>
  <c r="U8" i="178"/>
  <c r="R8" i="178"/>
  <c r="BT42" i="178"/>
  <c r="V9" i="11"/>
  <c r="BY27" i="178"/>
  <c r="BR25" i="178"/>
  <c r="BR27" i="178"/>
  <c r="BR31" i="178" s="1"/>
  <c r="BV40" i="178"/>
  <c r="BV27" i="178"/>
  <c r="BD15" i="178"/>
  <c r="BD24" i="178"/>
  <c r="BD25" i="178" s="1"/>
  <c r="AP25" i="178"/>
  <c r="AP27" i="178"/>
  <c r="AP34" i="178" s="1"/>
  <c r="AP40" i="178"/>
  <c r="AP68" i="178"/>
  <c r="AP42" i="178"/>
  <c r="AT25" i="178"/>
  <c r="AT68" i="178"/>
  <c r="AT40" i="178"/>
  <c r="AT27" i="178"/>
  <c r="AT42" i="178"/>
  <c r="AB25" i="178"/>
  <c r="AB68" i="178"/>
  <c r="AB27" i="178"/>
  <c r="AB34" i="178" s="1"/>
  <c r="AB42" i="178"/>
  <c r="AB40" i="178"/>
  <c r="AF68" i="178"/>
  <c r="AF40" i="178"/>
  <c r="AF27" i="178"/>
  <c r="AF42" i="178"/>
  <c r="U25" i="178"/>
  <c r="N42" i="178"/>
  <c r="N27" i="178"/>
  <c r="N31" i="178" s="1"/>
  <c r="N68" i="178"/>
  <c r="N40" i="178"/>
  <c r="Y25" i="178"/>
  <c r="R40" i="178"/>
  <c r="R27" i="178"/>
  <c r="R34" i="178" s="1"/>
  <c r="R68" i="178"/>
  <c r="R42" i="178"/>
  <c r="CA5" i="178"/>
  <c r="BR5" i="178"/>
  <c r="BM5" i="178"/>
  <c r="BD5" i="178"/>
  <c r="AP5" i="178"/>
  <c r="AT5" i="178"/>
  <c r="AB5" i="178"/>
  <c r="AF5" i="178"/>
  <c r="BY10" i="178"/>
  <c r="BT10" i="178"/>
  <c r="BR12" i="178"/>
  <c r="BV12" i="178"/>
  <c r="BK12" i="178"/>
  <c r="BF8" i="178"/>
  <c r="AX10" i="178"/>
  <c r="AR12" i="178"/>
  <c r="U12" i="178"/>
  <c r="N12" i="178"/>
  <c r="BY40" i="178"/>
  <c r="CA40" i="178"/>
  <c r="BR40" i="178"/>
  <c r="BV42" i="178"/>
  <c r="BM40" i="178"/>
  <c r="BZ12" i="178"/>
  <c r="BD12" i="178"/>
  <c r="BE8" i="178"/>
  <c r="AW12" i="178"/>
  <c r="AP8" i="178"/>
  <c r="AB8" i="178"/>
  <c r="Y12" i="178"/>
  <c r="R12" i="178"/>
  <c r="AM12" i="178"/>
  <c r="AB12" i="178"/>
  <c r="AF12" i="178"/>
  <c r="BK42" i="178"/>
  <c r="BR15" i="178"/>
  <c r="BV15" i="178"/>
  <c r="BK15" i="178"/>
  <c r="BY15" i="178"/>
  <c r="BY42" i="178"/>
  <c r="BR42" i="178"/>
  <c r="BM42" i="178"/>
  <c r="AP15" i="178"/>
  <c r="AT15" i="178"/>
  <c r="AB15" i="178"/>
  <c r="AF15" i="178"/>
  <c r="U15" i="178"/>
  <c r="Y15" i="178"/>
  <c r="N15" i="178"/>
  <c r="R15" i="178"/>
  <c r="AW15" i="178"/>
  <c r="AI15" i="178"/>
  <c r="AM15" i="178"/>
  <c r="AP31" i="242"/>
  <c r="N31" i="242"/>
  <c r="AX25" i="242"/>
  <c r="AY25" i="242" s="1"/>
  <c r="AJ25" i="242"/>
  <c r="AK25" i="242" s="1"/>
  <c r="V25" i="242"/>
  <c r="W25" i="242" s="1"/>
  <c r="AQ25" i="242"/>
  <c r="AR25" i="242" s="1"/>
  <c r="AQ9" i="242"/>
  <c r="AR9" i="242" s="1"/>
  <c r="O23" i="242"/>
  <c r="O53" i="242" s="1"/>
  <c r="O52" i="242" s="1"/>
  <c r="Q29" i="242"/>
  <c r="AC24" i="242"/>
  <c r="AD24" i="242" s="1"/>
  <c r="AC9" i="242"/>
  <c r="AD9" i="242" s="1"/>
  <c r="AC25" i="242"/>
  <c r="AD25" i="242" s="1"/>
  <c r="AJ10" i="242"/>
  <c r="AK10" i="242" s="1"/>
  <c r="BE25" i="242"/>
  <c r="BF25" i="242" s="1"/>
  <c r="AQ10" i="242"/>
  <c r="AR10" i="242" s="1"/>
  <c r="V9" i="242"/>
  <c r="W9" i="242" s="1"/>
  <c r="AC23" i="242"/>
  <c r="AC53" i="242" s="1"/>
  <c r="AC52" i="242" s="1"/>
  <c r="V10" i="242"/>
  <c r="W10" i="242" s="1"/>
  <c r="AS7" i="242"/>
  <c r="AZ30" i="242"/>
  <c r="AZ57" i="242"/>
  <c r="AZ70" i="178"/>
  <c r="BG70" i="178"/>
  <c r="BL30" i="178"/>
  <c r="BP30" i="178"/>
  <c r="BN29" i="178"/>
  <c r="BM31" i="178"/>
  <c r="BS30" i="178"/>
  <c r="BU70" i="178"/>
  <c r="BU29" i="178"/>
  <c r="CB70" i="178"/>
  <c r="AF25" i="178"/>
  <c r="AI25" i="178"/>
  <c r="AM25" i="178"/>
  <c r="AW25" i="178"/>
  <c r="BY25" i="178"/>
  <c r="N10" i="178"/>
  <c r="R10" i="178"/>
  <c r="U10" i="178"/>
  <c r="Y10" i="178"/>
  <c r="AB10" i="178"/>
  <c r="AF10" i="178"/>
  <c r="AI10" i="178"/>
  <c r="AM10" i="178"/>
  <c r="AR10" i="178"/>
  <c r="AP10" i="178"/>
  <c r="AT10" i="178"/>
  <c r="AW8" i="178"/>
  <c r="AX8" i="178"/>
  <c r="BD10" i="178"/>
  <c r="BM10" i="178"/>
  <c r="BL8" i="178"/>
  <c r="BK10" i="178"/>
  <c r="BT8" i="178"/>
  <c r="BR10" i="178"/>
  <c r="BV10" i="178"/>
  <c r="BZ10" i="178"/>
  <c r="CA5" i="11"/>
  <c r="CI97" i="11"/>
  <c r="BU16" i="11"/>
  <c r="BU9" i="11"/>
  <c r="CG16" i="11"/>
  <c r="CG9" i="11"/>
  <c r="BN16" i="11"/>
  <c r="BN9" i="11"/>
  <c r="AV97" i="11"/>
  <c r="BZ9" i="11"/>
  <c r="CD9" i="11"/>
  <c r="BJ85" i="11"/>
  <c r="BB95" i="11"/>
  <c r="AU9" i="11"/>
  <c r="AK74" i="11"/>
  <c r="AE143" i="11"/>
  <c r="AE74" i="11" s="1"/>
  <c r="V16" i="11"/>
  <c r="Z9" i="11"/>
  <c r="S9" i="11"/>
  <c r="CB9" i="11"/>
  <c r="BC89" i="11"/>
  <c r="AV85" i="11"/>
  <c r="AV96" i="11"/>
  <c r="AC9" i="11"/>
  <c r="AG9" i="11"/>
  <c r="O9" i="11"/>
  <c r="P5" i="11"/>
  <c r="AQ9" i="11"/>
  <c r="AU96" i="11"/>
  <c r="AU85" i="11"/>
  <c r="AU89" i="11"/>
  <c r="AU88" i="11"/>
  <c r="AV88" i="11"/>
  <c r="AQ93" i="11"/>
  <c r="AS95" i="11"/>
  <c r="AV93" i="11"/>
  <c r="AR5" i="11"/>
  <c r="BD93" i="11"/>
  <c r="BC97" i="11"/>
  <c r="BB96" i="11"/>
  <c r="BB97" i="11"/>
  <c r="BB88" i="11"/>
  <c r="BB85" i="11"/>
  <c r="BB87" i="11"/>
  <c r="BB89" i="11"/>
  <c r="AZ96" i="11"/>
  <c r="BC96" i="11" s="1"/>
  <c r="AY93" i="11"/>
  <c r="BJ93" i="11"/>
  <c r="BI96" i="11"/>
  <c r="BI97" i="11"/>
  <c r="BI85" i="11"/>
  <c r="BI89" i="11"/>
  <c r="BE93" i="11"/>
  <c r="BG96" i="11"/>
  <c r="BJ96" i="11" s="1"/>
  <c r="BF93" i="11"/>
  <c r="BI88" i="11"/>
  <c r="BP97" i="11"/>
  <c r="BP85" i="11"/>
  <c r="BP89" i="11"/>
  <c r="BN96" i="11"/>
  <c r="BM93" i="11"/>
  <c r="BW96" i="11"/>
  <c r="BW97" i="11"/>
  <c r="BW88" i="11"/>
  <c r="BW89" i="11"/>
  <c r="BU96" i="11"/>
  <c r="CD96" i="11"/>
  <c r="CD97" i="11"/>
  <c r="CD88" i="11"/>
  <c r="CD89" i="11"/>
  <c r="CB96" i="11"/>
  <c r="CK96" i="11"/>
  <c r="CK97" i="11"/>
  <c r="CK88" i="11"/>
  <c r="CK85" i="11"/>
  <c r="CK87" i="11"/>
  <c r="CK89" i="11"/>
  <c r="CI96" i="11"/>
  <c r="CH93" i="11"/>
  <c r="CI9" i="11"/>
  <c r="BN117" i="11"/>
  <c r="BN86" i="11" s="1"/>
  <c r="BN94" i="11" s="1"/>
  <c r="BN112" i="11"/>
  <c r="V47" i="11"/>
  <c r="Z47" i="11"/>
  <c r="BN46" i="11"/>
  <c r="BU47" i="11"/>
  <c r="CB47" i="11"/>
  <c r="CI47" i="11"/>
  <c r="AJ24" i="242"/>
  <c r="AK24" i="242" s="1"/>
  <c r="V23" i="242"/>
  <c r="V53" i="242" s="1"/>
  <c r="V52" i="242" s="1"/>
  <c r="BH31" i="242"/>
  <c r="AX10" i="242"/>
  <c r="AY10" i="242" s="1"/>
  <c r="AS30" i="242"/>
  <c r="AS29" i="242"/>
  <c r="O50" i="242"/>
  <c r="O10" i="242"/>
  <c r="P10" i="242" s="1"/>
  <c r="O25" i="242"/>
  <c r="AX9" i="242"/>
  <c r="AY9" i="242" s="1"/>
  <c r="AC50" i="242"/>
  <c r="R31" i="242"/>
  <c r="Q59" i="242"/>
  <c r="BD175" i="243"/>
  <c r="BG81" i="242"/>
  <c r="AQ240" i="243"/>
  <c r="AK256" i="243"/>
  <c r="AL27" i="243"/>
  <c r="AL255" i="243" s="1"/>
  <c r="AN161" i="243"/>
  <c r="AN273" i="243"/>
  <c r="AB212" i="243"/>
  <c r="AB213" i="243" s="1"/>
  <c r="AN240" i="243"/>
  <c r="AB243" i="243"/>
  <c r="AC30" i="243"/>
  <c r="AD30" i="243" s="1"/>
  <c r="U21" i="243"/>
  <c r="V81" i="242"/>
  <c r="Z211" i="243"/>
  <c r="Z213" i="243" s="1"/>
  <c r="AQ212" i="243"/>
  <c r="AJ240" i="243"/>
  <c r="AN212" i="243"/>
  <c r="Q36" i="242"/>
  <c r="P38" i="242"/>
  <c r="Q7" i="242"/>
  <c r="Q27" i="242"/>
  <c r="Q37" i="242"/>
  <c r="Q30" i="242"/>
  <c r="Q24" i="242"/>
  <c r="Q40" i="242"/>
  <c r="Q57" i="242"/>
  <c r="AE7" i="242"/>
  <c r="P20" i="242"/>
  <c r="P46" i="242" s="1"/>
  <c r="P50" i="242" s="1"/>
  <c r="P26" i="242"/>
  <c r="P54" i="242" s="1"/>
  <c r="S54" i="242"/>
  <c r="AS35" i="242"/>
  <c r="O38" i="242"/>
  <c r="BG35" i="242"/>
  <c r="AS36" i="242"/>
  <c r="AS57" i="242"/>
  <c r="AL28" i="242"/>
  <c r="Q34" i="242"/>
  <c r="R52" i="242"/>
  <c r="N52" i="242"/>
  <c r="AJ175" i="243"/>
  <c r="AE40" i="243"/>
  <c r="AE174" i="243" s="1"/>
  <c r="BP81" i="242"/>
  <c r="BE81" i="242"/>
  <c r="BE82" i="242" s="1"/>
  <c r="BG29" i="243"/>
  <c r="BG170" i="243" s="1"/>
  <c r="AQ186" i="243"/>
  <c r="AQ37" i="243"/>
  <c r="AQ252" i="243" s="1"/>
  <c r="AT178" i="243"/>
  <c r="AT186" i="243" s="1"/>
  <c r="AR175" i="243"/>
  <c r="AS3" i="243"/>
  <c r="AS158" i="243" s="1"/>
  <c r="AS41" i="243"/>
  <c r="AS273" i="243" s="1"/>
  <c r="AM175" i="243"/>
  <c r="AK175" i="243"/>
  <c r="AN80" i="242"/>
  <c r="AN170" i="243"/>
  <c r="AD252" i="243"/>
  <c r="AD253" i="243" s="1"/>
  <c r="U273" i="243"/>
  <c r="V80" i="242"/>
  <c r="X6" i="243"/>
  <c r="X240" i="243" s="1"/>
  <c r="AK252" i="243"/>
  <c r="AK253" i="243" s="1"/>
  <c r="AN173" i="243"/>
  <c r="AN175" i="243" s="1"/>
  <c r="AG81" i="242"/>
  <c r="AG82" i="242" s="1"/>
  <c r="X56" i="243"/>
  <c r="BF256" i="243"/>
  <c r="AM256" i="243"/>
  <c r="V211" i="243"/>
  <c r="BE175" i="243"/>
  <c r="BI80" i="242"/>
  <c r="BD256" i="243"/>
  <c r="BI81" i="242"/>
  <c r="BI240" i="243"/>
  <c r="BG39" i="243"/>
  <c r="BG251" i="243" s="1"/>
  <c r="AS7" i="243"/>
  <c r="AI253" i="243"/>
  <c r="AM178" i="243"/>
  <c r="AM186" i="243" s="1"/>
  <c r="AN81" i="242"/>
  <c r="AN158" i="243"/>
  <c r="AC240" i="243"/>
  <c r="AG83" i="242"/>
  <c r="AG240" i="243"/>
  <c r="Y21" i="243"/>
  <c r="V21" i="243" s="1"/>
  <c r="V22" i="243" s="1"/>
  <c r="Y174" i="243"/>
  <c r="Y256" i="243"/>
  <c r="BG34" i="242"/>
  <c r="BG40" i="242"/>
  <c r="AQ38" i="242"/>
  <c r="AE35" i="242"/>
  <c r="X30" i="242"/>
  <c r="X36" i="242"/>
  <c r="BG57" i="242"/>
  <c r="AD38" i="242"/>
  <c r="AE37" i="242"/>
  <c r="AE57" i="242"/>
  <c r="V50" i="242"/>
  <c r="BG240" i="243"/>
  <c r="BG255" i="243"/>
  <c r="BI175" i="243"/>
  <c r="BH243" i="243"/>
  <c r="BH252" i="243"/>
  <c r="BH253" i="243" s="1"/>
  <c r="BE241" i="243"/>
  <c r="BF175" i="243"/>
  <c r="BG3" i="243"/>
  <c r="BG7" i="243"/>
  <c r="BG30" i="243"/>
  <c r="BG173" i="243" s="1"/>
  <c r="BG40" i="243"/>
  <c r="BG174" i="243" s="1"/>
  <c r="BI273" i="243"/>
  <c r="AP175" i="243"/>
  <c r="AP256" i="243"/>
  <c r="AQ82" i="242"/>
  <c r="AQ86" i="242" s="1"/>
  <c r="AT243" i="243"/>
  <c r="AT252" i="243"/>
  <c r="AT253" i="243" s="1"/>
  <c r="AQ158" i="243"/>
  <c r="AQ211" i="243"/>
  <c r="AQ251" i="243"/>
  <c r="AR45" i="243"/>
  <c r="AR256" i="243"/>
  <c r="AS4" i="243"/>
  <c r="AS161" i="243" s="1"/>
  <c r="AU161" i="243"/>
  <c r="AU164" i="243"/>
  <c r="AS8" i="243"/>
  <c r="AS164" i="243" s="1"/>
  <c r="AU251" i="243"/>
  <c r="AS39" i="243"/>
  <c r="AS251" i="243" s="1"/>
  <c r="AN83" i="242"/>
  <c r="AL28" i="243"/>
  <c r="AL83" i="242" s="1"/>
  <c r="BG204" i="243"/>
  <c r="BN175" i="243"/>
  <c r="BD252" i="243"/>
  <c r="BD253" i="243" s="1"/>
  <c r="BE37" i="243"/>
  <c r="BE212" i="243"/>
  <c r="BF252" i="243"/>
  <c r="BF253" i="243" s="1"/>
  <c r="BI84" i="242"/>
  <c r="BG4" i="243"/>
  <c r="BG161" i="243" s="1"/>
  <c r="BG41" i="243"/>
  <c r="AQ35" i="243"/>
  <c r="AQ175" i="243"/>
  <c r="AS29" i="243"/>
  <c r="AS170" i="243" s="1"/>
  <c r="AU170" i="243"/>
  <c r="AN56" i="243"/>
  <c r="AL51" i="243"/>
  <c r="AL56" i="243" s="1"/>
  <c r="BH175" i="243"/>
  <c r="BH256" i="243"/>
  <c r="BE56" i="243"/>
  <c r="BE158" i="243"/>
  <c r="BE211" i="243"/>
  <c r="BG28" i="243"/>
  <c r="BG83" i="242" s="1"/>
  <c r="BG51" i="243"/>
  <c r="BI255" i="243"/>
  <c r="AP186" i="243"/>
  <c r="AP243" i="243"/>
  <c r="AP252" i="243"/>
  <c r="AP253" i="243" s="1"/>
  <c r="AQ56" i="243"/>
  <c r="AT175" i="243"/>
  <c r="AQ241" i="243"/>
  <c r="AQ255" i="243"/>
  <c r="AR243" i="243"/>
  <c r="AR252" i="243"/>
  <c r="AR253" i="243" s="1"/>
  <c r="AU240" i="243"/>
  <c r="AS6" i="243"/>
  <c r="AS240" i="243" s="1"/>
  <c r="AU81" i="242"/>
  <c r="AU82" i="242" s="1"/>
  <c r="AS27" i="243"/>
  <c r="AU212" i="243"/>
  <c r="AL6" i="243"/>
  <c r="AC158" i="243"/>
  <c r="AR186" i="243"/>
  <c r="AL158" i="243"/>
  <c r="AS51" i="243"/>
  <c r="AI175" i="243"/>
  <c r="AI256" i="243"/>
  <c r="AL7" i="243"/>
  <c r="AL40" i="243"/>
  <c r="AL174" i="243" s="1"/>
  <c r="AL175" i="243" s="1"/>
  <c r="AN164" i="243"/>
  <c r="AL273" i="243"/>
  <c r="AB175" i="243"/>
  <c r="AF164" i="243"/>
  <c r="AC8" i="243"/>
  <c r="AF17" i="243"/>
  <c r="AE3" i="243"/>
  <c r="AE158" i="243" s="1"/>
  <c r="U175" i="243"/>
  <c r="V8" i="243"/>
  <c r="Z158" i="243"/>
  <c r="X3" i="243"/>
  <c r="X158" i="243" s="1"/>
  <c r="AU173" i="243"/>
  <c r="AI186" i="243"/>
  <c r="AJ35" i="243"/>
  <c r="AJ37" i="243"/>
  <c r="AM252" i="243"/>
  <c r="AM253" i="243" s="1"/>
  <c r="AJ212" i="243"/>
  <c r="AE30" i="243"/>
  <c r="AE173" i="243" s="1"/>
  <c r="V173" i="243"/>
  <c r="W30" i="243"/>
  <c r="AS13" i="243"/>
  <c r="AS40" i="243"/>
  <c r="AS174" i="243" s="1"/>
  <c r="AS175" i="243" s="1"/>
  <c r="AU241" i="243"/>
  <c r="AJ56" i="243"/>
  <c r="AJ186" i="243"/>
  <c r="AJ211" i="243"/>
  <c r="AK186" i="243"/>
  <c r="AG175" i="243"/>
  <c r="V174" i="243"/>
  <c r="W40" i="243"/>
  <c r="W174" i="243" s="1"/>
  <c r="V240" i="243"/>
  <c r="V243" i="243" s="1"/>
  <c r="V41" i="243"/>
  <c r="V212" i="243" s="1"/>
  <c r="X40" i="243"/>
  <c r="X174" i="243" s="1"/>
  <c r="X175" i="243" s="1"/>
  <c r="Z174" i="243"/>
  <c r="Y164" i="243"/>
  <c r="Y212" i="243"/>
  <c r="Y213" i="243" s="1"/>
  <c r="V255" i="243"/>
  <c r="V252" i="243"/>
  <c r="V253" i="243" s="1"/>
  <c r="Z173" i="243"/>
  <c r="AC37" i="243"/>
  <c r="AF252" i="243"/>
  <c r="AF253" i="243" s="1"/>
  <c r="AC212" i="243"/>
  <c r="AE4" i="243"/>
  <c r="AE161" i="243" s="1"/>
  <c r="AE8" i="243"/>
  <c r="AE164" i="243" s="1"/>
  <c r="AE14" i="243"/>
  <c r="AE27" i="243"/>
  <c r="AE41" i="243"/>
  <c r="AE212" i="243" s="1"/>
  <c r="U243" i="243"/>
  <c r="U252" i="243"/>
  <c r="U253" i="243" s="1"/>
  <c r="Y34" i="243"/>
  <c r="AC56" i="243"/>
  <c r="AC211" i="243"/>
  <c r="AG56" i="243"/>
  <c r="AE38" i="243"/>
  <c r="AE84" i="242" s="1"/>
  <c r="AE51" i="243"/>
  <c r="AE56" i="243" s="1"/>
  <c r="Y252" i="243"/>
  <c r="Y253" i="243" s="1"/>
  <c r="V56" i="243"/>
  <c r="W82" i="242"/>
  <c r="W86" i="242" s="1"/>
  <c r="W256" i="243"/>
  <c r="Z161" i="243"/>
  <c r="X8" i="243"/>
  <c r="X164" i="243" s="1"/>
  <c r="X14" i="243"/>
  <c r="X27" i="243"/>
  <c r="X41" i="243"/>
  <c r="X212" i="243" s="1"/>
  <c r="AG255" i="243"/>
  <c r="AE6" i="243"/>
  <c r="AE29" i="243"/>
  <c r="AE170" i="243" s="1"/>
  <c r="AE39" i="243"/>
  <c r="AE251" i="243" s="1"/>
  <c r="U34" i="243"/>
  <c r="U178" i="243" s="1"/>
  <c r="Y173" i="243"/>
  <c r="Z56" i="243"/>
  <c r="X28" i="243"/>
  <c r="X38" i="243"/>
  <c r="X84" i="242" s="1"/>
  <c r="AE27" i="242"/>
  <c r="AE33" i="242"/>
  <c r="AE28" i="242"/>
  <c r="AE40" i="242"/>
  <c r="AE59" i="242"/>
  <c r="X29" i="242"/>
  <c r="X35" i="242"/>
  <c r="X57" i="242"/>
  <c r="AE29" i="242"/>
  <c r="AE30" i="242"/>
  <c r="AE36" i="242"/>
  <c r="X7" i="242"/>
  <c r="X27" i="242"/>
  <c r="X37" i="242"/>
  <c r="X59" i="242"/>
  <c r="BG5" i="242"/>
  <c r="BB54" i="242"/>
  <c r="AR33" i="242"/>
  <c r="AR38" i="242" s="1"/>
  <c r="AS27" i="242"/>
  <c r="AG38" i="242"/>
  <c r="AE34" i="242"/>
  <c r="Z54" i="242"/>
  <c r="AL5" i="242"/>
  <c r="AL40" i="242"/>
  <c r="BE50" i="242"/>
  <c r="BF20" i="242"/>
  <c r="BF189" i="243" s="1"/>
  <c r="BG7" i="242"/>
  <c r="BG29" i="242"/>
  <c r="BG36" i="242"/>
  <c r="AZ37" i="242"/>
  <c r="AL30" i="242"/>
  <c r="AL36" i="242"/>
  <c r="AD20" i="242"/>
  <c r="AD26" i="242"/>
  <c r="AD54" i="242" s="1"/>
  <c r="V189" i="243"/>
  <c r="W20" i="242"/>
  <c r="W189" i="243" s="1"/>
  <c r="W26" i="242"/>
  <c r="W54" i="242" s="1"/>
  <c r="AS59" i="242"/>
  <c r="AL34" i="242"/>
  <c r="BG59" i="242"/>
  <c r="AY26" i="242"/>
  <c r="AY54" i="242" s="1"/>
  <c r="AZ27" i="242"/>
  <c r="AS26" i="242"/>
  <c r="AS54" i="242" s="1"/>
  <c r="AS37" i="242"/>
  <c r="AC38" i="242"/>
  <c r="V38" i="242"/>
  <c r="X251" i="243"/>
  <c r="Z251" i="243"/>
  <c r="Z273" i="243"/>
  <c r="Z81" i="242"/>
  <c r="Z82" i="242" s="1"/>
  <c r="Z86" i="242" s="1"/>
  <c r="W58" i="243"/>
  <c r="W59" i="243" s="1"/>
  <c r="W38" i="242"/>
  <c r="V256" i="243"/>
  <c r="Y58" i="243"/>
  <c r="Y59" i="243" s="1"/>
  <c r="Y82" i="242"/>
  <c r="Y86" i="242" s="1"/>
  <c r="V46" i="242"/>
  <c r="Y31" i="242"/>
  <c r="Y52" i="242"/>
  <c r="U58" i="243"/>
  <c r="U59" i="243" s="1"/>
  <c r="U82" i="242"/>
  <c r="U86" i="242" s="1"/>
  <c r="U31" i="242"/>
  <c r="U52" i="242"/>
  <c r="AG273" i="243"/>
  <c r="AD211" i="243"/>
  <c r="AD213" i="243" s="1"/>
  <c r="AD49" i="243"/>
  <c r="AD58" i="243" s="1"/>
  <c r="AD59" i="243" s="1"/>
  <c r="AF211" i="243"/>
  <c r="AF213" i="243" s="1"/>
  <c r="AF34" i="243"/>
  <c r="AF82" i="242"/>
  <c r="AF86" i="242" s="1"/>
  <c r="AF49" i="243"/>
  <c r="AF58" i="243" s="1"/>
  <c r="AF59" i="243" s="1"/>
  <c r="AF10" i="243"/>
  <c r="AC46" i="242"/>
  <c r="AF31" i="242"/>
  <c r="AF52" i="242"/>
  <c r="BG24" i="242"/>
  <c r="BG30" i="242"/>
  <c r="AZ5" i="242"/>
  <c r="BD53" i="242"/>
  <c r="BD52" i="242" s="1"/>
  <c r="BD55" i="242" s="1"/>
  <c r="BD51" i="242" s="1"/>
  <c r="BD82" i="242"/>
  <c r="BD86" i="242" s="1"/>
  <c r="BE9" i="242"/>
  <c r="BF9" i="242" s="1"/>
  <c r="BE23" i="242"/>
  <c r="BE53" i="242" s="1"/>
  <c r="BE52" i="242" s="1"/>
  <c r="BE38" i="242"/>
  <c r="AX50" i="242"/>
  <c r="AX23" i="242"/>
  <c r="AX53" i="242" s="1"/>
  <c r="AX52" i="242" s="1"/>
  <c r="BA31" i="242"/>
  <c r="AZ59" i="242"/>
  <c r="AQ54" i="242"/>
  <c r="AI53" i="242"/>
  <c r="AI52" i="242" s="1"/>
  <c r="AL57" i="242"/>
  <c r="BG27" i="242"/>
  <c r="AT31" i="242"/>
  <c r="AQ23" i="242"/>
  <c r="BE10" i="242"/>
  <c r="BF10" i="242" s="1"/>
  <c r="BE189" i="243"/>
  <c r="BG37" i="242"/>
  <c r="BI54" i="242"/>
  <c r="AX38" i="242"/>
  <c r="AQ50" i="242"/>
  <c r="AQ46" i="242"/>
  <c r="AR20" i="242"/>
  <c r="AQ189" i="243"/>
  <c r="AK38" i="242"/>
  <c r="AL29" i="242"/>
  <c r="AL35" i="242"/>
  <c r="AL59" i="242"/>
  <c r="AM53" i="242"/>
  <c r="AM52" i="242" s="1"/>
  <c r="AM55" i="242" s="1"/>
  <c r="AM51" i="242" s="1"/>
  <c r="AJ23" i="242"/>
  <c r="AJ53" i="242" s="1"/>
  <c r="AJ52" i="242" s="1"/>
  <c r="AL50" i="242"/>
  <c r="AZ29" i="242"/>
  <c r="BF26" i="242"/>
  <c r="BF54" i="242" s="1"/>
  <c r="AY20" i="242"/>
  <c r="AY46" i="242" s="1"/>
  <c r="AY50" i="242" s="1"/>
  <c r="AY34" i="242"/>
  <c r="AY38" i="242" s="1"/>
  <c r="AZ40" i="242"/>
  <c r="AS5" i="242"/>
  <c r="AS40" i="242"/>
  <c r="AL7" i="242"/>
  <c r="AL27" i="242"/>
  <c r="AL37" i="242"/>
  <c r="AJ86" i="242"/>
  <c r="AK20" i="242"/>
  <c r="AK26" i="242"/>
  <c r="AK54" i="242" s="1"/>
  <c r="AM31" i="242"/>
  <c r="AJ38" i="242"/>
  <c r="AS34" i="242"/>
  <c r="AJ9" i="242"/>
  <c r="AN38" i="242"/>
  <c r="AL33" i="242"/>
  <c r="AB34" i="243"/>
  <c r="AB178" i="243" s="1"/>
  <c r="AB21" i="243"/>
  <c r="AB49" i="243"/>
  <c r="AB58" i="243" s="1"/>
  <c r="AB59" i="243" s="1"/>
  <c r="AB80" i="242"/>
  <c r="AB82" i="242" s="1"/>
  <c r="AB86" i="242" s="1"/>
  <c r="AB31" i="242"/>
  <c r="AB52" i="242"/>
  <c r="AK211" i="243"/>
  <c r="AK213" i="243" s="1"/>
  <c r="AK82" i="242"/>
  <c r="AK86" i="242" s="1"/>
  <c r="AK10" i="243"/>
  <c r="AK167" i="243" s="1"/>
  <c r="AM211" i="243"/>
  <c r="AM213" i="243" s="1"/>
  <c r="AM86" i="242"/>
  <c r="AM10" i="243"/>
  <c r="AJ46" i="242"/>
  <c r="AI243" i="243"/>
  <c r="AI58" i="243"/>
  <c r="AI59" i="243" s="1"/>
  <c r="AI45" i="243"/>
  <c r="AI10" i="243"/>
  <c r="AI167" i="243" s="1"/>
  <c r="AI31" i="242"/>
  <c r="AR82" i="242"/>
  <c r="AR86" i="242" s="1"/>
  <c r="AR49" i="243"/>
  <c r="AR58" i="243" s="1"/>
  <c r="AR59" i="243" s="1"/>
  <c r="AR10" i="243"/>
  <c r="AR167" i="243" s="1"/>
  <c r="AT211" i="243"/>
  <c r="AT213" i="243" s="1"/>
  <c r="AT45" i="243"/>
  <c r="AQ45" i="243" s="1"/>
  <c r="AT82" i="242"/>
  <c r="AT86" i="242" s="1"/>
  <c r="AT49" i="243"/>
  <c r="AT58" i="243" s="1"/>
  <c r="AT59" i="243" s="1"/>
  <c r="AT10" i="243"/>
  <c r="AT53" i="242"/>
  <c r="AP211" i="243"/>
  <c r="AP213" i="243" s="1"/>
  <c r="AP82" i="242"/>
  <c r="AP86" i="242" s="1"/>
  <c r="AP49" i="243"/>
  <c r="AP58" i="243" s="1"/>
  <c r="AP59" i="243" s="1"/>
  <c r="AP53" i="242"/>
  <c r="AX46" i="242"/>
  <c r="BA53" i="242"/>
  <c r="AW31" i="242"/>
  <c r="AW53" i="242"/>
  <c r="BF211" i="243"/>
  <c r="BF213" i="243" s="1"/>
  <c r="BF58" i="243"/>
  <c r="BF82" i="242"/>
  <c r="BF86" i="242" s="1"/>
  <c r="BF24" i="243"/>
  <c r="BF34" i="243"/>
  <c r="BF178" i="243" s="1"/>
  <c r="BF38" i="242"/>
  <c r="BE84" i="242"/>
  <c r="BH58" i="243"/>
  <c r="BH82" i="242"/>
  <c r="BH86" i="242" s="1"/>
  <c r="BH24" i="243"/>
  <c r="BH34" i="243"/>
  <c r="BH52" i="242"/>
  <c r="BD211" i="243"/>
  <c r="BD213" i="243" s="1"/>
  <c r="BD58" i="243"/>
  <c r="BD24" i="243"/>
  <c r="BD34" i="243"/>
  <c r="BD178" i="243" s="1"/>
  <c r="BD31" i="242"/>
  <c r="BP174" i="243"/>
  <c r="BP80" i="242"/>
  <c r="BN241" i="243"/>
  <c r="BN80" i="242"/>
  <c r="BN8" i="243"/>
  <c r="BN164" i="243" s="1"/>
  <c r="BN27" i="243"/>
  <c r="BN41" i="243"/>
  <c r="BN212" i="243" s="1"/>
  <c r="BP161" i="243"/>
  <c r="BN28" i="243"/>
  <c r="BN83" i="242" s="1"/>
  <c r="BN38" i="243"/>
  <c r="BN84" i="242" s="1"/>
  <c r="BN18" i="243"/>
  <c r="BN240" i="243" s="1"/>
  <c r="BP241" i="243"/>
  <c r="BP255" i="243"/>
  <c r="BN29" i="243"/>
  <c r="BN170" i="243" s="1"/>
  <c r="BN39" i="243"/>
  <c r="BN251" i="243" s="1"/>
  <c r="BN52" i="243"/>
  <c r="BN204" i="243"/>
  <c r="BN14" i="243"/>
  <c r="BP240" i="243"/>
  <c r="BP173" i="243"/>
  <c r="BN3" i="243"/>
  <c r="BN158" i="243" s="1"/>
  <c r="BP273" i="243"/>
  <c r="BQ54" i="242"/>
  <c r="BM209" i="243"/>
  <c r="BM208" i="243"/>
  <c r="BM207" i="243"/>
  <c r="BM205" i="243"/>
  <c r="BM204" i="243"/>
  <c r="BM273" i="243"/>
  <c r="BM255" i="243"/>
  <c r="BM251" i="243"/>
  <c r="BM241" i="243"/>
  <c r="BM240" i="243"/>
  <c r="BM212" i="243"/>
  <c r="BM174" i="243"/>
  <c r="BM173" i="243"/>
  <c r="BM170" i="243"/>
  <c r="BM164" i="243"/>
  <c r="BM161" i="243"/>
  <c r="BM158" i="243"/>
  <c r="BM152" i="243"/>
  <c r="BM53" i="243"/>
  <c r="BM56" i="243" s="1"/>
  <c r="BM37" i="243"/>
  <c r="BM45" i="243" s="1"/>
  <c r="BM35" i="243"/>
  <c r="BM49" i="243" s="1"/>
  <c r="BM19" i="243"/>
  <c r="BM21" i="243" s="1"/>
  <c r="BM11" i="243"/>
  <c r="BM24" i="243" s="1"/>
  <c r="BM9" i="243"/>
  <c r="BM84" i="242"/>
  <c r="BM83" i="242"/>
  <c r="BM81" i="242"/>
  <c r="BM80" i="242"/>
  <c r="BL210" i="243"/>
  <c r="BL209" i="243"/>
  <c r="BL206" i="243"/>
  <c r="BL152" i="243"/>
  <c r="BO208" i="243"/>
  <c r="BL208" i="243" s="1"/>
  <c r="BO207" i="243"/>
  <c r="BL207" i="243" s="1"/>
  <c r="BO205" i="243"/>
  <c r="BO204" i="243"/>
  <c r="BL204" i="243" s="1"/>
  <c r="BO273" i="243"/>
  <c r="BO255" i="243"/>
  <c r="BO251" i="243"/>
  <c r="BO245" i="243"/>
  <c r="BO241" i="243"/>
  <c r="BO240" i="243"/>
  <c r="BO212" i="243"/>
  <c r="BO189" i="243"/>
  <c r="BO174" i="243"/>
  <c r="BO173" i="243"/>
  <c r="BO170" i="243"/>
  <c r="BO164" i="243"/>
  <c r="BO161" i="243"/>
  <c r="BO158" i="243"/>
  <c r="BL55" i="243"/>
  <c r="BL54" i="243"/>
  <c r="BL52" i="243"/>
  <c r="BL51" i="243"/>
  <c r="BL44" i="243"/>
  <c r="BL43" i="243"/>
  <c r="BL42" i="243"/>
  <c r="BL41" i="243"/>
  <c r="BL273" i="243" s="1"/>
  <c r="BL40" i="243"/>
  <c r="BL174" i="243" s="1"/>
  <c r="BL39" i="243"/>
  <c r="BL251" i="243" s="1"/>
  <c r="BL38" i="243"/>
  <c r="BL84" i="242" s="1"/>
  <c r="BL33" i="243"/>
  <c r="BL32" i="243"/>
  <c r="BL31" i="243"/>
  <c r="BL30" i="243"/>
  <c r="BL173" i="243" s="1"/>
  <c r="BL29" i="243"/>
  <c r="BL170" i="243" s="1"/>
  <c r="BL28" i="243"/>
  <c r="BL83" i="242" s="1"/>
  <c r="BL27" i="243"/>
  <c r="BL20" i="243"/>
  <c r="BL18" i="243"/>
  <c r="BL17" i="243"/>
  <c r="BL16" i="243"/>
  <c r="BL15" i="243"/>
  <c r="BL14" i="243"/>
  <c r="BL13" i="243"/>
  <c r="BL8" i="243"/>
  <c r="BL164" i="243" s="1"/>
  <c r="BL7" i="243"/>
  <c r="BL80" i="242" s="1"/>
  <c r="BL6" i="243"/>
  <c r="BL5" i="243"/>
  <c r="BL4" i="243"/>
  <c r="BL161" i="243" s="1"/>
  <c r="BL3" i="243"/>
  <c r="BL158" i="243" s="1"/>
  <c r="BO53" i="243"/>
  <c r="BO56" i="243" s="1"/>
  <c r="BO37" i="243"/>
  <c r="BO45" i="243" s="1"/>
  <c r="BL45" i="243" s="1"/>
  <c r="BO35" i="243"/>
  <c r="BO49" i="243" s="1"/>
  <c r="BO19" i="243"/>
  <c r="BL19" i="243" s="1"/>
  <c r="BO11" i="243"/>
  <c r="BO9" i="243"/>
  <c r="BL9" i="243" s="1"/>
  <c r="BL59" i="242"/>
  <c r="BM59" i="242" s="1"/>
  <c r="BN59" i="242" s="1"/>
  <c r="BL57" i="242"/>
  <c r="BM57" i="242" s="1"/>
  <c r="BN57" i="242" s="1"/>
  <c r="BL40" i="242"/>
  <c r="BM40" i="242" s="1"/>
  <c r="BN40" i="242" s="1"/>
  <c r="BL37" i="242"/>
  <c r="BM37" i="242" s="1"/>
  <c r="BN37" i="242" s="1"/>
  <c r="BL36" i="242"/>
  <c r="BL35" i="242"/>
  <c r="BL34" i="242"/>
  <c r="BL33" i="242"/>
  <c r="BM33" i="242" s="1"/>
  <c r="BL30" i="242"/>
  <c r="BM30" i="242" s="1"/>
  <c r="BN30" i="242" s="1"/>
  <c r="BL29" i="242"/>
  <c r="BM29" i="242" s="1"/>
  <c r="BN29" i="242" s="1"/>
  <c r="BL28" i="242"/>
  <c r="BM28" i="242" s="1"/>
  <c r="BL27" i="242"/>
  <c r="BM27" i="242" s="1"/>
  <c r="BN27" i="242" s="1"/>
  <c r="BL26" i="242"/>
  <c r="BL54" i="242" s="1"/>
  <c r="BL24" i="242"/>
  <c r="BM24" i="242" s="1"/>
  <c r="BN24" i="242" s="1"/>
  <c r="BL20" i="242"/>
  <c r="BL46" i="242" s="1"/>
  <c r="BL8" i="242"/>
  <c r="BL7" i="242"/>
  <c r="BM7" i="242" s="1"/>
  <c r="BN7" i="242" s="1"/>
  <c r="BL6" i="242"/>
  <c r="BM6" i="242" s="1"/>
  <c r="BL5" i="242"/>
  <c r="BM5" i="242" s="1"/>
  <c r="BN5" i="242" s="1"/>
  <c r="BO25" i="242"/>
  <c r="BO23" i="242"/>
  <c r="BO53" i="242" s="1"/>
  <c r="BO9" i="242"/>
  <c r="BO84" i="242"/>
  <c r="BO83" i="242"/>
  <c r="BO81" i="242"/>
  <c r="BO80" i="242"/>
  <c r="BO54" i="242"/>
  <c r="BO46" i="242"/>
  <c r="BO50" i="242" s="1"/>
  <c r="BO38" i="242"/>
  <c r="BO4" i="242"/>
  <c r="BK209" i="243"/>
  <c r="BK208" i="243"/>
  <c r="BK207" i="243"/>
  <c r="BK205" i="243"/>
  <c r="BK204" i="243"/>
  <c r="BK273" i="243"/>
  <c r="BK255" i="243"/>
  <c r="BK251" i="243"/>
  <c r="BK245" i="243"/>
  <c r="BK241" i="243"/>
  <c r="BK240" i="243"/>
  <c r="BK212" i="243"/>
  <c r="BK189" i="243"/>
  <c r="BK174" i="243"/>
  <c r="BK173" i="243"/>
  <c r="BK170" i="243"/>
  <c r="BK164" i="243"/>
  <c r="BK161" i="243"/>
  <c r="BK158" i="243"/>
  <c r="BK152" i="243"/>
  <c r="BK53" i="243"/>
  <c r="BK56" i="243" s="1"/>
  <c r="BK37" i="243"/>
  <c r="BK256" i="243" s="1"/>
  <c r="BK35" i="243"/>
  <c r="BK49" i="243" s="1"/>
  <c r="BK19" i="243"/>
  <c r="BK21" i="243" s="1"/>
  <c r="BK11" i="243"/>
  <c r="BK24" i="243" s="1"/>
  <c r="BK9" i="243"/>
  <c r="BK25" i="242"/>
  <c r="BK23" i="242"/>
  <c r="BK53" i="242" s="1"/>
  <c r="BK9" i="242"/>
  <c r="BK84" i="242"/>
  <c r="BK83" i="242"/>
  <c r="BK81" i="242"/>
  <c r="BK80" i="242"/>
  <c r="BK54" i="242"/>
  <c r="BK46" i="242"/>
  <c r="BK50" i="242" s="1"/>
  <c r="BK38" i="242"/>
  <c r="BK4" i="242"/>
  <c r="BT208" i="243"/>
  <c r="BT207" i="243"/>
  <c r="BT205" i="243"/>
  <c r="BT204" i="243"/>
  <c r="BT273" i="243"/>
  <c r="BT255" i="243"/>
  <c r="BT251" i="243"/>
  <c r="BT241" i="243"/>
  <c r="BT240" i="243"/>
  <c r="BT212" i="243"/>
  <c r="BT174" i="243"/>
  <c r="BT173" i="243"/>
  <c r="BT170" i="243"/>
  <c r="BT164" i="243"/>
  <c r="BT161" i="243"/>
  <c r="BT158" i="243"/>
  <c r="BT152" i="243"/>
  <c r="BT53" i="243"/>
  <c r="BT56" i="243" s="1"/>
  <c r="BT37" i="243"/>
  <c r="BT256" i="243" s="1"/>
  <c r="BT19" i="243"/>
  <c r="BT21" i="243" s="1"/>
  <c r="BT9" i="243"/>
  <c r="BT10" i="243" s="1"/>
  <c r="BT167" i="243" s="1"/>
  <c r="BT49" i="243"/>
  <c r="BT34" i="243"/>
  <c r="BT178" i="243" s="1"/>
  <c r="BT24" i="243"/>
  <c r="BX54" i="242"/>
  <c r="BT84" i="242"/>
  <c r="BT83" i="242"/>
  <c r="BT81" i="242"/>
  <c r="BT80" i="242"/>
  <c r="BS245" i="243"/>
  <c r="BS210" i="243"/>
  <c r="BS209" i="243"/>
  <c r="BS206" i="243"/>
  <c r="BS152" i="243"/>
  <c r="BV208" i="243"/>
  <c r="BS208" i="243" s="1"/>
  <c r="BV207" i="243"/>
  <c r="BS207" i="243" s="1"/>
  <c r="BV205" i="243"/>
  <c r="BS205" i="243" s="1"/>
  <c r="BV204" i="243"/>
  <c r="BS204" i="243" s="1"/>
  <c r="BV273" i="243"/>
  <c r="BV255" i="243"/>
  <c r="BV251" i="243"/>
  <c r="BV241" i="243"/>
  <c r="BV240" i="243"/>
  <c r="BV212" i="243"/>
  <c r="BW209" i="243"/>
  <c r="BU209" i="243" s="1"/>
  <c r="BV189" i="243"/>
  <c r="BV174" i="243"/>
  <c r="BV173" i="243"/>
  <c r="BV170" i="243"/>
  <c r="BV164" i="243"/>
  <c r="BV161" i="243"/>
  <c r="BV158" i="243"/>
  <c r="BW55" i="243"/>
  <c r="BU55" i="243" s="1"/>
  <c r="BW54" i="243"/>
  <c r="BU54" i="243" s="1"/>
  <c r="BW52" i="243"/>
  <c r="BU52" i="243" s="1"/>
  <c r="BW51" i="243"/>
  <c r="BU51" i="243" s="1"/>
  <c r="BW44" i="243"/>
  <c r="BU44" i="243" s="1"/>
  <c r="BW43" i="243"/>
  <c r="BU43" i="243" s="1"/>
  <c r="BW42" i="243"/>
  <c r="BU42" i="243" s="1"/>
  <c r="BW41" i="243"/>
  <c r="BW40" i="243"/>
  <c r="BW174" i="243" s="1"/>
  <c r="BW39" i="243"/>
  <c r="BW251" i="243" s="1"/>
  <c r="BW38" i="243"/>
  <c r="BU38" i="243" s="1"/>
  <c r="BW33" i="243"/>
  <c r="BU33" i="243" s="1"/>
  <c r="BW32" i="243"/>
  <c r="BU32" i="243" s="1"/>
  <c r="BW31" i="243"/>
  <c r="BU31" i="243" s="1"/>
  <c r="BW30" i="243"/>
  <c r="BU30" i="243" s="1"/>
  <c r="BU173" i="243" s="1"/>
  <c r="BW29" i="243"/>
  <c r="BW170" i="243" s="1"/>
  <c r="BW28" i="243"/>
  <c r="BU28" i="243" s="1"/>
  <c r="BU83" i="242" s="1"/>
  <c r="BW27" i="243"/>
  <c r="BW20" i="243"/>
  <c r="BU20" i="243" s="1"/>
  <c r="BW18" i="243"/>
  <c r="BU18" i="243" s="1"/>
  <c r="BW17" i="243"/>
  <c r="BU17" i="243" s="1"/>
  <c r="BW16" i="243"/>
  <c r="BU16" i="243" s="1"/>
  <c r="BW15" i="243"/>
  <c r="BU15" i="243" s="1"/>
  <c r="BW14" i="243"/>
  <c r="BU14" i="243" s="1"/>
  <c r="BW13" i="243"/>
  <c r="BU13" i="243" s="1"/>
  <c r="BW8" i="243"/>
  <c r="BW7" i="243"/>
  <c r="BU7" i="243" s="1"/>
  <c r="BW6" i="243"/>
  <c r="BU6" i="243" s="1"/>
  <c r="BW5" i="243"/>
  <c r="BU5" i="243" s="1"/>
  <c r="BW4" i="243"/>
  <c r="BW3" i="243"/>
  <c r="BU3" i="243" s="1"/>
  <c r="BS55" i="243"/>
  <c r="BS54" i="243"/>
  <c r="BS52" i="243"/>
  <c r="BS51" i="243"/>
  <c r="BS44" i="243"/>
  <c r="BS43" i="243"/>
  <c r="BS42" i="243"/>
  <c r="BS41" i="243"/>
  <c r="BS212" i="243" s="1"/>
  <c r="BS40" i="243"/>
  <c r="BS174" i="243" s="1"/>
  <c r="BS39" i="243"/>
  <c r="BS251" i="243" s="1"/>
  <c r="BS38" i="243"/>
  <c r="BS84" i="242" s="1"/>
  <c r="BS33" i="243"/>
  <c r="BS32" i="243"/>
  <c r="BS31" i="243"/>
  <c r="BS30" i="243"/>
  <c r="BS173" i="243" s="1"/>
  <c r="BS29" i="243"/>
  <c r="BS170" i="243" s="1"/>
  <c r="BS28" i="243"/>
  <c r="BS83" i="242" s="1"/>
  <c r="BS27" i="243"/>
  <c r="BS255" i="243" s="1"/>
  <c r="BS20" i="243"/>
  <c r="BS18" i="243"/>
  <c r="BS17" i="243"/>
  <c r="BS16" i="243"/>
  <c r="BS15" i="243"/>
  <c r="BS14" i="243"/>
  <c r="BS13" i="243"/>
  <c r="BS8" i="243"/>
  <c r="BS164" i="243" s="1"/>
  <c r="BS7" i="243"/>
  <c r="BS80" i="242" s="1"/>
  <c r="BS6" i="243"/>
  <c r="BS5" i="243"/>
  <c r="BS4" i="243"/>
  <c r="BS161" i="243" s="1"/>
  <c r="BS3" i="243"/>
  <c r="BV53" i="243"/>
  <c r="BS53" i="243" s="1"/>
  <c r="BV37" i="243"/>
  <c r="BS37" i="243" s="1"/>
  <c r="BV19" i="243"/>
  <c r="BS19" i="243" s="1"/>
  <c r="BV9" i="243"/>
  <c r="BV10" i="243" s="1"/>
  <c r="BS10" i="243" s="1"/>
  <c r="BS167" i="243" s="1"/>
  <c r="BV49" i="243"/>
  <c r="BV34" i="243"/>
  <c r="BS34" i="243" s="1"/>
  <c r="BS178" i="243" s="1"/>
  <c r="BV24" i="243"/>
  <c r="BS59" i="242"/>
  <c r="BT59" i="242" s="1"/>
  <c r="BS57" i="242"/>
  <c r="BT57" i="242" s="1"/>
  <c r="BS50" i="242"/>
  <c r="BT50" i="242" s="1"/>
  <c r="BS40" i="242"/>
  <c r="BT40" i="242" s="1"/>
  <c r="BS37" i="242"/>
  <c r="BT37" i="242" s="1"/>
  <c r="BS36" i="242"/>
  <c r="BT36" i="242" s="1"/>
  <c r="BS35" i="242"/>
  <c r="BT35" i="242" s="1"/>
  <c r="BS34" i="242"/>
  <c r="BT34" i="242" s="1"/>
  <c r="BS33" i="242"/>
  <c r="BT33" i="242" s="1"/>
  <c r="BS30" i="242"/>
  <c r="BT30" i="242" s="1"/>
  <c r="BS29" i="242"/>
  <c r="BT29" i="242" s="1"/>
  <c r="BS28" i="242"/>
  <c r="BT28" i="242" s="1"/>
  <c r="BS27" i="242"/>
  <c r="BT27" i="242" s="1"/>
  <c r="BS26" i="242"/>
  <c r="BS54" i="242" s="1"/>
  <c r="BS24" i="242"/>
  <c r="BT24" i="242" s="1"/>
  <c r="BS20" i="242"/>
  <c r="BS46" i="242" s="1"/>
  <c r="BS8" i="242"/>
  <c r="BT8" i="242" s="1"/>
  <c r="BS7" i="242"/>
  <c r="BT7" i="242" s="1"/>
  <c r="BS6" i="242"/>
  <c r="BT6" i="242" s="1"/>
  <c r="BS5" i="242"/>
  <c r="BT5" i="242" s="1"/>
  <c r="BW35" i="242"/>
  <c r="BV25" i="242"/>
  <c r="BV23" i="242"/>
  <c r="BV53" i="242" s="1"/>
  <c r="BV9" i="242"/>
  <c r="BS9" i="242" s="1"/>
  <c r="BT9" i="242" s="1"/>
  <c r="BV84" i="242"/>
  <c r="BV83" i="242"/>
  <c r="BV81" i="242"/>
  <c r="BV80" i="242"/>
  <c r="BW59" i="242"/>
  <c r="BW57" i="242"/>
  <c r="BV54" i="242"/>
  <c r="BW50" i="242"/>
  <c r="BV46" i="242"/>
  <c r="BW40" i="242"/>
  <c r="BV38" i="242"/>
  <c r="BW37" i="242"/>
  <c r="BW36" i="242"/>
  <c r="BW34" i="242"/>
  <c r="BW30" i="242"/>
  <c r="BW29" i="242"/>
  <c r="BW27" i="242"/>
  <c r="BW26" i="242"/>
  <c r="BW54" i="242" s="1"/>
  <c r="BW24" i="242"/>
  <c r="BW7" i="242"/>
  <c r="BW5" i="242"/>
  <c r="BV4" i="242"/>
  <c r="BR208" i="243"/>
  <c r="BR207" i="243"/>
  <c r="BR205" i="243"/>
  <c r="BR204" i="243"/>
  <c r="BR273" i="243"/>
  <c r="BR255" i="243"/>
  <c r="BR251" i="243"/>
  <c r="BR245" i="243"/>
  <c r="BR241" i="243"/>
  <c r="BR240" i="243"/>
  <c r="BR212" i="243"/>
  <c r="BR189" i="243"/>
  <c r="BR174" i="243"/>
  <c r="BR173" i="243"/>
  <c r="BR170" i="243"/>
  <c r="BR164" i="243"/>
  <c r="BR161" i="243"/>
  <c r="BR158" i="243"/>
  <c r="BR152" i="243"/>
  <c r="BR53" i="243"/>
  <c r="BR56" i="243" s="1"/>
  <c r="BR37" i="243"/>
  <c r="BR252" i="243" s="1"/>
  <c r="BR19" i="243"/>
  <c r="BR21" i="243" s="1"/>
  <c r="BR9" i="243"/>
  <c r="BR10" i="243" s="1"/>
  <c r="BR167" i="243" s="1"/>
  <c r="BR49" i="243"/>
  <c r="BR34" i="243"/>
  <c r="BR178" i="243" s="1"/>
  <c r="BR24" i="243"/>
  <c r="BR25" i="242"/>
  <c r="BR23" i="242"/>
  <c r="BR84" i="242"/>
  <c r="BR83" i="242"/>
  <c r="BR81" i="242"/>
  <c r="BR80" i="242"/>
  <c r="BR54" i="242"/>
  <c r="BR46" i="242"/>
  <c r="BR38" i="242"/>
  <c r="BR4" i="242"/>
  <c r="CD209" i="243"/>
  <c r="CB209" i="243" s="1"/>
  <c r="CD205" i="243"/>
  <c r="CB205" i="243" s="1"/>
  <c r="CD204" i="243"/>
  <c r="CD55" i="243"/>
  <c r="CB55" i="243" s="1"/>
  <c r="CD54" i="243"/>
  <c r="CB54" i="243" s="1"/>
  <c r="CD52" i="243"/>
  <c r="CB52" i="243" s="1"/>
  <c r="CD51" i="243"/>
  <c r="CD44" i="243"/>
  <c r="CB44" i="243" s="1"/>
  <c r="CD43" i="243"/>
  <c r="CB43" i="243" s="1"/>
  <c r="CD42" i="243"/>
  <c r="CB42" i="243" s="1"/>
  <c r="CD41" i="243"/>
  <c r="CD212" i="243" s="1"/>
  <c r="CD40" i="243"/>
  <c r="CB40" i="243" s="1"/>
  <c r="CB174" i="243" s="1"/>
  <c r="CD39" i="243"/>
  <c r="CD251" i="243" s="1"/>
  <c r="CD38" i="243"/>
  <c r="CB38" i="243" s="1"/>
  <c r="CD33" i="243"/>
  <c r="CB33" i="243" s="1"/>
  <c r="CD32" i="243"/>
  <c r="CB32" i="243" s="1"/>
  <c r="CD31" i="243"/>
  <c r="CB31" i="243" s="1"/>
  <c r="CD30" i="243"/>
  <c r="CB30" i="243" s="1"/>
  <c r="CB173" i="243" s="1"/>
  <c r="CD29" i="243"/>
  <c r="CD170" i="243" s="1"/>
  <c r="CD28" i="243"/>
  <c r="CB28" i="243" s="1"/>
  <c r="CB83" i="242" s="1"/>
  <c r="CD27" i="243"/>
  <c r="CD255" i="243" s="1"/>
  <c r="CD20" i="243"/>
  <c r="CB20" i="243" s="1"/>
  <c r="CD18" i="243"/>
  <c r="CB18" i="243" s="1"/>
  <c r="CD17" i="243"/>
  <c r="CB17" i="243" s="1"/>
  <c r="CD16" i="243"/>
  <c r="CB16" i="243" s="1"/>
  <c r="CD15" i="243"/>
  <c r="CB15" i="243" s="1"/>
  <c r="CD14" i="243"/>
  <c r="CD13" i="243"/>
  <c r="CB13" i="243" s="1"/>
  <c r="CD8" i="243"/>
  <c r="CD7" i="243"/>
  <c r="CB7" i="243" s="1"/>
  <c r="CB241" i="243" s="1"/>
  <c r="CD6" i="243"/>
  <c r="CD5" i="243"/>
  <c r="CB5" i="243" s="1"/>
  <c r="CD4" i="243"/>
  <c r="CD3" i="243"/>
  <c r="CD158" i="243" s="1"/>
  <c r="CD85" i="242"/>
  <c r="CB85" i="242" s="1"/>
  <c r="CD59" i="242"/>
  <c r="CD57" i="242"/>
  <c r="CD50" i="242"/>
  <c r="CD40" i="242"/>
  <c r="CD37" i="242"/>
  <c r="CD36" i="242"/>
  <c r="CD35" i="242"/>
  <c r="CD34" i="242"/>
  <c r="CD33" i="242"/>
  <c r="CD30" i="242"/>
  <c r="CD29" i="242"/>
  <c r="CD27" i="242"/>
  <c r="CD26" i="242"/>
  <c r="CD54" i="242" s="1"/>
  <c r="CD24" i="242"/>
  <c r="CD7" i="242"/>
  <c r="CD5" i="242"/>
  <c r="CA208" i="243"/>
  <c r="CA207" i="243"/>
  <c r="CA205" i="243"/>
  <c r="CA273" i="243"/>
  <c r="CA255" i="243"/>
  <c r="CA251" i="243"/>
  <c r="CA241" i="243"/>
  <c r="CA240" i="243"/>
  <c r="CA212" i="243"/>
  <c r="CA174" i="243"/>
  <c r="CA173" i="243"/>
  <c r="CA170" i="243"/>
  <c r="CA164" i="243"/>
  <c r="CA161" i="243"/>
  <c r="CA158" i="243"/>
  <c r="CA152" i="243"/>
  <c r="CA53" i="243"/>
  <c r="CA56" i="243" s="1"/>
  <c r="CA37" i="243"/>
  <c r="CA19" i="243"/>
  <c r="CA21" i="243" s="1"/>
  <c r="CA11" i="243"/>
  <c r="CA24" i="243" s="1"/>
  <c r="CA9" i="243"/>
  <c r="CA49" i="243"/>
  <c r="CA34" i="243"/>
  <c r="CA178" i="243" s="1"/>
  <c r="CA84" i="242"/>
  <c r="CA83" i="242"/>
  <c r="CA81" i="242"/>
  <c r="CA80" i="242"/>
  <c r="BZ210" i="243"/>
  <c r="BZ209" i="243"/>
  <c r="BZ206" i="243"/>
  <c r="BZ204" i="243"/>
  <c r="CC208" i="243"/>
  <c r="BZ208" i="243" s="1"/>
  <c r="CC207" i="243"/>
  <c r="BZ207" i="243" s="1"/>
  <c r="CC205" i="243"/>
  <c r="BZ205" i="243" s="1"/>
  <c r="CC273" i="243"/>
  <c r="CC255" i="243"/>
  <c r="CC251" i="243"/>
  <c r="CC245" i="243"/>
  <c r="CC241" i="243"/>
  <c r="CC240" i="243"/>
  <c r="CC212" i="243"/>
  <c r="CC189" i="243"/>
  <c r="CC174" i="243"/>
  <c r="CC173" i="243"/>
  <c r="CC170" i="243"/>
  <c r="CC164" i="243"/>
  <c r="CC161" i="243"/>
  <c r="CC158" i="243"/>
  <c r="CC152" i="243"/>
  <c r="BZ55" i="243"/>
  <c r="BZ54" i="243"/>
  <c r="BZ52" i="243"/>
  <c r="BZ51" i="243"/>
  <c r="BZ44" i="243"/>
  <c r="BZ43" i="243"/>
  <c r="BZ42" i="243"/>
  <c r="BZ41" i="243"/>
  <c r="BZ273" i="243" s="1"/>
  <c r="BZ40" i="243"/>
  <c r="BZ174" i="243" s="1"/>
  <c r="BZ39" i="243"/>
  <c r="BZ251" i="243" s="1"/>
  <c r="BZ38" i="243"/>
  <c r="BZ33" i="243"/>
  <c r="BZ32" i="243"/>
  <c r="BZ31" i="243"/>
  <c r="BZ30" i="243"/>
  <c r="BZ173" i="243" s="1"/>
  <c r="BZ29" i="243"/>
  <c r="BZ170" i="243" s="1"/>
  <c r="BZ28" i="243"/>
  <c r="BZ83" i="242" s="1"/>
  <c r="BZ27" i="243"/>
  <c r="BZ20" i="243"/>
  <c r="BZ18" i="243"/>
  <c r="BZ17" i="243"/>
  <c r="BZ16" i="243"/>
  <c r="BZ15" i="243"/>
  <c r="BZ14" i="243"/>
  <c r="BZ13" i="243"/>
  <c r="BZ8" i="243"/>
  <c r="BZ164" i="243" s="1"/>
  <c r="BZ7" i="243"/>
  <c r="BZ6" i="243"/>
  <c r="BZ5" i="243"/>
  <c r="BZ4" i="243"/>
  <c r="BZ161" i="243" s="1"/>
  <c r="BZ3" i="243"/>
  <c r="CC53" i="243"/>
  <c r="BZ53" i="243" s="1"/>
  <c r="CC37" i="243"/>
  <c r="CC19" i="243"/>
  <c r="BZ19" i="243" s="1"/>
  <c r="CC9" i="243"/>
  <c r="BZ9" i="243" s="1"/>
  <c r="CC49" i="243"/>
  <c r="CC34" i="243"/>
  <c r="CC178" i="243" s="1"/>
  <c r="CC24" i="243"/>
  <c r="BZ59" i="242"/>
  <c r="CA59" i="242" s="1"/>
  <c r="BZ57" i="242"/>
  <c r="CA57" i="242" s="1"/>
  <c r="BZ50" i="242"/>
  <c r="CA50" i="242" s="1"/>
  <c r="BZ40" i="242"/>
  <c r="CA40" i="242" s="1"/>
  <c r="BZ37" i="242"/>
  <c r="CA37" i="242" s="1"/>
  <c r="BZ36" i="242"/>
  <c r="CA36" i="242" s="1"/>
  <c r="BZ35" i="242"/>
  <c r="CA35" i="242" s="1"/>
  <c r="BZ34" i="242"/>
  <c r="CA34" i="242" s="1"/>
  <c r="BZ33" i="242"/>
  <c r="BZ30" i="242"/>
  <c r="CA30" i="242" s="1"/>
  <c r="BZ29" i="242"/>
  <c r="CA29" i="242" s="1"/>
  <c r="BZ28" i="242"/>
  <c r="CA28" i="242" s="1"/>
  <c r="BZ27" i="242"/>
  <c r="CA27" i="242" s="1"/>
  <c r="BZ26" i="242"/>
  <c r="BZ54" i="242" s="1"/>
  <c r="BZ24" i="242"/>
  <c r="CA24" i="242" s="1"/>
  <c r="BZ20" i="242"/>
  <c r="BZ189" i="243" s="1"/>
  <c r="BZ8" i="242"/>
  <c r="CA8" i="242" s="1"/>
  <c r="BZ7" i="242"/>
  <c r="CA7" i="242" s="1"/>
  <c r="BZ6" i="242"/>
  <c r="CA6" i="242" s="1"/>
  <c r="BZ5" i="242"/>
  <c r="CA5" i="242" s="1"/>
  <c r="CC25" i="242"/>
  <c r="CC23" i="242"/>
  <c r="BZ10" i="242"/>
  <c r="CA10" i="242" s="1"/>
  <c r="CC9" i="242"/>
  <c r="BZ9" i="242" s="1"/>
  <c r="CA9" i="242" s="1"/>
  <c r="CC84" i="242"/>
  <c r="CC83" i="242"/>
  <c r="CC81" i="242"/>
  <c r="CC80" i="242"/>
  <c r="CC54" i="242"/>
  <c r="CC46" i="242"/>
  <c r="CC38" i="242"/>
  <c r="CC4" i="242"/>
  <c r="BY208" i="243"/>
  <c r="BY207" i="243"/>
  <c r="BY205" i="243"/>
  <c r="BY204" i="243"/>
  <c r="BY273" i="243"/>
  <c r="BY255" i="243"/>
  <c r="BY251" i="243"/>
  <c r="BY245" i="243"/>
  <c r="BY241" i="243"/>
  <c r="BY240" i="243"/>
  <c r="BY212" i="243"/>
  <c r="BY189" i="243"/>
  <c r="BY174" i="243"/>
  <c r="BY173" i="243"/>
  <c r="BY170" i="243"/>
  <c r="BY164" i="243"/>
  <c r="BY161" i="243"/>
  <c r="BY158" i="243"/>
  <c r="BY152" i="243"/>
  <c r="BY53" i="243"/>
  <c r="BY56" i="243" s="1"/>
  <c r="BY37" i="243"/>
  <c r="BY45" i="243" s="1"/>
  <c r="BY19" i="243"/>
  <c r="BY21" i="243" s="1"/>
  <c r="BY9" i="243"/>
  <c r="BY10" i="243" s="1"/>
  <c r="BY167" i="243" s="1"/>
  <c r="BY49" i="243"/>
  <c r="BY34" i="243"/>
  <c r="BY178" i="243" s="1"/>
  <c r="BY24" i="243"/>
  <c r="BY25" i="242"/>
  <c r="BY23" i="242"/>
  <c r="BY53" i="242" s="1"/>
  <c r="BY84" i="242"/>
  <c r="BY83" i="242"/>
  <c r="BY81" i="242"/>
  <c r="BY80" i="242"/>
  <c r="BY54" i="242"/>
  <c r="BY46" i="242"/>
  <c r="BY38" i="242"/>
  <c r="BY4" i="242"/>
  <c r="CK209" i="243"/>
  <c r="CI209" i="243" s="1"/>
  <c r="CK205" i="243"/>
  <c r="CI205" i="243" s="1"/>
  <c r="CK204" i="243"/>
  <c r="CK55" i="243"/>
  <c r="CI55" i="243" s="1"/>
  <c r="CK54" i="243"/>
  <c r="CI54" i="243" s="1"/>
  <c r="CK52" i="243"/>
  <c r="CI52" i="243" s="1"/>
  <c r="CK51" i="243"/>
  <c r="CI51" i="243" s="1"/>
  <c r="CK44" i="243"/>
  <c r="CI44" i="243" s="1"/>
  <c r="CK43" i="243"/>
  <c r="CI43" i="243" s="1"/>
  <c r="CK42" i="243"/>
  <c r="CI42" i="243" s="1"/>
  <c r="CK41" i="243"/>
  <c r="CK212" i="243" s="1"/>
  <c r="CK40" i="243"/>
  <c r="CK174" i="243" s="1"/>
  <c r="CK39" i="243"/>
  <c r="CK251" i="243" s="1"/>
  <c r="CK38" i="243"/>
  <c r="CI38" i="243" s="1"/>
  <c r="CI84" i="242" s="1"/>
  <c r="CK33" i="243"/>
  <c r="CI33" i="243" s="1"/>
  <c r="CK32" i="243"/>
  <c r="CI32" i="243" s="1"/>
  <c r="CK31" i="243"/>
  <c r="CI31" i="243" s="1"/>
  <c r="CK30" i="243"/>
  <c r="CI30" i="243" s="1"/>
  <c r="CI173" i="243" s="1"/>
  <c r="CK29" i="243"/>
  <c r="CK170" i="243" s="1"/>
  <c r="CK28" i="243"/>
  <c r="CI28" i="243" s="1"/>
  <c r="CI83" i="242" s="1"/>
  <c r="CK27" i="243"/>
  <c r="CK20" i="243"/>
  <c r="CI20" i="243" s="1"/>
  <c r="CK18" i="243"/>
  <c r="CI18" i="243" s="1"/>
  <c r="CK17" i="243"/>
  <c r="CI17" i="243" s="1"/>
  <c r="CK16" i="243"/>
  <c r="CI16" i="243" s="1"/>
  <c r="CK15" i="243"/>
  <c r="CI15" i="243" s="1"/>
  <c r="CK14" i="243"/>
  <c r="CK13" i="243"/>
  <c r="CI13" i="243" s="1"/>
  <c r="CK8" i="243"/>
  <c r="CK164" i="243" s="1"/>
  <c r="CK7" i="243"/>
  <c r="CI7" i="243" s="1"/>
  <c r="CK6" i="243"/>
  <c r="CI6" i="243" s="1"/>
  <c r="CK5" i="243"/>
  <c r="CI5" i="243" s="1"/>
  <c r="CK4" i="243"/>
  <c r="CI4" i="243" s="1"/>
  <c r="CI161" i="243" s="1"/>
  <c r="CK3" i="243"/>
  <c r="CK158" i="243" s="1"/>
  <c r="CK85" i="242"/>
  <c r="CI85" i="242" s="1"/>
  <c r="CK59" i="242"/>
  <c r="CK57" i="242"/>
  <c r="CK40" i="242"/>
  <c r="CK37" i="242"/>
  <c r="CK36" i="242"/>
  <c r="CK35" i="242"/>
  <c r="CK34" i="242"/>
  <c r="CK30" i="242"/>
  <c r="CK29" i="242"/>
  <c r="CK27" i="242"/>
  <c r="CK26" i="242"/>
  <c r="CK54" i="242" s="1"/>
  <c r="CK24" i="242"/>
  <c r="CK7" i="242"/>
  <c r="CK5" i="242"/>
  <c r="CH208" i="243"/>
  <c r="CH207" i="243"/>
  <c r="CH205" i="243"/>
  <c r="CH273" i="243"/>
  <c r="CH255" i="243"/>
  <c r="CH251" i="243"/>
  <c r="CH241" i="243"/>
  <c r="CH240" i="243"/>
  <c r="CH212" i="243"/>
  <c r="CH174" i="243"/>
  <c r="CH173" i="243"/>
  <c r="CH170" i="243"/>
  <c r="CH164" i="243"/>
  <c r="CH161" i="243"/>
  <c r="CH158" i="243"/>
  <c r="CH152" i="243"/>
  <c r="CH53" i="243"/>
  <c r="CH56" i="243" s="1"/>
  <c r="CH37" i="243"/>
  <c r="CH256" i="243" s="1"/>
  <c r="CH19" i="243"/>
  <c r="CH21" i="243" s="1"/>
  <c r="CH9" i="243"/>
  <c r="CH10" i="243" s="1"/>
  <c r="CH167" i="243" s="1"/>
  <c r="CH49" i="243"/>
  <c r="CH34" i="243"/>
  <c r="CH178" i="243" s="1"/>
  <c r="CH24" i="243"/>
  <c r="CH84" i="242"/>
  <c r="CH83" i="242"/>
  <c r="CH81" i="242"/>
  <c r="CH80" i="242"/>
  <c r="CG210" i="243"/>
  <c r="CG209" i="243"/>
  <c r="CG206" i="243"/>
  <c r="CG204" i="243"/>
  <c r="CG152" i="243"/>
  <c r="CJ208" i="243"/>
  <c r="CG208" i="243" s="1"/>
  <c r="CJ207" i="243"/>
  <c r="CG207" i="243" s="1"/>
  <c r="CJ205" i="243"/>
  <c r="CG205" i="243" s="1"/>
  <c r="CJ273" i="243"/>
  <c r="CJ255" i="243"/>
  <c r="CJ251" i="243"/>
  <c r="CJ245" i="243"/>
  <c r="CJ241" i="243"/>
  <c r="CJ240" i="243"/>
  <c r="CJ212" i="243"/>
  <c r="CJ189" i="243"/>
  <c r="CJ174" i="243"/>
  <c r="CJ173" i="243"/>
  <c r="CJ170" i="243"/>
  <c r="CJ164" i="243"/>
  <c r="CJ161" i="243"/>
  <c r="CJ158" i="243"/>
  <c r="CG55" i="243"/>
  <c r="CG54" i="243"/>
  <c r="CG52" i="243"/>
  <c r="CG51" i="243"/>
  <c r="CG44" i="243"/>
  <c r="CG43" i="243"/>
  <c r="CG42" i="243"/>
  <c r="CG41" i="243"/>
  <c r="CG212" i="243" s="1"/>
  <c r="CG40" i="243"/>
  <c r="CG174" i="243" s="1"/>
  <c r="CG39" i="243"/>
  <c r="CG251" i="243" s="1"/>
  <c r="CG38" i="243"/>
  <c r="CG84" i="242" s="1"/>
  <c r="CG33" i="243"/>
  <c r="CG32" i="243"/>
  <c r="CG31" i="243"/>
  <c r="CG30" i="243"/>
  <c r="CG173" i="243" s="1"/>
  <c r="CG29" i="243"/>
  <c r="CG170" i="243" s="1"/>
  <c r="CG28" i="243"/>
  <c r="CG83" i="242" s="1"/>
  <c r="CG27" i="243"/>
  <c r="CG255" i="243" s="1"/>
  <c r="CG20" i="243"/>
  <c r="CG18" i="243"/>
  <c r="CG17" i="243"/>
  <c r="CG16" i="243"/>
  <c r="CG15" i="243"/>
  <c r="CG14" i="243"/>
  <c r="CG13" i="243"/>
  <c r="CG8" i="243"/>
  <c r="CG164" i="243" s="1"/>
  <c r="CG7" i="243"/>
  <c r="CG241" i="243" s="1"/>
  <c r="CG6" i="243"/>
  <c r="CG5" i="243"/>
  <c r="CG4" i="243"/>
  <c r="CG161" i="243" s="1"/>
  <c r="CG3" i="243"/>
  <c r="CJ53" i="243"/>
  <c r="CG53" i="243" s="1"/>
  <c r="CJ37" i="243"/>
  <c r="CJ256" i="243" s="1"/>
  <c r="CJ19" i="243"/>
  <c r="CJ21" i="243" s="1"/>
  <c r="CG21" i="243" s="1"/>
  <c r="CJ9" i="243"/>
  <c r="CG9" i="243" s="1"/>
  <c r="CJ49" i="243"/>
  <c r="CJ34" i="243"/>
  <c r="CG34" i="243" s="1"/>
  <c r="CG178" i="243" s="1"/>
  <c r="CJ24" i="243"/>
  <c r="CG85" i="242"/>
  <c r="CG59" i="242"/>
  <c r="CH59" i="242" s="1"/>
  <c r="CG57" i="242"/>
  <c r="CH57" i="242" s="1"/>
  <c r="CG40" i="242"/>
  <c r="CH40" i="242" s="1"/>
  <c r="CG37" i="242"/>
  <c r="CH37" i="242" s="1"/>
  <c r="CG36" i="242"/>
  <c r="CH36" i="242" s="1"/>
  <c r="CG35" i="242"/>
  <c r="CH35" i="242" s="1"/>
  <c r="CG34" i="242"/>
  <c r="CH34" i="242" s="1"/>
  <c r="CG33" i="242"/>
  <c r="CH33" i="242" s="1"/>
  <c r="CG30" i="242"/>
  <c r="CH30" i="242" s="1"/>
  <c r="CG29" i="242"/>
  <c r="CH29" i="242" s="1"/>
  <c r="CG28" i="242"/>
  <c r="CH28" i="242" s="1"/>
  <c r="CG27" i="242"/>
  <c r="CH27" i="242" s="1"/>
  <c r="CG26" i="242"/>
  <c r="CH26" i="242" s="1"/>
  <c r="CH54" i="242" s="1"/>
  <c r="CG24" i="242"/>
  <c r="CH24" i="242" s="1"/>
  <c r="CG20" i="242"/>
  <c r="CH20" i="242" s="1"/>
  <c r="CG8" i="242"/>
  <c r="CH8" i="242" s="1"/>
  <c r="CG7" i="242"/>
  <c r="CH7" i="242" s="1"/>
  <c r="CG6" i="242"/>
  <c r="CH6" i="242" s="1"/>
  <c r="CG5" i="242"/>
  <c r="CH5" i="242" s="1"/>
  <c r="CJ25" i="242"/>
  <c r="CJ23" i="242"/>
  <c r="CJ9" i="242"/>
  <c r="CG9" i="242" s="1"/>
  <c r="CH9" i="242" s="1"/>
  <c r="CJ84" i="242"/>
  <c r="CJ83" i="242"/>
  <c r="CJ81" i="242"/>
  <c r="CJ80" i="242"/>
  <c r="CJ54" i="242"/>
  <c r="CJ46" i="242"/>
  <c r="CJ50" i="242" s="1"/>
  <c r="CJ38" i="242"/>
  <c r="CJ4" i="242"/>
  <c r="AO132" i="178"/>
  <c r="AH132" i="178"/>
  <c r="AO130" i="178"/>
  <c r="AH130" i="178"/>
  <c r="P50" i="2"/>
  <c r="P26" i="2"/>
  <c r="P24" i="2"/>
  <c r="S73" i="2"/>
  <c r="O73" i="2"/>
  <c r="P73" i="2" s="1"/>
  <c r="S72" i="2"/>
  <c r="Q72" i="2" s="1"/>
  <c r="S70" i="2"/>
  <c r="O70" i="2"/>
  <c r="P70" i="2" s="1"/>
  <c r="S69" i="2"/>
  <c r="Q69" i="2" s="1"/>
  <c r="O69" i="2"/>
  <c r="N72" i="2"/>
  <c r="S55" i="2"/>
  <c r="P55" i="2"/>
  <c r="O55" i="2"/>
  <c r="S50" i="2"/>
  <c r="O50" i="2"/>
  <c r="S44" i="2"/>
  <c r="S4" i="242" s="1"/>
  <c r="P44" i="2"/>
  <c r="O44" i="2"/>
  <c r="O4" i="242" s="1"/>
  <c r="S40" i="2"/>
  <c r="P40" i="2"/>
  <c r="O40" i="2"/>
  <c r="S35" i="2"/>
  <c r="P35" i="2"/>
  <c r="O35" i="2"/>
  <c r="S30" i="2"/>
  <c r="P30" i="2"/>
  <c r="O30" i="2"/>
  <c r="R29" i="2"/>
  <c r="S29" i="2" s="1"/>
  <c r="N29" i="2"/>
  <c r="N31" i="2" s="1"/>
  <c r="N36" i="2" s="1"/>
  <c r="S26" i="2"/>
  <c r="O26" i="2"/>
  <c r="S25" i="2"/>
  <c r="Q25" i="2" s="1"/>
  <c r="O25" i="2"/>
  <c r="O24" i="2"/>
  <c r="S17" i="2"/>
  <c r="P17" i="2"/>
  <c r="O17" i="2"/>
  <c r="P9" i="2"/>
  <c r="O9" i="2"/>
  <c r="W69" i="2"/>
  <c r="W50" i="2"/>
  <c r="W26" i="2"/>
  <c r="W24" i="2"/>
  <c r="Y69" i="2"/>
  <c r="Y72" i="2" s="1"/>
  <c r="V72" i="2" s="1"/>
  <c r="U69" i="2"/>
  <c r="U72" i="2" s="1"/>
  <c r="Z55" i="2"/>
  <c r="W55" i="2"/>
  <c r="V55" i="2"/>
  <c r="Z73" i="2"/>
  <c r="V73" i="2"/>
  <c r="W73" i="2" s="1"/>
  <c r="Z72" i="2"/>
  <c r="X72" i="2" s="1"/>
  <c r="Z70" i="2"/>
  <c r="V70" i="2"/>
  <c r="W70" i="2" s="1"/>
  <c r="Z69" i="2"/>
  <c r="X69" i="2" s="1"/>
  <c r="Z50" i="2"/>
  <c r="V50" i="2"/>
  <c r="Z44" i="2"/>
  <c r="W44" i="2"/>
  <c r="W4" i="242" s="1"/>
  <c r="V44" i="2"/>
  <c r="V4" i="242" s="1"/>
  <c r="Z40" i="2"/>
  <c r="W40" i="2"/>
  <c r="V40" i="2"/>
  <c r="Z35" i="2"/>
  <c r="W35" i="2"/>
  <c r="V35" i="2"/>
  <c r="Z30" i="2"/>
  <c r="W30" i="2"/>
  <c r="W245" i="243" s="1"/>
  <c r="V30" i="2"/>
  <c r="Y29" i="2"/>
  <c r="Y234" i="243" s="1"/>
  <c r="U29" i="2"/>
  <c r="U234" i="243" s="1"/>
  <c r="Z17" i="2"/>
  <c r="W17" i="2"/>
  <c r="V17" i="2"/>
  <c r="Z26" i="2"/>
  <c r="V26" i="2"/>
  <c r="Z25" i="2"/>
  <c r="V25" i="2"/>
  <c r="V24" i="2"/>
  <c r="Z9" i="2"/>
  <c r="W9" i="2"/>
  <c r="V9" i="2"/>
  <c r="AD69" i="2"/>
  <c r="AD50" i="2"/>
  <c r="AD24" i="2"/>
  <c r="AC50" i="2"/>
  <c r="AC24" i="2"/>
  <c r="AC73" i="2"/>
  <c r="AD73" i="2" s="1"/>
  <c r="AC70" i="2"/>
  <c r="AD70" i="2" s="1"/>
  <c r="AF69" i="2"/>
  <c r="AF72" i="2" s="1"/>
  <c r="AC72" i="2" s="1"/>
  <c r="AG73" i="2"/>
  <c r="AG70" i="2"/>
  <c r="AG69" i="2"/>
  <c r="AE69" i="2" s="1"/>
  <c r="AB69" i="2"/>
  <c r="AB72" i="2" s="1"/>
  <c r="AG55" i="2"/>
  <c r="AD55" i="2"/>
  <c r="AC55" i="2"/>
  <c r="AG50" i="2"/>
  <c r="AG44" i="2"/>
  <c r="AD44" i="2"/>
  <c r="AD4" i="242" s="1"/>
  <c r="AC44" i="2"/>
  <c r="AC4" i="242" s="1"/>
  <c r="AG40" i="2"/>
  <c r="AD40" i="2"/>
  <c r="AC40" i="2"/>
  <c r="AG35" i="2"/>
  <c r="AD35" i="2"/>
  <c r="AC35" i="2"/>
  <c r="AG30" i="2"/>
  <c r="AD30" i="2"/>
  <c r="AD245" i="243" s="1"/>
  <c r="AF29" i="2"/>
  <c r="AF234" i="243" s="1"/>
  <c r="AC30" i="2"/>
  <c r="AB29" i="2"/>
  <c r="AB234" i="243" s="1"/>
  <c r="AG26" i="2"/>
  <c r="AE26" i="2" s="1"/>
  <c r="AC26" i="2"/>
  <c r="AG25" i="2"/>
  <c r="AC25" i="2"/>
  <c r="AG17" i="2"/>
  <c r="AD17" i="2"/>
  <c r="AC17" i="2"/>
  <c r="AG9" i="2"/>
  <c r="AD9" i="2"/>
  <c r="AC9" i="2"/>
  <c r="AK69" i="2"/>
  <c r="AJ73" i="2"/>
  <c r="AK73" i="2" s="1"/>
  <c r="AJ70" i="2"/>
  <c r="AK70" i="2" s="1"/>
  <c r="AM69" i="2"/>
  <c r="AJ69" i="2" s="1"/>
  <c r="AN73" i="2"/>
  <c r="AN70" i="2"/>
  <c r="AI69" i="2"/>
  <c r="AI72" i="2" s="1"/>
  <c r="AN55" i="2"/>
  <c r="AK55" i="2"/>
  <c r="AJ55" i="2"/>
  <c r="AN44" i="2"/>
  <c r="AK44" i="2"/>
  <c r="AK4" i="242" s="1"/>
  <c r="AJ44" i="2"/>
  <c r="AJ4" i="242" s="1"/>
  <c r="AN40" i="2"/>
  <c r="AK40" i="2"/>
  <c r="AJ40" i="2"/>
  <c r="AM50" i="2"/>
  <c r="AK50" i="2"/>
  <c r="AI50" i="2"/>
  <c r="AN35" i="2"/>
  <c r="AK35" i="2"/>
  <c r="AJ35" i="2"/>
  <c r="AK30" i="2"/>
  <c r="AK245" i="243" s="1"/>
  <c r="AM29" i="2"/>
  <c r="AM234" i="243" s="1"/>
  <c r="AI29" i="2"/>
  <c r="AI234" i="243" s="1"/>
  <c r="AN30" i="2"/>
  <c r="AN245" i="243" s="1"/>
  <c r="AJ30" i="2"/>
  <c r="AJ245" i="243" s="1"/>
  <c r="AN26" i="2"/>
  <c r="AN50" i="2" s="1"/>
  <c r="AJ26" i="2"/>
  <c r="AJ50" i="2" s="1"/>
  <c r="AN25" i="2"/>
  <c r="AJ25" i="2"/>
  <c r="AN17" i="2"/>
  <c r="AK17" i="2"/>
  <c r="AJ17" i="2"/>
  <c r="AN9" i="2"/>
  <c r="AK9" i="2"/>
  <c r="AJ9" i="2"/>
  <c r="AR69" i="2"/>
  <c r="AR55" i="2"/>
  <c r="AR50" i="2"/>
  <c r="AQ30" i="2"/>
  <c r="AQ245" i="243" s="1"/>
  <c r="AQ73" i="2"/>
  <c r="AR73" i="2" s="1"/>
  <c r="AQ70" i="2"/>
  <c r="AR70" i="2" s="1"/>
  <c r="AQ55" i="2"/>
  <c r="AQ44" i="2"/>
  <c r="AQ4" i="242" s="1"/>
  <c r="AQ40" i="2"/>
  <c r="AQ35" i="2"/>
  <c r="AQ26" i="2"/>
  <c r="AQ50" i="2" s="1"/>
  <c r="AQ25" i="2"/>
  <c r="AQ17" i="2"/>
  <c r="AQ9" i="2"/>
  <c r="AR123" i="4"/>
  <c r="AR115" i="4"/>
  <c r="AS42" i="11" s="1"/>
  <c r="AS43" i="11" s="1"/>
  <c r="AQ123" i="4"/>
  <c r="AT122" i="4"/>
  <c r="AT124" i="4" s="1"/>
  <c r="AP122" i="4"/>
  <c r="AP124" i="4" s="1"/>
  <c r="AP15" i="2" s="1"/>
  <c r="AU117" i="4"/>
  <c r="AI18" i="220" s="1"/>
  <c r="AR117" i="4"/>
  <c r="AQ117" i="4"/>
  <c r="AE18" i="220" s="1"/>
  <c r="AU116" i="4"/>
  <c r="AR116" i="4"/>
  <c r="AR14" i="178" s="1"/>
  <c r="AR15" i="178" s="1"/>
  <c r="AQ116" i="4"/>
  <c r="AQ14" i="178" s="1"/>
  <c r="AU115" i="4"/>
  <c r="AQ115" i="4"/>
  <c r="AR42" i="11" s="1"/>
  <c r="AU73" i="2"/>
  <c r="AU70" i="2"/>
  <c r="AU69" i="2"/>
  <c r="AS69" i="2" s="1"/>
  <c r="AT69" i="2"/>
  <c r="AT72" i="2" s="1"/>
  <c r="AQ72" i="2" s="1"/>
  <c r="AU55" i="2"/>
  <c r="AT50" i="2"/>
  <c r="AU44" i="2"/>
  <c r="AU40" i="2"/>
  <c r="AS40" i="2" s="1"/>
  <c r="AU35" i="2"/>
  <c r="AS35" i="2" s="1"/>
  <c r="AU30" i="2"/>
  <c r="AU29" i="2"/>
  <c r="AU234" i="243" s="1"/>
  <c r="AT31" i="2"/>
  <c r="AT36" i="2" s="1"/>
  <c r="AU26" i="2"/>
  <c r="AU50" i="2" s="1"/>
  <c r="AU25" i="2"/>
  <c r="AS25" i="2" s="1"/>
  <c r="AU9" i="2"/>
  <c r="AS9" i="2" s="1"/>
  <c r="AT98" i="4"/>
  <c r="AT20" i="2" s="1"/>
  <c r="AP98" i="4"/>
  <c r="AP20" i="2" s="1"/>
  <c r="AR72" i="4"/>
  <c r="AR98" i="4" s="1"/>
  <c r="AQ72" i="4"/>
  <c r="AQ98" i="4" s="1"/>
  <c r="AQ20" i="2" s="1"/>
  <c r="AP69" i="2"/>
  <c r="AP72" i="2" s="1"/>
  <c r="AP50" i="2"/>
  <c r="AP29" i="2"/>
  <c r="AY69" i="2"/>
  <c r="BA69" i="2"/>
  <c r="AX69" i="2" s="1"/>
  <c r="AW69" i="2"/>
  <c r="AW72" i="2" s="1"/>
  <c r="AX73" i="2"/>
  <c r="AY73" i="2" s="1"/>
  <c r="AX70" i="2"/>
  <c r="AY70" i="2" s="1"/>
  <c r="BB73" i="2"/>
  <c r="BB70" i="2"/>
  <c r="BB69" i="2"/>
  <c r="AZ69" i="2" s="1"/>
  <c r="BA55" i="2"/>
  <c r="BB55" i="2" s="1"/>
  <c r="BA50" i="2"/>
  <c r="AY50" i="2"/>
  <c r="AW50" i="2"/>
  <c r="BB44" i="2"/>
  <c r="AY44" i="2"/>
  <c r="AY4" i="242" s="1"/>
  <c r="AX44" i="2"/>
  <c r="AX4" i="242" s="1"/>
  <c r="BB40" i="2"/>
  <c r="AY40" i="2"/>
  <c r="AX40" i="2"/>
  <c r="BB35" i="2"/>
  <c r="AY35" i="2"/>
  <c r="AX35" i="2"/>
  <c r="BA30" i="2"/>
  <c r="BB30" i="2" s="1"/>
  <c r="AX29" i="2"/>
  <c r="AW29" i="2"/>
  <c r="AW31" i="2" s="1"/>
  <c r="AW36" i="2" s="1"/>
  <c r="BB26" i="2"/>
  <c r="AZ26" i="2" s="1"/>
  <c r="AZ50" i="2" s="1"/>
  <c r="AX26" i="2"/>
  <c r="AX50" i="2" s="1"/>
  <c r="BB25" i="2"/>
  <c r="AZ25" i="2" s="1"/>
  <c r="AX25" i="2"/>
  <c r="BA17" i="2"/>
  <c r="AW17" i="2"/>
  <c r="BB9" i="2"/>
  <c r="AY9" i="2"/>
  <c r="AX9" i="2"/>
  <c r="BE73" i="2"/>
  <c r="BF73" i="2" s="1"/>
  <c r="BE70" i="2"/>
  <c r="BF70" i="2" s="1"/>
  <c r="BE69" i="2"/>
  <c r="BI73" i="2"/>
  <c r="BH72" i="2"/>
  <c r="BE72" i="2" s="1"/>
  <c r="BI70" i="2"/>
  <c r="BI69" i="2"/>
  <c r="BG69" i="2" s="1"/>
  <c r="BD72" i="2"/>
  <c r="BI55" i="2"/>
  <c r="BF55" i="2"/>
  <c r="BE55" i="2"/>
  <c r="BH50" i="2"/>
  <c r="BF50" i="2"/>
  <c r="BD50" i="2"/>
  <c r="BI44" i="2"/>
  <c r="BF44" i="2"/>
  <c r="BE44" i="2"/>
  <c r="BE4" i="242" s="1"/>
  <c r="BF4" i="242" s="1"/>
  <c r="BI40" i="2"/>
  <c r="BF40" i="2"/>
  <c r="BE40" i="2"/>
  <c r="BI35" i="2"/>
  <c r="BF35" i="2"/>
  <c r="BE35" i="2"/>
  <c r="BI30" i="2"/>
  <c r="BE30" i="2"/>
  <c r="BE245" i="243" s="1"/>
  <c r="BF30" i="2"/>
  <c r="BF245" i="243" s="1"/>
  <c r="BH29" i="2"/>
  <c r="BH234" i="243" s="1"/>
  <c r="BD29" i="2"/>
  <c r="BD234" i="243" s="1"/>
  <c r="BI26" i="2"/>
  <c r="BI50" i="2" s="1"/>
  <c r="BE26" i="2"/>
  <c r="BE50" i="2" s="1"/>
  <c r="BI25" i="2"/>
  <c r="BG25" i="2" s="1"/>
  <c r="BE25" i="2"/>
  <c r="BH17" i="2"/>
  <c r="BD17" i="2"/>
  <c r="BI9" i="2"/>
  <c r="BF9" i="2"/>
  <c r="BE9" i="2"/>
  <c r="BL73" i="2"/>
  <c r="BM73" i="2" s="1"/>
  <c r="BL70" i="2"/>
  <c r="BM70" i="2" s="1"/>
  <c r="BL69" i="2"/>
  <c r="BP73" i="2"/>
  <c r="BP70" i="2"/>
  <c r="BP69" i="2"/>
  <c r="BN69" i="2" s="1"/>
  <c r="BO72" i="2"/>
  <c r="BL72" i="2" s="1"/>
  <c r="BK72" i="2"/>
  <c r="BP55" i="2"/>
  <c r="BM55" i="2"/>
  <c r="BL55" i="2"/>
  <c r="BO50" i="2"/>
  <c r="BM50" i="2"/>
  <c r="BK50" i="2"/>
  <c r="BP44" i="2"/>
  <c r="BP4" i="242" s="1"/>
  <c r="BM44" i="2"/>
  <c r="BM4" i="242" s="1"/>
  <c r="BL44" i="2"/>
  <c r="BL4" i="242" s="1"/>
  <c r="BP40" i="2"/>
  <c r="BM40" i="2"/>
  <c r="BL40" i="2"/>
  <c r="BO35" i="2"/>
  <c r="BM35" i="2" s="1"/>
  <c r="BH167" i="243" l="1"/>
  <c r="BE11" i="243"/>
  <c r="CG90" i="11"/>
  <c r="AB43" i="178"/>
  <c r="BN70" i="178"/>
  <c r="BN73" i="178" s="1"/>
  <c r="BI119" i="11"/>
  <c r="BL81" i="242"/>
  <c r="BL82" i="242" s="1"/>
  <c r="BL86" i="242" s="1"/>
  <c r="AC241" i="243"/>
  <c r="AC243" i="243" s="1"/>
  <c r="AD246" i="243" s="1"/>
  <c r="CB73" i="178"/>
  <c r="AF45" i="243"/>
  <c r="AC45" i="243" s="1"/>
  <c r="AC40" i="243"/>
  <c r="AC174" i="243" s="1"/>
  <c r="AU86" i="242"/>
  <c r="AU94" i="11"/>
  <c r="BG119" i="11"/>
  <c r="CK94" i="11"/>
  <c r="AC82" i="242"/>
  <c r="AC86" i="242" s="1"/>
  <c r="CG119" i="11"/>
  <c r="CG143" i="11" s="1"/>
  <c r="CG74" i="11" s="1"/>
  <c r="Y175" i="243"/>
  <c r="AQ213" i="243"/>
  <c r="AR235" i="243" s="1"/>
  <c r="AC173" i="243"/>
  <c r="BZ119" i="11"/>
  <c r="BZ143" i="11" s="1"/>
  <c r="BZ74" i="11" s="1"/>
  <c r="CH98" i="11"/>
  <c r="AX119" i="11"/>
  <c r="AX143" i="11" s="1"/>
  <c r="AX74" i="11" s="1"/>
  <c r="Z60" i="11"/>
  <c r="BM41" i="178"/>
  <c r="BJ94" i="11"/>
  <c r="BH119" i="11"/>
  <c r="AQ90" i="11"/>
  <c r="CH90" i="11"/>
  <c r="BJ86" i="11"/>
  <c r="CK86" i="11"/>
  <c r="CK90" i="11" s="1"/>
  <c r="CH119" i="11"/>
  <c r="CH143" i="11" s="1"/>
  <c r="CH74" i="11" s="1"/>
  <c r="BI82" i="242"/>
  <c r="BI86" i="242" s="1"/>
  <c r="BO211" i="243"/>
  <c r="BO213" i="243" s="1"/>
  <c r="BM43" i="178"/>
  <c r="X81" i="242"/>
  <c r="X82" i="242" s="1"/>
  <c r="AS119" i="11"/>
  <c r="AS143" i="11" s="1"/>
  <c r="AS74" i="11" s="1"/>
  <c r="BO10" i="243"/>
  <c r="BL10" i="243" s="1"/>
  <c r="BL167" i="243" s="1"/>
  <c r="BL185" i="243" s="1"/>
  <c r="BF119" i="11"/>
  <c r="BE119" i="11"/>
  <c r="BW86" i="11"/>
  <c r="BS98" i="11"/>
  <c r="BA98" i="11"/>
  <c r="BJ119" i="11"/>
  <c r="CB119" i="11"/>
  <c r="CB143" i="11" s="1"/>
  <c r="CB74" i="11" s="1"/>
  <c r="BP94" i="11"/>
  <c r="AU87" i="11"/>
  <c r="AT98" i="11"/>
  <c r="CA93" i="11"/>
  <c r="CA98" i="11" s="1"/>
  <c r="BW94" i="11"/>
  <c r="AV94" i="11"/>
  <c r="V60" i="11"/>
  <c r="BW85" i="11"/>
  <c r="BA90" i="11"/>
  <c r="AZ119" i="11"/>
  <c r="AZ143" i="11" s="1"/>
  <c r="AZ74" i="11" s="1"/>
  <c r="CD87" i="11"/>
  <c r="BS90" i="11"/>
  <c r="BW95" i="11"/>
  <c r="CD94" i="11"/>
  <c r="AX90" i="11"/>
  <c r="BU119" i="11"/>
  <c r="BU143" i="11" s="1"/>
  <c r="BU74" i="11" s="1"/>
  <c r="BB86" i="11"/>
  <c r="BB90" i="11" s="1"/>
  <c r="BP86" i="11"/>
  <c r="AZ90" i="11"/>
  <c r="AU86" i="11"/>
  <c r="BM119" i="11"/>
  <c r="BV56" i="243"/>
  <c r="BV58" i="243" s="1"/>
  <c r="BV59" i="243" s="1"/>
  <c r="AW34" i="178"/>
  <c r="AW35" i="178" s="1"/>
  <c r="BC95" i="11"/>
  <c r="BZ98" i="11"/>
  <c r="CA43" i="178"/>
  <c r="BB94" i="11"/>
  <c r="BT175" i="243"/>
  <c r="AE175" i="243"/>
  <c r="AQ243" i="243"/>
  <c r="AQ246" i="243" s="1"/>
  <c r="BT98" i="11"/>
  <c r="O31" i="242"/>
  <c r="BS119" i="11"/>
  <c r="BS143" i="11" s="1"/>
  <c r="BS74" i="11" s="1"/>
  <c r="CI90" i="11"/>
  <c r="BI94" i="11"/>
  <c r="CA41" i="178"/>
  <c r="AQ253" i="243"/>
  <c r="P23" i="242"/>
  <c r="P53" i="242" s="1"/>
  <c r="P52" i="242" s="1"/>
  <c r="P55" i="242" s="1"/>
  <c r="P51" i="242" s="1"/>
  <c r="BU90" i="11"/>
  <c r="BP88" i="11"/>
  <c r="BO21" i="243"/>
  <c r="BL21" i="243" s="1"/>
  <c r="BL22" i="243" s="1"/>
  <c r="BE24" i="243"/>
  <c r="P25" i="242"/>
  <c r="CD86" i="11"/>
  <c r="BW87" i="11"/>
  <c r="CA90" i="11"/>
  <c r="CC56" i="243"/>
  <c r="CC58" i="243" s="1"/>
  <c r="CC59" i="243" s="1"/>
  <c r="BM10" i="243"/>
  <c r="BM167" i="243" s="1"/>
  <c r="BM185" i="243" s="1"/>
  <c r="CI119" i="11"/>
  <c r="CI143" i="11" s="1"/>
  <c r="CI74" i="11" s="1"/>
  <c r="AR98" i="11"/>
  <c r="AR119" i="11"/>
  <c r="AR143" i="11" s="1"/>
  <c r="AR74" i="11" s="1"/>
  <c r="AJ241" i="243"/>
  <c r="AJ243" i="243" s="1"/>
  <c r="AJ246" i="243" s="1"/>
  <c r="CB90" i="11"/>
  <c r="BC94" i="11"/>
  <c r="BC87" i="11"/>
  <c r="CK84" i="242"/>
  <c r="BT211" i="243"/>
  <c r="BT213" i="243" s="1"/>
  <c r="V213" i="243"/>
  <c r="BA119" i="11"/>
  <c r="BA143" i="11" s="1"/>
  <c r="BA74" i="11" s="1"/>
  <c r="CJ56" i="243"/>
  <c r="CJ58" i="243" s="1"/>
  <c r="CJ59" i="243" s="1"/>
  <c r="CC21" i="243"/>
  <c r="BZ21" i="243" s="1"/>
  <c r="BZ22" i="243" s="1"/>
  <c r="CC211" i="243"/>
  <c r="CC213" i="243" s="1"/>
  <c r="CA10" i="243"/>
  <c r="CA167" i="243" s="1"/>
  <c r="CA185" i="243" s="1"/>
  <c r="BE243" i="243"/>
  <c r="BF246" i="243" s="1"/>
  <c r="BL119" i="11"/>
  <c r="CI94" i="11"/>
  <c r="CI98" i="11" s="1"/>
  <c r="BI86" i="11"/>
  <c r="W9" i="11"/>
  <c r="AY90" i="11"/>
  <c r="AV86" i="11"/>
  <c r="BK25" i="178"/>
  <c r="AZ62" i="178"/>
  <c r="BR43" i="178"/>
  <c r="BL205" i="243"/>
  <c r="BL211" i="243" s="1"/>
  <c r="AS90" i="11"/>
  <c r="CA211" i="243"/>
  <c r="CA213" i="243" s="1"/>
  <c r="BS9" i="243"/>
  <c r="BS11" i="243" s="1"/>
  <c r="BK175" i="243"/>
  <c r="AJ213" i="243"/>
  <c r="AT119" i="11"/>
  <c r="AT143" i="11" s="1"/>
  <c r="AT74" i="11" s="1"/>
  <c r="BZ90" i="11"/>
  <c r="AR9" i="11"/>
  <c r="BK34" i="178"/>
  <c r="BR211" i="243"/>
  <c r="BR213" i="243" s="1"/>
  <c r="BV21" i="243"/>
  <c r="BS21" i="243" s="1"/>
  <c r="BS22" i="243" s="1"/>
  <c r="BK211" i="243"/>
  <c r="BK213" i="243" s="1"/>
  <c r="AQ47" i="243"/>
  <c r="AQ49" i="243" s="1"/>
  <c r="AQ58" i="243" s="1"/>
  <c r="AQ31" i="242"/>
  <c r="V31" i="242"/>
  <c r="AQ119" i="11"/>
  <c r="AQ143" i="11" s="1"/>
  <c r="AQ74" i="11" s="1"/>
  <c r="AY119" i="11"/>
  <c r="AY143" i="11" s="1"/>
  <c r="AY74" i="11" s="1"/>
  <c r="AY98" i="11"/>
  <c r="AR90" i="11"/>
  <c r="BT90" i="11"/>
  <c r="CD95" i="11"/>
  <c r="AY5" i="11"/>
  <c r="BC86" i="11"/>
  <c r="CG19" i="243"/>
  <c r="CG22" i="243" s="1"/>
  <c r="CJ10" i="243"/>
  <c r="CG10" i="243" s="1"/>
  <c r="CG167" i="243" s="1"/>
  <c r="BV211" i="243"/>
  <c r="BV213" i="243" s="1"/>
  <c r="BO24" i="243"/>
  <c r="AQ256" i="243"/>
  <c r="O40" i="178"/>
  <c r="AP41" i="178"/>
  <c r="AK9" i="11"/>
  <c r="CH211" i="243"/>
  <c r="CH213" i="243" s="1"/>
  <c r="CC10" i="243"/>
  <c r="CC167" i="243" s="1"/>
  <c r="CC185" i="243" s="1"/>
  <c r="AS212" i="243"/>
  <c r="AN82" i="242"/>
  <c r="AN86" i="242" s="1"/>
  <c r="BU73" i="178"/>
  <c r="BD42" i="178"/>
  <c r="BD43" i="178" s="1"/>
  <c r="BT119" i="11"/>
  <c r="BT143" i="11" s="1"/>
  <c r="BT74" i="11" s="1"/>
  <c r="CJ211" i="243"/>
  <c r="CJ213" i="243" s="1"/>
  <c r="AD9" i="11"/>
  <c r="BL53" i="243"/>
  <c r="BL56" i="243" s="1"/>
  <c r="BM211" i="243"/>
  <c r="BM213" i="243" s="1"/>
  <c r="BR32" i="178"/>
  <c r="AK5" i="11"/>
  <c r="BT41" i="178"/>
  <c r="O42" i="178"/>
  <c r="AI43" i="178"/>
  <c r="AW41" i="178"/>
  <c r="BF30" i="178"/>
  <c r="BG29" i="178"/>
  <c r="BR34" i="178"/>
  <c r="BM28" i="178"/>
  <c r="BL25" i="178"/>
  <c r="BF73" i="178"/>
  <c r="BR28" i="178"/>
  <c r="CA30" i="178"/>
  <c r="BF31" i="178"/>
  <c r="BM32" i="178" s="1"/>
  <c r="BY43" i="178"/>
  <c r="BY41" i="178"/>
  <c r="CA28" i="178"/>
  <c r="AY73" i="178"/>
  <c r="AZ29" i="178"/>
  <c r="AZ30" i="178" s="1"/>
  <c r="CA73" i="178"/>
  <c r="AV87" i="11"/>
  <c r="AV95" i="11"/>
  <c r="AT90" i="11"/>
  <c r="AY9" i="11"/>
  <c r="AS116" i="4"/>
  <c r="AS14" i="178" s="1"/>
  <c r="AU14" i="178"/>
  <c r="CA9" i="11"/>
  <c r="BT43" i="178"/>
  <c r="BS42" i="178"/>
  <c r="R31" i="178"/>
  <c r="O27" i="178"/>
  <c r="AB28" i="178"/>
  <c r="AB31" i="178"/>
  <c r="AQ42" i="178"/>
  <c r="AT43" i="178"/>
  <c r="Y43" i="178"/>
  <c r="V42" i="178"/>
  <c r="U34" i="178"/>
  <c r="AB35" i="178" s="1"/>
  <c r="U28" i="178"/>
  <c r="U31" i="178"/>
  <c r="U32" i="178" s="1"/>
  <c r="AM41" i="178"/>
  <c r="AJ40" i="178"/>
  <c r="AI41" i="178"/>
  <c r="AR31" i="178"/>
  <c r="AC42" i="178"/>
  <c r="AF43" i="178"/>
  <c r="AQ27" i="178"/>
  <c r="AT28" i="178"/>
  <c r="AT31" i="178"/>
  <c r="AP28" i="178"/>
  <c r="AP31" i="178"/>
  <c r="AW32" i="178" s="1"/>
  <c r="BS27" i="178"/>
  <c r="BV31" i="178"/>
  <c r="Y34" i="178"/>
  <c r="Y35" i="178" s="1"/>
  <c r="V27" i="178"/>
  <c r="Y31" i="178"/>
  <c r="Y28" i="178"/>
  <c r="BT34" i="178"/>
  <c r="BT35" i="178" s="1"/>
  <c r="BT28" i="178"/>
  <c r="CA34" i="178"/>
  <c r="AU122" i="4"/>
  <c r="AV42" i="11"/>
  <c r="AT15" i="2"/>
  <c r="AT132" i="4"/>
  <c r="CA31" i="178"/>
  <c r="CA32" i="178" s="1"/>
  <c r="BR41" i="178"/>
  <c r="AW28" i="178"/>
  <c r="AF34" i="178"/>
  <c r="AC27" i="178"/>
  <c r="AF28" i="178"/>
  <c r="AF31" i="178"/>
  <c r="AQ40" i="178"/>
  <c r="AT41" i="178"/>
  <c r="AP43" i="178"/>
  <c r="BS40" i="178"/>
  <c r="BY31" i="178"/>
  <c r="BY32" i="178" s="1"/>
  <c r="BY28" i="178"/>
  <c r="AB41" i="178"/>
  <c r="U41" i="178"/>
  <c r="AJ42" i="178"/>
  <c r="AM43" i="178"/>
  <c r="BV34" i="178"/>
  <c r="AR122" i="4"/>
  <c r="AR124" i="4" s="1"/>
  <c r="AR132" i="4" s="1"/>
  <c r="AF18" i="220"/>
  <c r="AF19" i="220" s="1"/>
  <c r="N34" i="178"/>
  <c r="AC40" i="178"/>
  <c r="AF41" i="178"/>
  <c r="AT34" i="178"/>
  <c r="BD27" i="178"/>
  <c r="BD40" i="178"/>
  <c r="BD41" i="178" s="1"/>
  <c r="BY34" i="178"/>
  <c r="V40" i="178"/>
  <c r="Y41" i="178"/>
  <c r="U43" i="178"/>
  <c r="AM31" i="178"/>
  <c r="AM32" i="178" s="1"/>
  <c r="AJ27" i="178"/>
  <c r="AM28" i="178"/>
  <c r="AI34" i="178"/>
  <c r="AI35" i="178" s="1"/>
  <c r="AI31" i="178"/>
  <c r="AI28" i="178"/>
  <c r="AW43" i="178"/>
  <c r="AP132" i="4"/>
  <c r="CA119" i="11"/>
  <c r="CA143" i="11" s="1"/>
  <c r="CA74" i="11" s="1"/>
  <c r="AS127" i="4"/>
  <c r="CC31" i="242"/>
  <c r="AG86" i="242"/>
  <c r="CC53" i="242"/>
  <c r="CC52" i="242" s="1"/>
  <c r="CC55" i="242" s="1"/>
  <c r="BS23" i="242"/>
  <c r="BS53" i="242" s="1"/>
  <c r="AD29" i="2"/>
  <c r="AD234" i="243" s="1"/>
  <c r="U31" i="2"/>
  <c r="U36" i="2" s="1"/>
  <c r="AC29" i="2"/>
  <c r="AC234" i="243" s="1"/>
  <c r="X50" i="2"/>
  <c r="Q55" i="2"/>
  <c r="BZ23" i="242"/>
  <c r="BZ53" i="242" s="1"/>
  <c r="BZ52" i="242" s="1"/>
  <c r="BR53" i="242"/>
  <c r="BR52" i="242" s="1"/>
  <c r="BR55" i="242" s="1"/>
  <c r="BR51" i="242" s="1"/>
  <c r="AD23" i="242"/>
  <c r="AD53" i="242" s="1"/>
  <c r="AD52" i="242" s="1"/>
  <c r="AD55" i="242" s="1"/>
  <c r="AD51" i="242" s="1"/>
  <c r="V82" i="242"/>
  <c r="V86" i="242" s="1"/>
  <c r="BP82" i="242"/>
  <c r="BP86" i="242" s="1"/>
  <c r="BV31" i="242"/>
  <c r="BL10" i="242"/>
  <c r="BM10" i="242" s="1"/>
  <c r="BF46" i="242"/>
  <c r="BF50" i="242" s="1"/>
  <c r="AC31" i="242"/>
  <c r="W23" i="242"/>
  <c r="W53" i="242" s="1"/>
  <c r="W52" i="242" s="1"/>
  <c r="W55" i="242" s="1"/>
  <c r="W51" i="242" s="1"/>
  <c r="DN18" i="243"/>
  <c r="DO18" i="243" s="1"/>
  <c r="DJ18" i="243"/>
  <c r="BM35" i="178"/>
  <c r="CB30" i="178"/>
  <c r="BU30" i="178"/>
  <c r="BT32" i="178"/>
  <c r="P9" i="11"/>
  <c r="AS98" i="11"/>
  <c r="BU98" i="11"/>
  <c r="Q74" i="11"/>
  <c r="AQ98" i="11"/>
  <c r="AU93" i="11"/>
  <c r="AZ98" i="11"/>
  <c r="BB93" i="11"/>
  <c r="BI93" i="11"/>
  <c r="BP93" i="11"/>
  <c r="BW93" i="11"/>
  <c r="CB98" i="11"/>
  <c r="CK93" i="11"/>
  <c r="BN119" i="11"/>
  <c r="BL23" i="242"/>
  <c r="BL53" i="242" s="1"/>
  <c r="BL52" i="242" s="1"/>
  <c r="BZ25" i="242"/>
  <c r="CA25" i="242" s="1"/>
  <c r="BS10" i="242"/>
  <c r="BT10" i="242" s="1"/>
  <c r="BL25" i="242"/>
  <c r="BM25" i="242" s="1"/>
  <c r="BE213" i="243"/>
  <c r="BG175" i="243"/>
  <c r="AL70" i="2"/>
  <c r="AK72" i="2"/>
  <c r="AB31" i="2"/>
  <c r="AB36" i="2" s="1"/>
  <c r="X9" i="2"/>
  <c r="W29" i="2"/>
  <c r="W31" i="2" s="1"/>
  <c r="W36" i="2" s="1"/>
  <c r="Y31" i="2"/>
  <c r="Y36" i="2" s="1"/>
  <c r="Q50" i="2"/>
  <c r="AX17" i="2"/>
  <c r="X17" i="2"/>
  <c r="BA29" i="2"/>
  <c r="AY29" i="2" s="1"/>
  <c r="AG29" i="2"/>
  <c r="AG234" i="243" s="1"/>
  <c r="AE50" i="2"/>
  <c r="AS29" i="2"/>
  <c r="AS234" i="243" s="1"/>
  <c r="AM72" i="2"/>
  <c r="AJ72" i="2" s="1"/>
  <c r="V29" i="2"/>
  <c r="V234" i="243" s="1"/>
  <c r="X55" i="2"/>
  <c r="BH31" i="2"/>
  <c r="BH36" i="2" s="1"/>
  <c r="O29" i="2"/>
  <c r="O31" i="2" s="1"/>
  <c r="O36" i="2" s="1"/>
  <c r="P29" i="2"/>
  <c r="Q29" i="2" s="1"/>
  <c r="R31" i="2"/>
  <c r="R36" i="2" s="1"/>
  <c r="BP35" i="2"/>
  <c r="BN35" i="2" s="1"/>
  <c r="AX55" i="2"/>
  <c r="AI31" i="2"/>
  <c r="AI36" i="2" s="1"/>
  <c r="AF31" i="2"/>
  <c r="AF36" i="2" s="1"/>
  <c r="AE70" i="2"/>
  <c r="X40" i="2"/>
  <c r="BE17" i="2"/>
  <c r="AM31" i="2"/>
  <c r="AM36" i="2" s="1"/>
  <c r="AC69" i="2"/>
  <c r="BF17" i="2"/>
  <c r="BF29" i="2"/>
  <c r="BF234" i="243" s="1"/>
  <c r="AY55" i="2"/>
  <c r="AZ55" i="2" s="1"/>
  <c r="AP31" i="2"/>
  <c r="AP36" i="2" s="1"/>
  <c r="AP234" i="243"/>
  <c r="AQ29" i="2"/>
  <c r="AQ234" i="243" s="1"/>
  <c r="AJ29" i="2"/>
  <c r="AJ234" i="243" s="1"/>
  <c r="Q44" i="2"/>
  <c r="Q4" i="242" s="1"/>
  <c r="P4" i="242"/>
  <c r="BI29" i="2"/>
  <c r="BI234" i="243" s="1"/>
  <c r="AY17" i="2"/>
  <c r="AK29" i="2"/>
  <c r="AK234" i="243" s="1"/>
  <c r="BD31" i="2"/>
  <c r="BD36" i="2" s="1"/>
  <c r="AX31" i="2"/>
  <c r="AX36" i="2" s="1"/>
  <c r="AQ69" i="2"/>
  <c r="AN29" i="2"/>
  <c r="AN234" i="243" s="1"/>
  <c r="Z29" i="2"/>
  <c r="Z234" i="243" s="1"/>
  <c r="Z235" i="243" s="1"/>
  <c r="BL9" i="242"/>
  <c r="BM9" i="242" s="1"/>
  <c r="N55" i="242"/>
  <c r="N51" i="242" s="1"/>
  <c r="R55" i="242"/>
  <c r="AY23" i="242"/>
  <c r="AY53" i="242" s="1"/>
  <c r="AY52" i="242" s="1"/>
  <c r="AY55" i="242" s="1"/>
  <c r="AY51" i="242" s="1"/>
  <c r="Q26" i="242"/>
  <c r="Q54" i="242" s="1"/>
  <c r="CK83" i="242"/>
  <c r="BO243" i="243"/>
  <c r="BN81" i="242"/>
  <c r="BN82" i="242" s="1"/>
  <c r="BN86" i="242" s="1"/>
  <c r="V175" i="243"/>
  <c r="CD80" i="242"/>
  <c r="BF59" i="243"/>
  <c r="AS241" i="243"/>
  <c r="AS80" i="242"/>
  <c r="BM252" i="243"/>
  <c r="BM253" i="243" s="1"/>
  <c r="X273" i="243"/>
  <c r="AL38" i="242"/>
  <c r="X26" i="242"/>
  <c r="X54" i="242" s="1"/>
  <c r="BE31" i="242"/>
  <c r="BG40" i="2"/>
  <c r="AZ9" i="2"/>
  <c r="AY30" i="2"/>
  <c r="AZ40" i="2"/>
  <c r="AL17" i="2"/>
  <c r="BG9" i="2"/>
  <c r="BG55" i="2"/>
  <c r="AZ35" i="2"/>
  <c r="AZ70" i="2"/>
  <c r="AS73" i="2"/>
  <c r="Q35" i="2"/>
  <c r="AS70" i="2"/>
  <c r="BN55" i="2"/>
  <c r="AL55" i="2"/>
  <c r="AC245" i="243"/>
  <c r="AE44" i="2"/>
  <c r="AE4" i="242" s="1"/>
  <c r="AG4" i="242"/>
  <c r="AE55" i="2"/>
  <c r="Q30" i="2"/>
  <c r="BG70" i="2"/>
  <c r="AS30" i="2"/>
  <c r="AS245" i="243" s="1"/>
  <c r="AU245" i="243"/>
  <c r="BG44" i="2"/>
  <c r="BI4" i="242"/>
  <c r="BG4" i="242" s="1"/>
  <c r="AZ44" i="2"/>
  <c r="AZ4" i="242" s="1"/>
  <c r="BB4" i="242"/>
  <c r="AS44" i="2"/>
  <c r="AS4" i="242" s="1"/>
  <c r="AU4" i="242"/>
  <c r="AL44" i="2"/>
  <c r="AL4" i="242" s="1"/>
  <c r="AN4" i="242"/>
  <c r="AE30" i="2"/>
  <c r="AE245" i="243" s="1"/>
  <c r="AG245" i="243"/>
  <c r="X44" i="2"/>
  <c r="X4" i="242" s="1"/>
  <c r="Z4" i="242"/>
  <c r="Q17" i="2"/>
  <c r="Q40" i="2"/>
  <c r="BG30" i="2"/>
  <c r="BG245" i="243" s="1"/>
  <c r="BI245" i="243"/>
  <c r="V245" i="243"/>
  <c r="V246" i="243" s="1"/>
  <c r="X30" i="2"/>
  <c r="X245" i="243" s="1"/>
  <c r="Z245" i="243"/>
  <c r="CH45" i="243"/>
  <c r="BR175" i="243"/>
  <c r="BP175" i="243"/>
  <c r="BE34" i="243"/>
  <c r="BH178" i="243"/>
  <c r="AE255" i="243"/>
  <c r="AB186" i="243"/>
  <c r="V273" i="243"/>
  <c r="W41" i="243"/>
  <c r="W34" i="243"/>
  <c r="W178" i="243" s="1"/>
  <c r="W173" i="243"/>
  <c r="W175" i="243" s="1"/>
  <c r="AJ47" i="243"/>
  <c r="AJ49" i="243" s="1"/>
  <c r="AJ58" i="243" s="1"/>
  <c r="AJ256" i="243"/>
  <c r="AJ252" i="243"/>
  <c r="AJ253" i="243" s="1"/>
  <c r="U186" i="243"/>
  <c r="BF186" i="243"/>
  <c r="BG158" i="243"/>
  <c r="BH59" i="243"/>
  <c r="AT167" i="243"/>
  <c r="AQ10" i="243"/>
  <c r="AJ10" i="243"/>
  <c r="AM167" i="243"/>
  <c r="AF178" i="243"/>
  <c r="AC34" i="243"/>
  <c r="AE273" i="243"/>
  <c r="AE240" i="243"/>
  <c r="AE81" i="242"/>
  <c r="AE82" i="242" s="1"/>
  <c r="AE86" i="242" s="1"/>
  <c r="AK185" i="243"/>
  <c r="AD173" i="243"/>
  <c r="AD40" i="243"/>
  <c r="AD34" i="243"/>
  <c r="AD178" i="243" s="1"/>
  <c r="AL80" i="242"/>
  <c r="AL241" i="243"/>
  <c r="AL81" i="242"/>
  <c r="AL240" i="243"/>
  <c r="AS255" i="243"/>
  <c r="AU175" i="243"/>
  <c r="AR185" i="243"/>
  <c r="BL240" i="243"/>
  <c r="BM243" i="243"/>
  <c r="AC10" i="243"/>
  <c r="AC167" i="243" s="1"/>
  <c r="AF167" i="243"/>
  <c r="X255" i="243"/>
  <c r="AC213" i="243"/>
  <c r="AC252" i="243"/>
  <c r="AC253" i="243" s="1"/>
  <c r="AC256" i="243"/>
  <c r="W246" i="243"/>
  <c r="Z175" i="243"/>
  <c r="V164" i="243"/>
  <c r="W8" i="243"/>
  <c r="AC17" i="243"/>
  <c r="AF21" i="243"/>
  <c r="AC21" i="243" s="1"/>
  <c r="BE185" i="243"/>
  <c r="BG212" i="243"/>
  <c r="BG273" i="243"/>
  <c r="BE47" i="243"/>
  <c r="BE252" i="243"/>
  <c r="BE253" i="243" s="1"/>
  <c r="BE256" i="243"/>
  <c r="BD186" i="243"/>
  <c r="AS81" i="242"/>
  <c r="X83" i="242"/>
  <c r="X211" i="243"/>
  <c r="X213" i="243" s="1"/>
  <c r="V34" i="243"/>
  <c r="Y178" i="243"/>
  <c r="AC164" i="243"/>
  <c r="AD8" i="243"/>
  <c r="BG80" i="242"/>
  <c r="BG82" i="242" s="1"/>
  <c r="BG86" i="242" s="1"/>
  <c r="BG241" i="243"/>
  <c r="BH185" i="243"/>
  <c r="AZ26" i="242"/>
  <c r="AZ54" i="242" s="1"/>
  <c r="AX31" i="242"/>
  <c r="U55" i="242"/>
  <c r="U51" i="242" s="1"/>
  <c r="Y55" i="242"/>
  <c r="Y51" i="242" s="1"/>
  <c r="AE26" i="242"/>
  <c r="AE54" i="242" s="1"/>
  <c r="AF55" i="242"/>
  <c r="AD189" i="243"/>
  <c r="AD46" i="242"/>
  <c r="AD50" i="242" s="1"/>
  <c r="AE38" i="242"/>
  <c r="W46" i="242"/>
  <c r="W50" i="242" s="1"/>
  <c r="CJ31" i="242"/>
  <c r="BM36" i="242"/>
  <c r="BN36" i="242" s="1"/>
  <c r="AI55" i="242"/>
  <c r="AI51" i="242" s="1"/>
  <c r="BE86" i="242"/>
  <c r="AB55" i="242"/>
  <c r="AB51" i="242" s="1"/>
  <c r="AK46" i="242"/>
  <c r="AK189" i="243"/>
  <c r="AK9" i="242"/>
  <c r="AR46" i="242"/>
  <c r="AR50" i="242" s="1"/>
  <c r="AR189" i="243"/>
  <c r="AQ53" i="242"/>
  <c r="AR23" i="242"/>
  <c r="AK23" i="242"/>
  <c r="BF23" i="242"/>
  <c r="CJ53" i="242"/>
  <c r="CJ52" i="242" s="1"/>
  <c r="CJ55" i="242" s="1"/>
  <c r="CJ51" i="242" s="1"/>
  <c r="BS25" i="242"/>
  <c r="BT25" i="242" s="1"/>
  <c r="BM35" i="242"/>
  <c r="BN35" i="242" s="1"/>
  <c r="BH55" i="242"/>
  <c r="BE55" i="242" s="1"/>
  <c r="BE51" i="242" s="1"/>
  <c r="AJ31" i="242"/>
  <c r="AL26" i="242"/>
  <c r="AL54" i="242" s="1"/>
  <c r="BG26" i="242"/>
  <c r="BG54" i="242" s="1"/>
  <c r="AI185" i="243"/>
  <c r="AT52" i="242"/>
  <c r="AT55" i="242" s="1"/>
  <c r="AT51" i="242" s="1"/>
  <c r="AP52" i="242"/>
  <c r="AP55" i="242" s="1"/>
  <c r="AP51" i="242" s="1"/>
  <c r="BA52" i="242"/>
  <c r="AW52" i="242"/>
  <c r="BD59" i="243"/>
  <c r="AQ122" i="4"/>
  <c r="AQ124" i="4" s="1"/>
  <c r="AQ132" i="4" s="1"/>
  <c r="AS117" i="4"/>
  <c r="AG18" i="220" s="1"/>
  <c r="CG211" i="243"/>
  <c r="CG213" i="243" s="1"/>
  <c r="BZ34" i="243"/>
  <c r="BZ178" i="243" s="1"/>
  <c r="BZ186" i="243" s="1"/>
  <c r="CD83" i="242"/>
  <c r="BW84" i="242"/>
  <c r="BV256" i="243"/>
  <c r="BZ240" i="243"/>
  <c r="BL175" i="243"/>
  <c r="CJ243" i="243"/>
  <c r="CH243" i="243"/>
  <c r="CB80" i="242"/>
  <c r="CD240" i="243"/>
  <c r="BV45" i="243"/>
  <c r="BS45" i="243" s="1"/>
  <c r="BS47" i="243" s="1"/>
  <c r="BK243" i="243"/>
  <c r="CB40" i="242"/>
  <c r="BL38" i="242"/>
  <c r="BY52" i="242"/>
  <c r="BY55" i="242" s="1"/>
  <c r="BY51" i="242" s="1"/>
  <c r="BU5" i="242"/>
  <c r="BU24" i="242"/>
  <c r="BU34" i="242"/>
  <c r="BU40" i="242"/>
  <c r="CB24" i="242"/>
  <c r="CB34" i="242"/>
  <c r="BU30" i="242"/>
  <c r="BG73" i="2"/>
  <c r="BB50" i="2"/>
  <c r="AL40" i="2"/>
  <c r="AL73" i="2"/>
  <c r="AE17" i="2"/>
  <c r="AE40" i="2"/>
  <c r="X26" i="2"/>
  <c r="X35" i="2"/>
  <c r="BG35" i="2"/>
  <c r="AL9" i="2"/>
  <c r="AL35" i="2"/>
  <c r="AE9" i="2"/>
  <c r="AE35" i="2"/>
  <c r="AZ73" i="2"/>
  <c r="AS26" i="2"/>
  <c r="AS50" i="2" s="1"/>
  <c r="BK252" i="243"/>
  <c r="BK253" i="243" s="1"/>
  <c r="BN273" i="243"/>
  <c r="CG56" i="243"/>
  <c r="CJ178" i="243"/>
  <c r="CJ186" i="243" s="1"/>
  <c r="CJ252" i="243"/>
  <c r="CJ253" i="243" s="1"/>
  <c r="BR256" i="243"/>
  <c r="BS81" i="242"/>
  <c r="BS82" i="242" s="1"/>
  <c r="BS86" i="242" s="1"/>
  <c r="BS273" i="243"/>
  <c r="BU29" i="243"/>
  <c r="BU170" i="243" s="1"/>
  <c r="BL37" i="243"/>
  <c r="BO256" i="243"/>
  <c r="BL212" i="243"/>
  <c r="BL255" i="243"/>
  <c r="BM175" i="243"/>
  <c r="BM256" i="243"/>
  <c r="BN255" i="243"/>
  <c r="CG81" i="242"/>
  <c r="CK241" i="243"/>
  <c r="BY252" i="243"/>
  <c r="BY253" i="243" s="1"/>
  <c r="BK45" i="243"/>
  <c r="BO252" i="243"/>
  <c r="BO253" i="243" s="1"/>
  <c r="BL241" i="243"/>
  <c r="CH252" i="243"/>
  <c r="CH253" i="243" s="1"/>
  <c r="CD174" i="243"/>
  <c r="BS211" i="243"/>
  <c r="BS213" i="243" s="1"/>
  <c r="BS241" i="243"/>
  <c r="BT252" i="243"/>
  <c r="BT253" i="243" s="1"/>
  <c r="BO175" i="243"/>
  <c r="BP50" i="242"/>
  <c r="BL50" i="242"/>
  <c r="BM50" i="242" s="1"/>
  <c r="BL189" i="243"/>
  <c r="BM34" i="242"/>
  <c r="BN34" i="242" s="1"/>
  <c r="CB27" i="242"/>
  <c r="CB37" i="242"/>
  <c r="BM20" i="242"/>
  <c r="BM26" i="242"/>
  <c r="BM8" i="242"/>
  <c r="BM58" i="243"/>
  <c r="BM59" i="243" s="1"/>
  <c r="BM82" i="242"/>
  <c r="BM86" i="242" s="1"/>
  <c r="BM34" i="243"/>
  <c r="BM178" i="243" s="1"/>
  <c r="BM186" i="243" s="1"/>
  <c r="BO58" i="243"/>
  <c r="BO82" i="242"/>
  <c r="BO86" i="242" s="1"/>
  <c r="BO34" i="243"/>
  <c r="BO52" i="242"/>
  <c r="BO31" i="242"/>
  <c r="BK58" i="243"/>
  <c r="BK59" i="243" s="1"/>
  <c r="BK82" i="242"/>
  <c r="BK86" i="242" s="1"/>
  <c r="BK10" i="243"/>
  <c r="BK167" i="243" s="1"/>
  <c r="BK34" i="243"/>
  <c r="BK178" i="243" s="1"/>
  <c r="BK52" i="242"/>
  <c r="BK55" i="242" s="1"/>
  <c r="BK51" i="242" s="1"/>
  <c r="BK31" i="242"/>
  <c r="BS189" i="243"/>
  <c r="CG189" i="243"/>
  <c r="CI7" i="242"/>
  <c r="CB50" i="242"/>
  <c r="BU29" i="242"/>
  <c r="BU37" i="242"/>
  <c r="CB29" i="242"/>
  <c r="BU36" i="242"/>
  <c r="CI36" i="242"/>
  <c r="CB35" i="242"/>
  <c r="CI29" i="242"/>
  <c r="CB5" i="242"/>
  <c r="CB59" i="242"/>
  <c r="BU7" i="242"/>
  <c r="BU27" i="242"/>
  <c r="BU81" i="242"/>
  <c r="CK173" i="243"/>
  <c r="CK175" i="243" s="1"/>
  <c r="CI3" i="243"/>
  <c r="CI158" i="243" s="1"/>
  <c r="CI40" i="243"/>
  <c r="CI174" i="243" s="1"/>
  <c r="CI175" i="243" s="1"/>
  <c r="BY256" i="243"/>
  <c r="BZ212" i="243"/>
  <c r="CD84" i="242"/>
  <c r="CB175" i="243"/>
  <c r="BR45" i="243"/>
  <c r="BV167" i="243"/>
  <c r="BV185" i="243" s="1"/>
  <c r="BV178" i="243"/>
  <c r="BV186" i="243" s="1"/>
  <c r="BV252" i="243"/>
  <c r="BV253" i="243" s="1"/>
  <c r="CG273" i="243"/>
  <c r="CJ45" i="243"/>
  <c r="CG45" i="243" s="1"/>
  <c r="CJ175" i="243"/>
  <c r="CK80" i="242"/>
  <c r="BZ81" i="242"/>
  <c r="BZ175" i="243"/>
  <c r="CD241" i="243"/>
  <c r="CB39" i="243"/>
  <c r="CB251" i="243" s="1"/>
  <c r="BR243" i="243"/>
  <c r="BW83" i="242"/>
  <c r="BS240" i="243"/>
  <c r="BV243" i="243"/>
  <c r="BT45" i="243"/>
  <c r="BY243" i="243"/>
  <c r="BZ56" i="243"/>
  <c r="CD173" i="243"/>
  <c r="BW80" i="242"/>
  <c r="BW240" i="243"/>
  <c r="BV175" i="243"/>
  <c r="AE73" i="2"/>
  <c r="AD72" i="2"/>
  <c r="BF72" i="2"/>
  <c r="AR72" i="2"/>
  <c r="BN44" i="2"/>
  <c r="BN4" i="242" s="1"/>
  <c r="BN40" i="2"/>
  <c r="BG26" i="2"/>
  <c r="BG50" i="2" s="1"/>
  <c r="AL30" i="2"/>
  <c r="AL245" i="243" s="1"/>
  <c r="S31" i="2"/>
  <c r="S36" i="2" s="1"/>
  <c r="AS55" i="2"/>
  <c r="CH38" i="242"/>
  <c r="CI24" i="242"/>
  <c r="CI40" i="242"/>
  <c r="CI59" i="242"/>
  <c r="CB57" i="242"/>
  <c r="CI35" i="242"/>
  <c r="CI5" i="242"/>
  <c r="CH189" i="243"/>
  <c r="CH46" i="242"/>
  <c r="CH50" i="242" s="1"/>
  <c r="CI26" i="242"/>
  <c r="CI54" i="242" s="1"/>
  <c r="CI30" i="242"/>
  <c r="CB30" i="242"/>
  <c r="CB36" i="242"/>
  <c r="BU35" i="242"/>
  <c r="CI27" i="242"/>
  <c r="CI37" i="242"/>
  <c r="CI57" i="242"/>
  <c r="CB7" i="242"/>
  <c r="BT38" i="242"/>
  <c r="CA20" i="242"/>
  <c r="CA189" i="243" s="1"/>
  <c r="CA26" i="242"/>
  <c r="CA54" i="242" s="1"/>
  <c r="CG46" i="242"/>
  <c r="CG54" i="242"/>
  <c r="CI34" i="242"/>
  <c r="BZ38" i="242"/>
  <c r="BU57" i="242"/>
  <c r="CA33" i="242"/>
  <c r="CB33" i="242" s="1"/>
  <c r="CD38" i="242"/>
  <c r="BU59" i="242"/>
  <c r="BT20" i="242"/>
  <c r="BT26" i="242"/>
  <c r="BT54" i="242" s="1"/>
  <c r="CG38" i="242"/>
  <c r="BZ46" i="242"/>
  <c r="BU50" i="242"/>
  <c r="BS38" i="242"/>
  <c r="CG175" i="243"/>
  <c r="CI240" i="243"/>
  <c r="CI81" i="242"/>
  <c r="CG186" i="243"/>
  <c r="CC256" i="243"/>
  <c r="CC252" i="243"/>
  <c r="CC253" i="243" s="1"/>
  <c r="BZ37" i="243"/>
  <c r="CC45" i="243"/>
  <c r="BZ45" i="243" s="1"/>
  <c r="CB4" i="243"/>
  <c r="CB161" i="243" s="1"/>
  <c r="CD161" i="243"/>
  <c r="CD164" i="243"/>
  <c r="CB8" i="243"/>
  <c r="CB164" i="243" s="1"/>
  <c r="CB14" i="243"/>
  <c r="BS186" i="243"/>
  <c r="BW255" i="243"/>
  <c r="BU27" i="243"/>
  <c r="BU240" i="243"/>
  <c r="CG158" i="243"/>
  <c r="CG240" i="243"/>
  <c r="CG243" i="243" s="1"/>
  <c r="CH185" i="243"/>
  <c r="CI204" i="243"/>
  <c r="CK255" i="243"/>
  <c r="CI29" i="243"/>
  <c r="CI170" i="243" s="1"/>
  <c r="CI39" i="243"/>
  <c r="CI251" i="243" s="1"/>
  <c r="CB51" i="243"/>
  <c r="CB204" i="243"/>
  <c r="BU158" i="243"/>
  <c r="BU80" i="242"/>
  <c r="BU241" i="243"/>
  <c r="CG80" i="242"/>
  <c r="CG35" i="243"/>
  <c r="CH186" i="243"/>
  <c r="CK240" i="243"/>
  <c r="CK161" i="243"/>
  <c r="CI80" i="242"/>
  <c r="CI241" i="243"/>
  <c r="BY185" i="243"/>
  <c r="BZ80" i="242"/>
  <c r="BZ241" i="243"/>
  <c r="CA45" i="243"/>
  <c r="CA256" i="243"/>
  <c r="CA252" i="243"/>
  <c r="CA253" i="243" s="1"/>
  <c r="CA186" i="243"/>
  <c r="CB6" i="243"/>
  <c r="CB240" i="243" s="1"/>
  <c r="CB29" i="243"/>
  <c r="CB170" i="243" s="1"/>
  <c r="BS256" i="243"/>
  <c r="BS252" i="243"/>
  <c r="BS253" i="243" s="1"/>
  <c r="BU4" i="243"/>
  <c r="BU161" i="243" s="1"/>
  <c r="BW161" i="243"/>
  <c r="BW164" i="243"/>
  <c r="BU8" i="243"/>
  <c r="BU164" i="243" s="1"/>
  <c r="BU84" i="242"/>
  <c r="CG37" i="243"/>
  <c r="CH175" i="243"/>
  <c r="CI8" i="243"/>
  <c r="CI164" i="243" s="1"/>
  <c r="CI14" i="243"/>
  <c r="CI27" i="243"/>
  <c r="CI41" i="243"/>
  <c r="CI212" i="243" s="1"/>
  <c r="BY186" i="243"/>
  <c r="BZ84" i="242"/>
  <c r="BZ158" i="243"/>
  <c r="BS175" i="243"/>
  <c r="BU41" i="243"/>
  <c r="BW273" i="243"/>
  <c r="BW212" i="243"/>
  <c r="BT243" i="243"/>
  <c r="CC175" i="243"/>
  <c r="CC243" i="243"/>
  <c r="BZ255" i="243"/>
  <c r="CA175" i="243"/>
  <c r="CA243" i="243"/>
  <c r="CB3" i="243"/>
  <c r="CB158" i="243" s="1"/>
  <c r="BR185" i="243"/>
  <c r="BR186" i="243"/>
  <c r="BW81" i="242"/>
  <c r="BS35" i="243"/>
  <c r="BW173" i="243"/>
  <c r="BW175" i="243" s="1"/>
  <c r="BW241" i="243"/>
  <c r="BS158" i="243"/>
  <c r="BS185" i="243" s="1"/>
  <c r="BU39" i="243"/>
  <c r="BU251" i="243" s="1"/>
  <c r="CB27" i="243"/>
  <c r="CB41" i="243"/>
  <c r="CB212" i="243" s="1"/>
  <c r="BS56" i="243"/>
  <c r="BU40" i="243"/>
  <c r="BU174" i="243" s="1"/>
  <c r="BU175" i="243" s="1"/>
  <c r="BT185" i="243"/>
  <c r="BY175" i="243"/>
  <c r="BZ211" i="243"/>
  <c r="BR253" i="243"/>
  <c r="BW158" i="243"/>
  <c r="AR20" i="2"/>
  <c r="AS115" i="4"/>
  <c r="AT42" i="11" s="1"/>
  <c r="BT186" i="243"/>
  <c r="BT58" i="243"/>
  <c r="BT59" i="243" s="1"/>
  <c r="BT82" i="242"/>
  <c r="BT86" i="242" s="1"/>
  <c r="BV82" i="242"/>
  <c r="BV86" i="242" s="1"/>
  <c r="BV52" i="242"/>
  <c r="BV55" i="242" s="1"/>
  <c r="BR58" i="243"/>
  <c r="BR59" i="243" s="1"/>
  <c r="BR82" i="242"/>
  <c r="BR86" i="242" s="1"/>
  <c r="BR31" i="242"/>
  <c r="CB84" i="242"/>
  <c r="CD81" i="242"/>
  <c r="CD273" i="243"/>
  <c r="CA58" i="243"/>
  <c r="CA59" i="243" s="1"/>
  <c r="CA82" i="242"/>
  <c r="CA86" i="242" s="1"/>
  <c r="CC186" i="243"/>
  <c r="CC82" i="242"/>
  <c r="CC86" i="242" s="1"/>
  <c r="BY211" i="243"/>
  <c r="BY213" i="243" s="1"/>
  <c r="BY58" i="243"/>
  <c r="BY59" i="243" s="1"/>
  <c r="BY82" i="242"/>
  <c r="BY86" i="242" s="1"/>
  <c r="BY31" i="242"/>
  <c r="CK81" i="242"/>
  <c r="CK273" i="243"/>
  <c r="CH58" i="243"/>
  <c r="CH59" i="243" s="1"/>
  <c r="CH82" i="242"/>
  <c r="CH86" i="242" s="1"/>
  <c r="CJ82" i="242"/>
  <c r="CJ86" i="242" s="1"/>
  <c r="Q26" i="2"/>
  <c r="Q70" i="2"/>
  <c r="R72" i="2"/>
  <c r="O72" i="2" s="1"/>
  <c r="X70" i="2"/>
  <c r="W72" i="2"/>
  <c r="X73" i="2"/>
  <c r="V69" i="2"/>
  <c r="X25" i="2"/>
  <c r="AE25" i="2"/>
  <c r="AL26" i="2"/>
  <c r="AL50" i="2" s="1"/>
  <c r="AR31" i="2"/>
  <c r="AR36" i="2" s="1"/>
  <c r="AU31" i="2"/>
  <c r="AU36" i="2" s="1"/>
  <c r="BA72" i="2"/>
  <c r="AX72" i="2" s="1"/>
  <c r="AY72" i="2"/>
  <c r="BE29" i="2"/>
  <c r="BN73" i="2"/>
  <c r="BM72" i="2"/>
  <c r="BL35" i="2"/>
  <c r="BP30" i="2"/>
  <c r="BP245" i="243" s="1"/>
  <c r="BM30" i="2"/>
  <c r="BM245" i="243" s="1"/>
  <c r="BL30" i="2"/>
  <c r="BL245" i="243" s="1"/>
  <c r="BO29" i="2"/>
  <c r="BO234" i="243" s="1"/>
  <c r="BK29" i="2"/>
  <c r="BP26" i="2"/>
  <c r="BP50" i="2" s="1"/>
  <c r="BL26" i="2"/>
  <c r="BL50" i="2" s="1"/>
  <c r="BP25" i="2"/>
  <c r="BN25" i="2" s="1"/>
  <c r="BL25" i="2"/>
  <c r="BL17" i="2"/>
  <c r="BK17" i="2"/>
  <c r="BO9" i="2"/>
  <c r="BM9" i="2" s="1"/>
  <c r="BW55" i="2"/>
  <c r="BT55" i="2"/>
  <c r="BS55" i="2"/>
  <c r="BW73" i="2"/>
  <c r="BS73" i="2"/>
  <c r="BT73" i="2" s="1"/>
  <c r="BV72" i="2"/>
  <c r="BS72" i="2" s="1"/>
  <c r="BR72" i="2"/>
  <c r="BW70" i="2"/>
  <c r="BS70" i="2"/>
  <c r="BT70" i="2" s="1"/>
  <c r="BW69" i="2"/>
  <c r="BU69" i="2" s="1"/>
  <c r="BS69" i="2"/>
  <c r="BV50" i="2"/>
  <c r="BT50" i="2"/>
  <c r="BR50" i="2"/>
  <c r="BW44" i="2"/>
  <c r="BT44" i="2"/>
  <c r="BT4" i="242" s="1"/>
  <c r="BS44" i="2"/>
  <c r="BS4" i="242" s="1"/>
  <c r="AQ235" i="243" l="1"/>
  <c r="CA23" i="242"/>
  <c r="V235" i="243"/>
  <c r="BA31" i="2"/>
  <c r="BA36" i="2" s="1"/>
  <c r="CK98" i="11"/>
  <c r="AC175" i="243"/>
  <c r="CG185" i="243"/>
  <c r="AC47" i="243"/>
  <c r="AC31" i="2"/>
  <c r="AC36" i="2" s="1"/>
  <c r="CD82" i="242"/>
  <c r="CD86" i="242" s="1"/>
  <c r="BZ31" i="242"/>
  <c r="P31" i="242"/>
  <c r="CD175" i="243"/>
  <c r="AG31" i="2"/>
  <c r="AG36" i="2" s="1"/>
  <c r="BM23" i="242"/>
  <c r="BM53" i="242" s="1"/>
  <c r="AU98" i="11"/>
  <c r="BB98" i="11"/>
  <c r="AK246" i="243"/>
  <c r="AC43" i="178"/>
  <c r="CG11" i="243"/>
  <c r="CG24" i="243" s="1"/>
  <c r="CD93" i="11"/>
  <c r="CD98" i="11" s="1"/>
  <c r="CJ167" i="243"/>
  <c r="CJ185" i="243" s="1"/>
  <c r="AR246" i="243"/>
  <c r="AC246" i="243"/>
  <c r="BY35" i="178"/>
  <c r="BG29" i="2"/>
  <c r="BG31" i="2" s="1"/>
  <c r="BG36" i="2" s="1"/>
  <c r="BO167" i="243"/>
  <c r="BO185" i="243" s="1"/>
  <c r="BL11" i="243"/>
  <c r="BL24" i="243" s="1"/>
  <c r="P31" i="2"/>
  <c r="P36" i="2" s="1"/>
  <c r="AQ31" i="2"/>
  <c r="AQ36" i="2" s="1"/>
  <c r="BZ35" i="243"/>
  <c r="X86" i="242"/>
  <c r="CD90" i="11"/>
  <c r="CG82" i="242"/>
  <c r="CG86" i="242" s="1"/>
  <c r="BW98" i="11"/>
  <c r="AI32" i="178"/>
  <c r="CI273" i="243"/>
  <c r="AU90" i="11"/>
  <c r="BT23" i="242"/>
  <c r="BT31" i="242" s="1"/>
  <c r="AK31" i="2"/>
  <c r="AK36" i="2" s="1"/>
  <c r="BS31" i="242"/>
  <c r="BZ243" i="243"/>
  <c r="BO59" i="243"/>
  <c r="BB29" i="2"/>
  <c r="AZ29" i="2" s="1"/>
  <c r="AF35" i="178"/>
  <c r="AD31" i="2"/>
  <c r="AD36" i="2" s="1"/>
  <c r="AE29" i="2"/>
  <c r="AE234" i="243" s="1"/>
  <c r="Y32" i="178"/>
  <c r="BR35" i="178"/>
  <c r="BC98" i="11"/>
  <c r="AV98" i="11"/>
  <c r="BW90" i="11"/>
  <c r="AC185" i="243"/>
  <c r="BL243" i="243"/>
  <c r="BM246" i="243" s="1"/>
  <c r="AJ43" i="178"/>
  <c r="AV90" i="11"/>
  <c r="AN31" i="2"/>
  <c r="AN36" i="2" s="1"/>
  <c r="BC90" i="11"/>
  <c r="AD31" i="242"/>
  <c r="BF235" i="243"/>
  <c r="BF31" i="2"/>
  <c r="BF36" i="2" s="1"/>
  <c r="BI31" i="2"/>
  <c r="BI36" i="2" s="1"/>
  <c r="AJ235" i="243"/>
  <c r="BZ10" i="243"/>
  <c r="BZ167" i="243" s="1"/>
  <c r="BZ185" i="243" s="1"/>
  <c r="AL29" i="2"/>
  <c r="AL234" i="243" s="1"/>
  <c r="BK41" i="178"/>
  <c r="BS243" i="243"/>
  <c r="BS246" i="243" s="1"/>
  <c r="BE246" i="243"/>
  <c r="AK235" i="243"/>
  <c r="V43" i="178"/>
  <c r="BK43" i="178"/>
  <c r="BG30" i="178"/>
  <c r="BN30" i="178"/>
  <c r="AF32" i="178"/>
  <c r="BG73" i="178"/>
  <c r="AZ73" i="178"/>
  <c r="BD34" i="178"/>
  <c r="BD31" i="178"/>
  <c r="BD28" i="178"/>
  <c r="AQ41" i="178"/>
  <c r="BS31" i="178"/>
  <c r="AP35" i="178"/>
  <c r="AJ41" i="178"/>
  <c r="U35" i="178"/>
  <c r="AQ43" i="178"/>
  <c r="AJ31" i="178"/>
  <c r="AJ28" i="178"/>
  <c r="V41" i="178"/>
  <c r="AT35" i="178"/>
  <c r="BK28" i="178"/>
  <c r="CA35" i="178"/>
  <c r="AM35" i="178"/>
  <c r="V28" i="178"/>
  <c r="V31" i="178"/>
  <c r="AT32" i="178"/>
  <c r="AB32" i="178"/>
  <c r="AP32" i="178"/>
  <c r="AC41" i="178"/>
  <c r="AC28" i="178"/>
  <c r="AC31" i="178"/>
  <c r="AQ28" i="178"/>
  <c r="AQ31" i="178"/>
  <c r="O31" i="178"/>
  <c r="W31" i="242"/>
  <c r="AY31" i="242"/>
  <c r="Z31" i="2"/>
  <c r="Z36" i="2" s="1"/>
  <c r="X29" i="2"/>
  <c r="X234" i="243" s="1"/>
  <c r="DM18" i="243"/>
  <c r="DK18" i="243" s="1"/>
  <c r="DU18" i="243"/>
  <c r="DV18" i="243" s="1"/>
  <c r="BL31" i="242"/>
  <c r="AS82" i="242"/>
  <c r="AS86" i="242" s="1"/>
  <c r="DS18" i="243"/>
  <c r="DP18" i="243" s="1"/>
  <c r="DQ18" i="243" s="1"/>
  <c r="CK82" i="242"/>
  <c r="CK86" i="242" s="1"/>
  <c r="W186" i="243"/>
  <c r="W234" i="243"/>
  <c r="AY31" i="2"/>
  <c r="AY36" i="2" s="1"/>
  <c r="Q31" i="2"/>
  <c r="Q36" i="2" s="1"/>
  <c r="BO17" i="2"/>
  <c r="BM17" i="2" s="1"/>
  <c r="AJ31" i="2"/>
  <c r="AJ36" i="2" s="1"/>
  <c r="AZ30" i="2"/>
  <c r="V31" i="2"/>
  <c r="V36" i="2" s="1"/>
  <c r="BL29" i="2"/>
  <c r="BL234" i="243" s="1"/>
  <c r="BM29" i="2"/>
  <c r="BP29" i="2"/>
  <c r="BP234" i="243" s="1"/>
  <c r="BK31" i="2"/>
  <c r="BK36" i="2" s="1"/>
  <c r="BK234" i="243"/>
  <c r="AS31" i="2"/>
  <c r="AS36" i="2" s="1"/>
  <c r="O55" i="242"/>
  <c r="O51" i="242" s="1"/>
  <c r="R51" i="242"/>
  <c r="AC22" i="243"/>
  <c r="CB81" i="242"/>
  <c r="CB82" i="242" s="1"/>
  <c r="CB86" i="242" s="1"/>
  <c r="BZ82" i="242"/>
  <c r="BZ86" i="242" s="1"/>
  <c r="AS122" i="4"/>
  <c r="BE31" i="2"/>
  <c r="BE36" i="2" s="1"/>
  <c r="BE234" i="243"/>
  <c r="BE235" i="243" s="1"/>
  <c r="BU55" i="2"/>
  <c r="BS24" i="243"/>
  <c r="AD164" i="243"/>
  <c r="AD17" i="243"/>
  <c r="AD21" i="243" s="1"/>
  <c r="AD10" i="243"/>
  <c r="AD167" i="243" s="1"/>
  <c r="AL82" i="242"/>
  <c r="AL86" i="242" s="1"/>
  <c r="AD186" i="243"/>
  <c r="AF186" i="243"/>
  <c r="AQ167" i="243"/>
  <c r="AQ11" i="243"/>
  <c r="AQ24" i="243" s="1"/>
  <c r="AQ59" i="243" s="1"/>
  <c r="W164" i="243"/>
  <c r="AM185" i="243"/>
  <c r="AT185" i="243"/>
  <c r="AJ167" i="243"/>
  <c r="AJ11" i="243"/>
  <c r="AJ24" i="243" s="1"/>
  <c r="AJ59" i="243" s="1"/>
  <c r="Y186" i="243"/>
  <c r="BH186" i="243"/>
  <c r="V178" i="243"/>
  <c r="V35" i="243"/>
  <c r="AD235" i="243"/>
  <c r="AC235" i="243"/>
  <c r="AF185" i="243"/>
  <c r="AD174" i="243"/>
  <c r="AD175" i="243" s="1"/>
  <c r="AD45" i="243"/>
  <c r="AC178" i="243"/>
  <c r="AC35" i="243"/>
  <c r="W273" i="243"/>
  <c r="W212" i="243"/>
  <c r="W213" i="243" s="1"/>
  <c r="BE178" i="243"/>
  <c r="BE35" i="243"/>
  <c r="BE49" i="243" s="1"/>
  <c r="BE58" i="243" s="1"/>
  <c r="BE59" i="243" s="1"/>
  <c r="AC11" i="243"/>
  <c r="CA38" i="242"/>
  <c r="BM38" i="242"/>
  <c r="AC55" i="242"/>
  <c r="AC51" i="242" s="1"/>
  <c r="CA31" i="242"/>
  <c r="AQ55" i="242"/>
  <c r="AQ51" i="242" s="1"/>
  <c r="BH51" i="242"/>
  <c r="AF51" i="242"/>
  <c r="V55" i="242"/>
  <c r="V51" i="242" s="1"/>
  <c r="BU82" i="242"/>
  <c r="BU86" i="242" s="1"/>
  <c r="BW82" i="242"/>
  <c r="BW86" i="242" s="1"/>
  <c r="BA55" i="242"/>
  <c r="BA51" i="242" s="1"/>
  <c r="AK31" i="242"/>
  <c r="AK53" i="242"/>
  <c r="AK52" i="242" s="1"/>
  <c r="AR31" i="242"/>
  <c r="AR53" i="242"/>
  <c r="AW55" i="242"/>
  <c r="AW51" i="242" s="1"/>
  <c r="AQ52" i="242"/>
  <c r="BF31" i="242"/>
  <c r="BF53" i="242"/>
  <c r="BF52" i="242" s="1"/>
  <c r="AJ55" i="242"/>
  <c r="AJ51" i="242" s="1"/>
  <c r="BL213" i="243"/>
  <c r="BZ55" i="242"/>
  <c r="BZ51" i="242" s="1"/>
  <c r="BP9" i="2"/>
  <c r="BN9" i="2" s="1"/>
  <c r="CI82" i="242"/>
  <c r="CI86" i="242" s="1"/>
  <c r="BL47" i="243"/>
  <c r="BL252" i="243"/>
  <c r="BL253" i="243" s="1"/>
  <c r="BL256" i="243"/>
  <c r="BK186" i="243"/>
  <c r="BZ47" i="243"/>
  <c r="BL34" i="243"/>
  <c r="BO178" i="243"/>
  <c r="BK185" i="243"/>
  <c r="BO55" i="242"/>
  <c r="BM46" i="242"/>
  <c r="BM189" i="243"/>
  <c r="CA46" i="242"/>
  <c r="BN50" i="242"/>
  <c r="BM54" i="242"/>
  <c r="BN26" i="242"/>
  <c r="BN54" i="242" s="1"/>
  <c r="BS55" i="242"/>
  <c r="BS51" i="242" s="1"/>
  <c r="BU26" i="242"/>
  <c r="BU54" i="242" s="1"/>
  <c r="BZ213" i="243"/>
  <c r="BN26" i="2"/>
  <c r="BN50" i="2" s="1"/>
  <c r="BU44" i="2"/>
  <c r="BU4" i="242" s="1"/>
  <c r="BW4" i="242"/>
  <c r="BN30" i="2"/>
  <c r="BN245" i="243" s="1"/>
  <c r="CK55" i="242"/>
  <c r="CC51" i="242"/>
  <c r="CB38" i="242"/>
  <c r="BT189" i="243"/>
  <c r="BT46" i="242"/>
  <c r="CA53" i="242"/>
  <c r="CB26" i="242"/>
  <c r="CB54" i="242" s="1"/>
  <c r="BS49" i="243"/>
  <c r="BS58" i="243" s="1"/>
  <c r="BZ256" i="243"/>
  <c r="BZ252" i="243"/>
  <c r="BZ253" i="243" s="1"/>
  <c r="CB273" i="243"/>
  <c r="CB255" i="243"/>
  <c r="BU273" i="243"/>
  <c r="BU212" i="243"/>
  <c r="CI255" i="243"/>
  <c r="CG47" i="243"/>
  <c r="CG49" i="243" s="1"/>
  <c r="CG58" i="243" s="1"/>
  <c r="CG256" i="243"/>
  <c r="CG252" i="243"/>
  <c r="CG253" i="243" s="1"/>
  <c r="BU255" i="243"/>
  <c r="AR15" i="2"/>
  <c r="AQ15" i="2"/>
  <c r="BS52" i="242"/>
  <c r="BV51" i="242"/>
  <c r="Q73" i="2"/>
  <c r="P72" i="2"/>
  <c r="AL25" i="2"/>
  <c r="BU70" i="2"/>
  <c r="BN70" i="2"/>
  <c r="BU73" i="2"/>
  <c r="BT72" i="2"/>
  <c r="BV40" i="2"/>
  <c r="BT40" i="2" s="1"/>
  <c r="BV35" i="2"/>
  <c r="BW35" i="2" s="1"/>
  <c r="BT30" i="2"/>
  <c r="BT245" i="243" s="1"/>
  <c r="BV30" i="2"/>
  <c r="BS29" i="2"/>
  <c r="BS234" i="243" s="1"/>
  <c r="BS235" i="243" s="1"/>
  <c r="BR29" i="2"/>
  <c r="BW26" i="2"/>
  <c r="BW50" i="2" s="1"/>
  <c r="BS26" i="2"/>
  <c r="BS50" i="2" s="1"/>
  <c r="BW25" i="2"/>
  <c r="BU25" i="2" s="1"/>
  <c r="BS25" i="2"/>
  <c r="BS17" i="2"/>
  <c r="BV17" i="2" s="1"/>
  <c r="BV9" i="2"/>
  <c r="BW9" i="2" s="1"/>
  <c r="BU9" i="2" s="1"/>
  <c r="V39" i="4"/>
  <c r="W39" i="4" s="1"/>
  <c r="V38" i="4"/>
  <c r="V35" i="4"/>
  <c r="Y40" i="4"/>
  <c r="Z38" i="4"/>
  <c r="AA51" i="11" s="1"/>
  <c r="Z35" i="4"/>
  <c r="U40" i="4"/>
  <c r="AG38" i="4"/>
  <c r="AB39" i="4"/>
  <c r="AB40" i="4" s="1"/>
  <c r="AC38" i="4"/>
  <c r="AD38" i="4" s="1"/>
  <c r="AC35" i="4"/>
  <c r="AD35" i="4" s="1"/>
  <c r="AF39" i="4"/>
  <c r="AF40" i="4" s="1"/>
  <c r="AG35" i="4"/>
  <c r="AC49" i="243" l="1"/>
  <c r="AC58" i="243" s="1"/>
  <c r="AQ32" i="178"/>
  <c r="BT53" i="242"/>
  <c r="BT52" i="242" s="1"/>
  <c r="BT55" i="242" s="1"/>
  <c r="BT51" i="242" s="1"/>
  <c r="BM52" i="242"/>
  <c r="BM55" i="242" s="1"/>
  <c r="BM51" i="242" s="1"/>
  <c r="BG234" i="243"/>
  <c r="BM31" i="242"/>
  <c r="BT246" i="243"/>
  <c r="BB31" i="2"/>
  <c r="BB36" i="2" s="1"/>
  <c r="BZ49" i="243"/>
  <c r="BZ58" i="243" s="1"/>
  <c r="BZ11" i="243"/>
  <c r="BZ24" i="243" s="1"/>
  <c r="BL246" i="243"/>
  <c r="AE31" i="2"/>
  <c r="AE36" i="2" s="1"/>
  <c r="AZ31" i="2"/>
  <c r="AZ36" i="2" s="1"/>
  <c r="W235" i="243"/>
  <c r="BS59" i="243"/>
  <c r="BL31" i="2"/>
  <c r="BL36" i="2" s="1"/>
  <c r="DT18" i="243"/>
  <c r="DR18" i="243" s="1"/>
  <c r="AC24" i="243"/>
  <c r="AC59" i="243" s="1"/>
  <c r="X31" i="2"/>
  <c r="X36" i="2" s="1"/>
  <c r="AL31" i="2"/>
  <c r="AL36" i="2" s="1"/>
  <c r="AC39" i="4"/>
  <c r="AD39" i="4" s="1"/>
  <c r="AD40" i="4" s="1"/>
  <c r="DZ18" i="243"/>
  <c r="DW18" i="243" s="1"/>
  <c r="DX18" i="243" s="1"/>
  <c r="AC32" i="178"/>
  <c r="BD32" i="178"/>
  <c r="BK32" i="178"/>
  <c r="BD35" i="178"/>
  <c r="BK35" i="178"/>
  <c r="AJ32" i="178"/>
  <c r="W38" i="4"/>
  <c r="W51" i="11"/>
  <c r="V32" i="178"/>
  <c r="EB18" i="243"/>
  <c r="EC18" i="243" s="1"/>
  <c r="BN29" i="2"/>
  <c r="BN234" i="243" s="1"/>
  <c r="BL235" i="243"/>
  <c r="BM234" i="243"/>
  <c r="BM235" i="243" s="1"/>
  <c r="BV29" i="2"/>
  <c r="BW29" i="2" s="1"/>
  <c r="BW234" i="243" s="1"/>
  <c r="BS31" i="2"/>
  <c r="BS36" i="2" s="1"/>
  <c r="BR31" i="2"/>
  <c r="BR36" i="2" s="1"/>
  <c r="BR234" i="243"/>
  <c r="X235" i="243"/>
  <c r="AJ185" i="243"/>
  <c r="BE186" i="243"/>
  <c r="AQ185" i="243"/>
  <c r="AD185" i="243"/>
  <c r="AC186" i="243"/>
  <c r="V186" i="243"/>
  <c r="AK55" i="242"/>
  <c r="AK51" i="242" s="1"/>
  <c r="BF55" i="242"/>
  <c r="BF51" i="242" s="1"/>
  <c r="AR52" i="242"/>
  <c r="AR55" i="242" s="1"/>
  <c r="AR51" i="242" s="1"/>
  <c r="AX55" i="242"/>
  <c r="AX51" i="242" s="1"/>
  <c r="V40" i="4"/>
  <c r="BO186" i="243"/>
  <c r="BL178" i="243"/>
  <c r="BL35" i="243"/>
  <c r="BL49" i="243" s="1"/>
  <c r="BL58" i="243" s="1"/>
  <c r="BL59" i="243" s="1"/>
  <c r="BL55" i="242"/>
  <c r="BL51" i="242" s="1"/>
  <c r="BO51" i="242"/>
  <c r="BW30" i="2"/>
  <c r="BW245" i="243" s="1"/>
  <c r="BV245" i="243"/>
  <c r="CA52" i="242"/>
  <c r="CA55" i="242" s="1"/>
  <c r="CA51" i="242" s="1"/>
  <c r="CG59" i="243"/>
  <c r="BU26" i="2"/>
  <c r="BU50" i="2" s="1"/>
  <c r="BW40" i="2"/>
  <c r="BU40" i="2" s="1"/>
  <c r="BT35" i="2"/>
  <c r="BU35" i="2" s="1"/>
  <c r="AE38" i="4"/>
  <c r="W35" i="4"/>
  <c r="BO31" i="2"/>
  <c r="BO36" i="2" s="1"/>
  <c r="BM31" i="2"/>
  <c r="BM36" i="2" s="1"/>
  <c r="Z39" i="4"/>
  <c r="Z40" i="4" s="1"/>
  <c r="AE35" i="4"/>
  <c r="AN37" i="4"/>
  <c r="AN35" i="4"/>
  <c r="AJ37" i="4"/>
  <c r="AK37" i="4" s="1"/>
  <c r="AJ35" i="4"/>
  <c r="AK35" i="4" s="1"/>
  <c r="AM39" i="4"/>
  <c r="AM40" i="4" s="1"/>
  <c r="AI40" i="4"/>
  <c r="AU35" i="4"/>
  <c r="AR47" i="4"/>
  <c r="AR45" i="4"/>
  <c r="AR44" i="4"/>
  <c r="AR43" i="4"/>
  <c r="AS51" i="11" s="1"/>
  <c r="AS58" i="11" s="1"/>
  <c r="AR11" i="4"/>
  <c r="AR13" i="4" s="1"/>
  <c r="AQ35" i="4"/>
  <c r="AT39" i="4"/>
  <c r="AT40" i="4" s="1"/>
  <c r="AQ59" i="4"/>
  <c r="AQ53" i="4"/>
  <c r="AE15" i="220" s="1"/>
  <c r="AQ52" i="4"/>
  <c r="AQ11" i="178" s="1"/>
  <c r="AQ51" i="4"/>
  <c r="AU59" i="4"/>
  <c r="AT58" i="4"/>
  <c r="AT60" i="4" s="1"/>
  <c r="AU53" i="4"/>
  <c r="AI15" i="220" s="1"/>
  <c r="AU52" i="4"/>
  <c r="AU51" i="4"/>
  <c r="AT47" i="4"/>
  <c r="AT45" i="4"/>
  <c r="AT44" i="4"/>
  <c r="AT43" i="4"/>
  <c r="AU51" i="11" s="1"/>
  <c r="AU58" i="11" s="1"/>
  <c r="AQ30" i="4"/>
  <c r="AQ28" i="4"/>
  <c r="AE9" i="220" s="1"/>
  <c r="AQ27" i="4"/>
  <c r="AQ7" i="178" s="1"/>
  <c r="AQ26" i="4"/>
  <c r="AR45" i="11" s="1"/>
  <c r="AU30" i="4"/>
  <c r="AS30" i="4" s="1"/>
  <c r="AT29" i="4"/>
  <c r="AT31" i="4" s="1"/>
  <c r="AU28" i="4"/>
  <c r="AU27" i="4"/>
  <c r="AU26" i="4"/>
  <c r="AQ12" i="4"/>
  <c r="AQ6" i="4"/>
  <c r="AQ5" i="4"/>
  <c r="AQ4" i="4"/>
  <c r="AU12" i="4"/>
  <c r="AS12" i="4" s="1"/>
  <c r="AU6" i="4"/>
  <c r="AU5" i="4"/>
  <c r="AU4" i="4"/>
  <c r="AT11" i="4"/>
  <c r="AT13" i="4" s="1"/>
  <c r="AP39" i="4"/>
  <c r="AP58" i="4"/>
  <c r="AP60" i="4" s="1"/>
  <c r="AP47" i="4"/>
  <c r="AQ47" i="4" s="1"/>
  <c r="AP45" i="4"/>
  <c r="AP44" i="4"/>
  <c r="AP43" i="4"/>
  <c r="AQ51" i="11" s="1"/>
  <c r="AQ58" i="11" s="1"/>
  <c r="AP29" i="4"/>
  <c r="AP31" i="4" s="1"/>
  <c r="AP11" i="4"/>
  <c r="AP13" i="4" s="1"/>
  <c r="AP40" i="4"/>
  <c r="BE36" i="4"/>
  <c r="BE35" i="4"/>
  <c r="BF35" i="4" s="1"/>
  <c r="BH39" i="4"/>
  <c r="BI36" i="4"/>
  <c r="BJ52" i="11" s="1"/>
  <c r="BI35" i="4"/>
  <c r="BD39" i="4"/>
  <c r="BD40" i="4" s="1"/>
  <c r="BM59" i="4"/>
  <c r="BM47" i="4" s="1"/>
  <c r="BM51" i="4"/>
  <c r="BM53" i="4"/>
  <c r="AT15" i="220" s="1"/>
  <c r="BM52" i="4"/>
  <c r="BF11" i="178" s="1"/>
  <c r="BL29" i="4"/>
  <c r="BL31" i="4" s="1"/>
  <c r="BO30" i="4"/>
  <c r="BO47" i="4" s="1"/>
  <c r="BO28" i="4"/>
  <c r="BO27" i="4"/>
  <c r="BO26" i="4"/>
  <c r="BL59" i="4"/>
  <c r="BL53" i="4"/>
  <c r="BL52" i="4"/>
  <c r="BE11" i="178" s="1"/>
  <c r="BL51" i="4"/>
  <c r="BL43" i="4" s="1"/>
  <c r="BM56" i="11" s="1"/>
  <c r="BM58" i="11" s="1"/>
  <c r="BP53" i="4"/>
  <c r="AW15" i="220" s="1"/>
  <c r="BP52" i="4"/>
  <c r="BI11" i="178" s="1"/>
  <c r="BP51" i="4"/>
  <c r="BK29" i="4"/>
  <c r="BK31" i="4" s="1"/>
  <c r="BK43" i="4"/>
  <c r="BL56" i="11" s="1"/>
  <c r="BL58" i="11" s="1"/>
  <c r="BK47" i="4"/>
  <c r="BK45" i="4"/>
  <c r="BK44" i="4"/>
  <c r="BO39" i="4"/>
  <c r="BO40" i="4" s="1"/>
  <c r="BK39" i="4"/>
  <c r="BK40" i="4" s="1"/>
  <c r="BP36" i="4"/>
  <c r="BL36" i="4"/>
  <c r="BM36" i="4" s="1"/>
  <c r="BP35" i="4"/>
  <c r="BN35" i="4" s="1"/>
  <c r="BL35" i="4"/>
  <c r="BS36" i="4"/>
  <c r="BT36" i="4" s="1"/>
  <c r="BS35" i="4"/>
  <c r="BW36" i="4"/>
  <c r="BW35" i="4"/>
  <c r="BV39" i="4"/>
  <c r="BV40" i="4" s="1"/>
  <c r="BR39" i="4"/>
  <c r="BR40" i="4" s="1"/>
  <c r="CD36" i="4"/>
  <c r="CD35" i="4"/>
  <c r="BZ36" i="4"/>
  <c r="CA36" i="4" s="1"/>
  <c r="BZ35" i="4"/>
  <c r="CC39" i="4"/>
  <c r="CC40" i="4" s="1"/>
  <c r="BY39" i="4"/>
  <c r="BY40" i="4" s="1"/>
  <c r="CK36" i="4"/>
  <c r="CK35" i="4"/>
  <c r="CG36" i="4"/>
  <c r="CH36" i="4" s="1"/>
  <c r="CG35" i="4"/>
  <c r="CJ39" i="4"/>
  <c r="CJ40" i="4" s="1"/>
  <c r="CF39" i="4"/>
  <c r="CF40" i="4" s="1"/>
  <c r="CR36" i="4"/>
  <c r="CR35" i="4"/>
  <c r="CQ39" i="4"/>
  <c r="CQ40" i="4" s="1"/>
  <c r="CN36" i="4"/>
  <c r="CO36" i="4" s="1"/>
  <c r="CN35" i="4"/>
  <c r="CO35" i="4" s="1"/>
  <c r="CM39" i="4"/>
  <c r="CM40" i="4" s="1"/>
  <c r="R131" i="4"/>
  <c r="N131" i="4"/>
  <c r="O130" i="4"/>
  <c r="S129" i="4"/>
  <c r="O129" i="4"/>
  <c r="P129" i="4" s="1"/>
  <c r="S128" i="4"/>
  <c r="O128" i="4"/>
  <c r="P128" i="4" s="1"/>
  <c r="S127" i="4"/>
  <c r="O127" i="4"/>
  <c r="P127" i="4" s="1"/>
  <c r="Y131" i="4"/>
  <c r="Z129" i="4"/>
  <c r="Z128" i="4"/>
  <c r="Z127" i="4"/>
  <c r="V130" i="4"/>
  <c r="V129" i="4"/>
  <c r="W129" i="4" s="1"/>
  <c r="V128" i="4"/>
  <c r="W128" i="4" s="1"/>
  <c r="V127" i="4"/>
  <c r="W127" i="4" s="1"/>
  <c r="U131" i="4"/>
  <c r="AF131" i="4"/>
  <c r="AB131" i="4"/>
  <c r="AC130" i="4"/>
  <c r="AG129" i="4"/>
  <c r="AC129" i="4"/>
  <c r="AD129" i="4" s="1"/>
  <c r="AG128" i="4"/>
  <c r="AC128" i="4"/>
  <c r="AD128" i="4" s="1"/>
  <c r="AG127" i="4"/>
  <c r="AC127" i="4"/>
  <c r="AD127" i="4" s="1"/>
  <c r="AM131" i="4"/>
  <c r="AI131" i="4"/>
  <c r="AJ130" i="4"/>
  <c r="AN129" i="4"/>
  <c r="AJ129" i="4"/>
  <c r="AK129" i="4" s="1"/>
  <c r="AN128" i="4"/>
  <c r="AJ128" i="4"/>
  <c r="AK128" i="4" s="1"/>
  <c r="AN127" i="4"/>
  <c r="AJ127" i="4"/>
  <c r="AK127" i="4" s="1"/>
  <c r="AX130" i="4"/>
  <c r="AX129" i="4"/>
  <c r="AY129" i="4" s="1"/>
  <c r="AX128" i="4"/>
  <c r="AY128" i="4" s="1"/>
  <c r="AX127" i="4"/>
  <c r="BA131" i="4"/>
  <c r="BB130" i="4"/>
  <c r="AZ130" i="4" s="1"/>
  <c r="BB129" i="4"/>
  <c r="BB128" i="4"/>
  <c r="BB127" i="4"/>
  <c r="AW131" i="4"/>
  <c r="BE130" i="4"/>
  <c r="BE129" i="4"/>
  <c r="BF129" i="4" s="1"/>
  <c r="BE128" i="4"/>
  <c r="BF128" i="4" s="1"/>
  <c r="BE127" i="4"/>
  <c r="BI130" i="4"/>
  <c r="BG130" i="4" s="1"/>
  <c r="BI129" i="4"/>
  <c r="BI128" i="4"/>
  <c r="BI127" i="4"/>
  <c r="BH131" i="4"/>
  <c r="BD131" i="4"/>
  <c r="BO131" i="4"/>
  <c r="BK131" i="4"/>
  <c r="BP130" i="4"/>
  <c r="BN130" i="4" s="1"/>
  <c r="BL130" i="4"/>
  <c r="BP129" i="4"/>
  <c r="BL129" i="4"/>
  <c r="BM129" i="4" s="1"/>
  <c r="BP128" i="4"/>
  <c r="BL128" i="4"/>
  <c r="BM128" i="4" s="1"/>
  <c r="BP127" i="4"/>
  <c r="BL127" i="4"/>
  <c r="BM127" i="4" s="1"/>
  <c r="BX131" i="4"/>
  <c r="BV131" i="4"/>
  <c r="BR131" i="4"/>
  <c r="BW130" i="4"/>
  <c r="BU130" i="4" s="1"/>
  <c r="BS130" i="4"/>
  <c r="BW129" i="4"/>
  <c r="BS129" i="4"/>
  <c r="BT129" i="4" s="1"/>
  <c r="BW128" i="4"/>
  <c r="BS128" i="4"/>
  <c r="BT128" i="4" s="1"/>
  <c r="BW127" i="4"/>
  <c r="BS127" i="4"/>
  <c r="BT127" i="4" s="1"/>
  <c r="BZ130" i="4"/>
  <c r="BZ129" i="4"/>
  <c r="CA129" i="4" s="1"/>
  <c r="BZ128" i="4"/>
  <c r="CA128" i="4" s="1"/>
  <c r="BZ127" i="4"/>
  <c r="CA127" i="4" s="1"/>
  <c r="CC131" i="4"/>
  <c r="CD130" i="4"/>
  <c r="CB130" i="4" s="1"/>
  <c r="CD129" i="4"/>
  <c r="CD128" i="4"/>
  <c r="CD127" i="4"/>
  <c r="BY131" i="4"/>
  <c r="CJ131" i="4"/>
  <c r="CF131" i="4"/>
  <c r="CK130" i="4"/>
  <c r="CI130" i="4" s="1"/>
  <c r="CG130" i="4"/>
  <c r="CK129" i="4"/>
  <c r="CG129" i="4"/>
  <c r="CH129" i="4" s="1"/>
  <c r="CK128" i="4"/>
  <c r="CG128" i="4"/>
  <c r="CH128" i="4" s="1"/>
  <c r="CK127" i="4"/>
  <c r="CG127" i="4"/>
  <c r="CH127" i="4" s="1"/>
  <c r="CN130" i="4"/>
  <c r="CN129" i="4"/>
  <c r="CO129" i="4" s="1"/>
  <c r="CN128" i="4"/>
  <c r="CO128" i="4" s="1"/>
  <c r="CN127" i="4"/>
  <c r="CO127" i="4" s="1"/>
  <c r="CQ131" i="4"/>
  <c r="CR130" i="4"/>
  <c r="CP130" i="4" s="1"/>
  <c r="CR129" i="4"/>
  <c r="CR128" i="4"/>
  <c r="CR127" i="4"/>
  <c r="CM131" i="4"/>
  <c r="CQ186" i="4"/>
  <c r="CO186" i="4"/>
  <c r="CM186" i="4"/>
  <c r="CR182" i="4"/>
  <c r="CP182" i="4" s="1"/>
  <c r="CR181" i="4"/>
  <c r="CP181" i="4" s="1"/>
  <c r="CR180" i="4"/>
  <c r="CN182" i="4"/>
  <c r="CN181" i="4"/>
  <c r="CN180" i="4"/>
  <c r="CJ186" i="4"/>
  <c r="CH186" i="4"/>
  <c r="CF186" i="4"/>
  <c r="CK182" i="4"/>
  <c r="CI182" i="4" s="1"/>
  <c r="CK181" i="4"/>
  <c r="CI181" i="4" s="1"/>
  <c r="CK180" i="4"/>
  <c r="CG182" i="4"/>
  <c r="CG181" i="4"/>
  <c r="CG180" i="4"/>
  <c r="CC186" i="4"/>
  <c r="CA186" i="4"/>
  <c r="BY186" i="4"/>
  <c r="CD182" i="4"/>
  <c r="CB182" i="4" s="1"/>
  <c r="CD181" i="4"/>
  <c r="CB181" i="4" s="1"/>
  <c r="CD180" i="4"/>
  <c r="CB180" i="4" s="1"/>
  <c r="BZ182" i="4"/>
  <c r="BZ181" i="4"/>
  <c r="BZ180" i="4"/>
  <c r="BV186" i="4"/>
  <c r="BT186" i="4"/>
  <c r="BR186" i="4"/>
  <c r="BW182" i="4"/>
  <c r="BU182" i="4" s="1"/>
  <c r="BS182" i="4"/>
  <c r="BW181" i="4"/>
  <c r="BU181" i="4" s="1"/>
  <c r="BS181" i="4"/>
  <c r="BW180" i="4"/>
  <c r="BU180" i="4" s="1"/>
  <c r="BS180" i="4"/>
  <c r="BO186" i="4"/>
  <c r="BM186" i="4"/>
  <c r="BK186" i="4"/>
  <c r="BP182" i="4"/>
  <c r="BN182" i="4" s="1"/>
  <c r="BP181" i="4"/>
  <c r="BN181" i="4" s="1"/>
  <c r="BP180" i="4"/>
  <c r="BL182" i="4"/>
  <c r="BL181" i="4"/>
  <c r="BL180" i="4"/>
  <c r="BI182" i="4"/>
  <c r="BG182" i="4" s="1"/>
  <c r="BI181" i="4"/>
  <c r="BG181" i="4" s="1"/>
  <c r="BI180" i="4"/>
  <c r="BG180" i="4" s="1"/>
  <c r="BE182" i="4"/>
  <c r="BE181" i="4"/>
  <c r="BE180" i="4"/>
  <c r="BH186" i="4"/>
  <c r="BF186" i="4"/>
  <c r="BD186" i="4"/>
  <c r="AX186" i="4"/>
  <c r="AQ186" i="4"/>
  <c r="AJ186" i="4"/>
  <c r="AC186" i="4"/>
  <c r="V186" i="4"/>
  <c r="O186" i="4"/>
  <c r="S123" i="4"/>
  <c r="P123" i="4"/>
  <c r="O123" i="4"/>
  <c r="R122" i="4"/>
  <c r="R124" i="4" s="1"/>
  <c r="R15" i="2" s="1"/>
  <c r="N122" i="4"/>
  <c r="N124" i="4" s="1"/>
  <c r="N15" i="2" s="1"/>
  <c r="S117" i="4"/>
  <c r="G18" i="220" s="1"/>
  <c r="S116" i="4"/>
  <c r="S14" i="178" s="1"/>
  <c r="S115" i="4"/>
  <c r="T42" i="11" s="1"/>
  <c r="P117" i="4"/>
  <c r="D18" i="220" s="1"/>
  <c r="P116" i="4"/>
  <c r="P14" i="178" s="1"/>
  <c r="P115" i="4"/>
  <c r="Q42" i="11" s="1"/>
  <c r="O117" i="4"/>
  <c r="C18" i="220" s="1"/>
  <c r="O116" i="4"/>
  <c r="O14" i="178" s="1"/>
  <c r="O115" i="4"/>
  <c r="P42" i="11" s="1"/>
  <c r="Z123" i="4"/>
  <c r="V123" i="4"/>
  <c r="W123" i="4"/>
  <c r="Y122" i="4"/>
  <c r="U122" i="4"/>
  <c r="U124" i="4" s="1"/>
  <c r="U15" i="2" s="1"/>
  <c r="Z117" i="4"/>
  <c r="N18" i="220" s="1"/>
  <c r="Z116" i="4"/>
  <c r="Z14" i="178" s="1"/>
  <c r="Z115" i="4"/>
  <c r="AA42" i="11" s="1"/>
  <c r="W117" i="4"/>
  <c r="K18" i="220" s="1"/>
  <c r="V117" i="4"/>
  <c r="J18" i="220" s="1"/>
  <c r="V116" i="4"/>
  <c r="V14" i="178" s="1"/>
  <c r="V115" i="4"/>
  <c r="W42" i="11" s="1"/>
  <c r="W116" i="4"/>
  <c r="W14" i="178" s="1"/>
  <c r="W115" i="4"/>
  <c r="X42" i="11" s="1"/>
  <c r="AG123" i="4"/>
  <c r="AD123" i="4"/>
  <c r="AC123" i="4"/>
  <c r="AF122" i="4"/>
  <c r="AF124" i="4" s="1"/>
  <c r="AF15" i="2" s="1"/>
  <c r="AB122" i="4"/>
  <c r="AB124" i="4" s="1"/>
  <c r="AB15" i="2" s="1"/>
  <c r="AG117" i="4"/>
  <c r="U18" i="220" s="1"/>
  <c r="AG116" i="4"/>
  <c r="AG14" i="178" s="1"/>
  <c r="AG115" i="4"/>
  <c r="AH42" i="11" s="1"/>
  <c r="AD117" i="4"/>
  <c r="R18" i="220" s="1"/>
  <c r="AD116" i="4"/>
  <c r="AD14" i="178" s="1"/>
  <c r="AD115" i="4"/>
  <c r="AE42" i="11" s="1"/>
  <c r="AC117" i="4"/>
  <c r="Q18" i="220" s="1"/>
  <c r="AC116" i="4"/>
  <c r="AC14" i="178" s="1"/>
  <c r="AC115" i="4"/>
  <c r="AD42" i="11" s="1"/>
  <c r="AN123" i="4"/>
  <c r="AK123" i="4"/>
  <c r="AJ123" i="4"/>
  <c r="AM122" i="4"/>
  <c r="AM124" i="4" s="1"/>
  <c r="AM15" i="2" s="1"/>
  <c r="AI122" i="4"/>
  <c r="AI124" i="4" s="1"/>
  <c r="AI15" i="2" s="1"/>
  <c r="AN117" i="4"/>
  <c r="AB18" i="220" s="1"/>
  <c r="AN116" i="4"/>
  <c r="AN14" i="178" s="1"/>
  <c r="AN115" i="4"/>
  <c r="AO42" i="11" s="1"/>
  <c r="AK117" i="4"/>
  <c r="Y18" i="220" s="1"/>
  <c r="AK116" i="4"/>
  <c r="AK14" i="178" s="1"/>
  <c r="AK115" i="4"/>
  <c r="AL42" i="11" s="1"/>
  <c r="AJ117" i="4"/>
  <c r="X18" i="220" s="1"/>
  <c r="AJ116" i="4"/>
  <c r="AJ14" i="178" s="1"/>
  <c r="AJ115" i="4"/>
  <c r="AK42" i="11" s="1"/>
  <c r="BB123" i="4"/>
  <c r="AY123" i="4"/>
  <c r="AX123" i="4"/>
  <c r="BA122" i="4"/>
  <c r="BA124" i="4" s="1"/>
  <c r="BA15" i="2" s="1"/>
  <c r="AW122" i="4"/>
  <c r="AW124" i="4" s="1"/>
  <c r="AW15" i="2" s="1"/>
  <c r="BB117" i="4"/>
  <c r="BB116" i="4"/>
  <c r="BB115" i="4"/>
  <c r="BC42" i="11" s="1"/>
  <c r="AY117" i="4"/>
  <c r="AY116" i="4"/>
  <c r="AY115" i="4"/>
  <c r="AZ42" i="11" s="1"/>
  <c r="AX117" i="4"/>
  <c r="AX116" i="4"/>
  <c r="AX115" i="4"/>
  <c r="AY42" i="11" s="1"/>
  <c r="BI123" i="4"/>
  <c r="BF123" i="4"/>
  <c r="BI117" i="4"/>
  <c r="AP18" i="220" s="1"/>
  <c r="BI116" i="4"/>
  <c r="BB14" i="178" s="1"/>
  <c r="BI115" i="4"/>
  <c r="BJ42" i="11" s="1"/>
  <c r="BH122" i="4"/>
  <c r="BD122" i="4"/>
  <c r="BD124" i="4" s="1"/>
  <c r="BD15" i="2" s="1"/>
  <c r="BF117" i="4"/>
  <c r="AM18" i="220" s="1"/>
  <c r="BF116" i="4"/>
  <c r="AY14" i="178" s="1"/>
  <c r="BF115" i="4"/>
  <c r="BG42" i="11" s="1"/>
  <c r="BE117" i="4"/>
  <c r="AL18" i="220" s="1"/>
  <c r="AL19" i="220" s="1"/>
  <c r="BE116" i="4"/>
  <c r="AX14" i="178" s="1"/>
  <c r="AX15" i="178" s="1"/>
  <c r="BE115" i="4"/>
  <c r="BF42" i="11" s="1"/>
  <c r="BF43" i="11" s="1"/>
  <c r="BP123" i="4"/>
  <c r="BM123" i="4"/>
  <c r="BL123" i="4"/>
  <c r="BO122" i="4"/>
  <c r="BO124" i="4" s="1"/>
  <c r="BK122" i="4"/>
  <c r="BK124" i="4" s="1"/>
  <c r="BP117" i="4"/>
  <c r="AW18" i="220" s="1"/>
  <c r="BM117" i="4"/>
  <c r="AT18" i="220" s="1"/>
  <c r="AT19" i="220" s="1"/>
  <c r="BL117" i="4"/>
  <c r="AS18" i="220" s="1"/>
  <c r="AS19" i="220" s="1"/>
  <c r="BP116" i="4"/>
  <c r="BI14" i="178" s="1"/>
  <c r="BM116" i="4"/>
  <c r="BF14" i="178" s="1"/>
  <c r="BF15" i="178" s="1"/>
  <c r="BL116" i="4"/>
  <c r="BE14" i="178" s="1"/>
  <c r="BE15" i="178" s="1"/>
  <c r="BP115" i="4"/>
  <c r="BQ42" i="11" s="1"/>
  <c r="BM115" i="4"/>
  <c r="BN42" i="11" s="1"/>
  <c r="BN43" i="11" s="1"/>
  <c r="BL115" i="4"/>
  <c r="BM42" i="11" s="1"/>
  <c r="BM43" i="11" s="1"/>
  <c r="BW123" i="4"/>
  <c r="BT123" i="4"/>
  <c r="BV122" i="4"/>
  <c r="BV124" i="4" s="1"/>
  <c r="BR122" i="4"/>
  <c r="BR124" i="4" s="1"/>
  <c r="BW117" i="4"/>
  <c r="BW116" i="4"/>
  <c r="BW115" i="4"/>
  <c r="BT117" i="4"/>
  <c r="BT116" i="4"/>
  <c r="BT115" i="4"/>
  <c r="BS117" i="4"/>
  <c r="BS116" i="4"/>
  <c r="BS115" i="4"/>
  <c r="BX122" i="4"/>
  <c r="BX124" i="4" s="1"/>
  <c r="CD123" i="4"/>
  <c r="CA123" i="4"/>
  <c r="BZ123" i="4"/>
  <c r="CD117" i="4"/>
  <c r="BD18" i="220" s="1"/>
  <c r="CD116" i="4"/>
  <c r="BP14" i="178" s="1"/>
  <c r="CD115" i="4"/>
  <c r="BX42" i="11" s="1"/>
  <c r="CC122" i="4"/>
  <c r="CC124" i="4" s="1"/>
  <c r="BY122" i="4"/>
  <c r="BY124" i="4" s="1"/>
  <c r="CA117" i="4"/>
  <c r="BA18" i="220" s="1"/>
  <c r="BA19" i="220" s="1"/>
  <c r="CA116" i="4"/>
  <c r="BM14" i="178" s="1"/>
  <c r="BM15" i="178" s="1"/>
  <c r="CA115" i="4"/>
  <c r="BU42" i="11" s="1"/>
  <c r="BU43" i="11" s="1"/>
  <c r="BZ117" i="4"/>
  <c r="AZ18" i="220" s="1"/>
  <c r="AZ19" i="220" s="1"/>
  <c r="BZ116" i="4"/>
  <c r="BL14" i="178" s="1"/>
  <c r="BL15" i="178" s="1"/>
  <c r="BZ115" i="4"/>
  <c r="BT42" i="11" s="1"/>
  <c r="BT43" i="11" s="1"/>
  <c r="CK123" i="4"/>
  <c r="CH123" i="4"/>
  <c r="CG123" i="4"/>
  <c r="CJ122" i="4"/>
  <c r="CJ124" i="4" s="1"/>
  <c r="CF122" i="4"/>
  <c r="CF124" i="4" s="1"/>
  <c r="CK117" i="4"/>
  <c r="BK18" i="220" s="1"/>
  <c r="CK116" i="4"/>
  <c r="BW14" i="178" s="1"/>
  <c r="CK115" i="4"/>
  <c r="CE42" i="11" s="1"/>
  <c r="CH117" i="4"/>
  <c r="BH18" i="220" s="1"/>
  <c r="BH19" i="220" s="1"/>
  <c r="CH116" i="4"/>
  <c r="BT14" i="178" s="1"/>
  <c r="BT15" i="178" s="1"/>
  <c r="CH115" i="4"/>
  <c r="CB42" i="11" s="1"/>
  <c r="CB43" i="11" s="1"/>
  <c r="CG117" i="4"/>
  <c r="BG18" i="220" s="1"/>
  <c r="CG116" i="4"/>
  <c r="BS14" i="178" s="1"/>
  <c r="CG115" i="4"/>
  <c r="CA42" i="11" s="1"/>
  <c r="CR123" i="4"/>
  <c r="CR117" i="4"/>
  <c r="BR18" i="220" s="1"/>
  <c r="CR116" i="4"/>
  <c r="CD14" i="178" s="1"/>
  <c r="CR115" i="4"/>
  <c r="CL42" i="11" s="1"/>
  <c r="CO123" i="4"/>
  <c r="CN123" i="4"/>
  <c r="CQ122" i="4"/>
  <c r="CQ124" i="4" s="1"/>
  <c r="CM122" i="4"/>
  <c r="CM124" i="4" s="1"/>
  <c r="CO117" i="4"/>
  <c r="BO18" i="220" s="1"/>
  <c r="BO19" i="220" s="1"/>
  <c r="CO116" i="4"/>
  <c r="CA14" i="178" s="1"/>
  <c r="CA15" i="178" s="1"/>
  <c r="CO115" i="4"/>
  <c r="CI42" i="11" s="1"/>
  <c r="CI43" i="11" s="1"/>
  <c r="CN117" i="4"/>
  <c r="BN18" i="220" s="1"/>
  <c r="BN19" i="220" s="1"/>
  <c r="CN116" i="4"/>
  <c r="BZ14" i="178" s="1"/>
  <c r="BZ15" i="178" s="1"/>
  <c r="CN115" i="4"/>
  <c r="CH42" i="11" s="1"/>
  <c r="CH43" i="11" s="1"/>
  <c r="EW205" i="4"/>
  <c r="EP205" i="4"/>
  <c r="EI205" i="4"/>
  <c r="EB205" i="4"/>
  <c r="DU205" i="4"/>
  <c r="EW197" i="4"/>
  <c r="EU197" i="4"/>
  <c r="ES197" i="4"/>
  <c r="EQ197" i="4"/>
  <c r="EP197" i="4"/>
  <c r="EN197" i="4"/>
  <c r="EL197" i="4"/>
  <c r="EJ197" i="4"/>
  <c r="EI197" i="4"/>
  <c r="EG197" i="4"/>
  <c r="EE197" i="4"/>
  <c r="EC197" i="4"/>
  <c r="EB197" i="4"/>
  <c r="DZ197" i="4"/>
  <c r="DX197" i="4"/>
  <c r="DV197" i="4"/>
  <c r="DU197" i="4"/>
  <c r="DQ197" i="4"/>
  <c r="DO197" i="4"/>
  <c r="DL197" i="4"/>
  <c r="DJ197" i="4"/>
  <c r="EW196" i="4"/>
  <c r="EV196" i="4"/>
  <c r="EU196" i="4"/>
  <c r="ET196" i="4"/>
  <c r="ES196" i="4"/>
  <c r="ER196" i="4"/>
  <c r="EQ196" i="4"/>
  <c r="EP196" i="4"/>
  <c r="EO196" i="4"/>
  <c r="EN196" i="4"/>
  <c r="EM196" i="4"/>
  <c r="EL196" i="4"/>
  <c r="EK196" i="4"/>
  <c r="EJ196" i="4"/>
  <c r="EI196" i="4"/>
  <c r="EH196" i="4"/>
  <c r="EG196" i="4"/>
  <c r="EF196" i="4"/>
  <c r="EE196" i="4"/>
  <c r="ED196" i="4"/>
  <c r="EC196" i="4"/>
  <c r="EB196" i="4"/>
  <c r="EA196" i="4"/>
  <c r="DZ196" i="4"/>
  <c r="DY196" i="4"/>
  <c r="DX196" i="4"/>
  <c r="DW196" i="4"/>
  <c r="DV196" i="4"/>
  <c r="DU196" i="4"/>
  <c r="DT196" i="4"/>
  <c r="DR196" i="4"/>
  <c r="DQ196" i="4"/>
  <c r="DO196" i="4"/>
  <c r="DM196" i="4"/>
  <c r="DL196" i="4"/>
  <c r="DK196" i="4"/>
  <c r="DJ196" i="4"/>
  <c r="DI196" i="4"/>
  <c r="EW195" i="4"/>
  <c r="EV195" i="4"/>
  <c r="EU195" i="4"/>
  <c r="ET195" i="4"/>
  <c r="ES195" i="4"/>
  <c r="ER195" i="4"/>
  <c r="EQ195" i="4"/>
  <c r="EP195" i="4"/>
  <c r="EO195" i="4"/>
  <c r="EN195" i="4"/>
  <c r="EM195" i="4"/>
  <c r="EL195" i="4"/>
  <c r="EK195" i="4"/>
  <c r="EJ195" i="4"/>
  <c r="EI195" i="4"/>
  <c r="EH195" i="4"/>
  <c r="EG195" i="4"/>
  <c r="EF195" i="4"/>
  <c r="EE195" i="4"/>
  <c r="ED195" i="4"/>
  <c r="EC195" i="4"/>
  <c r="EB195" i="4"/>
  <c r="EA195" i="4"/>
  <c r="DZ195" i="4"/>
  <c r="DY195" i="4"/>
  <c r="DX195" i="4"/>
  <c r="DW195" i="4"/>
  <c r="DV195" i="4"/>
  <c r="DU195" i="4"/>
  <c r="DT195" i="4"/>
  <c r="DR195" i="4"/>
  <c r="DQ195" i="4"/>
  <c r="DO195" i="4"/>
  <c r="DM195" i="4"/>
  <c r="DL195" i="4"/>
  <c r="DK195" i="4"/>
  <c r="DJ195" i="4"/>
  <c r="DI195" i="4"/>
  <c r="EW194" i="4"/>
  <c r="EV194" i="4"/>
  <c r="EU194" i="4"/>
  <c r="ET194" i="4"/>
  <c r="ES194" i="4"/>
  <c r="ER194" i="4"/>
  <c r="EQ194" i="4"/>
  <c r="EP194" i="4"/>
  <c r="EO194" i="4"/>
  <c r="EN194" i="4"/>
  <c r="EM194" i="4"/>
  <c r="EL194" i="4"/>
  <c r="EK194" i="4"/>
  <c r="EJ194" i="4"/>
  <c r="EI194" i="4"/>
  <c r="EH194" i="4"/>
  <c r="EG194" i="4"/>
  <c r="EF194" i="4"/>
  <c r="EE194" i="4"/>
  <c r="ED194" i="4"/>
  <c r="EC194" i="4"/>
  <c r="EB194" i="4"/>
  <c r="EA194" i="4"/>
  <c r="DZ194" i="4"/>
  <c r="DY194" i="4"/>
  <c r="DX194" i="4"/>
  <c r="DW194" i="4"/>
  <c r="DV194" i="4"/>
  <c r="DU194" i="4"/>
  <c r="DT194" i="4"/>
  <c r="DR194" i="4"/>
  <c r="DQ194" i="4"/>
  <c r="DO194" i="4"/>
  <c r="DM194" i="4"/>
  <c r="DL194" i="4"/>
  <c r="DK194" i="4"/>
  <c r="DJ194" i="4"/>
  <c r="DI194" i="4"/>
  <c r="EW193" i="4"/>
  <c r="EV193" i="4"/>
  <c r="EU193" i="4"/>
  <c r="ET193" i="4"/>
  <c r="ES193" i="4"/>
  <c r="ER193" i="4"/>
  <c r="EQ193" i="4"/>
  <c r="EP193" i="4"/>
  <c r="EO193" i="4"/>
  <c r="EN193" i="4"/>
  <c r="EM193" i="4"/>
  <c r="EL193" i="4"/>
  <c r="EK193" i="4"/>
  <c r="EJ193" i="4"/>
  <c r="EI193" i="4"/>
  <c r="EH193" i="4"/>
  <c r="EG193" i="4"/>
  <c r="EF193" i="4"/>
  <c r="EE193" i="4"/>
  <c r="ED193" i="4"/>
  <c r="EC193" i="4"/>
  <c r="EB193" i="4"/>
  <c r="EA193" i="4"/>
  <c r="DZ193" i="4"/>
  <c r="DY193" i="4"/>
  <c r="DX193" i="4"/>
  <c r="DW193" i="4"/>
  <c r="DV193" i="4"/>
  <c r="DU193" i="4"/>
  <c r="DT193" i="4"/>
  <c r="DR193" i="4"/>
  <c r="DQ193" i="4"/>
  <c r="DO193" i="4"/>
  <c r="DM193" i="4"/>
  <c r="DL193" i="4"/>
  <c r="DK193" i="4"/>
  <c r="DJ193" i="4"/>
  <c r="DI193" i="4"/>
  <c r="DD196" i="4"/>
  <c r="DD195" i="4"/>
  <c r="DD194" i="4"/>
  <c r="DD193" i="4"/>
  <c r="DF196" i="4"/>
  <c r="DF195" i="4"/>
  <c r="DF194" i="4"/>
  <c r="DF193" i="4"/>
  <c r="DG205" i="4"/>
  <c r="DG197" i="4"/>
  <c r="DG196" i="4"/>
  <c r="DG195" i="4"/>
  <c r="DG194" i="4"/>
  <c r="DG193" i="4"/>
  <c r="DE205" i="4"/>
  <c r="DE199" i="4"/>
  <c r="DE198" i="4"/>
  <c r="DE197" i="4"/>
  <c r="DE196" i="4"/>
  <c r="DE195" i="4"/>
  <c r="DE194" i="4"/>
  <c r="DE193" i="4"/>
  <c r="DC205" i="4"/>
  <c r="DC199" i="4"/>
  <c r="DC198" i="4"/>
  <c r="DC197" i="4"/>
  <c r="DC196" i="4"/>
  <c r="DC195" i="4"/>
  <c r="DC194" i="4"/>
  <c r="DC193" i="4"/>
  <c r="DB196" i="4"/>
  <c r="DB195" i="4"/>
  <c r="DB194" i="4"/>
  <c r="DB193" i="4"/>
  <c r="DA205" i="4"/>
  <c r="DA199" i="4"/>
  <c r="DA198" i="4"/>
  <c r="DA197" i="4"/>
  <c r="DA196" i="4"/>
  <c r="DA195" i="4"/>
  <c r="DA194" i="4"/>
  <c r="DA193" i="4"/>
  <c r="CZ207" i="4"/>
  <c r="CZ205" i="4"/>
  <c r="CX205" i="4"/>
  <c r="CV205" i="4"/>
  <c r="CZ204" i="4"/>
  <c r="CZ202" i="4"/>
  <c r="CZ201" i="4"/>
  <c r="CZ199" i="4"/>
  <c r="CX199" i="4"/>
  <c r="CV199" i="4"/>
  <c r="CZ198" i="4"/>
  <c r="CX198" i="4"/>
  <c r="CV198" i="4"/>
  <c r="CZ197" i="4"/>
  <c r="CX197" i="4"/>
  <c r="CV197" i="4"/>
  <c r="CZ196" i="4"/>
  <c r="CY196" i="4"/>
  <c r="CX196" i="4"/>
  <c r="CW196" i="4"/>
  <c r="CV196" i="4"/>
  <c r="CU196" i="4"/>
  <c r="CZ195" i="4"/>
  <c r="CY195" i="4"/>
  <c r="CX195" i="4"/>
  <c r="CW195" i="4"/>
  <c r="CV195" i="4"/>
  <c r="CU195" i="4"/>
  <c r="CZ194" i="4"/>
  <c r="CY194" i="4"/>
  <c r="CX194" i="4"/>
  <c r="CW194" i="4"/>
  <c r="CV194" i="4"/>
  <c r="CU194" i="4"/>
  <c r="CZ193" i="4"/>
  <c r="CY193" i="4"/>
  <c r="CX193" i="4"/>
  <c r="CW193" i="4"/>
  <c r="CV193" i="4"/>
  <c r="CU193" i="4"/>
  <c r="CT205" i="4"/>
  <c r="CT199" i="4"/>
  <c r="CT198" i="4"/>
  <c r="CT197" i="4"/>
  <c r="CT196" i="4"/>
  <c r="CT195" i="4"/>
  <c r="CT194" i="4"/>
  <c r="CT193" i="4"/>
  <c r="CS205" i="4"/>
  <c r="CS199" i="4"/>
  <c r="CS198" i="4"/>
  <c r="CS197" i="4"/>
  <c r="CS196" i="4"/>
  <c r="CS195" i="4"/>
  <c r="CS194" i="4"/>
  <c r="CS193" i="4"/>
  <c r="CO203" i="4"/>
  <c r="CO200" i="4"/>
  <c r="CQ207" i="4"/>
  <c r="CK104" i="11" s="1"/>
  <c r="CQ205" i="4"/>
  <c r="CK141" i="11" s="1"/>
  <c r="CQ204" i="4"/>
  <c r="CK139" i="11" s="1"/>
  <c r="CN203" i="4"/>
  <c r="CM203" i="4"/>
  <c r="CQ202" i="4"/>
  <c r="CK127" i="11" s="1"/>
  <c r="CQ201" i="4"/>
  <c r="CK123" i="11" s="1"/>
  <c r="CN200" i="4"/>
  <c r="CM200" i="4"/>
  <c r="CQ199" i="4"/>
  <c r="CK116" i="11" s="1"/>
  <c r="CQ198" i="4"/>
  <c r="CK115" i="11" s="1"/>
  <c r="CQ197" i="4"/>
  <c r="CK114" i="11" s="1"/>
  <c r="CQ196" i="4"/>
  <c r="CK111" i="11" s="1"/>
  <c r="CQ195" i="4"/>
  <c r="CK110" i="11" s="1"/>
  <c r="CQ194" i="4"/>
  <c r="CK109" i="11" s="1"/>
  <c r="CQ193" i="4"/>
  <c r="CK108" i="11" s="1"/>
  <c r="CL205" i="4"/>
  <c r="CL199" i="4"/>
  <c r="CL198" i="4"/>
  <c r="CL197" i="4"/>
  <c r="CL196" i="4"/>
  <c r="CL195" i="4"/>
  <c r="CL194" i="4"/>
  <c r="CL193" i="4"/>
  <c r="CJ207" i="4"/>
  <c r="CD104" i="11" s="1"/>
  <c r="CJ205" i="4"/>
  <c r="CD141" i="11" s="1"/>
  <c r="CJ204" i="4"/>
  <c r="CD139" i="11" s="1"/>
  <c r="CH203" i="4"/>
  <c r="CG203" i="4"/>
  <c r="CF203" i="4"/>
  <c r="CJ202" i="4"/>
  <c r="CD127" i="11" s="1"/>
  <c r="CJ201" i="4"/>
  <c r="CD123" i="11" s="1"/>
  <c r="CH200" i="4"/>
  <c r="CG200" i="4"/>
  <c r="CF200" i="4"/>
  <c r="CJ199" i="4"/>
  <c r="CD116" i="11" s="1"/>
  <c r="CJ198" i="4"/>
  <c r="CD115" i="11" s="1"/>
  <c r="CJ197" i="4"/>
  <c r="CD114" i="11" s="1"/>
  <c r="CJ196" i="4"/>
  <c r="CD111" i="11" s="1"/>
  <c r="CJ195" i="4"/>
  <c r="CD110" i="11" s="1"/>
  <c r="CJ194" i="4"/>
  <c r="CD109" i="11" s="1"/>
  <c r="CJ193" i="4"/>
  <c r="CD108" i="11" s="1"/>
  <c r="CE205" i="4"/>
  <c r="CE199" i="4"/>
  <c r="CE198" i="4"/>
  <c r="CE197" i="4"/>
  <c r="CE196" i="4"/>
  <c r="CE195" i="4"/>
  <c r="CE194" i="4"/>
  <c r="CE193" i="4"/>
  <c r="CC207" i="4"/>
  <c r="BW104" i="11" s="1"/>
  <c r="CC205" i="4"/>
  <c r="BW141" i="11" s="1"/>
  <c r="CC204" i="4"/>
  <c r="BW139" i="11" s="1"/>
  <c r="CA203" i="4"/>
  <c r="BZ203" i="4"/>
  <c r="BY203" i="4"/>
  <c r="CC202" i="4"/>
  <c r="BW127" i="11" s="1"/>
  <c r="CC201" i="4"/>
  <c r="BW123" i="11" s="1"/>
  <c r="CA200" i="4"/>
  <c r="BZ200" i="4"/>
  <c r="BY200" i="4"/>
  <c r="CC199" i="4"/>
  <c r="BW116" i="11" s="1"/>
  <c r="CC198" i="4"/>
  <c r="BW115" i="11" s="1"/>
  <c r="CC197" i="4"/>
  <c r="BW114" i="11" s="1"/>
  <c r="CC196" i="4"/>
  <c r="BW111" i="11" s="1"/>
  <c r="CC195" i="4"/>
  <c r="BW110" i="11" s="1"/>
  <c r="CC194" i="4"/>
  <c r="BW109" i="11" s="1"/>
  <c r="CC193" i="4"/>
  <c r="BW108" i="11" s="1"/>
  <c r="BQ205" i="4"/>
  <c r="BQ199" i="4"/>
  <c r="BQ198" i="4"/>
  <c r="BQ197" i="4"/>
  <c r="BQ196" i="4"/>
  <c r="BQ195" i="4"/>
  <c r="BQ194" i="4"/>
  <c r="BQ193" i="4"/>
  <c r="BO207" i="4"/>
  <c r="BP104" i="11" s="1"/>
  <c r="BM206" i="4"/>
  <c r="BM208" i="4" s="1"/>
  <c r="BL206" i="4"/>
  <c r="BL208" i="4" s="1"/>
  <c r="BK206" i="4"/>
  <c r="BK208" i="4" s="1"/>
  <c r="BO205" i="4"/>
  <c r="BO204" i="4"/>
  <c r="BP139" i="11" s="1"/>
  <c r="BO203" i="4"/>
  <c r="BO202" i="4"/>
  <c r="BP127" i="11" s="1"/>
  <c r="BM201" i="4"/>
  <c r="BN123" i="11" s="1"/>
  <c r="BL201" i="4"/>
  <c r="BM123" i="11" s="1"/>
  <c r="BK201" i="4"/>
  <c r="BL123" i="11" s="1"/>
  <c r="BO200" i="4"/>
  <c r="BO199" i="4"/>
  <c r="BP116" i="11" s="1"/>
  <c r="BO198" i="4"/>
  <c r="BP115" i="11" s="1"/>
  <c r="BO197" i="4"/>
  <c r="BP114" i="11" s="1"/>
  <c r="BO196" i="4"/>
  <c r="BP111" i="11" s="1"/>
  <c r="BO195" i="4"/>
  <c r="BP110" i="11" s="1"/>
  <c r="BO194" i="4"/>
  <c r="BP109" i="11" s="1"/>
  <c r="BO193" i="4"/>
  <c r="BP108" i="11" s="1"/>
  <c r="BJ206" i="4"/>
  <c r="BJ208" i="4" s="1"/>
  <c r="BI206" i="4"/>
  <c r="BI208" i="4" s="1"/>
  <c r="BJ201" i="4"/>
  <c r="BI201" i="4"/>
  <c r="BJ123" i="11" s="1"/>
  <c r="BJ129" i="11" s="1"/>
  <c r="BJ143" i="11" s="1"/>
  <c r="BJ74" i="11" s="1"/>
  <c r="BH207" i="4"/>
  <c r="BI104" i="11" s="1"/>
  <c r="BH206" i="4"/>
  <c r="BG206" i="4"/>
  <c r="BG208" i="4" s="1"/>
  <c r="BF206" i="4"/>
  <c r="BF208" i="4" s="1"/>
  <c r="BE206" i="4"/>
  <c r="BE208" i="4" s="1"/>
  <c r="BD206" i="4"/>
  <c r="BD208" i="4" s="1"/>
  <c r="BH201" i="4"/>
  <c r="BI123" i="11" s="1"/>
  <c r="BI129" i="11" s="1"/>
  <c r="BG201" i="4"/>
  <c r="BH123" i="11" s="1"/>
  <c r="BF201" i="4"/>
  <c r="BG123" i="11" s="1"/>
  <c r="BE201" i="4"/>
  <c r="BF123" i="11" s="1"/>
  <c r="BD201" i="4"/>
  <c r="BE123" i="11" s="1"/>
  <c r="BB205" i="4"/>
  <c r="BC141" i="11" s="1"/>
  <c r="BA205" i="4"/>
  <c r="BB141" i="11" s="1"/>
  <c r="BB204" i="4"/>
  <c r="BC139" i="11" s="1"/>
  <c r="BA204" i="4"/>
  <c r="BB139" i="11" s="1"/>
  <c r="BB203" i="4"/>
  <c r="BC123" i="11" s="1"/>
  <c r="BC129" i="11" s="1"/>
  <c r="BA203" i="4"/>
  <c r="BB123" i="11" s="1"/>
  <c r="BB129" i="11" s="1"/>
  <c r="AZ200" i="4"/>
  <c r="AZ206" i="4" s="1"/>
  <c r="AY200" i="4"/>
  <c r="AY206" i="4" s="1"/>
  <c r="AX200" i="4"/>
  <c r="AX206" i="4" s="1"/>
  <c r="AW200" i="4"/>
  <c r="AW206" i="4" s="1"/>
  <c r="BB199" i="4"/>
  <c r="BC116" i="11" s="1"/>
  <c r="BA199" i="4"/>
  <c r="BB116" i="11" s="1"/>
  <c r="BB198" i="4"/>
  <c r="BC115" i="11" s="1"/>
  <c r="BA198" i="4"/>
  <c r="BB115" i="11" s="1"/>
  <c r="BB197" i="4"/>
  <c r="BC114" i="11" s="1"/>
  <c r="BA197" i="4"/>
  <c r="BB114" i="11" s="1"/>
  <c r="BB196" i="4"/>
  <c r="BC111" i="11" s="1"/>
  <c r="BA196" i="4"/>
  <c r="BB111" i="11" s="1"/>
  <c r="BB195" i="4"/>
  <c r="BC110" i="11" s="1"/>
  <c r="BA195" i="4"/>
  <c r="BB110" i="11" s="1"/>
  <c r="BB194" i="4"/>
  <c r="BC109" i="11" s="1"/>
  <c r="BA194" i="4"/>
  <c r="BB109" i="11" s="1"/>
  <c r="BB193" i="4"/>
  <c r="BC108" i="11" s="1"/>
  <c r="BA193" i="4"/>
  <c r="BB108" i="11" s="1"/>
  <c r="AU205" i="4"/>
  <c r="AV141" i="11" s="1"/>
  <c r="AU204" i="4"/>
  <c r="AV139" i="11" s="1"/>
  <c r="AU203" i="4"/>
  <c r="AU199" i="4"/>
  <c r="AV116" i="11" s="1"/>
  <c r="AU198" i="4"/>
  <c r="AV115" i="11" s="1"/>
  <c r="AU197" i="4"/>
  <c r="AV114" i="11" s="1"/>
  <c r="AU196" i="4"/>
  <c r="AU195" i="4"/>
  <c r="AV110" i="11" s="1"/>
  <c r="AU194" i="4"/>
  <c r="AV109" i="11" s="1"/>
  <c r="AU193" i="4"/>
  <c r="AV108" i="11" s="1"/>
  <c r="AT205" i="4"/>
  <c r="AT204" i="4"/>
  <c r="AU139" i="11" s="1"/>
  <c r="AT203" i="4"/>
  <c r="AU123" i="11" s="1"/>
  <c r="AU129" i="11" s="1"/>
  <c r="AS200" i="4"/>
  <c r="AS206" i="4" s="1"/>
  <c r="AR200" i="4"/>
  <c r="AR206" i="4" s="1"/>
  <c r="AQ200" i="4"/>
  <c r="AQ206" i="4" s="1"/>
  <c r="AP200" i="4"/>
  <c r="AT199" i="4"/>
  <c r="AU116" i="11" s="1"/>
  <c r="AT198" i="4"/>
  <c r="AT197" i="4"/>
  <c r="AU114" i="11" s="1"/>
  <c r="AT196" i="4"/>
  <c r="AU111" i="11" s="1"/>
  <c r="AT195" i="4"/>
  <c r="AU110" i="11" s="1"/>
  <c r="AT194" i="4"/>
  <c r="AT193" i="4"/>
  <c r="AU108" i="11" s="1"/>
  <c r="R98" i="4"/>
  <c r="R20" i="2" s="1"/>
  <c r="N98" i="4"/>
  <c r="N20" i="2" s="1"/>
  <c r="Y98" i="4"/>
  <c r="Y20" i="2" s="1"/>
  <c r="U98" i="4"/>
  <c r="U20" i="2" s="1"/>
  <c r="AF98" i="4"/>
  <c r="AF20" i="2" s="1"/>
  <c r="AB98" i="4"/>
  <c r="AB20" i="2" s="1"/>
  <c r="AM98" i="4"/>
  <c r="AM20" i="2" s="1"/>
  <c r="AI98" i="4"/>
  <c r="AI20" i="2" s="1"/>
  <c r="BA98" i="4"/>
  <c r="BA20" i="2" s="1"/>
  <c r="AW98" i="4"/>
  <c r="AW20" i="2" s="1"/>
  <c r="BH98" i="4"/>
  <c r="BH20" i="2" s="1"/>
  <c r="BD98" i="4"/>
  <c r="BD20" i="2" s="1"/>
  <c r="BO12" i="4"/>
  <c r="BM11" i="4"/>
  <c r="BM13" i="4" s="1"/>
  <c r="BL11" i="4"/>
  <c r="BL13" i="4" s="1"/>
  <c r="BK11" i="4"/>
  <c r="BK13" i="4" s="1"/>
  <c r="BO6" i="4"/>
  <c r="BO5" i="4"/>
  <c r="BO4" i="4"/>
  <c r="BO98" i="4"/>
  <c r="BV98" i="4" s="1"/>
  <c r="BO20" i="2" s="1"/>
  <c r="BK98" i="4"/>
  <c r="BR98" i="4" s="1"/>
  <c r="BK20" i="2" s="1"/>
  <c r="CC98" i="4"/>
  <c r="BV20" i="2" s="1"/>
  <c r="BY98" i="4"/>
  <c r="BR20" i="2" s="1"/>
  <c r="CJ98" i="4"/>
  <c r="CC20" i="2" s="1"/>
  <c r="CF98" i="4"/>
  <c r="BY20" i="2" s="1"/>
  <c r="CQ98" i="4"/>
  <c r="CJ20" i="2" s="1"/>
  <c r="CM98" i="4"/>
  <c r="CF20" i="2" s="1"/>
  <c r="P72" i="4"/>
  <c r="P98" i="4" s="1"/>
  <c r="P20" i="2" s="1"/>
  <c r="O72" i="4"/>
  <c r="O98" i="4" s="1"/>
  <c r="O20" i="2" s="1"/>
  <c r="W72" i="4"/>
  <c r="W98" i="4" s="1"/>
  <c r="W20" i="2" s="1"/>
  <c r="V72" i="4"/>
  <c r="V98" i="4" s="1"/>
  <c r="V20" i="2" s="1"/>
  <c r="AD72" i="4"/>
  <c r="AD98" i="4" s="1"/>
  <c r="AD20" i="2" s="1"/>
  <c r="AC72" i="4"/>
  <c r="AC98" i="4" s="1"/>
  <c r="AC20" i="2" s="1"/>
  <c r="AK72" i="4"/>
  <c r="AK98" i="4" s="1"/>
  <c r="AK20" i="2" s="1"/>
  <c r="AJ72" i="4"/>
  <c r="AJ98" i="4" s="1"/>
  <c r="AJ20" i="2" s="1"/>
  <c r="AY72" i="4"/>
  <c r="AY98" i="4" s="1"/>
  <c r="AY20" i="2" s="1"/>
  <c r="AX72" i="4"/>
  <c r="AX98" i="4" s="1"/>
  <c r="AX20" i="2" s="1"/>
  <c r="BF72" i="4"/>
  <c r="BF98" i="4" s="1"/>
  <c r="BF20" i="2" s="1"/>
  <c r="BE72" i="4"/>
  <c r="BE98" i="4" s="1"/>
  <c r="BE20" i="2" s="1"/>
  <c r="BM72" i="4"/>
  <c r="BM98" i="4" s="1"/>
  <c r="BT98" i="4" s="1"/>
  <c r="BM20" i="2" s="1"/>
  <c r="BL72" i="4"/>
  <c r="BL98" i="4" s="1"/>
  <c r="BS98" i="4" s="1"/>
  <c r="BL20" i="2" s="1"/>
  <c r="CA72" i="4"/>
  <c r="CA98" i="4" s="1"/>
  <c r="BT20" i="2" s="1"/>
  <c r="BZ72" i="4"/>
  <c r="BZ98" i="4" s="1"/>
  <c r="BS20" i="2" s="1"/>
  <c r="CH72" i="4"/>
  <c r="CH98" i="4" s="1"/>
  <c r="CA20" i="2" s="1"/>
  <c r="CG72" i="4"/>
  <c r="CG98" i="4" s="1"/>
  <c r="BZ20" i="2" s="1"/>
  <c r="CO72" i="4"/>
  <c r="CO98" i="4" s="1"/>
  <c r="CH20" i="2" s="1"/>
  <c r="CN72" i="4"/>
  <c r="CN98" i="4" s="1"/>
  <c r="CG20" i="2" s="1"/>
  <c r="R47" i="4"/>
  <c r="N47" i="4"/>
  <c r="R45" i="4"/>
  <c r="N45" i="4"/>
  <c r="R44" i="4"/>
  <c r="N44" i="4"/>
  <c r="R43" i="4"/>
  <c r="N43" i="4"/>
  <c r="Y47" i="4"/>
  <c r="U47" i="4"/>
  <c r="Y45" i="4"/>
  <c r="U45" i="4"/>
  <c r="Y44" i="4"/>
  <c r="U44" i="4"/>
  <c r="Y43" i="4"/>
  <c r="U43" i="4"/>
  <c r="AF47" i="4"/>
  <c r="AB47" i="4"/>
  <c r="AF45" i="4"/>
  <c r="AB45" i="4"/>
  <c r="AF44" i="4"/>
  <c r="AB44" i="4"/>
  <c r="AF43" i="4"/>
  <c r="AG56" i="11" s="1"/>
  <c r="AG58" i="11" s="1"/>
  <c r="AB43" i="4"/>
  <c r="AC56" i="11" s="1"/>
  <c r="AC58" i="11" s="1"/>
  <c r="AM47" i="4"/>
  <c r="AI47" i="4"/>
  <c r="AM45" i="4"/>
  <c r="AI45" i="4"/>
  <c r="AM44" i="4"/>
  <c r="AI44" i="4"/>
  <c r="AM43" i="4"/>
  <c r="AN56" i="11" s="1"/>
  <c r="AN58" i="11" s="1"/>
  <c r="AI43" i="4"/>
  <c r="AJ56" i="11" s="1"/>
  <c r="AJ58" i="11" s="1"/>
  <c r="BA47" i="4"/>
  <c r="AW47" i="4"/>
  <c r="BA45" i="4"/>
  <c r="AW45" i="4"/>
  <c r="BA44" i="4"/>
  <c r="AW44" i="4"/>
  <c r="BA43" i="4"/>
  <c r="BB51" i="11" s="1"/>
  <c r="BB58" i="11" s="1"/>
  <c r="AW43" i="4"/>
  <c r="AX51" i="11" s="1"/>
  <c r="AX58" i="11" s="1"/>
  <c r="BD47" i="4"/>
  <c r="BE45" i="4"/>
  <c r="BD45" i="4"/>
  <c r="BE44" i="4"/>
  <c r="BD44" i="4"/>
  <c r="BE43" i="4"/>
  <c r="BD43" i="4"/>
  <c r="BR45" i="4"/>
  <c r="BR44" i="4"/>
  <c r="CA47" i="4"/>
  <c r="BY47" i="4"/>
  <c r="CA45" i="4"/>
  <c r="BY45" i="4"/>
  <c r="CA44" i="4"/>
  <c r="BY44" i="4"/>
  <c r="CA43" i="4"/>
  <c r="BU56" i="11" s="1"/>
  <c r="BU58" i="11" s="1"/>
  <c r="BY43" i="4"/>
  <c r="BS56" i="11" s="1"/>
  <c r="BS58" i="11" s="1"/>
  <c r="CJ47" i="4"/>
  <c r="CK47" i="4" s="1"/>
  <c r="CH47" i="4"/>
  <c r="CF47" i="4"/>
  <c r="CJ45" i="4"/>
  <c r="CH45" i="4"/>
  <c r="CF45" i="4"/>
  <c r="CJ44" i="4"/>
  <c r="CH44" i="4"/>
  <c r="CF44" i="4"/>
  <c r="CJ43" i="4"/>
  <c r="CD56" i="11" s="1"/>
  <c r="CD58" i="11" s="1"/>
  <c r="CH43" i="4"/>
  <c r="CB56" i="11" s="1"/>
  <c r="CB58" i="11" s="1"/>
  <c r="CF43" i="4"/>
  <c r="BZ56" i="11" s="1"/>
  <c r="BZ58" i="11" s="1"/>
  <c r="S59" i="4"/>
  <c r="P59" i="4"/>
  <c r="O59" i="4"/>
  <c r="R58" i="4"/>
  <c r="R60" i="4" s="1"/>
  <c r="R22" i="2" s="1"/>
  <c r="R27" i="2" s="1"/>
  <c r="R38" i="2" s="1"/>
  <c r="N58" i="4"/>
  <c r="N60" i="4" s="1"/>
  <c r="N22" i="2" s="1"/>
  <c r="N27" i="2" s="1"/>
  <c r="N38" i="2" s="1"/>
  <c r="S53" i="4"/>
  <c r="G15" i="220" s="1"/>
  <c r="S52" i="4"/>
  <c r="S11" i="178" s="1"/>
  <c r="S51" i="4"/>
  <c r="T58" i="11" s="1"/>
  <c r="P53" i="4"/>
  <c r="D15" i="220" s="1"/>
  <c r="P52" i="4"/>
  <c r="P11" i="178" s="1"/>
  <c r="P51" i="4"/>
  <c r="Q58" i="11" s="1"/>
  <c r="O53" i="4"/>
  <c r="C15" i="220" s="1"/>
  <c r="O52" i="4"/>
  <c r="O11" i="178" s="1"/>
  <c r="O51" i="4"/>
  <c r="P58" i="11" s="1"/>
  <c r="Z59" i="4"/>
  <c r="W59" i="4"/>
  <c r="V59" i="4"/>
  <c r="Z53" i="4"/>
  <c r="N15" i="220" s="1"/>
  <c r="Z52" i="4"/>
  <c r="Z11" i="178" s="1"/>
  <c r="Z51" i="4"/>
  <c r="Y58" i="4"/>
  <c r="U58" i="4"/>
  <c r="U60" i="4" s="1"/>
  <c r="U22" i="2" s="1"/>
  <c r="U27" i="2" s="1"/>
  <c r="U38" i="2" s="1"/>
  <c r="W53" i="4"/>
  <c r="K15" i="220" s="1"/>
  <c r="W52" i="4"/>
  <c r="W11" i="178" s="1"/>
  <c r="W51" i="4"/>
  <c r="V53" i="4"/>
  <c r="J15" i="220" s="1"/>
  <c r="V52" i="4"/>
  <c r="V11" i="178" s="1"/>
  <c r="V51" i="4"/>
  <c r="AG59" i="4"/>
  <c r="AD59" i="4"/>
  <c r="AC59" i="4"/>
  <c r="AF58" i="4"/>
  <c r="AF60" i="4" s="1"/>
  <c r="AF22" i="2" s="1"/>
  <c r="AF27" i="2" s="1"/>
  <c r="AF38" i="2" s="1"/>
  <c r="AB58" i="4"/>
  <c r="AB60" i="4" s="1"/>
  <c r="AB22" i="2" s="1"/>
  <c r="AB27" i="2" s="1"/>
  <c r="AB38" i="2" s="1"/>
  <c r="AG53" i="4"/>
  <c r="U15" i="220" s="1"/>
  <c r="AG52" i="4"/>
  <c r="AG11" i="178" s="1"/>
  <c r="AG51" i="4"/>
  <c r="AD53" i="4"/>
  <c r="R15" i="220" s="1"/>
  <c r="AD52" i="4"/>
  <c r="AD11" i="178" s="1"/>
  <c r="AD51" i="4"/>
  <c r="AC53" i="4"/>
  <c r="Q15" i="220" s="1"/>
  <c r="AC52" i="4"/>
  <c r="AC11" i="178" s="1"/>
  <c r="AC51" i="4"/>
  <c r="AM58" i="4"/>
  <c r="AM60" i="4" s="1"/>
  <c r="AI58" i="4"/>
  <c r="AI60" i="4" s="1"/>
  <c r="AN59" i="4"/>
  <c r="AN53" i="4"/>
  <c r="AB15" i="220" s="1"/>
  <c r="AN52" i="4"/>
  <c r="AN11" i="178" s="1"/>
  <c r="AN51" i="4"/>
  <c r="AK59" i="4"/>
  <c r="AK53" i="4"/>
  <c r="Y15" i="220" s="1"/>
  <c r="AK52" i="4"/>
  <c r="AK11" i="178" s="1"/>
  <c r="AK51" i="4"/>
  <c r="AJ59" i="4"/>
  <c r="AJ53" i="4"/>
  <c r="X15" i="220" s="1"/>
  <c r="AJ52" i="4"/>
  <c r="AJ11" i="178" s="1"/>
  <c r="AJ51" i="4"/>
  <c r="BA58" i="4"/>
  <c r="BA60" i="4" s="1"/>
  <c r="AW58" i="4"/>
  <c r="AW60" i="4" s="1"/>
  <c r="AW22" i="2" s="1"/>
  <c r="AW27" i="2" s="1"/>
  <c r="AW38" i="2" s="1"/>
  <c r="BB59" i="4"/>
  <c r="AY59" i="4"/>
  <c r="AX59" i="4"/>
  <c r="BB53" i="4"/>
  <c r="BB52" i="4"/>
  <c r="BB51" i="4"/>
  <c r="AY53" i="4"/>
  <c r="AY52" i="4"/>
  <c r="AY51" i="4"/>
  <c r="AX53" i="4"/>
  <c r="AX52" i="4"/>
  <c r="AX51" i="4"/>
  <c r="BH59" i="4"/>
  <c r="BE58" i="4"/>
  <c r="BD58" i="4"/>
  <c r="BD60" i="4" s="1"/>
  <c r="BD22" i="2" s="1"/>
  <c r="BH53" i="4"/>
  <c r="BH52" i="4"/>
  <c r="BH51" i="4"/>
  <c r="BI58" i="11" s="1"/>
  <c r="BV59" i="4"/>
  <c r="BR59" i="4"/>
  <c r="BW53" i="4"/>
  <c r="BW52" i="4"/>
  <c r="BT53" i="4"/>
  <c r="BT45" i="4" s="1"/>
  <c r="BT52" i="4"/>
  <c r="BT44" i="4" s="1"/>
  <c r="BS53" i="4"/>
  <c r="BS45" i="4" s="1"/>
  <c r="BS52" i="4"/>
  <c r="BS44" i="4" s="1"/>
  <c r="BV51" i="4"/>
  <c r="BT51" i="4" s="1"/>
  <c r="BR51" i="4"/>
  <c r="CC58" i="4"/>
  <c r="CC60" i="4" s="1"/>
  <c r="BV22" i="2" s="1"/>
  <c r="BV27" i="2" s="1"/>
  <c r="CA58" i="4"/>
  <c r="CA60" i="4" s="1"/>
  <c r="BT22" i="2" s="1"/>
  <c r="BY58" i="4"/>
  <c r="BY60" i="4" s="1"/>
  <c r="BR22" i="2" s="1"/>
  <c r="CD59" i="4"/>
  <c r="CB59" i="4" s="1"/>
  <c r="BZ59" i="4"/>
  <c r="CD53" i="4"/>
  <c r="BD15" i="220" s="1"/>
  <c r="CD52" i="4"/>
  <c r="CD51" i="4"/>
  <c r="BZ53" i="4"/>
  <c r="BZ52" i="4"/>
  <c r="BL11" i="178" s="1"/>
  <c r="BZ51" i="4"/>
  <c r="BZ43" i="4" s="1"/>
  <c r="BT56" i="11" s="1"/>
  <c r="BT58" i="11" s="1"/>
  <c r="CG59" i="4"/>
  <c r="CJ58" i="4"/>
  <c r="CJ60" i="4" s="1"/>
  <c r="CC22" i="2" s="1"/>
  <c r="CH58" i="4"/>
  <c r="CH60" i="4" s="1"/>
  <c r="CF58" i="4"/>
  <c r="CF60" i="4" s="1"/>
  <c r="CK53" i="4"/>
  <c r="BK15" i="220" s="1"/>
  <c r="CK52" i="4"/>
  <c r="CK51" i="4"/>
  <c r="CI51" i="4" s="1"/>
  <c r="CG53" i="4"/>
  <c r="BG15" i="220" s="1"/>
  <c r="CG52" i="4"/>
  <c r="BS11" i="178" s="1"/>
  <c r="CG51" i="4"/>
  <c r="CO47" i="4"/>
  <c r="CM47" i="4"/>
  <c r="CT47" i="4"/>
  <c r="CV47" i="4"/>
  <c r="CX47" i="4"/>
  <c r="DA47" i="4"/>
  <c r="DC47" i="4"/>
  <c r="DE47" i="4"/>
  <c r="DF47" i="4" s="1"/>
  <c r="CO45" i="4"/>
  <c r="CN45" i="4"/>
  <c r="CM45" i="4"/>
  <c r="CO44" i="4"/>
  <c r="CN44" i="4"/>
  <c r="CM44" i="4"/>
  <c r="CO43" i="4"/>
  <c r="CI56" i="11" s="1"/>
  <c r="CI58" i="11" s="1"/>
  <c r="CN43" i="4"/>
  <c r="CH56" i="11" s="1"/>
  <c r="CH58" i="11" s="1"/>
  <c r="CM43" i="4"/>
  <c r="CG56" i="11" s="1"/>
  <c r="CG58" i="11" s="1"/>
  <c r="CQ59" i="4"/>
  <c r="CR59" i="4" s="1"/>
  <c r="CP59" i="4" s="1"/>
  <c r="CO58" i="4"/>
  <c r="CO60" i="4" s="1"/>
  <c r="CN58" i="4"/>
  <c r="CN60" i="4" s="1"/>
  <c r="CM58" i="4"/>
  <c r="CM60" i="4" s="1"/>
  <c r="CF22" i="2" s="1"/>
  <c r="CQ53" i="4"/>
  <c r="CQ52" i="4"/>
  <c r="CC11" i="178" s="1"/>
  <c r="CQ51" i="4"/>
  <c r="S30" i="4"/>
  <c r="S28" i="4"/>
  <c r="G9" i="220" s="1"/>
  <c r="S27" i="4"/>
  <c r="S7" i="178" s="1"/>
  <c r="S26" i="4"/>
  <c r="T45" i="11" s="1"/>
  <c r="P30" i="4"/>
  <c r="O30" i="4"/>
  <c r="R29" i="4"/>
  <c r="R31" i="4" s="1"/>
  <c r="N29" i="4"/>
  <c r="N31" i="4" s="1"/>
  <c r="P28" i="4"/>
  <c r="D9" i="220" s="1"/>
  <c r="P27" i="4"/>
  <c r="P7" i="178" s="1"/>
  <c r="P26" i="4"/>
  <c r="Q45" i="11" s="1"/>
  <c r="O28" i="4"/>
  <c r="C9" i="220" s="1"/>
  <c r="O27" i="4"/>
  <c r="O7" i="178" s="1"/>
  <c r="O26" i="4"/>
  <c r="P45" i="11" s="1"/>
  <c r="Z30" i="4"/>
  <c r="W30" i="4"/>
  <c r="V30" i="4"/>
  <c r="Y29" i="4"/>
  <c r="Y31" i="4" s="1"/>
  <c r="U29" i="4"/>
  <c r="U31" i="4" s="1"/>
  <c r="Z28" i="4"/>
  <c r="N9" i="220" s="1"/>
  <c r="Z27" i="4"/>
  <c r="Z7" i="178" s="1"/>
  <c r="Z26" i="4"/>
  <c r="AA45" i="11" s="1"/>
  <c r="W28" i="4"/>
  <c r="K9" i="220" s="1"/>
  <c r="W27" i="4"/>
  <c r="W7" i="178" s="1"/>
  <c r="W26" i="4"/>
  <c r="X45" i="11" s="1"/>
  <c r="V28" i="4"/>
  <c r="J9" i="220" s="1"/>
  <c r="V27" i="4"/>
  <c r="V7" i="178" s="1"/>
  <c r="V26" i="4"/>
  <c r="W45" i="11" s="1"/>
  <c r="AG30" i="4"/>
  <c r="AD30" i="4"/>
  <c r="AC30" i="4"/>
  <c r="AG28" i="4"/>
  <c r="U9" i="220" s="1"/>
  <c r="AG27" i="4"/>
  <c r="AG7" i="178" s="1"/>
  <c r="AG26" i="4"/>
  <c r="AH45" i="11" s="1"/>
  <c r="AF29" i="4"/>
  <c r="AF31" i="4" s="1"/>
  <c r="AB29" i="4"/>
  <c r="AB31" i="4" s="1"/>
  <c r="AD28" i="4"/>
  <c r="R9" i="220" s="1"/>
  <c r="AD27" i="4"/>
  <c r="AD7" i="178" s="1"/>
  <c r="AD26" i="4"/>
  <c r="AE45" i="11" s="1"/>
  <c r="AC28" i="4"/>
  <c r="Q9" i="220" s="1"/>
  <c r="AC27" i="4"/>
  <c r="AC7" i="178" s="1"/>
  <c r="AC26" i="4"/>
  <c r="AD45" i="11" s="1"/>
  <c r="AN30" i="4"/>
  <c r="AK30" i="4"/>
  <c r="AJ30" i="4"/>
  <c r="AM29" i="4"/>
  <c r="AM31" i="4" s="1"/>
  <c r="AI29" i="4"/>
  <c r="AI31" i="4" s="1"/>
  <c r="AN28" i="4"/>
  <c r="AB9" i="220" s="1"/>
  <c r="AN27" i="4"/>
  <c r="AN7" i="178" s="1"/>
  <c r="AN26" i="4"/>
  <c r="AO45" i="11" s="1"/>
  <c r="AK28" i="4"/>
  <c r="Y9" i="220" s="1"/>
  <c r="AK27" i="4"/>
  <c r="AK7" i="178" s="1"/>
  <c r="AK26" i="4"/>
  <c r="AL45" i="11" s="1"/>
  <c r="AJ28" i="4"/>
  <c r="X9" i="220" s="1"/>
  <c r="AJ27" i="4"/>
  <c r="AJ7" i="178" s="1"/>
  <c r="AJ26" i="4"/>
  <c r="AK45" i="11" s="1"/>
  <c r="BB30" i="4"/>
  <c r="AY30" i="4"/>
  <c r="AX30" i="4"/>
  <c r="BA29" i="4"/>
  <c r="BA31" i="4" s="1"/>
  <c r="AW29" i="4"/>
  <c r="AW31" i="4" s="1"/>
  <c r="BB28" i="4"/>
  <c r="BB27" i="4"/>
  <c r="BB26" i="4"/>
  <c r="BC45" i="11" s="1"/>
  <c r="AY28" i="4"/>
  <c r="AY27" i="4"/>
  <c r="AY26" i="4"/>
  <c r="AZ45" i="11" s="1"/>
  <c r="AX28" i="4"/>
  <c r="AX27" i="4"/>
  <c r="AX26" i="4"/>
  <c r="AY45" i="11" s="1"/>
  <c r="BH30" i="4"/>
  <c r="BI30" i="4" s="1"/>
  <c r="BE29" i="4"/>
  <c r="BE31" i="4" s="1"/>
  <c r="BD29" i="4"/>
  <c r="BD31" i="4" s="1"/>
  <c r="BH28" i="4"/>
  <c r="BH27" i="4"/>
  <c r="BA7" i="178" s="1"/>
  <c r="BH26" i="4"/>
  <c r="BT30" i="4"/>
  <c r="BS30" i="4"/>
  <c r="BR30" i="4"/>
  <c r="BV28" i="4"/>
  <c r="BV45" i="4" s="1"/>
  <c r="BV27" i="4"/>
  <c r="BT26" i="4"/>
  <c r="BT29" i="4" s="1"/>
  <c r="BS26" i="4"/>
  <c r="BS29" i="4" s="1"/>
  <c r="BR26" i="4"/>
  <c r="BR29" i="4" s="1"/>
  <c r="CC30" i="4"/>
  <c r="CC47" i="4" s="1"/>
  <c r="CD47" i="4" s="1"/>
  <c r="CA29" i="4"/>
  <c r="CA31" i="4" s="1"/>
  <c r="BZ29" i="4"/>
  <c r="BZ31" i="4" s="1"/>
  <c r="BY29" i="4"/>
  <c r="BY31" i="4" s="1"/>
  <c r="CC28" i="4"/>
  <c r="CC27" i="4"/>
  <c r="BO7" i="178" s="1"/>
  <c r="CC26" i="4"/>
  <c r="CK30" i="4"/>
  <c r="CI30" i="4" s="1"/>
  <c r="CG30" i="4"/>
  <c r="CJ29" i="4"/>
  <c r="CJ31" i="4" s="1"/>
  <c r="CH29" i="4"/>
  <c r="CH31" i="4" s="1"/>
  <c r="CF29" i="4"/>
  <c r="CF31" i="4" s="1"/>
  <c r="CK28" i="4"/>
  <c r="CK27" i="4"/>
  <c r="CK26" i="4"/>
  <c r="CE45" i="11" s="1"/>
  <c r="CG28" i="4"/>
  <c r="BG9" i="220" s="1"/>
  <c r="CG27" i="4"/>
  <c r="BS7" i="178" s="1"/>
  <c r="CG26" i="4"/>
  <c r="CA45" i="11" s="1"/>
  <c r="CQ30" i="4"/>
  <c r="CO29" i="4"/>
  <c r="CO31" i="4" s="1"/>
  <c r="CN29" i="4"/>
  <c r="CN31" i="4" s="1"/>
  <c r="CM29" i="4"/>
  <c r="CM31" i="4" s="1"/>
  <c r="CQ28" i="4"/>
  <c r="CQ27" i="4"/>
  <c r="CQ26" i="4"/>
  <c r="CK45" i="11" s="1"/>
  <c r="Y18" i="4"/>
  <c r="U18" i="4"/>
  <c r="Y17" i="4"/>
  <c r="U17" i="4"/>
  <c r="Y16" i="4"/>
  <c r="U16" i="4"/>
  <c r="AF18" i="4"/>
  <c r="AB18" i="4"/>
  <c r="AF17" i="4"/>
  <c r="AB17" i="4"/>
  <c r="AF16" i="4"/>
  <c r="AB16" i="4"/>
  <c r="AM18" i="4"/>
  <c r="AI18" i="4"/>
  <c r="AM17" i="4"/>
  <c r="AI17" i="4"/>
  <c r="AM16" i="4"/>
  <c r="AI16" i="4"/>
  <c r="BD18" i="4"/>
  <c r="BD17" i="4"/>
  <c r="BD16" i="4"/>
  <c r="CA18" i="4"/>
  <c r="BZ18" i="4"/>
  <c r="BY18" i="4"/>
  <c r="CA17" i="4"/>
  <c r="BZ17" i="4"/>
  <c r="BY17" i="4"/>
  <c r="CA16" i="4"/>
  <c r="BZ16" i="4"/>
  <c r="BY16" i="4"/>
  <c r="CH18" i="4"/>
  <c r="CF18" i="4"/>
  <c r="CH17" i="4"/>
  <c r="CF17" i="4"/>
  <c r="CH16" i="4"/>
  <c r="CF16" i="4"/>
  <c r="CO18" i="4"/>
  <c r="CM18" i="4"/>
  <c r="CO17" i="4"/>
  <c r="CM17" i="4"/>
  <c r="CO16" i="4"/>
  <c r="CM16" i="4"/>
  <c r="CS16" i="4"/>
  <c r="CS17" i="4"/>
  <c r="CS18" i="4"/>
  <c r="CV18" i="4"/>
  <c r="CV17" i="4"/>
  <c r="CV16" i="4"/>
  <c r="CT18" i="4"/>
  <c r="CT17" i="4"/>
  <c r="CT16" i="4"/>
  <c r="CF208" i="243"/>
  <c r="CF207" i="243"/>
  <c r="CF205" i="243"/>
  <c r="CF273" i="243"/>
  <c r="CF255" i="243"/>
  <c r="CF251" i="243"/>
  <c r="CF245" i="243"/>
  <c r="CF241" i="243"/>
  <c r="CF240" i="243"/>
  <c r="CF212" i="243"/>
  <c r="CF189" i="243"/>
  <c r="CF174" i="243"/>
  <c r="CF173" i="243"/>
  <c r="CF170" i="243"/>
  <c r="CF164" i="243"/>
  <c r="CF161" i="243"/>
  <c r="CF158" i="243"/>
  <c r="CF152" i="243"/>
  <c r="S12" i="4"/>
  <c r="P12" i="4"/>
  <c r="O12" i="4"/>
  <c r="R11" i="4"/>
  <c r="R13" i="4" s="1"/>
  <c r="R8" i="2" s="1"/>
  <c r="R10" i="2" s="1"/>
  <c r="R11" i="2" s="1"/>
  <c r="N11" i="4"/>
  <c r="N13" i="4" s="1"/>
  <c r="N8" i="2" s="1"/>
  <c r="N10" i="2" s="1"/>
  <c r="N11" i="2" s="1"/>
  <c r="S6" i="4"/>
  <c r="G4" i="220" s="1"/>
  <c r="G28" i="220" s="1"/>
  <c r="G73" i="220" s="1"/>
  <c r="S5" i="4"/>
  <c r="S4" i="178" s="1"/>
  <c r="S24" i="178" s="1"/>
  <c r="S68" i="178" s="1"/>
  <c r="S4" i="4"/>
  <c r="T11" i="11" s="1"/>
  <c r="P6" i="4"/>
  <c r="D4" i="220" s="1"/>
  <c r="P5" i="4"/>
  <c r="P4" i="178" s="1"/>
  <c r="P24" i="178" s="1"/>
  <c r="P4" i="4"/>
  <c r="Q11" i="11" s="1"/>
  <c r="O6" i="4"/>
  <c r="C4" i="220" s="1"/>
  <c r="C28" i="220" s="1"/>
  <c r="C73" i="220" s="1"/>
  <c r="O5" i="4"/>
  <c r="O4" i="178" s="1"/>
  <c r="O24" i="178" s="1"/>
  <c r="O4" i="4"/>
  <c r="P11" i="11" s="1"/>
  <c r="W12" i="4"/>
  <c r="V12" i="4"/>
  <c r="Y11" i="4"/>
  <c r="Y13" i="4" s="1"/>
  <c r="U11" i="4"/>
  <c r="U13" i="4" s="1"/>
  <c r="Z6" i="4"/>
  <c r="N4" i="220" s="1"/>
  <c r="Z5" i="4"/>
  <c r="Z4" i="178" s="1"/>
  <c r="Z4" i="4"/>
  <c r="W6" i="4"/>
  <c r="K4" i="220" s="1"/>
  <c r="K28" i="220" s="1"/>
  <c r="W5" i="4"/>
  <c r="W4" i="178" s="1"/>
  <c r="W4" i="4"/>
  <c r="V6" i="4"/>
  <c r="J4" i="220" s="1"/>
  <c r="V5" i="4"/>
  <c r="V4" i="178" s="1"/>
  <c r="V4" i="4"/>
  <c r="AF12" i="4"/>
  <c r="AC12" i="4" s="1"/>
  <c r="AF11" i="4"/>
  <c r="AB11" i="4"/>
  <c r="AB13" i="4" s="1"/>
  <c r="AD6" i="4"/>
  <c r="R4" i="220" s="1"/>
  <c r="AD5" i="4"/>
  <c r="AD4" i="178" s="1"/>
  <c r="AD4" i="4"/>
  <c r="AG6" i="4"/>
  <c r="U4" i="220" s="1"/>
  <c r="AG5" i="4"/>
  <c r="AG4" i="178" s="1"/>
  <c r="AG4" i="4"/>
  <c r="AC6" i="4"/>
  <c r="AC5" i="4"/>
  <c r="AC4" i="178" s="1"/>
  <c r="AC4" i="4"/>
  <c r="AM12" i="4"/>
  <c r="AK12" i="4" s="1"/>
  <c r="AM11" i="4"/>
  <c r="AI11" i="4"/>
  <c r="AI13" i="4" s="1"/>
  <c r="AK6" i="4"/>
  <c r="AK5" i="4"/>
  <c r="AK4" i="4"/>
  <c r="AN6" i="4"/>
  <c r="AB4" i="220" s="1"/>
  <c r="AN5" i="4"/>
  <c r="AN4" i="178" s="1"/>
  <c r="AN4" i="4"/>
  <c r="AJ6" i="4"/>
  <c r="X4" i="220" s="1"/>
  <c r="AJ5" i="4"/>
  <c r="AJ4" i="178" s="1"/>
  <c r="AJ4" i="4"/>
  <c r="BA11" i="4"/>
  <c r="BA13" i="4" s="1"/>
  <c r="AW11" i="4"/>
  <c r="AW13" i="4" s="1"/>
  <c r="AY12" i="4"/>
  <c r="BB12" i="4"/>
  <c r="AX12" i="4"/>
  <c r="AY6" i="4"/>
  <c r="AY5" i="4"/>
  <c r="AY4" i="4"/>
  <c r="BB6" i="4"/>
  <c r="BB5" i="4"/>
  <c r="BB4" i="4"/>
  <c r="AX6" i="4"/>
  <c r="AX5" i="4"/>
  <c r="AX4" i="4"/>
  <c r="BE11" i="4"/>
  <c r="BE13" i="4" s="1"/>
  <c r="BD11" i="4"/>
  <c r="BD13" i="4" s="1"/>
  <c r="BH12" i="4"/>
  <c r="BI12" i="4" s="1"/>
  <c r="BH6" i="4"/>
  <c r="BH5" i="4"/>
  <c r="BH4" i="4"/>
  <c r="BI11" i="11" s="1"/>
  <c r="BT11" i="4"/>
  <c r="BT13" i="4" s="1"/>
  <c r="BS11" i="4"/>
  <c r="BS13" i="4" s="1"/>
  <c r="BR11" i="4"/>
  <c r="BR13" i="4" s="1"/>
  <c r="BV12" i="4"/>
  <c r="BW12" i="4" s="1"/>
  <c r="BU12" i="4" s="1"/>
  <c r="BV6" i="4"/>
  <c r="BV5" i="4"/>
  <c r="BV4" i="4"/>
  <c r="CC12" i="4"/>
  <c r="CD12" i="4" s="1"/>
  <c r="CB12" i="4" s="1"/>
  <c r="CA11" i="4"/>
  <c r="CA13" i="4" s="1"/>
  <c r="BZ11" i="4"/>
  <c r="BZ13" i="4" s="1"/>
  <c r="BY11" i="4"/>
  <c r="BY13" i="4" s="1"/>
  <c r="BR154" i="243" s="1"/>
  <c r="CC6" i="4"/>
  <c r="CC5" i="4"/>
  <c r="CC4" i="4"/>
  <c r="BW11" i="11" s="1"/>
  <c r="CJ11" i="4"/>
  <c r="CJ13" i="4" s="1"/>
  <c r="CH11" i="4"/>
  <c r="CH13" i="4" s="1"/>
  <c r="CF11" i="4"/>
  <c r="CF13" i="4" s="1"/>
  <c r="CK12" i="4"/>
  <c r="CI12" i="4" s="1"/>
  <c r="CG12" i="4"/>
  <c r="CK6" i="4"/>
  <c r="BK4" i="220" s="1"/>
  <c r="CK5" i="4"/>
  <c r="CK4" i="4"/>
  <c r="CG6" i="4"/>
  <c r="BG4" i="220" s="1"/>
  <c r="CG5" i="4"/>
  <c r="BS4" i="178" s="1"/>
  <c r="CG4" i="4"/>
  <c r="CA11" i="11" s="1"/>
  <c r="CQ12" i="4"/>
  <c r="CR12" i="4" s="1"/>
  <c r="CP12" i="4" s="1"/>
  <c r="CO11" i="4"/>
  <c r="CO13" i="4" s="1"/>
  <c r="CN11" i="4"/>
  <c r="CN13" i="4" s="1"/>
  <c r="CM11" i="4"/>
  <c r="CM13" i="4" s="1"/>
  <c r="CF8" i="2" s="1"/>
  <c r="CQ6" i="4"/>
  <c r="CQ5" i="4"/>
  <c r="CC4" i="178" s="1"/>
  <c r="CQ4" i="4"/>
  <c r="CK11" i="11" s="1"/>
  <c r="CF53" i="243"/>
  <c r="CF56" i="243" s="1"/>
  <c r="CF37" i="243"/>
  <c r="CF45" i="243" s="1"/>
  <c r="CF19" i="243"/>
  <c r="CF21" i="243" s="1"/>
  <c r="CF9" i="243"/>
  <c r="CF10" i="243" s="1"/>
  <c r="CF167" i="243" s="1"/>
  <c r="CF49" i="243"/>
  <c r="CF34" i="243"/>
  <c r="CF178" i="243" s="1"/>
  <c r="CF24" i="243"/>
  <c r="CF84" i="242"/>
  <c r="CF83" i="242"/>
  <c r="CF81" i="242"/>
  <c r="CF80" i="242"/>
  <c r="CF38" i="242"/>
  <c r="CF25" i="242"/>
  <c r="CG25" i="242" s="1"/>
  <c r="CH25" i="242" s="1"/>
  <c r="CF23" i="242"/>
  <c r="CG10" i="242"/>
  <c r="CH10" i="242" s="1"/>
  <c r="CF54" i="242"/>
  <c r="CF46" i="242"/>
  <c r="CF50" i="242" s="1"/>
  <c r="CG50" i="242" s="1"/>
  <c r="CF4" i="242"/>
  <c r="CR210" i="243"/>
  <c r="CP210" i="243" s="1"/>
  <c r="CR209" i="243"/>
  <c r="CP209" i="243" s="1"/>
  <c r="CR208" i="243"/>
  <c r="CP208" i="243" s="1"/>
  <c r="CR207" i="243"/>
  <c r="CP207" i="243" s="1"/>
  <c r="CR206" i="243"/>
  <c r="CP206" i="243" s="1"/>
  <c r="CR205" i="243"/>
  <c r="CP205" i="243" s="1"/>
  <c r="CR204" i="243"/>
  <c r="CR55" i="243"/>
  <c r="CP55" i="243" s="1"/>
  <c r="CR54" i="243"/>
  <c r="CP54" i="243" s="1"/>
  <c r="CR52" i="243"/>
  <c r="CP52" i="243" s="1"/>
  <c r="CR51" i="243"/>
  <c r="CR44" i="243"/>
  <c r="CP44" i="243" s="1"/>
  <c r="CR43" i="243"/>
  <c r="CP43" i="243" s="1"/>
  <c r="CR42" i="243"/>
  <c r="CP42" i="243" s="1"/>
  <c r="CR41" i="243"/>
  <c r="CR273" i="243" s="1"/>
  <c r="CR40" i="243"/>
  <c r="CR174" i="243" s="1"/>
  <c r="CR39" i="243"/>
  <c r="CR251" i="243" s="1"/>
  <c r="CR38" i="243"/>
  <c r="CR84" i="242" s="1"/>
  <c r="CR33" i="243"/>
  <c r="CP33" i="243" s="1"/>
  <c r="CR32" i="243"/>
  <c r="CP32" i="243" s="1"/>
  <c r="CR31" i="243"/>
  <c r="CP31" i="243" s="1"/>
  <c r="CR30" i="243"/>
  <c r="CR173" i="243" s="1"/>
  <c r="CR29" i="243"/>
  <c r="CR170" i="243" s="1"/>
  <c r="CR28" i="243"/>
  <c r="CP28" i="243" s="1"/>
  <c r="CP83" i="242" s="1"/>
  <c r="CR27" i="243"/>
  <c r="CP27" i="243" s="1"/>
  <c r="CR20" i="243"/>
  <c r="CP20" i="243" s="1"/>
  <c r="CR18" i="243"/>
  <c r="CP18" i="243" s="1"/>
  <c r="CR17" i="243"/>
  <c r="CP17" i="243" s="1"/>
  <c r="CR16" i="243"/>
  <c r="CP16" i="243" s="1"/>
  <c r="CR15" i="243"/>
  <c r="CP15" i="243" s="1"/>
  <c r="CR14" i="243"/>
  <c r="CP14" i="243" s="1"/>
  <c r="CR13" i="243"/>
  <c r="CP13" i="243" s="1"/>
  <c r="CR8" i="243"/>
  <c r="CR164" i="243" s="1"/>
  <c r="CR7" i="243"/>
  <c r="CR80" i="242" s="1"/>
  <c r="CR6" i="243"/>
  <c r="CP6" i="243" s="1"/>
  <c r="CR5" i="243"/>
  <c r="CP5" i="243" s="1"/>
  <c r="CR4" i="243"/>
  <c r="CP4" i="243" s="1"/>
  <c r="CP161" i="243" s="1"/>
  <c r="CR3" i="243"/>
  <c r="CR158" i="243" s="1"/>
  <c r="CR85" i="242"/>
  <c r="CP85" i="242" s="1"/>
  <c r="CR59" i="242"/>
  <c r="CR57" i="242"/>
  <c r="CR48" i="242"/>
  <c r="CP48" i="242" s="1"/>
  <c r="CR40" i="242"/>
  <c r="CR37" i="242"/>
  <c r="CR36" i="242"/>
  <c r="CR35" i="242"/>
  <c r="CR34" i="242"/>
  <c r="CR30" i="242"/>
  <c r="CR29" i="242"/>
  <c r="CR27" i="242"/>
  <c r="CR26" i="242"/>
  <c r="CR54" i="242" s="1"/>
  <c r="CR24" i="242"/>
  <c r="CR7" i="242"/>
  <c r="CR5" i="242"/>
  <c r="CO208" i="243"/>
  <c r="CO207" i="243"/>
  <c r="CO205" i="243"/>
  <c r="CO204" i="243"/>
  <c r="CO273" i="243"/>
  <c r="CO255" i="243"/>
  <c r="CO251" i="243"/>
  <c r="CO245" i="243"/>
  <c r="CO241" i="243"/>
  <c r="CO240" i="243"/>
  <c r="CO212" i="243"/>
  <c r="CO174" i="243"/>
  <c r="CO173" i="243"/>
  <c r="CO170" i="243"/>
  <c r="CO164" i="243"/>
  <c r="CO161" i="243"/>
  <c r="CO158" i="243"/>
  <c r="CO152" i="243"/>
  <c r="CO53" i="243"/>
  <c r="CO56" i="243" s="1"/>
  <c r="CO37" i="243"/>
  <c r="CO256" i="243" s="1"/>
  <c r="CO35" i="243"/>
  <c r="CO49" i="243" s="1"/>
  <c r="CO19" i="243"/>
  <c r="CO21" i="243" s="1"/>
  <c r="CO11" i="243"/>
  <c r="CO24" i="243" s="1"/>
  <c r="CO9" i="243"/>
  <c r="CO84" i="242"/>
  <c r="CO83" i="242"/>
  <c r="CO81" i="242"/>
  <c r="CO80" i="242"/>
  <c r="CO4" i="242"/>
  <c r="CM255" i="243"/>
  <c r="CM251" i="243"/>
  <c r="CN210" i="243"/>
  <c r="CN209" i="243"/>
  <c r="CN206" i="243"/>
  <c r="CN204" i="243"/>
  <c r="CN55" i="243"/>
  <c r="CN54" i="243"/>
  <c r="CN52" i="243"/>
  <c r="CN51" i="243"/>
  <c r="CN44" i="243"/>
  <c r="CN43" i="243"/>
  <c r="CN42" i="243"/>
  <c r="CN41" i="243"/>
  <c r="CN273" i="243" s="1"/>
  <c r="CN40" i="243"/>
  <c r="CN174" i="243" s="1"/>
  <c r="CN39" i="243"/>
  <c r="CN251" i="243" s="1"/>
  <c r="CN38" i="243"/>
  <c r="CN84" i="242" s="1"/>
  <c r="CN33" i="243"/>
  <c r="CN32" i="243"/>
  <c r="CN31" i="243"/>
  <c r="CN30" i="243"/>
  <c r="CN173" i="243" s="1"/>
  <c r="CN29" i="243"/>
  <c r="CN170" i="243" s="1"/>
  <c r="CN28" i="243"/>
  <c r="CN83" i="242" s="1"/>
  <c r="CN27" i="243"/>
  <c r="CN20" i="243"/>
  <c r="CN18" i="243"/>
  <c r="CN17" i="243"/>
  <c r="CN16" i="243"/>
  <c r="CN15" i="243"/>
  <c r="CN14" i="243"/>
  <c r="CN13" i="243"/>
  <c r="CN8" i="243"/>
  <c r="CN164" i="243" s="1"/>
  <c r="CN7" i="243"/>
  <c r="CN80" i="242" s="1"/>
  <c r="CN6" i="243"/>
  <c r="CN5" i="243"/>
  <c r="CN4" i="243"/>
  <c r="CN161" i="243" s="1"/>
  <c r="CN3" i="243"/>
  <c r="CN158" i="243" s="1"/>
  <c r="CN85" i="242"/>
  <c r="CN59" i="242"/>
  <c r="CO59" i="242" s="1"/>
  <c r="CN57" i="242"/>
  <c r="CO57" i="242" s="1"/>
  <c r="CN40" i="242"/>
  <c r="CO40" i="242" s="1"/>
  <c r="CN37" i="242"/>
  <c r="CO37" i="242" s="1"/>
  <c r="CN36" i="242"/>
  <c r="CO36" i="242" s="1"/>
  <c r="CN35" i="242"/>
  <c r="CO35" i="242" s="1"/>
  <c r="CN34" i="242"/>
  <c r="CN33" i="242"/>
  <c r="CO33" i="242" s="1"/>
  <c r="CN30" i="242"/>
  <c r="CO30" i="242" s="1"/>
  <c r="CN29" i="242"/>
  <c r="CO29" i="242" s="1"/>
  <c r="CN28" i="242"/>
  <c r="CO28" i="242" s="1"/>
  <c r="CN27" i="242"/>
  <c r="CO27" i="242" s="1"/>
  <c r="CN26" i="242"/>
  <c r="CN54" i="242" s="1"/>
  <c r="CN24" i="242"/>
  <c r="CO24" i="242" s="1"/>
  <c r="CN20" i="242"/>
  <c r="CN46" i="242" s="1"/>
  <c r="CN8" i="242"/>
  <c r="CO8" i="242" s="1"/>
  <c r="CN7" i="242"/>
  <c r="CO7" i="242" s="1"/>
  <c r="CN6" i="242"/>
  <c r="CO6" i="242" s="1"/>
  <c r="CN5" i="242"/>
  <c r="CO5" i="242" s="1"/>
  <c r="CQ273" i="243"/>
  <c r="CQ255" i="243"/>
  <c r="CQ251" i="243"/>
  <c r="CQ245" i="243"/>
  <c r="CQ241" i="243"/>
  <c r="CQ240" i="243"/>
  <c r="CQ208" i="243"/>
  <c r="CN208" i="243" s="1"/>
  <c r="CQ207" i="243"/>
  <c r="CN207" i="243" s="1"/>
  <c r="CQ205" i="243"/>
  <c r="CN205" i="243" s="1"/>
  <c r="CQ212" i="243"/>
  <c r="CQ189" i="243"/>
  <c r="CQ174" i="243"/>
  <c r="CQ173" i="243"/>
  <c r="CQ170" i="243"/>
  <c r="CQ164" i="243"/>
  <c r="CQ161" i="243"/>
  <c r="CQ158" i="243"/>
  <c r="CQ152" i="243"/>
  <c r="CQ53" i="243"/>
  <c r="CN53" i="243" s="1"/>
  <c r="CQ37" i="243"/>
  <c r="CQ45" i="243" s="1"/>
  <c r="CN45" i="243" s="1"/>
  <c r="CQ35" i="243"/>
  <c r="CQ49" i="243" s="1"/>
  <c r="CQ19" i="243"/>
  <c r="CQ21" i="243" s="1"/>
  <c r="CN21" i="243" s="1"/>
  <c r="CQ11" i="243"/>
  <c r="CQ9" i="243"/>
  <c r="CN9" i="243" s="1"/>
  <c r="CQ84" i="242"/>
  <c r="CQ83" i="242"/>
  <c r="CQ81" i="242"/>
  <c r="CQ80" i="242"/>
  <c r="CQ54" i="242"/>
  <c r="CQ46" i="242"/>
  <c r="CQ50" i="242" s="1"/>
  <c r="CQ38" i="242"/>
  <c r="CQ25" i="242"/>
  <c r="CQ23" i="242"/>
  <c r="CQ9" i="242"/>
  <c r="CQ4" i="242"/>
  <c r="BZ59" i="243" l="1"/>
  <c r="DD47" i="4"/>
  <c r="DD48" i="4" s="1"/>
  <c r="CW54" i="2" s="1"/>
  <c r="DF48" i="4"/>
  <c r="CY54" i="2" s="1"/>
  <c r="AJ39" i="4"/>
  <c r="AK39" i="4" s="1"/>
  <c r="AK40" i="4" s="1"/>
  <c r="BE39" i="4"/>
  <c r="BF39" i="4" s="1"/>
  <c r="CM206" i="4"/>
  <c r="CM208" i="4" s="1"/>
  <c r="BZ39" i="4"/>
  <c r="CA39" i="4" s="1"/>
  <c r="CA40" i="4" s="1"/>
  <c r="CQ10" i="243"/>
  <c r="CN10" i="243" s="1"/>
  <c r="CN167" i="243" s="1"/>
  <c r="CN185" i="243" s="1"/>
  <c r="CQ24" i="243"/>
  <c r="CQ34" i="243"/>
  <c r="CN34" i="243" s="1"/>
  <c r="CN178" i="243" s="1"/>
  <c r="CN186" i="243" s="1"/>
  <c r="AC40" i="4"/>
  <c r="EA18" i="243"/>
  <c r="DY18" i="243" s="1"/>
  <c r="CG39" i="4"/>
  <c r="CH39" i="4" s="1"/>
  <c r="CH40" i="4" s="1"/>
  <c r="V8" i="178"/>
  <c r="CN206" i="4"/>
  <c r="CN208" i="4" s="1"/>
  <c r="CF211" i="243"/>
  <c r="CF213" i="243" s="1"/>
  <c r="O12" i="178"/>
  <c r="BW117" i="11"/>
  <c r="CK112" i="11"/>
  <c r="CK129" i="11"/>
  <c r="CN39" i="4"/>
  <c r="CO39" i="4" s="1"/>
  <c r="CO40" i="4" s="1"/>
  <c r="AQ39" i="4"/>
  <c r="AR39" i="4" s="1"/>
  <c r="BS39" i="4"/>
  <c r="BT39" i="4" s="1"/>
  <c r="BT40" i="4" s="1"/>
  <c r="EG18" i="243"/>
  <c r="ED18" i="243" s="1"/>
  <c r="EE18" i="243" s="1"/>
  <c r="AJ8" i="178"/>
  <c r="BB117" i="11"/>
  <c r="BI143" i="11"/>
  <c r="BI74" i="11" s="1"/>
  <c r="BP112" i="11"/>
  <c r="EI18" i="243"/>
  <c r="EH18" i="243" s="1"/>
  <c r="EF18" i="243" s="1"/>
  <c r="BV18" i="4"/>
  <c r="BB18" i="4"/>
  <c r="P46" i="11"/>
  <c r="BG16" i="220"/>
  <c r="BC112" i="11"/>
  <c r="CN19" i="243"/>
  <c r="CN22" i="243" s="1"/>
  <c r="CQ56" i="243"/>
  <c r="CQ58" i="243" s="1"/>
  <c r="CQ211" i="243"/>
  <c r="CQ213" i="243" s="1"/>
  <c r="CO10" i="243"/>
  <c r="CO167" i="243" s="1"/>
  <c r="CP36" i="4"/>
  <c r="BH40" i="4"/>
  <c r="Q46" i="11"/>
  <c r="P12" i="178"/>
  <c r="G16" i="220"/>
  <c r="CA12" i="11"/>
  <c r="CH12" i="11"/>
  <c r="CA14" i="11"/>
  <c r="CA15" i="11"/>
  <c r="BA8" i="2"/>
  <c r="BA10" i="2" s="1"/>
  <c r="BA11" i="2" s="1"/>
  <c r="AZ47" i="11"/>
  <c r="CK12" i="11"/>
  <c r="CK5" i="11"/>
  <c r="CH5" i="11" s="1"/>
  <c r="CH14" i="11" s="1"/>
  <c r="CK43" i="11"/>
  <c r="CK9" i="11"/>
  <c r="CH9" i="11" s="1"/>
  <c r="CH15" i="11" s="1"/>
  <c r="BE18" i="4"/>
  <c r="AX18" i="4"/>
  <c r="AJ152" i="243"/>
  <c r="AK11" i="11"/>
  <c r="AK46" i="11" s="1"/>
  <c r="AC152" i="243"/>
  <c r="AD11" i="11"/>
  <c r="AD43" i="11" s="1"/>
  <c r="R28" i="220"/>
  <c r="R5" i="220"/>
  <c r="V152" i="243"/>
  <c r="W11" i="11"/>
  <c r="W43" i="11" s="1"/>
  <c r="CI27" i="4"/>
  <c r="BU7" i="178" s="1"/>
  <c r="BW7" i="178"/>
  <c r="AY47" i="11"/>
  <c r="BF47" i="11"/>
  <c r="AD47" i="11"/>
  <c r="AH47" i="11"/>
  <c r="CB52" i="4"/>
  <c r="BN11" i="178" s="1"/>
  <c r="BP11" i="178"/>
  <c r="R16" i="220"/>
  <c r="R14" i="220"/>
  <c r="BP6" i="4"/>
  <c r="AV4" i="220"/>
  <c r="BO18" i="4"/>
  <c r="BH129" i="11"/>
  <c r="BH143" i="11" s="1"/>
  <c r="BH74" i="11" s="1"/>
  <c r="BH87" i="11"/>
  <c r="BL87" i="11"/>
  <c r="BL129" i="11"/>
  <c r="BL143" i="11" s="1"/>
  <c r="BL74" i="11" s="1"/>
  <c r="CA43" i="11"/>
  <c r="BK19" i="220"/>
  <c r="AJ15" i="178"/>
  <c r="AG15" i="178"/>
  <c r="W15" i="178"/>
  <c r="K19" i="220"/>
  <c r="Q43" i="11"/>
  <c r="S15" i="178"/>
  <c r="BE12" i="178"/>
  <c r="BE10" i="178"/>
  <c r="BP27" i="4"/>
  <c r="BP44" i="4" s="1"/>
  <c r="BH7" i="178"/>
  <c r="BF12" i="178"/>
  <c r="BF10" i="178"/>
  <c r="AQ59" i="11"/>
  <c r="AQ60" i="11"/>
  <c r="BE60" i="11"/>
  <c r="AS5" i="4"/>
  <c r="AU4" i="178"/>
  <c r="AU17" i="4"/>
  <c r="AQ4" i="178"/>
  <c r="AQ12" i="178" s="1"/>
  <c r="AQ17" i="4"/>
  <c r="AS27" i="4"/>
  <c r="AS7" i="178" s="1"/>
  <c r="AU7" i="178"/>
  <c r="AR47" i="11"/>
  <c r="BI60" i="11"/>
  <c r="AU60" i="11"/>
  <c r="AU59" i="11"/>
  <c r="AN152" i="243"/>
  <c r="AO11" i="11"/>
  <c r="AD24" i="178"/>
  <c r="AD5" i="178"/>
  <c r="Z24" i="178"/>
  <c r="Z5" i="178"/>
  <c r="BS24" i="178"/>
  <c r="BS5" i="178"/>
  <c r="BZ5" i="178"/>
  <c r="CD6" i="4"/>
  <c r="BD4" i="220" s="1"/>
  <c r="BD19" i="220" s="1"/>
  <c r="BC4" i="220"/>
  <c r="BI9" i="11"/>
  <c r="BF9" i="11" s="1"/>
  <c r="BF15" i="11" s="1"/>
  <c r="BI5" i="11"/>
  <c r="BF5" i="11" s="1"/>
  <c r="BF14" i="11" s="1"/>
  <c r="BI12" i="11"/>
  <c r="BI43" i="11"/>
  <c r="AY16" i="4"/>
  <c r="AZ11" i="11"/>
  <c r="AZ46" i="11" s="1"/>
  <c r="Y4" i="220"/>
  <c r="Y16" i="220" s="1"/>
  <c r="AR18" i="4"/>
  <c r="W5" i="178"/>
  <c r="W24" i="178"/>
  <c r="W25" i="178" s="1"/>
  <c r="BO10" i="178"/>
  <c r="BI28" i="4"/>
  <c r="AP9" i="220" s="1"/>
  <c r="AO9" i="220"/>
  <c r="AO47" i="11"/>
  <c r="AD8" i="178"/>
  <c r="AA47" i="11"/>
  <c r="AA58" i="11"/>
  <c r="P10" i="178"/>
  <c r="P8" i="178"/>
  <c r="D16" i="220"/>
  <c r="D14" i="220"/>
  <c r="CC24" i="178"/>
  <c r="CC5" i="178"/>
  <c r="CC15" i="178"/>
  <c r="BG5" i="220"/>
  <c r="BG28" i="220"/>
  <c r="BG7" i="220"/>
  <c r="BN5" i="220"/>
  <c r="BN7" i="220"/>
  <c r="BO152" i="243"/>
  <c r="BP11" i="11"/>
  <c r="BW12" i="11" s="1"/>
  <c r="BV16" i="4"/>
  <c r="BK154" i="243"/>
  <c r="BK168" i="243" s="1"/>
  <c r="BR23" i="4"/>
  <c r="BI5" i="4"/>
  <c r="BB4" i="178" s="1"/>
  <c r="BB15" i="178" s="1"/>
  <c r="BA4" i="178"/>
  <c r="BB16" i="4"/>
  <c r="BC11" i="11"/>
  <c r="BC43" i="11" s="1"/>
  <c r="AY17" i="4"/>
  <c r="AJ24" i="178"/>
  <c r="AJ5" i="178"/>
  <c r="AB5" i="220"/>
  <c r="AB7" i="220"/>
  <c r="AB28" i="220"/>
  <c r="AC24" i="178"/>
  <c r="AC5" i="178"/>
  <c r="U28" i="220"/>
  <c r="U5" i="220"/>
  <c r="V24" i="178"/>
  <c r="V5" i="178"/>
  <c r="K43" i="220"/>
  <c r="K31" i="220"/>
  <c r="K34" i="220" s="1"/>
  <c r="K44" i="220"/>
  <c r="K40" i="220"/>
  <c r="K73" i="220"/>
  <c r="K45" i="220"/>
  <c r="K41" i="220"/>
  <c r="K46" i="220"/>
  <c r="K42" i="220"/>
  <c r="P14" i="11"/>
  <c r="P15" i="11"/>
  <c r="P68" i="178"/>
  <c r="P27" i="178"/>
  <c r="P42" i="178"/>
  <c r="P40" i="178"/>
  <c r="CK47" i="11"/>
  <c r="CK46" i="11"/>
  <c r="BS8" i="178"/>
  <c r="CI28" i="4"/>
  <c r="BI9" i="220" s="1"/>
  <c r="BK9" i="220"/>
  <c r="CC45" i="4"/>
  <c r="BC9" i="220"/>
  <c r="AL47" i="11"/>
  <c r="AS47" i="11"/>
  <c r="AN8" i="178"/>
  <c r="AC8" i="178"/>
  <c r="R10" i="220"/>
  <c r="R75" i="220"/>
  <c r="AG10" i="178"/>
  <c r="AG8" i="178"/>
  <c r="X47" i="11"/>
  <c r="Z8" i="178"/>
  <c r="O10" i="178"/>
  <c r="O8" i="178"/>
  <c r="D10" i="220"/>
  <c r="D75" i="220"/>
  <c r="CG59" i="11"/>
  <c r="CG60" i="11"/>
  <c r="BL12" i="178"/>
  <c r="BL10" i="178"/>
  <c r="BI59" i="11"/>
  <c r="Q14" i="220"/>
  <c r="W12" i="178"/>
  <c r="C16" i="220"/>
  <c r="BZ60" i="11"/>
  <c r="BZ59" i="11"/>
  <c r="BS59" i="11"/>
  <c r="BS60" i="11"/>
  <c r="BK8" i="2"/>
  <c r="BK274" i="243" s="1"/>
  <c r="BK23" i="4"/>
  <c r="BB112" i="11"/>
  <c r="BE129" i="11"/>
  <c r="BE143" i="11" s="1"/>
  <c r="BE74" i="11" s="1"/>
  <c r="BE87" i="11"/>
  <c r="BP117" i="11"/>
  <c r="BM129" i="11"/>
  <c r="BM143" i="11" s="1"/>
  <c r="BM74" i="11" s="1"/>
  <c r="BM87" i="11"/>
  <c r="BW112" i="11"/>
  <c r="BW119" i="11" s="1"/>
  <c r="BW129" i="11"/>
  <c r="BS15" i="178"/>
  <c r="X19" i="220"/>
  <c r="AD15" i="178"/>
  <c r="U19" i="220"/>
  <c r="P43" i="11"/>
  <c r="P15" i="178"/>
  <c r="G19" i="220"/>
  <c r="BL45" i="4"/>
  <c r="BL46" i="4" s="1"/>
  <c r="AS15" i="220"/>
  <c r="BO45" i="4"/>
  <c r="AV9" i="220"/>
  <c r="AT16" i="220"/>
  <c r="AT14" i="220"/>
  <c r="AS6" i="4"/>
  <c r="AI4" i="220"/>
  <c r="AI16" i="220" s="1"/>
  <c r="AU18" i="4"/>
  <c r="AE4" i="220"/>
  <c r="AE10" i="220" s="1"/>
  <c r="AQ18" i="4"/>
  <c r="AS28" i="4"/>
  <c r="AG9" i="220" s="1"/>
  <c r="AI9" i="220"/>
  <c r="AI14" i="220" s="1"/>
  <c r="AS52" i="4"/>
  <c r="AS11" i="178" s="1"/>
  <c r="AU11" i="178"/>
  <c r="AR154" i="243"/>
  <c r="AR179" i="243" s="1"/>
  <c r="CI5" i="4"/>
  <c r="BU4" i="178" s="1"/>
  <c r="BW4" i="178"/>
  <c r="BW15" i="178" s="1"/>
  <c r="CD5" i="4"/>
  <c r="BP4" i="178" s="1"/>
  <c r="BP15" i="178" s="1"/>
  <c r="BO4" i="178"/>
  <c r="BM154" i="243"/>
  <c r="BM168" i="243" s="1"/>
  <c r="BE17" i="4"/>
  <c r="AX17" i="4"/>
  <c r="AK4" i="178"/>
  <c r="AK12" i="178" s="1"/>
  <c r="AR17" i="4"/>
  <c r="AG152" i="243"/>
  <c r="AH11" i="11"/>
  <c r="AH43" i="11" s="1"/>
  <c r="W152" i="243"/>
  <c r="X11" i="11"/>
  <c r="X43" i="11" s="1"/>
  <c r="Y75" i="220"/>
  <c r="BK28" i="220"/>
  <c r="AN24" i="178"/>
  <c r="AN5" i="178"/>
  <c r="AG24" i="178"/>
  <c r="AG5" i="178"/>
  <c r="N5" i="220"/>
  <c r="N28" i="220"/>
  <c r="Q5" i="11"/>
  <c r="Q9" i="11"/>
  <c r="CA47" i="11"/>
  <c r="CH47" i="11"/>
  <c r="CA46" i="11"/>
  <c r="X75" i="220"/>
  <c r="X10" i="220"/>
  <c r="J75" i="220"/>
  <c r="J10" i="220"/>
  <c r="G14" i="220"/>
  <c r="G75" i="220"/>
  <c r="G76" i="220" s="1"/>
  <c r="G10" i="220"/>
  <c r="CR53" i="4"/>
  <c r="BR15" i="220" s="1"/>
  <c r="BQ15" i="220"/>
  <c r="BT59" i="11"/>
  <c r="BT60" i="11"/>
  <c r="AC12" i="178"/>
  <c r="AC10" i="178"/>
  <c r="CR6" i="4"/>
  <c r="BR4" i="220" s="1"/>
  <c r="BR19" i="220" s="1"/>
  <c r="BQ4" i="220"/>
  <c r="CD152" i="243"/>
  <c r="CE11" i="11"/>
  <c r="CE46" i="11" s="1"/>
  <c r="BW9" i="11"/>
  <c r="BT9" i="11" s="1"/>
  <c r="BT15" i="11" s="1"/>
  <c r="BW5" i="11"/>
  <c r="BT5" i="11" s="1"/>
  <c r="BT14" i="11" s="1"/>
  <c r="CD12" i="11"/>
  <c r="BW43" i="11"/>
  <c r="BV17" i="4"/>
  <c r="BL154" i="243"/>
  <c r="BL162" i="243" s="1"/>
  <c r="BS23" i="4"/>
  <c r="BF6" i="4"/>
  <c r="BF18" i="4" s="1"/>
  <c r="AO4" i="220"/>
  <c r="BE16" i="4"/>
  <c r="AX16" i="4"/>
  <c r="AY11" i="11"/>
  <c r="AY46" i="11" s="1"/>
  <c r="BB17" i="4"/>
  <c r="AY18" i="4"/>
  <c r="AW8" i="2"/>
  <c r="AW10" i="2" s="1"/>
  <c r="AW11" i="2" s="1"/>
  <c r="AW23" i="4"/>
  <c r="X28" i="220"/>
  <c r="AK152" i="243"/>
  <c r="AR16" i="4"/>
  <c r="AL11" i="11"/>
  <c r="AC18" i="4"/>
  <c r="Q4" i="220"/>
  <c r="Q16" i="220" s="1"/>
  <c r="AD152" i="243"/>
  <c r="AE11" i="11"/>
  <c r="AE43" i="11" s="1"/>
  <c r="J5" i="220"/>
  <c r="J28" i="220"/>
  <c r="Z152" i="243"/>
  <c r="AA11" i="11"/>
  <c r="AA12" i="11" s="1"/>
  <c r="O68" i="178"/>
  <c r="O34" i="178"/>
  <c r="O38" i="178" s="1"/>
  <c r="O45" i="178"/>
  <c r="O46" i="178" s="1"/>
  <c r="O37" i="178"/>
  <c r="K5" i="220"/>
  <c r="D28" i="220"/>
  <c r="D73" i="220" s="1"/>
  <c r="CR27" i="4"/>
  <c r="CC7" i="178"/>
  <c r="CC8" i="178" s="1"/>
  <c r="BG14" i="220"/>
  <c r="BG75" i="220"/>
  <c r="BG10" i="220"/>
  <c r="BF26" i="4"/>
  <c r="BG45" i="11" s="1"/>
  <c r="BI45" i="11"/>
  <c r="BI56" i="11" s="1"/>
  <c r="BC47" i="11"/>
  <c r="AK47" i="11"/>
  <c r="AB75" i="220"/>
  <c r="AB10" i="220"/>
  <c r="Q75" i="220"/>
  <c r="U75" i="220"/>
  <c r="U10" i="220"/>
  <c r="W47" i="11"/>
  <c r="W58" i="11"/>
  <c r="W10" i="178"/>
  <c r="W8" i="178"/>
  <c r="N75" i="220"/>
  <c r="N10" i="220"/>
  <c r="C14" i="220"/>
  <c r="C75" i="220"/>
  <c r="C76" i="220" s="1"/>
  <c r="C10" i="220"/>
  <c r="T46" i="11"/>
  <c r="CH59" i="11"/>
  <c r="CI52" i="4"/>
  <c r="BU11" i="178" s="1"/>
  <c r="BW11" i="178"/>
  <c r="BZ45" i="4"/>
  <c r="AZ15" i="220"/>
  <c r="BI52" i="4"/>
  <c r="BB11" i="178" s="1"/>
  <c r="BA11" i="178"/>
  <c r="BA10" i="178" s="1"/>
  <c r="AJ12" i="178"/>
  <c r="AJ10" i="178"/>
  <c r="AK10" i="178"/>
  <c r="AN12" i="178"/>
  <c r="AN10" i="178"/>
  <c r="AG12" i="178"/>
  <c r="V12" i="178"/>
  <c r="V10" i="178"/>
  <c r="K16" i="220"/>
  <c r="Z12" i="178"/>
  <c r="Z10" i="178"/>
  <c r="S12" i="178"/>
  <c r="CB60" i="11"/>
  <c r="CB59" i="11"/>
  <c r="BU59" i="11"/>
  <c r="AX59" i="11"/>
  <c r="AX60" i="11"/>
  <c r="AJ59" i="11"/>
  <c r="AJ60" i="11"/>
  <c r="AC60" i="11"/>
  <c r="AC59" i="11"/>
  <c r="BP4" i="4"/>
  <c r="BO16" i="4"/>
  <c r="BL8" i="2"/>
  <c r="BL274" i="243" s="1"/>
  <c r="BL23" i="4"/>
  <c r="AV194" i="4"/>
  <c r="AU109" i="11"/>
  <c r="AU112" i="11" s="1"/>
  <c r="AV198" i="4"/>
  <c r="AU115" i="11"/>
  <c r="AU117" i="11" s="1"/>
  <c r="AV205" i="4"/>
  <c r="AU141" i="11"/>
  <c r="AV196" i="4"/>
  <c r="AV111" i="11"/>
  <c r="AV112" i="11" s="1"/>
  <c r="AV203" i="4"/>
  <c r="AV123" i="11"/>
  <c r="AV129" i="11" s="1"/>
  <c r="BC117" i="11"/>
  <c r="BF129" i="11"/>
  <c r="BF143" i="11" s="1"/>
  <c r="BF74" i="11" s="1"/>
  <c r="BF87" i="11"/>
  <c r="BN87" i="11"/>
  <c r="BN129" i="11"/>
  <c r="BN143" i="11" s="1"/>
  <c r="BN74" i="11" s="1"/>
  <c r="BP205" i="4"/>
  <c r="BN205" i="4" s="1"/>
  <c r="BO141" i="11" s="1"/>
  <c r="BP141" i="11"/>
  <c r="CD117" i="11"/>
  <c r="BG19" i="220"/>
  <c r="AN15" i="178"/>
  <c r="AC15" i="178"/>
  <c r="R19" i="220"/>
  <c r="V15" i="178"/>
  <c r="Z15" i="178"/>
  <c r="O15" i="178"/>
  <c r="D19" i="220"/>
  <c r="CO131" i="4"/>
  <c r="BL44" i="4"/>
  <c r="BL59" i="11"/>
  <c r="BL60" i="11"/>
  <c r="AP154" i="243"/>
  <c r="AP153" i="243" s="1"/>
  <c r="AP23" i="4"/>
  <c r="AT154" i="243"/>
  <c r="AT176" i="243" s="1"/>
  <c r="AE75" i="220"/>
  <c r="AQ10" i="178"/>
  <c r="AS59" i="11"/>
  <c r="X38" i="4"/>
  <c r="Y51" i="11" s="1"/>
  <c r="X51" i="11"/>
  <c r="X58" i="11" s="1"/>
  <c r="CR28" i="4"/>
  <c r="BQ9" i="220"/>
  <c r="CC43" i="4"/>
  <c r="BW56" i="11" s="1"/>
  <c r="BW45" i="11"/>
  <c r="AE47" i="11"/>
  <c r="K14" i="220"/>
  <c r="K75" i="220"/>
  <c r="K76" i="220" s="1"/>
  <c r="K10" i="220"/>
  <c r="S10" i="178"/>
  <c r="S8" i="178"/>
  <c r="CC12" i="178"/>
  <c r="CI60" i="11"/>
  <c r="CI59" i="11"/>
  <c r="BS12" i="178"/>
  <c r="BS10" i="178"/>
  <c r="BK16" i="220"/>
  <c r="BF53" i="4"/>
  <c r="AM15" i="220" s="1"/>
  <c r="AO15" i="220"/>
  <c r="X16" i="220"/>
  <c r="X14" i="220"/>
  <c r="Y14" i="220"/>
  <c r="AB16" i="220"/>
  <c r="AB14" i="220"/>
  <c r="AD12" i="178"/>
  <c r="AD10" i="178"/>
  <c r="U16" i="220"/>
  <c r="U14" i="220"/>
  <c r="J16" i="220"/>
  <c r="J14" i="220"/>
  <c r="N16" i="220"/>
  <c r="N14" i="220"/>
  <c r="CD59" i="11"/>
  <c r="BB60" i="11"/>
  <c r="BB59" i="11"/>
  <c r="AN60" i="11"/>
  <c r="AN59" i="11"/>
  <c r="AG60" i="11"/>
  <c r="AG59" i="11"/>
  <c r="BP5" i="4"/>
  <c r="BH4" i="178"/>
  <c r="BO17" i="4"/>
  <c r="BM8" i="2"/>
  <c r="BM274" i="243" s="1"/>
  <c r="AV117" i="11"/>
  <c r="BG129" i="11"/>
  <c r="BG143" i="11" s="1"/>
  <c r="BG74" i="11" s="1"/>
  <c r="BG87" i="11"/>
  <c r="CD112" i="11"/>
  <c r="CD129" i="11"/>
  <c r="CK117" i="11"/>
  <c r="AB19" i="220"/>
  <c r="J19" i="220"/>
  <c r="N19" i="220"/>
  <c r="C19" i="220"/>
  <c r="T43" i="11"/>
  <c r="BO44" i="4"/>
  <c r="BM60" i="11"/>
  <c r="BM59" i="11"/>
  <c r="BP26" i="4"/>
  <c r="BP43" i="4" s="1"/>
  <c r="BQ56" i="11" s="1"/>
  <c r="BP45" i="11"/>
  <c r="BF36" i="4"/>
  <c r="BG52" i="11" s="1"/>
  <c r="BF52" i="11"/>
  <c r="BF56" i="11" s="1"/>
  <c r="AU152" i="243"/>
  <c r="AV11" i="11"/>
  <c r="AU16" i="4"/>
  <c r="AQ152" i="243"/>
  <c r="AR11" i="11"/>
  <c r="AQ16" i="4"/>
  <c r="AS26" i="4"/>
  <c r="AT45" i="11" s="1"/>
  <c r="AV45" i="11"/>
  <c r="AE14" i="220"/>
  <c r="CF31" i="242"/>
  <c r="BP195" i="4"/>
  <c r="BP199" i="4"/>
  <c r="CD193" i="4"/>
  <c r="CD197" i="4"/>
  <c r="CR193" i="4"/>
  <c r="CR197" i="4"/>
  <c r="CL200" i="4"/>
  <c r="CK193" i="4"/>
  <c r="CK197" i="4"/>
  <c r="DC200" i="4"/>
  <c r="CD196" i="4"/>
  <c r="CX200" i="4"/>
  <c r="CE200" i="4"/>
  <c r="CV200" i="4"/>
  <c r="CZ200" i="4"/>
  <c r="BP196" i="4"/>
  <c r="CD205" i="4"/>
  <c r="BX141" i="11" s="1"/>
  <c r="BP193" i="4"/>
  <c r="BP197" i="4"/>
  <c r="DE200" i="4"/>
  <c r="BP194" i="4"/>
  <c r="BP198" i="4"/>
  <c r="CD194" i="4"/>
  <c r="CD198" i="4"/>
  <c r="CR195" i="4"/>
  <c r="CR199" i="4"/>
  <c r="CR205" i="4"/>
  <c r="DA200" i="4"/>
  <c r="CD195" i="4"/>
  <c r="CD199" i="4"/>
  <c r="CR196" i="4"/>
  <c r="CT200" i="4"/>
  <c r="BU123" i="4"/>
  <c r="BV234" i="243"/>
  <c r="BV31" i="2"/>
  <c r="BV36" i="2" s="1"/>
  <c r="BV38" i="2" s="1"/>
  <c r="BT29" i="2"/>
  <c r="BT31" i="2" s="1"/>
  <c r="BT36" i="2" s="1"/>
  <c r="BW31" i="2"/>
  <c r="BW36" i="2" s="1"/>
  <c r="BH16" i="4"/>
  <c r="BH152" i="243"/>
  <c r="BG128" i="4"/>
  <c r="BE8" i="2"/>
  <c r="BE154" i="243"/>
  <c r="AI8" i="2"/>
  <c r="AI154" i="243"/>
  <c r="AB8" i="2"/>
  <c r="AB154" i="243"/>
  <c r="U8" i="2"/>
  <c r="U154" i="243"/>
  <c r="CG206" i="4"/>
  <c r="CG208" i="4" s="1"/>
  <c r="CP117" i="4"/>
  <c r="BP18" i="220" s="1"/>
  <c r="BD8" i="2"/>
  <c r="BD154" i="243"/>
  <c r="Y8" i="2"/>
  <c r="Y154" i="243"/>
  <c r="CG122" i="4"/>
  <c r="CG124" i="4" s="1"/>
  <c r="AU206" i="4"/>
  <c r="CF206" i="4"/>
  <c r="CF208" i="4" s="1"/>
  <c r="CK186" i="4"/>
  <c r="BU30" i="2"/>
  <c r="BU245" i="243" s="1"/>
  <c r="CG23" i="242"/>
  <c r="CH23" i="242" s="1"/>
  <c r="CQ53" i="242"/>
  <c r="CQ52" i="242" s="1"/>
  <c r="CQ55" i="242" s="1"/>
  <c r="Q117" i="4"/>
  <c r="E18" i="220" s="1"/>
  <c r="CI36" i="4"/>
  <c r="BC194" i="4"/>
  <c r="BC198" i="4"/>
  <c r="BG115" i="4"/>
  <c r="BH42" i="11" s="1"/>
  <c r="AE116" i="4"/>
  <c r="AE14" i="178" s="1"/>
  <c r="BC199" i="4"/>
  <c r="CB116" i="4"/>
  <c r="BN14" i="178" s="1"/>
  <c r="CP24" i="242"/>
  <c r="CP40" i="242"/>
  <c r="BL186" i="243"/>
  <c r="CP35" i="242"/>
  <c r="CP5" i="242"/>
  <c r="CF175" i="243"/>
  <c r="CG16" i="4"/>
  <c r="BZ152" i="243"/>
  <c r="BY8" i="2"/>
  <c r="BY274" i="243" s="1"/>
  <c r="BY154" i="243"/>
  <c r="BT8" i="2"/>
  <c r="BT154" i="243"/>
  <c r="AM111" i="4"/>
  <c r="AM18" i="2" s="1"/>
  <c r="AM22" i="2"/>
  <c r="AM27" i="2" s="1"/>
  <c r="AM38" i="2" s="1"/>
  <c r="CH122" i="4"/>
  <c r="CI117" i="4"/>
  <c r="BI18" i="220" s="1"/>
  <c r="CD122" i="4"/>
  <c r="CD124" i="4" s="1"/>
  <c r="BW15" i="2" s="1"/>
  <c r="BT122" i="4"/>
  <c r="BT124" i="4" s="1"/>
  <c r="BM15" i="2" s="1"/>
  <c r="BL122" i="4"/>
  <c r="BL124" i="4" s="1"/>
  <c r="BL125" i="4" s="1"/>
  <c r="BN117" i="4"/>
  <c r="AU18" i="220" s="1"/>
  <c r="AZ117" i="4"/>
  <c r="AZ123" i="4"/>
  <c r="X117" i="4"/>
  <c r="L18" i="220" s="1"/>
  <c r="BK46" i="4"/>
  <c r="BK48" i="4" s="1"/>
  <c r="BG35" i="4"/>
  <c r="AP8" i="2"/>
  <c r="AP125" i="4"/>
  <c r="AP99" i="4"/>
  <c r="AT8" i="2"/>
  <c r="AT99" i="4"/>
  <c r="AT125" i="4"/>
  <c r="BS8" i="2"/>
  <c r="BS154" i="243"/>
  <c r="CR4" i="4"/>
  <c r="CJ152" i="243"/>
  <c r="CG8" i="2"/>
  <c r="CG274" i="243" s="1"/>
  <c r="CG154" i="243"/>
  <c r="CA8" i="2"/>
  <c r="CA274" i="243" s="1"/>
  <c r="CA154" i="243"/>
  <c r="AW42" i="2"/>
  <c r="AW46" i="2" s="1"/>
  <c r="AW3" i="242" s="1"/>
  <c r="AW21" i="242" s="1"/>
  <c r="AW41" i="2"/>
  <c r="U42" i="2"/>
  <c r="U46" i="2" s="1"/>
  <c r="U3" i="242" s="1"/>
  <c r="U21" i="242" s="1"/>
  <c r="U41" i="2"/>
  <c r="CR122" i="4"/>
  <c r="CR124" i="4" s="1"/>
  <c r="CK15" i="2" s="1"/>
  <c r="AZ115" i="4"/>
  <c r="BA42" i="11" s="1"/>
  <c r="AJ122" i="4"/>
  <c r="AJ124" i="4" s="1"/>
  <c r="AJ15" i="2" s="1"/>
  <c r="AL117" i="4"/>
  <c r="Z18" i="220" s="1"/>
  <c r="AG122" i="4"/>
  <c r="AG124" i="4" s="1"/>
  <c r="AG15" i="2" s="1"/>
  <c r="Z122" i="4"/>
  <c r="Z124" i="4" s="1"/>
  <c r="Z15" i="2" s="1"/>
  <c r="BP186" i="4"/>
  <c r="CP128" i="4"/>
  <c r="AT111" i="4"/>
  <c r="AT22" i="2"/>
  <c r="AT27" i="2" s="1"/>
  <c r="AT38" i="2" s="1"/>
  <c r="CD4" i="4"/>
  <c r="CB4" i="4" s="1"/>
  <c r="BV152" i="243"/>
  <c r="CH8" i="2"/>
  <c r="CH274" i="243" s="1"/>
  <c r="CH154" i="243"/>
  <c r="CC8" i="2"/>
  <c r="CC274" i="243" s="1"/>
  <c r="CC154" i="243"/>
  <c r="BR171" i="243"/>
  <c r="BR179" i="243"/>
  <c r="BR162" i="243"/>
  <c r="BR153" i="243"/>
  <c r="BR159" i="243"/>
  <c r="BR176" i="243"/>
  <c r="BR168" i="243"/>
  <c r="BR165" i="243"/>
  <c r="AO134" i="178"/>
  <c r="AH134" i="178"/>
  <c r="BD27" i="2"/>
  <c r="BD38" i="2" s="1"/>
  <c r="BD18" i="2"/>
  <c r="BA111" i="4"/>
  <c r="BA22" i="2"/>
  <c r="BA27" i="2" s="1"/>
  <c r="BA38" i="2" s="1"/>
  <c r="N42" i="2"/>
  <c r="N46" i="2" s="1"/>
  <c r="N3" i="242" s="1"/>
  <c r="N21" i="242" s="1"/>
  <c r="N41" i="2"/>
  <c r="BO201" i="4"/>
  <c r="BP123" i="11" s="1"/>
  <c r="BP129" i="11" s="1"/>
  <c r="BY206" i="4"/>
  <c r="BY208" i="4" s="1"/>
  <c r="CO206" i="4"/>
  <c r="CO208" i="4" s="1"/>
  <c r="AY122" i="4"/>
  <c r="AY124" i="4" s="1"/>
  <c r="AY15" i="2" s="1"/>
  <c r="AZ116" i="4"/>
  <c r="V122" i="4"/>
  <c r="V124" i="4" s="1"/>
  <c r="V15" i="2" s="1"/>
  <c r="AZ128" i="4"/>
  <c r="BN52" i="4"/>
  <c r="BG11" i="178" s="1"/>
  <c r="AP111" i="4"/>
  <c r="AP22" i="2"/>
  <c r="AP27" i="2" s="1"/>
  <c r="AP38" i="2" s="1"/>
  <c r="AI111" i="4"/>
  <c r="AI18" i="2" s="1"/>
  <c r="AI22" i="2"/>
  <c r="AI27" i="2" s="1"/>
  <c r="AI38" i="2" s="1"/>
  <c r="R42" i="2"/>
  <c r="R46" i="2" s="1"/>
  <c r="R3" i="242" s="1"/>
  <c r="R21" i="242" s="1"/>
  <c r="R41" i="2"/>
  <c r="AR8" i="2"/>
  <c r="AR99" i="4"/>
  <c r="AR125" i="4"/>
  <c r="X39" i="4"/>
  <c r="CP7" i="242"/>
  <c r="CP37" i="242"/>
  <c r="CP59" i="242"/>
  <c r="AF42" i="2"/>
  <c r="AF46" i="2" s="1"/>
  <c r="AF3" i="242" s="1"/>
  <c r="AF21" i="242" s="1"/>
  <c r="AF41" i="2"/>
  <c r="AB42" i="2"/>
  <c r="AB46" i="2" s="1"/>
  <c r="AB3" i="242" s="1"/>
  <c r="AB21" i="242" s="1"/>
  <c r="AB41" i="2"/>
  <c r="BP30" i="4"/>
  <c r="BN30" i="4" s="1"/>
  <c r="AQ43" i="4"/>
  <c r="AR51" i="11" s="1"/>
  <c r="AR58" i="11" s="1"/>
  <c r="BV18" i="2"/>
  <c r="AV195" i="4"/>
  <c r="AV199" i="4"/>
  <c r="AV193" i="4"/>
  <c r="AV197" i="4"/>
  <c r="AV204" i="4"/>
  <c r="BC204" i="4"/>
  <c r="BH208" i="4"/>
  <c r="CN122" i="4"/>
  <c r="CN124" i="4" s="1"/>
  <c r="CN125" i="4" s="1"/>
  <c r="CO122" i="4"/>
  <c r="CO124" i="4" s="1"/>
  <c r="CO125" i="4" s="1"/>
  <c r="CB123" i="4"/>
  <c r="BM122" i="4"/>
  <c r="BM124" i="4" s="1"/>
  <c r="BM125" i="4" s="1"/>
  <c r="BN116" i="4"/>
  <c r="BG14" i="178" s="1"/>
  <c r="BG117" i="4"/>
  <c r="AN18" i="220" s="1"/>
  <c r="BG123" i="4"/>
  <c r="AL123" i="4"/>
  <c r="BG129" i="4"/>
  <c r="AX131" i="4"/>
  <c r="BU36" i="4"/>
  <c r="BA206" i="4"/>
  <c r="BC203" i="4"/>
  <c r="BC205" i="4"/>
  <c r="CH206" i="4"/>
  <c r="CH208" i="4" s="1"/>
  <c r="CI115" i="4"/>
  <c r="CC42" i="11" s="1"/>
  <c r="CI123" i="4"/>
  <c r="CB117" i="4"/>
  <c r="BB18" i="220" s="1"/>
  <c r="BU115" i="4"/>
  <c r="BU116" i="4"/>
  <c r="BP122" i="4"/>
  <c r="BP124" i="4" s="1"/>
  <c r="BB122" i="4"/>
  <c r="BB124" i="4" s="1"/>
  <c r="BB15" i="2" s="1"/>
  <c r="X115" i="4"/>
  <c r="Y42" i="11" s="1"/>
  <c r="X123" i="4"/>
  <c r="P122" i="4"/>
  <c r="P124" i="4" s="1"/>
  <c r="P15" i="2" s="1"/>
  <c r="Q116" i="4"/>
  <c r="Q14" i="178" s="1"/>
  <c r="CG186" i="4"/>
  <c r="CR186" i="4"/>
  <c r="CP127" i="4"/>
  <c r="CB36" i="4"/>
  <c r="AU45" i="4"/>
  <c r="AQ58" i="4"/>
  <c r="AQ60" i="4" s="1"/>
  <c r="CF274" i="243"/>
  <c r="BC193" i="4"/>
  <c r="BC195" i="4"/>
  <c r="BC197" i="4"/>
  <c r="CA206" i="4"/>
  <c r="CA208" i="4" s="1"/>
  <c r="CP115" i="4"/>
  <c r="CJ42" i="11" s="1"/>
  <c r="BZ122" i="4"/>
  <c r="BZ124" i="4" s="1"/>
  <c r="BE122" i="4"/>
  <c r="BF122" i="4"/>
  <c r="AX122" i="4"/>
  <c r="AX124" i="4" s="1"/>
  <c r="AX15" i="2" s="1"/>
  <c r="AC122" i="4"/>
  <c r="AC124" i="4" s="1"/>
  <c r="AC15" i="2" s="1"/>
  <c r="AE115" i="4"/>
  <c r="AF42" i="11" s="1"/>
  <c r="O122" i="4"/>
  <c r="O124" i="4" s="1"/>
  <c r="O15" i="2" s="1"/>
  <c r="BL186" i="4"/>
  <c r="BN180" i="4"/>
  <c r="BN186" i="4" s="1"/>
  <c r="BZ186" i="4"/>
  <c r="CN186" i="4"/>
  <c r="BP28" i="4"/>
  <c r="AQ40" i="4"/>
  <c r="CF185" i="243"/>
  <c r="CR161" i="243"/>
  <c r="CR212" i="243"/>
  <c r="CP39" i="243"/>
  <c r="CP251" i="243" s="1"/>
  <c r="CF186" i="243"/>
  <c r="CF243" i="243"/>
  <c r="CF252" i="243"/>
  <c r="CF253" i="243" s="1"/>
  <c r="CP81" i="242"/>
  <c r="CF256" i="243"/>
  <c r="CP30" i="242"/>
  <c r="BY125" i="4"/>
  <c r="BR15" i="2"/>
  <c r="CJ15" i="2"/>
  <c r="BY23" i="4"/>
  <c r="BR8" i="2"/>
  <c r="CH111" i="4"/>
  <c r="CA22" i="2"/>
  <c r="BT27" i="2"/>
  <c r="BT18" i="2"/>
  <c r="CC200" i="4"/>
  <c r="CJ200" i="4"/>
  <c r="CK196" i="4"/>
  <c r="CK205" i="4"/>
  <c r="CM125" i="4"/>
  <c r="CF15" i="2"/>
  <c r="CI116" i="4"/>
  <c r="BU14" i="178" s="1"/>
  <c r="CJ125" i="4"/>
  <c r="CC15" i="2"/>
  <c r="BU117" i="4"/>
  <c r="BR125" i="4"/>
  <c r="BK15" i="2"/>
  <c r="BG116" i="4"/>
  <c r="AW125" i="4"/>
  <c r="AI125" i="4"/>
  <c r="N125" i="4"/>
  <c r="CB186" i="4"/>
  <c r="CN111" i="4"/>
  <c r="CG22" i="2"/>
  <c r="AU200" i="4"/>
  <c r="BC196" i="4"/>
  <c r="BO206" i="4"/>
  <c r="BO208" i="4" s="1"/>
  <c r="BZ206" i="4"/>
  <c r="BZ208" i="4" s="1"/>
  <c r="CC203" i="4"/>
  <c r="CJ203" i="4"/>
  <c r="CP116" i="4"/>
  <c r="CB14" i="178" s="1"/>
  <c r="CK122" i="4"/>
  <c r="CA122" i="4"/>
  <c r="CA124" i="4" s="1"/>
  <c r="BV15" i="2"/>
  <c r="CB115" i="4"/>
  <c r="BS122" i="4"/>
  <c r="BW122" i="4"/>
  <c r="BW124" i="4" s="1"/>
  <c r="BK125" i="4"/>
  <c r="BD125" i="4"/>
  <c r="BA125" i="4"/>
  <c r="AK122" i="4"/>
  <c r="AK124" i="4" s="1"/>
  <c r="AK15" i="2" s="1"/>
  <c r="AL115" i="4"/>
  <c r="AM42" i="11" s="1"/>
  <c r="AL116" i="4"/>
  <c r="AL14" i="178" s="1"/>
  <c r="AN122" i="4"/>
  <c r="AN124" i="4" s="1"/>
  <c r="AN15" i="2" s="1"/>
  <c r="AD122" i="4"/>
  <c r="AD124" i="4" s="1"/>
  <c r="AD15" i="2" s="1"/>
  <c r="AE117" i="4"/>
  <c r="S18" i="220" s="1"/>
  <c r="W122" i="4"/>
  <c r="X116" i="4"/>
  <c r="X14" i="178" s="1"/>
  <c r="R125" i="4"/>
  <c r="BG186" i="4"/>
  <c r="CO111" i="4"/>
  <c r="CH22" i="2"/>
  <c r="CK194" i="4"/>
  <c r="CK198" i="4"/>
  <c r="CF125" i="4"/>
  <c r="BY15" i="2"/>
  <c r="CF111" i="4"/>
  <c r="BY22" i="2"/>
  <c r="BR27" i="2"/>
  <c r="BR38" i="2" s="1"/>
  <c r="BR18" i="2"/>
  <c r="CK195" i="4"/>
  <c r="CK199" i="4"/>
  <c r="CQ203" i="4"/>
  <c r="CR194" i="4"/>
  <c r="CR198" i="4"/>
  <c r="BO15" i="2"/>
  <c r="BN115" i="4"/>
  <c r="BO42" i="11" s="1"/>
  <c r="BN123" i="4"/>
  <c r="AE123" i="4"/>
  <c r="CP129" i="4"/>
  <c r="CI128" i="4"/>
  <c r="X128" i="4"/>
  <c r="Q115" i="4"/>
  <c r="R42" i="11" s="1"/>
  <c r="S122" i="4"/>
  <c r="S124" i="4" s="1"/>
  <c r="S15" i="2" s="1"/>
  <c r="BI186" i="4"/>
  <c r="BU186" i="4"/>
  <c r="CD186" i="4"/>
  <c r="CQ132" i="4"/>
  <c r="CJ132" i="4"/>
  <c r="CC132" i="4"/>
  <c r="BO132" i="4"/>
  <c r="AF132" i="4"/>
  <c r="N132" i="4"/>
  <c r="AT32" i="4"/>
  <c r="AU43" i="4"/>
  <c r="AV51" i="11" s="1"/>
  <c r="AR46" i="4"/>
  <c r="AR48" i="4" s="1"/>
  <c r="AR54" i="2" s="1"/>
  <c r="AL37" i="4"/>
  <c r="CP123" i="4"/>
  <c r="BW186" i="4"/>
  <c r="CN131" i="4"/>
  <c r="BR132" i="4"/>
  <c r="BD132" i="4"/>
  <c r="R132" i="4"/>
  <c r="BK32" i="4"/>
  <c r="BL32" i="4"/>
  <c r="BN53" i="4"/>
  <c r="AU15" i="220" s="1"/>
  <c r="AP32" i="4"/>
  <c r="AU11" i="4"/>
  <c r="AU13" i="4" s="1"/>
  <c r="AQ11" i="4"/>
  <c r="AQ13" i="4" s="1"/>
  <c r="AQ29" i="4"/>
  <c r="AQ31" i="4" s="1"/>
  <c r="AU44" i="4"/>
  <c r="AQ45" i="4"/>
  <c r="AS53" i="4"/>
  <c r="AL35" i="4"/>
  <c r="CP180" i="4"/>
  <c r="CP186" i="4" s="1"/>
  <c r="CB128" i="4"/>
  <c r="BV132" i="4"/>
  <c r="BX132" i="4"/>
  <c r="AW132" i="4"/>
  <c r="AI132" i="4"/>
  <c r="X129" i="4"/>
  <c r="BU35" i="4"/>
  <c r="AR35" i="4"/>
  <c r="AB125" i="4"/>
  <c r="U125" i="4"/>
  <c r="Q123" i="4"/>
  <c r="BE186" i="4"/>
  <c r="BS186" i="4"/>
  <c r="CI180" i="4"/>
  <c r="CI186" i="4" s="1"/>
  <c r="CM132" i="4"/>
  <c r="CF132" i="4"/>
  <c r="BY132" i="4"/>
  <c r="BK132" i="4"/>
  <c r="BI131" i="4"/>
  <c r="BE131" i="4"/>
  <c r="BF127" i="4"/>
  <c r="BF131" i="4" s="1"/>
  <c r="BA132" i="4"/>
  <c r="AY127" i="4"/>
  <c r="AY131" i="4" s="1"/>
  <c r="AM132" i="4"/>
  <c r="AB132" i="4"/>
  <c r="U132" i="4"/>
  <c r="CP35" i="4"/>
  <c r="CB35" i="4"/>
  <c r="BM44" i="4"/>
  <c r="BM58" i="4"/>
  <c r="BM60" i="4" s="1"/>
  <c r="BM111" i="4" s="1"/>
  <c r="AT46" i="4"/>
  <c r="AT48" i="4" s="1"/>
  <c r="AT54" i="2" s="1"/>
  <c r="AS51" i="4"/>
  <c r="BP31" i="2"/>
  <c r="BP36" i="2" s="1"/>
  <c r="BN31" i="2"/>
  <c r="BN36" i="2" s="1"/>
  <c r="X35" i="4"/>
  <c r="W40" i="4"/>
  <c r="AS59" i="4"/>
  <c r="AR58" i="4"/>
  <c r="AR60" i="4" s="1"/>
  <c r="AR29" i="4"/>
  <c r="AR31" i="4" s="1"/>
  <c r="AR32" i="4" s="1"/>
  <c r="AS4" i="4"/>
  <c r="AQ44" i="4"/>
  <c r="AU58" i="4"/>
  <c r="AU60" i="4" s="1"/>
  <c r="AU29" i="4"/>
  <c r="AU31" i="4" s="1"/>
  <c r="AP46" i="4"/>
  <c r="AP48" i="4" s="1"/>
  <c r="AP54" i="2" s="1"/>
  <c r="BM29" i="4"/>
  <c r="BM31" i="4" s="1"/>
  <c r="BM32" i="4" s="1"/>
  <c r="BM43" i="4"/>
  <c r="BN56" i="11" s="1"/>
  <c r="BN58" i="11" s="1"/>
  <c r="BM45" i="4"/>
  <c r="BN51" i="4"/>
  <c r="BO29" i="4"/>
  <c r="BO31" i="4" s="1"/>
  <c r="BL58" i="4"/>
  <c r="BL60" i="4" s="1"/>
  <c r="BL111" i="4" s="1"/>
  <c r="BP58" i="4"/>
  <c r="BP59" i="4"/>
  <c r="BN59" i="4" s="1"/>
  <c r="BO58" i="4"/>
  <c r="BO60" i="4" s="1"/>
  <c r="BO111" i="4" s="1"/>
  <c r="BO43" i="4"/>
  <c r="BK58" i="4"/>
  <c r="BK60" i="4" s="1"/>
  <c r="BK111" i="4" s="1"/>
  <c r="BL47" i="4"/>
  <c r="BN36" i="4"/>
  <c r="BL39" i="4"/>
  <c r="BM39" i="4" s="1"/>
  <c r="BM40" i="4" s="1"/>
  <c r="CI35" i="4"/>
  <c r="Q128" i="4"/>
  <c r="Q129" i="4"/>
  <c r="O131" i="4"/>
  <c r="P131" i="4"/>
  <c r="W131" i="4"/>
  <c r="X127" i="4"/>
  <c r="V131" i="4"/>
  <c r="AE128" i="4"/>
  <c r="AD131" i="4"/>
  <c r="AE127" i="4"/>
  <c r="AE129" i="4"/>
  <c r="AC131" i="4"/>
  <c r="AL128" i="4"/>
  <c r="AK131" i="4"/>
  <c r="AL127" i="4"/>
  <c r="AL129" i="4"/>
  <c r="AJ131" i="4"/>
  <c r="AZ129" i="4"/>
  <c r="BB131" i="4"/>
  <c r="BN128" i="4"/>
  <c r="BM131" i="4"/>
  <c r="BN127" i="4"/>
  <c r="BN129" i="4"/>
  <c r="BL131" i="4"/>
  <c r="BP131" i="4"/>
  <c r="BU129" i="4"/>
  <c r="BS131" i="4"/>
  <c r="BU128" i="4"/>
  <c r="BT131" i="4"/>
  <c r="BW131" i="4"/>
  <c r="CB129" i="4"/>
  <c r="CA131" i="4"/>
  <c r="CB127" i="4"/>
  <c r="BZ131" i="4"/>
  <c r="CD131" i="4"/>
  <c r="CG131" i="4"/>
  <c r="CK131" i="4"/>
  <c r="CI129" i="4"/>
  <c r="CR131" i="4"/>
  <c r="BI122" i="4"/>
  <c r="BI124" i="4" s="1"/>
  <c r="BI15" i="2" s="1"/>
  <c r="BS123" i="4"/>
  <c r="CS200" i="4"/>
  <c r="CQ200" i="4"/>
  <c r="BQ200" i="4"/>
  <c r="BB206" i="4"/>
  <c r="BA200" i="4"/>
  <c r="BB200" i="4"/>
  <c r="AT200" i="4"/>
  <c r="AP206" i="4"/>
  <c r="CA23" i="4"/>
  <c r="V17" i="4"/>
  <c r="W18" i="4"/>
  <c r="AE5" i="4"/>
  <c r="AE4" i="178" s="1"/>
  <c r="CJ111" i="4"/>
  <c r="U111" i="4"/>
  <c r="U18" i="2" s="1"/>
  <c r="BZ23" i="4"/>
  <c r="AN16" i="4"/>
  <c r="AJ12" i="4"/>
  <c r="AG43" i="4"/>
  <c r="AH56" i="11" s="1"/>
  <c r="AH58" i="11" s="1"/>
  <c r="BD111" i="4"/>
  <c r="CF23" i="4"/>
  <c r="AK17" i="4"/>
  <c r="AM46" i="4"/>
  <c r="AM48" i="4" s="1"/>
  <c r="AM54" i="2" s="1"/>
  <c r="Y46" i="4"/>
  <c r="Y48" i="4" s="1"/>
  <c r="Y54" i="2" s="1"/>
  <c r="R46" i="4"/>
  <c r="R48" i="4" s="1"/>
  <c r="R54" i="2" s="1"/>
  <c r="AJ16" i="4"/>
  <c r="P47" i="4"/>
  <c r="BR31" i="4"/>
  <c r="BR32" i="4" s="1"/>
  <c r="CC111" i="4"/>
  <c r="Q27" i="4"/>
  <c r="Q7" i="178" s="1"/>
  <c r="BT58" i="4"/>
  <c r="AB111" i="4"/>
  <c r="AB18" i="2" s="1"/>
  <c r="N111" i="4"/>
  <c r="N18" i="2" s="1"/>
  <c r="N13" i="2" s="1"/>
  <c r="AZ5" i="4"/>
  <c r="AK16" i="4"/>
  <c r="CO32" i="4"/>
  <c r="AZ28" i="4"/>
  <c r="AZ30" i="4"/>
  <c r="X27" i="4"/>
  <c r="X7" i="178" s="1"/>
  <c r="CM111" i="4"/>
  <c r="AL6" i="4"/>
  <c r="Z4" i="220" s="1"/>
  <c r="X4" i="4"/>
  <c r="BY111" i="4"/>
  <c r="CG44" i="4"/>
  <c r="CK29" i="4"/>
  <c r="CK31" i="4" s="1"/>
  <c r="CD30" i="4"/>
  <c r="CB30" i="4" s="1"/>
  <c r="BF30" i="4"/>
  <c r="BG30" i="4" s="1"/>
  <c r="Y23" i="4"/>
  <c r="Q53" i="4"/>
  <c r="E15" i="220" s="1"/>
  <c r="Q59" i="4"/>
  <c r="CI47" i="4"/>
  <c r="CH23" i="4"/>
  <c r="AC17" i="4"/>
  <c r="AD18" i="4"/>
  <c r="V16" i="4"/>
  <c r="Z18" i="4"/>
  <c r="BS31" i="4"/>
  <c r="BS32" i="4" s="1"/>
  <c r="AE51" i="4"/>
  <c r="BD23" i="4"/>
  <c r="AJ18" i="4"/>
  <c r="AM13" i="4"/>
  <c r="BA23" i="4" s="1"/>
  <c r="AD17" i="4"/>
  <c r="CJ32" i="4"/>
  <c r="Z29" i="4"/>
  <c r="Z31" i="4" s="1"/>
  <c r="Y32" i="4"/>
  <c r="CQ44" i="4"/>
  <c r="CG58" i="4"/>
  <c r="CG60" i="4" s="1"/>
  <c r="AZ51" i="4"/>
  <c r="AJ58" i="4"/>
  <c r="AJ60" i="4" s="1"/>
  <c r="AK18" i="4"/>
  <c r="BD32" i="4"/>
  <c r="AD29" i="4"/>
  <c r="AD31" i="4" s="1"/>
  <c r="V43" i="4"/>
  <c r="N32" i="4"/>
  <c r="S29" i="4"/>
  <c r="S31" i="4" s="1"/>
  <c r="Q30" i="4"/>
  <c r="CR52" i="4"/>
  <c r="BS51" i="4"/>
  <c r="BS58" i="4" s="1"/>
  <c r="AC43" i="4"/>
  <c r="AD56" i="11" s="1"/>
  <c r="AD58" i="11" s="1"/>
  <c r="X52" i="4"/>
  <c r="X11" i="178" s="1"/>
  <c r="CO23" i="4"/>
  <c r="BV11" i="4"/>
  <c r="BV13" i="4" s="1"/>
  <c r="AD16" i="4"/>
  <c r="AF13" i="4"/>
  <c r="AF154" i="243" s="1"/>
  <c r="BH18" i="4"/>
  <c r="CG29" i="4"/>
  <c r="CG31" i="4" s="1"/>
  <c r="CD28" i="4"/>
  <c r="BT31" i="4"/>
  <c r="BT32" i="4" s="1"/>
  <c r="AL28" i="4"/>
  <c r="Z9" i="220" s="1"/>
  <c r="X30" i="4"/>
  <c r="V45" i="4"/>
  <c r="CJ46" i="4"/>
  <c r="CJ48" i="4" s="1"/>
  <c r="CC54" i="2" s="1"/>
  <c r="BF12" i="4"/>
  <c r="BG12" i="4" s="1"/>
  <c r="AD11" i="4"/>
  <c r="V11" i="4"/>
  <c r="V13" i="4" s="1"/>
  <c r="AX45" i="4"/>
  <c r="CC18" i="4"/>
  <c r="BI6" i="4"/>
  <c r="AG18" i="4"/>
  <c r="V18" i="4"/>
  <c r="Z16" i="4"/>
  <c r="X6" i="4"/>
  <c r="L4" i="220" s="1"/>
  <c r="U23" i="4"/>
  <c r="Q12" i="4"/>
  <c r="CX16" i="4"/>
  <c r="CQ18" i="4"/>
  <c r="CJ16" i="4"/>
  <c r="CD26" i="4"/>
  <c r="CA32" i="4"/>
  <c r="BV30" i="4"/>
  <c r="BV47" i="4" s="1"/>
  <c r="BH29" i="4"/>
  <c r="BH31" i="4" s="1"/>
  <c r="BF28" i="4"/>
  <c r="AL30" i="4"/>
  <c r="AC29" i="4"/>
  <c r="AC31" i="4" s="1"/>
  <c r="AE28" i="4"/>
  <c r="S9" i="220" s="1"/>
  <c r="AE27" i="4"/>
  <c r="AE7" i="178" s="1"/>
  <c r="AE30" i="4"/>
  <c r="V29" i="4"/>
  <c r="V31" i="4" s="1"/>
  <c r="X28" i="4"/>
  <c r="L9" i="220" s="1"/>
  <c r="X26" i="4"/>
  <c r="Y45" i="11" s="1"/>
  <c r="O29" i="4"/>
  <c r="O31" i="4" s="1"/>
  <c r="Q28" i="4"/>
  <c r="E9" i="220" s="1"/>
  <c r="CQ45" i="4"/>
  <c r="BH58" i="4"/>
  <c r="BH60" i="4" s="1"/>
  <c r="BI53" i="4"/>
  <c r="AF111" i="4"/>
  <c r="O58" i="4"/>
  <c r="O60" i="4" s="1"/>
  <c r="BE46" i="4"/>
  <c r="AL4" i="4"/>
  <c r="AB23" i="4"/>
  <c r="CX18" i="4"/>
  <c r="CJ18" i="4"/>
  <c r="CI26" i="4"/>
  <c r="CB47" i="4"/>
  <c r="AX29" i="4"/>
  <c r="AX31" i="4" s="1"/>
  <c r="BA32" i="4"/>
  <c r="U32" i="4"/>
  <c r="CA111" i="4"/>
  <c r="V58" i="4"/>
  <c r="O44" i="4"/>
  <c r="BH45" i="4"/>
  <c r="BB43" i="4"/>
  <c r="BC51" i="11" s="1"/>
  <c r="BC58" i="11" s="1"/>
  <c r="AE26" i="4"/>
  <c r="CM23" i="4"/>
  <c r="AY11" i="4"/>
  <c r="AY13" i="4" s="1"/>
  <c r="AC16" i="4"/>
  <c r="AG17" i="4"/>
  <c r="O11" i="4"/>
  <c r="O13" i="4" s="1"/>
  <c r="P11" i="4"/>
  <c r="P13" i="4" s="1"/>
  <c r="P8" i="2" s="1"/>
  <c r="P10" i="2" s="1"/>
  <c r="P11" i="2" s="1"/>
  <c r="Q6" i="4"/>
  <c r="E4" i="220" s="1"/>
  <c r="E28" i="220" s="1"/>
  <c r="E73" i="220" s="1"/>
  <c r="CQ16" i="4"/>
  <c r="CQ47" i="4"/>
  <c r="CR47" i="4" s="1"/>
  <c r="CP47" i="4" s="1"/>
  <c r="AJ29" i="4"/>
  <c r="AJ31" i="4" s="1"/>
  <c r="P29" i="4"/>
  <c r="P31" i="4" s="1"/>
  <c r="BF52" i="4"/>
  <c r="AJ44" i="4"/>
  <c r="AK44" i="4"/>
  <c r="AL52" i="4"/>
  <c r="AL11" i="178" s="1"/>
  <c r="R111" i="4"/>
  <c r="R18" i="2" s="1"/>
  <c r="R13" i="2" s="1"/>
  <c r="CF46" i="4"/>
  <c r="CF48" i="4" s="1"/>
  <c r="BY54" i="2" s="1"/>
  <c r="CH46" i="4"/>
  <c r="CH48" i="4" s="1"/>
  <c r="CA54" i="2" s="1"/>
  <c r="BT43" i="4"/>
  <c r="BT46" i="4" s="1"/>
  <c r="AW46" i="4"/>
  <c r="AW48" i="4" s="1"/>
  <c r="AW54" i="2" s="1"/>
  <c r="CI4" i="4"/>
  <c r="AL27" i="4"/>
  <c r="AL7" i="178" s="1"/>
  <c r="AN29" i="4"/>
  <c r="AN31" i="4" s="1"/>
  <c r="AN17" i="4"/>
  <c r="AL5" i="4"/>
  <c r="AL4" i="178" s="1"/>
  <c r="AN11" i="4"/>
  <c r="Q5" i="4"/>
  <c r="Q4" i="178" s="1"/>
  <c r="Q24" i="178" s="1"/>
  <c r="Q68" i="178" s="1"/>
  <c r="CF154" i="243"/>
  <c r="CF168" i="243" s="1"/>
  <c r="CC16" i="4"/>
  <c r="CC17" i="4"/>
  <c r="CR26" i="4"/>
  <c r="CL45" i="11" s="1"/>
  <c r="CQ29" i="4"/>
  <c r="CQ31" i="4" s="1"/>
  <c r="AY29" i="4"/>
  <c r="AY31" i="4" s="1"/>
  <c r="AZ26" i="4"/>
  <c r="BA45" i="11" s="1"/>
  <c r="AZ27" i="4"/>
  <c r="BB29" i="4"/>
  <c r="BB31" i="4" s="1"/>
  <c r="CK45" i="4"/>
  <c r="CI53" i="4"/>
  <c r="AX43" i="4"/>
  <c r="AY51" i="11" s="1"/>
  <c r="AY58" i="11" s="1"/>
  <c r="AX58" i="4"/>
  <c r="AX60" i="4" s="1"/>
  <c r="AY44" i="4"/>
  <c r="AZ52" i="4"/>
  <c r="BB45" i="4"/>
  <c r="AZ53" i="4"/>
  <c r="AC44" i="4"/>
  <c r="AC58" i="4"/>
  <c r="AC60" i="4" s="1"/>
  <c r="AD45" i="4"/>
  <c r="AE53" i="4"/>
  <c r="S15" i="220" s="1"/>
  <c r="CG17" i="4"/>
  <c r="CN17" i="4"/>
  <c r="AN18" i="4"/>
  <c r="AE4" i="4"/>
  <c r="AG16" i="4"/>
  <c r="AG11" i="4"/>
  <c r="S11" i="4"/>
  <c r="S13" i="4" s="1"/>
  <c r="S8" i="2" s="1"/>
  <c r="Q4" i="4"/>
  <c r="R11" i="11" s="1"/>
  <c r="BH17" i="4"/>
  <c r="AI23" i="4"/>
  <c r="CF32" i="4"/>
  <c r="CC44" i="4"/>
  <c r="CD27" i="4"/>
  <c r="BY32" i="4"/>
  <c r="BE32" i="4"/>
  <c r="W29" i="4"/>
  <c r="W31" i="4" s="1"/>
  <c r="R32" i="4"/>
  <c r="BZ44" i="4"/>
  <c r="BZ58" i="4"/>
  <c r="BZ60" i="4" s="1"/>
  <c r="CB53" i="4"/>
  <c r="BB15" i="220" s="1"/>
  <c r="AD47" i="4"/>
  <c r="AE59" i="4"/>
  <c r="W17" i="4"/>
  <c r="AK29" i="4"/>
  <c r="AK31" i="4" s="1"/>
  <c r="AK43" i="4"/>
  <c r="AL56" i="11" s="1"/>
  <c r="AL58" i="11" s="1"/>
  <c r="AL26" i="4"/>
  <c r="AM45" i="11" s="1"/>
  <c r="CR5" i="4"/>
  <c r="CD4" i="178" s="1"/>
  <c r="CX17" i="4"/>
  <c r="CI6" i="4"/>
  <c r="BI4" i="220" s="1"/>
  <c r="CK18" i="4"/>
  <c r="AJ17" i="4"/>
  <c r="CG18" i="4"/>
  <c r="CN18" i="4"/>
  <c r="AK11" i="4"/>
  <c r="AK13" i="4" s="1"/>
  <c r="AR23" i="4" s="1"/>
  <c r="AJ11" i="4"/>
  <c r="AD12" i="4"/>
  <c r="W11" i="4"/>
  <c r="W13" i="4" s="1"/>
  <c r="W16" i="4"/>
  <c r="Z17" i="4"/>
  <c r="X5" i="4"/>
  <c r="X4" i="178" s="1"/>
  <c r="Z11" i="4"/>
  <c r="CQ17" i="4"/>
  <c r="CJ17" i="4"/>
  <c r="CN32" i="4"/>
  <c r="CH32" i="4"/>
  <c r="BV44" i="4"/>
  <c r="BW27" i="4"/>
  <c r="BU27" i="4" s="1"/>
  <c r="BF27" i="4"/>
  <c r="AY7" i="178" s="1"/>
  <c r="BI27" i="4"/>
  <c r="BB7" i="178" s="1"/>
  <c r="BH44" i="4"/>
  <c r="CR51" i="4"/>
  <c r="CQ58" i="4"/>
  <c r="CQ60" i="4" s="1"/>
  <c r="CQ43" i="4"/>
  <c r="CK56" i="11" s="1"/>
  <c r="CK58" i="11" s="1"/>
  <c r="AK47" i="4"/>
  <c r="AL59" i="4"/>
  <c r="AC11" i="4"/>
  <c r="AC13" i="4" s="1"/>
  <c r="AC154" i="243" s="1"/>
  <c r="CN16" i="4"/>
  <c r="CR30" i="4"/>
  <c r="CP30" i="4" s="1"/>
  <c r="BV26" i="4"/>
  <c r="BV29" i="4" s="1"/>
  <c r="BI26" i="4"/>
  <c r="BJ45" i="11" s="1"/>
  <c r="Q26" i="4"/>
  <c r="R45" i="11" s="1"/>
  <c r="CN46" i="4"/>
  <c r="CG45" i="4"/>
  <c r="BU53" i="4"/>
  <c r="BR47" i="4"/>
  <c r="AX44" i="4"/>
  <c r="AW111" i="4"/>
  <c r="BB58" i="4"/>
  <c r="BB60" i="4" s="1"/>
  <c r="BB22" i="2" s="1"/>
  <c r="BB27" i="2" s="1"/>
  <c r="BB38" i="2" s="1"/>
  <c r="AK58" i="4"/>
  <c r="AK60" i="4" s="1"/>
  <c r="AC45" i="4"/>
  <c r="W43" i="4"/>
  <c r="W58" i="4"/>
  <c r="X53" i="4"/>
  <c r="W47" i="4"/>
  <c r="O45" i="4"/>
  <c r="S43" i="4"/>
  <c r="Q51" i="4"/>
  <c r="R58" i="11" s="1"/>
  <c r="S58" i="4"/>
  <c r="S60" i="4" s="1"/>
  <c r="S22" i="2" s="1"/>
  <c r="Z45" i="4"/>
  <c r="O43" i="4"/>
  <c r="CM32" i="4"/>
  <c r="BZ32" i="4"/>
  <c r="CO46" i="4"/>
  <c r="CO48" i="4" s="1"/>
  <c r="CH54" i="2" s="1"/>
  <c r="CM46" i="4"/>
  <c r="CM48" i="4" s="1"/>
  <c r="CF54" i="2" s="1"/>
  <c r="CK43" i="4"/>
  <c r="CE56" i="11" s="1"/>
  <c r="CE58" i="11" s="1"/>
  <c r="CK58" i="4"/>
  <c r="CB51" i="4"/>
  <c r="CD58" i="4"/>
  <c r="CD60" i="4" s="1"/>
  <c r="BW22" i="2" s="1"/>
  <c r="BW27" i="2" s="1"/>
  <c r="BU52" i="4"/>
  <c r="BH47" i="4"/>
  <c r="BE47" i="4" s="1"/>
  <c r="BF59" i="4"/>
  <c r="AN44" i="4"/>
  <c r="AD58" i="4"/>
  <c r="AD60" i="4" s="1"/>
  <c r="AD43" i="4"/>
  <c r="AE56" i="11" s="1"/>
  <c r="AE58" i="11" s="1"/>
  <c r="AE52" i="4"/>
  <c r="AE11" i="178" s="1"/>
  <c r="AG44" i="4"/>
  <c r="AG58" i="4"/>
  <c r="AG60" i="4" s="1"/>
  <c r="AG22" i="2" s="1"/>
  <c r="W44" i="4"/>
  <c r="CA99" i="4"/>
  <c r="AW99" i="4"/>
  <c r="BH11" i="4"/>
  <c r="BH13" i="4" s="1"/>
  <c r="BH154" i="243" s="1"/>
  <c r="AZ4" i="4"/>
  <c r="AE6" i="4"/>
  <c r="S4" i="220" s="1"/>
  <c r="CC29" i="4"/>
  <c r="CC31" i="4" s="1"/>
  <c r="AW32" i="4"/>
  <c r="AI32" i="4"/>
  <c r="AB32" i="4"/>
  <c r="CG43" i="4"/>
  <c r="CA56" i="11" s="1"/>
  <c r="CA58" i="11" s="1"/>
  <c r="CK44" i="4"/>
  <c r="BT59" i="4"/>
  <c r="BT47" i="4" s="1"/>
  <c r="BF51" i="4"/>
  <c r="BG58" i="11" s="1"/>
  <c r="BH43" i="4"/>
  <c r="BI51" i="4"/>
  <c r="BJ58" i="11" s="1"/>
  <c r="BI59" i="4"/>
  <c r="BB44" i="4"/>
  <c r="AY47" i="4"/>
  <c r="AK45" i="4"/>
  <c r="AN58" i="4"/>
  <c r="AN60" i="4" s="1"/>
  <c r="AN22" i="2" s="1"/>
  <c r="AN27" i="2" s="1"/>
  <c r="AN38" i="2" s="1"/>
  <c r="AG45" i="4"/>
  <c r="V44" i="4"/>
  <c r="W45" i="4"/>
  <c r="Z43" i="4"/>
  <c r="X51" i="4"/>
  <c r="Z58" i="4"/>
  <c r="Z60" i="4" s="1"/>
  <c r="Z22" i="2" s="1"/>
  <c r="P44" i="4"/>
  <c r="S45" i="4"/>
  <c r="CN99" i="4"/>
  <c r="BR43" i="4"/>
  <c r="BR46" i="4" s="1"/>
  <c r="AY43" i="4"/>
  <c r="AZ51" i="11" s="1"/>
  <c r="AZ58" i="11" s="1"/>
  <c r="AJ43" i="4"/>
  <c r="AK56" i="11" s="1"/>
  <c r="AK58" i="11" s="1"/>
  <c r="AN43" i="4"/>
  <c r="AO56" i="11" s="1"/>
  <c r="AO58" i="11" s="1"/>
  <c r="AL51" i="4"/>
  <c r="AD44" i="4"/>
  <c r="Z44" i="4"/>
  <c r="X59" i="4"/>
  <c r="P43" i="4"/>
  <c r="P58" i="4"/>
  <c r="P60" i="4" s="1"/>
  <c r="Q52" i="4"/>
  <c r="Q11" i="178" s="1"/>
  <c r="CA46" i="4"/>
  <c r="CA48" i="4" s="1"/>
  <c r="BT54" i="2" s="1"/>
  <c r="S44" i="4"/>
  <c r="BM99" i="4"/>
  <c r="BT99" i="4" s="1"/>
  <c r="BD99" i="4"/>
  <c r="CM99" i="4"/>
  <c r="BA99" i="4"/>
  <c r="AB99" i="4"/>
  <c r="BR58" i="4"/>
  <c r="BR60" i="4" s="1"/>
  <c r="BV58" i="4"/>
  <c r="BV60" i="4" s="1"/>
  <c r="AY45" i="4"/>
  <c r="AZ59" i="4"/>
  <c r="AY58" i="4"/>
  <c r="AY60" i="4" s="1"/>
  <c r="AJ45" i="4"/>
  <c r="AN45" i="4"/>
  <c r="AL53" i="4"/>
  <c r="Z15" i="220" s="1"/>
  <c r="P45" i="4"/>
  <c r="BY46" i="4"/>
  <c r="BY48" i="4" s="1"/>
  <c r="BR54" i="2" s="1"/>
  <c r="BD46" i="4"/>
  <c r="BD48" i="4" s="1"/>
  <c r="BD54" i="2" s="1"/>
  <c r="BA46" i="4"/>
  <c r="BA48" i="4" s="1"/>
  <c r="BA54" i="2" s="1"/>
  <c r="AI46" i="4"/>
  <c r="AI48" i="4" s="1"/>
  <c r="AI54" i="2" s="1"/>
  <c r="U46" i="4"/>
  <c r="U48" i="4" s="1"/>
  <c r="U54" i="2" s="1"/>
  <c r="N46" i="4"/>
  <c r="N48" i="4" s="1"/>
  <c r="N54" i="2" s="1"/>
  <c r="CO99" i="4"/>
  <c r="CH99" i="4"/>
  <c r="AI99" i="4"/>
  <c r="CF99" i="4"/>
  <c r="CJ99" i="4"/>
  <c r="BY99" i="4"/>
  <c r="BE99" i="4"/>
  <c r="N99" i="4"/>
  <c r="R99" i="4"/>
  <c r="BZ99" i="4"/>
  <c r="U99" i="4"/>
  <c r="Y99" i="4"/>
  <c r="AB46" i="4"/>
  <c r="AB48" i="4" s="1"/>
  <c r="AB54" i="2" s="1"/>
  <c r="AF46" i="4"/>
  <c r="AF48" i="4" s="1"/>
  <c r="AF54" i="2" s="1"/>
  <c r="BO11" i="4"/>
  <c r="BO13" i="4" s="1"/>
  <c r="BK99" i="4"/>
  <c r="BR99" i="4" s="1"/>
  <c r="BP12" i="4"/>
  <c r="BN12" i="4" s="1"/>
  <c r="BL99" i="4"/>
  <c r="BS99" i="4" s="1"/>
  <c r="O47" i="4"/>
  <c r="V47" i="4"/>
  <c r="AC47" i="4"/>
  <c r="AJ47" i="4"/>
  <c r="AX47" i="4"/>
  <c r="BZ47" i="4"/>
  <c r="CG47" i="4"/>
  <c r="BE60" i="4"/>
  <c r="BS59" i="4"/>
  <c r="CK59" i="4"/>
  <c r="AG29" i="4"/>
  <c r="AG31" i="4" s="1"/>
  <c r="CP27" i="242"/>
  <c r="CP57" i="242"/>
  <c r="CN240" i="243"/>
  <c r="CP3" i="243"/>
  <c r="CP158" i="243" s="1"/>
  <c r="CQ252" i="243"/>
  <c r="CQ253" i="243" s="1"/>
  <c r="CQ256" i="243"/>
  <c r="CR175" i="243"/>
  <c r="CN175" i="243"/>
  <c r="CN37" i="243"/>
  <c r="CN47" i="243" s="1"/>
  <c r="CR81" i="242"/>
  <c r="CR82" i="242" s="1"/>
  <c r="CP7" i="243"/>
  <c r="CP80" i="242" s="1"/>
  <c r="CP29" i="243"/>
  <c r="CP170" i="243" s="1"/>
  <c r="CP41" i="243"/>
  <c r="CP212" i="243" s="1"/>
  <c r="CF82" i="242"/>
  <c r="CF86" i="242" s="1"/>
  <c r="CG11" i="4"/>
  <c r="CG13" i="4" s="1"/>
  <c r="BZ154" i="243" s="1"/>
  <c r="AZ12" i="4"/>
  <c r="BF4" i="4"/>
  <c r="AX11" i="4"/>
  <c r="AX13" i="4" s="1"/>
  <c r="AZ6" i="4"/>
  <c r="BB11" i="4"/>
  <c r="BB13" i="4" s="1"/>
  <c r="CP240" i="243"/>
  <c r="CO185" i="243"/>
  <c r="CN56" i="243"/>
  <c r="CN241" i="243"/>
  <c r="CN255" i="243"/>
  <c r="CO82" i="242"/>
  <c r="CO86" i="242" s="1"/>
  <c r="CO175" i="243"/>
  <c r="CO243" i="243"/>
  <c r="CO252" i="243"/>
  <c r="CO253" i="243" s="1"/>
  <c r="CR211" i="243"/>
  <c r="CR240" i="243"/>
  <c r="CP8" i="243"/>
  <c r="CP164" i="243" s="1"/>
  <c r="CP30" i="243"/>
  <c r="CP173" i="243" s="1"/>
  <c r="CP40" i="243"/>
  <c r="CP174" i="243" s="1"/>
  <c r="CP204" i="243"/>
  <c r="CP211" i="243" s="1"/>
  <c r="CR241" i="243"/>
  <c r="CN81" i="242"/>
  <c r="CN82" i="242" s="1"/>
  <c r="CN86" i="242" s="1"/>
  <c r="CN212" i="243"/>
  <c r="CO45" i="243"/>
  <c r="CQ175" i="243"/>
  <c r="CQ243" i="243"/>
  <c r="CN211" i="243"/>
  <c r="CR83" i="242"/>
  <c r="CR255" i="243"/>
  <c r="CP38" i="243"/>
  <c r="CP51" i="243"/>
  <c r="CP255" i="243"/>
  <c r="CP29" i="242"/>
  <c r="CP36" i="242"/>
  <c r="CO20" i="242"/>
  <c r="CO26" i="242"/>
  <c r="CN38" i="242"/>
  <c r="CN189" i="243"/>
  <c r="CO34" i="242"/>
  <c r="CP34" i="242" s="1"/>
  <c r="CQ11" i="4"/>
  <c r="CQ13" i="4" s="1"/>
  <c r="CJ154" i="243" s="1"/>
  <c r="CK11" i="4"/>
  <c r="CK13" i="4" s="1"/>
  <c r="BI4" i="4"/>
  <c r="BJ11" i="11" s="1"/>
  <c r="BF5" i="4"/>
  <c r="CC11" i="4"/>
  <c r="CC13" i="4" s="1"/>
  <c r="CF58" i="243"/>
  <c r="CF59" i="243" s="1"/>
  <c r="CF53" i="242"/>
  <c r="CO211" i="243"/>
  <c r="CO213" i="243" s="1"/>
  <c r="CO34" i="243"/>
  <c r="CO178" i="243" s="1"/>
  <c r="CO186" i="243" s="1"/>
  <c r="CO58" i="243"/>
  <c r="CO59" i="243" s="1"/>
  <c r="CQ82" i="242"/>
  <c r="CQ86" i="242" s="1"/>
  <c r="CQ31" i="242"/>
  <c r="AJ40" i="4" l="1"/>
  <c r="CR18" i="4"/>
  <c r="CP6" i="4"/>
  <c r="BP4" i="220" s="1"/>
  <c r="BP28" i="220" s="1"/>
  <c r="CN35" i="243"/>
  <c r="CN49" i="243" s="1"/>
  <c r="CN58" i="243" s="1"/>
  <c r="CB6" i="4"/>
  <c r="BB4" i="220" s="1"/>
  <c r="BB19" i="220" s="1"/>
  <c r="CK17" i="4"/>
  <c r="CN40" i="4"/>
  <c r="AR153" i="243"/>
  <c r="CG40" i="4"/>
  <c r="AQ8" i="178"/>
  <c r="BJ12" i="11"/>
  <c r="BE40" i="4"/>
  <c r="BK179" i="243"/>
  <c r="BK159" i="243"/>
  <c r="AK43" i="11"/>
  <c r="BM153" i="243"/>
  <c r="AR171" i="243"/>
  <c r="AK8" i="178"/>
  <c r="BK171" i="243"/>
  <c r="CQ167" i="243"/>
  <c r="CQ185" i="243" s="1"/>
  <c r="BK176" i="243"/>
  <c r="BK165" i="243"/>
  <c r="BK162" i="243"/>
  <c r="BG76" i="220"/>
  <c r="BK153" i="243"/>
  <c r="CN11" i="243"/>
  <c r="CN24" i="243" s="1"/>
  <c r="BM162" i="243"/>
  <c r="BL10" i="2"/>
  <c r="BL11" i="2" s="1"/>
  <c r="AR165" i="243"/>
  <c r="AR159" i="243"/>
  <c r="AR176" i="243"/>
  <c r="AR162" i="243"/>
  <c r="AR168" i="243"/>
  <c r="EN18" i="243"/>
  <c r="EK18" i="243" s="1"/>
  <c r="EL18" i="243" s="1"/>
  <c r="EJ18" i="243"/>
  <c r="BC206" i="4"/>
  <c r="BT132" i="4"/>
  <c r="CQ178" i="243"/>
  <c r="CQ186" i="243" s="1"/>
  <c r="CQ59" i="243"/>
  <c r="CK119" i="11"/>
  <c r="CK143" i="11" s="1"/>
  <c r="CK74" i="11" s="1"/>
  <c r="BC119" i="11"/>
  <c r="BC143" i="11" s="1"/>
  <c r="BC74" i="11" s="1"/>
  <c r="BB119" i="11"/>
  <c r="BB143" i="11" s="1"/>
  <c r="BB74" i="11" s="1"/>
  <c r="CF179" i="243"/>
  <c r="AS43" i="4"/>
  <c r="AT51" i="11" s="1"/>
  <c r="AT58" i="11" s="1"/>
  <c r="BF40" i="4"/>
  <c r="BG36" i="4"/>
  <c r="BH52" i="11" s="1"/>
  <c r="AT171" i="243"/>
  <c r="BZ46" i="4"/>
  <c r="BZ48" i="4" s="1"/>
  <c r="BS54" i="2" s="1"/>
  <c r="AS29" i="4"/>
  <c r="AS31" i="4" s="1"/>
  <c r="BS40" i="4"/>
  <c r="BK10" i="2"/>
  <c r="BK11" i="2" s="1"/>
  <c r="AE16" i="220"/>
  <c r="CB5" i="4"/>
  <c r="CI17" i="4" s="1"/>
  <c r="BD112" i="4"/>
  <c r="BZ40" i="4"/>
  <c r="CC46" i="4"/>
  <c r="CC48" i="4" s="1"/>
  <c r="BV54" i="2" s="1"/>
  <c r="AT153" i="243"/>
  <c r="BW38" i="2"/>
  <c r="BW42" i="2" s="1"/>
  <c r="BW46" i="2" s="1"/>
  <c r="BW3" i="242" s="1"/>
  <c r="BL176" i="243"/>
  <c r="BK7" i="220"/>
  <c r="BL159" i="243"/>
  <c r="X5" i="220"/>
  <c r="CO112" i="4"/>
  <c r="AT159" i="243"/>
  <c r="Q19" i="220"/>
  <c r="BP119" i="11"/>
  <c r="BP143" i="11" s="1"/>
  <c r="BP74" i="11" s="1"/>
  <c r="BC46" i="11"/>
  <c r="AD46" i="11"/>
  <c r="Y10" i="220"/>
  <c r="AT162" i="243"/>
  <c r="AT165" i="243"/>
  <c r="W46" i="11"/>
  <c r="BD16" i="220"/>
  <c r="AT179" i="243"/>
  <c r="BR13" i="2"/>
  <c r="BR156" i="243" s="1"/>
  <c r="AT168" i="243"/>
  <c r="CE43" i="11"/>
  <c r="U76" i="220"/>
  <c r="Q8" i="178"/>
  <c r="BK5" i="220"/>
  <c r="AX132" i="4"/>
  <c r="AE8" i="178"/>
  <c r="CG132" i="4"/>
  <c r="BV23" i="4"/>
  <c r="AZ17" i="4"/>
  <c r="BM10" i="2"/>
  <c r="BM11" i="2" s="1"/>
  <c r="N76" i="220"/>
  <c r="Q10" i="220"/>
  <c r="BK112" i="4"/>
  <c r="X40" i="4"/>
  <c r="X7" i="220"/>
  <c r="R46" i="11"/>
  <c r="BU15" i="178"/>
  <c r="CH15" i="2"/>
  <c r="BZ132" i="4"/>
  <c r="AL8" i="178"/>
  <c r="CO132" i="4"/>
  <c r="BT234" i="243"/>
  <c r="BT235" i="243" s="1"/>
  <c r="AP171" i="243"/>
  <c r="BI17" i="4"/>
  <c r="BU29" i="2"/>
  <c r="BU31" i="2" s="1"/>
  <c r="BU36" i="2" s="1"/>
  <c r="AU8" i="178"/>
  <c r="EP18" i="243"/>
  <c r="EO18" i="243" s="1"/>
  <c r="EM18" i="243" s="1"/>
  <c r="BB12" i="178"/>
  <c r="R76" i="220"/>
  <c r="CF112" i="4"/>
  <c r="CD119" i="11"/>
  <c r="CD143" i="11" s="1"/>
  <c r="CD74" i="11" s="1"/>
  <c r="X15" i="178"/>
  <c r="AP176" i="243"/>
  <c r="AO12" i="11"/>
  <c r="AZ43" i="11"/>
  <c r="CN243" i="243"/>
  <c r="CO246" i="243" s="1"/>
  <c r="AZ18" i="4"/>
  <c r="AV200" i="4"/>
  <c r="CR132" i="4"/>
  <c r="BT125" i="4"/>
  <c r="Q15" i="178"/>
  <c r="AZ122" i="4"/>
  <c r="AZ124" i="4" s="1"/>
  <c r="AZ15" i="2" s="1"/>
  <c r="L19" i="220"/>
  <c r="AP159" i="243"/>
  <c r="BF16" i="11"/>
  <c r="AP165" i="243"/>
  <c r="CH16" i="11"/>
  <c r="J76" i="220"/>
  <c r="P16" i="11"/>
  <c r="AU119" i="11"/>
  <c r="AU143" i="11" s="1"/>
  <c r="AU74" i="11" s="1"/>
  <c r="AV119" i="11"/>
  <c r="AV143" i="11" s="1"/>
  <c r="AV74" i="11" s="1"/>
  <c r="AZ59" i="11"/>
  <c r="AZ60" i="11"/>
  <c r="AY60" i="11"/>
  <c r="AY59" i="11"/>
  <c r="BC59" i="11"/>
  <c r="CA59" i="11"/>
  <c r="CA60" i="11"/>
  <c r="CH60" i="11"/>
  <c r="CE59" i="11"/>
  <c r="CK59" i="11"/>
  <c r="CK60" i="11"/>
  <c r="AK60" i="11"/>
  <c r="AK59" i="11"/>
  <c r="AL60" i="11"/>
  <c r="AL59" i="11"/>
  <c r="AS60" i="11"/>
  <c r="AD59" i="11"/>
  <c r="AD60" i="11"/>
  <c r="BF60" i="11"/>
  <c r="AR59" i="11"/>
  <c r="AR60" i="11"/>
  <c r="AE59" i="11"/>
  <c r="AE60" i="11"/>
  <c r="AH60" i="11"/>
  <c r="AH59" i="11"/>
  <c r="X60" i="11"/>
  <c r="X59" i="11"/>
  <c r="AL5" i="11"/>
  <c r="AL12" i="11"/>
  <c r="AS12" i="11"/>
  <c r="AL9" i="11"/>
  <c r="BR16" i="220"/>
  <c r="AK5" i="178"/>
  <c r="AK24" i="178"/>
  <c r="AR5" i="178"/>
  <c r="BU24" i="178"/>
  <c r="AG4" i="220"/>
  <c r="AG10" i="220" s="1"/>
  <c r="AS18" i="4"/>
  <c r="AA43" i="11"/>
  <c r="AL46" i="11"/>
  <c r="BC75" i="220"/>
  <c r="BC10" i="220"/>
  <c r="BC14" i="220"/>
  <c r="AB73" i="220"/>
  <c r="AB29" i="220"/>
  <c r="AJ25" i="178"/>
  <c r="AJ68" i="178"/>
  <c r="AJ37" i="178"/>
  <c r="AJ45" i="178"/>
  <c r="AJ46" i="178" s="1"/>
  <c r="AJ34" i="178"/>
  <c r="BA24" i="178"/>
  <c r="BA5" i="178"/>
  <c r="BA15" i="178"/>
  <c r="AA46" i="11"/>
  <c r="AO59" i="11"/>
  <c r="AO60" i="11"/>
  <c r="BC5" i="220"/>
  <c r="BC28" i="220"/>
  <c r="BC7" i="220"/>
  <c r="BJ7" i="220"/>
  <c r="BC16" i="220"/>
  <c r="BJ5" i="220"/>
  <c r="BC19" i="220"/>
  <c r="BS25" i="178"/>
  <c r="BZ25" i="178"/>
  <c r="BS37" i="178"/>
  <c r="BS34" i="178"/>
  <c r="BS38" i="178" s="1"/>
  <c r="BS45" i="178"/>
  <c r="BS46" i="178" s="1"/>
  <c r="BH8" i="178"/>
  <c r="BH10" i="178"/>
  <c r="BN6" i="4"/>
  <c r="AW4" i="220"/>
  <c r="BD7" i="220" s="1"/>
  <c r="BP18" i="4"/>
  <c r="BU8" i="178"/>
  <c r="R44" i="220"/>
  <c r="R46" i="220"/>
  <c r="R41" i="220"/>
  <c r="R45" i="220"/>
  <c r="R31" i="220"/>
  <c r="R43" i="220"/>
  <c r="R73" i="220"/>
  <c r="R29" i="220"/>
  <c r="R40" i="220"/>
  <c r="R42" i="220"/>
  <c r="BG52" i="4"/>
  <c r="AZ11" i="178" s="1"/>
  <c r="AY11" i="178"/>
  <c r="S5" i="220"/>
  <c r="S28" i="220"/>
  <c r="BJ47" i="11"/>
  <c r="BJ46" i="11"/>
  <c r="AL12" i="178"/>
  <c r="AL10" i="178"/>
  <c r="Y47" i="11"/>
  <c r="Y58" i="11"/>
  <c r="Z10" i="220"/>
  <c r="Z75" i="220"/>
  <c r="CR44" i="4"/>
  <c r="CD11" i="178"/>
  <c r="Z28" i="220"/>
  <c r="Z7" i="220"/>
  <c r="Z5" i="220"/>
  <c r="R43" i="11"/>
  <c r="AL15" i="178"/>
  <c r="CB122" i="4"/>
  <c r="CB124" i="4" s="1"/>
  <c r="BU15" i="2" s="1"/>
  <c r="BV42" i="11"/>
  <c r="CB205" i="4"/>
  <c r="BV141" i="11" s="1"/>
  <c r="AI13" i="2"/>
  <c r="AI156" i="243" s="1"/>
  <c r="BD13" i="2"/>
  <c r="BD156" i="243" s="1"/>
  <c r="BL168" i="243"/>
  <c r="BL171" i="243"/>
  <c r="BM179" i="243"/>
  <c r="BM171" i="243"/>
  <c r="BQ141" i="11"/>
  <c r="AR12" i="11"/>
  <c r="AR15" i="11"/>
  <c r="AR14" i="11"/>
  <c r="AR43" i="11"/>
  <c r="BN26" i="4"/>
  <c r="BN43" i="4" s="1"/>
  <c r="BQ45" i="11"/>
  <c r="AK15" i="178"/>
  <c r="AE46" i="11"/>
  <c r="AZ16" i="220"/>
  <c r="AZ14" i="220"/>
  <c r="CP27" i="4"/>
  <c r="CB7" i="178" s="1"/>
  <c r="CD7" i="178"/>
  <c r="CD8" i="178" s="1"/>
  <c r="AO5" i="220"/>
  <c r="AO28" i="220"/>
  <c r="AO7" i="220"/>
  <c r="AO19" i="220"/>
  <c r="BQ28" i="220"/>
  <c r="BQ7" i="220"/>
  <c r="BQ19" i="220"/>
  <c r="BQ5" i="220"/>
  <c r="AG25" i="178"/>
  <c r="AG68" i="178"/>
  <c r="BK73" i="220"/>
  <c r="BA8" i="178"/>
  <c r="AH12" i="11"/>
  <c r="BO24" i="178"/>
  <c r="BO5" i="178"/>
  <c r="BO15" i="178"/>
  <c r="BV5" i="178"/>
  <c r="BO12" i="178"/>
  <c r="AE5" i="220"/>
  <c r="AE28" i="220"/>
  <c r="AE76" i="220" s="1"/>
  <c r="AE7" i="220"/>
  <c r="AL5" i="220"/>
  <c r="AL7" i="220"/>
  <c r="AE19" i="220"/>
  <c r="AS14" i="220"/>
  <c r="AS16" i="220"/>
  <c r="AO43" i="11"/>
  <c r="BW143" i="11"/>
  <c r="BW74" i="11" s="1"/>
  <c r="BE95" i="11"/>
  <c r="BE90" i="11"/>
  <c r="BI87" i="11"/>
  <c r="BI90" i="11" s="1"/>
  <c r="K29" i="220"/>
  <c r="U29" i="220"/>
  <c r="U73" i="220"/>
  <c r="BB24" i="178"/>
  <c r="BB5" i="178"/>
  <c r="BP5" i="11"/>
  <c r="BM5" i="11" s="1"/>
  <c r="BM14" i="11" s="1"/>
  <c r="BP9" i="11"/>
  <c r="BM9" i="11" s="1"/>
  <c r="BM15" i="11" s="1"/>
  <c r="BP12" i="11"/>
  <c r="BP43" i="11"/>
  <c r="BO8" i="178"/>
  <c r="Y7" i="220"/>
  <c r="Y28" i="220"/>
  <c r="Y76" i="220" s="1"/>
  <c r="Y5" i="220"/>
  <c r="AF5" i="220"/>
  <c r="AF7" i="220"/>
  <c r="BD28" i="220"/>
  <c r="BK29" i="220" s="1"/>
  <c r="Z68" i="178"/>
  <c r="Z25" i="178"/>
  <c r="AR46" i="11"/>
  <c r="AU24" i="178"/>
  <c r="AU5" i="178"/>
  <c r="AU15" i="178"/>
  <c r="BN27" i="4"/>
  <c r="BG7" i="178" s="1"/>
  <c r="BG10" i="178" s="1"/>
  <c r="BI7" i="178"/>
  <c r="BJ43" i="11"/>
  <c r="BL95" i="11"/>
  <c r="BL90" i="11"/>
  <c r="BP87" i="11"/>
  <c r="BP90" i="11" s="1"/>
  <c r="AH46" i="11"/>
  <c r="W12" i="11"/>
  <c r="W15" i="11"/>
  <c r="W14" i="11"/>
  <c r="AD12" i="11"/>
  <c r="AD14" i="11"/>
  <c r="AD15" i="11"/>
  <c r="CA16" i="11"/>
  <c r="AY4" i="178"/>
  <c r="AY8" i="178" s="1"/>
  <c r="BT17" i="4"/>
  <c r="BM17" i="4"/>
  <c r="BB8" i="2"/>
  <c r="BB10" i="2" s="1"/>
  <c r="BB11" i="2" s="1"/>
  <c r="X45" i="4"/>
  <c r="L15" i="220"/>
  <c r="BG53" i="4"/>
  <c r="AN15" i="220" s="1"/>
  <c r="AP15" i="220"/>
  <c r="AP14" i="220" s="1"/>
  <c r="BA18" i="2"/>
  <c r="BA13" i="2" s="1"/>
  <c r="BA112" i="4"/>
  <c r="BP47" i="11"/>
  <c r="BP46" i="11"/>
  <c r="AE5" i="11"/>
  <c r="AE12" i="11"/>
  <c r="AE9" i="11"/>
  <c r="Z16" i="220"/>
  <c r="Z14" i="220"/>
  <c r="BJ56" i="11"/>
  <c r="BJ59" i="11"/>
  <c r="BB10" i="178"/>
  <c r="BB8" i="178"/>
  <c r="CD24" i="178"/>
  <c r="CD5" i="178"/>
  <c r="CI45" i="4"/>
  <c r="BI15" i="220"/>
  <c r="E16" i="220"/>
  <c r="E14" i="220"/>
  <c r="AX8" i="2"/>
  <c r="AX10" i="2" s="1"/>
  <c r="AX11" i="2" s="1"/>
  <c r="BA11" i="11"/>
  <c r="BA46" i="11" s="1"/>
  <c r="AZ16" i="4"/>
  <c r="CI44" i="4"/>
  <c r="AW18" i="2"/>
  <c r="AW13" i="2" s="1"/>
  <c r="AW112" i="4"/>
  <c r="X24" i="178"/>
  <c r="X5" i="178"/>
  <c r="BI45" i="4"/>
  <c r="CB27" i="4"/>
  <c r="BP7" i="178"/>
  <c r="BA47" i="11"/>
  <c r="AY23" i="4"/>
  <c r="L10" i="220"/>
  <c r="L75" i="220"/>
  <c r="S10" i="220"/>
  <c r="S75" i="220"/>
  <c r="X12" i="178"/>
  <c r="X10" i="178"/>
  <c r="AB13" i="2"/>
  <c r="AB156" i="243" s="1"/>
  <c r="AE24" i="178"/>
  <c r="AE5" i="178"/>
  <c r="BO46" i="4"/>
  <c r="BO48" i="4" s="1"/>
  <c r="BP56" i="11"/>
  <c r="BP58" i="11" s="1"/>
  <c r="AT11" i="11"/>
  <c r="AT46" i="11" s="1"/>
  <c r="AS16" i="4"/>
  <c r="S19" i="220"/>
  <c r="BG122" i="4"/>
  <c r="BG124" i="4" s="1"/>
  <c r="BG15" i="2" s="1"/>
  <c r="AZ14" i="178"/>
  <c r="BN28" i="4"/>
  <c r="AW9" i="220"/>
  <c r="Z19" i="220"/>
  <c r="BL165" i="243"/>
  <c r="BL153" i="243"/>
  <c r="BM176" i="243"/>
  <c r="BM159" i="243"/>
  <c r="E19" i="220"/>
  <c r="AP162" i="243"/>
  <c r="AP168" i="243"/>
  <c r="CK200" i="4"/>
  <c r="CI200" i="4" s="1"/>
  <c r="AV47" i="11"/>
  <c r="AV58" i="11"/>
  <c r="AV46" i="11"/>
  <c r="CC10" i="178"/>
  <c r="BQ10" i="220"/>
  <c r="BQ75" i="220"/>
  <c r="AT23" i="4"/>
  <c r="BN95" i="11"/>
  <c r="BN98" i="11" s="1"/>
  <c r="BN90" i="11"/>
  <c r="J29" i="220"/>
  <c r="J73" i="220"/>
  <c r="J37" i="220"/>
  <c r="J38" i="220" s="1"/>
  <c r="J52" i="220"/>
  <c r="J53" i="220"/>
  <c r="J50" i="220"/>
  <c r="J34" i="220"/>
  <c r="J54" i="220"/>
  <c r="J48" i="220"/>
  <c r="J51" i="220"/>
  <c r="J49" i="220"/>
  <c r="Q28" i="220"/>
  <c r="X29" i="220" s="1"/>
  <c r="Q5" i="220"/>
  <c r="AY12" i="11"/>
  <c r="BF12" i="11"/>
  <c r="AY14" i="11"/>
  <c r="AY15" i="11"/>
  <c r="AM4" i="220"/>
  <c r="AM16" i="220" s="1"/>
  <c r="BT18" i="4"/>
  <c r="BM18" i="4"/>
  <c r="BT16" i="11"/>
  <c r="BR28" i="220"/>
  <c r="BR7" i="220"/>
  <c r="BR5" i="220"/>
  <c r="N29" i="220"/>
  <c r="N73" i="220"/>
  <c r="BP24" i="178"/>
  <c r="AI10" i="220"/>
  <c r="AI75" i="220"/>
  <c r="BM95" i="11"/>
  <c r="BM98" i="11" s="1"/>
  <c r="BM90" i="11"/>
  <c r="D76" i="220"/>
  <c r="BK14" i="220"/>
  <c r="BK75" i="220"/>
  <c r="BK76" i="220" s="1"/>
  <c r="BK10" i="220"/>
  <c r="P34" i="178"/>
  <c r="P31" i="178"/>
  <c r="BC12" i="11"/>
  <c r="BG29" i="220"/>
  <c r="BG73" i="220"/>
  <c r="BN29" i="220"/>
  <c r="BG49" i="220"/>
  <c r="BG52" i="220"/>
  <c r="BG37" i="220"/>
  <c r="BG38" i="220" s="1"/>
  <c r="BG54" i="220"/>
  <c r="BG53" i="220"/>
  <c r="BG50" i="220"/>
  <c r="BG34" i="220"/>
  <c r="BG48" i="220"/>
  <c r="BG51" i="220"/>
  <c r="CC40" i="178"/>
  <c r="CC27" i="178"/>
  <c r="CC34" i="178" s="1"/>
  <c r="CC25" i="178"/>
  <c r="CC42" i="178"/>
  <c r="AO75" i="220"/>
  <c r="AO10" i="220"/>
  <c r="W40" i="178"/>
  <c r="W41" i="178" s="1"/>
  <c r="W27" i="178"/>
  <c r="W68" i="178"/>
  <c r="W42" i="178"/>
  <c r="W43" i="178" s="1"/>
  <c r="AZ5" i="11"/>
  <c r="AZ12" i="11"/>
  <c r="AZ9" i="11"/>
  <c r="AS4" i="178"/>
  <c r="AS12" i="178" s="1"/>
  <c r="AS17" i="4"/>
  <c r="Y19" i="220"/>
  <c r="BH95" i="11"/>
  <c r="BH98" i="11" s="1"/>
  <c r="BH90" i="11"/>
  <c r="BU152" i="243"/>
  <c r="BV11" i="11"/>
  <c r="Q12" i="178"/>
  <c r="Q10" i="178"/>
  <c r="AE43" i="4"/>
  <c r="AF56" i="11" s="1"/>
  <c r="AF45" i="11"/>
  <c r="AM47" i="11" s="1"/>
  <c r="X152" i="243"/>
  <c r="Y11" i="11"/>
  <c r="Y12" i="11" s="1"/>
  <c r="U13" i="2"/>
  <c r="U156" i="243" s="1"/>
  <c r="BN59" i="11"/>
  <c r="BN60" i="11"/>
  <c r="AV12" i="11"/>
  <c r="AV43" i="11"/>
  <c r="BG95" i="11"/>
  <c r="BG90" i="11"/>
  <c r="BJ87" i="11"/>
  <c r="BJ90" i="11" s="1"/>
  <c r="BN5" i="4"/>
  <c r="BI4" i="178"/>
  <c r="BP5" i="178" s="1"/>
  <c r="BP17" i="4"/>
  <c r="BW47" i="11"/>
  <c r="BW58" i="11"/>
  <c r="BW46" i="11"/>
  <c r="CD47" i="11"/>
  <c r="BU12" i="178"/>
  <c r="BU10" i="178"/>
  <c r="BG47" i="11"/>
  <c r="BN47" i="11"/>
  <c r="AS10" i="178"/>
  <c r="AE12" i="178"/>
  <c r="AE10" i="178"/>
  <c r="CP53" i="4"/>
  <c r="CL47" i="11"/>
  <c r="BP11" i="4"/>
  <c r="BP13" i="4" s="1"/>
  <c r="BG28" i="4"/>
  <c r="AN9" i="220" s="1"/>
  <c r="AM9" i="220"/>
  <c r="CB26" i="4"/>
  <c r="BV45" i="11" s="1"/>
  <c r="BX45" i="11"/>
  <c r="BG11" i="11"/>
  <c r="BG46" i="11" s="1"/>
  <c r="BT16" i="4"/>
  <c r="BM16" i="4"/>
  <c r="BS60" i="4"/>
  <c r="BS111" i="4" s="1"/>
  <c r="BO125" i="4"/>
  <c r="BO23" i="4"/>
  <c r="BG56" i="11"/>
  <c r="BG60" i="11"/>
  <c r="BI28" i="220"/>
  <c r="AE152" i="243"/>
  <c r="AF11" i="11"/>
  <c r="S16" i="220"/>
  <c r="S14" i="220"/>
  <c r="CR45" i="4"/>
  <c r="AL24" i="178"/>
  <c r="AL5" i="178"/>
  <c r="CB152" i="243"/>
  <c r="CC11" i="11"/>
  <c r="CI29" i="4"/>
  <c r="CI31" i="4" s="1"/>
  <c r="CC45" i="11"/>
  <c r="AL152" i="243"/>
  <c r="AM11" i="11"/>
  <c r="E10" i="220"/>
  <c r="E75" i="220"/>
  <c r="E76" i="220" s="1"/>
  <c r="L28" i="220"/>
  <c r="L5" i="220"/>
  <c r="BI18" i="4"/>
  <c r="AP4" i="220"/>
  <c r="AP10" i="220" s="1"/>
  <c r="CB28" i="4"/>
  <c r="BB9" i="220" s="1"/>
  <c r="BD9" i="220"/>
  <c r="X8" i="178"/>
  <c r="BL132" i="4"/>
  <c r="P132" i="4"/>
  <c r="AS45" i="4"/>
  <c r="AG15" i="220"/>
  <c r="AQ154" i="243"/>
  <c r="AQ171" i="243" s="1"/>
  <c r="BW152" i="243"/>
  <c r="BX11" i="11"/>
  <c r="CE12" i="11" s="1"/>
  <c r="CK152" i="243"/>
  <c r="CL11" i="11"/>
  <c r="BI19" i="220"/>
  <c r="BL179" i="243"/>
  <c r="AE15" i="178"/>
  <c r="BM165" i="243"/>
  <c r="AP179" i="243"/>
  <c r="AS44" i="4"/>
  <c r="AT47" i="11"/>
  <c r="BH24" i="178"/>
  <c r="BH5" i="178"/>
  <c r="BH12" i="178"/>
  <c r="BH15" i="178"/>
  <c r="AO16" i="220"/>
  <c r="AO14" i="220"/>
  <c r="CP28" i="4"/>
  <c r="BP9" i="220" s="1"/>
  <c r="BR9" i="220"/>
  <c r="AL43" i="11"/>
  <c r="BF95" i="11"/>
  <c r="BF98" i="11" s="1"/>
  <c r="BF90" i="11"/>
  <c r="BN4" i="4"/>
  <c r="BP16" i="4"/>
  <c r="BU60" i="11"/>
  <c r="BA12" i="178"/>
  <c r="BW12" i="178"/>
  <c r="BW10" i="178"/>
  <c r="W60" i="11"/>
  <c r="W59" i="11"/>
  <c r="AB76" i="220"/>
  <c r="BI47" i="11"/>
  <c r="BI46" i="11"/>
  <c r="X73" i="220"/>
  <c r="X49" i="220"/>
  <c r="X37" i="220"/>
  <c r="X38" i="220" s="1"/>
  <c r="X52" i="220"/>
  <c r="X34" i="220"/>
  <c r="X51" i="220"/>
  <c r="X54" i="220"/>
  <c r="X48" i="220"/>
  <c r="X50" i="220"/>
  <c r="X53" i="220"/>
  <c r="BQ14" i="220"/>
  <c r="BQ16" i="220"/>
  <c r="X76" i="220"/>
  <c r="AN25" i="178"/>
  <c r="AN68" i="178"/>
  <c r="X5" i="11"/>
  <c r="X12" i="11"/>
  <c r="X9" i="11"/>
  <c r="BW24" i="178"/>
  <c r="BW5" i="178"/>
  <c r="AU10" i="178"/>
  <c r="AU12" i="178"/>
  <c r="AG75" i="220"/>
  <c r="AI5" i="220"/>
  <c r="AI28" i="220"/>
  <c r="AI7" i="220"/>
  <c r="AI19" i="220"/>
  <c r="AV10" i="220"/>
  <c r="AV75" i="220"/>
  <c r="AV14" i="220"/>
  <c r="AY43" i="11"/>
  <c r="CD15" i="178"/>
  <c r="X46" i="11"/>
  <c r="BI10" i="220"/>
  <c r="BI75" i="220"/>
  <c r="V68" i="178"/>
  <c r="V34" i="178"/>
  <c r="V25" i="178"/>
  <c r="V45" i="178"/>
  <c r="V46" i="178" s="1"/>
  <c r="V37" i="178"/>
  <c r="AC25" i="178"/>
  <c r="AC68" i="178"/>
  <c r="AC34" i="178"/>
  <c r="AC45" i="178"/>
  <c r="AC46" i="178" s="1"/>
  <c r="AC37" i="178"/>
  <c r="AA60" i="11"/>
  <c r="AA59" i="11"/>
  <c r="AO46" i="11"/>
  <c r="AP75" i="220"/>
  <c r="AD42" i="178"/>
  <c r="AD27" i="178"/>
  <c r="AD40" i="178"/>
  <c r="AD68" i="178"/>
  <c r="AD25" i="178"/>
  <c r="AQ24" i="178"/>
  <c r="AQ5" i="178"/>
  <c r="AX5" i="178"/>
  <c r="AQ15" i="178"/>
  <c r="AV5" i="220"/>
  <c r="AV28" i="220"/>
  <c r="AV7" i="220"/>
  <c r="AV16" i="220"/>
  <c r="AV19" i="220"/>
  <c r="BP12" i="178"/>
  <c r="BW8" i="178"/>
  <c r="AK12" i="11"/>
  <c r="AK15" i="11"/>
  <c r="AK14" i="11"/>
  <c r="CP194" i="4"/>
  <c r="CJ109" i="11" s="1"/>
  <c r="CL109" i="11"/>
  <c r="CI196" i="4"/>
  <c r="CC111" i="11" s="1"/>
  <c r="CE111" i="11"/>
  <c r="CB199" i="4"/>
  <c r="BV116" i="11" s="1"/>
  <c r="BX116" i="11"/>
  <c r="CP199" i="4"/>
  <c r="CJ116" i="11" s="1"/>
  <c r="CL116" i="11"/>
  <c r="BN198" i="4"/>
  <c r="BO115" i="11" s="1"/>
  <c r="BQ115" i="11"/>
  <c r="BN193" i="4"/>
  <c r="BO108" i="11" s="1"/>
  <c r="BQ108" i="11"/>
  <c r="CP197" i="4"/>
  <c r="CJ114" i="11" s="1"/>
  <c r="CL114" i="11"/>
  <c r="BN199" i="4"/>
  <c r="BO116" i="11" s="1"/>
  <c r="BQ116" i="11"/>
  <c r="CI198" i="4"/>
  <c r="CC115" i="11" s="1"/>
  <c r="CE115" i="11"/>
  <c r="CB195" i="4"/>
  <c r="BV110" i="11" s="1"/>
  <c r="BX110" i="11"/>
  <c r="CP195" i="4"/>
  <c r="CJ110" i="11" s="1"/>
  <c r="CL110" i="11"/>
  <c r="BN194" i="4"/>
  <c r="BO109" i="11" s="1"/>
  <c r="BQ109" i="11"/>
  <c r="CI197" i="4"/>
  <c r="CC114" i="11" s="1"/>
  <c r="CE114" i="11"/>
  <c r="CP193" i="4"/>
  <c r="CJ108" i="11" s="1"/>
  <c r="CL108" i="11"/>
  <c r="BN195" i="4"/>
  <c r="BO110" i="11" s="1"/>
  <c r="BQ110" i="11"/>
  <c r="CI199" i="4"/>
  <c r="CC116" i="11" s="1"/>
  <c r="CE116" i="11"/>
  <c r="CI194" i="4"/>
  <c r="CC109" i="11" s="1"/>
  <c r="CE109" i="11"/>
  <c r="CB198" i="4"/>
  <c r="BV115" i="11" s="1"/>
  <c r="BX115" i="11"/>
  <c r="BN196" i="4"/>
  <c r="BO111" i="11" s="1"/>
  <c r="BQ111" i="11"/>
  <c r="CI193" i="4"/>
  <c r="CC108" i="11" s="1"/>
  <c r="CE108" i="11"/>
  <c r="CB197" i="4"/>
  <c r="BV114" i="11" s="1"/>
  <c r="BX114" i="11"/>
  <c r="CP198" i="4"/>
  <c r="CJ115" i="11" s="1"/>
  <c r="CL115" i="11"/>
  <c r="CI195" i="4"/>
  <c r="CC110" i="11" s="1"/>
  <c r="CE110" i="11"/>
  <c r="CI205" i="4"/>
  <c r="CC141" i="11" s="1"/>
  <c r="CE141" i="11"/>
  <c r="CP196" i="4"/>
  <c r="CJ111" i="11" s="1"/>
  <c r="CL111" i="11"/>
  <c r="CP205" i="4"/>
  <c r="CJ141" i="11" s="1"/>
  <c r="CL141" i="11"/>
  <c r="CB194" i="4"/>
  <c r="BV109" i="11" s="1"/>
  <c r="BX109" i="11"/>
  <c r="BN197" i="4"/>
  <c r="BO114" i="11" s="1"/>
  <c r="BQ114" i="11"/>
  <c r="CB196" i="4"/>
  <c r="BV111" i="11" s="1"/>
  <c r="BX111" i="11"/>
  <c r="CB193" i="4"/>
  <c r="BV108" i="11" s="1"/>
  <c r="BX108" i="11"/>
  <c r="AP18" i="2"/>
  <c r="AP13" i="2" s="1"/>
  <c r="AP156" i="243" s="1"/>
  <c r="AP112" i="4"/>
  <c r="AT18" i="2"/>
  <c r="AT112" i="4"/>
  <c r="BV41" i="2"/>
  <c r="BV42" i="2"/>
  <c r="BV46" i="2" s="1"/>
  <c r="BV3" i="242" s="1"/>
  <c r="BV21" i="242" s="1"/>
  <c r="BV42" i="242" s="1"/>
  <c r="BT38" i="2"/>
  <c r="BT42" i="2" s="1"/>
  <c r="BT46" i="2" s="1"/>
  <c r="BT3" i="242" s="1"/>
  <c r="BT21" i="242" s="1"/>
  <c r="N45" i="242"/>
  <c r="N42" i="242"/>
  <c r="R45" i="242"/>
  <c r="R42" i="242"/>
  <c r="BH153" i="243"/>
  <c r="BH165" i="243"/>
  <c r="BH171" i="243"/>
  <c r="BH159" i="243"/>
  <c r="BH162" i="243"/>
  <c r="BH168" i="243"/>
  <c r="BH176" i="243"/>
  <c r="BH179" i="243"/>
  <c r="AC153" i="243"/>
  <c r="AC171" i="243"/>
  <c r="AC162" i="243"/>
  <c r="AC176" i="243"/>
  <c r="AC159" i="243"/>
  <c r="AC165" i="243"/>
  <c r="AC168" i="243"/>
  <c r="AC179" i="243"/>
  <c r="W8" i="2"/>
  <c r="W154" i="243"/>
  <c r="AM125" i="4"/>
  <c r="AM154" i="243"/>
  <c r="AS11" i="4"/>
  <c r="AS13" i="4" s="1"/>
  <c r="AS152" i="243"/>
  <c r="CN132" i="4"/>
  <c r="CP122" i="4"/>
  <c r="CP124" i="4" s="1"/>
  <c r="CI15" i="2" s="1"/>
  <c r="CG15" i="2"/>
  <c r="AR10" i="2"/>
  <c r="AR11" i="2" s="1"/>
  <c r="AR274" i="243"/>
  <c r="AP10" i="2"/>
  <c r="AP11" i="2" s="1"/>
  <c r="AP274" i="243"/>
  <c r="Y10" i="2"/>
  <c r="Y11" i="2" s="1"/>
  <c r="Y274" i="243"/>
  <c r="AB10" i="2"/>
  <c r="AB11" i="2" s="1"/>
  <c r="AB274" i="243"/>
  <c r="BE10" i="2"/>
  <c r="BE11" i="2" s="1"/>
  <c r="BE274" i="243"/>
  <c r="BF16" i="4"/>
  <c r="BF152" i="243"/>
  <c r="V8" i="2"/>
  <c r="V154" i="243"/>
  <c r="AF159" i="243"/>
  <c r="AF162" i="243"/>
  <c r="AF153" i="243"/>
  <c r="AF171" i="243"/>
  <c r="AF176" i="243"/>
  <c r="AF165" i="243"/>
  <c r="AF179" i="243"/>
  <c r="AF168" i="243"/>
  <c r="CM112" i="4"/>
  <c r="AU32" i="4"/>
  <c r="AT10" i="2"/>
  <c r="AT11" i="2" s="1"/>
  <c r="AT274" i="243"/>
  <c r="BD153" i="243"/>
  <c r="BD162" i="243"/>
  <c r="BD176" i="243"/>
  <c r="BD159" i="243"/>
  <c r="BD171" i="243"/>
  <c r="BD168" i="243"/>
  <c r="BD165" i="243"/>
  <c r="BD179" i="243"/>
  <c r="U153" i="243"/>
  <c r="U171" i="243"/>
  <c r="U162" i="243"/>
  <c r="U159" i="243"/>
  <c r="U165" i="243"/>
  <c r="U179" i="243"/>
  <c r="U176" i="243"/>
  <c r="AI153" i="243"/>
  <c r="AI159" i="243"/>
  <c r="AI162" i="243"/>
  <c r="AI179" i="243"/>
  <c r="AI171" i="243"/>
  <c r="AI165" i="243"/>
  <c r="AI176" i="243"/>
  <c r="AI168" i="243"/>
  <c r="AU8" i="2"/>
  <c r="AU154" i="243"/>
  <c r="BD10" i="2"/>
  <c r="BD11" i="2" s="1"/>
  <c r="BD274" i="243"/>
  <c r="U10" i="2"/>
  <c r="U11" i="2" s="1"/>
  <c r="U274" i="243"/>
  <c r="AI10" i="2"/>
  <c r="AI11" i="2" s="1"/>
  <c r="AI274" i="243"/>
  <c r="BI16" i="4"/>
  <c r="BI152" i="243"/>
  <c r="AK8" i="2"/>
  <c r="AK154" i="243"/>
  <c r="BW132" i="4"/>
  <c r="AK132" i="4"/>
  <c r="X122" i="4"/>
  <c r="X124" i="4" s="1"/>
  <c r="X15" i="2" s="1"/>
  <c r="Y153" i="243"/>
  <c r="Y162" i="243"/>
  <c r="Y171" i="243"/>
  <c r="Y159" i="243"/>
  <c r="Y165" i="243"/>
  <c r="Y176" i="243"/>
  <c r="Y179" i="243"/>
  <c r="AB171" i="243"/>
  <c r="AB162" i="243"/>
  <c r="AB153" i="243"/>
  <c r="AB165" i="243"/>
  <c r="AB159" i="243"/>
  <c r="AB179" i="243"/>
  <c r="AB176" i="243"/>
  <c r="BE153" i="243"/>
  <c r="BE165" i="243"/>
  <c r="BE171" i="243"/>
  <c r="BE162" i="243"/>
  <c r="BE176" i="243"/>
  <c r="BE168" i="243"/>
  <c r="BE159" i="243"/>
  <c r="BE179" i="243"/>
  <c r="AW45" i="242"/>
  <c r="AW42" i="242"/>
  <c r="AF45" i="242"/>
  <c r="AF42" i="242"/>
  <c r="U45" i="242"/>
  <c r="U42" i="242"/>
  <c r="AB45" i="242"/>
  <c r="AB42" i="242"/>
  <c r="CH53" i="242"/>
  <c r="CH52" i="242" s="1"/>
  <c r="CH55" i="242" s="1"/>
  <c r="CH31" i="242"/>
  <c r="CG53" i="242"/>
  <c r="CG52" i="242" s="1"/>
  <c r="CG31" i="242"/>
  <c r="BB132" i="4"/>
  <c r="V132" i="4"/>
  <c r="O132" i="4"/>
  <c r="BN122" i="4"/>
  <c r="BN124" i="4" s="1"/>
  <c r="BV125" i="4"/>
  <c r="BO154" i="243"/>
  <c r="CD11" i="4"/>
  <c r="CD13" i="4" s="1"/>
  <c r="BW8" i="2" s="1"/>
  <c r="CP4" i="4"/>
  <c r="O125" i="4"/>
  <c r="BS43" i="4"/>
  <c r="BS46" i="4" s="1"/>
  <c r="CK16" i="4"/>
  <c r="CH112" i="4"/>
  <c r="AQ46" i="4"/>
  <c r="AQ48" i="4" s="1"/>
  <c r="AQ54" i="2" s="1"/>
  <c r="CR11" i="4"/>
  <c r="CR13" i="4" s="1"/>
  <c r="CK8" i="2" s="1"/>
  <c r="CK274" i="243" s="1"/>
  <c r="CR16" i="4"/>
  <c r="BM132" i="4"/>
  <c r="AJ132" i="4"/>
  <c r="Q122" i="4"/>
  <c r="Q124" i="4" s="1"/>
  <c r="Q15" i="2" s="1"/>
  <c r="CJ206" i="4"/>
  <c r="CJ208" i="4" s="1"/>
  <c r="CR213" i="243"/>
  <c r="CN213" i="243"/>
  <c r="CP273" i="243"/>
  <c r="CN256" i="243"/>
  <c r="CP213" i="243"/>
  <c r="CP82" i="242"/>
  <c r="AQ111" i="4"/>
  <c r="AQ22" i="2"/>
  <c r="AQ27" i="2" s="1"/>
  <c r="AQ38" i="2" s="1"/>
  <c r="AP41" i="2"/>
  <c r="AP42" i="2"/>
  <c r="AP46" i="2" s="1"/>
  <c r="AP3" i="242" s="1"/>
  <c r="AP21" i="242" s="1"/>
  <c r="CC159" i="243"/>
  <c r="CC153" i="243"/>
  <c r="CC165" i="243"/>
  <c r="CC171" i="243"/>
  <c r="CC162" i="243"/>
  <c r="CC179" i="243"/>
  <c r="CC176" i="243"/>
  <c r="CC168" i="243"/>
  <c r="AW48" i="2"/>
  <c r="AW56" i="2"/>
  <c r="AW57" i="2" s="1"/>
  <c r="AW47" i="2"/>
  <c r="AW51" i="2"/>
  <c r="BS10" i="2"/>
  <c r="BS11" i="2" s="1"/>
  <c r="BS274" i="243"/>
  <c r="AM42" i="2"/>
  <c r="AM46" i="2" s="1"/>
  <c r="AM3" i="242" s="1"/>
  <c r="AM21" i="242" s="1"/>
  <c r="AM41" i="2"/>
  <c r="BY171" i="243"/>
  <c r="BY159" i="243"/>
  <c r="BY153" i="243"/>
  <c r="BY165" i="243"/>
  <c r="BY179" i="243"/>
  <c r="BY168" i="243"/>
  <c r="BY176" i="243"/>
  <c r="BY162" i="243"/>
  <c r="CJ159" i="243"/>
  <c r="CJ153" i="243"/>
  <c r="CJ165" i="243"/>
  <c r="CJ171" i="243"/>
  <c r="CJ162" i="243"/>
  <c r="CJ179" i="243"/>
  <c r="CJ176" i="243"/>
  <c r="CJ168" i="243"/>
  <c r="AI112" i="4"/>
  <c r="BB42" i="2"/>
  <c r="BB46" i="2" s="1"/>
  <c r="BB3" i="242" s="1"/>
  <c r="BB41" i="2"/>
  <c r="CD132" i="4"/>
  <c r="AU22" i="2"/>
  <c r="AU27" i="2" s="1"/>
  <c r="AU38" i="2" s="1"/>
  <c r="AU46" i="4"/>
  <c r="CP131" i="4"/>
  <c r="R51" i="2"/>
  <c r="R56" i="2"/>
  <c r="R48" i="2"/>
  <c r="R47" i="2"/>
  <c r="N51" i="2"/>
  <c r="N56" i="2"/>
  <c r="N57" i="2" s="1"/>
  <c r="N48" i="2"/>
  <c r="N47" i="2"/>
  <c r="BD41" i="2"/>
  <c r="BD42" i="2"/>
  <c r="BD46" i="2" s="1"/>
  <c r="BD3" i="242" s="1"/>
  <c r="BD21" i="242" s="1"/>
  <c r="CA159" i="243"/>
  <c r="CA153" i="243"/>
  <c r="CA165" i="243"/>
  <c r="CA171" i="243"/>
  <c r="CA162" i="243"/>
  <c r="CA179" i="243"/>
  <c r="CA168" i="243"/>
  <c r="CA176" i="243"/>
  <c r="P111" i="4"/>
  <c r="P18" i="2" s="1"/>
  <c r="P13" i="2" s="1"/>
  <c r="P22" i="2"/>
  <c r="P27" i="2" s="1"/>
  <c r="P38" i="2" s="1"/>
  <c r="BZ179" i="243"/>
  <c r="BZ171" i="243"/>
  <c r="BZ165" i="243"/>
  <c r="BZ159" i="243"/>
  <c r="BZ153" i="243"/>
  <c r="BZ168" i="243"/>
  <c r="BZ162" i="243"/>
  <c r="BZ176" i="243"/>
  <c r="BE111" i="4"/>
  <c r="BE22" i="2"/>
  <c r="AE122" i="4"/>
  <c r="AE124" i="4" s="1"/>
  <c r="AE15" i="2" s="1"/>
  <c r="CI122" i="4"/>
  <c r="BR10" i="2"/>
  <c r="BR11" i="2" s="1"/>
  <c r="BR274" i="243"/>
  <c r="AI42" i="2"/>
  <c r="AI46" i="2" s="1"/>
  <c r="AI3" i="242" s="1"/>
  <c r="AI21" i="242" s="1"/>
  <c r="AI41" i="2"/>
  <c r="BA42" i="2"/>
  <c r="BA46" i="2" s="1"/>
  <c r="BA3" i="242" s="1"/>
  <c r="BA21" i="242" s="1"/>
  <c r="BA41" i="2"/>
  <c r="CH153" i="243"/>
  <c r="CH171" i="243"/>
  <c r="CH159" i="243"/>
  <c r="CH165" i="243"/>
  <c r="CH168" i="243"/>
  <c r="CH162" i="243"/>
  <c r="CH176" i="243"/>
  <c r="CH179" i="243"/>
  <c r="U47" i="2"/>
  <c r="U56" i="2"/>
  <c r="U57" i="2" s="1"/>
  <c r="U51" i="2"/>
  <c r="U48" i="2"/>
  <c r="BT153" i="243"/>
  <c r="BT162" i="243"/>
  <c r="BT165" i="243"/>
  <c r="BT168" i="243"/>
  <c r="BT176" i="243"/>
  <c r="BT171" i="243"/>
  <c r="BT179" i="243"/>
  <c r="BT159" i="243"/>
  <c r="AK111" i="4"/>
  <c r="AK18" i="2" s="1"/>
  <c r="AK22" i="2"/>
  <c r="AK27" i="2" s="1"/>
  <c r="AK38" i="2" s="1"/>
  <c r="O111" i="4"/>
  <c r="O18" i="2" s="1"/>
  <c r="O22" i="2"/>
  <c r="O27" i="2" s="1"/>
  <c r="O38" i="2" s="1"/>
  <c r="BV8" i="2"/>
  <c r="BV13" i="2" s="1"/>
  <c r="BV154" i="243"/>
  <c r="CD8" i="2"/>
  <c r="CD274" i="243" s="1"/>
  <c r="CD154" i="243"/>
  <c r="AY111" i="4"/>
  <c r="AY22" i="2"/>
  <c r="AY27" i="2" s="1"/>
  <c r="AY38" i="2" s="1"/>
  <c r="AN41" i="2"/>
  <c r="AN42" i="2"/>
  <c r="AN46" i="2" s="1"/>
  <c r="AN3" i="242" s="1"/>
  <c r="AX111" i="4"/>
  <c r="AX22" i="2"/>
  <c r="AX27" i="2" s="1"/>
  <c r="AX38" i="2" s="1"/>
  <c r="BH111" i="4"/>
  <c r="BH112" i="4" s="1"/>
  <c r="BH22" i="2"/>
  <c r="AJ111" i="4"/>
  <c r="AJ18" i="2" s="1"/>
  <c r="AJ22" i="2"/>
  <c r="AJ27" i="2" s="1"/>
  <c r="AJ38" i="2" s="1"/>
  <c r="BP132" i="4"/>
  <c r="AR22" i="2"/>
  <c r="AR27" i="2" s="1"/>
  <c r="AR38" i="2" s="1"/>
  <c r="AR111" i="4"/>
  <c r="AQ8" i="2"/>
  <c r="AQ99" i="4"/>
  <c r="AQ125" i="4"/>
  <c r="BP29" i="4"/>
  <c r="BP31" i="4" s="1"/>
  <c r="BU122" i="4"/>
  <c r="BU124" i="4" s="1"/>
  <c r="BN15" i="2" s="1"/>
  <c r="AT42" i="2"/>
  <c r="AT46" i="2" s="1"/>
  <c r="AT3" i="242" s="1"/>
  <c r="AT21" i="242" s="1"/>
  <c r="AT41" i="2"/>
  <c r="CG171" i="243"/>
  <c r="CG159" i="243"/>
  <c r="CG165" i="243"/>
  <c r="CG153" i="243"/>
  <c r="CG168" i="243"/>
  <c r="CG176" i="243"/>
  <c r="CG162" i="243"/>
  <c r="CG179" i="243"/>
  <c r="BS159" i="243"/>
  <c r="BS153" i="243"/>
  <c r="BS165" i="243"/>
  <c r="BS171" i="243"/>
  <c r="BS162" i="243"/>
  <c r="BS179" i="243"/>
  <c r="BS168" i="243"/>
  <c r="BS176" i="243"/>
  <c r="BT10" i="2"/>
  <c r="BT11" i="2" s="1"/>
  <c r="BT274" i="243"/>
  <c r="CP241" i="243"/>
  <c r="AF56" i="2"/>
  <c r="AB56" i="2"/>
  <c r="AM112" i="4"/>
  <c r="AF18" i="2"/>
  <c r="AF48" i="2"/>
  <c r="AF51" i="2"/>
  <c r="AF47" i="2"/>
  <c r="AD111" i="4"/>
  <c r="AD18" i="2" s="1"/>
  <c r="AD22" i="2"/>
  <c r="AD27" i="2" s="1"/>
  <c r="AD38" i="2" s="1"/>
  <c r="AC111" i="4"/>
  <c r="AC18" i="2" s="1"/>
  <c r="AC22" i="2"/>
  <c r="AC27" i="2" s="1"/>
  <c r="AC38" i="2" s="1"/>
  <c r="AB51" i="2"/>
  <c r="AB47" i="2"/>
  <c r="AB48" i="2"/>
  <c r="AE45" i="4"/>
  <c r="AZ127" i="4"/>
  <c r="AZ131" i="4" s="1"/>
  <c r="AB112" i="4"/>
  <c r="CR200" i="4"/>
  <c r="CA132" i="4"/>
  <c r="BP60" i="4"/>
  <c r="AL122" i="4"/>
  <c r="AL124" i="4" s="1"/>
  <c r="AL15" i="2" s="1"/>
  <c r="CC206" i="4"/>
  <c r="CC208" i="4" s="1"/>
  <c r="BP45" i="4"/>
  <c r="BP46" i="4" s="1"/>
  <c r="CP175" i="243"/>
  <c r="BR111" i="4"/>
  <c r="BK22" i="2"/>
  <c r="AM32" i="4"/>
  <c r="BH23" i="4"/>
  <c r="BH8" i="2"/>
  <c r="CF176" i="243"/>
  <c r="AY125" i="4"/>
  <c r="AC132" i="4"/>
  <c r="AS58" i="4"/>
  <c r="AS60" i="4" s="1"/>
  <c r="BI132" i="4"/>
  <c r="S125" i="4"/>
  <c r="BZ125" i="4"/>
  <c r="BS15" i="2"/>
  <c r="P125" i="4"/>
  <c r="CD200" i="4"/>
  <c r="BB125" i="4"/>
  <c r="BV111" i="4"/>
  <c r="BO22" i="2"/>
  <c r="BZ111" i="4"/>
  <c r="BS22" i="2"/>
  <c r="AM99" i="4"/>
  <c r="AM8" i="2"/>
  <c r="AM13" i="2" s="1"/>
  <c r="BO32" i="4"/>
  <c r="CG125" i="4"/>
  <c r="BZ15" i="2"/>
  <c r="AX125" i="4"/>
  <c r="AY99" i="4"/>
  <c r="AY8" i="2"/>
  <c r="AY10" i="2" s="1"/>
  <c r="AY11" i="2" s="1"/>
  <c r="AF23" i="4"/>
  <c r="AF8" i="2"/>
  <c r="AC125" i="4"/>
  <c r="BL40" i="4"/>
  <c r="BG127" i="4"/>
  <c r="BG131" i="4" s="1"/>
  <c r="AF125" i="4"/>
  <c r="V125" i="4"/>
  <c r="BR41" i="2"/>
  <c r="BR42" i="2"/>
  <c r="BR46" i="2" s="1"/>
  <c r="BR3" i="242" s="1"/>
  <c r="BR21" i="242" s="1"/>
  <c r="AK125" i="4"/>
  <c r="BP15" i="2"/>
  <c r="CC125" i="4"/>
  <c r="CA125" i="4"/>
  <c r="BT15" i="2"/>
  <c r="O99" i="4"/>
  <c r="O8" i="2"/>
  <c r="O10" i="2" s="1"/>
  <c r="O11" i="2" s="1"/>
  <c r="BO99" i="4"/>
  <c r="BV99" i="4" s="1"/>
  <c r="BO8" i="2"/>
  <c r="AC99" i="4"/>
  <c r="AC8" i="2"/>
  <c r="CQ23" i="4"/>
  <c r="CJ8" i="2"/>
  <c r="CJ274" i="243" s="1"/>
  <c r="CG23" i="4"/>
  <c r="BZ8" i="2"/>
  <c r="BZ274" i="243" s="1"/>
  <c r="CQ111" i="4"/>
  <c r="CQ112" i="4" s="1"/>
  <c r="CJ22" i="2"/>
  <c r="BF29" i="4"/>
  <c r="BF31" i="4" s="1"/>
  <c r="CI11" i="4"/>
  <c r="CI13" i="4" s="1"/>
  <c r="Q45" i="4"/>
  <c r="CG111" i="4"/>
  <c r="CN112" i="4" s="1"/>
  <c r="BZ22" i="2"/>
  <c r="BP200" i="4"/>
  <c r="AD132" i="4"/>
  <c r="AY132" i="4"/>
  <c r="AR40" i="4"/>
  <c r="AS35" i="4"/>
  <c r="AQ32" i="4"/>
  <c r="BS124" i="4"/>
  <c r="BS132" i="4" s="1"/>
  <c r="CQ125" i="4"/>
  <c r="BM46" i="4"/>
  <c r="BM48" i="4" s="1"/>
  <c r="BN58" i="4"/>
  <c r="BN60" i="4" s="1"/>
  <c r="BL48" i="4"/>
  <c r="Q127" i="4"/>
  <c r="BN131" i="4"/>
  <c r="BU127" i="4"/>
  <c r="BU131" i="4" s="1"/>
  <c r="CB131" i="4"/>
  <c r="CH131" i="4"/>
  <c r="CI127" i="4"/>
  <c r="CI131" i="4" s="1"/>
  <c r="CQ206" i="4"/>
  <c r="BC200" i="4"/>
  <c r="AT206" i="4"/>
  <c r="AV206" i="4" s="1"/>
  <c r="AF99" i="4"/>
  <c r="AL17" i="4"/>
  <c r="AF32" i="4"/>
  <c r="U112" i="4"/>
  <c r="CJ112" i="4"/>
  <c r="CI58" i="4"/>
  <c r="AZ45" i="4"/>
  <c r="CN47" i="4"/>
  <c r="CN48" i="4" s="1"/>
  <c r="CG54" i="2" s="1"/>
  <c r="AJ13" i="4"/>
  <c r="AX23" i="4" s="1"/>
  <c r="X44" i="4"/>
  <c r="CF162" i="243"/>
  <c r="BV31" i="4"/>
  <c r="BV32" i="4" s="1"/>
  <c r="CI43" i="4"/>
  <c r="P32" i="4"/>
  <c r="AX32" i="4"/>
  <c r="BF47" i="4"/>
  <c r="BG6" i="4"/>
  <c r="CD44" i="4"/>
  <c r="X18" i="4"/>
  <c r="AE29" i="4"/>
  <c r="AE31" i="4" s="1"/>
  <c r="AL45" i="4"/>
  <c r="AE18" i="4"/>
  <c r="CQ46" i="4"/>
  <c r="CQ48" i="4" s="1"/>
  <c r="CJ54" i="2" s="1"/>
  <c r="Q29" i="4"/>
  <c r="Q31" i="4" s="1"/>
  <c r="CP52" i="4"/>
  <c r="BV43" i="4"/>
  <c r="BV46" i="4" s="1"/>
  <c r="BV48" i="4" s="1"/>
  <c r="BO54" i="2" s="1"/>
  <c r="Q44" i="4"/>
  <c r="AL29" i="4"/>
  <c r="AL31" i="4" s="1"/>
  <c r="BE48" i="4"/>
  <c r="BE54" i="2" s="1"/>
  <c r="X43" i="4"/>
  <c r="CD43" i="4"/>
  <c r="BX56" i="11" s="1"/>
  <c r="S32" i="4"/>
  <c r="BT48" i="4"/>
  <c r="BM54" i="2" s="1"/>
  <c r="AC46" i="4"/>
  <c r="AC48" i="4" s="1"/>
  <c r="AC54" i="2" s="1"/>
  <c r="X17" i="4"/>
  <c r="CD45" i="4"/>
  <c r="AZ43" i="4"/>
  <c r="BA51" i="11" s="1"/>
  <c r="BA58" i="11" s="1"/>
  <c r="V46" i="4"/>
  <c r="V48" i="4" s="1"/>
  <c r="V54" i="2" s="1"/>
  <c r="BF45" i="4"/>
  <c r="AG46" i="4"/>
  <c r="AY32" i="4"/>
  <c r="AL11" i="4"/>
  <c r="V23" i="4"/>
  <c r="AK46" i="4"/>
  <c r="AK48" i="4" s="1"/>
  <c r="AK54" i="2" s="1"/>
  <c r="CG46" i="4"/>
  <c r="CG48" i="4" s="1"/>
  <c r="BZ54" i="2" s="1"/>
  <c r="AJ46" i="4"/>
  <c r="AJ48" i="4" s="1"/>
  <c r="AJ54" i="2" s="1"/>
  <c r="AM23" i="4"/>
  <c r="CG99" i="4"/>
  <c r="BF44" i="4"/>
  <c r="Q11" i="4"/>
  <c r="Q13" i="4" s="1"/>
  <c r="Q8" i="2" s="1"/>
  <c r="W32" i="4"/>
  <c r="X29" i="4"/>
  <c r="X31" i="4" s="1"/>
  <c r="AL44" i="4"/>
  <c r="X58" i="4"/>
  <c r="X60" i="4" s="1"/>
  <c r="X22" i="2" s="1"/>
  <c r="Z46" i="4"/>
  <c r="BH99" i="4"/>
  <c r="AD46" i="4"/>
  <c r="AD48" i="4" s="1"/>
  <c r="AD54" i="2" s="1"/>
  <c r="P99" i="4"/>
  <c r="BT60" i="4"/>
  <c r="BG27" i="4"/>
  <c r="CN23" i="4"/>
  <c r="O32" i="4"/>
  <c r="AZ58" i="4"/>
  <c r="AZ60" i="4" s="1"/>
  <c r="AZ22" i="2" s="1"/>
  <c r="AZ27" i="2" s="1"/>
  <c r="AZ38" i="2" s="1"/>
  <c r="BW44" i="4"/>
  <c r="O46" i="4"/>
  <c r="O48" i="4" s="1"/>
  <c r="O54" i="2" s="1"/>
  <c r="S46" i="4"/>
  <c r="BS47" i="4"/>
  <c r="W46" i="4"/>
  <c r="W48" i="4" s="1"/>
  <c r="W54" i="2" s="1"/>
  <c r="W23" i="4"/>
  <c r="BB46" i="4"/>
  <c r="AX46" i="4"/>
  <c r="AX48" i="4" s="1"/>
  <c r="AX54" i="2" s="1"/>
  <c r="CD29" i="4"/>
  <c r="CD31" i="4" s="1"/>
  <c r="CI16" i="4"/>
  <c r="CC23" i="4"/>
  <c r="CJ23" i="4"/>
  <c r="V99" i="4"/>
  <c r="AE44" i="4"/>
  <c r="AE58" i="4"/>
  <c r="AE60" i="4" s="1"/>
  <c r="AE22" i="2" s="1"/>
  <c r="BE23" i="4"/>
  <c r="AK32" i="4"/>
  <c r="CP18" i="4"/>
  <c r="AZ44" i="4"/>
  <c r="AZ29" i="4"/>
  <c r="AZ31" i="4" s="1"/>
  <c r="X16" i="4"/>
  <c r="AL43" i="4"/>
  <c r="AM56" i="11" s="1"/>
  <c r="AM58" i="11" s="1"/>
  <c r="AL58" i="4"/>
  <c r="AL60" i="4" s="1"/>
  <c r="AL22" i="2" s="1"/>
  <c r="AL27" i="2" s="1"/>
  <c r="AL38" i="2" s="1"/>
  <c r="BR48" i="4"/>
  <c r="BK54" i="2" s="1"/>
  <c r="BF43" i="4"/>
  <c r="BF58" i="4"/>
  <c r="BF60" i="4" s="1"/>
  <c r="CC32" i="4"/>
  <c r="CB58" i="4"/>
  <c r="CB60" i="4" s="1"/>
  <c r="BU22" i="2" s="1"/>
  <c r="BI29" i="4"/>
  <c r="BI31" i="4" s="1"/>
  <c r="BG26" i="4"/>
  <c r="BH45" i="11" s="1"/>
  <c r="CR58" i="4"/>
  <c r="CR60" i="4" s="1"/>
  <c r="CK22" i="2" s="1"/>
  <c r="CP51" i="4"/>
  <c r="CR43" i="4"/>
  <c r="CQ99" i="4"/>
  <c r="AE16" i="4"/>
  <c r="AE11" i="4"/>
  <c r="AY46" i="4"/>
  <c r="AY48" i="4" s="1"/>
  <c r="AY54" i="2" s="1"/>
  <c r="BI44" i="4"/>
  <c r="CQ32" i="4"/>
  <c r="CF153" i="243"/>
  <c r="CF165" i="243"/>
  <c r="CF159" i="243"/>
  <c r="CF171" i="243"/>
  <c r="AE17" i="4"/>
  <c r="V32" i="4"/>
  <c r="BI43" i="4"/>
  <c r="BI58" i="4"/>
  <c r="BI60" i="4" s="1"/>
  <c r="BI22" i="2" s="1"/>
  <c r="BG51" i="4"/>
  <c r="BH58" i="11" s="1"/>
  <c r="X11" i="4"/>
  <c r="BF11" i="4"/>
  <c r="BF13" i="4" s="1"/>
  <c r="BF17" i="4"/>
  <c r="BH46" i="4"/>
  <c r="BH48" i="4" s="1"/>
  <c r="BH54" i="2" s="1"/>
  <c r="AC23" i="4"/>
  <c r="AZ11" i="4"/>
  <c r="AZ13" i="4" s="1"/>
  <c r="CI59" i="4"/>
  <c r="CC99" i="4"/>
  <c r="AX99" i="4"/>
  <c r="AN46" i="4"/>
  <c r="P46" i="4"/>
  <c r="P48" i="4" s="1"/>
  <c r="P54" i="2" s="1"/>
  <c r="BG59" i="4"/>
  <c r="CK46" i="4"/>
  <c r="CK48" i="4" s="1"/>
  <c r="CD54" i="2" s="1"/>
  <c r="AK99" i="4"/>
  <c r="BU44" i="4"/>
  <c r="Q58" i="4"/>
  <c r="Q60" i="4" s="1"/>
  <c r="Q22" i="2" s="1"/>
  <c r="Q43" i="4"/>
  <c r="CK32" i="4"/>
  <c r="CP5" i="4"/>
  <c r="CR17" i="4"/>
  <c r="W99" i="4"/>
  <c r="BH32" i="4"/>
  <c r="AL18" i="4"/>
  <c r="BB32" i="4"/>
  <c r="CR29" i="4"/>
  <c r="CR31" i="4" s="1"/>
  <c r="CP26" i="4"/>
  <c r="AL16" i="4"/>
  <c r="CG32" i="4"/>
  <c r="AC32" i="4"/>
  <c r="CK60" i="4"/>
  <c r="CD22" i="2" s="1"/>
  <c r="CN252" i="243"/>
  <c r="CN253" i="243" s="1"/>
  <c r="AD13" i="4"/>
  <c r="CP84" i="242"/>
  <c r="CR86" i="242"/>
  <c r="CO46" i="242"/>
  <c r="CO50" i="242" s="1"/>
  <c r="CO189" i="243"/>
  <c r="CO54" i="242"/>
  <c r="CP26" i="242"/>
  <c r="CP54" i="242" s="1"/>
  <c r="CQ51" i="242"/>
  <c r="CR55" i="242"/>
  <c r="CO38" i="242"/>
  <c r="BG5" i="4"/>
  <c r="BI11" i="4"/>
  <c r="BI13" i="4" s="1"/>
  <c r="BI154" i="243" s="1"/>
  <c r="BG4" i="4"/>
  <c r="BH11" i="11" s="1"/>
  <c r="CF52" i="242"/>
  <c r="CF55" i="242" s="1"/>
  <c r="CG55" i="242" s="1"/>
  <c r="CM273" i="243"/>
  <c r="CM245" i="243"/>
  <c r="CM241" i="243"/>
  <c r="CM240" i="243"/>
  <c r="CM208" i="243"/>
  <c r="CM207" i="243"/>
  <c r="CM205" i="243"/>
  <c r="CM212" i="243"/>
  <c r="CM189" i="243"/>
  <c r="CM174" i="243"/>
  <c r="CM173" i="243"/>
  <c r="CM170" i="243"/>
  <c r="CM164" i="243"/>
  <c r="CM161" i="243"/>
  <c r="CM158" i="243"/>
  <c r="CM152" i="243"/>
  <c r="CM35" i="243"/>
  <c r="CM49" i="243" s="1"/>
  <c r="CM11" i="243"/>
  <c r="CM24" i="243" s="1"/>
  <c r="CM53" i="243"/>
  <c r="CM56" i="243" s="1"/>
  <c r="CM37" i="243"/>
  <c r="CM19" i="243"/>
  <c r="CM21" i="243" s="1"/>
  <c r="CM9" i="243"/>
  <c r="CM84" i="242"/>
  <c r="CM83" i="242"/>
  <c r="CM81" i="242"/>
  <c r="CM80" i="242"/>
  <c r="CM46" i="242"/>
  <c r="CM50" i="242" s="1"/>
  <c r="CN50" i="242" s="1"/>
  <c r="CM54" i="242"/>
  <c r="CM38" i="242"/>
  <c r="CM25" i="242"/>
  <c r="CM23" i="242"/>
  <c r="CN10" i="242"/>
  <c r="CO10" i="242" s="1"/>
  <c r="CM9" i="242"/>
  <c r="CN9" i="242" s="1"/>
  <c r="CO9" i="242" s="1"/>
  <c r="CM4" i="242"/>
  <c r="CI18" i="4" l="1"/>
  <c r="BI7" i="220"/>
  <c r="BB28" i="220"/>
  <c r="BP19" i="220"/>
  <c r="BP7" i="220"/>
  <c r="BP5" i="220"/>
  <c r="BB16" i="220"/>
  <c r="BI5" i="220"/>
  <c r="BU234" i="243"/>
  <c r="AO76" i="220"/>
  <c r="AG16" i="220"/>
  <c r="BG45" i="4"/>
  <c r="BV48" i="2"/>
  <c r="BV47" i="2"/>
  <c r="BW41" i="2"/>
  <c r="CD125" i="4"/>
  <c r="CG51" i="242"/>
  <c r="CR23" i="4"/>
  <c r="BS48" i="4"/>
  <c r="BL54" i="2" s="1"/>
  <c r="CB45" i="4"/>
  <c r="BH12" i="11"/>
  <c r="BL22" i="2"/>
  <c r="BL18" i="2" s="1"/>
  <c r="BD5" i="220"/>
  <c r="CB11" i="4"/>
  <c r="CB13" i="4" s="1"/>
  <c r="BU154" i="243" s="1"/>
  <c r="BU171" i="243" s="1"/>
  <c r="CB132" i="4"/>
  <c r="AZ132" i="4"/>
  <c r="AQ179" i="243"/>
  <c r="AD41" i="178"/>
  <c r="BN4" i="178"/>
  <c r="BN15" i="178" s="1"/>
  <c r="CB43" i="4"/>
  <c r="BV56" i="11" s="1"/>
  <c r="BV58" i="11" s="1"/>
  <c r="CB29" i="4"/>
  <c r="CB31" i="4" s="1"/>
  <c r="AQ153" i="243"/>
  <c r="AS46" i="4"/>
  <c r="BW25" i="178"/>
  <c r="AQ159" i="243"/>
  <c r="S76" i="220"/>
  <c r="CR125" i="4"/>
  <c r="BV51" i="2"/>
  <c r="BT41" i="2"/>
  <c r="CM34" i="243"/>
  <c r="CM178" i="243" s="1"/>
  <c r="CM186" i="243" s="1"/>
  <c r="CM10" i="243"/>
  <c r="CM167" i="243" s="1"/>
  <c r="CM185" i="243" s="1"/>
  <c r="BV56" i="2"/>
  <c r="BV57" i="2" s="1"/>
  <c r="BV61" i="2" s="1"/>
  <c r="AF12" i="11"/>
  <c r="BV45" i="242"/>
  <c r="BV48" i="242" s="1"/>
  <c r="Z76" i="220"/>
  <c r="AQ176" i="243"/>
  <c r="AQ165" i="243"/>
  <c r="AQ162" i="243"/>
  <c r="Y43" i="11"/>
  <c r="BI76" i="220"/>
  <c r="AM12" i="11"/>
  <c r="BM16" i="11"/>
  <c r="CN59" i="243"/>
  <c r="AK13" i="2"/>
  <c r="AK156" i="243" s="1"/>
  <c r="AQ168" i="243"/>
  <c r="BQ117" i="11"/>
  <c r="BG59" i="11"/>
  <c r="CM211" i="243"/>
  <c r="CM213" i="243" s="1"/>
  <c r="BP23" i="4"/>
  <c r="BS112" i="4"/>
  <c r="CC12" i="11"/>
  <c r="BE112" i="4"/>
  <c r="CC112" i="11"/>
  <c r="AK16" i="11"/>
  <c r="AY16" i="11"/>
  <c r="W16" i="11"/>
  <c r="AM59" i="11"/>
  <c r="BA59" i="11"/>
  <c r="BA60" i="11"/>
  <c r="CC35" i="178"/>
  <c r="BP60" i="11"/>
  <c r="BP59" i="11"/>
  <c r="BG17" i="4"/>
  <c r="AZ4" i="178"/>
  <c r="AZ15" i="178" s="1"/>
  <c r="BT23" i="4"/>
  <c r="BM23" i="4"/>
  <c r="BY112" i="4"/>
  <c r="BR112" i="4"/>
  <c r="CK154" i="243"/>
  <c r="CK153" i="243" s="1"/>
  <c r="CI152" i="243"/>
  <c r="CJ11" i="11"/>
  <c r="AD31" i="178"/>
  <c r="AD28" i="178"/>
  <c r="V38" i="178"/>
  <c r="V35" i="178"/>
  <c r="AV76" i="220"/>
  <c r="AI29" i="220"/>
  <c r="AI73" i="220"/>
  <c r="AG14" i="220"/>
  <c r="BN16" i="4"/>
  <c r="BN11" i="4"/>
  <c r="BN13" i="4" s="1"/>
  <c r="BN125" i="4" s="1"/>
  <c r="BR10" i="220"/>
  <c r="BR75" i="220"/>
  <c r="BR76" i="220" s="1"/>
  <c r="BX43" i="11"/>
  <c r="AQ23" i="4"/>
  <c r="BL112" i="4"/>
  <c r="AP7" i="220"/>
  <c r="AP28" i="220"/>
  <c r="AP76" i="220" s="1"/>
  <c r="AP5" i="220"/>
  <c r="AP19" i="220"/>
  <c r="CC46" i="11"/>
  <c r="CC47" i="11"/>
  <c r="BX47" i="11"/>
  <c r="BX58" i="11"/>
  <c r="BX46" i="11"/>
  <c r="CE47" i="11"/>
  <c r="BB73" i="220"/>
  <c r="W28" i="178"/>
  <c r="W31" i="178"/>
  <c r="W32" i="178" s="1"/>
  <c r="BZ42" i="178"/>
  <c r="BZ43" i="178" s="1"/>
  <c r="CC43" i="178"/>
  <c r="Q29" i="220"/>
  <c r="Q73" i="220"/>
  <c r="Q50" i="220"/>
  <c r="Q53" i="220"/>
  <c r="Q48" i="220"/>
  <c r="Q51" i="220"/>
  <c r="Q54" i="220"/>
  <c r="Q52" i="220"/>
  <c r="Q34" i="220"/>
  <c r="Q35" i="220" s="1"/>
  <c r="Q49" i="220"/>
  <c r="Q37" i="220"/>
  <c r="Q38" i="220" s="1"/>
  <c r="BJ60" i="11"/>
  <c r="AV59" i="11"/>
  <c r="AV60" i="11"/>
  <c r="AU9" i="220"/>
  <c r="BN45" i="4"/>
  <c r="L76" i="220"/>
  <c r="BA12" i="11"/>
  <c r="CD25" i="178"/>
  <c r="AN14" i="220"/>
  <c r="BI8" i="178"/>
  <c r="BI10" i="178"/>
  <c r="AU25" i="178"/>
  <c r="AU68" i="178"/>
  <c r="BO40" i="178"/>
  <c r="BO27" i="178"/>
  <c r="BV25" i="178"/>
  <c r="BO42" i="178"/>
  <c r="BO25" i="178"/>
  <c r="BV43" i="11"/>
  <c r="BN44" i="4"/>
  <c r="CD12" i="178"/>
  <c r="CD10" i="178"/>
  <c r="Y60" i="11"/>
  <c r="Y59" i="11"/>
  <c r="AW5" i="220"/>
  <c r="AW28" i="220"/>
  <c r="BD29" i="220" s="1"/>
  <c r="AW7" i="220"/>
  <c r="AW16" i="220"/>
  <c r="AW19" i="220"/>
  <c r="CP29" i="4"/>
  <c r="CP31" i="4" s="1"/>
  <c r="CJ45" i="11"/>
  <c r="CI46" i="4"/>
  <c r="CI48" i="4" s="1"/>
  <c r="CB54" i="2" s="1"/>
  <c r="CC56" i="11"/>
  <c r="CC58" i="11" s="1"/>
  <c r="CP17" i="4"/>
  <c r="CB4" i="178"/>
  <c r="CB8" i="178" s="1"/>
  <c r="BG44" i="4"/>
  <c r="AZ7" i="178"/>
  <c r="AZ10" i="178" s="1"/>
  <c r="CP44" i="4"/>
  <c r="CB11" i="178"/>
  <c r="BG18" i="4"/>
  <c r="AN4" i="220"/>
  <c r="AN10" i="220" s="1"/>
  <c r="BU132" i="4"/>
  <c r="AF13" i="2"/>
  <c r="AF156" i="243" s="1"/>
  <c r="O13" i="2"/>
  <c r="AD34" i="178"/>
  <c r="AD43" i="178"/>
  <c r="BP10" i="220"/>
  <c r="BP75" i="220"/>
  <c r="BP76" i="220" s="1"/>
  <c r="AT59" i="11"/>
  <c r="AT60" i="11"/>
  <c r="BO112" i="4"/>
  <c r="AL68" i="178"/>
  <c r="AL25" i="178"/>
  <c r="BV46" i="11"/>
  <c r="CP45" i="4"/>
  <c r="BP15" i="220"/>
  <c r="BW60" i="11"/>
  <c r="BW59" i="11"/>
  <c r="CD60" i="11"/>
  <c r="BH43" i="11"/>
  <c r="AS24" i="178"/>
  <c r="AS5" i="178"/>
  <c r="AS15" i="178"/>
  <c r="W34" i="178"/>
  <c r="W35" i="178" s="1"/>
  <c r="AT12" i="11"/>
  <c r="AT43" i="11"/>
  <c r="AE68" i="178"/>
  <c r="AE25" i="178"/>
  <c r="BI16" i="220"/>
  <c r="BI14" i="220"/>
  <c r="L16" i="220"/>
  <c r="L14" i="220"/>
  <c r="AD16" i="11"/>
  <c r="AS8" i="178"/>
  <c r="BI95" i="11"/>
  <c r="BI98" i="11" s="1"/>
  <c r="BE98" i="11"/>
  <c r="AO29" i="220"/>
  <c r="AO46" i="220"/>
  <c r="AL46" i="220" s="1"/>
  <c r="AL54" i="220" s="1"/>
  <c r="AO45" i="220"/>
  <c r="AL45" i="220" s="1"/>
  <c r="AL53" i="220" s="1"/>
  <c r="AO44" i="220"/>
  <c r="AL44" i="220" s="1"/>
  <c r="AL52" i="220" s="1"/>
  <c r="AO43" i="220"/>
  <c r="AL43" i="220" s="1"/>
  <c r="AL51" i="220" s="1"/>
  <c r="AO42" i="220"/>
  <c r="AL42" i="220" s="1"/>
  <c r="AL50" i="220" s="1"/>
  <c r="AO41" i="220"/>
  <c r="AL41" i="220" s="1"/>
  <c r="AL49" i="220" s="1"/>
  <c r="AO40" i="220"/>
  <c r="AL40" i="220" s="1"/>
  <c r="AL48" i="220" s="1"/>
  <c r="AO31" i="220"/>
  <c r="AO34" i="220" s="1"/>
  <c r="AO35" i="220" s="1"/>
  <c r="AO73" i="220"/>
  <c r="Q76" i="220"/>
  <c r="AR16" i="11"/>
  <c r="AF43" i="11"/>
  <c r="AY12" i="178"/>
  <c r="AY10" i="178"/>
  <c r="BP29" i="220"/>
  <c r="BP73" i="220"/>
  <c r="AU4" i="220"/>
  <c r="BN18" i="4"/>
  <c r="BA42" i="178"/>
  <c r="BA40" i="178"/>
  <c r="BA68" i="178"/>
  <c r="BA27" i="178"/>
  <c r="BA34" i="178" s="1"/>
  <c r="BA35" i="178" s="1"/>
  <c r="BA25" i="178"/>
  <c r="AS32" i="4"/>
  <c r="AV43" i="220"/>
  <c r="AS43" i="220" s="1"/>
  <c r="AS51" i="220" s="1"/>
  <c r="AV31" i="220"/>
  <c r="AV34" i="220" s="1"/>
  <c r="AV40" i="220"/>
  <c r="AS40" i="220" s="1"/>
  <c r="AS48" i="220" s="1"/>
  <c r="AV73" i="220"/>
  <c r="AV45" i="220"/>
  <c r="AS45" i="220" s="1"/>
  <c r="AS53" i="220" s="1"/>
  <c r="AV46" i="220"/>
  <c r="AS46" i="220" s="1"/>
  <c r="AS54" i="220" s="1"/>
  <c r="AV41" i="220"/>
  <c r="AS41" i="220" s="1"/>
  <c r="AS49" i="220" s="1"/>
  <c r="AV29" i="220"/>
  <c r="AV42" i="220"/>
  <c r="AS42" i="220" s="1"/>
  <c r="AS50" i="220" s="1"/>
  <c r="AV44" i="220"/>
  <c r="AS44" i="220" s="1"/>
  <c r="AS52" i="220" s="1"/>
  <c r="AC35" i="178"/>
  <c r="AC38" i="178"/>
  <c r="CL12" i="11"/>
  <c r="CL43" i="11"/>
  <c r="BT13" i="2"/>
  <c r="BT156" i="243" s="1"/>
  <c r="BD10" i="220"/>
  <c r="BD75" i="220"/>
  <c r="BD76" i="220" s="1"/>
  <c r="BD14" i="220"/>
  <c r="BI29" i="220"/>
  <c r="BI73" i="220"/>
  <c r="AM10" i="220"/>
  <c r="AM75" i="220"/>
  <c r="CL46" i="11"/>
  <c r="BI5" i="178"/>
  <c r="BI24" i="178"/>
  <c r="BI25" i="178" s="1"/>
  <c r="BI15" i="178"/>
  <c r="BI12" i="178"/>
  <c r="BJ95" i="11"/>
  <c r="BJ98" i="11" s="1"/>
  <c r="BG98" i="11"/>
  <c r="CC31" i="178"/>
  <c r="CC32" i="178" s="1"/>
  <c r="BZ27" i="178"/>
  <c r="CC28" i="178"/>
  <c r="AI76" i="220"/>
  <c r="BR29" i="220"/>
  <c r="BR73" i="220"/>
  <c r="AT5" i="220"/>
  <c r="AM28" i="220"/>
  <c r="AM7" i="220"/>
  <c r="AT7" i="220"/>
  <c r="AM5" i="220"/>
  <c r="AM19" i="220"/>
  <c r="CC43" i="11"/>
  <c r="BP10" i="178"/>
  <c r="BP8" i="178"/>
  <c r="X68" i="178"/>
  <c r="X25" i="178"/>
  <c r="BP95" i="11"/>
  <c r="BP98" i="11" s="1"/>
  <c r="BL98" i="11"/>
  <c r="BD73" i="220"/>
  <c r="AE29" i="220"/>
  <c r="AE73" i="220"/>
  <c r="AE52" i="220"/>
  <c r="AL29" i="220"/>
  <c r="AE48" i="220"/>
  <c r="AE50" i="220"/>
  <c r="AE54" i="220"/>
  <c r="AE51" i="220"/>
  <c r="AE49" i="220"/>
  <c r="AE53" i="220"/>
  <c r="AE37" i="220"/>
  <c r="AE38" i="220" s="1"/>
  <c r="AE34" i="220"/>
  <c r="AE35" i="220" s="1"/>
  <c r="BQ41" i="220"/>
  <c r="BN41" i="220" s="1"/>
  <c r="BN49" i="220" s="1"/>
  <c r="BQ40" i="220"/>
  <c r="BN40" i="220" s="1"/>
  <c r="BN48" i="220" s="1"/>
  <c r="BQ31" i="220"/>
  <c r="BQ34" i="220" s="1"/>
  <c r="BQ35" i="220" s="1"/>
  <c r="BQ43" i="220"/>
  <c r="BN43" i="220" s="1"/>
  <c r="BN51" i="220" s="1"/>
  <c r="BQ46" i="220"/>
  <c r="BN46" i="220" s="1"/>
  <c r="BN54" i="220" s="1"/>
  <c r="BQ73" i="220"/>
  <c r="BQ42" i="220"/>
  <c r="BN42" i="220" s="1"/>
  <c r="BN50" i="220" s="1"/>
  <c r="BQ29" i="220"/>
  <c r="BQ45" i="220"/>
  <c r="BN45" i="220" s="1"/>
  <c r="BN53" i="220" s="1"/>
  <c r="BQ44" i="220"/>
  <c r="BN44" i="220" s="1"/>
  <c r="BN52" i="220" s="1"/>
  <c r="BQ47" i="11"/>
  <c r="BQ58" i="11"/>
  <c r="Y46" i="11"/>
  <c r="BC46" i="220"/>
  <c r="AZ46" i="220" s="1"/>
  <c r="AZ54" i="220" s="1"/>
  <c r="BC31" i="220"/>
  <c r="BC34" i="220" s="1"/>
  <c r="BJ29" i="220"/>
  <c r="BC29" i="220"/>
  <c r="BC42" i="220"/>
  <c r="AZ42" i="220" s="1"/>
  <c r="AZ50" i="220" s="1"/>
  <c r="BC73" i="220"/>
  <c r="BC45" i="220"/>
  <c r="AZ45" i="220" s="1"/>
  <c r="AZ53" i="220" s="1"/>
  <c r="BC44" i="220"/>
  <c r="AZ44" i="220" s="1"/>
  <c r="AZ52" i="220" s="1"/>
  <c r="BC43" i="220"/>
  <c r="AZ43" i="220" s="1"/>
  <c r="AZ51" i="220" s="1"/>
  <c r="BC41" i="220"/>
  <c r="AZ41" i="220" s="1"/>
  <c r="AZ49" i="220" s="1"/>
  <c r="BC40" i="220"/>
  <c r="AZ40" i="220" s="1"/>
  <c r="AZ48" i="220" s="1"/>
  <c r="AJ35" i="178"/>
  <c r="AJ38" i="178"/>
  <c r="BR14" i="220"/>
  <c r="BC60" i="11"/>
  <c r="AZ8" i="2"/>
  <c r="AZ10" i="2" s="1"/>
  <c r="AZ11" i="2" s="1"/>
  <c r="BH46" i="11"/>
  <c r="BH47" i="11"/>
  <c r="BO56" i="11"/>
  <c r="CR32" i="4"/>
  <c r="BH59" i="11"/>
  <c r="BH56" i="11"/>
  <c r="BH60" i="11"/>
  <c r="CR46" i="4"/>
  <c r="CR48" i="4" s="1"/>
  <c r="CK54" i="2" s="1"/>
  <c r="CL56" i="11"/>
  <c r="CL58" i="11" s="1"/>
  <c r="CC112" i="4"/>
  <c r="BV112" i="4"/>
  <c r="AC13" i="2"/>
  <c r="AC156" i="243" s="1"/>
  <c r="AX18" i="2"/>
  <c r="AX13" i="2" s="1"/>
  <c r="AX112" i="4"/>
  <c r="AY18" i="2"/>
  <c r="AY13" i="2" s="1"/>
  <c r="AY112" i="4"/>
  <c r="BV156" i="243"/>
  <c r="AT13" i="2"/>
  <c r="AT156" i="243" s="1"/>
  <c r="AQ25" i="178"/>
  <c r="AQ68" i="178"/>
  <c r="AX25" i="178"/>
  <c r="AQ37" i="178"/>
  <c r="AQ34" i="178"/>
  <c r="AQ45" i="178"/>
  <c r="AQ46" i="178" s="1"/>
  <c r="BH40" i="178"/>
  <c r="BH27" i="178"/>
  <c r="BH42" i="178"/>
  <c r="BH25" i="178"/>
  <c r="BB10" i="220"/>
  <c r="BB75" i="220"/>
  <c r="BB76" i="220" s="1"/>
  <c r="L29" i="220"/>
  <c r="L73" i="220"/>
  <c r="BB14" i="220"/>
  <c r="AM46" i="11"/>
  <c r="BG5" i="11"/>
  <c r="BG12" i="11"/>
  <c r="BN12" i="11"/>
  <c r="BG9" i="11"/>
  <c r="BG43" i="11"/>
  <c r="AN75" i="220"/>
  <c r="AM14" i="220"/>
  <c r="BG4" i="178"/>
  <c r="BG8" i="178" s="1"/>
  <c r="BN17" i="4"/>
  <c r="BA43" i="11"/>
  <c r="AF46" i="11"/>
  <c r="AF58" i="11"/>
  <c r="AM60" i="11" s="1"/>
  <c r="AF47" i="11"/>
  <c r="CC41" i="178"/>
  <c r="BZ40" i="178"/>
  <c r="BQ76" i="220"/>
  <c r="AW10" i="220"/>
  <c r="AW75" i="220"/>
  <c r="AW14" i="220"/>
  <c r="AM43" i="11"/>
  <c r="CB44" i="4"/>
  <c r="BN7" i="178"/>
  <c r="AP16" i="220"/>
  <c r="AY5" i="178"/>
  <c r="AY24" i="178"/>
  <c r="BF5" i="178"/>
  <c r="AY15" i="178"/>
  <c r="Y31" i="220"/>
  <c r="Y34" i="220" s="1"/>
  <c r="Y46" i="220"/>
  <c r="AF29" i="220"/>
  <c r="Y41" i="220"/>
  <c r="Y43" i="220"/>
  <c r="Y44" i="220"/>
  <c r="Y42" i="220"/>
  <c r="Y45" i="220"/>
  <c r="Y40" i="220"/>
  <c r="Y29" i="220"/>
  <c r="Y73" i="220"/>
  <c r="BB68" i="178"/>
  <c r="BB25" i="178"/>
  <c r="BO45" i="11"/>
  <c r="BV47" i="11" s="1"/>
  <c r="BN29" i="4"/>
  <c r="BN31" i="4" s="1"/>
  <c r="Z73" i="220"/>
  <c r="Z29" i="220"/>
  <c r="S73" i="220"/>
  <c r="S29" i="220"/>
  <c r="R34" i="220"/>
  <c r="R35" i="220" s="1"/>
  <c r="R32" i="220"/>
  <c r="BC76" i="220"/>
  <c r="AG5" i="220"/>
  <c r="AG7" i="220"/>
  <c r="AG28" i="220"/>
  <c r="AG19" i="220"/>
  <c r="AK40" i="178"/>
  <c r="AK27" i="178"/>
  <c r="AK68" i="178"/>
  <c r="AK42" i="178"/>
  <c r="AK25" i="178"/>
  <c r="AR25" i="178"/>
  <c r="BX117" i="11"/>
  <c r="CE117" i="11"/>
  <c r="BQ112" i="11"/>
  <c r="BV117" i="11"/>
  <c r="BV86" i="11" s="1"/>
  <c r="BO112" i="11"/>
  <c r="BV112" i="11"/>
  <c r="BO117" i="11"/>
  <c r="BO86" i="11" s="1"/>
  <c r="BX112" i="11"/>
  <c r="CE112" i="11"/>
  <c r="CL117" i="11"/>
  <c r="CL112" i="11"/>
  <c r="CC117" i="11"/>
  <c r="CJ117" i="11"/>
  <c r="CJ86" i="11" s="1"/>
  <c r="CJ112" i="11"/>
  <c r="AR18" i="2"/>
  <c r="AR112" i="4"/>
  <c r="AQ18" i="2"/>
  <c r="AQ13" i="2" s="1"/>
  <c r="AQ156" i="243" s="1"/>
  <c r="AQ112" i="4"/>
  <c r="CI60" i="4"/>
  <c r="CB22" i="2" s="1"/>
  <c r="CP132" i="4"/>
  <c r="AE46" i="4"/>
  <c r="BG132" i="4"/>
  <c r="R48" i="242"/>
  <c r="R49" i="242" s="1"/>
  <c r="N48" i="242"/>
  <c r="N49" i="242" s="1"/>
  <c r="AD8" i="2"/>
  <c r="AD13" i="2" s="1"/>
  <c r="AD156" i="243" s="1"/>
  <c r="AD154" i="243"/>
  <c r="AJ23" i="4"/>
  <c r="AJ154" i="243"/>
  <c r="AK10" i="2"/>
  <c r="AK11" i="2" s="1"/>
  <c r="AK274" i="243"/>
  <c r="V10" i="2"/>
  <c r="V11" i="2" s="1"/>
  <c r="V274" i="243"/>
  <c r="AM153" i="243"/>
  <c r="AM176" i="243"/>
  <c r="AM162" i="243"/>
  <c r="AM171" i="243"/>
  <c r="AM165" i="243"/>
  <c r="AM159" i="243"/>
  <c r="AM179" i="243"/>
  <c r="AM168" i="243"/>
  <c r="BF8" i="2"/>
  <c r="BF154" i="243"/>
  <c r="AC10" i="2"/>
  <c r="AC11" i="2" s="1"/>
  <c r="AC274" i="243"/>
  <c r="BZ112" i="4"/>
  <c r="AQ10" i="2"/>
  <c r="AQ11" i="2" s="1"/>
  <c r="AQ274" i="243"/>
  <c r="N59" i="2"/>
  <c r="N65" i="2" s="1"/>
  <c r="AU153" i="243"/>
  <c r="AU159" i="243"/>
  <c r="AU171" i="243"/>
  <c r="AU162" i="243"/>
  <c r="AU165" i="243"/>
  <c r="AU176" i="243"/>
  <c r="AM10" i="2"/>
  <c r="AM11" i="2" s="1"/>
  <c r="AM274" i="243"/>
  <c r="BH10" i="2"/>
  <c r="BH11" i="2" s="1"/>
  <c r="BH274" i="243"/>
  <c r="AU10" i="2"/>
  <c r="AU11" i="2" s="1"/>
  <c r="AU274" i="243"/>
  <c r="W153" i="243"/>
  <c r="W162" i="243"/>
  <c r="W159" i="243"/>
  <c r="W171" i="243"/>
  <c r="W179" i="243"/>
  <c r="W176" i="243"/>
  <c r="W165" i="243"/>
  <c r="BG16" i="4"/>
  <c r="BG152" i="243"/>
  <c r="AF10" i="2"/>
  <c r="AF11" i="2" s="1"/>
  <c r="AF274" i="243"/>
  <c r="BI153" i="243"/>
  <c r="BI162" i="243"/>
  <c r="BI159" i="243"/>
  <c r="BI171" i="243"/>
  <c r="BI165" i="243"/>
  <c r="BI176" i="243"/>
  <c r="CP200" i="4"/>
  <c r="AK171" i="243"/>
  <c r="AK162" i="243"/>
  <c r="AK153" i="243"/>
  <c r="AK176" i="243"/>
  <c r="AK159" i="243"/>
  <c r="AK179" i="243"/>
  <c r="AK165" i="243"/>
  <c r="AK168" i="243"/>
  <c r="V153" i="243"/>
  <c r="V159" i="243"/>
  <c r="V162" i="243"/>
  <c r="V171" i="243"/>
  <c r="V176" i="243"/>
  <c r="V165" i="243"/>
  <c r="V179" i="243"/>
  <c r="AS8" i="2"/>
  <c r="AS154" i="243"/>
  <c r="W10" i="2"/>
  <c r="W11" i="2" s="1"/>
  <c r="W274" i="243"/>
  <c r="AI42" i="242"/>
  <c r="AI45" i="242"/>
  <c r="AM42" i="242"/>
  <c r="AM45" i="242"/>
  <c r="BD45" i="242"/>
  <c r="BD42" i="242"/>
  <c r="AB48" i="242"/>
  <c r="AB49" i="242" s="1"/>
  <c r="AF48" i="242"/>
  <c r="AF49" i="242" s="1"/>
  <c r="AT42" i="242"/>
  <c r="AT45" i="242"/>
  <c r="BA42" i="242"/>
  <c r="BA45" i="242"/>
  <c r="AP42" i="242"/>
  <c r="AP45" i="242"/>
  <c r="U48" i="242"/>
  <c r="U49" i="242" s="1"/>
  <c r="AW48" i="242"/>
  <c r="AW49" i="242" s="1"/>
  <c r="CM31" i="242"/>
  <c r="CN25" i="242"/>
  <c r="CO25" i="242" s="1"/>
  <c r="CM53" i="242"/>
  <c r="CM52" i="242" s="1"/>
  <c r="CM55" i="242" s="1"/>
  <c r="CN55" i="242" s="1"/>
  <c r="CN23" i="242"/>
  <c r="CH51" i="242"/>
  <c r="CI55" i="242"/>
  <c r="CP16" i="4"/>
  <c r="CK23" i="4"/>
  <c r="BW154" i="243"/>
  <c r="BW162" i="243" s="1"/>
  <c r="BO171" i="243"/>
  <c r="BO153" i="243"/>
  <c r="BO162" i="243"/>
  <c r="BO159" i="243"/>
  <c r="BO165" i="243"/>
  <c r="BO176" i="243"/>
  <c r="BO168" i="243"/>
  <c r="BO179" i="243"/>
  <c r="BO10" i="2"/>
  <c r="BO11" i="2" s="1"/>
  <c r="BO274" i="243"/>
  <c r="CD32" i="4"/>
  <c r="BN132" i="4"/>
  <c r="CP86" i="242"/>
  <c r="CF51" i="242"/>
  <c r="AW59" i="2"/>
  <c r="AW65" i="2" s="1"/>
  <c r="U62" i="2"/>
  <c r="U61" i="2"/>
  <c r="AR42" i="2"/>
  <c r="AR46" i="2" s="1"/>
  <c r="AR3" i="242" s="1"/>
  <c r="AR21" i="242" s="1"/>
  <c r="AR41" i="2"/>
  <c r="BH27" i="2"/>
  <c r="BH38" i="2" s="1"/>
  <c r="BH18" i="2"/>
  <c r="BV153" i="243"/>
  <c r="BV162" i="243"/>
  <c r="BV171" i="243"/>
  <c r="BV168" i="243"/>
  <c r="BV176" i="243"/>
  <c r="BV165" i="243"/>
  <c r="BV179" i="243"/>
  <c r="BV159" i="243"/>
  <c r="AK41" i="2"/>
  <c r="AK42" i="2"/>
  <c r="AK46" i="2" s="1"/>
  <c r="AK3" i="242" s="1"/>
  <c r="AK21" i="242" s="1"/>
  <c r="BA48" i="2"/>
  <c r="BA47" i="2"/>
  <c r="BA56" i="2"/>
  <c r="BA51" i="2"/>
  <c r="N62" i="2"/>
  <c r="N61" i="2"/>
  <c r="O56" i="2"/>
  <c r="BB48" i="2"/>
  <c r="BB47" i="2"/>
  <c r="BB51" i="2"/>
  <c r="AP56" i="2"/>
  <c r="AP57" i="2" s="1"/>
  <c r="AP48" i="2"/>
  <c r="AP47" i="2"/>
  <c r="AP51" i="2"/>
  <c r="BF111" i="4"/>
  <c r="BF22" i="2"/>
  <c r="BR45" i="242"/>
  <c r="BR42" i="242"/>
  <c r="BT42" i="242"/>
  <c r="BT45" i="242"/>
  <c r="AT56" i="2"/>
  <c r="AT57" i="2" s="1"/>
  <c r="AT51" i="2"/>
  <c r="AT48" i="2"/>
  <c r="AT47" i="2"/>
  <c r="BV10" i="2"/>
  <c r="BV11" i="2" s="1"/>
  <c r="BV274" i="243"/>
  <c r="AM156" i="243"/>
  <c r="R57" i="2"/>
  <c r="R59" i="2"/>
  <c r="AM56" i="2"/>
  <c r="AM57" i="2" s="1"/>
  <c r="AM51" i="2"/>
  <c r="AM48" i="2"/>
  <c r="AM47" i="2"/>
  <c r="BI27" i="2"/>
  <c r="BI38" i="2" s="1"/>
  <c r="AZ42" i="2"/>
  <c r="AZ46" i="2" s="1"/>
  <c r="AZ3" i="242" s="1"/>
  <c r="AZ41" i="2"/>
  <c r="AS22" i="2"/>
  <c r="AS27" i="2" s="1"/>
  <c r="AS38" i="2" s="1"/>
  <c r="CB8" i="2"/>
  <c r="CB274" i="243" s="1"/>
  <c r="CB154" i="243"/>
  <c r="AJ41" i="2"/>
  <c r="AJ42" i="2"/>
  <c r="AJ46" i="2" s="1"/>
  <c r="AJ3" i="242" s="1"/>
  <c r="AJ21" i="242" s="1"/>
  <c r="AX42" i="2"/>
  <c r="AX46" i="2" s="1"/>
  <c r="AX3" i="242" s="1"/>
  <c r="AX21" i="242" s="1"/>
  <c r="AX41" i="2"/>
  <c r="AN47" i="2"/>
  <c r="AN51" i="2"/>
  <c r="AN48" i="2"/>
  <c r="CD153" i="243"/>
  <c r="CD171" i="243"/>
  <c r="CD162" i="243"/>
  <c r="CD176" i="243"/>
  <c r="CD165" i="243"/>
  <c r="CD159" i="243"/>
  <c r="O42" i="2"/>
  <c r="O46" i="2" s="1"/>
  <c r="O3" i="242" s="1"/>
  <c r="O21" i="242" s="1"/>
  <c r="O41" i="2"/>
  <c r="AI56" i="2"/>
  <c r="AI57" i="2" s="1"/>
  <c r="AI48" i="2"/>
  <c r="AI51" i="2"/>
  <c r="AI47" i="2"/>
  <c r="BW10" i="2"/>
  <c r="BW11" i="2" s="1"/>
  <c r="BW274" i="243"/>
  <c r="BD48" i="2"/>
  <c r="BD56" i="2"/>
  <c r="BD57" i="2" s="1"/>
  <c r="BD47" i="2"/>
  <c r="BD51" i="2"/>
  <c r="AU42" i="2"/>
  <c r="AU46" i="2" s="1"/>
  <c r="AU3" i="242" s="1"/>
  <c r="AU41" i="2"/>
  <c r="AW62" i="2"/>
  <c r="AW61" i="2"/>
  <c r="AQ42" i="2"/>
  <c r="AQ46" i="2" s="1"/>
  <c r="AQ3" i="242" s="1"/>
  <c r="AQ21" i="242" s="1"/>
  <c r="AQ41" i="2"/>
  <c r="AL41" i="2"/>
  <c r="AL42" i="2"/>
  <c r="AL46" i="2" s="1"/>
  <c r="AL3" i="242" s="1"/>
  <c r="AY42" i="2"/>
  <c r="AY46" i="2" s="1"/>
  <c r="AY3" i="242" s="1"/>
  <c r="AY21" i="242" s="1"/>
  <c r="AY41" i="2"/>
  <c r="U59" i="2"/>
  <c r="BE18" i="2"/>
  <c r="BE27" i="2"/>
  <c r="BE38" i="2" s="1"/>
  <c r="P42" i="2"/>
  <c r="P46" i="2" s="1"/>
  <c r="P3" i="242" s="1"/>
  <c r="P21" i="242" s="1"/>
  <c r="P41" i="2"/>
  <c r="AK112" i="4"/>
  <c r="AD41" i="2"/>
  <c r="AD42" i="2"/>
  <c r="AD46" i="2" s="1"/>
  <c r="AF59" i="2"/>
  <c r="AJ112" i="4"/>
  <c r="AF57" i="2"/>
  <c r="AB57" i="2"/>
  <c r="AC56" i="2"/>
  <c r="AB59" i="2"/>
  <c r="AC42" i="2"/>
  <c r="AC46" i="2" s="1"/>
  <c r="AC3" i="242" s="1"/>
  <c r="AC21" i="242" s="1"/>
  <c r="AC41" i="2"/>
  <c r="CI32" i="4"/>
  <c r="AZ125" i="4"/>
  <c r="X46" i="4"/>
  <c r="CM175" i="243"/>
  <c r="BI23" i="4"/>
  <c r="BI8" i="2"/>
  <c r="BP8" i="2"/>
  <c r="BP125" i="4"/>
  <c r="BG29" i="4"/>
  <c r="BG31" i="4" s="1"/>
  <c r="BT111" i="4"/>
  <c r="BM22" i="2"/>
  <c r="AD125" i="4"/>
  <c r="BS18" i="2"/>
  <c r="BS27" i="2"/>
  <c r="BS38" i="2" s="1"/>
  <c r="BO18" i="2"/>
  <c r="BO27" i="2"/>
  <c r="BO38" i="2" s="1"/>
  <c r="BT56" i="2"/>
  <c r="BT57" i="2" s="1"/>
  <c r="BT51" i="2"/>
  <c r="BT48" i="2"/>
  <c r="BT47" i="2"/>
  <c r="BP32" i="4"/>
  <c r="Q125" i="4"/>
  <c r="BI125" i="4"/>
  <c r="CG112" i="4"/>
  <c r="CB200" i="4"/>
  <c r="AJ32" i="4"/>
  <c r="AJ8" i="2"/>
  <c r="AJ13" i="2" s="1"/>
  <c r="AJ125" i="4"/>
  <c r="BS125" i="4"/>
  <c r="BL15" i="2"/>
  <c r="BR48" i="2"/>
  <c r="BR56" i="2"/>
  <c r="BR57" i="2" s="1"/>
  <c r="BR51" i="2"/>
  <c r="BR47" i="2"/>
  <c r="BK18" i="2"/>
  <c r="BK27" i="2"/>
  <c r="BK38" i="2" s="1"/>
  <c r="Q46" i="4"/>
  <c r="BU27" i="2"/>
  <c r="BU38" i="2" s="1"/>
  <c r="BN200" i="4"/>
  <c r="BW48" i="2"/>
  <c r="BW51" i="2"/>
  <c r="BW47" i="2"/>
  <c r="CQ208" i="4"/>
  <c r="AJ99" i="4"/>
  <c r="CD46" i="4"/>
  <c r="CD48" i="4" s="1"/>
  <c r="BW54" i="2" s="1"/>
  <c r="Q32" i="4"/>
  <c r="AZ46" i="4"/>
  <c r="AL46" i="4"/>
  <c r="BF46" i="4"/>
  <c r="BF48" i="4" s="1"/>
  <c r="BF54" i="2" s="1"/>
  <c r="AZ32" i="4"/>
  <c r="AD23" i="4"/>
  <c r="AD99" i="4"/>
  <c r="AD32" i="4"/>
  <c r="BF23" i="4"/>
  <c r="BF99" i="4"/>
  <c r="CP11" i="4"/>
  <c r="CP13" i="4" s="1"/>
  <c r="CI154" i="243" s="1"/>
  <c r="AK23" i="4"/>
  <c r="BG43" i="4"/>
  <c r="BG58" i="4"/>
  <c r="BG60" i="4" s="1"/>
  <c r="BG22" i="2" s="1"/>
  <c r="BG27" i="2" s="1"/>
  <c r="BG38" i="2" s="1"/>
  <c r="CP43" i="4"/>
  <c r="CP58" i="4"/>
  <c r="CP60" i="4" s="1"/>
  <c r="CI22" i="2" s="1"/>
  <c r="BI32" i="4"/>
  <c r="BF32" i="4"/>
  <c r="BI46" i="4"/>
  <c r="BG11" i="4"/>
  <c r="BG13" i="4" s="1"/>
  <c r="BG154" i="243" s="1"/>
  <c r="CM45" i="243"/>
  <c r="CM256" i="243"/>
  <c r="CM252" i="243"/>
  <c r="CM253" i="243" s="1"/>
  <c r="CM243" i="243"/>
  <c r="CM82" i="242"/>
  <c r="CM86" i="242" s="1"/>
  <c r="CM58" i="243"/>
  <c r="CM59" i="243" s="1"/>
  <c r="EN176" i="243"/>
  <c r="EL176" i="243"/>
  <c r="EJ176" i="243"/>
  <c r="EN118" i="243"/>
  <c r="EN97" i="243"/>
  <c r="EJ97" i="243" s="1"/>
  <c r="EN90" i="243"/>
  <c r="EO90" i="243" s="1"/>
  <c r="EN78" i="243"/>
  <c r="EJ78" i="243" s="1"/>
  <c r="EN71" i="243"/>
  <c r="EO71" i="243" s="1"/>
  <c r="EL71" i="243" s="1"/>
  <c r="EN70" i="243"/>
  <c r="EJ70" i="243" s="1"/>
  <c r="EG176" i="243"/>
  <c r="EE176" i="243"/>
  <c r="EC176" i="243"/>
  <c r="EG118" i="243"/>
  <c r="EH118" i="243" s="1"/>
  <c r="EG97" i="243"/>
  <c r="EH97" i="243" s="1"/>
  <c r="EE97" i="243" s="1"/>
  <c r="EG90" i="243"/>
  <c r="EG78" i="243"/>
  <c r="EC78" i="243" s="1"/>
  <c r="EG71" i="243"/>
  <c r="EC71" i="243" s="1"/>
  <c r="EG70" i="243"/>
  <c r="EC70" i="243" s="1"/>
  <c r="DZ176" i="243"/>
  <c r="DX176" i="243"/>
  <c r="DV176" i="243"/>
  <c r="DZ118" i="243"/>
  <c r="EA118" i="243" s="1"/>
  <c r="DZ97" i="243"/>
  <c r="EA97" i="243" s="1"/>
  <c r="DZ90" i="243"/>
  <c r="EA90" i="243" s="1"/>
  <c r="DX90" i="243" s="1"/>
  <c r="DZ78" i="243"/>
  <c r="EA78" i="243" s="1"/>
  <c r="DZ71" i="243"/>
  <c r="DV71" i="243" s="1"/>
  <c r="DZ70" i="243"/>
  <c r="EA70" i="243" s="1"/>
  <c r="DX70" i="243" s="1"/>
  <c r="DS176" i="243"/>
  <c r="DQ176" i="243"/>
  <c r="DO176" i="243"/>
  <c r="DS118" i="243"/>
  <c r="DO118" i="243" s="1"/>
  <c r="DP118" i="243" s="1"/>
  <c r="DS97" i="243"/>
  <c r="DO97" i="243" s="1"/>
  <c r="DS90" i="243"/>
  <c r="DT90" i="243" s="1"/>
  <c r="DQ90" i="243" s="1"/>
  <c r="DS78" i="243"/>
  <c r="DS71" i="243"/>
  <c r="DT71" i="243" s="1"/>
  <c r="DS70" i="243"/>
  <c r="DO70" i="243" s="1"/>
  <c r="DJ246" i="243"/>
  <c r="DH118" i="243"/>
  <c r="DI118" i="243" s="1"/>
  <c r="DH97" i="243"/>
  <c r="DI97" i="243" s="1"/>
  <c r="DH78" i="243"/>
  <c r="DH70" i="243"/>
  <c r="DI70" i="243" s="1"/>
  <c r="EN59" i="242"/>
  <c r="EJ59" i="242" s="1"/>
  <c r="EK59" i="242" s="1"/>
  <c r="EN57" i="242"/>
  <c r="EJ57" i="242" s="1"/>
  <c r="EK57" i="242" s="1"/>
  <c r="EN55" i="242"/>
  <c r="EJ55" i="242" s="1"/>
  <c r="EK55" i="242" s="1"/>
  <c r="EN48" i="242"/>
  <c r="EO48" i="242" s="1"/>
  <c r="EL48" i="242" s="1"/>
  <c r="EM48" i="242" s="1"/>
  <c r="EO40" i="242"/>
  <c r="EM40" i="242" s="1"/>
  <c r="EK40" i="242"/>
  <c r="EO37" i="242"/>
  <c r="EM37" i="242" s="1"/>
  <c r="EK37" i="242"/>
  <c r="EO36" i="242"/>
  <c r="EM36" i="242" s="1"/>
  <c r="EK36" i="242"/>
  <c r="EO35" i="242"/>
  <c r="EM35" i="242" s="1"/>
  <c r="EK35" i="242"/>
  <c r="EO30" i="242"/>
  <c r="EM30" i="242" s="1"/>
  <c r="EK30" i="242"/>
  <c r="EO29" i="242"/>
  <c r="EM29" i="242" s="1"/>
  <c r="EK29" i="242"/>
  <c r="EO28" i="242"/>
  <c r="EM28" i="242" s="1"/>
  <c r="EK28" i="242"/>
  <c r="EO27" i="242"/>
  <c r="EM27" i="242" s="1"/>
  <c r="EK27" i="242"/>
  <c r="EO24" i="242"/>
  <c r="EM24" i="242" s="1"/>
  <c r="EK24" i="242"/>
  <c r="EG59" i="242"/>
  <c r="EC59" i="242" s="1"/>
  <c r="EG57" i="242"/>
  <c r="EC57" i="242" s="1"/>
  <c r="EG55" i="242"/>
  <c r="EH55" i="242" s="1"/>
  <c r="EG48" i="242"/>
  <c r="EH48" i="242" s="1"/>
  <c r="EH40" i="242"/>
  <c r="EF40" i="242" s="1"/>
  <c r="ED40" i="242"/>
  <c r="EH37" i="242"/>
  <c r="EF37" i="242" s="1"/>
  <c r="ED37" i="242"/>
  <c r="EH36" i="242"/>
  <c r="EF36" i="242" s="1"/>
  <c r="ED36" i="242"/>
  <c r="EH35" i="242"/>
  <c r="EF35" i="242" s="1"/>
  <c r="ED35" i="242"/>
  <c r="EH30" i="242"/>
  <c r="EF30" i="242" s="1"/>
  <c r="ED30" i="242"/>
  <c r="EH29" i="242"/>
  <c r="EF29" i="242" s="1"/>
  <c r="ED29" i="242"/>
  <c r="EH28" i="242"/>
  <c r="EF28" i="242" s="1"/>
  <c r="ED28" i="242"/>
  <c r="EH27" i="242"/>
  <c r="EF27" i="242" s="1"/>
  <c r="ED27" i="242"/>
  <c r="EH24" i="242"/>
  <c r="EF24" i="242" s="1"/>
  <c r="ED24" i="242"/>
  <c r="DZ59" i="242"/>
  <c r="DV59" i="242" s="1"/>
  <c r="DZ57" i="242"/>
  <c r="DV57" i="242" s="1"/>
  <c r="DZ55" i="242"/>
  <c r="DZ48" i="242"/>
  <c r="DV48" i="242" s="1"/>
  <c r="EA40" i="242"/>
  <c r="DY40" i="242" s="1"/>
  <c r="DW40" i="242"/>
  <c r="EA37" i="242"/>
  <c r="DY37" i="242" s="1"/>
  <c r="DW37" i="242"/>
  <c r="EA36" i="242"/>
  <c r="DY36" i="242" s="1"/>
  <c r="DW36" i="242"/>
  <c r="EA35" i="242"/>
  <c r="DY35" i="242" s="1"/>
  <c r="DW35" i="242"/>
  <c r="EA30" i="242"/>
  <c r="DY30" i="242" s="1"/>
  <c r="DW30" i="242"/>
  <c r="EA29" i="242"/>
  <c r="DY29" i="242" s="1"/>
  <c r="DW29" i="242"/>
  <c r="EA28" i="242"/>
  <c r="DY28" i="242" s="1"/>
  <c r="DW28" i="242"/>
  <c r="EA27" i="242"/>
  <c r="DY27" i="242" s="1"/>
  <c r="DW27" i="242"/>
  <c r="EA24" i="242"/>
  <c r="DY24" i="242" s="1"/>
  <c r="DW24" i="242"/>
  <c r="DS59" i="242"/>
  <c r="DO59" i="242" s="1"/>
  <c r="DS57" i="242"/>
  <c r="DO57" i="242" s="1"/>
  <c r="DS55" i="242"/>
  <c r="DS48" i="242"/>
  <c r="DO48" i="242" s="1"/>
  <c r="DP48" i="242" s="1"/>
  <c r="DT40" i="242"/>
  <c r="DR40" i="242" s="1"/>
  <c r="DP40" i="242"/>
  <c r="DT37" i="242"/>
  <c r="DR37" i="242" s="1"/>
  <c r="DP37" i="242"/>
  <c r="DT36" i="242"/>
  <c r="DR36" i="242" s="1"/>
  <c r="DP36" i="242"/>
  <c r="DT35" i="242"/>
  <c r="DR35" i="242" s="1"/>
  <c r="DP35" i="242"/>
  <c r="DT30" i="242"/>
  <c r="DR30" i="242" s="1"/>
  <c r="DP30" i="242"/>
  <c r="DT29" i="242"/>
  <c r="DR29" i="242" s="1"/>
  <c r="DP29" i="242"/>
  <c r="DT28" i="242"/>
  <c r="DR28" i="242" s="1"/>
  <c r="DP28" i="242"/>
  <c r="DT27" i="242"/>
  <c r="DR27" i="242" s="1"/>
  <c r="DP27" i="242"/>
  <c r="DT24" i="242"/>
  <c r="DR24" i="242" s="1"/>
  <c r="DP24" i="242"/>
  <c r="DM59" i="242"/>
  <c r="DM57" i="242"/>
  <c r="DM55" i="242"/>
  <c r="DM48" i="242"/>
  <c r="DM40" i="242"/>
  <c r="DK40" i="242" s="1"/>
  <c r="DM37" i="242"/>
  <c r="DK37" i="242" s="1"/>
  <c r="DM36" i="242"/>
  <c r="DK36" i="242" s="1"/>
  <c r="DM35" i="242"/>
  <c r="DK35" i="242" s="1"/>
  <c r="DM30" i="242"/>
  <c r="DK30" i="242" s="1"/>
  <c r="DM29" i="242"/>
  <c r="DK29" i="242" s="1"/>
  <c r="DM28" i="242"/>
  <c r="DK28" i="242" s="1"/>
  <c r="DM27" i="242"/>
  <c r="DK27" i="242" s="1"/>
  <c r="DM24" i="242"/>
  <c r="DK24" i="242" s="1"/>
  <c r="EV155" i="4"/>
  <c r="ET155" i="4" s="1"/>
  <c r="ER155" i="4"/>
  <c r="EO155" i="4"/>
  <c r="EM155" i="4" s="1"/>
  <c r="EK155" i="4"/>
  <c r="EH155" i="4"/>
  <c r="EF155" i="4" s="1"/>
  <c r="ED155" i="4"/>
  <c r="EA155" i="4"/>
  <c r="DY155" i="4" s="1"/>
  <c r="DW155" i="4"/>
  <c r="DT155" i="4"/>
  <c r="DR155" i="4" s="1"/>
  <c r="EV137" i="4"/>
  <c r="ET137" i="4" s="1"/>
  <c r="ER137" i="4"/>
  <c r="EO137" i="4"/>
  <c r="EM137" i="4" s="1"/>
  <c r="EK137" i="4"/>
  <c r="EH137" i="4"/>
  <c r="EF137" i="4" s="1"/>
  <c r="ED137" i="4"/>
  <c r="EA137" i="4"/>
  <c r="DY137" i="4" s="1"/>
  <c r="DW137" i="4"/>
  <c r="DT137" i="4"/>
  <c r="DR137" i="4" s="1"/>
  <c r="BU8" i="2" l="1"/>
  <c r="DH79" i="243"/>
  <c r="DI78" i="243"/>
  <c r="DH71" i="243"/>
  <c r="BU5" i="178"/>
  <c r="BW56" i="2"/>
  <c r="BW59" i="2" s="1"/>
  <c r="BV62" i="2"/>
  <c r="BN32" i="4"/>
  <c r="AW76" i="220"/>
  <c r="BU162" i="243"/>
  <c r="BU159" i="243"/>
  <c r="BV59" i="2"/>
  <c r="BV65" i="2" s="1"/>
  <c r="BG46" i="4"/>
  <c r="CK176" i="243"/>
  <c r="CK159" i="243"/>
  <c r="BL27" i="2"/>
  <c r="BL38" i="2" s="1"/>
  <c r="BL41" i="2" s="1"/>
  <c r="CK162" i="243"/>
  <c r="CK165" i="243"/>
  <c r="CK171" i="243"/>
  <c r="BN46" i="4"/>
  <c r="CB46" i="4"/>
  <c r="CB48" i="4" s="1"/>
  <c r="BU54" i="2" s="1"/>
  <c r="BU165" i="243"/>
  <c r="BU153" i="243"/>
  <c r="BW176" i="243"/>
  <c r="CB32" i="4"/>
  <c r="CB125" i="4"/>
  <c r="CI23" i="4"/>
  <c r="BU176" i="243"/>
  <c r="BW159" i="243"/>
  <c r="BN12" i="178"/>
  <c r="BN24" i="178"/>
  <c r="BU25" i="178" s="1"/>
  <c r="AZ12" i="178"/>
  <c r="BW153" i="243"/>
  <c r="BQ119" i="11"/>
  <c r="AM76" i="220"/>
  <c r="AZ8" i="178"/>
  <c r="BW165" i="243"/>
  <c r="AV35" i="220"/>
  <c r="BX119" i="11"/>
  <c r="BP25" i="178"/>
  <c r="CC59" i="11"/>
  <c r="CC60" i="11"/>
  <c r="CP46" i="4"/>
  <c r="CP48" i="4" s="1"/>
  <c r="CI54" i="2" s="1"/>
  <c r="CJ56" i="11"/>
  <c r="CJ58" i="11" s="1"/>
  <c r="BO13" i="2"/>
  <c r="BO156" i="243" s="1"/>
  <c r="AR13" i="2"/>
  <c r="AR156" i="243" s="1"/>
  <c r="AK31" i="178"/>
  <c r="AK28" i="178"/>
  <c r="AR28" i="178"/>
  <c r="Y32" i="220"/>
  <c r="AF32" i="220"/>
  <c r="BH34" i="178"/>
  <c r="BH35" i="178" s="1"/>
  <c r="BE27" i="178"/>
  <c r="BH28" i="178"/>
  <c r="BH31" i="178"/>
  <c r="AQ35" i="178"/>
  <c r="AQ38" i="178"/>
  <c r="CL59" i="11"/>
  <c r="CL60" i="11"/>
  <c r="BC35" i="220"/>
  <c r="BJ35" i="220"/>
  <c r="BQ60" i="11"/>
  <c r="BA41" i="178"/>
  <c r="AX40" i="178"/>
  <c r="AN5" i="220"/>
  <c r="AN28" i="220"/>
  <c r="AN7" i="220"/>
  <c r="AN19" i="220"/>
  <c r="AW29" i="220"/>
  <c r="AW73" i="220"/>
  <c r="BO34" i="178"/>
  <c r="BL27" i="178"/>
  <c r="BO31" i="178"/>
  <c r="BO28" i="178"/>
  <c r="BV28" i="178"/>
  <c r="AU75" i="220"/>
  <c r="AU10" i="220"/>
  <c r="AU14" i="220"/>
  <c r="BN5" i="178"/>
  <c r="X35" i="220"/>
  <c r="AD32" i="178"/>
  <c r="AK43" i="178"/>
  <c r="AR43" i="178"/>
  <c r="AK41" i="178"/>
  <c r="AR41" i="178"/>
  <c r="AF35" i="220"/>
  <c r="Y35" i="220"/>
  <c r="BE40" i="178"/>
  <c r="BH41" i="178"/>
  <c r="BZ37" i="178"/>
  <c r="BZ31" i="178"/>
  <c r="BZ32" i="178" s="1"/>
  <c r="BZ28" i="178"/>
  <c r="BZ34" i="178"/>
  <c r="BA43" i="178"/>
  <c r="AX42" i="178"/>
  <c r="AX43" i="178" s="1"/>
  <c r="AS68" i="178"/>
  <c r="AS25" i="178"/>
  <c r="BV59" i="11"/>
  <c r="BL40" i="178"/>
  <c r="BO41" i="178"/>
  <c r="BV41" i="178"/>
  <c r="BK13" i="2"/>
  <c r="BK156" i="243" s="1"/>
  <c r="BS13" i="2"/>
  <c r="BS156" i="243" s="1"/>
  <c r="CA112" i="4"/>
  <c r="BT112" i="4"/>
  <c r="AK34" i="178"/>
  <c r="BO58" i="11"/>
  <c r="BV60" i="11" s="1"/>
  <c r="BO47" i="11"/>
  <c r="BN8" i="178"/>
  <c r="BN10" i="178"/>
  <c r="BZ45" i="178"/>
  <c r="BZ46" i="178" s="1"/>
  <c r="BZ41" i="178"/>
  <c r="BC32" i="220"/>
  <c r="BJ32" i="220"/>
  <c r="AZ31" i="220"/>
  <c r="AX27" i="178"/>
  <c r="BA28" i="178"/>
  <c r="BA31" i="178"/>
  <c r="BA32" i="178" s="1"/>
  <c r="AO32" i="220"/>
  <c r="AL31" i="220"/>
  <c r="BP14" i="220"/>
  <c r="BP16" i="220"/>
  <c r="CB12" i="178"/>
  <c r="CB10" i="178"/>
  <c r="CB24" i="178"/>
  <c r="CB25" i="178" s="1"/>
  <c r="CB5" i="178"/>
  <c r="CB15" i="178"/>
  <c r="CJ46" i="11"/>
  <c r="CJ47" i="11"/>
  <c r="BL42" i="178"/>
  <c r="BV43" i="178"/>
  <c r="BO43" i="178"/>
  <c r="AP29" i="220"/>
  <c r="AP73" i="220"/>
  <c r="BN8" i="2"/>
  <c r="BN23" i="4"/>
  <c r="CJ12" i="11"/>
  <c r="CJ43" i="11"/>
  <c r="AZ24" i="178"/>
  <c r="AZ5" i="178"/>
  <c r="BL13" i="2"/>
  <c r="BL156" i="243" s="1"/>
  <c r="BF112" i="4"/>
  <c r="BM112" i="4"/>
  <c r="AG76" i="220"/>
  <c r="AG29" i="220"/>
  <c r="AG73" i="220"/>
  <c r="AY40" i="178"/>
  <c r="AY25" i="178"/>
  <c r="AY68" i="178"/>
  <c r="AY42" i="178"/>
  <c r="AY27" i="178"/>
  <c r="BF25" i="178"/>
  <c r="AF59" i="11"/>
  <c r="AF60" i="11"/>
  <c r="BG24" i="178"/>
  <c r="BG25" i="178" s="1"/>
  <c r="BG5" i="178"/>
  <c r="BG15" i="178"/>
  <c r="BG12" i="178"/>
  <c r="BH43" i="178"/>
  <c r="BE42" i="178"/>
  <c r="BQ32" i="220"/>
  <c r="BN31" i="220"/>
  <c r="AT29" i="220"/>
  <c r="AM41" i="220"/>
  <c r="AM42" i="220"/>
  <c r="AM31" i="220"/>
  <c r="AM40" i="220"/>
  <c r="AM46" i="220"/>
  <c r="AM45" i="220"/>
  <c r="AM29" i="220"/>
  <c r="AM73" i="220"/>
  <c r="AM44" i="220"/>
  <c r="AM43" i="220"/>
  <c r="AV32" i="220"/>
  <c r="AS31" i="220"/>
  <c r="AU28" i="220"/>
  <c r="AU7" i="220"/>
  <c r="AU5" i="220"/>
  <c r="BB7" i="220"/>
  <c r="BB5" i="220"/>
  <c r="AU16" i="220"/>
  <c r="AU19" i="220"/>
  <c r="AD35" i="178"/>
  <c r="AN16" i="220"/>
  <c r="BX59" i="11"/>
  <c r="BX60" i="11"/>
  <c r="CE60" i="11"/>
  <c r="CC119" i="11"/>
  <c r="CC86" i="11"/>
  <c r="BV94" i="11"/>
  <c r="BX94" i="11" s="1"/>
  <c r="BX86" i="11"/>
  <c r="BO94" i="11"/>
  <c r="BQ94" i="11" s="1"/>
  <c r="BQ86" i="11"/>
  <c r="CJ94" i="11"/>
  <c r="CL94" i="11" s="1"/>
  <c r="CL86" i="11"/>
  <c r="BV119" i="11"/>
  <c r="CE119" i="11"/>
  <c r="BO119" i="11"/>
  <c r="CJ119" i="11"/>
  <c r="CL119" i="11"/>
  <c r="AW66" i="2"/>
  <c r="R58" i="242"/>
  <c r="R60" i="242" s="1"/>
  <c r="R56" i="242"/>
  <c r="R61" i="242" s="1"/>
  <c r="P45" i="242"/>
  <c r="P42" i="242"/>
  <c r="O42" i="242"/>
  <c r="O45" i="242"/>
  <c r="N58" i="242"/>
  <c r="N60" i="242" s="1"/>
  <c r="N56" i="242"/>
  <c r="N61" i="242" s="1"/>
  <c r="O48" i="242"/>
  <c r="S48" i="242"/>
  <c r="AJ153" i="243"/>
  <c r="AJ176" i="243"/>
  <c r="AJ179" i="243"/>
  <c r="AJ159" i="243"/>
  <c r="AJ162" i="243"/>
  <c r="AJ165" i="243"/>
  <c r="AJ171" i="243"/>
  <c r="AJ168" i="243"/>
  <c r="AS159" i="243"/>
  <c r="AS165" i="243"/>
  <c r="AS162" i="243"/>
  <c r="AS153" i="243"/>
  <c r="AS176" i="243"/>
  <c r="AS171" i="243"/>
  <c r="AJ10" i="2"/>
  <c r="AJ11" i="2" s="1"/>
  <c r="AJ274" i="243"/>
  <c r="N66" i="2"/>
  <c r="AS10" i="2"/>
  <c r="AS11" i="2" s="1"/>
  <c r="AS274" i="243"/>
  <c r="BF153" i="243"/>
  <c r="BF171" i="243"/>
  <c r="BF162" i="243"/>
  <c r="BF168" i="243"/>
  <c r="BF165" i="243"/>
  <c r="BF159" i="243"/>
  <c r="BF179" i="243"/>
  <c r="BF176" i="243"/>
  <c r="AD153" i="243"/>
  <c r="AD159" i="243"/>
  <c r="AD171" i="243"/>
  <c r="AD162" i="243"/>
  <c r="AD179" i="243"/>
  <c r="AD176" i="243"/>
  <c r="AD168" i="243"/>
  <c r="AD165" i="243"/>
  <c r="BG153" i="243"/>
  <c r="BG165" i="243"/>
  <c r="BG171" i="243"/>
  <c r="BG162" i="243"/>
  <c r="BG176" i="243"/>
  <c r="BG159" i="243"/>
  <c r="BI10" i="2"/>
  <c r="BI11" i="2" s="1"/>
  <c r="BI274" i="243"/>
  <c r="BW171" i="243"/>
  <c r="AP59" i="2"/>
  <c r="AP65" i="2" s="1"/>
  <c r="BF10" i="2"/>
  <c r="BF11" i="2" s="1"/>
  <c r="BF274" i="243"/>
  <c r="AD10" i="2"/>
  <c r="AD11" i="2" s="1"/>
  <c r="AD274" i="243"/>
  <c r="AB58" i="242"/>
  <c r="AB60" i="242" s="1"/>
  <c r="AB56" i="242"/>
  <c r="AB61" i="242" s="1"/>
  <c r="AW58" i="242"/>
  <c r="AW60" i="242" s="1"/>
  <c r="AW56" i="242"/>
  <c r="AW61" i="242" s="1"/>
  <c r="AY45" i="242"/>
  <c r="AY42" i="242"/>
  <c r="AQ42" i="242"/>
  <c r="AQ45" i="242"/>
  <c r="AX45" i="242"/>
  <c r="AX42" i="242"/>
  <c r="AP48" i="242"/>
  <c r="AP49" i="242" s="1"/>
  <c r="AT48" i="242"/>
  <c r="AM48" i="242"/>
  <c r="AM49" i="242" s="1"/>
  <c r="AD56" i="2"/>
  <c r="AD3" i="242"/>
  <c r="AD21" i="242" s="1"/>
  <c r="AJ45" i="242"/>
  <c r="AJ42" i="242"/>
  <c r="AK45" i="242"/>
  <c r="AK42" i="242"/>
  <c r="AC45" i="242"/>
  <c r="AC42" i="242"/>
  <c r="AR45" i="242"/>
  <c r="AR42" i="242"/>
  <c r="U58" i="242"/>
  <c r="U60" i="242" s="1"/>
  <c r="U56" i="242"/>
  <c r="U61" i="242" s="1"/>
  <c r="BA48" i="242"/>
  <c r="BA49" i="242" s="1"/>
  <c r="AF58" i="242"/>
  <c r="AF60" i="242" s="1"/>
  <c r="AF56" i="242"/>
  <c r="AF61" i="242" s="1"/>
  <c r="AI48" i="242"/>
  <c r="AI49" i="242" s="1"/>
  <c r="AG48" i="242"/>
  <c r="AC48" i="242"/>
  <c r="BD48" i="242"/>
  <c r="BD49" i="242" s="1"/>
  <c r="EJ48" i="242"/>
  <c r="EK48" i="242" s="1"/>
  <c r="CN53" i="242"/>
  <c r="CN52" i="242" s="1"/>
  <c r="CN31" i="242"/>
  <c r="CO23" i="242"/>
  <c r="BP10" i="2"/>
  <c r="BP11" i="2" s="1"/>
  <c r="BP274" i="243"/>
  <c r="EA48" i="242"/>
  <c r="DX48" i="242" s="1"/>
  <c r="DY48" i="242" s="1"/>
  <c r="EA71" i="243"/>
  <c r="DX71" i="243" s="1"/>
  <c r="DY71" i="243" s="1"/>
  <c r="BR59" i="2"/>
  <c r="BR66" i="2" s="1"/>
  <c r="AM59" i="2"/>
  <c r="AM65" i="2" s="1"/>
  <c r="DV90" i="243"/>
  <c r="DW90" i="243" s="1"/>
  <c r="AI61" i="2"/>
  <c r="AI62" i="2"/>
  <c r="BD62" i="2"/>
  <c r="BD63" i="2" s="1"/>
  <c r="BD61" i="2"/>
  <c r="AX48" i="2"/>
  <c r="AX51" i="2"/>
  <c r="AX47" i="2"/>
  <c r="AQ56" i="2"/>
  <c r="AQ57" i="2" s="1"/>
  <c r="AU56" i="2"/>
  <c r="AR56" i="2"/>
  <c r="AR57" i="2" s="1"/>
  <c r="AR51" i="2"/>
  <c r="AR48" i="2"/>
  <c r="AR47" i="2"/>
  <c r="P56" i="2"/>
  <c r="P57" i="2" s="1"/>
  <c r="P51" i="2"/>
  <c r="P47" i="2"/>
  <c r="P48" i="2"/>
  <c r="BD59" i="2"/>
  <c r="AI59" i="2"/>
  <c r="AJ47" i="2"/>
  <c r="AJ48" i="2"/>
  <c r="AJ51" i="2"/>
  <c r="AM62" i="2"/>
  <c r="AM61" i="2"/>
  <c r="AN56" i="2"/>
  <c r="AJ56" i="2"/>
  <c r="AJ57" i="2" s="1"/>
  <c r="BR48" i="242"/>
  <c r="BR49" i="242" s="1"/>
  <c r="BU10" i="2"/>
  <c r="BU11" i="2" s="1"/>
  <c r="BU274" i="243"/>
  <c r="AP62" i="2"/>
  <c r="AP61" i="2"/>
  <c r="AX56" i="2"/>
  <c r="AX57" i="2" s="1"/>
  <c r="CI153" i="243"/>
  <c r="CI165" i="243"/>
  <c r="CI159" i="243"/>
  <c r="CI176" i="243"/>
  <c r="CI162" i="243"/>
  <c r="CI171" i="243"/>
  <c r="BE41" i="2"/>
  <c r="BE42" i="2"/>
  <c r="BE46" i="2" s="1"/>
  <c r="BE3" i="242" s="1"/>
  <c r="BE21" i="242" s="1"/>
  <c r="AJ156" i="243"/>
  <c r="AY47" i="2"/>
  <c r="AY48" i="2"/>
  <c r="AY51" i="2"/>
  <c r="AY56" i="2"/>
  <c r="AY57" i="2" s="1"/>
  <c r="AQ51" i="2"/>
  <c r="AQ48" i="2"/>
  <c r="AQ47" i="2"/>
  <c r="AU51" i="2"/>
  <c r="AU48" i="2"/>
  <c r="AU47" i="2"/>
  <c r="O51" i="2"/>
  <c r="O59" i="2" s="1"/>
  <c r="O48" i="2"/>
  <c r="O47" i="2"/>
  <c r="O57" i="2"/>
  <c r="AZ47" i="2"/>
  <c r="AZ48" i="2"/>
  <c r="AZ51" i="2"/>
  <c r="R65" i="2"/>
  <c r="R66" i="2"/>
  <c r="BT48" i="242"/>
  <c r="BT49" i="242" s="1"/>
  <c r="BF27" i="2"/>
  <c r="BF38" i="2" s="1"/>
  <c r="BF18" i="2"/>
  <c r="BA59" i="2"/>
  <c r="BH41" i="2"/>
  <c r="BH42" i="2"/>
  <c r="BH46" i="2" s="1"/>
  <c r="BH3" i="242" s="1"/>
  <c r="BH21" i="242" s="1"/>
  <c r="U66" i="2"/>
  <c r="U65" i="2"/>
  <c r="BW48" i="242"/>
  <c r="CB153" i="243"/>
  <c r="CB171" i="243"/>
  <c r="CB165" i="243"/>
  <c r="CB159" i="243"/>
  <c r="CB176" i="243"/>
  <c r="CB162" i="243"/>
  <c r="AT62" i="2"/>
  <c r="AT61" i="2"/>
  <c r="BG42" i="2"/>
  <c r="BG46" i="2" s="1"/>
  <c r="BG3" i="242" s="1"/>
  <c r="BG41" i="2"/>
  <c r="AL47" i="2"/>
  <c r="AL48" i="2"/>
  <c r="AL51" i="2"/>
  <c r="BV49" i="242"/>
  <c r="AS41" i="2"/>
  <c r="AS42" i="2"/>
  <c r="AS46" i="2" s="1"/>
  <c r="AS3" i="242" s="1"/>
  <c r="BI41" i="2"/>
  <c r="BI42" i="2"/>
  <c r="BI46" i="2" s="1"/>
  <c r="BI3" i="242" s="1"/>
  <c r="R62" i="2"/>
  <c r="R61" i="2"/>
  <c r="AT59" i="2"/>
  <c r="BA57" i="2"/>
  <c r="AK56" i="2"/>
  <c r="AK57" i="2" s="1"/>
  <c r="AK51" i="2"/>
  <c r="AK48" i="2"/>
  <c r="AK47" i="2"/>
  <c r="U63" i="2"/>
  <c r="DT118" i="243"/>
  <c r="DQ118" i="243" s="1"/>
  <c r="DR118" i="243" s="1"/>
  <c r="AF66" i="2"/>
  <c r="AF65" i="2"/>
  <c r="AB65" i="2"/>
  <c r="AB66" i="2"/>
  <c r="AF61" i="2"/>
  <c r="AF62" i="2"/>
  <c r="AD47" i="2"/>
  <c r="AD48" i="2"/>
  <c r="AD51" i="2"/>
  <c r="AC51" i="2"/>
  <c r="AC59" i="2" s="1"/>
  <c r="AC48" i="2"/>
  <c r="AC47" i="2"/>
  <c r="AC57" i="2"/>
  <c r="AB61" i="2"/>
  <c r="AB62" i="2"/>
  <c r="EC118" i="243"/>
  <c r="ED118" i="243" s="1"/>
  <c r="DV70" i="243"/>
  <c r="DW70" i="243" s="1"/>
  <c r="EC97" i="243"/>
  <c r="ED97" i="243" s="1"/>
  <c r="BS56" i="2"/>
  <c r="BT59" i="2"/>
  <c r="BT66" i="2" s="1"/>
  <c r="BR62" i="2"/>
  <c r="BR61" i="2"/>
  <c r="BT61" i="2"/>
  <c r="BT62" i="2"/>
  <c r="BG23" i="4"/>
  <c r="BG8" i="2"/>
  <c r="BG125" i="4"/>
  <c r="CP23" i="4"/>
  <c r="CI8" i="2"/>
  <c r="CI274" i="243" s="1"/>
  <c r="CP125" i="4"/>
  <c r="BU41" i="2"/>
  <c r="BU42" i="2"/>
  <c r="BU46" i="2" s="1"/>
  <c r="BU3" i="242" s="1"/>
  <c r="BS41" i="2"/>
  <c r="BS42" i="2"/>
  <c r="BS46" i="2" s="1"/>
  <c r="BS3" i="242" s="1"/>
  <c r="BS21" i="242" s="1"/>
  <c r="BK41" i="2"/>
  <c r="BK42" i="2"/>
  <c r="BK46" i="2" s="1"/>
  <c r="BK3" i="242" s="1"/>
  <c r="BK21" i="242" s="1"/>
  <c r="BO41" i="2"/>
  <c r="BO42" i="2"/>
  <c r="BO46" i="2" s="1"/>
  <c r="BO3" i="242" s="1"/>
  <c r="BO21" i="242" s="1"/>
  <c r="BM27" i="2"/>
  <c r="BM38" i="2" s="1"/>
  <c r="BM18" i="2"/>
  <c r="CP32" i="4"/>
  <c r="BG32" i="4"/>
  <c r="EC55" i="242"/>
  <c r="ED55" i="242" s="1"/>
  <c r="DM71" i="243"/>
  <c r="DJ71" i="243" s="1"/>
  <c r="DV78" i="243"/>
  <c r="DW78" i="243" s="1"/>
  <c r="EJ71" i="243"/>
  <c r="EK71" i="243" s="1"/>
  <c r="EJ90" i="243"/>
  <c r="EK90" i="243" s="1"/>
  <c r="DM70" i="243"/>
  <c r="DJ70" i="243" s="1"/>
  <c r="DO90" i="243"/>
  <c r="DP90" i="243" s="1"/>
  <c r="DX78" i="243"/>
  <c r="DY78" i="243" s="1"/>
  <c r="DO71" i="243"/>
  <c r="DP71" i="243" s="1"/>
  <c r="DV97" i="243"/>
  <c r="DW97" i="243" s="1"/>
  <c r="DW71" i="243"/>
  <c r="DW48" i="242"/>
  <c r="DT48" i="242"/>
  <c r="DQ48" i="242" s="1"/>
  <c r="DR48" i="242" s="1"/>
  <c r="ED59" i="242"/>
  <c r="EO55" i="242"/>
  <c r="EL55" i="242" s="1"/>
  <c r="EM55" i="242" s="1"/>
  <c r="EO59" i="242"/>
  <c r="EL59" i="242" s="1"/>
  <c r="EM59" i="242" s="1"/>
  <c r="EC48" i="242"/>
  <c r="ED48" i="242" s="1"/>
  <c r="ED57" i="242"/>
  <c r="EM71" i="243"/>
  <c r="EO118" i="243"/>
  <c r="EJ118" i="243"/>
  <c r="EK118" i="243" s="1"/>
  <c r="EL90" i="243"/>
  <c r="EM90" i="243" s="1"/>
  <c r="EO70" i="243"/>
  <c r="EK70" i="243"/>
  <c r="EO78" i="243"/>
  <c r="EK78" i="243"/>
  <c r="EO97" i="243"/>
  <c r="EK97" i="243"/>
  <c r="EH90" i="243"/>
  <c r="EC90" i="243"/>
  <c r="EH71" i="243"/>
  <c r="ED71" i="243"/>
  <c r="EH70" i="243"/>
  <c r="ED70" i="243"/>
  <c r="EH78" i="243"/>
  <c r="ED78" i="243"/>
  <c r="EF97" i="243"/>
  <c r="EE118" i="243"/>
  <c r="EF118" i="243" s="1"/>
  <c r="DY70" i="243"/>
  <c r="DX97" i="243"/>
  <c r="DY97" i="243" s="1"/>
  <c r="DX118" i="243"/>
  <c r="DY118" i="243" s="1"/>
  <c r="DY90" i="243"/>
  <c r="DV118" i="243"/>
  <c r="DW118" i="243" s="1"/>
  <c r="DT78" i="243"/>
  <c r="DT70" i="243"/>
  <c r="DP70" i="243"/>
  <c r="DR90" i="243"/>
  <c r="DT97" i="243"/>
  <c r="DP97" i="243"/>
  <c r="DQ71" i="243"/>
  <c r="DR71" i="243" s="1"/>
  <c r="DO78" i="243"/>
  <c r="DP78" i="243" s="1"/>
  <c r="DM78" i="243"/>
  <c r="DM97" i="243"/>
  <c r="DM118" i="243"/>
  <c r="EO57" i="242"/>
  <c r="EE48" i="242"/>
  <c r="EF48" i="242" s="1"/>
  <c r="EE55" i="242"/>
  <c r="EF55" i="242" s="1"/>
  <c r="EH57" i="242"/>
  <c r="EH59" i="242"/>
  <c r="EA55" i="242"/>
  <c r="EA59" i="242"/>
  <c r="DW59" i="242"/>
  <c r="DV55" i="242"/>
  <c r="DW55" i="242" s="1"/>
  <c r="EA57" i="242"/>
  <c r="DW57" i="242"/>
  <c r="DT55" i="242"/>
  <c r="DT59" i="242"/>
  <c r="DP59" i="242"/>
  <c r="DO55" i="242"/>
  <c r="DP55" i="242" s="1"/>
  <c r="DP57" i="242"/>
  <c r="DT57" i="242"/>
  <c r="DJ48" i="242"/>
  <c r="DK48" i="242" s="1"/>
  <c r="DJ57" i="242"/>
  <c r="DK57" i="242" s="1"/>
  <c r="DJ55" i="242"/>
  <c r="DK55" i="242" s="1"/>
  <c r="DJ59" i="242"/>
  <c r="DK59" i="242" s="1"/>
  <c r="DH72" i="243" l="1"/>
  <c r="DI69" i="243" s="1"/>
  <c r="DI71" i="243"/>
  <c r="DH65" i="243"/>
  <c r="DI76" i="243"/>
  <c r="DI79" i="243" s="1"/>
  <c r="DI65" i="243" s="1"/>
  <c r="DH73" i="243"/>
  <c r="DH64" i="243"/>
  <c r="BW57" i="2"/>
  <c r="BW62" i="2" s="1"/>
  <c r="BU56" i="2"/>
  <c r="BU57" i="2" s="1"/>
  <c r="BL42" i="2"/>
  <c r="BL46" i="2" s="1"/>
  <c r="BL3" i="242" s="1"/>
  <c r="BL21" i="242" s="1"/>
  <c r="BL42" i="242" s="1"/>
  <c r="BV66" i="2"/>
  <c r="BE43" i="178"/>
  <c r="AP66" i="2"/>
  <c r="BR65" i="2"/>
  <c r="AS37" i="220"/>
  <c r="AS38" i="220" s="1"/>
  <c r="AS32" i="220"/>
  <c r="AS34" i="220"/>
  <c r="BO35" i="178"/>
  <c r="BV35" i="178"/>
  <c r="AT32" i="220"/>
  <c r="AM32" i="220"/>
  <c r="AY34" i="178"/>
  <c r="AY28" i="178"/>
  <c r="AY31" i="178"/>
  <c r="BF28" i="178"/>
  <c r="AY41" i="178"/>
  <c r="BF41" i="178"/>
  <c r="AZ25" i="178"/>
  <c r="AZ68" i="178"/>
  <c r="BN274" i="243"/>
  <c r="BN10" i="2"/>
  <c r="BN11" i="2" s="1"/>
  <c r="CJ59" i="11"/>
  <c r="CJ60" i="11"/>
  <c r="AL32" i="220"/>
  <c r="AL37" i="220"/>
  <c r="AL38" i="220" s="1"/>
  <c r="AL34" i="220"/>
  <c r="AL35" i="220" s="1"/>
  <c r="AX28" i="178"/>
  <c r="AX37" i="178"/>
  <c r="AX34" i="178"/>
  <c r="AX31" i="178"/>
  <c r="AX32" i="178" s="1"/>
  <c r="AK35" i="178"/>
  <c r="AR35" i="178"/>
  <c r="AN76" i="220"/>
  <c r="AN29" i="220"/>
  <c r="AN73" i="220"/>
  <c r="BH32" i="178"/>
  <c r="AK32" i="178"/>
  <c r="AR32" i="178"/>
  <c r="BM13" i="2"/>
  <c r="BM156" i="243" s="1"/>
  <c r="BN25" i="178"/>
  <c r="AM34" i="220"/>
  <c r="BN32" i="220"/>
  <c r="BN34" i="220"/>
  <c r="BN35" i="220" s="1"/>
  <c r="BN37" i="220"/>
  <c r="BN38" i="220" s="1"/>
  <c r="AY43" i="178"/>
  <c r="BF43" i="178"/>
  <c r="BL43" i="178"/>
  <c r="BS43" i="178"/>
  <c r="BZ38" i="178"/>
  <c r="BZ35" i="178"/>
  <c r="BV32" i="178"/>
  <c r="BO32" i="178"/>
  <c r="AU76" i="220"/>
  <c r="AU73" i="220"/>
  <c r="AU29" i="220"/>
  <c r="BB29" i="220"/>
  <c r="AZ37" i="220"/>
  <c r="AZ38" i="220" s="1"/>
  <c r="AZ32" i="220"/>
  <c r="AZ34" i="220"/>
  <c r="BG32" i="220"/>
  <c r="BO60" i="11"/>
  <c r="BL41" i="178"/>
  <c r="BL45" i="178"/>
  <c r="BL46" i="178" s="1"/>
  <c r="BS41" i="178"/>
  <c r="BE41" i="178"/>
  <c r="BE45" i="178"/>
  <c r="BE46" i="178" s="1"/>
  <c r="BL28" i="178"/>
  <c r="BL31" i="178"/>
  <c r="BL37" i="178"/>
  <c r="BL34" i="178"/>
  <c r="BS28" i="178"/>
  <c r="AX41" i="178"/>
  <c r="AX45" i="178"/>
  <c r="AX46" i="178" s="1"/>
  <c r="BE28" i="178"/>
  <c r="BE34" i="178"/>
  <c r="BE31" i="178"/>
  <c r="BE37" i="178"/>
  <c r="CC94" i="11"/>
  <c r="CE94" i="11" s="1"/>
  <c r="CE86" i="11"/>
  <c r="AM66" i="2"/>
  <c r="P48" i="242"/>
  <c r="P49" i="242" s="1"/>
  <c r="O49" i="242"/>
  <c r="BT65" i="2"/>
  <c r="BG10" i="2"/>
  <c r="BG11" i="2" s="1"/>
  <c r="BG274" i="243"/>
  <c r="BH45" i="242"/>
  <c r="BH42" i="242"/>
  <c r="AM56" i="242"/>
  <c r="AM61" i="242" s="1"/>
  <c r="AM58" i="242"/>
  <c r="AM60" i="242" s="1"/>
  <c r="AP56" i="242"/>
  <c r="AP61" i="242" s="1"/>
  <c r="AP58" i="242"/>
  <c r="AP60" i="242" s="1"/>
  <c r="AC49" i="242"/>
  <c r="AN48" i="242"/>
  <c r="AJ48" i="242"/>
  <c r="AJ49" i="242" s="1"/>
  <c r="BD58" i="242"/>
  <c r="BD60" i="242" s="1"/>
  <c r="BD56" i="242"/>
  <c r="BD61" i="242" s="1"/>
  <c r="AI58" i="242"/>
  <c r="AI60" i="242" s="1"/>
  <c r="AI56" i="242"/>
  <c r="AI61" i="242" s="1"/>
  <c r="BA58" i="242"/>
  <c r="BA60" i="242" s="1"/>
  <c r="BA56" i="242"/>
  <c r="BA61" i="242" s="1"/>
  <c r="AD45" i="242"/>
  <c r="AD42" i="242"/>
  <c r="AU48" i="242"/>
  <c r="AQ48" i="242"/>
  <c r="AQ49" i="242" s="1"/>
  <c r="BE45" i="242"/>
  <c r="BE42" i="242"/>
  <c r="BB48" i="242"/>
  <c r="AX48" i="242"/>
  <c r="AX49" i="242" s="1"/>
  <c r="AR48" i="242"/>
  <c r="AR49" i="242" s="1"/>
  <c r="AK48" i="242"/>
  <c r="AT49" i="242"/>
  <c r="AY48" i="242"/>
  <c r="AY49" i="242" s="1"/>
  <c r="CN51" i="242"/>
  <c r="CO53" i="242"/>
  <c r="CO31" i="242"/>
  <c r="BK45" i="242"/>
  <c r="BK42" i="242"/>
  <c r="BO45" i="242"/>
  <c r="BO42" i="242"/>
  <c r="P59" i="2"/>
  <c r="P65" i="2" s="1"/>
  <c r="AK59" i="2"/>
  <c r="AK65" i="2" s="1"/>
  <c r="AY59" i="2"/>
  <c r="AY65" i="2" s="1"/>
  <c r="AP63" i="2"/>
  <c r="AL56" i="2"/>
  <c r="AX59" i="2"/>
  <c r="AX66" i="2" s="1"/>
  <c r="BT56" i="242"/>
  <c r="BT61" i="242" s="1"/>
  <c r="BT58" i="242"/>
  <c r="BT60" i="242" s="1"/>
  <c r="BR58" i="242"/>
  <c r="BR60" i="242" s="1"/>
  <c r="BR56" i="242"/>
  <c r="BR61" i="242" s="1"/>
  <c r="BU48" i="242"/>
  <c r="BF42" i="2"/>
  <c r="BF46" i="2" s="1"/>
  <c r="BF3" i="242" s="1"/>
  <c r="BF21" i="242" s="1"/>
  <c r="BF41" i="2"/>
  <c r="O66" i="2"/>
  <c r="O65" i="2"/>
  <c r="AQ61" i="2"/>
  <c r="AQ62" i="2"/>
  <c r="BD66" i="2"/>
  <c r="BD65" i="2"/>
  <c r="AT63" i="2"/>
  <c r="BS48" i="242"/>
  <c r="O61" i="2"/>
  <c r="O62" i="2"/>
  <c r="AX61" i="2"/>
  <c r="AX62" i="2"/>
  <c r="AW63" i="2"/>
  <c r="P61" i="2"/>
  <c r="P62" i="2"/>
  <c r="AR59" i="2"/>
  <c r="BA62" i="2"/>
  <c r="BA63" i="2" s="1"/>
  <c r="BA61" i="2"/>
  <c r="BI48" i="2"/>
  <c r="BI47" i="2"/>
  <c r="BI51" i="2"/>
  <c r="BV56" i="242"/>
  <c r="BV61" i="242" s="1"/>
  <c r="BV58" i="242"/>
  <c r="BV60" i="242" s="1"/>
  <c r="BA66" i="2"/>
  <c r="BA65" i="2"/>
  <c r="AR61" i="2"/>
  <c r="AR62" i="2"/>
  <c r="AK61" i="2"/>
  <c r="AK62" i="2"/>
  <c r="AS48" i="2"/>
  <c r="AS47" i="2"/>
  <c r="AS51" i="2"/>
  <c r="BH48" i="2"/>
  <c r="BH56" i="2"/>
  <c r="BH51" i="2"/>
  <c r="BH47" i="2"/>
  <c r="BS42" i="242"/>
  <c r="BS45" i="242"/>
  <c r="AT65" i="2"/>
  <c r="AT66" i="2"/>
  <c r="BG51" i="2"/>
  <c r="BG48" i="2"/>
  <c r="BG47" i="2"/>
  <c r="AQ59" i="2"/>
  <c r="AY62" i="2"/>
  <c r="AY61" i="2"/>
  <c r="BE48" i="2"/>
  <c r="BE47" i="2"/>
  <c r="BE51" i="2"/>
  <c r="AJ62" i="2"/>
  <c r="AJ61" i="2"/>
  <c r="AJ59" i="2"/>
  <c r="AI66" i="2"/>
  <c r="AI65" i="2"/>
  <c r="AS56" i="2"/>
  <c r="AC66" i="2"/>
  <c r="AC65" i="2"/>
  <c r="AM63" i="2"/>
  <c r="AD57" i="2"/>
  <c r="AD59" i="2"/>
  <c r="AC62" i="2"/>
  <c r="AC61" i="2"/>
  <c r="AB63" i="2"/>
  <c r="AI63" i="2"/>
  <c r="DK71" i="243"/>
  <c r="BO48" i="2"/>
  <c r="BO56" i="2"/>
  <c r="BO51" i="2"/>
  <c r="BO47" i="2"/>
  <c r="BS51" i="2"/>
  <c r="BS59" i="2" s="1"/>
  <c r="BS47" i="2"/>
  <c r="BS48" i="2"/>
  <c r="BS57" i="2"/>
  <c r="BU51" i="2"/>
  <c r="BU47" i="2"/>
  <c r="BU48" i="2"/>
  <c r="BK48" i="2"/>
  <c r="BK56" i="2"/>
  <c r="BK57" i="2" s="1"/>
  <c r="BK51" i="2"/>
  <c r="BK47" i="2"/>
  <c r="BM42" i="2"/>
  <c r="BM46" i="2" s="1"/>
  <c r="BM3" i="242" s="1"/>
  <c r="BM21" i="242" s="1"/>
  <c r="BM41" i="2"/>
  <c r="BW66" i="2"/>
  <c r="BW65" i="2"/>
  <c r="DK70" i="243"/>
  <c r="EL97" i="243"/>
  <c r="EM97" i="243" s="1"/>
  <c r="EL70" i="243"/>
  <c r="EM70" i="243" s="1"/>
  <c r="EL78" i="243"/>
  <c r="EM78" i="243" s="1"/>
  <c r="EL118" i="243"/>
  <c r="EM118" i="243" s="1"/>
  <c r="EE70" i="243"/>
  <c r="EF70" i="243" s="1"/>
  <c r="EE78" i="243"/>
  <c r="EF78" i="243" s="1"/>
  <c r="EE90" i="243"/>
  <c r="EF90" i="243" s="1"/>
  <c r="ED90" i="243"/>
  <c r="EE71" i="243"/>
  <c r="EF71" i="243" s="1"/>
  <c r="DQ70" i="243"/>
  <c r="DR70" i="243" s="1"/>
  <c r="DQ97" i="243"/>
  <c r="DR97" i="243" s="1"/>
  <c r="DQ78" i="243"/>
  <c r="DR78" i="243" s="1"/>
  <c r="DJ78" i="243"/>
  <c r="DK78" i="243" s="1"/>
  <c r="DJ118" i="243"/>
  <c r="DK118" i="243" s="1"/>
  <c r="DJ97" i="243"/>
  <c r="DK97" i="243" s="1"/>
  <c r="EL57" i="242"/>
  <c r="EM57" i="242" s="1"/>
  <c r="EE57" i="242"/>
  <c r="EF57" i="242" s="1"/>
  <c r="EE59" i="242"/>
  <c r="EF59" i="242" s="1"/>
  <c r="DX57" i="242"/>
  <c r="DY57" i="242" s="1"/>
  <c r="DX55" i="242"/>
  <c r="DX59" i="242"/>
  <c r="DY59" i="242" s="1"/>
  <c r="DQ55" i="242"/>
  <c r="DR55" i="242" s="1"/>
  <c r="DQ57" i="242"/>
  <c r="DR57" i="242" s="1"/>
  <c r="DQ59" i="242"/>
  <c r="DR59" i="242" s="1"/>
  <c r="DH66" i="243" l="1"/>
  <c r="DH85" i="243" s="1"/>
  <c r="DI72" i="243"/>
  <c r="BL45" i="242"/>
  <c r="BW61" i="2"/>
  <c r="BL48" i="2"/>
  <c r="BL47" i="2"/>
  <c r="BL51" i="2"/>
  <c r="BU59" i="2"/>
  <c r="BU65" i="2" s="1"/>
  <c r="AY66" i="2"/>
  <c r="BE32" i="178"/>
  <c r="BL32" i="178"/>
  <c r="BS32" i="178"/>
  <c r="AM35" i="220"/>
  <c r="AT35" i="220"/>
  <c r="AY35" i="178"/>
  <c r="BF35" i="178"/>
  <c r="BE35" i="178"/>
  <c r="BE38" i="178"/>
  <c r="AS35" i="220"/>
  <c r="BS35" i="178"/>
  <c r="BL35" i="178"/>
  <c r="BL38" i="178"/>
  <c r="AZ35" i="220"/>
  <c r="BG35" i="220"/>
  <c r="AX35" i="178"/>
  <c r="AX38" i="178"/>
  <c r="AY32" i="178"/>
  <c r="BF32" i="178"/>
  <c r="Q48" i="242"/>
  <c r="AK66" i="2"/>
  <c r="P56" i="242"/>
  <c r="P61" i="242" s="1"/>
  <c r="P58" i="242"/>
  <c r="P60" i="242" s="1"/>
  <c r="O56" i="242"/>
  <c r="O61" i="242" s="1"/>
  <c r="O58" i="242"/>
  <c r="O60" i="242" s="1"/>
  <c r="AL48" i="242"/>
  <c r="AX65" i="2"/>
  <c r="P66" i="2"/>
  <c r="AK49" i="242"/>
  <c r="AK58" i="242" s="1"/>
  <c r="AK60" i="242" s="1"/>
  <c r="AY56" i="242"/>
  <c r="AY61" i="242" s="1"/>
  <c r="AY58" i="242"/>
  <c r="AY60" i="242" s="1"/>
  <c r="BF45" i="242"/>
  <c r="BF48" i="242" s="1"/>
  <c r="BF49" i="242" s="1"/>
  <c r="BF42" i="242"/>
  <c r="AT58" i="242"/>
  <c r="AT60" i="242" s="1"/>
  <c r="AT56" i="242"/>
  <c r="AT61" i="242" s="1"/>
  <c r="AD48" i="242"/>
  <c r="AE48" i="242" s="1"/>
  <c r="AX58" i="242"/>
  <c r="AX60" i="242" s="1"/>
  <c r="AX56" i="242"/>
  <c r="AX61" i="242" s="1"/>
  <c r="AQ56" i="242"/>
  <c r="AQ61" i="242" s="1"/>
  <c r="AQ58" i="242"/>
  <c r="AQ60" i="242" s="1"/>
  <c r="AC56" i="242"/>
  <c r="AC61" i="242" s="1"/>
  <c r="AC58" i="242"/>
  <c r="AC60" i="242" s="1"/>
  <c r="AZ48" i="242"/>
  <c r="AS48" i="242"/>
  <c r="AR58" i="242"/>
  <c r="AR60" i="242" s="1"/>
  <c r="AR56" i="242"/>
  <c r="AR61" i="242" s="1"/>
  <c r="AJ58" i="242"/>
  <c r="AJ60" i="242" s="1"/>
  <c r="AJ56" i="242"/>
  <c r="AJ61" i="242" s="1"/>
  <c r="BH48" i="242"/>
  <c r="CO52" i="242"/>
  <c r="CO55" i="242" s="1"/>
  <c r="CP55" i="242" s="1"/>
  <c r="BM45" i="242"/>
  <c r="BM48" i="242" s="1"/>
  <c r="BM49" i="242" s="1"/>
  <c r="BM42" i="242"/>
  <c r="BK48" i="242"/>
  <c r="BK49" i="242" s="1"/>
  <c r="AX63" i="2"/>
  <c r="BO48" i="242"/>
  <c r="BO49" i="242" s="1"/>
  <c r="AJ66" i="2"/>
  <c r="AJ65" i="2"/>
  <c r="AQ66" i="2"/>
  <c r="AQ65" i="2"/>
  <c r="AR63" i="2"/>
  <c r="BS49" i="242"/>
  <c r="BH59" i="2"/>
  <c r="BF47" i="2"/>
  <c r="BF56" i="2"/>
  <c r="BF57" i="2" s="1"/>
  <c r="BF51" i="2"/>
  <c r="BF48" i="2"/>
  <c r="BI56" i="2"/>
  <c r="BE56" i="2"/>
  <c r="BE57" i="2" s="1"/>
  <c r="AR66" i="2"/>
  <c r="AR65" i="2"/>
  <c r="AY63" i="2"/>
  <c r="BH57" i="2"/>
  <c r="AQ63" i="2"/>
  <c r="AD66" i="2"/>
  <c r="AD65" i="2"/>
  <c r="AD61" i="2"/>
  <c r="AD62" i="2"/>
  <c r="AJ63" i="2"/>
  <c r="BK62" i="2"/>
  <c r="BK61" i="2"/>
  <c r="BO59" i="2"/>
  <c r="BP56" i="2"/>
  <c r="BL56" i="2"/>
  <c r="BU62" i="2"/>
  <c r="BU61" i="2"/>
  <c r="BS66" i="2"/>
  <c r="BS65" i="2"/>
  <c r="BM51" i="2"/>
  <c r="BM56" i="2"/>
  <c r="BM57" i="2" s="1"/>
  <c r="BM48" i="2"/>
  <c r="BM47" i="2"/>
  <c r="BK59" i="2"/>
  <c r="BS61" i="2"/>
  <c r="BS62" i="2"/>
  <c r="BO57" i="2"/>
  <c r="DY55" i="242"/>
  <c r="DI73" i="243" l="1"/>
  <c r="DI64" i="243"/>
  <c r="DI66" i="243" s="1"/>
  <c r="BU66" i="2"/>
  <c r="AK56" i="242"/>
  <c r="AK61" i="242" s="1"/>
  <c r="CO51" i="242"/>
  <c r="BE48" i="242"/>
  <c r="BE49" i="242" s="1"/>
  <c r="BI48" i="242"/>
  <c r="BG48" i="242" s="1"/>
  <c r="BF58" i="242"/>
  <c r="BF60" i="242" s="1"/>
  <c r="BF56" i="242"/>
  <c r="BF61" i="242" s="1"/>
  <c r="BN56" i="2"/>
  <c r="BH49" i="242"/>
  <c r="AD49" i="242"/>
  <c r="BK58" i="242"/>
  <c r="BK60" i="242" s="1"/>
  <c r="BK56" i="242"/>
  <c r="BK61" i="242" s="1"/>
  <c r="BO58" i="242"/>
  <c r="BO60" i="242" s="1"/>
  <c r="BO56" i="242"/>
  <c r="BO61" i="242" s="1"/>
  <c r="BP48" i="242"/>
  <c r="BN48" i="242" s="1"/>
  <c r="BL48" i="242"/>
  <c r="BL49" i="242" s="1"/>
  <c r="BM58" i="242"/>
  <c r="BM60" i="242" s="1"/>
  <c r="BM56" i="242"/>
  <c r="BM61" i="242" s="1"/>
  <c r="BE59" i="2"/>
  <c r="BE66" i="2" s="1"/>
  <c r="BE62" i="2"/>
  <c r="BE63" i="2" s="1"/>
  <c r="BE61" i="2"/>
  <c r="BH65" i="2"/>
  <c r="BH66" i="2"/>
  <c r="BG56" i="2"/>
  <c r="BF59" i="2"/>
  <c r="BS56" i="242"/>
  <c r="BS61" i="242" s="1"/>
  <c r="BS58" i="242"/>
  <c r="BS60" i="242" s="1"/>
  <c r="BH62" i="2"/>
  <c r="BH63" i="2" s="1"/>
  <c r="BH61" i="2"/>
  <c r="BF62" i="2"/>
  <c r="BF63" i="2" s="1"/>
  <c r="BF61" i="2"/>
  <c r="AK63" i="2"/>
  <c r="BM59" i="2"/>
  <c r="BM66" i="2" s="1"/>
  <c r="BO62" i="2"/>
  <c r="BO61" i="2"/>
  <c r="BL59" i="2"/>
  <c r="BL57" i="2"/>
  <c r="BM62" i="2"/>
  <c r="BM61" i="2"/>
  <c r="BK66" i="2"/>
  <c r="BK65" i="2"/>
  <c r="BO65" i="2"/>
  <c r="BO66" i="2"/>
  <c r="BK63" i="2"/>
  <c r="BR63" i="2"/>
  <c r="DM155" i="4"/>
  <c r="DK155" i="4" s="1"/>
  <c r="DM137" i="4"/>
  <c r="DK137" i="4" s="1"/>
  <c r="DI155" i="4"/>
  <c r="DE97" i="243"/>
  <c r="DA97" i="243" s="1"/>
  <c r="DB97" i="243" s="1"/>
  <c r="DE78" i="243"/>
  <c r="DE71" i="243"/>
  <c r="DE70" i="243"/>
  <c r="CV273" i="243"/>
  <c r="CV208" i="243"/>
  <c r="CV207" i="243"/>
  <c r="CV205" i="243"/>
  <c r="CV204" i="243"/>
  <c r="CV255" i="243"/>
  <c r="CV251" i="243"/>
  <c r="CV245" i="243"/>
  <c r="CV241" i="243"/>
  <c r="CV240" i="243"/>
  <c r="CV234" i="243"/>
  <c r="CV212" i="243"/>
  <c r="CV174" i="243"/>
  <c r="CV173" i="243"/>
  <c r="CV170" i="243"/>
  <c r="CV164" i="243"/>
  <c r="CV161" i="243"/>
  <c r="CV158" i="243"/>
  <c r="CV152" i="243"/>
  <c r="CV53" i="243"/>
  <c r="CV56" i="243" s="1"/>
  <c r="CV37" i="243"/>
  <c r="CV45" i="243" s="1"/>
  <c r="CV35" i="243"/>
  <c r="CV34" i="243" s="1"/>
  <c r="CV178" i="243" s="1"/>
  <c r="CV19" i="243"/>
  <c r="CV21" i="243" s="1"/>
  <c r="CV11" i="243"/>
  <c r="CV24" i="243" s="1"/>
  <c r="CV9" i="243"/>
  <c r="CV84" i="242"/>
  <c r="CV83" i="242"/>
  <c r="CV81" i="242"/>
  <c r="CV80" i="242"/>
  <c r="CV4" i="242"/>
  <c r="DC71" i="243" l="1"/>
  <c r="DD71" i="243" s="1"/>
  <c r="DA71" i="243"/>
  <c r="DC118" i="243"/>
  <c r="DD118" i="243" s="1"/>
  <c r="BM65" i="2"/>
  <c r="AD58" i="242"/>
  <c r="AD60" i="242" s="1"/>
  <c r="AD56" i="242"/>
  <c r="AD61" i="242" s="1"/>
  <c r="BH56" i="242"/>
  <c r="BH61" i="242" s="1"/>
  <c r="BH58" i="242"/>
  <c r="BH60" i="242" s="1"/>
  <c r="BE58" i="242"/>
  <c r="BE60" i="242" s="1"/>
  <c r="BE56" i="242"/>
  <c r="BE61" i="242" s="1"/>
  <c r="BE65" i="2"/>
  <c r="BL58" i="242"/>
  <c r="BL60" i="242" s="1"/>
  <c r="BL56" i="242"/>
  <c r="BL61" i="242" s="1"/>
  <c r="BF66" i="2"/>
  <c r="BF65" i="2"/>
  <c r="CV175" i="243"/>
  <c r="CV243" i="243"/>
  <c r="BL62" i="2"/>
  <c r="BL61" i="2"/>
  <c r="BL66" i="2"/>
  <c r="BL65" i="2"/>
  <c r="BM63" i="2"/>
  <c r="BT63" i="2"/>
  <c r="BO63" i="2"/>
  <c r="BV63" i="2"/>
  <c r="DA78" i="243"/>
  <c r="DB78" i="243" s="1"/>
  <c r="DA70" i="243"/>
  <c r="DB70" i="243" s="1"/>
  <c r="DC70" i="243"/>
  <c r="CV256" i="243"/>
  <c r="CV252" i="243"/>
  <c r="CV253" i="243" s="1"/>
  <c r="CV211" i="243"/>
  <c r="CV213" i="243" s="1"/>
  <c r="CW235" i="243" s="1"/>
  <c r="CV186" i="243"/>
  <c r="CV49" i="243"/>
  <c r="CV58" i="243" s="1"/>
  <c r="CV59" i="243" s="1"/>
  <c r="CV82" i="242"/>
  <c r="CV86" i="242" s="1"/>
  <c r="CV10" i="243"/>
  <c r="CV167" i="243" s="1"/>
  <c r="CU210" i="243"/>
  <c r="CU209" i="243"/>
  <c r="CU206" i="243"/>
  <c r="CX273" i="243"/>
  <c r="CX255" i="243"/>
  <c r="CX251" i="243"/>
  <c r="CX245" i="243"/>
  <c r="CX241" i="243"/>
  <c r="CX240" i="243"/>
  <c r="CX208" i="243"/>
  <c r="CX207" i="243"/>
  <c r="CU207" i="243" s="1"/>
  <c r="CX205" i="243"/>
  <c r="CU205" i="243" s="1"/>
  <c r="CX204" i="243"/>
  <c r="CU204" i="243" s="1"/>
  <c r="CX234" i="243"/>
  <c r="CX212" i="243"/>
  <c r="CX189" i="243"/>
  <c r="CX174" i="243"/>
  <c r="CX173" i="243"/>
  <c r="CX170" i="243"/>
  <c r="CX164" i="243"/>
  <c r="CX161" i="243"/>
  <c r="CX158" i="243"/>
  <c r="CX152" i="243"/>
  <c r="CU55" i="243"/>
  <c r="CU54" i="243"/>
  <c r="CU52" i="243"/>
  <c r="CU51" i="243"/>
  <c r="CU44" i="243"/>
  <c r="CU43" i="243"/>
  <c r="CU42" i="243"/>
  <c r="CU41" i="243"/>
  <c r="CU273" i="243" s="1"/>
  <c r="CU40" i="243"/>
  <c r="CU174" i="243" s="1"/>
  <c r="CU39" i="243"/>
  <c r="CU251" i="243" s="1"/>
  <c r="CU38" i="243"/>
  <c r="CU84" i="242" s="1"/>
  <c r="CU33" i="243"/>
  <c r="CU32" i="243"/>
  <c r="CU31" i="243"/>
  <c r="CU30" i="243"/>
  <c r="CU173" i="243" s="1"/>
  <c r="CU29" i="243"/>
  <c r="CU170" i="243" s="1"/>
  <c r="CU28" i="243"/>
  <c r="CU83" i="242" s="1"/>
  <c r="CU27" i="243"/>
  <c r="CU20" i="243"/>
  <c r="CU18" i="243"/>
  <c r="CU17" i="243"/>
  <c r="CU16" i="243"/>
  <c r="CU15" i="243"/>
  <c r="CU14" i="243"/>
  <c r="CU13" i="243"/>
  <c r="CU8" i="243"/>
  <c r="CU164" i="243" s="1"/>
  <c r="CU7" i="243"/>
  <c r="CU80" i="242" s="1"/>
  <c r="CU6" i="243"/>
  <c r="CU5" i="243"/>
  <c r="CU4" i="243"/>
  <c r="CU161" i="243" s="1"/>
  <c r="CU3" i="243"/>
  <c r="CX53" i="243"/>
  <c r="CU53" i="243" s="1"/>
  <c r="CX37" i="243"/>
  <c r="CX252" i="243" s="1"/>
  <c r="CX35" i="243"/>
  <c r="CX49" i="243" s="1"/>
  <c r="CX19" i="243"/>
  <c r="CU19" i="243" s="1"/>
  <c r="CX11" i="243"/>
  <c r="CX24" i="243" s="1"/>
  <c r="CX9" i="243"/>
  <c r="CU9" i="243" s="1"/>
  <c r="CU85" i="242"/>
  <c r="CU59" i="242"/>
  <c r="CV59" i="242" s="1"/>
  <c r="CW59" i="242" s="1"/>
  <c r="CU57" i="242"/>
  <c r="CU55" i="242"/>
  <c r="CU48" i="242"/>
  <c r="CU40" i="242"/>
  <c r="CV40" i="242" s="1"/>
  <c r="CW40" i="242" s="1"/>
  <c r="CU37" i="242"/>
  <c r="CV37" i="242" s="1"/>
  <c r="CW37" i="242" s="1"/>
  <c r="CU36" i="242"/>
  <c r="CU35" i="242"/>
  <c r="CU34" i="242"/>
  <c r="CV34" i="242" s="1"/>
  <c r="CW34" i="242" s="1"/>
  <c r="CU33" i="242"/>
  <c r="CV33" i="242" s="1"/>
  <c r="CW33" i="242" s="1"/>
  <c r="CU30" i="242"/>
  <c r="CV30" i="242" s="1"/>
  <c r="CW30" i="242" s="1"/>
  <c r="CU29" i="242"/>
  <c r="CV29" i="242" s="1"/>
  <c r="CW29" i="242" s="1"/>
  <c r="CU28" i="242"/>
  <c r="CV28" i="242" s="1"/>
  <c r="CW28" i="242" s="1"/>
  <c r="CU27" i="242"/>
  <c r="CV27" i="242" s="1"/>
  <c r="CW27" i="242" s="1"/>
  <c r="CU26" i="242"/>
  <c r="CV26" i="242" s="1"/>
  <c r="CW26" i="242" s="1"/>
  <c r="CW54" i="242" s="1"/>
  <c r="CU24" i="242"/>
  <c r="CV24" i="242" s="1"/>
  <c r="CW24" i="242" s="1"/>
  <c r="CU20" i="242"/>
  <c r="CV20" i="242" s="1"/>
  <c r="CW20" i="242" s="1"/>
  <c r="CU8" i="242"/>
  <c r="CV8" i="242" s="1"/>
  <c r="CW8" i="242" s="1"/>
  <c r="CU7" i="242"/>
  <c r="CV7" i="242" s="1"/>
  <c r="CW7" i="242" s="1"/>
  <c r="CU6" i="242"/>
  <c r="CV6" i="242" s="1"/>
  <c r="CW6" i="242" s="1"/>
  <c r="CU5" i="242"/>
  <c r="CV5" i="242" s="1"/>
  <c r="CW5" i="242" s="1"/>
  <c r="CX84" i="242"/>
  <c r="CX83" i="242"/>
  <c r="CX81" i="242"/>
  <c r="CX80" i="242"/>
  <c r="CX46" i="242"/>
  <c r="CX25" i="242"/>
  <c r="CY25" i="242" s="1"/>
  <c r="CX23" i="242"/>
  <c r="CU10" i="242"/>
  <c r="CV10" i="242" s="1"/>
  <c r="CW10" i="242" s="1"/>
  <c r="CX9" i="242"/>
  <c r="CY9" i="242" s="1"/>
  <c r="CY21" i="242" s="1"/>
  <c r="CX54" i="242"/>
  <c r="CX38" i="242"/>
  <c r="CX4" i="242"/>
  <c r="CT273" i="243"/>
  <c r="CT255" i="243"/>
  <c r="CT251" i="243"/>
  <c r="CT245" i="243"/>
  <c r="CT241" i="243"/>
  <c r="CT240" i="243"/>
  <c r="CT234" i="243"/>
  <c r="CT212" i="243"/>
  <c r="CT208" i="243"/>
  <c r="CT207" i="243"/>
  <c r="CT205" i="243"/>
  <c r="CT204" i="243"/>
  <c r="CT189" i="243"/>
  <c r="CT174" i="243"/>
  <c r="CT173" i="243"/>
  <c r="CT170" i="243"/>
  <c r="CT164" i="243"/>
  <c r="CT161" i="243"/>
  <c r="CT158" i="243"/>
  <c r="CT152" i="243"/>
  <c r="CT53" i="243"/>
  <c r="CT56" i="243" s="1"/>
  <c r="CT37" i="243"/>
  <c r="CT45" i="243" s="1"/>
  <c r="CT35" i="243"/>
  <c r="CT34" i="243" s="1"/>
  <c r="CT178" i="243" s="1"/>
  <c r="CT19" i="243"/>
  <c r="CT21" i="243" s="1"/>
  <c r="CT11" i="243"/>
  <c r="CT24" i="243" s="1"/>
  <c r="CT9" i="243"/>
  <c r="CT84" i="242"/>
  <c r="CT83" i="242"/>
  <c r="CT81" i="242"/>
  <c r="CT80" i="242"/>
  <c r="CT54" i="242"/>
  <c r="CT46" i="242"/>
  <c r="CT50" i="242" s="1"/>
  <c r="CU50" i="242" s="1"/>
  <c r="CT38" i="242"/>
  <c r="CT25" i="242"/>
  <c r="CT23" i="242"/>
  <c r="CT9" i="242"/>
  <c r="CT4" i="242"/>
  <c r="CD73" i="2"/>
  <c r="CD70" i="2"/>
  <c r="CD69" i="2"/>
  <c r="CB69" i="2" s="1"/>
  <c r="BZ73" i="2"/>
  <c r="CA73" i="2" s="1"/>
  <c r="BZ70" i="2"/>
  <c r="BZ69" i="2"/>
  <c r="CC72" i="2"/>
  <c r="BZ72" i="2" s="1"/>
  <c r="BY72" i="2"/>
  <c r="CD55" i="2"/>
  <c r="BZ55" i="2"/>
  <c r="CA55" i="2" s="1"/>
  <c r="CC50" i="2"/>
  <c r="CA50" i="2"/>
  <c r="BY50" i="2"/>
  <c r="CD44" i="2"/>
  <c r="CD4" i="242" s="1"/>
  <c r="BZ44" i="2"/>
  <c r="CD40" i="2"/>
  <c r="BZ40" i="2"/>
  <c r="CD35" i="2"/>
  <c r="BZ35" i="2"/>
  <c r="CA35" i="2" s="1"/>
  <c r="CD30" i="2"/>
  <c r="BZ30" i="2"/>
  <c r="CC29" i="2"/>
  <c r="BY29" i="2"/>
  <c r="BY234" i="243" s="1"/>
  <c r="CC27" i="2"/>
  <c r="CA27" i="2"/>
  <c r="BY27" i="2"/>
  <c r="CD26" i="2"/>
  <c r="CD50" i="2" s="1"/>
  <c r="BZ26" i="2"/>
  <c r="BZ50" i="2" s="1"/>
  <c r="CD25" i="2"/>
  <c r="CB25" i="2" s="1"/>
  <c r="BZ25" i="2"/>
  <c r="BZ18" i="2"/>
  <c r="CC18" i="2"/>
  <c r="CA18" i="2"/>
  <c r="BY18" i="2"/>
  <c r="CC17" i="2"/>
  <c r="BZ17" i="2" s="1"/>
  <c r="CA17" i="2"/>
  <c r="CC10" i="2"/>
  <c r="CC11" i="2" s="1"/>
  <c r="CA10" i="2"/>
  <c r="CA11" i="2" s="1"/>
  <c r="BY10" i="2"/>
  <c r="BY11" i="2" s="1"/>
  <c r="CD9" i="2"/>
  <c r="CB9" i="2" s="1"/>
  <c r="BZ9" i="2"/>
  <c r="BZ10" i="2" s="1"/>
  <c r="BZ11" i="2" s="1"/>
  <c r="CK73" i="2"/>
  <c r="CK70" i="2"/>
  <c r="CK69" i="2"/>
  <c r="CI69" i="2" s="1"/>
  <c r="CG73" i="2"/>
  <c r="CH73" i="2" s="1"/>
  <c r="CG70" i="2"/>
  <c r="CH70" i="2" s="1"/>
  <c r="CG69" i="2"/>
  <c r="CJ72" i="2"/>
  <c r="CG72" i="2" s="1"/>
  <c r="CF72" i="2"/>
  <c r="CK55" i="2"/>
  <c r="CG55" i="2"/>
  <c r="CH55" i="2" s="1"/>
  <c r="CJ50" i="2"/>
  <c r="CH50" i="2"/>
  <c r="CF50" i="2"/>
  <c r="CK44" i="2"/>
  <c r="CG44" i="2"/>
  <c r="CK40" i="2"/>
  <c r="CG40" i="2"/>
  <c r="CK35" i="2"/>
  <c r="CG35" i="2"/>
  <c r="CH35" i="2" s="1"/>
  <c r="CK30" i="2"/>
  <c r="CK245" i="243" s="1"/>
  <c r="CG30" i="2"/>
  <c r="CJ29" i="2"/>
  <c r="CF29" i="2"/>
  <c r="CF234" i="243" s="1"/>
  <c r="CJ27" i="2"/>
  <c r="CH27" i="2"/>
  <c r="CF27" i="2"/>
  <c r="CK26" i="2"/>
  <c r="CG26" i="2"/>
  <c r="CG50" i="2" s="1"/>
  <c r="CK25" i="2"/>
  <c r="CI25" i="2" s="1"/>
  <c r="CG25" i="2"/>
  <c r="CH18" i="2"/>
  <c r="CG18" i="2"/>
  <c r="CJ18" i="2"/>
  <c r="CF18" i="2"/>
  <c r="CH17" i="2"/>
  <c r="CF17" i="2"/>
  <c r="CG17" i="2" s="1"/>
  <c r="CJ10" i="2"/>
  <c r="CJ11" i="2" s="1"/>
  <c r="CH10" i="2"/>
  <c r="CH11" i="2" s="1"/>
  <c r="CF10" i="2"/>
  <c r="CF11" i="2" s="1"/>
  <c r="CK9" i="2"/>
  <c r="CI9" i="2" s="1"/>
  <c r="CG9" i="2"/>
  <c r="CG10" i="2" s="1"/>
  <c r="CG11" i="2" s="1"/>
  <c r="CR73" i="2"/>
  <c r="CR70" i="2"/>
  <c r="CR69" i="2"/>
  <c r="CP69" i="2" s="1"/>
  <c r="CN73" i="2"/>
  <c r="CO73" i="2" s="1"/>
  <c r="CN70" i="2"/>
  <c r="CO70" i="2" s="1"/>
  <c r="CN69" i="2"/>
  <c r="CQ72" i="2"/>
  <c r="CN72" i="2" s="1"/>
  <c r="CM72" i="2"/>
  <c r="CR55" i="2"/>
  <c r="CN55" i="2"/>
  <c r="CO55" i="2" s="1"/>
  <c r="CQ50" i="2"/>
  <c r="CO50" i="2"/>
  <c r="CM50" i="2"/>
  <c r="CR44" i="2"/>
  <c r="CR4" i="242" s="1"/>
  <c r="CN44" i="2"/>
  <c r="CN4" i="242" s="1"/>
  <c r="CR40" i="2"/>
  <c r="CP40" i="2" s="1"/>
  <c r="CN40" i="2"/>
  <c r="CR35" i="2"/>
  <c r="CP35" i="2" s="1"/>
  <c r="CN35" i="2"/>
  <c r="CR32" i="2"/>
  <c r="CP32" i="2" s="1"/>
  <c r="CN32" i="2"/>
  <c r="CR30" i="2"/>
  <c r="CN30" i="2"/>
  <c r="CN245" i="243" s="1"/>
  <c r="CN246" i="243" s="1"/>
  <c r="CO29" i="2"/>
  <c r="CQ29" i="2"/>
  <c r="CM29" i="2"/>
  <c r="CM234" i="243" s="1"/>
  <c r="CR26" i="2"/>
  <c r="CP26" i="2" s="1"/>
  <c r="CP50" i="2" s="1"/>
  <c r="CR25" i="2"/>
  <c r="CP25" i="2" s="1"/>
  <c r="CN26" i="2"/>
  <c r="CN50" i="2" s="1"/>
  <c r="CN25" i="2"/>
  <c r="CQ17" i="2"/>
  <c r="CO17" i="2"/>
  <c r="CM17" i="2"/>
  <c r="CR9" i="2"/>
  <c r="CP9" i="2" s="1"/>
  <c r="CN9" i="2"/>
  <c r="EN55" i="2"/>
  <c r="EL55" i="2"/>
  <c r="EJ55" i="2"/>
  <c r="EN26" i="2"/>
  <c r="EN25" i="2"/>
  <c r="EJ25" i="2" s="1"/>
  <c r="EG55" i="2"/>
  <c r="EE55" i="2"/>
  <c r="EC55" i="2"/>
  <c r="EG26" i="2"/>
  <c r="EG25" i="2"/>
  <c r="DZ55" i="2"/>
  <c r="DX55" i="2"/>
  <c r="DV55" i="2"/>
  <c r="DZ26" i="2"/>
  <c r="EA26" i="2" s="1"/>
  <c r="DZ25" i="2"/>
  <c r="DS55" i="2"/>
  <c r="DQ55" i="2"/>
  <c r="DO55" i="2"/>
  <c r="DS26" i="2"/>
  <c r="DT26" i="2" s="1"/>
  <c r="DS25" i="2"/>
  <c r="DJ55" i="2"/>
  <c r="CY45" i="242" l="1"/>
  <c r="CY49" i="242" s="1"/>
  <c r="CX53" i="242"/>
  <c r="CX51" i="242" s="1"/>
  <c r="CY23" i="242"/>
  <c r="CW46" i="242"/>
  <c r="CT10" i="243"/>
  <c r="CT167" i="243" s="1"/>
  <c r="CT185" i="243" s="1"/>
  <c r="CF13" i="2"/>
  <c r="CF156" i="243" s="1"/>
  <c r="CX56" i="243"/>
  <c r="CX58" i="243" s="1"/>
  <c r="CX59" i="243" s="1"/>
  <c r="CH13" i="2"/>
  <c r="CH156" i="243" s="1"/>
  <c r="BZ13" i="2"/>
  <c r="BZ156" i="243" s="1"/>
  <c r="CC13" i="2"/>
  <c r="CC156" i="243" s="1"/>
  <c r="CX211" i="243"/>
  <c r="CX213" i="243" s="1"/>
  <c r="CY235" i="243" s="1"/>
  <c r="CG13" i="2"/>
  <c r="CG156" i="243" s="1"/>
  <c r="BY13" i="2"/>
  <c r="BY156" i="243" s="1"/>
  <c r="CT31" i="242"/>
  <c r="CM31" i="2"/>
  <c r="CM36" i="2" s="1"/>
  <c r="DS77" i="243"/>
  <c r="BY31" i="2"/>
  <c r="BY36" i="2" s="1"/>
  <c r="BY38" i="2" s="1"/>
  <c r="BY42" i="2" s="1"/>
  <c r="BY46" i="2" s="1"/>
  <c r="CQ31" i="2"/>
  <c r="CQ36" i="2" s="1"/>
  <c r="CQ234" i="243"/>
  <c r="CO31" i="2"/>
  <c r="CO36" i="2" s="1"/>
  <c r="CO234" i="243"/>
  <c r="CO235" i="243" s="1"/>
  <c r="CC31" i="2"/>
  <c r="CC36" i="2" s="1"/>
  <c r="CC38" i="2" s="1"/>
  <c r="CC234" i="243"/>
  <c r="CU9" i="242"/>
  <c r="CV9" i="242" s="1"/>
  <c r="CW9" i="242" s="1"/>
  <c r="CW21" i="242" s="1"/>
  <c r="CK29" i="2"/>
  <c r="CK234" i="243" s="1"/>
  <c r="CJ234" i="243"/>
  <c r="CU25" i="242"/>
  <c r="CV25" i="242" s="1"/>
  <c r="CW25" i="242" s="1"/>
  <c r="CV35" i="242"/>
  <c r="CW35" i="242" s="1"/>
  <c r="CV36" i="242"/>
  <c r="CW36" i="242" s="1"/>
  <c r="CI55" i="2"/>
  <c r="BZ27" i="2"/>
  <c r="DO25" i="2"/>
  <c r="DP25" i="2" s="1"/>
  <c r="CT175" i="243"/>
  <c r="DP55" i="2"/>
  <c r="CH30" i="2"/>
  <c r="CH245" i="243" s="1"/>
  <c r="CH246" i="243" s="1"/>
  <c r="CG245" i="243"/>
  <c r="CG246" i="243" s="1"/>
  <c r="CD245" i="243"/>
  <c r="CP73" i="2"/>
  <c r="CH44" i="2"/>
  <c r="CH4" i="242" s="1"/>
  <c r="CG4" i="242"/>
  <c r="CA44" i="2"/>
  <c r="CA4" i="242" s="1"/>
  <c r="BZ4" i="242"/>
  <c r="DZ77" i="243"/>
  <c r="DW55" i="2"/>
  <c r="CK4" i="242"/>
  <c r="CA30" i="2"/>
  <c r="CA245" i="243" s="1"/>
  <c r="CA246" i="243" s="1"/>
  <c r="BZ245" i="243"/>
  <c r="BZ246" i="243" s="1"/>
  <c r="CU81" i="242"/>
  <c r="CU82" i="242" s="1"/>
  <c r="CU86" i="242" s="1"/>
  <c r="CI35" i="2"/>
  <c r="DM25" i="2"/>
  <c r="DJ25" i="2" s="1"/>
  <c r="CB26" i="2"/>
  <c r="CB50" i="2" s="1"/>
  <c r="EO25" i="2"/>
  <c r="EL25" i="2" s="1"/>
  <c r="EN77" i="243"/>
  <c r="CP30" i="2"/>
  <c r="CP245" i="243" s="1"/>
  <c r="CR245" i="243"/>
  <c r="CO72" i="2"/>
  <c r="DT25" i="2"/>
  <c r="EG77" i="243"/>
  <c r="ED55" i="2"/>
  <c r="CP44" i="2"/>
  <c r="CP4" i="242" s="1"/>
  <c r="CB35" i="2"/>
  <c r="BL63" i="2"/>
  <c r="BS63" i="2"/>
  <c r="EH25" i="2"/>
  <c r="CI26" i="2"/>
  <c r="CI50" i="2" s="1"/>
  <c r="CK50" i="2"/>
  <c r="CF31" i="2"/>
  <c r="CF36" i="2" s="1"/>
  <c r="CF38" i="2" s="1"/>
  <c r="CU175" i="243"/>
  <c r="DC78" i="243"/>
  <c r="DD78" i="243" s="1"/>
  <c r="DO26" i="2"/>
  <c r="EH26" i="2"/>
  <c r="EE26" i="2" s="1"/>
  <c r="EF26" i="2" s="1"/>
  <c r="EF50" i="2" s="1"/>
  <c r="EC26" i="2"/>
  <c r="ED26" i="2" s="1"/>
  <c r="ED50" i="2" s="1"/>
  <c r="CN29" i="2"/>
  <c r="CR29" i="2"/>
  <c r="CR234" i="243" s="1"/>
  <c r="CR235" i="243" s="1"/>
  <c r="CP55" i="2"/>
  <c r="CP70" i="2"/>
  <c r="CB55" i="2"/>
  <c r="CT211" i="243"/>
  <c r="CT213" i="243" s="1"/>
  <c r="CU208" i="243"/>
  <c r="CU211" i="243" s="1"/>
  <c r="EA25" i="2"/>
  <c r="DV25" i="2"/>
  <c r="CB73" i="2"/>
  <c r="CU23" i="242"/>
  <c r="CV23" i="242" s="1"/>
  <c r="DE77" i="243"/>
  <c r="EC25" i="2"/>
  <c r="EO26" i="2"/>
  <c r="EL26" i="2" s="1"/>
  <c r="EM26" i="2" s="1"/>
  <c r="EJ26" i="2"/>
  <c r="EJ77" i="243" s="1"/>
  <c r="CN17" i="2"/>
  <c r="CJ17" i="2"/>
  <c r="CJ13" i="2" s="1"/>
  <c r="CU56" i="243"/>
  <c r="CH72" i="2"/>
  <c r="CI73" i="2"/>
  <c r="CX253" i="243"/>
  <c r="DC48" i="242"/>
  <c r="DD48" i="242" s="1"/>
  <c r="CJ31" i="2"/>
  <c r="CJ36" i="2" s="1"/>
  <c r="CJ38" i="2" s="1"/>
  <c r="BZ29" i="2"/>
  <c r="BZ234" i="243" s="1"/>
  <c r="BZ235" i="243" s="1"/>
  <c r="CX21" i="243"/>
  <c r="CU21" i="243" s="1"/>
  <c r="CU22" i="243" s="1"/>
  <c r="CU240" i="243"/>
  <c r="CX243" i="243"/>
  <c r="DC97" i="243"/>
  <c r="DC57" i="242"/>
  <c r="DD57" i="242" s="1"/>
  <c r="CD29" i="2"/>
  <c r="CD234" i="243" s="1"/>
  <c r="CV54" i="242"/>
  <c r="CH40" i="2"/>
  <c r="CR50" i="2"/>
  <c r="CG27" i="2"/>
  <c r="CA40" i="2"/>
  <c r="CB40" i="2" s="1"/>
  <c r="CA70" i="2"/>
  <c r="CA72" i="2" s="1"/>
  <c r="DD70" i="243"/>
  <c r="CT186" i="243"/>
  <c r="CU241" i="243"/>
  <c r="CT256" i="243"/>
  <c r="CU37" i="243"/>
  <c r="CX256" i="243"/>
  <c r="CU212" i="243"/>
  <c r="CU255" i="243"/>
  <c r="CT252" i="243"/>
  <c r="CT253" i="243" s="1"/>
  <c r="CX82" i="242"/>
  <c r="CX86" i="242" s="1"/>
  <c r="CX45" i="243"/>
  <c r="CU45" i="243" s="1"/>
  <c r="CX175" i="243"/>
  <c r="CU158" i="243"/>
  <c r="CV185" i="243"/>
  <c r="CX52" i="242"/>
  <c r="CV189" i="243"/>
  <c r="CV46" i="242"/>
  <c r="CV50" i="242" s="1"/>
  <c r="CW50" i="242" s="1"/>
  <c r="CU38" i="242"/>
  <c r="CU46" i="242"/>
  <c r="CU54" i="242"/>
  <c r="CU189" i="243"/>
  <c r="CX10" i="243"/>
  <c r="CX34" i="243"/>
  <c r="CX31" i="242"/>
  <c r="CT243" i="243"/>
  <c r="CT49" i="243"/>
  <c r="CT58" i="243" s="1"/>
  <c r="CT59" i="243" s="1"/>
  <c r="CT82" i="242"/>
  <c r="CT86" i="242" s="1"/>
  <c r="CT53" i="242"/>
  <c r="CI70" i="2"/>
  <c r="CG29" i="2"/>
  <c r="EK25" i="2"/>
  <c r="EK55" i="2"/>
  <c r="DX26" i="2"/>
  <c r="DY26" i="2" s="1"/>
  <c r="DY50" i="2" s="1"/>
  <c r="EA50" i="2"/>
  <c r="DX50" i="2" s="1"/>
  <c r="DV26" i="2"/>
  <c r="DW26" i="2" s="1"/>
  <c r="DW50" i="2" s="1"/>
  <c r="DQ26" i="2"/>
  <c r="DR26" i="2" s="1"/>
  <c r="DR50" i="2" s="1"/>
  <c r="DT50" i="2"/>
  <c r="DQ50" i="2" s="1"/>
  <c r="DM26" i="2"/>
  <c r="CW23" i="242" l="1"/>
  <c r="CW31" i="242" s="1"/>
  <c r="CY53" i="242"/>
  <c r="CY31" i="242"/>
  <c r="CY42" i="242" s="1"/>
  <c r="CW38" i="242"/>
  <c r="CW45" i="242"/>
  <c r="CW49" i="242" s="1"/>
  <c r="CK31" i="2"/>
  <c r="CK36" i="2" s="1"/>
  <c r="DO77" i="243"/>
  <c r="DP77" i="243" s="1"/>
  <c r="CJ156" i="243"/>
  <c r="CV31" i="242"/>
  <c r="CB44" i="2"/>
  <c r="CB4" i="242" s="1"/>
  <c r="CU243" i="243"/>
  <c r="CV246" i="243" s="1"/>
  <c r="EH50" i="2"/>
  <c r="EE50" i="2" s="1"/>
  <c r="CI30" i="2"/>
  <c r="CI245" i="243" s="1"/>
  <c r="EK26" i="2"/>
  <c r="EK50" i="2" s="1"/>
  <c r="DP26" i="2"/>
  <c r="DP50" i="2" s="1"/>
  <c r="CV38" i="242"/>
  <c r="CG31" i="2"/>
  <c r="CG36" i="2" s="1"/>
  <c r="CG38" i="2" s="1"/>
  <c r="CG234" i="243"/>
  <c r="CG235" i="243" s="1"/>
  <c r="CB30" i="2"/>
  <c r="CB245" i="243" s="1"/>
  <c r="EO77" i="243"/>
  <c r="EO50" i="2"/>
  <c r="EL50" i="2" s="1"/>
  <c r="CI44" i="2"/>
  <c r="CI4" i="242" s="1"/>
  <c r="BY51" i="2"/>
  <c r="BY3" i="242"/>
  <c r="BY21" i="242" s="1"/>
  <c r="BY41" i="2"/>
  <c r="CU53" i="242"/>
  <c r="CU52" i="242" s="1"/>
  <c r="DV77" i="243"/>
  <c r="DW77" i="243" s="1"/>
  <c r="CN31" i="2"/>
  <c r="CN36" i="2" s="1"/>
  <c r="CN234" i="243"/>
  <c r="CN235" i="243" s="1"/>
  <c r="DW25" i="2"/>
  <c r="DX25" i="2"/>
  <c r="DX77" i="243" s="1"/>
  <c r="EA77" i="243"/>
  <c r="EE25" i="2"/>
  <c r="EH77" i="243"/>
  <c r="EK77" i="243"/>
  <c r="CB70" i="2"/>
  <c r="ED25" i="2"/>
  <c r="EC77" i="243"/>
  <c r="ED77" i="243" s="1"/>
  <c r="EL77" i="243"/>
  <c r="EM25" i="2"/>
  <c r="EM77" i="243" s="1"/>
  <c r="DQ25" i="2"/>
  <c r="DT77" i="243"/>
  <c r="DM77" i="243"/>
  <c r="CV53" i="242"/>
  <c r="CV51" i="242" s="1"/>
  <c r="CU31" i="242"/>
  <c r="CF42" i="2"/>
  <c r="CF46" i="2" s="1"/>
  <c r="CF3" i="242" s="1"/>
  <c r="CF21" i="242" s="1"/>
  <c r="CF41" i="2"/>
  <c r="CU213" i="243"/>
  <c r="CV235" i="243" s="1"/>
  <c r="DC26" i="2"/>
  <c r="DD26" i="2" s="1"/>
  <c r="DD50" i="2" s="1"/>
  <c r="DC50" i="2"/>
  <c r="CJ41" i="2"/>
  <c r="CJ42" i="2"/>
  <c r="CJ46" i="2" s="1"/>
  <c r="CJ3" i="242" s="1"/>
  <c r="CJ21" i="242" s="1"/>
  <c r="CD31" i="2"/>
  <c r="CD36" i="2" s="1"/>
  <c r="DD97" i="243"/>
  <c r="CC42" i="2"/>
  <c r="CC46" i="2" s="1"/>
  <c r="CC3" i="242" s="1"/>
  <c r="CC21" i="242" s="1"/>
  <c r="CC41" i="2"/>
  <c r="BY48" i="2"/>
  <c r="BY56" i="2"/>
  <c r="BY57" i="2" s="1"/>
  <c r="BY47" i="2"/>
  <c r="CH29" i="2"/>
  <c r="CH234" i="243" s="1"/>
  <c r="CH235" i="243" s="1"/>
  <c r="CI40" i="2"/>
  <c r="BZ31" i="2"/>
  <c r="BZ36" i="2" s="1"/>
  <c r="BZ38" i="2" s="1"/>
  <c r="CA29" i="2"/>
  <c r="DC25" i="2"/>
  <c r="DD25" i="2" s="1"/>
  <c r="CP29" i="2"/>
  <c r="CR31" i="2"/>
  <c r="CR36" i="2" s="1"/>
  <c r="CX178" i="243"/>
  <c r="CU34" i="243"/>
  <c r="CU47" i="243"/>
  <c r="CU256" i="243"/>
  <c r="CU252" i="243"/>
  <c r="CU253" i="243" s="1"/>
  <c r="CU10" i="243"/>
  <c r="CX167" i="243"/>
  <c r="CT51" i="242"/>
  <c r="CT52" i="242"/>
  <c r="EM50" i="2"/>
  <c r="DK25" i="2"/>
  <c r="DJ26" i="2"/>
  <c r="DK26" i="2" s="1"/>
  <c r="DK50" i="2" s="1"/>
  <c r="DM50" i="2"/>
  <c r="DJ50" i="2" s="1"/>
  <c r="DD27" i="2" l="1"/>
  <c r="DD38" i="2" s="1"/>
  <c r="CW53" i="242"/>
  <c r="CW51" i="242" s="1"/>
  <c r="CW56" i="242" s="1"/>
  <c r="CW61" i="242" s="1"/>
  <c r="CW42" i="242"/>
  <c r="CY51" i="242"/>
  <c r="CY56" i="242" s="1"/>
  <c r="CY61" i="242" s="1"/>
  <c r="CY52" i="242"/>
  <c r="CY58" i="242" s="1"/>
  <c r="CY60" i="242" s="1"/>
  <c r="CU51" i="242"/>
  <c r="CV52" i="242"/>
  <c r="DK77" i="243"/>
  <c r="CA31" i="2"/>
  <c r="CA36" i="2" s="1"/>
  <c r="CA38" i="2" s="1"/>
  <c r="CA42" i="2" s="1"/>
  <c r="CA46" i="2" s="1"/>
  <c r="CA3" i="242" s="1"/>
  <c r="CA21" i="242" s="1"/>
  <c r="CA45" i="242" s="1"/>
  <c r="CA234" i="243"/>
  <c r="CA235" i="243" s="1"/>
  <c r="DY25" i="2"/>
  <c r="DY77" i="243" s="1"/>
  <c r="CC42" i="242"/>
  <c r="CC45" i="242"/>
  <c r="BY45" i="242"/>
  <c r="BY42" i="242"/>
  <c r="CJ45" i="242"/>
  <c r="CJ42" i="242"/>
  <c r="EE77" i="243"/>
  <c r="EF25" i="2"/>
  <c r="EF77" i="243" s="1"/>
  <c r="DJ77" i="243"/>
  <c r="DQ77" i="243"/>
  <c r="DR25" i="2"/>
  <c r="DR77" i="243" s="1"/>
  <c r="CP31" i="2"/>
  <c r="CP36" i="2" s="1"/>
  <c r="CP234" i="243"/>
  <c r="CP235" i="243" s="1"/>
  <c r="CF42" i="242"/>
  <c r="CF45" i="242"/>
  <c r="BY61" i="2"/>
  <c r="BY62" i="2"/>
  <c r="BY63" i="2" s="1"/>
  <c r="DD77" i="243"/>
  <c r="CH31" i="2"/>
  <c r="CH36" i="2" s="1"/>
  <c r="CH38" i="2" s="1"/>
  <c r="CI29" i="2"/>
  <c r="CB29" i="2"/>
  <c r="CJ48" i="2"/>
  <c r="CJ56" i="2"/>
  <c r="CJ57" i="2" s="1"/>
  <c r="CJ47" i="2"/>
  <c r="CJ51" i="2"/>
  <c r="CC48" i="2"/>
  <c r="CC56" i="2"/>
  <c r="CC57" i="2" s="1"/>
  <c r="CC47" i="2"/>
  <c r="CC51" i="2"/>
  <c r="BY59" i="2"/>
  <c r="DC77" i="243"/>
  <c r="BZ42" i="2"/>
  <c r="BZ46" i="2" s="1"/>
  <c r="BZ3" i="242" s="1"/>
  <c r="BZ21" i="242" s="1"/>
  <c r="BZ41" i="2"/>
  <c r="CG42" i="2"/>
  <c r="CG46" i="2" s="1"/>
  <c r="CG3" i="242" s="1"/>
  <c r="CG21" i="242" s="1"/>
  <c r="CG41" i="2"/>
  <c r="CF48" i="2"/>
  <c r="CF56" i="2"/>
  <c r="CF57" i="2" s="1"/>
  <c r="CF47" i="2"/>
  <c r="CF51" i="2"/>
  <c r="CX185" i="243"/>
  <c r="CX186" i="243"/>
  <c r="CU167" i="243"/>
  <c r="CU11" i="243"/>
  <c r="CU24" i="243" s="1"/>
  <c r="CU178" i="243"/>
  <c r="CU35" i="243"/>
  <c r="CU49" i="243" s="1"/>
  <c r="CU58" i="243" s="1"/>
  <c r="DD42" i="2" l="1"/>
  <c r="DD46" i="2" s="1"/>
  <c r="DD41" i="2"/>
  <c r="CW52" i="242"/>
  <c r="CW58" i="242" s="1"/>
  <c r="CW60" i="242" s="1"/>
  <c r="CA48" i="2"/>
  <c r="CA56" i="2"/>
  <c r="CA57" i="2" s="1"/>
  <c r="CA51" i="2"/>
  <c r="CA41" i="2"/>
  <c r="CA47" i="2"/>
  <c r="CA42" i="242"/>
  <c r="CB31" i="2"/>
  <c r="CB36" i="2" s="1"/>
  <c r="CB234" i="243"/>
  <c r="CI31" i="2"/>
  <c r="CI36" i="2" s="1"/>
  <c r="CI234" i="243"/>
  <c r="CG42" i="242"/>
  <c r="CG45" i="242"/>
  <c r="BZ45" i="242"/>
  <c r="BZ42" i="242"/>
  <c r="CC48" i="242"/>
  <c r="CC49" i="242" s="1"/>
  <c r="CJ48" i="242"/>
  <c r="BY48" i="242"/>
  <c r="BY49" i="242" s="1"/>
  <c r="CA48" i="242"/>
  <c r="CA49" i="242" s="1"/>
  <c r="CF59" i="2"/>
  <c r="CF66" i="2" s="1"/>
  <c r="CF48" i="242"/>
  <c r="CF49" i="242" s="1"/>
  <c r="CJ59" i="2"/>
  <c r="CJ66" i="2" s="1"/>
  <c r="CU59" i="243"/>
  <c r="CF62" i="2"/>
  <c r="CF63" i="2" s="1"/>
  <c r="CF61" i="2"/>
  <c r="CK56" i="2"/>
  <c r="CG56" i="2"/>
  <c r="CG57" i="2" s="1"/>
  <c r="CH42" i="2"/>
  <c r="CH46" i="2" s="1"/>
  <c r="CH3" i="242" s="1"/>
  <c r="CH21" i="242" s="1"/>
  <c r="CH41" i="2"/>
  <c r="CC62" i="2"/>
  <c r="CC63" i="2" s="1"/>
  <c r="CC61" i="2"/>
  <c r="BZ48" i="2"/>
  <c r="BZ51" i="2"/>
  <c r="BZ47" i="2"/>
  <c r="CJ62" i="2"/>
  <c r="CJ61" i="2"/>
  <c r="CG48" i="2"/>
  <c r="CG47" i="2"/>
  <c r="CG51" i="2"/>
  <c r="BY66" i="2"/>
  <c r="BY65" i="2"/>
  <c r="CC59" i="2"/>
  <c r="CD56" i="2"/>
  <c r="BZ56" i="2"/>
  <c r="BZ57" i="2" s="1"/>
  <c r="CU186" i="243"/>
  <c r="CU185" i="243"/>
  <c r="CV50" i="2"/>
  <c r="CV31" i="2"/>
  <c r="CV36" i="2" s="1"/>
  <c r="CV17" i="2"/>
  <c r="CU73" i="2"/>
  <c r="CV73" i="2" s="1"/>
  <c r="CW73" i="2" s="1"/>
  <c r="CW48" i="2" s="1"/>
  <c r="CU70" i="2"/>
  <c r="CV70" i="2" s="1"/>
  <c r="CW70" i="2" s="1"/>
  <c r="CW47" i="2" s="1"/>
  <c r="CU69" i="2"/>
  <c r="CU55" i="2"/>
  <c r="CV55" i="2" s="1"/>
  <c r="CW55" i="2" s="1"/>
  <c r="CU44" i="2"/>
  <c r="CU4" i="242" s="1"/>
  <c r="CU40" i="2"/>
  <c r="CU35" i="2"/>
  <c r="CU34" i="2"/>
  <c r="CV34" i="2" s="1"/>
  <c r="CW34" i="2" s="1"/>
  <c r="CU32" i="2"/>
  <c r="CU30" i="2"/>
  <c r="CU245" i="243" s="1"/>
  <c r="CU246" i="243" s="1"/>
  <c r="CU29" i="2"/>
  <c r="CU234" i="243" s="1"/>
  <c r="CU235" i="243" s="1"/>
  <c r="CU26" i="2"/>
  <c r="CU50" i="2" s="1"/>
  <c r="CU25" i="2"/>
  <c r="CX72" i="2"/>
  <c r="CU72" i="2" s="1"/>
  <c r="CT72" i="2"/>
  <c r="CX50" i="2"/>
  <c r="CX31" i="2"/>
  <c r="CX36" i="2" s="1"/>
  <c r="CX17" i="2"/>
  <c r="CY17" i="2" s="1"/>
  <c r="CU9" i="2"/>
  <c r="CT50" i="2"/>
  <c r="CT31" i="2"/>
  <c r="CT36" i="2" s="1"/>
  <c r="DD3" i="242" l="1"/>
  <c r="DD21" i="242" s="1"/>
  <c r="DD48" i="2"/>
  <c r="DD47" i="2"/>
  <c r="DD51" i="2"/>
  <c r="CB56" i="2"/>
  <c r="CW17" i="2"/>
  <c r="CA59" i="2"/>
  <c r="CA65" i="2" s="1"/>
  <c r="CG59" i="2"/>
  <c r="CG65" i="2" s="1"/>
  <c r="CF65" i="2"/>
  <c r="CC58" i="242"/>
  <c r="CC60" i="242" s="1"/>
  <c r="CC56" i="242"/>
  <c r="CC61" i="242" s="1"/>
  <c r="BY58" i="242"/>
  <c r="BY60" i="242" s="1"/>
  <c r="BY56" i="242"/>
  <c r="BY61" i="242" s="1"/>
  <c r="CA58" i="242"/>
  <c r="CA60" i="242" s="1"/>
  <c r="CA56" i="242"/>
  <c r="CA61" i="242" s="1"/>
  <c r="CK48" i="242"/>
  <c r="CG48" i="242"/>
  <c r="CG49" i="242" s="1"/>
  <c r="CJ49" i="242"/>
  <c r="CH45" i="242"/>
  <c r="CH42" i="242"/>
  <c r="CD48" i="242"/>
  <c r="CB48" i="242" s="1"/>
  <c r="BZ48" i="242"/>
  <c r="BZ49" i="242" s="1"/>
  <c r="CV72" i="2"/>
  <c r="CJ65" i="2"/>
  <c r="CF56" i="242"/>
  <c r="CF61" i="242" s="1"/>
  <c r="CF58" i="242"/>
  <c r="CF60" i="242" s="1"/>
  <c r="CA62" i="2"/>
  <c r="CA63" i="2" s="1"/>
  <c r="CA61" i="2"/>
  <c r="BZ59" i="2"/>
  <c r="CG62" i="2"/>
  <c r="CG61" i="2"/>
  <c r="BZ62" i="2"/>
  <c r="BZ63" i="2" s="1"/>
  <c r="BZ61" i="2"/>
  <c r="DA77" i="243"/>
  <c r="DB77" i="243" s="1"/>
  <c r="CJ63" i="2"/>
  <c r="CC66" i="2"/>
  <c r="CC65" i="2"/>
  <c r="CH51" i="2"/>
  <c r="CH56" i="2"/>
  <c r="CI56" i="2" s="1"/>
  <c r="CH47" i="2"/>
  <c r="CH48" i="2"/>
  <c r="CU31" i="2"/>
  <c r="CU36" i="2" s="1"/>
  <c r="CT17" i="2"/>
  <c r="EO2" i="243"/>
  <c r="EN2" i="243"/>
  <c r="EM2" i="243"/>
  <c r="EL2" i="243"/>
  <c r="EK2" i="243"/>
  <c r="EJ2" i="243"/>
  <c r="EH2" i="243"/>
  <c r="EG2" i="243"/>
  <c r="EF2" i="243"/>
  <c r="EE2" i="243"/>
  <c r="ED2" i="243"/>
  <c r="EC2" i="243"/>
  <c r="EA2" i="243"/>
  <c r="DZ2" i="243"/>
  <c r="DY2" i="243"/>
  <c r="DX2" i="243"/>
  <c r="DW2" i="243"/>
  <c r="DV2" i="243"/>
  <c r="DT2" i="243"/>
  <c r="DS2" i="243"/>
  <c r="DR2" i="243"/>
  <c r="DQ2" i="243"/>
  <c r="DP2" i="243"/>
  <c r="DO2" i="243"/>
  <c r="DM2" i="243"/>
  <c r="DL2" i="243"/>
  <c r="DK2" i="243"/>
  <c r="DJ2" i="243"/>
  <c r="DH2" i="243"/>
  <c r="DF2" i="243"/>
  <c r="DE2" i="243"/>
  <c r="DD2" i="243"/>
  <c r="DC2" i="243"/>
  <c r="DB2" i="243"/>
  <c r="DA2" i="243"/>
  <c r="CY2" i="243"/>
  <c r="CX2" i="243"/>
  <c r="CW2" i="243"/>
  <c r="CV2" i="243"/>
  <c r="CU2" i="243"/>
  <c r="CT2" i="243"/>
  <c r="EO2" i="242"/>
  <c r="EN2" i="242"/>
  <c r="EM2" i="242"/>
  <c r="EL2" i="242"/>
  <c r="EK2" i="242"/>
  <c r="EJ2" i="242"/>
  <c r="EH2" i="242"/>
  <c r="EG2" i="242"/>
  <c r="EF2" i="242"/>
  <c r="EE2" i="242"/>
  <c r="ED2" i="242"/>
  <c r="EC2" i="242"/>
  <c r="EA2" i="242"/>
  <c r="DZ2" i="242"/>
  <c r="DY2" i="242"/>
  <c r="DX2" i="242"/>
  <c r="DW2" i="242"/>
  <c r="DV2" i="242"/>
  <c r="DT2" i="242"/>
  <c r="DS2" i="242"/>
  <c r="DR2" i="242"/>
  <c r="DQ2" i="242"/>
  <c r="DP2" i="242"/>
  <c r="DO2" i="242"/>
  <c r="DM2" i="242"/>
  <c r="DK2" i="242"/>
  <c r="DJ2" i="242"/>
  <c r="DH2" i="242"/>
  <c r="DE2" i="242"/>
  <c r="DC2" i="242"/>
  <c r="DB2" i="242"/>
  <c r="DA2" i="242"/>
  <c r="CY2" i="242"/>
  <c r="CX2" i="242"/>
  <c r="CW2" i="242"/>
  <c r="CV2" i="242"/>
  <c r="CU2" i="242"/>
  <c r="CT2" i="242"/>
  <c r="CR2" i="242"/>
  <c r="CR2" i="243" s="1"/>
  <c r="CQ2" i="242"/>
  <c r="CQ2" i="243" s="1"/>
  <c r="CP2" i="242"/>
  <c r="CP2" i="243" s="1"/>
  <c r="CO2" i="242"/>
  <c r="CO2" i="243" s="1"/>
  <c r="CN2" i="242"/>
  <c r="CN2" i="243" s="1"/>
  <c r="CM2" i="242"/>
  <c r="CM2" i="243" s="1"/>
  <c r="CK2" i="242"/>
  <c r="CK2" i="243" s="1"/>
  <c r="CJ2" i="242"/>
  <c r="CJ2" i="243" s="1"/>
  <c r="CI2" i="242"/>
  <c r="CI2" i="243" s="1"/>
  <c r="CH2" i="242"/>
  <c r="CH2" i="243" s="1"/>
  <c r="CG2" i="242"/>
  <c r="CG2" i="243" s="1"/>
  <c r="CF2" i="242"/>
  <c r="CF2" i="243" s="1"/>
  <c r="CD2" i="242"/>
  <c r="CD2" i="243" s="1"/>
  <c r="CC2" i="242"/>
  <c r="CC2" i="243" s="1"/>
  <c r="CB2" i="242"/>
  <c r="CB2" i="243" s="1"/>
  <c r="CA2" i="242"/>
  <c r="CA2" i="243" s="1"/>
  <c r="BZ2" i="242"/>
  <c r="BZ2" i="243" s="1"/>
  <c r="BY2" i="242"/>
  <c r="BY2" i="243" s="1"/>
  <c r="BW2" i="242"/>
  <c r="BW2" i="243" s="1"/>
  <c r="BV2" i="242"/>
  <c r="BV2" i="243" s="1"/>
  <c r="BU2" i="242"/>
  <c r="BU2" i="243" s="1"/>
  <c r="BT2" i="242"/>
  <c r="BT2" i="243" s="1"/>
  <c r="BS2" i="242"/>
  <c r="BS2" i="243" s="1"/>
  <c r="BR2" i="242"/>
  <c r="BR2" i="243" s="1"/>
  <c r="BP2" i="242"/>
  <c r="BP2" i="243" s="1"/>
  <c r="BO2" i="242"/>
  <c r="BO2" i="243" s="1"/>
  <c r="BN2" i="242"/>
  <c r="BN2" i="243" s="1"/>
  <c r="BM2" i="242"/>
  <c r="BM2" i="243" s="1"/>
  <c r="BL2" i="242"/>
  <c r="BL2" i="243" s="1"/>
  <c r="BK2" i="242"/>
  <c r="BK2" i="243" s="1"/>
  <c r="BI2" i="242"/>
  <c r="BI2" i="243" s="1"/>
  <c r="BH2" i="242"/>
  <c r="BH2" i="243" s="1"/>
  <c r="BG2" i="242"/>
  <c r="BG2" i="243" s="1"/>
  <c r="BF2" i="242"/>
  <c r="BF2" i="243" s="1"/>
  <c r="BE2" i="242"/>
  <c r="BE2" i="243" s="1"/>
  <c r="BD2" i="242"/>
  <c r="BD2" i="243" s="1"/>
  <c r="BB2" i="243"/>
  <c r="BA2" i="243"/>
  <c r="AZ2" i="243"/>
  <c r="AY2" i="243"/>
  <c r="AX2" i="243"/>
  <c r="AW2" i="243"/>
  <c r="AU2" i="242"/>
  <c r="AU2" i="243" s="1"/>
  <c r="AT2" i="242"/>
  <c r="AT2" i="243" s="1"/>
  <c r="AS2" i="242"/>
  <c r="AS2" i="243" s="1"/>
  <c r="AR2" i="242"/>
  <c r="AR2" i="243" s="1"/>
  <c r="AQ2" i="242"/>
  <c r="AQ2" i="243" s="1"/>
  <c r="AP2" i="242"/>
  <c r="AP2" i="243" s="1"/>
  <c r="AN2" i="242"/>
  <c r="AN2" i="243" s="1"/>
  <c r="AM2" i="242"/>
  <c r="AM2" i="243" s="1"/>
  <c r="AL2" i="242"/>
  <c r="AL2" i="243" s="1"/>
  <c r="AK2" i="242"/>
  <c r="AK2" i="243" s="1"/>
  <c r="AJ2" i="242"/>
  <c r="AJ2" i="243" s="1"/>
  <c r="AI2" i="242"/>
  <c r="AI2" i="243" s="1"/>
  <c r="AG2" i="242"/>
  <c r="AG2" i="243" s="1"/>
  <c r="AF2" i="242"/>
  <c r="AF2" i="243" s="1"/>
  <c r="AE2" i="242"/>
  <c r="AE2" i="243" s="1"/>
  <c r="AD2" i="242"/>
  <c r="AD2" i="243" s="1"/>
  <c r="AC2" i="242"/>
  <c r="AC2" i="243" s="1"/>
  <c r="AB2" i="242"/>
  <c r="AB2" i="243" s="1"/>
  <c r="Z2" i="242"/>
  <c r="Z2" i="243" s="1"/>
  <c r="Y2" i="242"/>
  <c r="Y2" i="243" s="1"/>
  <c r="X2" i="242"/>
  <c r="X2" i="243" s="1"/>
  <c r="W2" i="242"/>
  <c r="W2" i="243" s="1"/>
  <c r="V2" i="242"/>
  <c r="V2" i="243" s="1"/>
  <c r="U2" i="242"/>
  <c r="U2" i="243" s="1"/>
  <c r="N2" i="242"/>
  <c r="N2" i="243" s="1"/>
  <c r="O2" i="242"/>
  <c r="O2" i="243" s="1"/>
  <c r="P2" i="242"/>
  <c r="P2" i="243" s="1"/>
  <c r="Q2" i="242"/>
  <c r="Q2" i="243" s="1"/>
  <c r="R2" i="242"/>
  <c r="R2" i="243" s="1"/>
  <c r="S2" i="242"/>
  <c r="S2" i="243" s="1"/>
  <c r="DD45" i="242" l="1"/>
  <c r="DD49" i="242" s="1"/>
  <c r="DD42" i="242"/>
  <c r="CG66" i="2"/>
  <c r="CA66" i="2"/>
  <c r="BZ58" i="242"/>
  <c r="BZ60" i="242" s="1"/>
  <c r="BZ56" i="242"/>
  <c r="BZ61" i="242" s="1"/>
  <c r="CG58" i="242"/>
  <c r="CG60" i="242" s="1"/>
  <c r="CG56" i="242"/>
  <c r="CG61" i="242" s="1"/>
  <c r="CH48" i="242"/>
  <c r="CH49" i="242" s="1"/>
  <c r="CJ58" i="242"/>
  <c r="CJ60" i="242" s="1"/>
  <c r="CJ56" i="242"/>
  <c r="CJ61" i="242" s="1"/>
  <c r="CH57" i="2"/>
  <c r="CH62" i="2" s="1"/>
  <c r="CH63" i="2" s="1"/>
  <c r="CH59" i="2"/>
  <c r="CU17" i="2"/>
  <c r="CG63" i="2"/>
  <c r="BZ66" i="2"/>
  <c r="BZ65" i="2"/>
  <c r="DD58" i="242" l="1"/>
  <c r="DD60" i="242" s="1"/>
  <c r="DD56" i="242"/>
  <c r="DD61" i="242" s="1"/>
  <c r="CH61" i="2"/>
  <c r="CI48" i="242"/>
  <c r="CH58" i="242"/>
  <c r="CH60" i="242" s="1"/>
  <c r="CH56" i="242"/>
  <c r="CH61" i="242" s="1"/>
  <c r="CH65" i="2"/>
  <c r="CH66" i="2"/>
  <c r="CC38" i="220"/>
  <c r="CC15" i="220"/>
  <c r="CC9" i="220"/>
  <c r="CC64" i="220" s="1"/>
  <c r="CC4" i="220"/>
  <c r="CN70" i="178"/>
  <c r="CO70" i="178" s="1"/>
  <c r="CP70" i="178" s="1"/>
  <c r="CN63" i="178"/>
  <c r="CO46" i="178"/>
  <c r="CO38" i="178"/>
  <c r="CO11" i="178"/>
  <c r="CO7" i="178"/>
  <c r="CO56" i="178" s="1"/>
  <c r="CO4" i="178"/>
  <c r="CW45" i="11"/>
  <c r="CW11" i="11"/>
  <c r="DD12" i="11" s="1"/>
  <c r="CW10" i="11"/>
  <c r="CV10" i="11"/>
  <c r="CW15" i="11"/>
  <c r="CW16" i="11" s="1"/>
  <c r="DC186" i="4"/>
  <c r="DC95" i="4"/>
  <c r="DC110" i="4" s="1"/>
  <c r="DC93" i="4"/>
  <c r="DC58" i="4"/>
  <c r="DC60" i="4" s="1"/>
  <c r="DC45" i="4"/>
  <c r="DC44" i="4"/>
  <c r="DC43" i="4"/>
  <c r="DC29" i="4"/>
  <c r="DC31" i="4" s="1"/>
  <c r="DC18" i="4"/>
  <c r="DC17" i="4"/>
  <c r="DC16" i="4"/>
  <c r="DC11" i="4"/>
  <c r="DC13" i="4" s="1"/>
  <c r="CJ7" i="220" l="1"/>
  <c r="CJ5" i="220"/>
  <c r="CO24" i="178"/>
  <c r="CV25" i="178" s="1"/>
  <c r="CV5" i="178"/>
  <c r="CV22" i="2"/>
  <c r="CV27" i="2" s="1"/>
  <c r="CV38" i="2" s="1"/>
  <c r="DO159" i="243"/>
  <c r="DS159" i="243"/>
  <c r="DQ159" i="243"/>
  <c r="CV8" i="2"/>
  <c r="CV154" i="243"/>
  <c r="CO12" i="178"/>
  <c r="CC16" i="220"/>
  <c r="DC32" i="4"/>
  <c r="CO17" i="178"/>
  <c r="CO20" i="178" s="1"/>
  <c r="CO8" i="178"/>
  <c r="CW9" i="11"/>
  <c r="CW307" i="11" s="1"/>
  <c r="CW313" i="11" s="1"/>
  <c r="CO40" i="178"/>
  <c r="CV41" i="178" s="1"/>
  <c r="DC46" i="4"/>
  <c r="DC48" i="4" s="1"/>
  <c r="CV54" i="2" s="1"/>
  <c r="CW56" i="11"/>
  <c r="CW58" i="11" s="1"/>
  <c r="CW59" i="11" s="1"/>
  <c r="CO57" i="178"/>
  <c r="CO10" i="178"/>
  <c r="CC28" i="220"/>
  <c r="CO42" i="178"/>
  <c r="CV43" i="178" s="1"/>
  <c r="CC21" i="220"/>
  <c r="CC24" i="220" s="1"/>
  <c r="CW46" i="11"/>
  <c r="CW5" i="11"/>
  <c r="CW391" i="11" s="1"/>
  <c r="CC10" i="220"/>
  <c r="CC75" i="220"/>
  <c r="CC14" i="220"/>
  <c r="CO27" i="178" l="1"/>
  <c r="CV28" i="178" s="1"/>
  <c r="CC46" i="220"/>
  <c r="CJ29" i="220"/>
  <c r="CC31" i="220"/>
  <c r="CC41" i="220"/>
  <c r="CV153" i="243"/>
  <c r="CV165" i="243"/>
  <c r="CV176" i="243"/>
  <c r="CV159" i="243"/>
  <c r="CV171" i="243"/>
  <c r="CV162" i="243"/>
  <c r="CV179" i="243"/>
  <c r="CV168" i="243"/>
  <c r="CV10" i="2"/>
  <c r="CV11" i="2" s="1"/>
  <c r="CV274" i="243"/>
  <c r="CC65" i="220"/>
  <c r="CV42" i="2"/>
  <c r="CV46" i="2" s="1"/>
  <c r="CV41" i="2"/>
  <c r="CC42" i="220"/>
  <c r="CC40" i="220"/>
  <c r="CC45" i="220"/>
  <c r="CC43" i="220"/>
  <c r="CC44" i="220"/>
  <c r="CC76" i="220"/>
  <c r="CO34" i="178"/>
  <c r="CV35" i="178" s="1"/>
  <c r="CC34" i="220" l="1"/>
  <c r="CJ35" i="220" s="1"/>
  <c r="CJ32" i="220"/>
  <c r="CV3" i="242"/>
  <c r="CV21" i="242" s="1"/>
  <c r="CV42" i="242" s="1"/>
  <c r="CV47" i="2"/>
  <c r="CV51" i="2"/>
  <c r="CV48" i="2"/>
  <c r="CV56" i="2"/>
  <c r="CV57" i="2" s="1"/>
  <c r="CW139" i="11"/>
  <c r="DC204" i="4" s="1"/>
  <c r="CW127" i="11"/>
  <c r="DC202" i="4" s="1"/>
  <c r="CW123" i="11"/>
  <c r="DC201" i="4" s="1"/>
  <c r="CW117" i="11"/>
  <c r="CW104" i="11"/>
  <c r="DC207" i="4" s="1"/>
  <c r="CW119" i="11" l="1"/>
  <c r="CV45" i="242"/>
  <c r="CV49" i="242" s="1"/>
  <c r="CV56" i="242" s="1"/>
  <c r="CV61" i="242" s="1"/>
  <c r="CV59" i="2"/>
  <c r="CV62" i="2"/>
  <c r="CV61" i="2"/>
  <c r="CW87" i="11"/>
  <c r="CW85" i="11"/>
  <c r="CW93" i="11" s="1"/>
  <c r="CW88" i="11"/>
  <c r="CW89" i="11"/>
  <c r="CW129" i="11"/>
  <c r="CW86" i="11"/>
  <c r="CB81" i="220"/>
  <c r="CC81" i="220" s="1"/>
  <c r="CD81" i="220" s="1"/>
  <c r="CB71" i="220"/>
  <c r="CI72" i="220" s="1"/>
  <c r="CE38" i="220"/>
  <c r="CE15" i="220"/>
  <c r="CE18" i="220"/>
  <c r="CE9" i="220"/>
  <c r="CE75" i="220" s="1"/>
  <c r="CE4" i="220"/>
  <c r="CQ73" i="178"/>
  <c r="CN29" i="178"/>
  <c r="CU30" i="178" s="1"/>
  <c r="CQ30" i="178"/>
  <c r="CQ46" i="178"/>
  <c r="CQ38" i="178"/>
  <c r="CQ14" i="178"/>
  <c r="CQ11" i="178"/>
  <c r="CQ7" i="178"/>
  <c r="CQ56" i="178" s="1"/>
  <c r="CQ4" i="178"/>
  <c r="CX5" i="178" s="1"/>
  <c r="CV360" i="11"/>
  <c r="CV358" i="11"/>
  <c r="CV263" i="11"/>
  <c r="CV262" i="11"/>
  <c r="CV261" i="11"/>
  <c r="CV245" i="11"/>
  <c r="CV399" i="11"/>
  <c r="CV386" i="11"/>
  <c r="CW386" i="11" s="1"/>
  <c r="CX386" i="11" s="1"/>
  <c r="CY398" i="11"/>
  <c r="CY385" i="11"/>
  <c r="CY269" i="11"/>
  <c r="CY263" i="11"/>
  <c r="CY262" i="11"/>
  <c r="CY261" i="11"/>
  <c r="CY245" i="11"/>
  <c r="CY198" i="11"/>
  <c r="CY197" i="11"/>
  <c r="CY196" i="11"/>
  <c r="CY172" i="11"/>
  <c r="CY184" i="11"/>
  <c r="CY185" i="11"/>
  <c r="CY186" i="11"/>
  <c r="CY187" i="11"/>
  <c r="CV55" i="11"/>
  <c r="CV54" i="11"/>
  <c r="CV53" i="11"/>
  <c r="CV52" i="11"/>
  <c r="CV51" i="11"/>
  <c r="CV50" i="11"/>
  <c r="CY45" i="11"/>
  <c r="DF47" i="11" s="1"/>
  <c r="CY42" i="11"/>
  <c r="CY15" i="11"/>
  <c r="CY16" i="11" s="1"/>
  <c r="CY11" i="11"/>
  <c r="DF12" i="11" s="1"/>
  <c r="CY10" i="11"/>
  <c r="DB185" i="4"/>
  <c r="DB182" i="4"/>
  <c r="DB181" i="4"/>
  <c r="DB180" i="4"/>
  <c r="DE186" i="4"/>
  <c r="DB148" i="4"/>
  <c r="DB147" i="4"/>
  <c r="DB130" i="4"/>
  <c r="DB129" i="4"/>
  <c r="DB128" i="4"/>
  <c r="DB127" i="4"/>
  <c r="DE131" i="4"/>
  <c r="DB123" i="4"/>
  <c r="DC123" i="4" s="1"/>
  <c r="DB117" i="4"/>
  <c r="DC117" i="4" s="1"/>
  <c r="DD117" i="4" s="1"/>
  <c r="DB116" i="4"/>
  <c r="DB115" i="4"/>
  <c r="DE122" i="4"/>
  <c r="DE124" i="4" s="1"/>
  <c r="DB97" i="4"/>
  <c r="DB93" i="4"/>
  <c r="DE95" i="4"/>
  <c r="DE110" i="4" s="1"/>
  <c r="DE93" i="4"/>
  <c r="DB71" i="4"/>
  <c r="DB95" i="4" s="1"/>
  <c r="DB59" i="4"/>
  <c r="DB53" i="4"/>
  <c r="DB52" i="4"/>
  <c r="CN11" i="178" s="1"/>
  <c r="DB51" i="4"/>
  <c r="DE58" i="4"/>
  <c r="DE60" i="4" s="1"/>
  <c r="CX22" i="2" s="1"/>
  <c r="DE45" i="4"/>
  <c r="DE44" i="4"/>
  <c r="DE43" i="4"/>
  <c r="CY56" i="11" s="1"/>
  <c r="CZ56" i="11" s="1"/>
  <c r="DB38" i="4"/>
  <c r="DB37" i="4"/>
  <c r="DB36" i="4"/>
  <c r="DB35" i="4"/>
  <c r="DB30" i="4"/>
  <c r="DB28" i="4"/>
  <c r="DB27" i="4"/>
  <c r="DB26" i="4"/>
  <c r="DE39" i="4"/>
  <c r="DE29" i="4"/>
  <c r="DE31" i="4" s="1"/>
  <c r="DB12" i="4"/>
  <c r="DB6" i="4"/>
  <c r="DB5" i="4"/>
  <c r="DB4" i="4"/>
  <c r="DE11" i="4"/>
  <c r="DE13" i="4" s="1"/>
  <c r="DL23" i="4" s="1"/>
  <c r="DI17" i="4" l="1"/>
  <c r="CL7" i="220"/>
  <c r="CL5" i="220"/>
  <c r="DI18" i="4"/>
  <c r="DI16" i="4"/>
  <c r="DE40" i="4"/>
  <c r="DF39" i="4"/>
  <c r="DF40" i="4" s="1"/>
  <c r="CD18" i="220"/>
  <c r="CD19" i="220" s="1"/>
  <c r="DD123" i="4"/>
  <c r="CX56" i="11"/>
  <c r="CX58" i="11" s="1"/>
  <c r="CZ58" i="11"/>
  <c r="DG60" i="11" s="1"/>
  <c r="CW94" i="11"/>
  <c r="CW95" i="11"/>
  <c r="CW97" i="11"/>
  <c r="CW96" i="11"/>
  <c r="CC71" i="220"/>
  <c r="DC203" i="4"/>
  <c r="DC206" i="4" s="1"/>
  <c r="DC208" i="4" s="1"/>
  <c r="CV58" i="242"/>
  <c r="CV60" i="242" s="1"/>
  <c r="CB4" i="220"/>
  <c r="CV45" i="11"/>
  <c r="DC47" i="11" s="1"/>
  <c r="CN7" i="178"/>
  <c r="CN10" i="178" s="1"/>
  <c r="CV65" i="2"/>
  <c r="CV66" i="2"/>
  <c r="CV11" i="11"/>
  <c r="DC12" i="11" s="1"/>
  <c r="CU152" i="243"/>
  <c r="CX8" i="2"/>
  <c r="CX154" i="243"/>
  <c r="CX27" i="2"/>
  <c r="CX38" i="2" s="1"/>
  <c r="CW143" i="11"/>
  <c r="CW74" i="11" s="1"/>
  <c r="CO29" i="178"/>
  <c r="CN73" i="178"/>
  <c r="CW385" i="11"/>
  <c r="CC18" i="220"/>
  <c r="CC19" i="220" s="1"/>
  <c r="DC128" i="4"/>
  <c r="DC129" i="4"/>
  <c r="CV42" i="11"/>
  <c r="DC115" i="4"/>
  <c r="DD115" i="4" s="1"/>
  <c r="CX42" i="11" s="1"/>
  <c r="CN14" i="178"/>
  <c r="DC116" i="4"/>
  <c r="DD116" i="4" s="1"/>
  <c r="CP14" i="178" s="1"/>
  <c r="CP15" i="178" s="1"/>
  <c r="DC127" i="4"/>
  <c r="DD127" i="4" s="1"/>
  <c r="DE32" i="4"/>
  <c r="CE10" i="220"/>
  <c r="CY58" i="11"/>
  <c r="CQ15" i="178"/>
  <c r="CE64" i="220"/>
  <c r="DE132" i="4"/>
  <c r="CY43" i="11"/>
  <c r="CY9" i="11"/>
  <c r="CZ9" i="11" s="1"/>
  <c r="CE16" i="220"/>
  <c r="CW90" i="11"/>
  <c r="CV264" i="11"/>
  <c r="CY264" i="11"/>
  <c r="DB110" i="4"/>
  <c r="DB11" i="4"/>
  <c r="DB13" i="4" s="1"/>
  <c r="DE125" i="4"/>
  <c r="CY46" i="11"/>
  <c r="CQ8" i="178"/>
  <c r="CQ24" i="178"/>
  <c r="CE28" i="220"/>
  <c r="CY356" i="11"/>
  <c r="CN4" i="178"/>
  <c r="CQ12" i="178"/>
  <c r="CE14" i="220"/>
  <c r="DB43" i="4"/>
  <c r="DB186" i="4"/>
  <c r="DB29" i="4"/>
  <c r="DB31" i="4" s="1"/>
  <c r="DB44" i="4"/>
  <c r="DB45" i="4"/>
  <c r="DB122" i="4"/>
  <c r="DB124" i="4" s="1"/>
  <c r="DB131" i="4"/>
  <c r="CE19" i="220"/>
  <c r="CQ10" i="178"/>
  <c r="CY387" i="11"/>
  <c r="CY400" i="11" s="1"/>
  <c r="CY5" i="11"/>
  <c r="CZ5" i="11" s="1"/>
  <c r="DB58" i="4"/>
  <c r="DB60" i="4" s="1"/>
  <c r="DE46" i="4"/>
  <c r="DE48" i="4" s="1"/>
  <c r="CX54" i="2" s="1"/>
  <c r="CP29" i="178" l="1"/>
  <c r="CW30" i="178" s="1"/>
  <c r="CV30" i="178"/>
  <c r="CD71" i="220"/>
  <c r="CK72" i="220" s="1"/>
  <c r="CJ72" i="220"/>
  <c r="CY409" i="11"/>
  <c r="DF411" i="11" s="1"/>
  <c r="CE76" i="220"/>
  <c r="CL29" i="220"/>
  <c r="CB28" i="220"/>
  <c r="CI29" i="220" s="1"/>
  <c r="CI5" i="220"/>
  <c r="CI7" i="220"/>
  <c r="CY59" i="11"/>
  <c r="DF60" i="11"/>
  <c r="CQ57" i="178"/>
  <c r="CX25" i="178"/>
  <c r="DI23" i="4"/>
  <c r="CN12" i="178"/>
  <c r="CU5" i="178"/>
  <c r="CW387" i="11"/>
  <c r="CW400" i="11" s="1"/>
  <c r="CW409" i="11" s="1"/>
  <c r="CX385" i="11"/>
  <c r="CX387" i="11" s="1"/>
  <c r="CX400" i="11" s="1"/>
  <c r="DD129" i="4"/>
  <c r="DD128" i="4"/>
  <c r="DD122" i="4"/>
  <c r="DD124" i="4" s="1"/>
  <c r="CZ11" i="11"/>
  <c r="DG12" i="11" s="1"/>
  <c r="CX5" i="11"/>
  <c r="CX9" i="11"/>
  <c r="CW98" i="11"/>
  <c r="CC73" i="220"/>
  <c r="CV46" i="11"/>
  <c r="CU22" i="2"/>
  <c r="CU27" i="2" s="1"/>
  <c r="CU38" i="2" s="1"/>
  <c r="DB125" i="4"/>
  <c r="CV43" i="11"/>
  <c r="CX153" i="243"/>
  <c r="CX165" i="243"/>
  <c r="CX162" i="243"/>
  <c r="CX171" i="243"/>
  <c r="CX159" i="243"/>
  <c r="CX176" i="243"/>
  <c r="CX179" i="243"/>
  <c r="CX168" i="243"/>
  <c r="CU8" i="2"/>
  <c r="CU154" i="243"/>
  <c r="CX10" i="2"/>
  <c r="CX11" i="2" s="1"/>
  <c r="CX274" i="243"/>
  <c r="CX41" i="2"/>
  <c r="CX42" i="2"/>
  <c r="CX46" i="2" s="1"/>
  <c r="CO73" i="178"/>
  <c r="CO31" i="178"/>
  <c r="CV32" i="178" s="1"/>
  <c r="CY307" i="11"/>
  <c r="DC131" i="4"/>
  <c r="CW42" i="11"/>
  <c r="DC122" i="4"/>
  <c r="DC124" i="4" s="1"/>
  <c r="DC125" i="4" s="1"/>
  <c r="CO14" i="178"/>
  <c r="CO15" i="178" s="1"/>
  <c r="CE41" i="220"/>
  <c r="CF41" i="220" s="1"/>
  <c r="CE31" i="220"/>
  <c r="CL32" i="220" s="1"/>
  <c r="DB46" i="4"/>
  <c r="CE44" i="220"/>
  <c r="CF44" i="220" s="1"/>
  <c r="CE42" i="220"/>
  <c r="CF42" i="220" s="1"/>
  <c r="CE43" i="220"/>
  <c r="CF43" i="220" s="1"/>
  <c r="DB32" i="4"/>
  <c r="DB132" i="4"/>
  <c r="CN24" i="178"/>
  <c r="CU25" i="178" s="1"/>
  <c r="CE46" i="220"/>
  <c r="CF46" i="220" s="1"/>
  <c r="CE73" i="220"/>
  <c r="CY357" i="11"/>
  <c r="CY391" i="11"/>
  <c r="CE45" i="220"/>
  <c r="CF45" i="220" s="1"/>
  <c r="CE40" i="220"/>
  <c r="CF40" i="220" s="1"/>
  <c r="CE65" i="220"/>
  <c r="CQ42" i="178"/>
  <c r="CQ40" i="178"/>
  <c r="CQ27" i="178"/>
  <c r="CN8" i="178"/>
  <c r="CN15" i="178"/>
  <c r="CB73" i="220" l="1"/>
  <c r="CZ409" i="11"/>
  <c r="CX409" i="11" s="1"/>
  <c r="DF410" i="11"/>
  <c r="CR40" i="178"/>
  <c r="CX41" i="178"/>
  <c r="CR27" i="178"/>
  <c r="CX28" i="178"/>
  <c r="CR42" i="178"/>
  <c r="CX43" i="178"/>
  <c r="DD131" i="4"/>
  <c r="DD132" i="4" s="1"/>
  <c r="CD45" i="220"/>
  <c r="CD43" i="220"/>
  <c r="CE34" i="220"/>
  <c r="CF31" i="220"/>
  <c r="CM32" i="220" s="1"/>
  <c r="DD125" i="4"/>
  <c r="CW15" i="2"/>
  <c r="CD40" i="220"/>
  <c r="CD42" i="220"/>
  <c r="CD41" i="220"/>
  <c r="CR45" i="178"/>
  <c r="CD46" i="220"/>
  <c r="CD44" i="220"/>
  <c r="CZ43" i="11"/>
  <c r="CZ46" i="11"/>
  <c r="CX11" i="11"/>
  <c r="CX15" i="11" s="1"/>
  <c r="CY313" i="11"/>
  <c r="CZ307" i="11"/>
  <c r="CZ59" i="11"/>
  <c r="CZ15" i="11"/>
  <c r="CZ14" i="11"/>
  <c r="CX3" i="242"/>
  <c r="CX21" i="242" s="1"/>
  <c r="CX42" i="242" s="1"/>
  <c r="CU153" i="243"/>
  <c r="CU165" i="243"/>
  <c r="CU171" i="243"/>
  <c r="CU162" i="243"/>
  <c r="CU159" i="243"/>
  <c r="CU176" i="243"/>
  <c r="CU168" i="243"/>
  <c r="CU179" i="243"/>
  <c r="CU10" i="2"/>
  <c r="CU11" i="2" s="1"/>
  <c r="CU274" i="243"/>
  <c r="CU41" i="2"/>
  <c r="CU42" i="2"/>
  <c r="CU46" i="2" s="1"/>
  <c r="CX56" i="2"/>
  <c r="CX47" i="2"/>
  <c r="CX51" i="2"/>
  <c r="CX48" i="2"/>
  <c r="CW43" i="11"/>
  <c r="CW356" i="11"/>
  <c r="CW357" i="11" s="1"/>
  <c r="DC132" i="4"/>
  <c r="CQ34" i="178"/>
  <c r="CQ31" i="178"/>
  <c r="CX32" i="178" s="1"/>
  <c r="CV141" i="11"/>
  <c r="CV138" i="11"/>
  <c r="CV137" i="11"/>
  <c r="CY139" i="11"/>
  <c r="CV126" i="11"/>
  <c r="CV125" i="11"/>
  <c r="CV122" i="11"/>
  <c r="CV121" i="11"/>
  <c r="CY127" i="11"/>
  <c r="CY123" i="11"/>
  <c r="CV116" i="11"/>
  <c r="DB199" i="4" s="1"/>
  <c r="CV115" i="11"/>
  <c r="DB198" i="4" s="1"/>
  <c r="CV114" i="11"/>
  <c r="DB197" i="4" s="1"/>
  <c r="CY117" i="11"/>
  <c r="CV102" i="11"/>
  <c r="CY104" i="11"/>
  <c r="CR46" i="178" l="1"/>
  <c r="CY43" i="178"/>
  <c r="CP40" i="178"/>
  <c r="CW41" i="178" s="1"/>
  <c r="CY41" i="178"/>
  <c r="CR37" i="178"/>
  <c r="CY28" i="178"/>
  <c r="CP42" i="178"/>
  <c r="CW43" i="178" s="1"/>
  <c r="CR31" i="178"/>
  <c r="CY32" i="178" s="1"/>
  <c r="CF34" i="220"/>
  <c r="CL35" i="220"/>
  <c r="CP27" i="178"/>
  <c r="CR34" i="178"/>
  <c r="CX35" i="178"/>
  <c r="CX14" i="11"/>
  <c r="CX16" i="11" s="1"/>
  <c r="CX57" i="2"/>
  <c r="CX62" i="2" s="1"/>
  <c r="CY56" i="2"/>
  <c r="CD31" i="220"/>
  <c r="CK32" i="220" s="1"/>
  <c r="CZ16" i="11"/>
  <c r="CX46" i="11"/>
  <c r="CX43" i="11"/>
  <c r="CX59" i="11"/>
  <c r="CX307" i="11"/>
  <c r="CX313" i="11" s="1"/>
  <c r="CZ313" i="11"/>
  <c r="CY119" i="11"/>
  <c r="CZ117" i="11"/>
  <c r="DE204" i="4"/>
  <c r="CZ139" i="11"/>
  <c r="DE201" i="4"/>
  <c r="CZ123" i="11"/>
  <c r="CX123" i="11" s="1"/>
  <c r="DE202" i="4"/>
  <c r="CZ127" i="11"/>
  <c r="CX127" i="11" s="1"/>
  <c r="DE207" i="4"/>
  <c r="CZ104" i="11"/>
  <c r="CX104" i="11" s="1"/>
  <c r="DB200" i="4"/>
  <c r="CV269" i="11"/>
  <c r="DB205" i="4"/>
  <c r="CX45" i="242"/>
  <c r="CX49" i="242" s="1"/>
  <c r="CX56" i="242" s="1"/>
  <c r="CX61" i="242" s="1"/>
  <c r="CU3" i="242"/>
  <c r="CU21" i="242" s="1"/>
  <c r="CU45" i="242" s="1"/>
  <c r="CU49" i="242" s="1"/>
  <c r="CU47" i="2"/>
  <c r="CU48" i="2"/>
  <c r="CU51" i="2"/>
  <c r="CX59" i="2"/>
  <c r="CY129" i="11"/>
  <c r="CP37" i="178" l="1"/>
  <c r="CW28" i="178"/>
  <c r="CP45" i="178"/>
  <c r="CR38" i="178"/>
  <c r="CY35" i="178"/>
  <c r="CP46" i="178"/>
  <c r="CD34" i="220"/>
  <c r="CK35" i="220" s="1"/>
  <c r="CM35" i="220"/>
  <c r="CP34" i="178"/>
  <c r="CF28" i="220"/>
  <c r="CF48" i="220" s="1"/>
  <c r="CP31" i="178"/>
  <c r="CW32" i="178" s="1"/>
  <c r="CX61" i="2"/>
  <c r="CW56" i="2"/>
  <c r="CY57" i="2"/>
  <c r="CY59" i="2"/>
  <c r="CX88" i="11"/>
  <c r="DD202" i="4"/>
  <c r="CX87" i="11"/>
  <c r="DD201" i="4"/>
  <c r="CX85" i="11"/>
  <c r="DD207" i="4"/>
  <c r="CY143" i="11"/>
  <c r="CY74" i="11" s="1"/>
  <c r="DE203" i="4"/>
  <c r="DE206" i="4" s="1"/>
  <c r="DE208" i="4" s="1"/>
  <c r="CX58" i="242"/>
  <c r="CX60" i="242" s="1"/>
  <c r="CU42" i="242"/>
  <c r="CU56" i="242"/>
  <c r="CU61" i="242" s="1"/>
  <c r="CU58" i="242"/>
  <c r="CU60" i="242" s="1"/>
  <c r="CX66" i="2"/>
  <c r="CX65" i="2"/>
  <c r="CF37" i="220" l="1"/>
  <c r="CF38" i="220" s="1"/>
  <c r="CM29" i="220"/>
  <c r="CD28" i="220"/>
  <c r="CK29" i="220" s="1"/>
  <c r="CP38" i="178"/>
  <c r="CW35" i="178"/>
  <c r="CF50" i="220"/>
  <c r="CF54" i="220"/>
  <c r="CF53" i="220"/>
  <c r="CF76" i="220"/>
  <c r="CF49" i="220"/>
  <c r="CF73" i="220"/>
  <c r="CF52" i="220"/>
  <c r="CF51" i="220"/>
  <c r="CY66" i="2"/>
  <c r="CY65" i="2"/>
  <c r="CY61" i="2"/>
  <c r="CY62" i="2"/>
  <c r="CW57" i="2"/>
  <c r="CW59" i="2"/>
  <c r="CD73" i="220"/>
  <c r="CX95" i="11"/>
  <c r="CZ95" i="11" s="1"/>
  <c r="CZ87" i="11"/>
  <c r="CX93" i="11"/>
  <c r="CZ85" i="11"/>
  <c r="CX96" i="11"/>
  <c r="CZ96" i="11" s="1"/>
  <c r="CZ88" i="11"/>
  <c r="CE54" i="242"/>
  <c r="CL54" i="242"/>
  <c r="CS54" i="242"/>
  <c r="CS70" i="242"/>
  <c r="CD52" i="220" l="1"/>
  <c r="CD53" i="220"/>
  <c r="CD54" i="220"/>
  <c r="CD37" i="220"/>
  <c r="CD38" i="220" s="1"/>
  <c r="CD76" i="220"/>
  <c r="CD51" i="220"/>
  <c r="CD48" i="220"/>
  <c r="CD50" i="220"/>
  <c r="CD49" i="220"/>
  <c r="CW66" i="2"/>
  <c r="CW65" i="2"/>
  <c r="CW62" i="2"/>
  <c r="CW61" i="2"/>
  <c r="CZ93" i="11"/>
  <c r="DN11" i="242"/>
  <c r="DU47" i="242" l="1"/>
  <c r="DU11" i="242" s="1"/>
  <c r="CU385" i="11"/>
  <c r="CV385" i="11" s="1"/>
  <c r="CU359" i="11"/>
  <c r="DA359" i="11"/>
  <c r="DM47" i="242" l="1"/>
  <c r="EB47" i="242"/>
  <c r="EB11" i="242" s="1"/>
  <c r="DS47" i="242"/>
  <c r="CV359" i="11"/>
  <c r="CV393" i="11"/>
  <c r="CV387" i="11"/>
  <c r="CV400" i="11" s="1"/>
  <c r="EN87" i="11"/>
  <c r="EM87" i="11"/>
  <c r="EL87" i="11"/>
  <c r="EK87" i="11"/>
  <c r="EG87" i="11"/>
  <c r="EF87" i="11"/>
  <c r="EE87" i="11"/>
  <c r="ED87" i="11"/>
  <c r="DZ87" i="11"/>
  <c r="DY87" i="11"/>
  <c r="DX87" i="11"/>
  <c r="DW87" i="11"/>
  <c r="DS87" i="11"/>
  <c r="DR87" i="11"/>
  <c r="DQ87" i="11"/>
  <c r="DP87" i="11"/>
  <c r="DL87" i="11"/>
  <c r="DK87" i="11"/>
  <c r="DJ47" i="242" l="1"/>
  <c r="DM11" i="242"/>
  <c r="DO47" i="242"/>
  <c r="DS11" i="242"/>
  <c r="DT47" i="242"/>
  <c r="EI47" i="242"/>
  <c r="EI11" i="242" s="1"/>
  <c r="DZ47" i="242"/>
  <c r="EQ415" i="11"/>
  <c r="CZ235" i="11"/>
  <c r="CX235" i="11" s="1"/>
  <c r="CZ234" i="11"/>
  <c r="CX234" i="11" s="1"/>
  <c r="CZ233" i="11"/>
  <c r="CX233" i="11" s="1"/>
  <c r="CZ221" i="11"/>
  <c r="CV198" i="11"/>
  <c r="AB209" i="11"/>
  <c r="AI209" i="11"/>
  <c r="AP209" i="11"/>
  <c r="AW214" i="11"/>
  <c r="CX221" i="11" l="1"/>
  <c r="CX245" i="11" s="1"/>
  <c r="CZ245" i="11"/>
  <c r="DQ47" i="242"/>
  <c r="DT11" i="242"/>
  <c r="DK47" i="242"/>
  <c r="DK11" i="242" s="1"/>
  <c r="DJ11" i="242"/>
  <c r="DV47" i="242"/>
  <c r="DZ11" i="242"/>
  <c r="DP47" i="242"/>
  <c r="DP11" i="242" s="1"/>
  <c r="DO11" i="242"/>
  <c r="EA47" i="242"/>
  <c r="EP47" i="242"/>
  <c r="EP11" i="242" s="1"/>
  <c r="EG47" i="242"/>
  <c r="EG11" i="242" s="1"/>
  <c r="CU185" i="4"/>
  <c r="CU182" i="4"/>
  <c r="CU181" i="4"/>
  <c r="CU180" i="4"/>
  <c r="CX186" i="4"/>
  <c r="CY185" i="4"/>
  <c r="CW185" i="4" s="1"/>
  <c r="CY182" i="4"/>
  <c r="CW182" i="4" s="1"/>
  <c r="CY181" i="4"/>
  <c r="CW181" i="4" s="1"/>
  <c r="CY180" i="4"/>
  <c r="CW180" i="4" s="1"/>
  <c r="CV186" i="4"/>
  <c r="CT186" i="4"/>
  <c r="K185" i="4"/>
  <c r="K186" i="4" s="1"/>
  <c r="K190" i="4"/>
  <c r="L185" i="4"/>
  <c r="L186" i="4" s="1"/>
  <c r="L190" i="4"/>
  <c r="M190" i="4"/>
  <c r="M185" i="4"/>
  <c r="M186" i="4" s="1"/>
  <c r="T185" i="4"/>
  <c r="T186" i="4" s="1"/>
  <c r="S186" i="4" s="1"/>
  <c r="Q186" i="4" s="1"/>
  <c r="T190" i="4"/>
  <c r="AA185" i="4"/>
  <c r="AA186" i="4" s="1"/>
  <c r="Z186" i="4" s="1"/>
  <c r="X186" i="4" s="1"/>
  <c r="AA190" i="4"/>
  <c r="AH190" i="4"/>
  <c r="AH186" i="4"/>
  <c r="AG186" i="4" s="1"/>
  <c r="AE186" i="4" s="1"/>
  <c r="AO190" i="4"/>
  <c r="AO186" i="4"/>
  <c r="AN186" i="4" s="1"/>
  <c r="AL186" i="4" s="1"/>
  <c r="AV190" i="4"/>
  <c r="AV186" i="4"/>
  <c r="AU186" i="4" s="1"/>
  <c r="AS186" i="4" s="1"/>
  <c r="BQ186" i="4"/>
  <c r="BJ186" i="4"/>
  <c r="BC186" i="4"/>
  <c r="BB186" i="4" s="1"/>
  <c r="AZ186" i="4" s="1"/>
  <c r="BC190" i="4"/>
  <c r="BJ190" i="4"/>
  <c r="DX47" i="242" l="1"/>
  <c r="EA11" i="242"/>
  <c r="DW47" i="242"/>
  <c r="DW11" i="242" s="1"/>
  <c r="DV11" i="242"/>
  <c r="DR47" i="242"/>
  <c r="DR11" i="242" s="1"/>
  <c r="DQ11" i="242"/>
  <c r="EH47" i="242"/>
  <c r="EH11" i="242" s="1"/>
  <c r="EC47" i="242"/>
  <c r="EN47" i="242"/>
  <c r="CW186" i="4"/>
  <c r="CU186" i="4"/>
  <c r="CY186" i="4"/>
  <c r="BQ190" i="4"/>
  <c r="BX190" i="4"/>
  <c r="BX186" i="4"/>
  <c r="CE190" i="4"/>
  <c r="CE186" i="4"/>
  <c r="CL190" i="4"/>
  <c r="CL186" i="4"/>
  <c r="CS190" i="4"/>
  <c r="CZ190" i="4"/>
  <c r="CS186" i="4"/>
  <c r="CZ186" i="4"/>
  <c r="DA186" i="4"/>
  <c r="CA38" i="220"/>
  <c r="CA18" i="220"/>
  <c r="CB18" i="220" s="1"/>
  <c r="CB19" i="220" s="1"/>
  <c r="CA15" i="220"/>
  <c r="CA9" i="220"/>
  <c r="CA4" i="220"/>
  <c r="CM73" i="178"/>
  <c r="CM30" i="178"/>
  <c r="CM46" i="178"/>
  <c r="CM38" i="178"/>
  <c r="CM14" i="178"/>
  <c r="CM11" i="178"/>
  <c r="CM7" i="178"/>
  <c r="CM4" i="178"/>
  <c r="CM24" i="178" s="1"/>
  <c r="CT25" i="178" s="1"/>
  <c r="CU387" i="11"/>
  <c r="CU400" i="11" s="1"/>
  <c r="CU45" i="11"/>
  <c r="DB47" i="11" s="1"/>
  <c r="CU42" i="11"/>
  <c r="CU11" i="11"/>
  <c r="CU5" i="11" s="1"/>
  <c r="CV5" i="11" s="1"/>
  <c r="CU10" i="11"/>
  <c r="DA131" i="4"/>
  <c r="DA122" i="4"/>
  <c r="DA58" i="4"/>
  <c r="DA60" i="4" s="1"/>
  <c r="DA45" i="4"/>
  <c r="DA44" i="4"/>
  <c r="DA43" i="4"/>
  <c r="CU56" i="11" s="1"/>
  <c r="CV56" i="11" s="1"/>
  <c r="CV58" i="11" s="1"/>
  <c r="DA39" i="4"/>
  <c r="DA29" i="4"/>
  <c r="DA31" i="4" s="1"/>
  <c r="DA18" i="4"/>
  <c r="DA17" i="4"/>
  <c r="DA16" i="4"/>
  <c r="DA11" i="4"/>
  <c r="DA13" i="4" s="1"/>
  <c r="CU15" i="11"/>
  <c r="CU16" i="11" s="1"/>
  <c r="CU409" i="11" l="1"/>
  <c r="DB411" i="11" s="1"/>
  <c r="DC411" i="11" s="1"/>
  <c r="CH7" i="220"/>
  <c r="CH5" i="220"/>
  <c r="DY47" i="242"/>
  <c r="DY11" i="242" s="1"/>
  <c r="DX11" i="242"/>
  <c r="EJ47" i="242"/>
  <c r="EN11" i="242"/>
  <c r="ED47" i="242"/>
  <c r="ED11" i="242" s="1"/>
  <c r="EC11" i="242"/>
  <c r="CT22" i="2"/>
  <c r="CT27" i="2" s="1"/>
  <c r="CT38" i="2" s="1"/>
  <c r="EO47" i="242"/>
  <c r="EE47" i="242"/>
  <c r="CT154" i="243"/>
  <c r="CT8" i="2"/>
  <c r="DA40" i="4"/>
  <c r="DB39" i="4"/>
  <c r="CV59" i="11"/>
  <c r="CU391" i="11"/>
  <c r="CA64" i="220"/>
  <c r="CB9" i="220"/>
  <c r="CM42" i="178"/>
  <c r="CA10" i="220"/>
  <c r="CM15" i="178"/>
  <c r="CU43" i="11"/>
  <c r="CM8" i="178"/>
  <c r="CM12" i="178"/>
  <c r="CU356" i="11"/>
  <c r="CU9" i="11"/>
  <c r="CV9" i="11" s="1"/>
  <c r="CA14" i="220"/>
  <c r="CB14" i="220" s="1"/>
  <c r="CU58" i="11"/>
  <c r="CU59" i="11" s="1"/>
  <c r="CA16" i="220"/>
  <c r="CA28" i="220"/>
  <c r="CH29" i="220" s="1"/>
  <c r="DA32" i="4"/>
  <c r="DA124" i="4"/>
  <c r="CM27" i="178"/>
  <c r="CT28" i="178" s="1"/>
  <c r="CM56" i="178"/>
  <c r="CM40" i="178"/>
  <c r="CA19" i="220"/>
  <c r="CA75" i="220"/>
  <c r="CM10" i="178"/>
  <c r="CU46" i="11"/>
  <c r="DA46" i="4"/>
  <c r="CV409" i="11" l="1"/>
  <c r="DC410" i="11" s="1"/>
  <c r="DB410" i="11"/>
  <c r="CN40" i="178"/>
  <c r="CT41" i="178"/>
  <c r="CN42" i="178"/>
  <c r="CU43" i="178" s="1"/>
  <c r="CT43" i="178"/>
  <c r="EK47" i="242"/>
  <c r="EK11" i="242" s="1"/>
  <c r="EJ11" i="242"/>
  <c r="EF47" i="242"/>
  <c r="EF11" i="242" s="1"/>
  <c r="EE11" i="242"/>
  <c r="EL47" i="242"/>
  <c r="EO11" i="242"/>
  <c r="CT10" i="2"/>
  <c r="CT11" i="2" s="1"/>
  <c r="CT274" i="243"/>
  <c r="CT153" i="243"/>
  <c r="CT176" i="243"/>
  <c r="CT162" i="243"/>
  <c r="CT179" i="243"/>
  <c r="CT168" i="243"/>
  <c r="CT165" i="243"/>
  <c r="CT159" i="243"/>
  <c r="CT171" i="243"/>
  <c r="DA125" i="4"/>
  <c r="CT15" i="2"/>
  <c r="CU15" i="2" s="1"/>
  <c r="CT41" i="2"/>
  <c r="CT42" i="2"/>
  <c r="CT46" i="2" s="1"/>
  <c r="DB40" i="4"/>
  <c r="DC39" i="4"/>
  <c r="CA65" i="220"/>
  <c r="CU357" i="11"/>
  <c r="CV356" i="11"/>
  <c r="CV357" i="11" s="1"/>
  <c r="CB10" i="220"/>
  <c r="CB75" i="220"/>
  <c r="CB76" i="220" s="1"/>
  <c r="CB15" i="220"/>
  <c r="CB16" i="220" s="1"/>
  <c r="CU307" i="11"/>
  <c r="CM31" i="178"/>
  <c r="CT32" i="178" s="1"/>
  <c r="CN27" i="178"/>
  <c r="CU28" i="178" s="1"/>
  <c r="CA76" i="220"/>
  <c r="DA132" i="4"/>
  <c r="CA73" i="220"/>
  <c r="CM57" i="178"/>
  <c r="CM34" i="178"/>
  <c r="CT35" i="178" s="1"/>
  <c r="CR359" i="11"/>
  <c r="CS359" i="11" s="1"/>
  <c r="CP359" i="11"/>
  <c r="CN359" i="11"/>
  <c r="CN45" i="178" l="1"/>
  <c r="CN46" i="178" s="1"/>
  <c r="CU41" i="178"/>
  <c r="DC40" i="4"/>
  <c r="DD39" i="4"/>
  <c r="DD40" i="4" s="1"/>
  <c r="EM47" i="242"/>
  <c r="EM11" i="242" s="1"/>
  <c r="EL11" i="242"/>
  <c r="CT3" i="242"/>
  <c r="CT21" i="242" s="1"/>
  <c r="CT47" i="2"/>
  <c r="CT48" i="2"/>
  <c r="CT51" i="2"/>
  <c r="CU313" i="11"/>
  <c r="CV307" i="11"/>
  <c r="CV313" i="11" s="1"/>
  <c r="CN37" i="178"/>
  <c r="CN31" i="178"/>
  <c r="CU32" i="178" s="1"/>
  <c r="CN34" i="178"/>
  <c r="CU35" i="178" s="1"/>
  <c r="CQ359" i="11"/>
  <c r="CO359" i="11"/>
  <c r="DP32" i="220"/>
  <c r="DW32" i="220" s="1"/>
  <c r="DB35" i="220"/>
  <c r="DI35" i="220" s="1"/>
  <c r="DP35" i="220" s="1"/>
  <c r="DW35" i="220" s="1"/>
  <c r="DU246" i="243"/>
  <c r="DB25" i="220"/>
  <c r="DI25" i="220" s="1"/>
  <c r="DP25" i="220" s="1"/>
  <c r="DW25" i="220" s="1"/>
  <c r="CZ260" i="243" l="1"/>
  <c r="CZ264" i="243"/>
  <c r="EB246" i="243"/>
  <c r="DQ246" i="243"/>
  <c r="DO246" i="243"/>
  <c r="DS246" i="243"/>
  <c r="CT42" i="242"/>
  <c r="CT45" i="242"/>
  <c r="CT49" i="242" s="1"/>
  <c r="CN38" i="178"/>
  <c r="EI246" i="243" l="1"/>
  <c r="DX246" i="243"/>
  <c r="DV246" i="243"/>
  <c r="DZ246" i="243"/>
  <c r="CT58" i="242"/>
  <c r="CT60" i="242" s="1"/>
  <c r="CT56" i="242"/>
  <c r="CT61" i="242" s="1"/>
  <c r="CU127" i="11"/>
  <c r="DA202" i="4" s="1"/>
  <c r="CU123" i="11"/>
  <c r="CU117" i="11"/>
  <c r="CU104" i="11"/>
  <c r="DA207" i="4" s="1"/>
  <c r="CV117" i="11" l="1"/>
  <c r="CV86" i="11" s="1"/>
  <c r="CV123" i="11"/>
  <c r="DB201" i="4" s="1"/>
  <c r="DA201" i="4"/>
  <c r="EP246" i="243"/>
  <c r="EC246" i="243"/>
  <c r="EG246" i="243"/>
  <c r="EE246" i="243"/>
  <c r="DU44" i="2"/>
  <c r="DU51" i="243" s="1"/>
  <c r="CU88" i="11"/>
  <c r="CV127" i="11"/>
  <c r="CU85" i="11"/>
  <c r="CV104" i="11"/>
  <c r="DB207" i="4" s="1"/>
  <c r="CU119" i="11"/>
  <c r="CU129" i="11"/>
  <c r="DA203" i="4" s="1"/>
  <c r="CU86" i="11"/>
  <c r="CU87" i="11"/>
  <c r="CV119" i="11" l="1"/>
  <c r="DT51" i="243"/>
  <c r="DR51" i="243" s="1"/>
  <c r="CV87" i="11"/>
  <c r="CV95" i="11" s="1"/>
  <c r="CV88" i="11"/>
  <c r="CV96" i="11" s="1"/>
  <c r="DB202" i="4"/>
  <c r="DM44" i="2"/>
  <c r="DJ44" i="2" s="1"/>
  <c r="EN246" i="243"/>
  <c r="EL246" i="243"/>
  <c r="EJ246" i="243"/>
  <c r="EB44" i="2"/>
  <c r="EB51" i="243" s="1"/>
  <c r="DS44" i="2"/>
  <c r="DC4" i="242"/>
  <c r="CV129" i="11"/>
  <c r="DB203" i="4" s="1"/>
  <c r="CU95" i="11"/>
  <c r="CV103" i="11"/>
  <c r="CV85" i="11"/>
  <c r="CV93" i="11" s="1"/>
  <c r="CU94" i="11"/>
  <c r="CY86" i="11"/>
  <c r="CU93" i="11"/>
  <c r="CV94" i="11"/>
  <c r="CU96" i="11"/>
  <c r="EA51" i="243" l="1"/>
  <c r="DY51" i="243" s="1"/>
  <c r="DJ51" i="243"/>
  <c r="DS4" i="242"/>
  <c r="DS51" i="243"/>
  <c r="DP51" i="243" s="1"/>
  <c r="DM4" i="242"/>
  <c r="CY88" i="11"/>
  <c r="DA88" i="11" s="1"/>
  <c r="DA96" i="11" s="1"/>
  <c r="CY87" i="11"/>
  <c r="DA87" i="11" s="1"/>
  <c r="DA95" i="11" s="1"/>
  <c r="CY95" i="11"/>
  <c r="CY85" i="11"/>
  <c r="DA85" i="11" s="1"/>
  <c r="CY96" i="11"/>
  <c r="DT44" i="2"/>
  <c r="DQ44" i="2" s="1"/>
  <c r="DK44" i="2"/>
  <c r="DK4" i="242" s="1"/>
  <c r="DJ4" i="242"/>
  <c r="DO44" i="2"/>
  <c r="EI44" i="2"/>
  <c r="EI51" i="243" s="1"/>
  <c r="DZ44" i="2"/>
  <c r="CY94" i="11"/>
  <c r="CY93" i="11"/>
  <c r="CS273" i="243"/>
  <c r="CS264" i="243"/>
  <c r="CS266" i="243"/>
  <c r="CS259" i="243"/>
  <c r="CS260" i="243" s="1"/>
  <c r="CS255" i="243"/>
  <c r="CS251" i="243"/>
  <c r="CS245" i="243"/>
  <c r="CS241" i="243"/>
  <c r="CS240" i="243"/>
  <c r="CS234" i="243"/>
  <c r="CS212" i="243"/>
  <c r="CS211" i="243"/>
  <c r="CS196" i="243"/>
  <c r="CS197" i="243" s="1"/>
  <c r="CS174" i="243"/>
  <c r="CS173" i="243"/>
  <c r="CS170" i="243"/>
  <c r="CS164" i="243"/>
  <c r="CS161" i="243"/>
  <c r="CS158" i="243"/>
  <c r="CS104" i="243"/>
  <c r="CS98" i="243"/>
  <c r="CZ95" i="243" s="1"/>
  <c r="CZ97" i="243" s="1"/>
  <c r="CL98" i="243"/>
  <c r="CE98" i="243"/>
  <c r="BX98" i="243"/>
  <c r="BQ98" i="243"/>
  <c r="CS96" i="243"/>
  <c r="CS85" i="243"/>
  <c r="CS77" i="243"/>
  <c r="CS76" i="243"/>
  <c r="CS35" i="243"/>
  <c r="CS34" i="243" s="1"/>
  <c r="CS9" i="243"/>
  <c r="CR9" i="243" s="1"/>
  <c r="CP9" i="243" s="1"/>
  <c r="CS11" i="243"/>
  <c r="CS53" i="243"/>
  <c r="CR53" i="243" s="1"/>
  <c r="CS37" i="243"/>
  <c r="CS19" i="243"/>
  <c r="CS33" i="242"/>
  <c r="CR33" i="242" s="1"/>
  <c r="CS28" i="242"/>
  <c r="CS25" i="242"/>
  <c r="CR25" i="242" s="1"/>
  <c r="CP25" i="242" s="1"/>
  <c r="CS23" i="242"/>
  <c r="CS9" i="242"/>
  <c r="CS8" i="242"/>
  <c r="CS6" i="242"/>
  <c r="CR6" i="242" s="1"/>
  <c r="CP6" i="242" s="1"/>
  <c r="CS72" i="2"/>
  <c r="CS50" i="2"/>
  <c r="CS31" i="2"/>
  <c r="CS36" i="2" s="1"/>
  <c r="CS17" i="2"/>
  <c r="CR17" i="2" s="1"/>
  <c r="CP17" i="2" s="1"/>
  <c r="BY81" i="220"/>
  <c r="BY71" i="220"/>
  <c r="BZ72" i="220"/>
  <c r="BZ69" i="220"/>
  <c r="BZ75" i="220"/>
  <c r="BZ64" i="220"/>
  <c r="BZ38" i="220"/>
  <c r="BZ18" i="220"/>
  <c r="BZ14" i="220"/>
  <c r="BY9" i="220"/>
  <c r="BW9" i="220" s="1"/>
  <c r="BW75" i="220" s="1"/>
  <c r="BZ4" i="220"/>
  <c r="CL67" i="178"/>
  <c r="CK63" i="178"/>
  <c r="CI63" i="178" s="1"/>
  <c r="CL62" i="178"/>
  <c r="CL64" i="178"/>
  <c r="CL38" i="178"/>
  <c r="CL11" i="178"/>
  <c r="CL7" i="178"/>
  <c r="CL4" i="178"/>
  <c r="CT385" i="11"/>
  <c r="EH51" i="243" l="1"/>
  <c r="EF51" i="243" s="1"/>
  <c r="DQ51" i="243"/>
  <c r="DO4" i="242"/>
  <c r="DO51" i="243"/>
  <c r="DZ4" i="242"/>
  <c r="DZ51" i="243"/>
  <c r="DW51" i="243" s="1"/>
  <c r="BY72" i="220"/>
  <c r="CF72" i="220"/>
  <c r="CL24" i="178"/>
  <c r="CS25" i="178" s="1"/>
  <c r="CS5" i="178"/>
  <c r="BZ28" i="220"/>
  <c r="BZ46" i="220" s="1"/>
  <c r="CG7" i="220"/>
  <c r="CG5" i="220"/>
  <c r="DA93" i="11"/>
  <c r="CP53" i="243"/>
  <c r="CP56" i="243" s="1"/>
  <c r="CR56" i="243"/>
  <c r="CS21" i="243"/>
  <c r="CR21" i="243" s="1"/>
  <c r="CR19" i="243"/>
  <c r="CP19" i="243" s="1"/>
  <c r="DT4" i="242"/>
  <c r="CR10" i="242"/>
  <c r="CP10" i="242" s="1"/>
  <c r="CP33" i="242"/>
  <c r="CP38" i="242" s="1"/>
  <c r="CR38" i="242"/>
  <c r="CS53" i="242"/>
  <c r="CS52" i="242" s="1"/>
  <c r="CR23" i="242"/>
  <c r="CR8" i="242"/>
  <c r="CP8" i="242" s="1"/>
  <c r="CR9" i="242"/>
  <c r="CP9" i="242" s="1"/>
  <c r="CS66" i="242"/>
  <c r="CR28" i="242"/>
  <c r="CP28" i="242" s="1"/>
  <c r="DP44" i="2"/>
  <c r="DP4" i="242" s="1"/>
  <c r="DR44" i="2"/>
  <c r="DR4" i="242" s="1"/>
  <c r="DQ4" i="242"/>
  <c r="CR37" i="243"/>
  <c r="CS178" i="243"/>
  <c r="CS186" i="243" s="1"/>
  <c r="CR34" i="243"/>
  <c r="CR72" i="2"/>
  <c r="CP72" i="2" s="1"/>
  <c r="EA44" i="2"/>
  <c r="DV44" i="2"/>
  <c r="EP44" i="2"/>
  <c r="EP51" i="243" s="1"/>
  <c r="EO51" i="243" s="1"/>
  <c r="EM51" i="243" s="1"/>
  <c r="EG44" i="2"/>
  <c r="EG51" i="243" s="1"/>
  <c r="ED51" i="243" s="1"/>
  <c r="CZ94" i="2"/>
  <c r="CZ95" i="2" s="1"/>
  <c r="CL8" i="178"/>
  <c r="CS10" i="243"/>
  <c r="CS175" i="243"/>
  <c r="BY75" i="220"/>
  <c r="CS256" i="243"/>
  <c r="CS45" i="243"/>
  <c r="CR45" i="243" s="1"/>
  <c r="CP45" i="243" s="1"/>
  <c r="CS213" i="243"/>
  <c r="CZ235" i="243" s="1"/>
  <c r="CS252" i="243"/>
  <c r="BZ10" i="220"/>
  <c r="BZ16" i="220"/>
  <c r="BZ19" i="220"/>
  <c r="CS195" i="243"/>
  <c r="CL12" i="178"/>
  <c r="CL56" i="178"/>
  <c r="CL15" i="178"/>
  <c r="CS265" i="243"/>
  <c r="CL10" i="178"/>
  <c r="CT55" i="11"/>
  <c r="CT45" i="11"/>
  <c r="DA47" i="11" s="1"/>
  <c r="CT42" i="11"/>
  <c r="CT356" i="11" s="1"/>
  <c r="CT11" i="11"/>
  <c r="CT15" i="11"/>
  <c r="CT16" i="11" s="1"/>
  <c r="CZ155" i="4"/>
  <c r="BZ25" i="220"/>
  <c r="CL21" i="178"/>
  <c r="CT71" i="11"/>
  <c r="CZ137" i="4"/>
  <c r="CY130" i="4"/>
  <c r="CY129" i="4"/>
  <c r="CY128" i="4"/>
  <c r="CY127" i="4"/>
  <c r="CZ131" i="4"/>
  <c r="CY117" i="4"/>
  <c r="CY116" i="4"/>
  <c r="CY115" i="4"/>
  <c r="CS42" i="11" s="1"/>
  <c r="CZ122" i="4"/>
  <c r="CZ124" i="4" s="1"/>
  <c r="CZ95" i="4"/>
  <c r="CZ110" i="4" s="1"/>
  <c r="CZ93" i="4"/>
  <c r="CY59" i="4"/>
  <c r="CW59" i="4" s="1"/>
  <c r="CY53" i="4"/>
  <c r="CW53" i="4" s="1"/>
  <c r="CY52" i="4"/>
  <c r="CK11" i="178" s="1"/>
  <c r="CY51" i="4"/>
  <c r="CW51" i="4" s="1"/>
  <c r="CZ58" i="4"/>
  <c r="CZ60" i="4" s="1"/>
  <c r="CZ45" i="4"/>
  <c r="CZ44" i="4"/>
  <c r="CZ43" i="4"/>
  <c r="CZ39" i="4"/>
  <c r="CZ40" i="4" s="1"/>
  <c r="CY28" i="4"/>
  <c r="CW28" i="4" s="1"/>
  <c r="CY27" i="4"/>
  <c r="CK7" i="178" s="1"/>
  <c r="CY26" i="4"/>
  <c r="CS45" i="11" s="1"/>
  <c r="CZ29" i="4"/>
  <c r="CZ31" i="4" s="1"/>
  <c r="CY12" i="4"/>
  <c r="CW12" i="4" s="1"/>
  <c r="CY6" i="4"/>
  <c r="DF18" i="4" s="1"/>
  <c r="CY5" i="4"/>
  <c r="DF17" i="4" s="1"/>
  <c r="CY4" i="4"/>
  <c r="CZ11" i="4"/>
  <c r="CZ13" i="4" s="1"/>
  <c r="DG23" i="4" s="1"/>
  <c r="CL27" i="178" l="1"/>
  <c r="CL34" i="178" s="1"/>
  <c r="CS35" i="178" s="1"/>
  <c r="CL40" i="178"/>
  <c r="CS41" i="178" s="1"/>
  <c r="CL42" i="178"/>
  <c r="CS43" i="178" s="1"/>
  <c r="CL68" i="178"/>
  <c r="DV4" i="242"/>
  <c r="DV51" i="243"/>
  <c r="BZ41" i="220"/>
  <c r="BZ44" i="220"/>
  <c r="BZ40" i="220"/>
  <c r="BZ31" i="220"/>
  <c r="CG32" i="220" s="1"/>
  <c r="BZ43" i="220"/>
  <c r="BZ76" i="220"/>
  <c r="BZ73" i="220"/>
  <c r="BZ65" i="220"/>
  <c r="BZ42" i="220"/>
  <c r="CS28" i="178"/>
  <c r="BZ45" i="220"/>
  <c r="CG29" i="220"/>
  <c r="CY16" i="4"/>
  <c r="DF16" i="4"/>
  <c r="CT77" i="11"/>
  <c r="DA12" i="11"/>
  <c r="CS47" i="11"/>
  <c r="CZ47" i="11"/>
  <c r="CR22" i="243"/>
  <c r="CS8" i="2"/>
  <c r="CP21" i="243"/>
  <c r="CP22" i="243" s="1"/>
  <c r="CS51" i="242"/>
  <c r="CR53" i="242"/>
  <c r="CR31" i="242"/>
  <c r="CP23" i="242"/>
  <c r="EH44" i="2"/>
  <c r="EH4" i="242" s="1"/>
  <c r="EG4" i="242"/>
  <c r="DX44" i="2"/>
  <c r="DX51" i="243" s="1"/>
  <c r="EA4" i="242"/>
  <c r="DW44" i="2"/>
  <c r="DW4" i="242" s="1"/>
  <c r="BY4" i="220"/>
  <c r="CY18" i="4"/>
  <c r="CK4" i="178"/>
  <c r="CY17" i="4"/>
  <c r="CS167" i="243"/>
  <c r="CS185" i="243" s="1"/>
  <c r="CR10" i="243"/>
  <c r="CP34" i="243"/>
  <c r="CR178" i="243"/>
  <c r="CR186" i="243" s="1"/>
  <c r="CR35" i="243"/>
  <c r="CP37" i="243"/>
  <c r="CR256" i="243"/>
  <c r="CR47" i="243"/>
  <c r="CR252" i="243"/>
  <c r="CW4" i="4"/>
  <c r="DD16" i="4" s="1"/>
  <c r="CR152" i="243"/>
  <c r="EC44" i="2"/>
  <c r="EC51" i="243" s="1"/>
  <c r="EN44" i="2"/>
  <c r="EN51" i="243" s="1"/>
  <c r="EK51" i="243" s="1"/>
  <c r="CT235" i="243"/>
  <c r="CX235" i="243"/>
  <c r="CS253" i="243"/>
  <c r="CT56" i="11"/>
  <c r="CT58" i="11" s="1"/>
  <c r="DA60" i="11" s="1"/>
  <c r="CT357" i="11"/>
  <c r="CZ32" i="4"/>
  <c r="CW27" i="4"/>
  <c r="CI7" i="178" s="1"/>
  <c r="CZ125" i="4"/>
  <c r="CT5" i="11"/>
  <c r="CT391" i="11" s="1"/>
  <c r="CW26" i="4"/>
  <c r="CQ45" i="11" s="1"/>
  <c r="CZ132" i="4"/>
  <c r="CZ135" i="4"/>
  <c r="CS89" i="243" s="1"/>
  <c r="CW5" i="4"/>
  <c r="DD17" i="4" s="1"/>
  <c r="CL57" i="178"/>
  <c r="CW6" i="4"/>
  <c r="DD18" i="4" s="1"/>
  <c r="CY131" i="4"/>
  <c r="CW130" i="4"/>
  <c r="CZ46" i="4"/>
  <c r="CZ48" i="4" s="1"/>
  <c r="CK10" i="178"/>
  <c r="CW52" i="4"/>
  <c r="CI11" i="178" s="1"/>
  <c r="CT9" i="11"/>
  <c r="CL31" i="178" l="1"/>
  <c r="CS32" i="178" s="1"/>
  <c r="BZ34" i="220"/>
  <c r="CG35" i="220" s="1"/>
  <c r="CK5" i="178"/>
  <c r="CR5" i="178"/>
  <c r="CF7" i="220"/>
  <c r="CF5" i="220"/>
  <c r="CQ47" i="11"/>
  <c r="CX47" i="11"/>
  <c r="EE44" i="2"/>
  <c r="DN252" i="243"/>
  <c r="DJ252" i="243"/>
  <c r="BY7" i="220"/>
  <c r="BY5" i="220"/>
  <c r="CP53" i="242"/>
  <c r="CP31" i="242"/>
  <c r="CR52" i="242"/>
  <c r="CR51" i="242"/>
  <c r="CR49" i="243"/>
  <c r="CR58" i="243" s="1"/>
  <c r="CK24" i="178"/>
  <c r="DY44" i="2"/>
  <c r="DY4" i="242" s="1"/>
  <c r="DX4" i="242"/>
  <c r="EO44" i="2"/>
  <c r="EN4" i="242"/>
  <c r="ED44" i="2"/>
  <c r="ED4" i="242" s="1"/>
  <c r="EC4" i="242"/>
  <c r="CK12" i="178"/>
  <c r="BW4" i="220"/>
  <c r="CW18" i="4"/>
  <c r="CP152" i="243"/>
  <c r="CW16" i="4"/>
  <c r="CK8" i="178"/>
  <c r="CI4" i="178"/>
  <c r="CW17" i="4"/>
  <c r="CP178" i="243"/>
  <c r="CP186" i="243" s="1"/>
  <c r="CP35" i="243"/>
  <c r="CR253" i="243"/>
  <c r="CP252" i="243"/>
  <c r="CP253" i="243" s="1"/>
  <c r="CP256" i="243"/>
  <c r="CP47" i="243"/>
  <c r="CP10" i="243"/>
  <c r="CR167" i="243"/>
  <c r="CR185" i="243" s="1"/>
  <c r="CR11" i="243"/>
  <c r="CR24" i="243" s="1"/>
  <c r="EJ44" i="2"/>
  <c r="CI10" i="178"/>
  <c r="CT307" i="11"/>
  <c r="CT353" i="11" s="1"/>
  <c r="EJ4" i="242" l="1"/>
  <c r="EJ51" i="243"/>
  <c r="EF44" i="2"/>
  <c r="EF4" i="242" s="1"/>
  <c r="EE51" i="243"/>
  <c r="EE4" i="242"/>
  <c r="CD5" i="220"/>
  <c r="CD7" i="220"/>
  <c r="CI5" i="178"/>
  <c r="CP5" i="178"/>
  <c r="CK25" i="178"/>
  <c r="CR25" i="178"/>
  <c r="CR59" i="243"/>
  <c r="DM252" i="243"/>
  <c r="DK252" i="243" s="1"/>
  <c r="DU252" i="243"/>
  <c r="DS252" i="243"/>
  <c r="DP252" i="243" s="1"/>
  <c r="DQ252" i="243" s="1"/>
  <c r="DO252" i="243"/>
  <c r="BW7" i="220"/>
  <c r="BW5" i="220"/>
  <c r="CP52" i="242"/>
  <c r="CP51" i="242"/>
  <c r="EK44" i="2"/>
  <c r="EK4" i="242" s="1"/>
  <c r="CI24" i="178"/>
  <c r="EL44" i="2"/>
  <c r="EL51" i="243" s="1"/>
  <c r="EO4" i="242"/>
  <c r="CI8" i="178"/>
  <c r="CI12" i="178"/>
  <c r="CP49" i="243"/>
  <c r="CP58" i="243" s="1"/>
  <c r="CP167" i="243"/>
  <c r="CP185" i="243" s="1"/>
  <c r="CP11" i="243"/>
  <c r="CP24" i="243" s="1"/>
  <c r="CL73" i="178"/>
  <c r="CK70" i="178"/>
  <c r="CK29" i="178"/>
  <c r="CL30" i="178"/>
  <c r="CK30" i="178" l="1"/>
  <c r="CR30" i="178"/>
  <c r="CI25" i="178"/>
  <c r="CP25" i="178"/>
  <c r="DT252" i="243"/>
  <c r="DR252" i="243" s="1"/>
  <c r="EB252" i="243"/>
  <c r="DZ252" i="243"/>
  <c r="DW252" i="243" s="1"/>
  <c r="DX252" i="243" s="1"/>
  <c r="DV252" i="243"/>
  <c r="EM44" i="2"/>
  <c r="EM4" i="242" s="1"/>
  <c r="EL4" i="242"/>
  <c r="EI159" i="243"/>
  <c r="DX159" i="243"/>
  <c r="DZ159" i="243"/>
  <c r="DV159" i="243"/>
  <c r="DU171" i="243"/>
  <c r="CP59" i="243"/>
  <c r="CK73" i="178"/>
  <c r="EA252" i="243" l="1"/>
  <c r="DY252" i="243" s="1"/>
  <c r="EI252" i="243"/>
  <c r="EG252" i="243"/>
  <c r="ED252" i="243" s="1"/>
  <c r="EE252" i="243" s="1"/>
  <c r="EC252" i="243"/>
  <c r="EB171" i="243"/>
  <c r="DO171" i="243"/>
  <c r="DS171" i="243"/>
  <c r="DQ171" i="243"/>
  <c r="EP159" i="243"/>
  <c r="EG159" i="243"/>
  <c r="EE159" i="243"/>
  <c r="EC159" i="243"/>
  <c r="DJ54" i="243"/>
  <c r="DN54" i="243"/>
  <c r="DD54" i="243"/>
  <c r="EH252" i="243" l="1"/>
  <c r="EF252" i="243" s="1"/>
  <c r="EP252" i="243"/>
  <c r="EO252" i="243" s="1"/>
  <c r="EM252" i="243" s="1"/>
  <c r="EN252" i="243"/>
  <c r="EK252" i="243" s="1"/>
  <c r="EL252" i="243" s="1"/>
  <c r="EJ252" i="243"/>
  <c r="EL159" i="243"/>
  <c r="EJ159" i="243"/>
  <c r="EN159" i="243"/>
  <c r="EI171" i="243"/>
  <c r="DX171" i="243"/>
  <c r="DV171" i="243"/>
  <c r="DZ171" i="243"/>
  <c r="DU54" i="243"/>
  <c r="DM54" i="243"/>
  <c r="DK54" i="243" s="1"/>
  <c r="DO54" i="243"/>
  <c r="DS54" i="243"/>
  <c r="DP54" i="243" s="1"/>
  <c r="DQ54" i="243" s="1"/>
  <c r="EP171" i="243" l="1"/>
  <c r="EG171" i="243"/>
  <c r="EE171" i="243"/>
  <c r="EC171" i="243"/>
  <c r="EB54" i="243"/>
  <c r="DZ54" i="243"/>
  <c r="DW54" i="243" s="1"/>
  <c r="DX54" i="243" s="1"/>
  <c r="DT54" i="243"/>
  <c r="DR54" i="243" s="1"/>
  <c r="DV54" i="243"/>
  <c r="DD203" i="11"/>
  <c r="DB203" i="11"/>
  <c r="DF203" i="11"/>
  <c r="EL171" i="243" l="1"/>
  <c r="EJ171" i="243"/>
  <c r="EN171" i="243"/>
  <c r="EI54" i="243"/>
  <c r="EC54" i="243"/>
  <c r="EG54" i="243"/>
  <c r="ED54" i="243" s="1"/>
  <c r="EE54" i="243" s="1"/>
  <c r="EA54" i="243"/>
  <c r="DY54" i="243" s="1"/>
  <c r="BV75" i="220"/>
  <c r="BV64" i="220"/>
  <c r="BV38" i="220"/>
  <c r="BV14" i="220"/>
  <c r="BV4" i="220"/>
  <c r="CH46" i="178"/>
  <c r="CH38" i="178"/>
  <c r="CH11" i="178"/>
  <c r="CH7" i="178"/>
  <c r="CH4" i="178"/>
  <c r="CH5" i="178" s="1"/>
  <c r="CP269" i="11"/>
  <c r="CP263" i="11"/>
  <c r="CP262" i="11"/>
  <c r="CP261" i="11"/>
  <c r="CP245" i="11"/>
  <c r="BV7" i="220" l="1"/>
  <c r="BV5" i="220"/>
  <c r="EP54" i="243"/>
  <c r="EO54" i="243" s="1"/>
  <c r="EM54" i="243" s="1"/>
  <c r="EN54" i="243"/>
  <c r="EK54" i="243" s="1"/>
  <c r="EL54" i="243" s="1"/>
  <c r="EH54" i="243"/>
  <c r="EF54" i="243" s="1"/>
  <c r="EJ54" i="243"/>
  <c r="BV16" i="220"/>
  <c r="CC7" i="220"/>
  <c r="CC5" i="220"/>
  <c r="CO5" i="178"/>
  <c r="CH10" i="178"/>
  <c r="BV28" i="220"/>
  <c r="BV29" i="220" s="1"/>
  <c r="CH17" i="178"/>
  <c r="CH20" i="178" s="1"/>
  <c r="CH8" i="178"/>
  <c r="BV10" i="220"/>
  <c r="BV21" i="220"/>
  <c r="BV24" i="220" s="1"/>
  <c r="CH12" i="178"/>
  <c r="CH56" i="178"/>
  <c r="CH24" i="178"/>
  <c r="CH25" i="178" s="1"/>
  <c r="CP264" i="11"/>
  <c r="CO25" i="178" l="1"/>
  <c r="BV46" i="220"/>
  <c r="CC29" i="220"/>
  <c r="BV45" i="220"/>
  <c r="BV40" i="220"/>
  <c r="BV76" i="220"/>
  <c r="BV31" i="220"/>
  <c r="BV32" i="220" s="1"/>
  <c r="BV43" i="220"/>
  <c r="BV65" i="220"/>
  <c r="BV41" i="220"/>
  <c r="BV42" i="220"/>
  <c r="BV44" i="220"/>
  <c r="CH40" i="178"/>
  <c r="CH42" i="178"/>
  <c r="CH27" i="178"/>
  <c r="CH57" i="178"/>
  <c r="CP45" i="11"/>
  <c r="CP47" i="11" s="1"/>
  <c r="CP15" i="11"/>
  <c r="CP16" i="11" s="1"/>
  <c r="CP11" i="11"/>
  <c r="CP12" i="11" s="1"/>
  <c r="CP10" i="11"/>
  <c r="CV95" i="4"/>
  <c r="CV110" i="4" s="1"/>
  <c r="CV93" i="4"/>
  <c r="CV58" i="4"/>
  <c r="CV60" i="4" s="1"/>
  <c r="CO22" i="2" s="1"/>
  <c r="CV45" i="4"/>
  <c r="CV44" i="4"/>
  <c r="CV43" i="4"/>
  <c r="CP56" i="11" s="1"/>
  <c r="CV29" i="4"/>
  <c r="CV31" i="4" s="1"/>
  <c r="CV11" i="4"/>
  <c r="CV13" i="4" s="1"/>
  <c r="CO28" i="178" l="1"/>
  <c r="CH28" i="178"/>
  <c r="CO41" i="178"/>
  <c r="CH41" i="178"/>
  <c r="CO43" i="178"/>
  <c r="CH43" i="178"/>
  <c r="CW12" i="11"/>
  <c r="CO154" i="243"/>
  <c r="CO176" i="243" s="1"/>
  <c r="CV23" i="4"/>
  <c r="DC23" i="4"/>
  <c r="CO8" i="2"/>
  <c r="CO27" i="2"/>
  <c r="CO38" i="2" s="1"/>
  <c r="CW47" i="11"/>
  <c r="BV34" i="220"/>
  <c r="BV35" i="220" s="1"/>
  <c r="CC32" i="220"/>
  <c r="CP9" i="11"/>
  <c r="CP307" i="11" s="1"/>
  <c r="CH34" i="178"/>
  <c r="CH35" i="178" s="1"/>
  <c r="CV46" i="4"/>
  <c r="CV48" i="4" s="1"/>
  <c r="CO54" i="2" s="1"/>
  <c r="CV32" i="4"/>
  <c r="CP58" i="11"/>
  <c r="CP60" i="11" s="1"/>
  <c r="CP46" i="11"/>
  <c r="CP5" i="11"/>
  <c r="CP391" i="11" s="1"/>
  <c r="CO165" i="243" l="1"/>
  <c r="CO168" i="243"/>
  <c r="CW60" i="11"/>
  <c r="CO162" i="243"/>
  <c r="CO159" i="243"/>
  <c r="CO153" i="243"/>
  <c r="CO179" i="243"/>
  <c r="CO171" i="243"/>
  <c r="CO10" i="2"/>
  <c r="CO11" i="2" s="1"/>
  <c r="CO274" i="243"/>
  <c r="CO41" i="2"/>
  <c r="CO42" i="2"/>
  <c r="CO46" i="2" s="1"/>
  <c r="CO3" i="242" s="1"/>
  <c r="CO21" i="242" s="1"/>
  <c r="CH53" i="178"/>
  <c r="CH50" i="178" s="1"/>
  <c r="CH51" i="178" s="1"/>
  <c r="CO35" i="178"/>
  <c r="BV61" i="220"/>
  <c r="BV58" i="220" s="1"/>
  <c r="BV59" i="220" s="1"/>
  <c r="CC35" i="220"/>
  <c r="CP313" i="11"/>
  <c r="CP353" i="11"/>
  <c r="CP59" i="11"/>
  <c r="CS235" i="11"/>
  <c r="CQ235" i="11" s="1"/>
  <c r="CS234" i="11"/>
  <c r="CQ234" i="11" s="1"/>
  <c r="CS233" i="11"/>
  <c r="CQ233" i="11" s="1"/>
  <c r="CS221" i="11"/>
  <c r="CQ221" i="11" s="1"/>
  <c r="CO235" i="11"/>
  <c r="CO234" i="11"/>
  <c r="CO233" i="11"/>
  <c r="CO221" i="11"/>
  <c r="E3" i="139"/>
  <c r="F3" i="139" s="1"/>
  <c r="G3" i="139" s="1"/>
  <c r="H3" i="139" s="1"/>
  <c r="I3" i="139" s="1"/>
  <c r="J3" i="139" s="1"/>
  <c r="K3" i="139" s="1"/>
  <c r="L3" i="139" s="1"/>
  <c r="M3" i="139" s="1"/>
  <c r="N3" i="139" s="1"/>
  <c r="O3" i="139" s="1"/>
  <c r="P3" i="139" s="1"/>
  <c r="Q3" i="139" s="1"/>
  <c r="R3" i="139" s="1"/>
  <c r="S3" i="139" s="1"/>
  <c r="T3" i="139" s="1"/>
  <c r="U3" i="139" s="1"/>
  <c r="V3" i="139" s="1"/>
  <c r="W3" i="139" s="1"/>
  <c r="X3" i="139" s="1"/>
  <c r="Y3" i="139" s="1"/>
  <c r="Z3" i="139" s="1"/>
  <c r="AA3" i="139" s="1"/>
  <c r="AB3" i="139" s="1"/>
  <c r="CO45" i="242" l="1"/>
  <c r="CO49" i="242" s="1"/>
  <c r="CO42" i="242"/>
  <c r="CO56" i="2"/>
  <c r="CO57" i="2" s="1"/>
  <c r="CO48" i="2"/>
  <c r="CO51" i="2"/>
  <c r="CO47" i="2"/>
  <c r="CR398" i="11"/>
  <c r="BU81" i="220"/>
  <c r="BV81" i="220" s="1"/>
  <c r="BW81" i="220" s="1"/>
  <c r="BU71" i="220"/>
  <c r="BX75" i="220"/>
  <c r="BX64" i="220"/>
  <c r="BX38" i="220"/>
  <c r="BU9" i="220"/>
  <c r="BU75" i="220" s="1"/>
  <c r="BX18" i="220"/>
  <c r="BX14" i="220"/>
  <c r="BX4" i="220"/>
  <c r="CG70" i="178"/>
  <c r="CH70" i="178" s="1"/>
  <c r="CI70" i="178" s="1"/>
  <c r="CG63" i="178"/>
  <c r="CJ73" i="178"/>
  <c r="CJ46" i="178"/>
  <c r="CJ38" i="178"/>
  <c r="CJ11" i="178"/>
  <c r="CJ7" i="178"/>
  <c r="CJ4" i="178"/>
  <c r="CJ5" i="178" s="1"/>
  <c r="CU130" i="4"/>
  <c r="CU129" i="4"/>
  <c r="CU128" i="4"/>
  <c r="CU127" i="4"/>
  <c r="CU123" i="4"/>
  <c r="CU117" i="4"/>
  <c r="CU116" i="4"/>
  <c r="CU115" i="4"/>
  <c r="CU59" i="4"/>
  <c r="CU53" i="4"/>
  <c r="CU52" i="4"/>
  <c r="CG11" i="178" s="1"/>
  <c r="CU51" i="4"/>
  <c r="CU28" i="4"/>
  <c r="CU27" i="4"/>
  <c r="CG7" i="178" s="1"/>
  <c r="CU26" i="4"/>
  <c r="CO45" i="11" s="1"/>
  <c r="CO47" i="11" s="1"/>
  <c r="CU6" i="4"/>
  <c r="CU18" i="4" s="1"/>
  <c r="CU5" i="4"/>
  <c r="CU4" i="4"/>
  <c r="CR385" i="11"/>
  <c r="CR387" i="11" s="1"/>
  <c r="CR269" i="11"/>
  <c r="CR263" i="11"/>
  <c r="CR262" i="11"/>
  <c r="CR261" i="11"/>
  <c r="CR245" i="11"/>
  <c r="BX5" i="220" l="1"/>
  <c r="BX7" i="220"/>
  <c r="BV71" i="220"/>
  <c r="BV73" i="220" s="1"/>
  <c r="BU72" i="220"/>
  <c r="CB72" i="220"/>
  <c r="CQ5" i="178"/>
  <c r="CU17" i="4"/>
  <c r="CN152" i="243"/>
  <c r="CU16" i="4"/>
  <c r="CO59" i="2"/>
  <c r="CO66" i="2" s="1"/>
  <c r="CO56" i="242"/>
  <c r="CO61" i="242" s="1"/>
  <c r="CO58" i="242"/>
  <c r="CO60" i="242" s="1"/>
  <c r="CO62" i="2"/>
  <c r="CO61" i="2"/>
  <c r="BX21" i="220"/>
  <c r="BX24" i="220" s="1"/>
  <c r="CE7" i="220"/>
  <c r="CE5" i="220"/>
  <c r="CJ15" i="178"/>
  <c r="CJ24" i="178"/>
  <c r="CJ25" i="178" s="1"/>
  <c r="CG10" i="178"/>
  <c r="CV127" i="4"/>
  <c r="CV128" i="4"/>
  <c r="CW128" i="4" s="1"/>
  <c r="CV117" i="4"/>
  <c r="CW117" i="4" s="1"/>
  <c r="CV129" i="4"/>
  <c r="CW129" i="4" s="1"/>
  <c r="CV123" i="4"/>
  <c r="CV116" i="4"/>
  <c r="CW116" i="4" s="1"/>
  <c r="CV115" i="4"/>
  <c r="CW115" i="4" s="1"/>
  <c r="CQ42" i="11" s="1"/>
  <c r="CU58" i="4"/>
  <c r="CU60" i="4" s="1"/>
  <c r="CN22" i="2" s="1"/>
  <c r="CR400" i="11"/>
  <c r="CR409" i="11" s="1"/>
  <c r="CU131" i="4"/>
  <c r="CG4" i="178"/>
  <c r="CG5" i="178" s="1"/>
  <c r="CJ17" i="178"/>
  <c r="CJ20" i="178" s="1"/>
  <c r="CJ12" i="178"/>
  <c r="CU11" i="4"/>
  <c r="BX10" i="220"/>
  <c r="CJ8" i="178"/>
  <c r="CU122" i="4"/>
  <c r="CO11" i="11"/>
  <c r="CO12" i="11" s="1"/>
  <c r="BU4" i="220"/>
  <c r="BX16" i="220"/>
  <c r="BX28" i="220"/>
  <c r="BX29" i="220" s="1"/>
  <c r="CO42" i="11"/>
  <c r="BX19" i="220"/>
  <c r="CU29" i="4"/>
  <c r="CJ56" i="178"/>
  <c r="CJ10" i="178"/>
  <c r="CR264" i="11"/>
  <c r="BW71" i="220" l="1"/>
  <c r="BU7" i="220"/>
  <c r="BU5" i="220"/>
  <c r="BV72" i="220"/>
  <c r="CC72" i="220"/>
  <c r="CV12" i="11"/>
  <c r="CB5" i="220"/>
  <c r="CO65" i="2"/>
  <c r="CO63" i="2"/>
  <c r="CV63" i="2"/>
  <c r="CN27" i="2"/>
  <c r="CN38" i="2" s="1"/>
  <c r="BX40" i="220"/>
  <c r="BY40" i="220" s="1"/>
  <c r="BW40" i="220" s="1"/>
  <c r="CE29" i="220"/>
  <c r="CN5" i="178"/>
  <c r="CJ40" i="178"/>
  <c r="CJ41" i="178" s="1"/>
  <c r="CQ25" i="178"/>
  <c r="CW127" i="4"/>
  <c r="CP42" i="11"/>
  <c r="BV18" i="220"/>
  <c r="BV19" i="220" s="1"/>
  <c r="CV131" i="4"/>
  <c r="CV122" i="4"/>
  <c r="CV124" i="4" s="1"/>
  <c r="CG24" i="178"/>
  <c r="CG25" i="178" s="1"/>
  <c r="CR389" i="11"/>
  <c r="CR393" i="11" s="1"/>
  <c r="BX45" i="220"/>
  <c r="BY45" i="220" s="1"/>
  <c r="CG8" i="178"/>
  <c r="BX43" i="220"/>
  <c r="BY43" i="220" s="1"/>
  <c r="CO43" i="11"/>
  <c r="CJ42" i="178"/>
  <c r="CJ43" i="178" s="1"/>
  <c r="CJ27" i="178"/>
  <c r="BX41" i="220"/>
  <c r="BY41" i="220" s="1"/>
  <c r="BX76" i="220"/>
  <c r="BX46" i="220"/>
  <c r="BY46" i="220" s="1"/>
  <c r="BX73" i="220"/>
  <c r="BX42" i="220"/>
  <c r="BY42" i="220" s="1"/>
  <c r="BX31" i="220"/>
  <c r="BX32" i="220" s="1"/>
  <c r="BX65" i="220"/>
  <c r="BU28" i="220"/>
  <c r="BU29" i="220" s="1"/>
  <c r="CO46" i="11"/>
  <c r="BX44" i="220"/>
  <c r="BY44" i="220" s="1"/>
  <c r="CJ57" i="178"/>
  <c r="BW72" i="220" l="1"/>
  <c r="CD72" i="220"/>
  <c r="CQ28" i="178"/>
  <c r="CJ28" i="178"/>
  <c r="CB29" i="220"/>
  <c r="CN25" i="178"/>
  <c r="CN41" i="2"/>
  <c r="CN42" i="2"/>
  <c r="CN46" i="2" s="1"/>
  <c r="CN3" i="242" s="1"/>
  <c r="CN21" i="242" s="1"/>
  <c r="CV125" i="4"/>
  <c r="CO15" i="2"/>
  <c r="BX34" i="220"/>
  <c r="CE32" i="220"/>
  <c r="CK42" i="178"/>
  <c r="CR43" i="178" s="1"/>
  <c r="CQ43" i="178"/>
  <c r="CK40" i="178"/>
  <c r="CR41" i="178" s="1"/>
  <c r="CQ41" i="178"/>
  <c r="BW43" i="220"/>
  <c r="CW131" i="4"/>
  <c r="BW42" i="220"/>
  <c r="BW41" i="220"/>
  <c r="BW46" i="220"/>
  <c r="BW44" i="220"/>
  <c r="BW45" i="220"/>
  <c r="CP43" i="11"/>
  <c r="CP356" i="11"/>
  <c r="CV132" i="4"/>
  <c r="CJ31" i="178"/>
  <c r="CJ34" i="178"/>
  <c r="BU73" i="220"/>
  <c r="BU76" i="220"/>
  <c r="CR45" i="11"/>
  <c r="CR47" i="11" s="1"/>
  <c r="CR42" i="11"/>
  <c r="CR15" i="11"/>
  <c r="CR16" i="11" s="1"/>
  <c r="CR11" i="11"/>
  <c r="CR12" i="11" s="1"/>
  <c r="CX131" i="4"/>
  <c r="CX122" i="4"/>
  <c r="CX124" i="4" s="1"/>
  <c r="CQ15" i="2" s="1"/>
  <c r="CX95" i="4"/>
  <c r="CX110" i="4" s="1"/>
  <c r="CX93" i="4"/>
  <c r="CX58" i="4"/>
  <c r="CX60" i="4" s="1"/>
  <c r="CQ22" i="2" s="1"/>
  <c r="CX45" i="4"/>
  <c r="CX44" i="4"/>
  <c r="CX43" i="4"/>
  <c r="CR56" i="11" s="1"/>
  <c r="CX39" i="4"/>
  <c r="CX40" i="4" s="1"/>
  <c r="CX29" i="4"/>
  <c r="CX31" i="4" s="1"/>
  <c r="CX11" i="4"/>
  <c r="CX13" i="4" s="1"/>
  <c r="CX23" i="4" s="1"/>
  <c r="CQ32" i="178" l="1"/>
  <c r="CJ32" i="178"/>
  <c r="CK46" i="178"/>
  <c r="CQ35" i="178"/>
  <c r="CJ35" i="178"/>
  <c r="CE35" i="220"/>
  <c r="BX35" i="220"/>
  <c r="CY12" i="11"/>
  <c r="CN45" i="242"/>
  <c r="CN42" i="242"/>
  <c r="CQ8" i="2"/>
  <c r="CQ154" i="243"/>
  <c r="CQ27" i="2"/>
  <c r="CQ38" i="2" s="1"/>
  <c r="CN51" i="2"/>
  <c r="CN48" i="2"/>
  <c r="CN47" i="2"/>
  <c r="CI42" i="178"/>
  <c r="CP43" i="178" s="1"/>
  <c r="CK45" i="178"/>
  <c r="CI40" i="178"/>
  <c r="CP41" i="178" s="1"/>
  <c r="CR58" i="11"/>
  <c r="CR60" i="11" s="1"/>
  <c r="CR43" i="11"/>
  <c r="CR356" i="11"/>
  <c r="CR357" i="11" s="1"/>
  <c r="CX125" i="4"/>
  <c r="CX132" i="4"/>
  <c r="CX32" i="4"/>
  <c r="CR46" i="11"/>
  <c r="CX46" i="4"/>
  <c r="CX48" i="4" s="1"/>
  <c r="CQ54" i="2" s="1"/>
  <c r="CR139" i="11"/>
  <c r="CX204" i="4" s="1"/>
  <c r="CR127" i="11"/>
  <c r="CX202" i="4" s="1"/>
  <c r="CR123" i="11"/>
  <c r="CX201" i="4" s="1"/>
  <c r="CR104" i="11"/>
  <c r="CX207" i="4" s="1"/>
  <c r="CI46" i="178" l="1"/>
  <c r="CI45" i="178"/>
  <c r="CQ10" i="2"/>
  <c r="CQ11" i="2" s="1"/>
  <c r="CQ274" i="243"/>
  <c r="CQ171" i="243"/>
  <c r="CQ159" i="243"/>
  <c r="CQ153" i="243"/>
  <c r="CQ165" i="243"/>
  <c r="CQ168" i="243"/>
  <c r="CQ162" i="243"/>
  <c r="CQ176" i="243"/>
  <c r="CQ179" i="243"/>
  <c r="CQ41" i="2"/>
  <c r="CQ42" i="2"/>
  <c r="CQ46" i="2" s="1"/>
  <c r="CQ3" i="242" s="1"/>
  <c r="CQ21" i="242" s="1"/>
  <c r="CR59" i="11"/>
  <c r="CY60" i="11"/>
  <c r="U94" i="139"/>
  <c r="T94" i="139"/>
  <c r="S94" i="139"/>
  <c r="R94" i="139"/>
  <c r="Q94" i="139"/>
  <c r="P94" i="139"/>
  <c r="O94" i="139"/>
  <c r="N94" i="139"/>
  <c r="M94" i="139"/>
  <c r="L94" i="139"/>
  <c r="K94" i="139"/>
  <c r="T93" i="139"/>
  <c r="S93" i="139"/>
  <c r="R93" i="139"/>
  <c r="Q93" i="139"/>
  <c r="P93" i="139"/>
  <c r="O93" i="139"/>
  <c r="N93" i="139"/>
  <c r="M93" i="139"/>
  <c r="L93" i="139"/>
  <c r="K93" i="139"/>
  <c r="T92" i="139"/>
  <c r="S92" i="139"/>
  <c r="R92" i="139"/>
  <c r="Q92" i="139"/>
  <c r="P92" i="139"/>
  <c r="O92" i="139"/>
  <c r="N92" i="139"/>
  <c r="M92" i="139"/>
  <c r="L92" i="139"/>
  <c r="K92" i="139"/>
  <c r="T91" i="139"/>
  <c r="S91" i="139"/>
  <c r="R91" i="139"/>
  <c r="Q91" i="139"/>
  <c r="P91" i="139"/>
  <c r="O91" i="139"/>
  <c r="N91" i="139"/>
  <c r="M91" i="139"/>
  <c r="L91" i="139"/>
  <c r="K91" i="139"/>
  <c r="U88" i="139"/>
  <c r="T88" i="139"/>
  <c r="S88" i="139"/>
  <c r="R88" i="139"/>
  <c r="Q88" i="139"/>
  <c r="P88" i="139"/>
  <c r="O88" i="139"/>
  <c r="K88" i="139"/>
  <c r="J88" i="139"/>
  <c r="I88" i="139"/>
  <c r="F88" i="139"/>
  <c r="E88" i="139"/>
  <c r="D88" i="139"/>
  <c r="C88" i="139"/>
  <c r="B88" i="139"/>
  <c r="T87" i="139"/>
  <c r="S87" i="139"/>
  <c r="R87" i="139"/>
  <c r="Q87" i="139"/>
  <c r="P87" i="139"/>
  <c r="T86" i="139"/>
  <c r="S86" i="139"/>
  <c r="R86" i="139"/>
  <c r="Q86" i="139"/>
  <c r="P86" i="139"/>
  <c r="T85" i="139"/>
  <c r="S85" i="139"/>
  <c r="R85" i="139"/>
  <c r="Q85" i="139"/>
  <c r="P85" i="139"/>
  <c r="O87" i="139"/>
  <c r="N87" i="139"/>
  <c r="M87" i="139"/>
  <c r="L87" i="139"/>
  <c r="K87" i="139"/>
  <c r="J87" i="139"/>
  <c r="I87" i="139"/>
  <c r="H87" i="139"/>
  <c r="G87" i="139"/>
  <c r="F87" i="139"/>
  <c r="E87" i="139"/>
  <c r="D87" i="139"/>
  <c r="C87" i="139"/>
  <c r="B87" i="139"/>
  <c r="O86" i="139"/>
  <c r="N86" i="139"/>
  <c r="M86" i="139"/>
  <c r="L86" i="139"/>
  <c r="K86" i="139"/>
  <c r="J86" i="139"/>
  <c r="I86" i="139"/>
  <c r="H86" i="139"/>
  <c r="G86" i="139"/>
  <c r="F86" i="139"/>
  <c r="E86" i="139"/>
  <c r="D86" i="139"/>
  <c r="C86" i="139"/>
  <c r="B86" i="139"/>
  <c r="B85" i="139"/>
  <c r="C85" i="139"/>
  <c r="D85" i="139"/>
  <c r="E85" i="139"/>
  <c r="F85" i="139"/>
  <c r="G85" i="139"/>
  <c r="H85" i="139"/>
  <c r="I85" i="139"/>
  <c r="J85" i="139"/>
  <c r="K85" i="139"/>
  <c r="L85" i="139"/>
  <c r="M85" i="139"/>
  <c r="N85" i="139"/>
  <c r="O85" i="139"/>
  <c r="CQ45" i="242" l="1"/>
  <c r="CQ49" i="242" s="1"/>
  <c r="CQ42" i="242"/>
  <c r="CQ56" i="2"/>
  <c r="CQ57" i="2" s="1"/>
  <c r="CQ48" i="2"/>
  <c r="CQ47" i="2"/>
  <c r="CQ51" i="2"/>
  <c r="R98" i="139"/>
  <c r="N98" i="139"/>
  <c r="N97" i="139"/>
  <c r="R97" i="139"/>
  <c r="L98" i="139"/>
  <c r="N99" i="139"/>
  <c r="R99" i="139"/>
  <c r="O97" i="139"/>
  <c r="S97" i="139"/>
  <c r="M98" i="139"/>
  <c r="K99" i="139"/>
  <c r="O99" i="139"/>
  <c r="T98" i="139"/>
  <c r="S99" i="139"/>
  <c r="L97" i="139"/>
  <c r="P97" i="139"/>
  <c r="T97" i="139"/>
  <c r="L99" i="139"/>
  <c r="P99" i="139"/>
  <c r="T99" i="139"/>
  <c r="P98" i="139"/>
  <c r="K97" i="139"/>
  <c r="Q98" i="139"/>
  <c r="M97" i="139"/>
  <c r="Q97" i="139"/>
  <c r="K98" i="139"/>
  <c r="O98" i="139"/>
  <c r="S98" i="139"/>
  <c r="M99" i="139"/>
  <c r="Q99" i="139"/>
  <c r="CQ58" i="242" l="1"/>
  <c r="CQ60" i="242" s="1"/>
  <c r="CQ56" i="242"/>
  <c r="CQ61" i="242" s="1"/>
  <c r="CQ59" i="2"/>
  <c r="CQ66" i="2" s="1"/>
  <c r="CQ62" i="2"/>
  <c r="CQ61" i="2"/>
  <c r="CQ65" i="2" l="1"/>
  <c r="CQ63" i="2"/>
  <c r="CX63" i="2"/>
  <c r="CN56" i="11" l="1"/>
  <c r="CN10" i="11" l="1"/>
  <c r="EP10" i="11" l="1"/>
  <c r="EO10" i="11"/>
  <c r="EN10" i="11"/>
  <c r="EM10" i="11"/>
  <c r="EL10" i="11"/>
  <c r="EK10" i="11"/>
  <c r="EI10" i="11"/>
  <c r="EH10" i="11"/>
  <c r="EG10" i="11"/>
  <c r="EF10" i="11"/>
  <c r="EE10" i="11"/>
  <c r="ED10" i="11"/>
  <c r="EB10" i="11"/>
  <c r="EA10" i="11"/>
  <c r="DZ10" i="11"/>
  <c r="DY10" i="11"/>
  <c r="DX10" i="11"/>
  <c r="DW10" i="11"/>
  <c r="DU10" i="11"/>
  <c r="DT10" i="11"/>
  <c r="DS10" i="11"/>
  <c r="DR10" i="11"/>
  <c r="DQ10" i="11"/>
  <c r="DP10" i="11"/>
  <c r="DN10" i="11"/>
  <c r="DL10" i="11"/>
  <c r="DK10" i="11"/>
  <c r="CS10" i="11"/>
  <c r="CR10" i="11"/>
  <c r="CQ10" i="11"/>
  <c r="CO10" i="11"/>
  <c r="CF46" i="178" l="1"/>
  <c r="DA375" i="11"/>
  <c r="CT375" i="11"/>
  <c r="A375" i="11"/>
  <c r="EW40" i="4"/>
  <c r="EU39" i="4"/>
  <c r="EV39" i="4" s="1"/>
  <c r="EU38" i="4"/>
  <c r="EV38" i="4" s="1"/>
  <c r="EU37" i="4"/>
  <c r="EQ37" i="4" s="1"/>
  <c r="EU36" i="4"/>
  <c r="EV36" i="4" s="1"/>
  <c r="EU35" i="4"/>
  <c r="EV35" i="4" s="1"/>
  <c r="EP40" i="4"/>
  <c r="EN39" i="4"/>
  <c r="EO39" i="4" s="1"/>
  <c r="EN38" i="4"/>
  <c r="EJ38" i="4" s="1"/>
  <c r="EN37" i="4"/>
  <c r="EJ37" i="4" s="1"/>
  <c r="EN36" i="4"/>
  <c r="EO36" i="4" s="1"/>
  <c r="EL36" i="4" s="1"/>
  <c r="EM36" i="4" s="1"/>
  <c r="EN35" i="4"/>
  <c r="EJ35" i="4" s="1"/>
  <c r="EI40" i="4"/>
  <c r="EG39" i="4"/>
  <c r="EH39" i="4" s="1"/>
  <c r="EG38" i="4"/>
  <c r="EH38" i="4" s="1"/>
  <c r="EE38" i="4" s="1"/>
  <c r="EF38" i="4" s="1"/>
  <c r="EG37" i="4"/>
  <c r="EH37" i="4" s="1"/>
  <c r="EG36" i="4"/>
  <c r="EH36" i="4" s="1"/>
  <c r="EE36" i="4" s="1"/>
  <c r="EF36" i="4" s="1"/>
  <c r="EG35" i="4"/>
  <c r="EB40" i="4"/>
  <c r="DZ39" i="4"/>
  <c r="DV39" i="4" s="1"/>
  <c r="DZ38" i="4"/>
  <c r="EA38" i="4" s="1"/>
  <c r="DZ37" i="4"/>
  <c r="EA37" i="4" s="1"/>
  <c r="DX37" i="4" s="1"/>
  <c r="DZ36" i="4"/>
  <c r="EA36" i="4" s="1"/>
  <c r="DZ35" i="4"/>
  <c r="DV35" i="4" s="1"/>
  <c r="DU40" i="4"/>
  <c r="DT39" i="4"/>
  <c r="DT37" i="4"/>
  <c r="DQ37" i="4" s="1"/>
  <c r="DT36" i="4"/>
  <c r="CY36" i="4"/>
  <c r="CW36" i="4" s="1"/>
  <c r="CY37" i="4"/>
  <c r="CW37" i="4" s="1"/>
  <c r="CY38" i="4"/>
  <c r="CW38" i="4" s="1"/>
  <c r="CY39" i="4"/>
  <c r="CY35" i="4"/>
  <c r="CU36" i="4"/>
  <c r="CU37" i="4"/>
  <c r="CU38" i="4"/>
  <c r="CU35" i="4"/>
  <c r="CT39" i="4"/>
  <c r="BT75" i="220"/>
  <c r="BT64" i="220"/>
  <c r="BT38" i="220"/>
  <c r="BT18" i="220"/>
  <c r="BT14" i="220"/>
  <c r="BT4" i="220"/>
  <c r="CF73" i="178"/>
  <c r="CF38" i="178"/>
  <c r="CF11" i="178"/>
  <c r="CF7" i="178"/>
  <c r="CF4" i="178"/>
  <c r="CF5" i="178" s="1"/>
  <c r="CN269" i="11"/>
  <c r="CN263" i="11"/>
  <c r="CN262" i="11"/>
  <c r="CN261" i="11"/>
  <c r="CN245" i="11"/>
  <c r="CN385" i="11"/>
  <c r="CN45" i="11"/>
  <c r="CN47" i="11" s="1"/>
  <c r="CN42" i="11"/>
  <c r="CN356" i="11" s="1"/>
  <c r="CT131" i="4"/>
  <c r="CT122" i="4"/>
  <c r="CT124" i="4" s="1"/>
  <c r="CM15" i="2" s="1"/>
  <c r="CT93" i="4"/>
  <c r="CN11" i="11"/>
  <c r="CN12" i="11" s="1"/>
  <c r="CN15" i="11"/>
  <c r="CT58" i="4"/>
  <c r="CT60" i="4" s="1"/>
  <c r="CM22" i="2" s="1"/>
  <c r="CT29" i="4"/>
  <c r="CT31" i="4" s="1"/>
  <c r="CT11" i="4"/>
  <c r="CT13" i="4" s="1"/>
  <c r="BT5" i="220" l="1"/>
  <c r="BT7" i="220"/>
  <c r="CF15" i="178"/>
  <c r="CU47" i="11"/>
  <c r="BT16" i="220"/>
  <c r="CM154" i="243"/>
  <c r="CM165" i="243" s="1"/>
  <c r="CT23" i="4"/>
  <c r="DA197" i="243"/>
  <c r="DE197" i="243"/>
  <c r="DC197" i="243"/>
  <c r="CM27" i="2"/>
  <c r="CM38" i="2" s="1"/>
  <c r="DA23" i="4"/>
  <c r="CM8" i="2"/>
  <c r="CW35" i="4"/>
  <c r="CY40" i="4"/>
  <c r="CN5" i="11"/>
  <c r="CN391" i="11" s="1"/>
  <c r="CU39" i="4"/>
  <c r="CV39" i="4" s="1"/>
  <c r="CN9" i="11"/>
  <c r="CN307" i="11" s="1"/>
  <c r="CN387" i="11"/>
  <c r="CN400" i="11" s="1"/>
  <c r="CO385" i="11"/>
  <c r="DV37" i="4"/>
  <c r="DW37" i="4" s="1"/>
  <c r="CF8" i="178"/>
  <c r="EQ35" i="4"/>
  <c r="ER35" i="4" s="1"/>
  <c r="CT40" i="4"/>
  <c r="BT28" i="220"/>
  <c r="BT29" i="220" s="1"/>
  <c r="DT35" i="4"/>
  <c r="DQ35" i="4" s="1"/>
  <c r="EA35" i="4"/>
  <c r="DX35" i="4" s="1"/>
  <c r="EA39" i="4"/>
  <c r="DX39" i="4" s="1"/>
  <c r="EK38" i="4"/>
  <c r="EQ39" i="4"/>
  <c r="ER39" i="4" s="1"/>
  <c r="BT10" i="220"/>
  <c r="DV36" i="4"/>
  <c r="EO38" i="4"/>
  <c r="EL38" i="4" s="1"/>
  <c r="EM38" i="4" s="1"/>
  <c r="EV37" i="4"/>
  <c r="ES37" i="4" s="1"/>
  <c r="ET37" i="4" s="1"/>
  <c r="EG40" i="4"/>
  <c r="EH40" i="4" s="1"/>
  <c r="EQ38" i="4"/>
  <c r="ER38" i="4" s="1"/>
  <c r="CF24" i="178"/>
  <c r="CF25" i="178" s="1"/>
  <c r="DW35" i="4"/>
  <c r="DW39" i="4"/>
  <c r="EC35" i="4"/>
  <c r="ED35" i="4" s="1"/>
  <c r="EC36" i="4"/>
  <c r="ED36" i="4" s="1"/>
  <c r="EC37" i="4"/>
  <c r="ED37" i="4" s="1"/>
  <c r="EC38" i="4"/>
  <c r="ED38" i="4" s="1"/>
  <c r="EC39" i="4"/>
  <c r="ED39" i="4" s="1"/>
  <c r="ER37" i="4"/>
  <c r="CN16" i="11"/>
  <c r="CT132" i="4"/>
  <c r="BT19" i="220"/>
  <c r="DV38" i="4"/>
  <c r="DW38" i="4" s="1"/>
  <c r="EK37" i="4"/>
  <c r="EQ36" i="4"/>
  <c r="ER36" i="4" s="1"/>
  <c r="EK35" i="4"/>
  <c r="CN46" i="11"/>
  <c r="EH35" i="4"/>
  <c r="EE35" i="4" s="1"/>
  <c r="EJ36" i="4"/>
  <c r="EK36" i="4" s="1"/>
  <c r="CN264" i="11"/>
  <c r="CN357" i="11"/>
  <c r="ES38" i="4"/>
  <c r="ET38" i="4" s="1"/>
  <c r="ES36" i="4"/>
  <c r="ET36" i="4" s="1"/>
  <c r="ES35" i="4"/>
  <c r="ES39" i="4"/>
  <c r="ET39" i="4" s="1"/>
  <c r="EU40" i="4"/>
  <c r="EL39" i="4"/>
  <c r="EM39" i="4" s="1"/>
  <c r="EJ39" i="4"/>
  <c r="EK39" i="4" s="1"/>
  <c r="EO35" i="4"/>
  <c r="EO37" i="4"/>
  <c r="EN40" i="4"/>
  <c r="EE37" i="4"/>
  <c r="EF37" i="4" s="1"/>
  <c r="EE39" i="4"/>
  <c r="EF39" i="4" s="1"/>
  <c r="DX38" i="4"/>
  <c r="DY38" i="4" s="1"/>
  <c r="DX36" i="4"/>
  <c r="DZ40" i="4"/>
  <c r="DY37" i="4"/>
  <c r="DQ36" i="4"/>
  <c r="DR36" i="4" s="1"/>
  <c r="DR37" i="4"/>
  <c r="DT38" i="4"/>
  <c r="DR39" i="4"/>
  <c r="CN58" i="11"/>
  <c r="CN60" i="11" s="1"/>
  <c r="CF56" i="178"/>
  <c r="CT125" i="4"/>
  <c r="CT32" i="4"/>
  <c r="CN43" i="11"/>
  <c r="CF12" i="178"/>
  <c r="CF10" i="178"/>
  <c r="P72" i="139"/>
  <c r="Q72" i="139"/>
  <c r="R72" i="139"/>
  <c r="S72" i="139"/>
  <c r="T72" i="139"/>
  <c r="B67" i="139"/>
  <c r="C67" i="139"/>
  <c r="D67" i="139"/>
  <c r="E67" i="139"/>
  <c r="F67" i="139"/>
  <c r="G67" i="139"/>
  <c r="H67" i="139"/>
  <c r="I67" i="139"/>
  <c r="J67" i="139"/>
  <c r="K67" i="139"/>
  <c r="L67" i="139"/>
  <c r="M67" i="139"/>
  <c r="N67" i="139"/>
  <c r="O67" i="139"/>
  <c r="P67" i="139"/>
  <c r="Q67" i="139"/>
  <c r="R67" i="139"/>
  <c r="S67" i="139"/>
  <c r="T67" i="139"/>
  <c r="S66" i="139"/>
  <c r="R66" i="139"/>
  <c r="Q66" i="139"/>
  <c r="P66" i="139"/>
  <c r="O66" i="139"/>
  <c r="N66" i="139"/>
  <c r="M66" i="139"/>
  <c r="J66" i="139"/>
  <c r="I66" i="139"/>
  <c r="H66" i="139"/>
  <c r="G66" i="139"/>
  <c r="F66" i="139"/>
  <c r="E66" i="139"/>
  <c r="D66" i="139"/>
  <c r="C66" i="139"/>
  <c r="T66" i="139"/>
  <c r="B62" i="139"/>
  <c r="C62" i="139"/>
  <c r="D62" i="139"/>
  <c r="E62" i="139"/>
  <c r="F62" i="139"/>
  <c r="G62" i="139"/>
  <c r="H62" i="139"/>
  <c r="I62" i="139"/>
  <c r="J62" i="139"/>
  <c r="K62" i="139"/>
  <c r="L62" i="139"/>
  <c r="M62" i="139"/>
  <c r="B63" i="139"/>
  <c r="C63" i="139"/>
  <c r="D63" i="139"/>
  <c r="E63" i="139"/>
  <c r="F63" i="139"/>
  <c r="G63" i="139"/>
  <c r="H63" i="139"/>
  <c r="I63" i="139"/>
  <c r="J63" i="139"/>
  <c r="K63" i="139"/>
  <c r="L63" i="139"/>
  <c r="M63" i="139"/>
  <c r="B64" i="139"/>
  <c r="C64" i="139"/>
  <c r="D64" i="139"/>
  <c r="E64" i="139"/>
  <c r="F64" i="139"/>
  <c r="G64" i="139"/>
  <c r="H64" i="139"/>
  <c r="I64" i="139"/>
  <c r="J64" i="139"/>
  <c r="K64" i="139"/>
  <c r="L64" i="139"/>
  <c r="M64" i="139"/>
  <c r="N64" i="139"/>
  <c r="N63" i="139"/>
  <c r="N62" i="139"/>
  <c r="S64" i="139"/>
  <c r="R64" i="139"/>
  <c r="Q64" i="139"/>
  <c r="P64" i="139"/>
  <c r="O64" i="139"/>
  <c r="T64" i="139"/>
  <c r="S62" i="139"/>
  <c r="R62" i="139"/>
  <c r="Q62" i="139"/>
  <c r="P62" i="139"/>
  <c r="O62" i="139"/>
  <c r="T62" i="139"/>
  <c r="CM176" i="243" l="1"/>
  <c r="CM159" i="243"/>
  <c r="CM162" i="243"/>
  <c r="CM153" i="243"/>
  <c r="CF40" i="178"/>
  <c r="BT73" i="220"/>
  <c r="CM168" i="243"/>
  <c r="CM171" i="243"/>
  <c r="CU60" i="11"/>
  <c r="CM179" i="243"/>
  <c r="DU197" i="243"/>
  <c r="DJ197" i="243"/>
  <c r="CM10" i="2"/>
  <c r="CM11" i="2" s="1"/>
  <c r="CM274" i="243"/>
  <c r="CM42" i="2"/>
  <c r="CM46" i="2" s="1"/>
  <c r="CM3" i="242" s="1"/>
  <c r="CM21" i="242" s="1"/>
  <c r="CM41" i="2"/>
  <c r="CN389" i="11"/>
  <c r="CO389" i="11" s="1"/>
  <c r="CN27" i="11"/>
  <c r="CN353" i="11"/>
  <c r="CN409" i="11"/>
  <c r="CU411" i="11" s="1"/>
  <c r="CV40" i="4"/>
  <c r="CW39" i="4"/>
  <c r="CW40" i="4" s="1"/>
  <c r="CU40" i="4"/>
  <c r="BT41" i="220"/>
  <c r="BU41" i="220" s="1"/>
  <c r="BU49" i="220" s="1"/>
  <c r="DY39" i="4"/>
  <c r="BT46" i="220"/>
  <c r="BU46" i="220" s="1"/>
  <c r="BU54" i="220" s="1"/>
  <c r="DV40" i="4"/>
  <c r="DW40" i="4" s="1"/>
  <c r="DR35" i="4"/>
  <c r="BT31" i="220"/>
  <c r="BT65" i="220"/>
  <c r="DY35" i="4"/>
  <c r="BT76" i="220"/>
  <c r="CF42" i="178"/>
  <c r="CF43" i="178" s="1"/>
  <c r="DH40" i="4"/>
  <c r="DX40" i="4"/>
  <c r="CF27" i="178"/>
  <c r="BT43" i="220"/>
  <c r="BU43" i="220" s="1"/>
  <c r="BU51" i="220" s="1"/>
  <c r="BT42" i="220"/>
  <c r="BU42" i="220" s="1"/>
  <c r="BU50" i="220" s="1"/>
  <c r="BT45" i="220"/>
  <c r="BU45" i="220" s="1"/>
  <c r="BU53" i="220" s="1"/>
  <c r="DW36" i="4"/>
  <c r="EJ40" i="4"/>
  <c r="EK40" i="4" s="1"/>
  <c r="EQ40" i="4"/>
  <c r="ER40" i="4" s="1"/>
  <c r="BT44" i="220"/>
  <c r="BU44" i="220" s="1"/>
  <c r="BU52" i="220" s="1"/>
  <c r="BT40" i="220"/>
  <c r="BU40" i="220" s="1"/>
  <c r="BU48" i="220" s="1"/>
  <c r="EC40" i="4"/>
  <c r="ED40" i="4" s="1"/>
  <c r="ES40" i="4"/>
  <c r="DJ40" i="4"/>
  <c r="EV40" i="4"/>
  <c r="ET35" i="4"/>
  <c r="EO40" i="4"/>
  <c r="EL37" i="4"/>
  <c r="EM37" i="4" s="1"/>
  <c r="EL35" i="4"/>
  <c r="EM35" i="4" s="1"/>
  <c r="EE40" i="4"/>
  <c r="EF40" i="4" s="1"/>
  <c r="EF35" i="4"/>
  <c r="EA40" i="4"/>
  <c r="DY36" i="4"/>
  <c r="DQ38" i="4"/>
  <c r="DQ40" i="4" s="1"/>
  <c r="DT40" i="4"/>
  <c r="CF57" i="178"/>
  <c r="CF31" i="178" l="1"/>
  <c r="CF28" i="178"/>
  <c r="CG40" i="178"/>
  <c r="CG41" i="178" s="1"/>
  <c r="CF41" i="178"/>
  <c r="BT34" i="220"/>
  <c r="BT35" i="220" s="1"/>
  <c r="BT32" i="220"/>
  <c r="CN393" i="11"/>
  <c r="CM41" i="178"/>
  <c r="EB197" i="243"/>
  <c r="DS197" i="243"/>
  <c r="DQ197" i="243"/>
  <c r="DO197" i="243"/>
  <c r="CM45" i="242"/>
  <c r="CM42" i="242"/>
  <c r="DN39" i="243"/>
  <c r="DC251" i="243"/>
  <c r="CM48" i="2"/>
  <c r="CM51" i="2"/>
  <c r="CM47" i="2"/>
  <c r="CN390" i="11"/>
  <c r="CN394" i="11" s="1"/>
  <c r="CO409" i="11"/>
  <c r="CU410" i="11"/>
  <c r="CG42" i="178"/>
  <c r="CM43" i="178"/>
  <c r="CF34" i="178"/>
  <c r="DY40" i="4"/>
  <c r="DR38" i="4"/>
  <c r="ET40" i="4"/>
  <c r="DR40" i="4"/>
  <c r="EL40" i="4"/>
  <c r="EM40" i="4" s="1"/>
  <c r="CN41" i="178" l="1"/>
  <c r="CN43" i="178"/>
  <c r="CG43" i="178"/>
  <c r="CG45" i="178"/>
  <c r="CG46" i="178" s="1"/>
  <c r="CM35" i="178"/>
  <c r="CF35" i="178"/>
  <c r="CM32" i="178"/>
  <c r="CF32" i="178"/>
  <c r="CN395" i="11"/>
  <c r="CN384" i="11" s="1"/>
  <c r="CN383" i="11" s="1"/>
  <c r="CN406" i="11" s="1"/>
  <c r="CN275" i="11" s="1"/>
  <c r="CN300" i="11" s="1"/>
  <c r="EI197" i="243"/>
  <c r="DV197" i="243"/>
  <c r="DZ197" i="243"/>
  <c r="DX197" i="243"/>
  <c r="DU39" i="243"/>
  <c r="DO39" i="243"/>
  <c r="DM39" i="243"/>
  <c r="DS39" i="243"/>
  <c r="CM48" i="242"/>
  <c r="CN48" i="242" s="1"/>
  <c r="CN49" i="242" s="1"/>
  <c r="DF251" i="243"/>
  <c r="DD39" i="243"/>
  <c r="DD251" i="243" s="1"/>
  <c r="CN297" i="11" l="1"/>
  <c r="CN298" i="11"/>
  <c r="CN305" i="11"/>
  <c r="CN281" i="11"/>
  <c r="CN299" i="11"/>
  <c r="EP197" i="243"/>
  <c r="EE197" i="243"/>
  <c r="EC197" i="243"/>
  <c r="EG197" i="243"/>
  <c r="CM49" i="242"/>
  <c r="CM58" i="242" s="1"/>
  <c r="CM60" i="242" s="1"/>
  <c r="CN58" i="242"/>
  <c r="CN60" i="242" s="1"/>
  <c r="CN56" i="242"/>
  <c r="CN61" i="242" s="1"/>
  <c r="DJ39" i="243"/>
  <c r="EB39" i="243"/>
  <c r="DV39" i="243"/>
  <c r="DT39" i="243"/>
  <c r="DZ39" i="243"/>
  <c r="DS251" i="243"/>
  <c r="DP39" i="243"/>
  <c r="DM251" i="243"/>
  <c r="DK39" i="243"/>
  <c r="DO251" i="243"/>
  <c r="DH375" i="11"/>
  <c r="CS358" i="11"/>
  <c r="CQ358" i="11" s="1"/>
  <c r="DV327" i="11"/>
  <c r="EC327" i="11" s="1"/>
  <c r="DV326" i="11"/>
  <c r="EC326" i="11" s="1"/>
  <c r="EJ326" i="11" s="1"/>
  <c r="EQ326" i="11" s="1"/>
  <c r="EJ327" i="11" l="1"/>
  <c r="EQ327" i="11" s="1"/>
  <c r="EJ197" i="243"/>
  <c r="EN197" i="243"/>
  <c r="EL197" i="243"/>
  <c r="EI39" i="243"/>
  <c r="EG39" i="243"/>
  <c r="EC39" i="243"/>
  <c r="EA39" i="243"/>
  <c r="DZ251" i="243"/>
  <c r="DW39" i="243"/>
  <c r="DQ39" i="243"/>
  <c r="DP251" i="243"/>
  <c r="DT251" i="243"/>
  <c r="DR39" i="243"/>
  <c r="DJ251" i="243"/>
  <c r="DK251" i="243"/>
  <c r="DV251" i="243"/>
  <c r="CZ358" i="11"/>
  <c r="CZ375" i="11" s="1"/>
  <c r="CY375" i="11"/>
  <c r="CU375" i="11"/>
  <c r="DO375" i="11"/>
  <c r="CO358" i="11"/>
  <c r="U63" i="139"/>
  <c r="DQ251" i="243" l="1"/>
  <c r="EA251" i="243"/>
  <c r="DY39" i="243"/>
  <c r="DR251" i="243"/>
  <c r="DW251" i="243"/>
  <c r="DX39" i="243"/>
  <c r="EC251" i="243"/>
  <c r="ED39" i="243"/>
  <c r="EG251" i="243"/>
  <c r="EP39" i="243"/>
  <c r="EO39" i="243" s="1"/>
  <c r="EN39" i="243"/>
  <c r="EJ39" i="243"/>
  <c r="EH39" i="243"/>
  <c r="CV375" i="11"/>
  <c r="CW375" i="11"/>
  <c r="DB375" i="11"/>
  <c r="DF375" i="11"/>
  <c r="DG358" i="11"/>
  <c r="V63" i="139"/>
  <c r="DV358" i="11"/>
  <c r="DV375" i="11" s="1"/>
  <c r="DM375" i="11"/>
  <c r="EO251" i="243" l="1"/>
  <c r="EM39" i="243"/>
  <c r="DY251" i="243"/>
  <c r="EH251" i="243"/>
  <c r="EF39" i="243"/>
  <c r="EJ251" i="243"/>
  <c r="EN251" i="243"/>
  <c r="EK39" i="243"/>
  <c r="ED251" i="243"/>
  <c r="EE39" i="243"/>
  <c r="DX251" i="243"/>
  <c r="DT357" i="11"/>
  <c r="DR357" i="11"/>
  <c r="DP357" i="11"/>
  <c r="CX358" i="11"/>
  <c r="CX375" i="11" s="1"/>
  <c r="DC375" i="11"/>
  <c r="DG375" i="11"/>
  <c r="W63" i="139"/>
  <c r="DN358" i="11"/>
  <c r="DN375" i="11" s="1"/>
  <c r="DT358" i="11"/>
  <c r="DT375" i="11" s="1"/>
  <c r="EC358" i="11"/>
  <c r="EC375" i="11" s="1"/>
  <c r="DJ16" i="243" l="1"/>
  <c r="EE251" i="243"/>
  <c r="EK251" i="243"/>
  <c r="EL39" i="243"/>
  <c r="EF251" i="243"/>
  <c r="EM251" i="243"/>
  <c r="DN16" i="243"/>
  <c r="DD16" i="243"/>
  <c r="EA357" i="11"/>
  <c r="DW357" i="11"/>
  <c r="DY357" i="11"/>
  <c r="DJ358" i="11"/>
  <c r="DJ375" i="11" s="1"/>
  <c r="DI375" i="11"/>
  <c r="DE358" i="11"/>
  <c r="DE375" i="11" s="1"/>
  <c r="DD375" i="11"/>
  <c r="EJ358" i="11"/>
  <c r="EJ375" i="11" s="1"/>
  <c r="EA358" i="11"/>
  <c r="EA375" i="11" s="1"/>
  <c r="DK358" i="11"/>
  <c r="DU358" i="11"/>
  <c r="DP358" i="11"/>
  <c r="X63" i="139"/>
  <c r="DN251" i="243"/>
  <c r="DO16" i="243" l="1"/>
  <c r="DS16" i="243"/>
  <c r="DP16" i="243" s="1"/>
  <c r="DQ16" i="243" s="1"/>
  <c r="DM16" i="243"/>
  <c r="DK16" i="243" s="1"/>
  <c r="EL251" i="243"/>
  <c r="DU16" i="243"/>
  <c r="EH357" i="11"/>
  <c r="EF357" i="11"/>
  <c r="ED357" i="11"/>
  <c r="DR358" i="11"/>
  <c r="DU375" i="11"/>
  <c r="DL358" i="11"/>
  <c r="DL375" i="11" s="1"/>
  <c r="DK375" i="11"/>
  <c r="DQ358" i="11"/>
  <c r="DQ375" i="11" s="1"/>
  <c r="DP375" i="11"/>
  <c r="EB358" i="11"/>
  <c r="DW358" i="11"/>
  <c r="Y63" i="139"/>
  <c r="DU251" i="243"/>
  <c r="EQ358" i="11"/>
  <c r="EQ375" i="11" s="1"/>
  <c r="EH358" i="11"/>
  <c r="EH375" i="11" s="1"/>
  <c r="EW163" i="4"/>
  <c r="EU97" i="4"/>
  <c r="EW93" i="4"/>
  <c r="EV93" i="4"/>
  <c r="EU93" i="4"/>
  <c r="ET93" i="4"/>
  <c r="ES93" i="4"/>
  <c r="ER93" i="4"/>
  <c r="EQ93" i="4"/>
  <c r="EU47" i="4"/>
  <c r="EQ47" i="4" s="1"/>
  <c r="EP163" i="4"/>
  <c r="EN97" i="4"/>
  <c r="EP93" i="4"/>
  <c r="EO93" i="4"/>
  <c r="EN93" i="4"/>
  <c r="EM93" i="4"/>
  <c r="EL93" i="4"/>
  <c r="EK93" i="4"/>
  <c r="EJ93" i="4"/>
  <c r="EN47" i="4"/>
  <c r="EJ47" i="4" s="1"/>
  <c r="EI163" i="4"/>
  <c r="EG97" i="4"/>
  <c r="EH97" i="4" s="1"/>
  <c r="EE97" i="4" s="1"/>
  <c r="EI93" i="4"/>
  <c r="EH93" i="4"/>
  <c r="EG93" i="4"/>
  <c r="EF93" i="4"/>
  <c r="EE93" i="4"/>
  <c r="ED93" i="4"/>
  <c r="EC93" i="4"/>
  <c r="EG47" i="4"/>
  <c r="EC47" i="4" s="1"/>
  <c r="EB163" i="4"/>
  <c r="DZ97" i="4"/>
  <c r="EB93" i="4"/>
  <c r="EA93" i="4"/>
  <c r="DZ93" i="4"/>
  <c r="DY93" i="4"/>
  <c r="DX93" i="4"/>
  <c r="DW93" i="4"/>
  <c r="DV93" i="4"/>
  <c r="DZ47" i="4"/>
  <c r="DU163" i="4"/>
  <c r="DT97" i="4"/>
  <c r="DQ97" i="4" s="1"/>
  <c r="DU93" i="4"/>
  <c r="DT93" i="4"/>
  <c r="DR93" i="4"/>
  <c r="DQ93" i="4"/>
  <c r="DJ93" i="4"/>
  <c r="DH93" i="4"/>
  <c r="DA93" i="4"/>
  <c r="CY93" i="4"/>
  <c r="CW93" i="4"/>
  <c r="CU93" i="4"/>
  <c r="CY71" i="4"/>
  <c r="CY95" i="4" s="1"/>
  <c r="CY47" i="4"/>
  <c r="DU62" i="220"/>
  <c r="DS62" i="220"/>
  <c r="DQ62" i="220"/>
  <c r="DU59" i="220"/>
  <c r="DS59" i="220"/>
  <c r="DQ59" i="220"/>
  <c r="DU35" i="220"/>
  <c r="DS35" i="220"/>
  <c r="DQ35" i="220"/>
  <c r="DU32" i="220"/>
  <c r="DS32" i="220"/>
  <c r="DQ32" i="220"/>
  <c r="DU25" i="220"/>
  <c r="DS25" i="220"/>
  <c r="DQ25" i="220"/>
  <c r="DV14" i="220"/>
  <c r="DT14" i="220" s="1"/>
  <c r="DR14" i="220"/>
  <c r="DN62" i="220"/>
  <c r="DL62" i="220"/>
  <c r="DJ62" i="220"/>
  <c r="DN59" i="220"/>
  <c r="DL59" i="220"/>
  <c r="DJ59" i="220"/>
  <c r="DN35" i="220"/>
  <c r="DL35" i="220"/>
  <c r="DJ35" i="220"/>
  <c r="DN32" i="220"/>
  <c r="DL32" i="220"/>
  <c r="DJ32" i="220"/>
  <c r="DN25" i="220"/>
  <c r="DL25" i="220"/>
  <c r="DJ25" i="220"/>
  <c r="DO14" i="220"/>
  <c r="DM14" i="220" s="1"/>
  <c r="DK14" i="220"/>
  <c r="DG62" i="220"/>
  <c r="DE62" i="220"/>
  <c r="DC62" i="220"/>
  <c r="DG59" i="220"/>
  <c r="DE59" i="220"/>
  <c r="DC59" i="220"/>
  <c r="DG35" i="220"/>
  <c r="DE35" i="220"/>
  <c r="DC35" i="220"/>
  <c r="DG32" i="220"/>
  <c r="DE32" i="220"/>
  <c r="DC32" i="220"/>
  <c r="DG25" i="220"/>
  <c r="DE25" i="220"/>
  <c r="DC25" i="220"/>
  <c r="DH14" i="220"/>
  <c r="DF14" i="220" s="1"/>
  <c r="DD14" i="220"/>
  <c r="CZ62" i="220"/>
  <c r="CX62" i="220"/>
  <c r="CV62" i="220"/>
  <c r="CZ59" i="220"/>
  <c r="CX59" i="220"/>
  <c r="CV59" i="220"/>
  <c r="CZ35" i="220"/>
  <c r="CX35" i="220"/>
  <c r="CV35" i="220"/>
  <c r="CZ32" i="220"/>
  <c r="CX32" i="220"/>
  <c r="CV32" i="220"/>
  <c r="CZ25" i="220"/>
  <c r="CX25" i="220"/>
  <c r="CV25" i="220"/>
  <c r="DA14" i="220"/>
  <c r="CY14" i="220" s="1"/>
  <c r="CW14" i="220"/>
  <c r="CS25" i="220"/>
  <c r="CQ25" i="220"/>
  <c r="CO25" i="220"/>
  <c r="CT14" i="220"/>
  <c r="CR14" i="220" s="1"/>
  <c r="BY14" i="220"/>
  <c r="BW14" i="220" s="1"/>
  <c r="BU14" i="220"/>
  <c r="BT61" i="220"/>
  <c r="BT58" i="220" s="1"/>
  <c r="BT59" i="220" s="1"/>
  <c r="EG35" i="178"/>
  <c r="EE35" i="178"/>
  <c r="EC35" i="178"/>
  <c r="EG32" i="178"/>
  <c r="EE32" i="178"/>
  <c r="EC32" i="178"/>
  <c r="EG30" i="178"/>
  <c r="EE30" i="178"/>
  <c r="EC30" i="178"/>
  <c r="EH10" i="178"/>
  <c r="EF10" i="178" s="1"/>
  <c r="ED10" i="178"/>
  <c r="DZ35" i="178"/>
  <c r="DX35" i="178"/>
  <c r="DV35" i="178"/>
  <c r="DZ32" i="178"/>
  <c r="DX32" i="178"/>
  <c r="DV32" i="178"/>
  <c r="DZ30" i="178"/>
  <c r="DX30" i="178"/>
  <c r="DV30" i="178"/>
  <c r="EA10" i="178"/>
  <c r="DY10" i="178" s="1"/>
  <c r="DW10" i="178"/>
  <c r="DS35" i="178"/>
  <c r="DQ35" i="178"/>
  <c r="DO35" i="178"/>
  <c r="DS32" i="178"/>
  <c r="DQ32" i="178"/>
  <c r="DO32" i="178"/>
  <c r="DS30" i="178"/>
  <c r="DQ30" i="178"/>
  <c r="DO30" i="178"/>
  <c r="DT10" i="178"/>
  <c r="DR10" i="178" s="1"/>
  <c r="DP10" i="178"/>
  <c r="DL35" i="178"/>
  <c r="DJ35" i="178"/>
  <c r="DH35" i="178"/>
  <c r="DL32" i="178"/>
  <c r="DJ32" i="178"/>
  <c r="DH32" i="178"/>
  <c r="DL30" i="178"/>
  <c r="DJ30" i="178"/>
  <c r="DH30" i="178"/>
  <c r="DM10" i="178"/>
  <c r="DK10" i="178" s="1"/>
  <c r="DI10" i="178"/>
  <c r="CL273" i="243"/>
  <c r="CE273" i="243"/>
  <c r="BX273" i="243"/>
  <c r="BQ273" i="243"/>
  <c r="BJ273" i="243"/>
  <c r="BC273" i="243"/>
  <c r="AV273" i="243"/>
  <c r="AO273" i="243"/>
  <c r="AH273" i="243"/>
  <c r="AA273" i="243"/>
  <c r="T273" i="243"/>
  <c r="M273" i="243"/>
  <c r="L273" i="243"/>
  <c r="K273" i="243"/>
  <c r="J273" i="243"/>
  <c r="I273" i="243"/>
  <c r="H273" i="243"/>
  <c r="G273" i="243"/>
  <c r="F273" i="243"/>
  <c r="E273" i="243"/>
  <c r="D273" i="243"/>
  <c r="C273" i="243"/>
  <c r="B273" i="243"/>
  <c r="EP268" i="243"/>
  <c r="EI268" i="243"/>
  <c r="EB268" i="243"/>
  <c r="DU268" i="243"/>
  <c r="DN268" i="243"/>
  <c r="CS268" i="243"/>
  <c r="CL268" i="243"/>
  <c r="CE268" i="243"/>
  <c r="BX268" i="243"/>
  <c r="BQ268" i="243"/>
  <c r="BJ268" i="243"/>
  <c r="BC268" i="243"/>
  <c r="AV268" i="243"/>
  <c r="AO268" i="243"/>
  <c r="CL266" i="243"/>
  <c r="CL265" i="243" s="1"/>
  <c r="CE266" i="243"/>
  <c r="CE265" i="243" s="1"/>
  <c r="BX266" i="243"/>
  <c r="BX265" i="243" s="1"/>
  <c r="BQ266" i="243"/>
  <c r="BQ265" i="243" s="1"/>
  <c r="BJ266" i="243"/>
  <c r="BJ265" i="243" s="1"/>
  <c r="AV266" i="243"/>
  <c r="BC266" i="243" s="1"/>
  <c r="BC265" i="243" s="1"/>
  <c r="AO266" i="243"/>
  <c r="AO265" i="243" s="1"/>
  <c r="AH266" i="243"/>
  <c r="AH265" i="243" s="1"/>
  <c r="AA266" i="243"/>
  <c r="AA265" i="243" s="1"/>
  <c r="T266" i="243"/>
  <c r="T265" i="243" s="1"/>
  <c r="M266" i="243"/>
  <c r="M265" i="243" s="1"/>
  <c r="L266" i="243"/>
  <c r="L265" i="243" s="1"/>
  <c r="K266" i="243"/>
  <c r="K265" i="243" s="1"/>
  <c r="J266" i="243"/>
  <c r="J265" i="243" s="1"/>
  <c r="I266" i="243"/>
  <c r="I265" i="243" s="1"/>
  <c r="H266" i="243"/>
  <c r="H265" i="243" s="1"/>
  <c r="G265" i="243"/>
  <c r="F265" i="243"/>
  <c r="E265" i="243"/>
  <c r="D265" i="243"/>
  <c r="C265" i="243"/>
  <c r="CL264" i="243"/>
  <c r="CE264" i="243"/>
  <c r="BQ264" i="243"/>
  <c r="BJ264" i="243"/>
  <c r="BC264" i="243"/>
  <c r="AV264" i="243"/>
  <c r="AO264" i="243"/>
  <c r="AH264" i="243"/>
  <c r="AA264" i="243"/>
  <c r="T264" i="243"/>
  <c r="M264" i="243"/>
  <c r="L264" i="243"/>
  <c r="I264" i="243"/>
  <c r="H264" i="243"/>
  <c r="G264" i="243"/>
  <c r="F264" i="243"/>
  <c r="E264" i="243"/>
  <c r="D264" i="243"/>
  <c r="C264" i="243"/>
  <c r="CL259" i="243"/>
  <c r="CL260" i="243" s="1"/>
  <c r="CE259" i="243"/>
  <c r="CE260" i="243" s="1"/>
  <c r="BX259" i="243"/>
  <c r="BX260" i="243" s="1"/>
  <c r="BQ259" i="243"/>
  <c r="BQ260" i="243" s="1"/>
  <c r="BJ259" i="243"/>
  <c r="BJ260" i="243" s="1"/>
  <c r="BC259" i="243"/>
  <c r="BC260" i="243" s="1"/>
  <c r="AV259" i="243"/>
  <c r="AV260" i="243" s="1"/>
  <c r="AO259" i="243"/>
  <c r="AO260" i="243" s="1"/>
  <c r="AH259" i="243"/>
  <c r="AH260" i="243" s="1"/>
  <c r="AA259" i="243"/>
  <c r="AA260" i="243" s="1"/>
  <c r="T259" i="243"/>
  <c r="T260" i="243" s="1"/>
  <c r="M259" i="243"/>
  <c r="M260" i="243" s="1"/>
  <c r="L259" i="243"/>
  <c r="L260" i="243" s="1"/>
  <c r="K259" i="243"/>
  <c r="K260" i="243" s="1"/>
  <c r="J259" i="243"/>
  <c r="J260" i="243" s="1"/>
  <c r="I259" i="243"/>
  <c r="I260" i="243" s="1"/>
  <c r="H259" i="243"/>
  <c r="H260" i="243" s="1"/>
  <c r="G259" i="243"/>
  <c r="G260" i="243" s="1"/>
  <c r="F259" i="243"/>
  <c r="F260" i="243" s="1"/>
  <c r="E259" i="243"/>
  <c r="E260" i="243" s="1"/>
  <c r="D259" i="243"/>
  <c r="D260" i="243" s="1"/>
  <c r="C259" i="243"/>
  <c r="C260" i="243" s="1"/>
  <c r="CL255" i="243"/>
  <c r="CE255" i="243"/>
  <c r="BX255" i="243"/>
  <c r="BQ255" i="243"/>
  <c r="BJ255" i="243"/>
  <c r="AV255" i="243"/>
  <c r="AO255" i="243"/>
  <c r="AH255" i="243"/>
  <c r="AA255" i="243"/>
  <c r="T255" i="243"/>
  <c r="M255" i="243"/>
  <c r="L255" i="243"/>
  <c r="K255" i="243"/>
  <c r="J255" i="243"/>
  <c r="I255" i="243"/>
  <c r="H255" i="243"/>
  <c r="G255" i="243"/>
  <c r="F255" i="243"/>
  <c r="E255" i="243"/>
  <c r="D255" i="243"/>
  <c r="C255" i="243"/>
  <c r="B255" i="243"/>
  <c r="CL251" i="243"/>
  <c r="CE251" i="243"/>
  <c r="BX251" i="243"/>
  <c r="BQ251" i="243"/>
  <c r="BJ251" i="243"/>
  <c r="BC251" i="243"/>
  <c r="AV251" i="243"/>
  <c r="AO251" i="243"/>
  <c r="AH251" i="243"/>
  <c r="AA251" i="243"/>
  <c r="E251" i="243"/>
  <c r="D251" i="243"/>
  <c r="C251" i="243"/>
  <c r="B251" i="243"/>
  <c r="CL245" i="243"/>
  <c r="CE245" i="243"/>
  <c r="BX245" i="243"/>
  <c r="BQ245" i="243"/>
  <c r="BJ245" i="243"/>
  <c r="BC245" i="243"/>
  <c r="AV245" i="243"/>
  <c r="AO245" i="243"/>
  <c r="AH245" i="243"/>
  <c r="AA245" i="243"/>
  <c r="T245" i="243"/>
  <c r="M245" i="243"/>
  <c r="L245" i="243"/>
  <c r="K245" i="243"/>
  <c r="J245" i="243"/>
  <c r="I245" i="243"/>
  <c r="H245" i="243"/>
  <c r="G245" i="243"/>
  <c r="F245" i="243"/>
  <c r="E245" i="243"/>
  <c r="D245" i="243"/>
  <c r="C245" i="243"/>
  <c r="L242" i="243"/>
  <c r="M242" i="243" s="1"/>
  <c r="T242" i="243" s="1"/>
  <c r="AA242" i="243" s="1"/>
  <c r="CL241" i="243"/>
  <c r="CE241" i="243"/>
  <c r="BX241" i="243"/>
  <c r="BQ241" i="243"/>
  <c r="BJ241" i="243"/>
  <c r="BC241" i="243"/>
  <c r="AV241" i="243"/>
  <c r="AO241" i="243"/>
  <c r="T241" i="243"/>
  <c r="M241" i="243"/>
  <c r="L241" i="243"/>
  <c r="K241" i="243"/>
  <c r="J241" i="243"/>
  <c r="I241" i="243"/>
  <c r="H241" i="243"/>
  <c r="G241" i="243"/>
  <c r="E241" i="243"/>
  <c r="D241" i="243"/>
  <c r="C241" i="243"/>
  <c r="A241" i="243"/>
  <c r="CL240" i="243"/>
  <c r="CE240" i="243"/>
  <c r="BX240" i="243"/>
  <c r="BQ240" i="243"/>
  <c r="BJ240" i="243"/>
  <c r="BC240" i="243"/>
  <c r="AV240" i="243"/>
  <c r="AO240" i="243"/>
  <c r="AH240" i="243"/>
  <c r="AA240" i="243"/>
  <c r="T240" i="243"/>
  <c r="M240" i="243"/>
  <c r="L240" i="243"/>
  <c r="K240" i="243"/>
  <c r="J240" i="243"/>
  <c r="I240" i="243"/>
  <c r="H240" i="243"/>
  <c r="G240" i="243"/>
  <c r="E240" i="243"/>
  <c r="D240" i="243"/>
  <c r="C240" i="243"/>
  <c r="CL234" i="243"/>
  <c r="CE234" i="243"/>
  <c r="BX234" i="243"/>
  <c r="BQ234" i="243"/>
  <c r="BJ234" i="243"/>
  <c r="BC234" i="243"/>
  <c r="AV234" i="243"/>
  <c r="AO234" i="243"/>
  <c r="AH234" i="243"/>
  <c r="AA234" i="243"/>
  <c r="T234" i="243"/>
  <c r="M234" i="243"/>
  <c r="L234" i="243"/>
  <c r="K234" i="243"/>
  <c r="J234" i="243"/>
  <c r="I234" i="243"/>
  <c r="H234" i="243"/>
  <c r="G234" i="243"/>
  <c r="F234" i="243"/>
  <c r="E234" i="243"/>
  <c r="D234" i="243"/>
  <c r="A233" i="243"/>
  <c r="D232" i="243"/>
  <c r="A232" i="243"/>
  <c r="A231" i="243"/>
  <c r="A230" i="243"/>
  <c r="A229" i="243"/>
  <c r="A228" i="243"/>
  <c r="A227" i="243"/>
  <c r="A226" i="243"/>
  <c r="E223" i="243"/>
  <c r="A223" i="243"/>
  <c r="E222" i="243"/>
  <c r="E232" i="243" s="1"/>
  <c r="A222" i="243"/>
  <c r="E221" i="243"/>
  <c r="F221" i="243" s="1"/>
  <c r="G221" i="243" s="1"/>
  <c r="H221" i="243" s="1"/>
  <c r="I221" i="243" s="1"/>
  <c r="J221" i="243" s="1"/>
  <c r="A221" i="243"/>
  <c r="E220" i="243"/>
  <c r="F220" i="243" s="1"/>
  <c r="A220" i="243"/>
  <c r="E219" i="243"/>
  <c r="F219" i="243" s="1"/>
  <c r="G219" i="243" s="1"/>
  <c r="A219" i="243"/>
  <c r="E218" i="243"/>
  <c r="F218" i="243" s="1"/>
  <c r="G218" i="243" s="1"/>
  <c r="H218" i="243" s="1"/>
  <c r="A218" i="243"/>
  <c r="F217" i="243"/>
  <c r="G217" i="243" s="1"/>
  <c r="H217" i="243" s="1"/>
  <c r="I217" i="243" s="1"/>
  <c r="J217" i="243" s="1"/>
  <c r="A217" i="243"/>
  <c r="K216" i="243"/>
  <c r="L216" i="243" s="1"/>
  <c r="E216" i="243"/>
  <c r="F216" i="243" s="1"/>
  <c r="G216" i="243" s="1"/>
  <c r="H216" i="243" s="1"/>
  <c r="A216" i="243"/>
  <c r="CL212" i="243"/>
  <c r="CE212" i="243"/>
  <c r="BX212" i="243"/>
  <c r="BQ212" i="243"/>
  <c r="BJ212" i="243"/>
  <c r="BC212" i="243"/>
  <c r="AV212" i="243"/>
  <c r="AO212" i="243"/>
  <c r="AH212" i="243"/>
  <c r="AA212" i="243"/>
  <c r="T212" i="243"/>
  <c r="M212" i="243"/>
  <c r="L212" i="243"/>
  <c r="K212" i="243"/>
  <c r="J212" i="243"/>
  <c r="I212" i="243"/>
  <c r="H212" i="243"/>
  <c r="G212" i="243"/>
  <c r="F212" i="243"/>
  <c r="E212" i="243"/>
  <c r="D212" i="243"/>
  <c r="C212" i="243"/>
  <c r="BQ211" i="243"/>
  <c r="BJ211" i="243"/>
  <c r="AV211" i="243"/>
  <c r="AO211" i="243"/>
  <c r="AH211" i="243"/>
  <c r="AA211" i="243"/>
  <c r="T211" i="243"/>
  <c r="M211" i="243"/>
  <c r="L211" i="243"/>
  <c r="K211" i="243"/>
  <c r="J211" i="243"/>
  <c r="I211" i="243"/>
  <c r="H211" i="243"/>
  <c r="G211" i="243"/>
  <c r="F211" i="243"/>
  <c r="I210" i="243"/>
  <c r="J210" i="243" s="1"/>
  <c r="K210" i="243" s="1"/>
  <c r="L210" i="243" s="1"/>
  <c r="M210" i="243" s="1"/>
  <c r="AO209" i="243"/>
  <c r="AN209" i="243" s="1"/>
  <c r="AL209" i="243" s="1"/>
  <c r="AH209" i="243"/>
  <c r="AG209" i="243" s="1"/>
  <c r="AE209" i="243" s="1"/>
  <c r="T209" i="243"/>
  <c r="F209" i="243"/>
  <c r="CL208" i="243"/>
  <c r="CE208" i="243"/>
  <c r="CD208" i="243" s="1"/>
  <c r="CB208" i="243" s="1"/>
  <c r="BX208" i="243"/>
  <c r="BW208" i="243" s="1"/>
  <c r="BU208" i="243" s="1"/>
  <c r="BQ208" i="243"/>
  <c r="BP208" i="243" s="1"/>
  <c r="BN208" i="243" s="1"/>
  <c r="AO208" i="243"/>
  <c r="AN208" i="243" s="1"/>
  <c r="AL208" i="243" s="1"/>
  <c r="AH208" i="243"/>
  <c r="AG208" i="243" s="1"/>
  <c r="AE208" i="243" s="1"/>
  <c r="AA208" i="243"/>
  <c r="T208" i="243"/>
  <c r="M208" i="243"/>
  <c r="L208" i="243"/>
  <c r="K208" i="243"/>
  <c r="J208" i="243"/>
  <c r="I208" i="243"/>
  <c r="H208" i="243"/>
  <c r="G208" i="243"/>
  <c r="E208" i="243"/>
  <c r="F208" i="243" s="1"/>
  <c r="D208" i="243"/>
  <c r="C208" i="243"/>
  <c r="CL207" i="243"/>
  <c r="CE207" i="243"/>
  <c r="CD207" i="243" s="1"/>
  <c r="CB207" i="243" s="1"/>
  <c r="BX207" i="243"/>
  <c r="BW207" i="243" s="1"/>
  <c r="BU207" i="243" s="1"/>
  <c r="BQ207" i="243"/>
  <c r="BP207" i="243" s="1"/>
  <c r="BN207" i="243" s="1"/>
  <c r="AO207" i="243"/>
  <c r="AN207" i="243" s="1"/>
  <c r="AL207" i="243" s="1"/>
  <c r="AH207" i="243"/>
  <c r="AG207" i="243" s="1"/>
  <c r="AE207" i="243" s="1"/>
  <c r="AA207" i="243"/>
  <c r="T207" i="243"/>
  <c r="M207" i="243"/>
  <c r="L207" i="243"/>
  <c r="K207" i="243"/>
  <c r="J207" i="243"/>
  <c r="I207" i="243"/>
  <c r="H207" i="243"/>
  <c r="G207" i="243"/>
  <c r="E207" i="243"/>
  <c r="F207" i="243" s="1"/>
  <c r="D207" i="243"/>
  <c r="C207" i="243"/>
  <c r="AA206" i="243"/>
  <c r="AH206" i="243" s="1"/>
  <c r="M206" i="243"/>
  <c r="I206" i="243"/>
  <c r="J206" i="243" s="1"/>
  <c r="F206" i="243"/>
  <c r="D206" i="243"/>
  <c r="C206" i="243"/>
  <c r="BX205" i="243"/>
  <c r="BW205" i="243" s="1"/>
  <c r="BU205" i="243" s="1"/>
  <c r="BQ205" i="243"/>
  <c r="BP205" i="243" s="1"/>
  <c r="BN205" i="243" s="1"/>
  <c r="AO205" i="243"/>
  <c r="AN205" i="243" s="1"/>
  <c r="AL205" i="243" s="1"/>
  <c r="AH205" i="243"/>
  <c r="AG205" i="243" s="1"/>
  <c r="AE205" i="243" s="1"/>
  <c r="AA205" i="243"/>
  <c r="T205" i="243"/>
  <c r="M205" i="243"/>
  <c r="L205" i="243"/>
  <c r="K205" i="243"/>
  <c r="J205" i="243"/>
  <c r="I205" i="243"/>
  <c r="H205" i="243"/>
  <c r="G205" i="243"/>
  <c r="E205" i="243"/>
  <c r="F205" i="243" s="1"/>
  <c r="D205" i="243"/>
  <c r="C205" i="243"/>
  <c r="BX204" i="243"/>
  <c r="BW204" i="243" s="1"/>
  <c r="BU204" i="243" s="1"/>
  <c r="AH204" i="243"/>
  <c r="AG204" i="243" s="1"/>
  <c r="AE204" i="243" s="1"/>
  <c r="AA204" i="243"/>
  <c r="E204" i="243"/>
  <c r="D204" i="243"/>
  <c r="D226" i="243" s="1"/>
  <c r="C204" i="243"/>
  <c r="CL196" i="243"/>
  <c r="CL197" i="243" s="1"/>
  <c r="CE196" i="243"/>
  <c r="CE195" i="243" s="1"/>
  <c r="BX196" i="243"/>
  <c r="BQ196" i="243"/>
  <c r="BJ196" i="243"/>
  <c r="BJ197" i="243" s="1"/>
  <c r="BC196" i="243"/>
  <c r="BC197" i="243" s="1"/>
  <c r="AV196" i="243"/>
  <c r="AO196" i="243"/>
  <c r="AH196" i="243"/>
  <c r="AH197" i="243" s="1"/>
  <c r="AA196" i="243"/>
  <c r="AA195" i="243" s="1"/>
  <c r="T196" i="243"/>
  <c r="M196" i="243"/>
  <c r="L196" i="243"/>
  <c r="L197" i="243" s="1"/>
  <c r="K196" i="243"/>
  <c r="K197" i="243" s="1"/>
  <c r="J196" i="243"/>
  <c r="I196" i="243"/>
  <c r="H196" i="243"/>
  <c r="H197" i="243" s="1"/>
  <c r="G196" i="243"/>
  <c r="G195" i="243" s="1"/>
  <c r="F196" i="243"/>
  <c r="E196" i="243"/>
  <c r="D196" i="243"/>
  <c r="D195" i="243" s="1"/>
  <c r="C196" i="243"/>
  <c r="C197" i="243" s="1"/>
  <c r="D178" i="243"/>
  <c r="C178" i="243"/>
  <c r="CL174" i="243"/>
  <c r="CE174" i="243"/>
  <c r="BX174" i="243"/>
  <c r="BQ174" i="243"/>
  <c r="BJ174" i="243"/>
  <c r="BC174" i="243"/>
  <c r="AV174" i="243"/>
  <c r="AO174" i="243"/>
  <c r="AH174" i="243"/>
  <c r="AA174" i="243"/>
  <c r="T174" i="243"/>
  <c r="M174" i="243"/>
  <c r="L174" i="243"/>
  <c r="K174" i="243"/>
  <c r="J174" i="243"/>
  <c r="I174" i="243"/>
  <c r="H174" i="243"/>
  <c r="G174" i="243"/>
  <c r="F174" i="243"/>
  <c r="E174" i="243"/>
  <c r="D174" i="243"/>
  <c r="C174" i="243"/>
  <c r="CL173" i="243"/>
  <c r="CE173" i="243"/>
  <c r="BX173" i="243"/>
  <c r="BQ173" i="243"/>
  <c r="BJ173" i="243"/>
  <c r="BC173" i="243"/>
  <c r="AV173" i="243"/>
  <c r="AO173" i="243"/>
  <c r="AH173" i="243"/>
  <c r="AA173" i="243"/>
  <c r="T173" i="243"/>
  <c r="M173" i="243"/>
  <c r="L173" i="243"/>
  <c r="K173" i="243"/>
  <c r="J173" i="243"/>
  <c r="I173" i="243"/>
  <c r="H173" i="243"/>
  <c r="G173" i="243"/>
  <c r="F173" i="243"/>
  <c r="E173" i="243"/>
  <c r="D173" i="243"/>
  <c r="C173" i="243"/>
  <c r="CL170" i="243"/>
  <c r="CE170" i="243"/>
  <c r="BX170" i="243"/>
  <c r="BQ170" i="243"/>
  <c r="BJ170" i="243"/>
  <c r="BC170" i="243"/>
  <c r="AV170" i="243"/>
  <c r="AO170" i="243"/>
  <c r="AH170" i="243"/>
  <c r="AA170" i="243"/>
  <c r="T170" i="243"/>
  <c r="M170" i="243"/>
  <c r="L170" i="243"/>
  <c r="K170" i="243"/>
  <c r="J170" i="243"/>
  <c r="I170" i="243"/>
  <c r="H170" i="243"/>
  <c r="G170" i="243"/>
  <c r="F170" i="243"/>
  <c r="E170" i="243"/>
  <c r="D170" i="243"/>
  <c r="C170" i="243"/>
  <c r="CL164" i="243"/>
  <c r="CE164" i="243"/>
  <c r="BX164" i="243"/>
  <c r="BQ164" i="243"/>
  <c r="BJ164" i="243"/>
  <c r="BC164" i="243"/>
  <c r="AV164" i="243"/>
  <c r="AO164" i="243"/>
  <c r="AH164" i="243"/>
  <c r="AA164" i="243"/>
  <c r="T164" i="243"/>
  <c r="M164" i="243"/>
  <c r="L164" i="243"/>
  <c r="K164" i="243"/>
  <c r="J164" i="243"/>
  <c r="I164" i="243"/>
  <c r="H164" i="243"/>
  <c r="G164" i="243"/>
  <c r="F164" i="243"/>
  <c r="E164" i="243"/>
  <c r="D164" i="243"/>
  <c r="C164" i="243"/>
  <c r="CL161" i="243"/>
  <c r="CE161" i="243"/>
  <c r="BX161" i="243"/>
  <c r="BQ161" i="243"/>
  <c r="BJ161" i="243"/>
  <c r="BC161" i="243"/>
  <c r="AV161" i="243"/>
  <c r="AO161" i="243"/>
  <c r="AH161" i="243"/>
  <c r="AA161" i="243"/>
  <c r="T161" i="243"/>
  <c r="M161" i="243"/>
  <c r="L161" i="243"/>
  <c r="K161" i="243"/>
  <c r="J161" i="243"/>
  <c r="I161" i="243"/>
  <c r="H161" i="243"/>
  <c r="G161" i="243"/>
  <c r="F161" i="243"/>
  <c r="E161" i="243"/>
  <c r="D161" i="243"/>
  <c r="C161" i="243"/>
  <c r="CL158" i="243"/>
  <c r="CE158" i="243"/>
  <c r="BX158" i="243"/>
  <c r="BQ158" i="243"/>
  <c r="BJ158" i="243"/>
  <c r="BC158" i="243"/>
  <c r="AV158" i="243"/>
  <c r="AO158" i="243"/>
  <c r="AH158" i="243"/>
  <c r="AA158" i="243"/>
  <c r="T158" i="243"/>
  <c r="M158" i="243"/>
  <c r="L158" i="243"/>
  <c r="K158" i="243"/>
  <c r="J158" i="243"/>
  <c r="I158" i="243"/>
  <c r="H158" i="243"/>
  <c r="G158" i="243"/>
  <c r="F158" i="243"/>
  <c r="CL152" i="243"/>
  <c r="CE152" i="243"/>
  <c r="BX152" i="243"/>
  <c r="BQ152" i="243"/>
  <c r="BJ152" i="243"/>
  <c r="AV152" i="243"/>
  <c r="AO152" i="243"/>
  <c r="AH152" i="243"/>
  <c r="AA152" i="243"/>
  <c r="T152" i="243"/>
  <c r="M152" i="243"/>
  <c r="L152" i="243"/>
  <c r="K152" i="243"/>
  <c r="J152" i="243"/>
  <c r="I152" i="243"/>
  <c r="H152" i="243"/>
  <c r="G152" i="243"/>
  <c r="F152" i="243"/>
  <c r="E152" i="243"/>
  <c r="D152" i="243"/>
  <c r="C152" i="243"/>
  <c r="L148" i="243"/>
  <c r="K148" i="243"/>
  <c r="J148" i="243"/>
  <c r="I148" i="243"/>
  <c r="H148" i="243"/>
  <c r="G148" i="243"/>
  <c r="F148" i="243"/>
  <c r="E148" i="243"/>
  <c r="D148" i="243"/>
  <c r="L147" i="243"/>
  <c r="K147" i="243"/>
  <c r="J147" i="243"/>
  <c r="I147" i="243"/>
  <c r="H147" i="243"/>
  <c r="G147" i="243"/>
  <c r="F147" i="243"/>
  <c r="E147" i="243"/>
  <c r="D147" i="243"/>
  <c r="D146" i="243"/>
  <c r="E146" i="243" s="1"/>
  <c r="F146" i="243" s="1"/>
  <c r="G146" i="243" s="1"/>
  <c r="H146" i="243" s="1"/>
  <c r="I146" i="243" s="1"/>
  <c r="J146" i="243" s="1"/>
  <c r="K146" i="243" s="1"/>
  <c r="L146" i="243" s="1"/>
  <c r="D142" i="243"/>
  <c r="A141" i="243"/>
  <c r="L139" i="243"/>
  <c r="L142" i="243" s="1"/>
  <c r="K139" i="243"/>
  <c r="K142" i="243" s="1"/>
  <c r="J139" i="243"/>
  <c r="J142" i="243" s="1"/>
  <c r="I139" i="243"/>
  <c r="I142" i="243" s="1"/>
  <c r="H139" i="243"/>
  <c r="H142" i="243" s="1"/>
  <c r="G139" i="243"/>
  <c r="G142" i="243" s="1"/>
  <c r="F139" i="243"/>
  <c r="F142" i="243" s="1"/>
  <c r="E139" i="243"/>
  <c r="E142" i="243" s="1"/>
  <c r="D137" i="243"/>
  <c r="D149" i="243" s="1"/>
  <c r="D135" i="243"/>
  <c r="L132" i="243"/>
  <c r="L137" i="243" s="1"/>
  <c r="K132" i="243"/>
  <c r="K137" i="243" s="1"/>
  <c r="J132" i="243"/>
  <c r="J137" i="243" s="1"/>
  <c r="I132" i="243"/>
  <c r="H132" i="243"/>
  <c r="H137" i="243" s="1"/>
  <c r="G132" i="243"/>
  <c r="G137" i="243" s="1"/>
  <c r="F132" i="243"/>
  <c r="F137" i="243" s="1"/>
  <c r="E132" i="243"/>
  <c r="L129" i="243"/>
  <c r="K129" i="243"/>
  <c r="J129" i="243"/>
  <c r="I129" i="243"/>
  <c r="H129" i="243"/>
  <c r="G129" i="243"/>
  <c r="F129" i="243"/>
  <c r="E129" i="243"/>
  <c r="D129" i="243"/>
  <c r="L128" i="243"/>
  <c r="K128" i="243"/>
  <c r="J128" i="243"/>
  <c r="I128" i="243"/>
  <c r="H128" i="243"/>
  <c r="G128" i="243"/>
  <c r="F128" i="243"/>
  <c r="E128" i="243"/>
  <c r="D128" i="243"/>
  <c r="AH124" i="243"/>
  <c r="AA124" i="243"/>
  <c r="T124" i="243"/>
  <c r="M124" i="243"/>
  <c r="F124" i="243"/>
  <c r="E124" i="243"/>
  <c r="D124" i="243"/>
  <c r="BJ123" i="243"/>
  <c r="BC123" i="243"/>
  <c r="AV123" i="243"/>
  <c r="AO123" i="243"/>
  <c r="AH123" i="243"/>
  <c r="AA123" i="243"/>
  <c r="T123" i="243"/>
  <c r="M123" i="243"/>
  <c r="F123" i="243"/>
  <c r="E123" i="243"/>
  <c r="D123" i="243"/>
  <c r="T122" i="243"/>
  <c r="M122" i="243"/>
  <c r="G122" i="243"/>
  <c r="H122" i="243" s="1"/>
  <c r="D122" i="243"/>
  <c r="AA118" i="243"/>
  <c r="T118" i="243"/>
  <c r="T119" i="243" s="1"/>
  <c r="AA115" i="243" s="1"/>
  <c r="D118" i="243"/>
  <c r="BX117" i="243"/>
  <c r="BQ117" i="243"/>
  <c r="BJ117" i="243"/>
  <c r="BC117" i="243"/>
  <c r="AV117" i="243"/>
  <c r="BQ115" i="243"/>
  <c r="BC115" i="243"/>
  <c r="AV115" i="243"/>
  <c r="G115" i="243"/>
  <c r="F115" i="243"/>
  <c r="E115" i="243"/>
  <c r="E118" i="243" s="1"/>
  <c r="D112" i="243"/>
  <c r="D125" i="243" s="1"/>
  <c r="F111" i="243"/>
  <c r="F112" i="243" s="1"/>
  <c r="AA110" i="243"/>
  <c r="T110" i="243"/>
  <c r="T111" i="243" s="1"/>
  <c r="T112" i="243" s="1"/>
  <c r="D110" i="243"/>
  <c r="BQ107" i="243"/>
  <c r="BJ107" i="243"/>
  <c r="BJ112" i="243" s="1"/>
  <c r="BC107" i="243"/>
  <c r="AV107" i="243"/>
  <c r="AV112" i="243" s="1"/>
  <c r="E107" i="243"/>
  <c r="E122" i="243" s="1"/>
  <c r="CL104" i="243"/>
  <c r="CE104" i="243"/>
  <c r="BX104" i="243"/>
  <c r="BQ104" i="243"/>
  <c r="BJ104" i="243"/>
  <c r="BC104" i="243"/>
  <c r="BC119" i="243" s="1"/>
  <c r="AV104" i="243"/>
  <c r="AV119" i="243" s="1"/>
  <c r="AA104" i="243"/>
  <c r="T104" i="243"/>
  <c r="M104" i="243"/>
  <c r="L104" i="243"/>
  <c r="K104" i="243"/>
  <c r="J104" i="243"/>
  <c r="I104" i="243"/>
  <c r="H104" i="243"/>
  <c r="G104" i="243"/>
  <c r="BJ103" i="243"/>
  <c r="AO103" i="243"/>
  <c r="M103" i="243"/>
  <c r="F103" i="243"/>
  <c r="E103" i="243"/>
  <c r="E102" i="243" s="1"/>
  <c r="D103" i="243"/>
  <c r="BC102" i="243"/>
  <c r="AV102" i="243"/>
  <c r="AO102" i="243"/>
  <c r="D102" i="243"/>
  <c r="BJ98" i="243"/>
  <c r="BQ95" i="243" s="1"/>
  <c r="AO98" i="243"/>
  <c r="BC95" i="243" s="1"/>
  <c r="D98" i="243"/>
  <c r="D84" i="243" s="1"/>
  <c r="AA97" i="243"/>
  <c r="T97" i="243"/>
  <c r="M97" i="243"/>
  <c r="L97" i="243"/>
  <c r="K97" i="243"/>
  <c r="J97" i="243"/>
  <c r="I97" i="243"/>
  <c r="H97" i="243"/>
  <c r="G97" i="243"/>
  <c r="F97" i="243"/>
  <c r="E97" i="243"/>
  <c r="CL96" i="243"/>
  <c r="CE96" i="243"/>
  <c r="BX96" i="243"/>
  <c r="BQ96" i="243"/>
  <c r="BJ96" i="243"/>
  <c r="AV96" i="243"/>
  <c r="AO96" i="243"/>
  <c r="AH96" i="243"/>
  <c r="AA96" i="243"/>
  <c r="T96" i="243"/>
  <c r="M96" i="243"/>
  <c r="L96" i="243"/>
  <c r="K96" i="243"/>
  <c r="J96" i="243"/>
  <c r="I96" i="243"/>
  <c r="H96" i="243"/>
  <c r="G96" i="243"/>
  <c r="F96" i="243"/>
  <c r="T95" i="243"/>
  <c r="M95" i="243"/>
  <c r="BJ91" i="243"/>
  <c r="BC91" i="243"/>
  <c r="AV91" i="243"/>
  <c r="AV83" i="243" s="1"/>
  <c r="AO91" i="243"/>
  <c r="AV88" i="243" s="1"/>
  <c r="M91" i="243"/>
  <c r="AA90" i="243"/>
  <c r="T90" i="243"/>
  <c r="BQ89" i="243"/>
  <c r="BJ89" i="243"/>
  <c r="AV89" i="243"/>
  <c r="AO89" i="243"/>
  <c r="AH89" i="243"/>
  <c r="AA89" i="243"/>
  <c r="T89" i="243"/>
  <c r="M89" i="243"/>
  <c r="D89" i="243"/>
  <c r="D91" i="243" s="1"/>
  <c r="D83" i="243" s="1"/>
  <c r="T88" i="243"/>
  <c r="M88" i="243"/>
  <c r="F88" i="243"/>
  <c r="CL85" i="243"/>
  <c r="CE85" i="243"/>
  <c r="BX85" i="243"/>
  <c r="BQ85" i="243"/>
  <c r="BJ85" i="243"/>
  <c r="AV85" i="243"/>
  <c r="A84" i="243"/>
  <c r="BJ79" i="243"/>
  <c r="BQ76" i="243" s="1"/>
  <c r="AV79" i="243"/>
  <c r="AV65" i="243" s="1"/>
  <c r="H79" i="243"/>
  <c r="I76" i="243" s="1"/>
  <c r="I79" i="243" s="1"/>
  <c r="AA78" i="243"/>
  <c r="D78" i="243"/>
  <c r="A78" i="243"/>
  <c r="CL77" i="243"/>
  <c r="CE77" i="243"/>
  <c r="BX77" i="243"/>
  <c r="BQ77" i="243"/>
  <c r="AV77" i="243"/>
  <c r="BC77" i="243" s="1"/>
  <c r="AO77" i="243"/>
  <c r="G77" i="243"/>
  <c r="F77" i="243"/>
  <c r="E77" i="243"/>
  <c r="F76" i="243"/>
  <c r="E76" i="243"/>
  <c r="BJ72" i="243"/>
  <c r="BQ69" i="243" s="1"/>
  <c r="AA71" i="243"/>
  <c r="T71" i="243"/>
  <c r="T72" i="243" s="1"/>
  <c r="M71" i="243"/>
  <c r="L71" i="243"/>
  <c r="F71" i="243"/>
  <c r="E71" i="243"/>
  <c r="J70" i="243"/>
  <c r="I70" i="243"/>
  <c r="H70" i="243"/>
  <c r="G70" i="243"/>
  <c r="F70" i="243"/>
  <c r="D70" i="243"/>
  <c r="D72" i="243" s="1"/>
  <c r="BJ69" i="243"/>
  <c r="BC69" i="243"/>
  <c r="BC73" i="243" s="1"/>
  <c r="BC66" i="243"/>
  <c r="E65" i="243"/>
  <c r="D65" i="243"/>
  <c r="BC64" i="243"/>
  <c r="AV64" i="243"/>
  <c r="AO56" i="243"/>
  <c r="N61" i="139" s="1"/>
  <c r="AH56" i="243"/>
  <c r="M61" i="139" s="1"/>
  <c r="AA56" i="243"/>
  <c r="L61" i="139" s="1"/>
  <c r="T56" i="243"/>
  <c r="K61" i="139" s="1"/>
  <c r="I56" i="243"/>
  <c r="F61" i="139" s="1"/>
  <c r="H56" i="243"/>
  <c r="E61" i="139" s="1"/>
  <c r="G56" i="243"/>
  <c r="D61" i="139" s="1"/>
  <c r="F56" i="243"/>
  <c r="C61" i="139" s="1"/>
  <c r="E56" i="243"/>
  <c r="B61" i="139" s="1"/>
  <c r="D56" i="243"/>
  <c r="C56" i="243"/>
  <c r="B56" i="243"/>
  <c r="M54" i="243"/>
  <c r="M56" i="243" s="1"/>
  <c r="J61" i="139" s="1"/>
  <c r="L54" i="243"/>
  <c r="L56" i="243" s="1"/>
  <c r="I61" i="139" s="1"/>
  <c r="CL53" i="243"/>
  <c r="CK53" i="243" s="1"/>
  <c r="CE53" i="243"/>
  <c r="BX53" i="243"/>
  <c r="BQ53" i="243"/>
  <c r="BJ53" i="243"/>
  <c r="BC53" i="243"/>
  <c r="BC56" i="243" s="1"/>
  <c r="O61" i="139" s="1"/>
  <c r="AV53" i="243"/>
  <c r="K53" i="243"/>
  <c r="K56" i="243" s="1"/>
  <c r="J53" i="243"/>
  <c r="J56" i="243" s="1"/>
  <c r="G61" i="139" s="1"/>
  <c r="CL49" i="243"/>
  <c r="CE49" i="243"/>
  <c r="BX49" i="243"/>
  <c r="BQ49" i="243"/>
  <c r="T49" i="243"/>
  <c r="M49" i="243"/>
  <c r="L49" i="243"/>
  <c r="K49" i="243"/>
  <c r="J49" i="243"/>
  <c r="I49" i="243"/>
  <c r="H49" i="243"/>
  <c r="G49" i="243"/>
  <c r="F49" i="243"/>
  <c r="E49" i="243"/>
  <c r="BJ44" i="243"/>
  <c r="BI44" i="243" s="1"/>
  <c r="BG44" i="243" s="1"/>
  <c r="AV44" i="243"/>
  <c r="AU44" i="243" s="1"/>
  <c r="AS44" i="243" s="1"/>
  <c r="AO44" i="243"/>
  <c r="AN44" i="243" s="1"/>
  <c r="AL44" i="243" s="1"/>
  <c r="AH44" i="243"/>
  <c r="AG44" i="243" s="1"/>
  <c r="AE44" i="243" s="1"/>
  <c r="AA44" i="243"/>
  <c r="T44" i="243"/>
  <c r="M44" i="243"/>
  <c r="L44" i="243"/>
  <c r="K44" i="243"/>
  <c r="J44" i="243"/>
  <c r="I44" i="243"/>
  <c r="H44" i="243"/>
  <c r="M251" i="243"/>
  <c r="L251" i="243"/>
  <c r="K251" i="243"/>
  <c r="J37" i="243"/>
  <c r="J252" i="243" s="1"/>
  <c r="G37" i="243"/>
  <c r="CL37" i="243"/>
  <c r="CK37" i="243" s="1"/>
  <c r="CE37" i="243"/>
  <c r="CD37" i="243" s="1"/>
  <c r="BX37" i="243"/>
  <c r="BW37" i="243" s="1"/>
  <c r="BQ37" i="243"/>
  <c r="BP37" i="243" s="1"/>
  <c r="BJ37" i="243"/>
  <c r="BI37" i="243" s="1"/>
  <c r="BC37" i="243"/>
  <c r="BC45" i="243" s="1"/>
  <c r="AV37" i="243"/>
  <c r="AO37" i="243"/>
  <c r="AN37" i="243" s="1"/>
  <c r="AH37" i="243"/>
  <c r="AG37" i="243" s="1"/>
  <c r="AA37" i="243"/>
  <c r="Z37" i="243" s="1"/>
  <c r="L37" i="243"/>
  <c r="H37" i="243"/>
  <c r="F37" i="243"/>
  <c r="E37" i="243"/>
  <c r="D37" i="243"/>
  <c r="C37" i="243"/>
  <c r="B37" i="243"/>
  <c r="BJ35" i="243"/>
  <c r="BJ49" i="243" s="1"/>
  <c r="BC35" i="243"/>
  <c r="BC49" i="243" s="1"/>
  <c r="AV35" i="243"/>
  <c r="AV49" i="243" s="1"/>
  <c r="AO35" i="243"/>
  <c r="AO49" i="243" s="1"/>
  <c r="AH35" i="243"/>
  <c r="AH49" i="243" s="1"/>
  <c r="AA35" i="243"/>
  <c r="CL34" i="243"/>
  <c r="CE34" i="243"/>
  <c r="BX34" i="243"/>
  <c r="BQ34" i="243"/>
  <c r="T34" i="243"/>
  <c r="T178" i="243" s="1"/>
  <c r="M34" i="243"/>
  <c r="M178" i="243" s="1"/>
  <c r="L34" i="243"/>
  <c r="L178" i="243" s="1"/>
  <c r="K34" i="243"/>
  <c r="K178" i="243" s="1"/>
  <c r="J34" i="243"/>
  <c r="J178" i="243" s="1"/>
  <c r="H34" i="243"/>
  <c r="H178" i="243" s="1"/>
  <c r="E34" i="243"/>
  <c r="E178" i="243" s="1"/>
  <c r="I33" i="243"/>
  <c r="I34" i="243" s="1"/>
  <c r="I178" i="243" s="1"/>
  <c r="G33" i="243"/>
  <c r="G34" i="243" s="1"/>
  <c r="G178" i="243" s="1"/>
  <c r="F33" i="243"/>
  <c r="F34" i="243" s="1"/>
  <c r="F178" i="243" s="1"/>
  <c r="D32" i="243"/>
  <c r="D43" i="243" s="1"/>
  <c r="BC28" i="243"/>
  <c r="BC211" i="243" s="1"/>
  <c r="BC27" i="243"/>
  <c r="BC255" i="243" s="1"/>
  <c r="CL24" i="243"/>
  <c r="T71" i="139" s="1"/>
  <c r="CE24" i="243"/>
  <c r="S71" i="139" s="1"/>
  <c r="BX24" i="243"/>
  <c r="R71" i="139" s="1"/>
  <c r="BQ24" i="243"/>
  <c r="Q71" i="139" s="1"/>
  <c r="T24" i="243"/>
  <c r="K71" i="139" s="1"/>
  <c r="M24" i="243"/>
  <c r="J71" i="139" s="1"/>
  <c r="L24" i="243"/>
  <c r="I71" i="139" s="1"/>
  <c r="K24" i="243"/>
  <c r="H71" i="139" s="1"/>
  <c r="J24" i="243"/>
  <c r="G71" i="139" s="1"/>
  <c r="I24" i="243"/>
  <c r="F71" i="139" s="1"/>
  <c r="H24" i="243"/>
  <c r="E71" i="139" s="1"/>
  <c r="G24" i="243"/>
  <c r="D71" i="139" s="1"/>
  <c r="F24" i="243"/>
  <c r="E24" i="243"/>
  <c r="B71" i="139" s="1"/>
  <c r="D24" i="243"/>
  <c r="C24" i="243"/>
  <c r="B24" i="243"/>
  <c r="BC22" i="243"/>
  <c r="D21" i="243"/>
  <c r="C21" i="243"/>
  <c r="B21" i="243"/>
  <c r="H20" i="243"/>
  <c r="H21" i="243" s="1"/>
  <c r="G20" i="243"/>
  <c r="G21" i="243" s="1"/>
  <c r="F20" i="243"/>
  <c r="E20" i="243"/>
  <c r="E21" i="243" s="1"/>
  <c r="CL19" i="243"/>
  <c r="CE19" i="243"/>
  <c r="BX19" i="243"/>
  <c r="BQ19" i="243"/>
  <c r="BJ19" i="243"/>
  <c r="BC19" i="243"/>
  <c r="AV19" i="243"/>
  <c r="AO19" i="243"/>
  <c r="AH19" i="243"/>
  <c r="AA19" i="243"/>
  <c r="T19" i="243"/>
  <c r="T21" i="243" s="1"/>
  <c r="M19" i="243"/>
  <c r="M21" i="243" s="1"/>
  <c r="L19" i="243"/>
  <c r="L21" i="243" s="1"/>
  <c r="K19" i="243"/>
  <c r="K21" i="243" s="1"/>
  <c r="J19" i="243"/>
  <c r="J21" i="243" s="1"/>
  <c r="I19" i="243"/>
  <c r="I21" i="243" s="1"/>
  <c r="F14" i="243"/>
  <c r="F104" i="243" s="1"/>
  <c r="BJ11" i="243"/>
  <c r="BC11" i="243"/>
  <c r="AV11" i="243"/>
  <c r="AV24" i="243" s="1"/>
  <c r="AO11" i="243"/>
  <c r="AO24" i="243" s="1"/>
  <c r="AH11" i="243"/>
  <c r="AA11" i="243"/>
  <c r="D10" i="243"/>
  <c r="D167" i="243" s="1"/>
  <c r="C10" i="243"/>
  <c r="B10" i="243"/>
  <c r="CL9" i="243"/>
  <c r="CE9" i="243"/>
  <c r="BX9" i="243"/>
  <c r="BQ9" i="243"/>
  <c r="BJ9" i="243"/>
  <c r="BI9" i="243" s="1"/>
  <c r="BG9" i="243" s="1"/>
  <c r="BC9" i="243"/>
  <c r="AV9" i="243"/>
  <c r="AU9" i="243" s="1"/>
  <c r="AS9" i="243" s="1"/>
  <c r="AO9" i="243"/>
  <c r="AN9" i="243" s="1"/>
  <c r="AL9" i="243" s="1"/>
  <c r="AH9" i="243"/>
  <c r="AG9" i="243" s="1"/>
  <c r="AE9" i="243" s="1"/>
  <c r="AA9" i="243"/>
  <c r="T9" i="243"/>
  <c r="M9" i="243"/>
  <c r="M10" i="243" s="1"/>
  <c r="M167" i="243" s="1"/>
  <c r="L9" i="243"/>
  <c r="L10" i="243" s="1"/>
  <c r="L167" i="243" s="1"/>
  <c r="K9" i="243"/>
  <c r="K10" i="243" s="1"/>
  <c r="K167" i="243" s="1"/>
  <c r="J9" i="243"/>
  <c r="J10" i="243" s="1"/>
  <c r="J167" i="243" s="1"/>
  <c r="I9" i="243"/>
  <c r="I10" i="243" s="1"/>
  <c r="I167" i="243" s="1"/>
  <c r="H9" i="243"/>
  <c r="H10" i="243" s="1"/>
  <c r="H167" i="243" s="1"/>
  <c r="G9" i="243"/>
  <c r="G10" i="243" s="1"/>
  <c r="G167" i="243" s="1"/>
  <c r="F9" i="243"/>
  <c r="E9" i="243"/>
  <c r="E10" i="243" s="1"/>
  <c r="E167" i="243" s="1"/>
  <c r="AH7" i="243"/>
  <c r="AG7" i="243" s="1"/>
  <c r="AA7" i="243"/>
  <c r="Z7" i="243" s="1"/>
  <c r="F241" i="243"/>
  <c r="F6" i="243"/>
  <c r="EP2" i="243"/>
  <c r="EI2" i="243"/>
  <c r="EB2" i="243"/>
  <c r="DU2" i="243"/>
  <c r="DN2" i="243"/>
  <c r="DG2" i="243"/>
  <c r="CZ2" i="243"/>
  <c r="CS2" i="243"/>
  <c r="CL2" i="243"/>
  <c r="CE2" i="243"/>
  <c r="BX2" i="243"/>
  <c r="BQ2" i="243"/>
  <c r="BJ2" i="243"/>
  <c r="AV2" i="243"/>
  <c r="AO2" i="243"/>
  <c r="AH2" i="243"/>
  <c r="AA2" i="243"/>
  <c r="T2" i="243"/>
  <c r="M2" i="243"/>
  <c r="L2" i="243"/>
  <c r="K2" i="243"/>
  <c r="J2" i="243"/>
  <c r="I2" i="243"/>
  <c r="H2" i="243"/>
  <c r="G2" i="243"/>
  <c r="F2" i="243"/>
  <c r="E2" i="243"/>
  <c r="D2" i="243"/>
  <c r="C2" i="243"/>
  <c r="B2" i="243"/>
  <c r="CL84" i="242"/>
  <c r="CE84" i="242"/>
  <c r="BX84" i="242"/>
  <c r="BQ84" i="242"/>
  <c r="BJ84" i="242"/>
  <c r="BC84" i="242"/>
  <c r="AV84" i="242"/>
  <c r="AO84" i="242"/>
  <c r="AH84" i="242"/>
  <c r="AA84" i="242"/>
  <c r="T84" i="242"/>
  <c r="M84" i="242"/>
  <c r="CL83" i="242"/>
  <c r="CE83" i="242"/>
  <c r="BX83" i="242"/>
  <c r="BQ83" i="242"/>
  <c r="BJ83" i="242"/>
  <c r="AV83" i="242"/>
  <c r="AO83" i="242"/>
  <c r="AH83" i="242"/>
  <c r="AA83" i="242"/>
  <c r="T83" i="242"/>
  <c r="M83" i="242"/>
  <c r="CL81" i="242"/>
  <c r="CE81" i="242"/>
  <c r="BX81" i="242"/>
  <c r="BQ81" i="242"/>
  <c r="BJ81" i="242"/>
  <c r="BC81" i="242"/>
  <c r="AV81" i="242"/>
  <c r="AO81" i="242"/>
  <c r="AH81" i="242"/>
  <c r="AH82" i="242" s="1"/>
  <c r="AA81" i="242"/>
  <c r="AA82" i="242" s="1"/>
  <c r="T81" i="242"/>
  <c r="M81" i="242"/>
  <c r="CL80" i="242"/>
  <c r="CE80" i="242"/>
  <c r="BX80" i="242"/>
  <c r="BQ80" i="242"/>
  <c r="BJ80" i="242"/>
  <c r="BC80" i="242"/>
  <c r="AV80" i="242"/>
  <c r="AO80" i="242"/>
  <c r="T80" i="242"/>
  <c r="M80" i="242"/>
  <c r="BQ75" i="242"/>
  <c r="BJ75" i="242"/>
  <c r="BC75" i="242"/>
  <c r="AV75" i="242"/>
  <c r="AO75" i="242"/>
  <c r="BC71" i="242"/>
  <c r="CE38" i="242"/>
  <c r="AO38" i="242"/>
  <c r="AH38" i="242"/>
  <c r="M38" i="242"/>
  <c r="I38" i="242"/>
  <c r="E38" i="242"/>
  <c r="D37" i="242"/>
  <c r="D38" i="242" s="1"/>
  <c r="C37" i="242"/>
  <c r="C38" i="242" s="1"/>
  <c r="BC36" i="242"/>
  <c r="BB36" i="242" s="1"/>
  <c r="AZ36" i="242" s="1"/>
  <c r="BC35" i="242"/>
  <c r="BB35" i="242" s="1"/>
  <c r="AZ35" i="242" s="1"/>
  <c r="G35" i="242"/>
  <c r="BC34" i="242"/>
  <c r="BB34" i="242" s="1"/>
  <c r="CL33" i="242"/>
  <c r="CK33" i="242" s="1"/>
  <c r="BX33" i="242"/>
  <c r="BQ33" i="242"/>
  <c r="BJ33" i="242"/>
  <c r="BC33" i="242"/>
  <c r="BB33" i="242" s="1"/>
  <c r="AZ33" i="242" s="1"/>
  <c r="AV33" i="242"/>
  <c r="AA33" i="242"/>
  <c r="T33" i="242"/>
  <c r="L33" i="242"/>
  <c r="L38" i="242" s="1"/>
  <c r="K33" i="242"/>
  <c r="K38" i="242" s="1"/>
  <c r="J33" i="242"/>
  <c r="J38" i="242" s="1"/>
  <c r="H33" i="242"/>
  <c r="H38" i="242" s="1"/>
  <c r="G33" i="242"/>
  <c r="F33" i="242"/>
  <c r="F38" i="242" s="1"/>
  <c r="M29" i="242"/>
  <c r="CL28" i="242"/>
  <c r="CE28" i="242"/>
  <c r="BX28" i="242"/>
  <c r="BW28" i="242" s="1"/>
  <c r="BU28" i="242" s="1"/>
  <c r="BQ28" i="242"/>
  <c r="BP28" i="242" s="1"/>
  <c r="BN28" i="242" s="1"/>
  <c r="BJ28" i="242"/>
  <c r="BI28" i="242" s="1"/>
  <c r="BG28" i="242" s="1"/>
  <c r="BC28" i="242"/>
  <c r="BB28" i="242" s="1"/>
  <c r="AZ28" i="242" s="1"/>
  <c r="AV28" i="242"/>
  <c r="AU28" i="242" s="1"/>
  <c r="AS28" i="242" s="1"/>
  <c r="AA28" i="242"/>
  <c r="Z28" i="242" s="1"/>
  <c r="X28" i="242" s="1"/>
  <c r="T28" i="242"/>
  <c r="S28" i="242" s="1"/>
  <c r="Q28" i="242" s="1"/>
  <c r="CL25" i="242"/>
  <c r="CK25" i="242" s="1"/>
  <c r="CI25" i="242" s="1"/>
  <c r="CE25" i="242"/>
  <c r="CD25" i="242" s="1"/>
  <c r="CB25" i="242" s="1"/>
  <c r="BX25" i="242"/>
  <c r="BW25" i="242" s="1"/>
  <c r="BU25" i="242" s="1"/>
  <c r="BQ25" i="242"/>
  <c r="BP25" i="242" s="1"/>
  <c r="BN25" i="242" s="1"/>
  <c r="BJ25" i="242"/>
  <c r="BI25" i="242" s="1"/>
  <c r="BG25" i="242" s="1"/>
  <c r="BC25" i="242"/>
  <c r="BB25" i="242" s="1"/>
  <c r="AZ25" i="242" s="1"/>
  <c r="AV25" i="242"/>
  <c r="AU25" i="242" s="1"/>
  <c r="AS25" i="242" s="1"/>
  <c r="AO25" i="242"/>
  <c r="AN25" i="242" s="1"/>
  <c r="AL25" i="242" s="1"/>
  <c r="AH25" i="242"/>
  <c r="AG25" i="242" s="1"/>
  <c r="AE25" i="242" s="1"/>
  <c r="AA25" i="242"/>
  <c r="Z25" i="242" s="1"/>
  <c r="X25" i="242" s="1"/>
  <c r="T25" i="242"/>
  <c r="S25" i="242" s="1"/>
  <c r="Q25" i="242" s="1"/>
  <c r="M25" i="242"/>
  <c r="L25" i="242"/>
  <c r="K25" i="242"/>
  <c r="J25" i="242"/>
  <c r="I25" i="242"/>
  <c r="H25" i="242"/>
  <c r="G25" i="242"/>
  <c r="F25" i="242"/>
  <c r="E25" i="242"/>
  <c r="D25" i="242"/>
  <c r="BC24" i="242"/>
  <c r="BB24" i="242" s="1"/>
  <c r="AZ24" i="242" s="1"/>
  <c r="AV24" i="242"/>
  <c r="AU24" i="242" s="1"/>
  <c r="AS24" i="242" s="1"/>
  <c r="AO24" i="242"/>
  <c r="AN24" i="242" s="1"/>
  <c r="AL24" i="242" s="1"/>
  <c r="AH24" i="242"/>
  <c r="AG24" i="242" s="1"/>
  <c r="AE24" i="242" s="1"/>
  <c r="AA24" i="242"/>
  <c r="Z24" i="242" s="1"/>
  <c r="X24" i="242" s="1"/>
  <c r="L24" i="242"/>
  <c r="K24" i="242"/>
  <c r="J24" i="242"/>
  <c r="I24" i="242"/>
  <c r="G24" i="242"/>
  <c r="F24" i="242"/>
  <c r="D24" i="242"/>
  <c r="C24" i="242"/>
  <c r="CL23" i="242"/>
  <c r="CK23" i="242" s="1"/>
  <c r="CE23" i="242"/>
  <c r="CD23" i="242" s="1"/>
  <c r="BX23" i="242"/>
  <c r="BQ23" i="242"/>
  <c r="BJ23" i="242"/>
  <c r="BC23" i="242"/>
  <c r="AV23" i="242"/>
  <c r="AO23" i="242"/>
  <c r="AH23" i="242"/>
  <c r="AA23" i="242"/>
  <c r="T23" i="242"/>
  <c r="M23" i="242"/>
  <c r="L23" i="242"/>
  <c r="K23" i="242"/>
  <c r="J23" i="242"/>
  <c r="I23" i="242"/>
  <c r="H23" i="242"/>
  <c r="G23" i="242"/>
  <c r="F23" i="242"/>
  <c r="E23" i="242"/>
  <c r="D23" i="242"/>
  <c r="C23" i="242"/>
  <c r="CL20" i="242"/>
  <c r="CE20" i="242"/>
  <c r="CD20" i="242" s="1"/>
  <c r="BX20" i="242"/>
  <c r="BQ20" i="242"/>
  <c r="BC20" i="242"/>
  <c r="BB20" i="242" s="1"/>
  <c r="AV20" i="242"/>
  <c r="AU20" i="242" s="1"/>
  <c r="AO20" i="242"/>
  <c r="AN20" i="242" s="1"/>
  <c r="AH20" i="242"/>
  <c r="AA20" i="242"/>
  <c r="T20" i="242"/>
  <c r="S20" i="242" s="1"/>
  <c r="M20" i="242"/>
  <c r="M189" i="243" s="1"/>
  <c r="L20" i="242"/>
  <c r="L189" i="243" s="1"/>
  <c r="K20" i="242"/>
  <c r="K189" i="243" s="1"/>
  <c r="G20" i="242"/>
  <c r="G189" i="243" s="1"/>
  <c r="F20" i="242"/>
  <c r="F189" i="243" s="1"/>
  <c r="E20" i="242"/>
  <c r="E189" i="243" s="1"/>
  <c r="D20" i="242"/>
  <c r="D189" i="243" s="1"/>
  <c r="BJ19" i="242"/>
  <c r="BJ20" i="242" s="1"/>
  <c r="BI20" i="242" s="1"/>
  <c r="J19" i="242"/>
  <c r="I19" i="242"/>
  <c r="H19" i="242"/>
  <c r="C19" i="242"/>
  <c r="C20" i="242" s="1"/>
  <c r="J18" i="242"/>
  <c r="H18" i="242"/>
  <c r="J17" i="242"/>
  <c r="I17" i="242"/>
  <c r="H17" i="242"/>
  <c r="CK10" i="242"/>
  <c r="CI10" i="242" s="1"/>
  <c r="CD10" i="242"/>
  <c r="CB10" i="242" s="1"/>
  <c r="BW10" i="242"/>
  <c r="BU10" i="242" s="1"/>
  <c r="BP10" i="242"/>
  <c r="BN10" i="242" s="1"/>
  <c r="BI10" i="242"/>
  <c r="BG10" i="242" s="1"/>
  <c r="BB10" i="242"/>
  <c r="AZ10" i="242" s="1"/>
  <c r="AU10" i="242"/>
  <c r="AS10" i="242" s="1"/>
  <c r="AN10" i="242"/>
  <c r="AL10" i="242" s="1"/>
  <c r="AG10" i="242"/>
  <c r="AE10" i="242" s="1"/>
  <c r="Z10" i="242"/>
  <c r="X10" i="242" s="1"/>
  <c r="S10" i="242"/>
  <c r="Q10" i="242" s="1"/>
  <c r="L10" i="242"/>
  <c r="K10" i="242"/>
  <c r="J10" i="242"/>
  <c r="CL9" i="242"/>
  <c r="CK9" i="242" s="1"/>
  <c r="CI9" i="242" s="1"/>
  <c r="CE9" i="242"/>
  <c r="CD9" i="242" s="1"/>
  <c r="CB9" i="242" s="1"/>
  <c r="BX9" i="242"/>
  <c r="BW9" i="242" s="1"/>
  <c r="BU9" i="242" s="1"/>
  <c r="BQ9" i="242"/>
  <c r="BP9" i="242" s="1"/>
  <c r="BN9" i="242" s="1"/>
  <c r="BJ9" i="242"/>
  <c r="BI9" i="242" s="1"/>
  <c r="BG9" i="242" s="1"/>
  <c r="BC9" i="242"/>
  <c r="BB9" i="242" s="1"/>
  <c r="AZ9" i="242" s="1"/>
  <c r="AV9" i="242"/>
  <c r="AU9" i="242" s="1"/>
  <c r="AS9" i="242" s="1"/>
  <c r="AO9" i="242"/>
  <c r="AN9" i="242" s="1"/>
  <c r="AL9" i="242" s="1"/>
  <c r="AH9" i="242"/>
  <c r="AG9" i="242" s="1"/>
  <c r="AE9" i="242" s="1"/>
  <c r="AA9" i="242"/>
  <c r="Z9" i="242" s="1"/>
  <c r="X9" i="242" s="1"/>
  <c r="T9" i="242"/>
  <c r="S9" i="242" s="1"/>
  <c r="Q9" i="242" s="1"/>
  <c r="L9" i="242"/>
  <c r="K9" i="242"/>
  <c r="J9" i="242"/>
  <c r="I9" i="242"/>
  <c r="H9" i="242"/>
  <c r="G9" i="242"/>
  <c r="F9" i="242"/>
  <c r="E9" i="242"/>
  <c r="D9" i="242"/>
  <c r="CL8" i="242"/>
  <c r="CK8" i="242" s="1"/>
  <c r="CI8" i="242" s="1"/>
  <c r="CE8" i="242"/>
  <c r="CD8" i="242" s="1"/>
  <c r="CB8" i="242" s="1"/>
  <c r="BX8" i="242"/>
  <c r="BW8" i="242" s="1"/>
  <c r="BU8" i="242" s="1"/>
  <c r="BQ8" i="242"/>
  <c r="BP8" i="242" s="1"/>
  <c r="BN8" i="242" s="1"/>
  <c r="BJ8" i="242"/>
  <c r="BI8" i="242" s="1"/>
  <c r="BG8" i="242" s="1"/>
  <c r="BC8" i="242"/>
  <c r="BB8" i="242" s="1"/>
  <c r="AZ8" i="242" s="1"/>
  <c r="AV8" i="242"/>
  <c r="AU8" i="242" s="1"/>
  <c r="AS8" i="242" s="1"/>
  <c r="AO8" i="242"/>
  <c r="AN8" i="242" s="1"/>
  <c r="AL8" i="242" s="1"/>
  <c r="AH8" i="242"/>
  <c r="AG8" i="242" s="1"/>
  <c r="AE8" i="242" s="1"/>
  <c r="AA8" i="242"/>
  <c r="Z8" i="242" s="1"/>
  <c r="X8" i="242" s="1"/>
  <c r="T8" i="242"/>
  <c r="S8" i="242" s="1"/>
  <c r="Q8" i="242" s="1"/>
  <c r="L8" i="242"/>
  <c r="K8" i="242"/>
  <c r="J8" i="242"/>
  <c r="I8" i="242"/>
  <c r="H8" i="242"/>
  <c r="G8" i="242"/>
  <c r="F8" i="242"/>
  <c r="BC7" i="242"/>
  <c r="BB7" i="242" s="1"/>
  <c r="AZ7" i="242" s="1"/>
  <c r="CL6" i="242"/>
  <c r="CK6" i="242" s="1"/>
  <c r="CI6" i="242" s="1"/>
  <c r="CE6" i="242"/>
  <c r="CD6" i="242" s="1"/>
  <c r="CB6" i="242" s="1"/>
  <c r="BX6" i="242"/>
  <c r="BW6" i="242" s="1"/>
  <c r="BU6" i="242" s="1"/>
  <c r="BQ6" i="242"/>
  <c r="BP6" i="242" s="1"/>
  <c r="BN6" i="242" s="1"/>
  <c r="BJ6" i="242"/>
  <c r="BI6" i="242" s="1"/>
  <c r="BG6" i="242" s="1"/>
  <c r="BC6" i="242"/>
  <c r="BB6" i="242" s="1"/>
  <c r="AZ6" i="242" s="1"/>
  <c r="AV6" i="242"/>
  <c r="AU6" i="242" s="1"/>
  <c r="AS6" i="242" s="1"/>
  <c r="AO6" i="242"/>
  <c r="AN6" i="242" s="1"/>
  <c r="AL6" i="242" s="1"/>
  <c r="AH6" i="242"/>
  <c r="AG6" i="242" s="1"/>
  <c r="AE6" i="242" s="1"/>
  <c r="AA6" i="242"/>
  <c r="Z6" i="242" s="1"/>
  <c r="X6" i="242" s="1"/>
  <c r="T6" i="242"/>
  <c r="S6" i="242" s="1"/>
  <c r="Q6" i="242" s="1"/>
  <c r="L6" i="242"/>
  <c r="K6" i="242"/>
  <c r="J6" i="242"/>
  <c r="I6" i="242"/>
  <c r="H6" i="242"/>
  <c r="G6" i="242"/>
  <c r="F6" i="242"/>
  <c r="EP4" i="242"/>
  <c r="EI4" i="242"/>
  <c r="EB4" i="242"/>
  <c r="DU4" i="242"/>
  <c r="DN4" i="242"/>
  <c r="CS4" i="242"/>
  <c r="CL4" i="242"/>
  <c r="CE4" i="242"/>
  <c r="BX4" i="242"/>
  <c r="BQ4" i="242"/>
  <c r="BJ4" i="242"/>
  <c r="BC4" i="242"/>
  <c r="AV4" i="242"/>
  <c r="AO4" i="242"/>
  <c r="AH4" i="242"/>
  <c r="AA4" i="242"/>
  <c r="T4" i="242"/>
  <c r="M4" i="242"/>
  <c r="L4" i="242"/>
  <c r="K4" i="242"/>
  <c r="J4" i="242"/>
  <c r="I4" i="242"/>
  <c r="H4" i="242"/>
  <c r="G4" i="242"/>
  <c r="F4" i="242"/>
  <c r="E4" i="242"/>
  <c r="D4" i="242"/>
  <c r="C4" i="242"/>
  <c r="EP2" i="242"/>
  <c r="EI2" i="242"/>
  <c r="EB2" i="242"/>
  <c r="DU2" i="242"/>
  <c r="DN2" i="242"/>
  <c r="DG2" i="242"/>
  <c r="CZ2" i="242"/>
  <c r="CS2" i="242"/>
  <c r="CL2" i="242"/>
  <c r="CE2" i="242"/>
  <c r="BX2" i="242"/>
  <c r="BQ2" i="242"/>
  <c r="BJ2" i="242"/>
  <c r="AV2" i="242"/>
  <c r="AO2" i="242"/>
  <c r="AH2" i="242"/>
  <c r="AA2" i="242"/>
  <c r="T2" i="242"/>
  <c r="M2" i="242"/>
  <c r="L2" i="242"/>
  <c r="K2" i="242"/>
  <c r="J2" i="242"/>
  <c r="I2" i="242"/>
  <c r="H2" i="242"/>
  <c r="G2" i="242"/>
  <c r="F2" i="242"/>
  <c r="E2" i="242"/>
  <c r="D2" i="242"/>
  <c r="C2" i="242"/>
  <c r="EP106" i="2"/>
  <c r="EI106" i="2"/>
  <c r="EB106" i="2"/>
  <c r="DU106" i="2"/>
  <c r="DN106" i="2"/>
  <c r="EP55" i="2"/>
  <c r="EI55" i="2"/>
  <c r="EB55" i="2"/>
  <c r="DU55" i="2"/>
  <c r="BX82" i="242" l="1"/>
  <c r="BX86" i="242" s="1"/>
  <c r="R56" i="139" s="1"/>
  <c r="N71" i="139"/>
  <c r="X7" i="243"/>
  <c r="X241" i="243" s="1"/>
  <c r="Z241" i="243"/>
  <c r="Z9" i="243"/>
  <c r="X9" i="243" s="1"/>
  <c r="AB9" i="243"/>
  <c r="AB10" i="243" s="1"/>
  <c r="AB167" i="243" s="1"/>
  <c r="CE10" i="243"/>
  <c r="CE167" i="243" s="1"/>
  <c r="CE185" i="243" s="1"/>
  <c r="CD9" i="243"/>
  <c r="CB9" i="243" s="1"/>
  <c r="AH21" i="243"/>
  <c r="AG21" i="243" s="1"/>
  <c r="AG19" i="243"/>
  <c r="AE19" i="243" s="1"/>
  <c r="BJ21" i="243"/>
  <c r="BI21" i="243" s="1"/>
  <c r="BI19" i="243"/>
  <c r="BG19" i="243" s="1"/>
  <c r="CK19" i="243"/>
  <c r="CI19" i="243" s="1"/>
  <c r="Y44" i="243"/>
  <c r="U44" i="243"/>
  <c r="U45" i="243" s="1"/>
  <c r="AV56" i="243"/>
  <c r="AV58" i="243" s="1"/>
  <c r="AV59" i="243" s="1"/>
  <c r="AU53" i="243"/>
  <c r="BX56" i="243"/>
  <c r="R61" i="139" s="1"/>
  <c r="BW53" i="243"/>
  <c r="AE7" i="243"/>
  <c r="AE241" i="243" s="1"/>
  <c r="AG241" i="243"/>
  <c r="CL10" i="243"/>
  <c r="CL167" i="243" s="1"/>
  <c r="CL185" i="243" s="1"/>
  <c r="CK9" i="243"/>
  <c r="CI9" i="243" s="1"/>
  <c r="AO21" i="243"/>
  <c r="AN21" i="243" s="1"/>
  <c r="AN19" i="243"/>
  <c r="AL19" i="243" s="1"/>
  <c r="BQ21" i="243"/>
  <c r="BP21" i="243" s="1"/>
  <c r="BN21" i="243" s="1"/>
  <c r="BP19" i="243"/>
  <c r="BN19" i="243" s="1"/>
  <c r="Z44" i="243"/>
  <c r="X44" i="243" s="1"/>
  <c r="AB44" i="243"/>
  <c r="AB45" i="243" s="1"/>
  <c r="CE56" i="243"/>
  <c r="CE58" i="243" s="1"/>
  <c r="CE59" i="243" s="1"/>
  <c r="CD53" i="243"/>
  <c r="CK207" i="243"/>
  <c r="CI207" i="243" s="1"/>
  <c r="BQ10" i="243"/>
  <c r="BQ167" i="243" s="1"/>
  <c r="BQ185" i="243" s="1"/>
  <c r="BP9" i="243"/>
  <c r="BN9" i="243" s="1"/>
  <c r="AV21" i="243"/>
  <c r="AU21" i="243" s="1"/>
  <c r="AS21" i="243" s="1"/>
  <c r="AU19" i="243"/>
  <c r="AS19" i="243" s="1"/>
  <c r="BX21" i="243"/>
  <c r="BW21" i="243" s="1"/>
  <c r="BU21" i="243" s="1"/>
  <c r="BW19" i="243"/>
  <c r="BU19" i="243" s="1"/>
  <c r="BJ56" i="243"/>
  <c r="P61" i="139" s="1"/>
  <c r="BI53" i="243"/>
  <c r="CI53" i="243"/>
  <c r="CI56" i="243" s="1"/>
  <c r="CK56" i="243"/>
  <c r="T10" i="243"/>
  <c r="T167" i="243" s="1"/>
  <c r="T185" i="243" s="1"/>
  <c r="U9" i="243"/>
  <c r="U10" i="243" s="1"/>
  <c r="U167" i="243" s="1"/>
  <c r="Y9" i="243"/>
  <c r="BX10" i="243"/>
  <c r="BX167" i="243" s="1"/>
  <c r="BX185" i="243" s="1"/>
  <c r="BW9" i="243"/>
  <c r="BU9" i="243" s="1"/>
  <c r="AA21" i="243"/>
  <c r="Z21" i="243" s="1"/>
  <c r="X21" i="243" s="1"/>
  <c r="Z19" i="243"/>
  <c r="X19" i="243" s="1"/>
  <c r="CE21" i="243"/>
  <c r="CD21" i="243" s="1"/>
  <c r="CB21" i="243" s="1"/>
  <c r="CD19" i="243"/>
  <c r="CB19" i="243" s="1"/>
  <c r="BQ56" i="243"/>
  <c r="Q61" i="139" s="1"/>
  <c r="BP53" i="243"/>
  <c r="CK208" i="243"/>
  <c r="CI208" i="243" s="1"/>
  <c r="S23" i="242"/>
  <c r="T53" i="242"/>
  <c r="T38" i="242"/>
  <c r="S33" i="242"/>
  <c r="AA53" i="242"/>
  <c r="Z23" i="242"/>
  <c r="AH53" i="242"/>
  <c r="AH52" i="242" s="1"/>
  <c r="AH55" i="242" s="1"/>
  <c r="AG23" i="242"/>
  <c r="AA38" i="242"/>
  <c r="Z33" i="242"/>
  <c r="Q20" i="242"/>
  <c r="S46" i="242"/>
  <c r="AE37" i="243"/>
  <c r="AG256" i="243"/>
  <c r="BG37" i="243"/>
  <c r="BI256" i="243"/>
  <c r="AV45" i="243"/>
  <c r="AU45" i="243" s="1"/>
  <c r="AS45" i="243" s="1"/>
  <c r="AU37" i="243"/>
  <c r="AO206" i="243"/>
  <c r="AV206" i="243" s="1"/>
  <c r="AU206" i="243" s="1"/>
  <c r="AG206" i="243"/>
  <c r="AH242" i="243"/>
  <c r="Z242" i="243"/>
  <c r="AN256" i="243"/>
  <c r="AL37" i="243"/>
  <c r="X37" i="243"/>
  <c r="Z256" i="243"/>
  <c r="AH189" i="243"/>
  <c r="AG20" i="242"/>
  <c r="AH46" i="242"/>
  <c r="AH50" i="242" s="1"/>
  <c r="AG50" i="242" s="1"/>
  <c r="AE50" i="242" s="1"/>
  <c r="T189" i="243"/>
  <c r="T46" i="242"/>
  <c r="T50" i="242" s="1"/>
  <c r="S50" i="242" s="1"/>
  <c r="Q50" i="242" s="1"/>
  <c r="AA189" i="243"/>
  <c r="Z20" i="242"/>
  <c r="AA46" i="242"/>
  <c r="AA50" i="242" s="1"/>
  <c r="Z50" i="242" s="1"/>
  <c r="X50" i="242" s="1"/>
  <c r="BI21" i="242"/>
  <c r="BI189" i="243"/>
  <c r="BG20" i="242"/>
  <c r="BI46" i="242"/>
  <c r="AU21" i="242"/>
  <c r="AU45" i="242" s="1"/>
  <c r="AU189" i="243"/>
  <c r="AS20" i="242"/>
  <c r="AU46" i="242"/>
  <c r="BP23" i="242"/>
  <c r="BQ53" i="242"/>
  <c r="BX38" i="242"/>
  <c r="BW33" i="242"/>
  <c r="AN21" i="242"/>
  <c r="AL20" i="242"/>
  <c r="AN189" i="243"/>
  <c r="AN46" i="242"/>
  <c r="BI23" i="242"/>
  <c r="BJ53" i="242"/>
  <c r="BJ52" i="242" s="1"/>
  <c r="BJ55" i="242" s="1"/>
  <c r="CK53" i="242"/>
  <c r="CI23" i="242"/>
  <c r="BQ38" i="242"/>
  <c r="BP33" i="242"/>
  <c r="AN23" i="242"/>
  <c r="AO53" i="242"/>
  <c r="BB21" i="242"/>
  <c r="BB45" i="242" s="1"/>
  <c r="AZ20" i="242"/>
  <c r="BB46" i="242"/>
  <c r="AU23" i="242"/>
  <c r="AV53" i="242"/>
  <c r="BX53" i="242"/>
  <c r="BW23" i="242"/>
  <c r="CE66" i="242"/>
  <c r="CD28" i="242"/>
  <c r="CB28" i="242" s="1"/>
  <c r="CI33" i="242"/>
  <c r="CI38" i="242" s="1"/>
  <c r="CK38" i="242"/>
  <c r="AV38" i="242"/>
  <c r="AU33" i="242"/>
  <c r="BB23" i="242"/>
  <c r="BC53" i="242"/>
  <c r="CD53" i="242"/>
  <c r="CD52" i="242" s="1"/>
  <c r="CB23" i="242"/>
  <c r="CL66" i="242"/>
  <c r="CK28" i="242"/>
  <c r="CI28" i="242" s="1"/>
  <c r="BJ38" i="242"/>
  <c r="BI33" i="242"/>
  <c r="BB38" i="242"/>
  <c r="AZ34" i="242"/>
  <c r="AZ38" i="242" s="1"/>
  <c r="BP256" i="243"/>
  <c r="BN37" i="243"/>
  <c r="BQ178" i="243"/>
  <c r="BQ186" i="243" s="1"/>
  <c r="BP34" i="243"/>
  <c r="BJ189" i="243"/>
  <c r="BJ46" i="242"/>
  <c r="BJ50" i="242" s="1"/>
  <c r="BI50" i="242" s="1"/>
  <c r="BG50" i="242" s="1"/>
  <c r="AV189" i="243"/>
  <c r="AV46" i="242"/>
  <c r="AV50" i="242" s="1"/>
  <c r="AU50" i="242" s="1"/>
  <c r="AS50" i="242" s="1"/>
  <c r="BC189" i="243"/>
  <c r="BC46" i="242"/>
  <c r="BC50" i="242" s="1"/>
  <c r="BB50" i="242" s="1"/>
  <c r="AZ50" i="242" s="1"/>
  <c r="BQ189" i="243"/>
  <c r="BP20" i="242"/>
  <c r="BQ46" i="242"/>
  <c r="AO189" i="243"/>
  <c r="AO46" i="242"/>
  <c r="CD46" i="242"/>
  <c r="CD189" i="243"/>
  <c r="CB20" i="242"/>
  <c r="CL46" i="242"/>
  <c r="CL50" i="242" s="1"/>
  <c r="CK50" i="242" s="1"/>
  <c r="CI50" i="242" s="1"/>
  <c r="CK20" i="242"/>
  <c r="BX189" i="243"/>
  <c r="BW20" i="242"/>
  <c r="BX46" i="242"/>
  <c r="CE178" i="243"/>
  <c r="CE186" i="243" s="1"/>
  <c r="CD34" i="243"/>
  <c r="CI37" i="243"/>
  <c r="CK256" i="243"/>
  <c r="CL178" i="243"/>
  <c r="CL186" i="243" s="1"/>
  <c r="CK34" i="243"/>
  <c r="BU37" i="243"/>
  <c r="BW256" i="243"/>
  <c r="BX178" i="243"/>
  <c r="BX186" i="243" s="1"/>
  <c r="BW34" i="243"/>
  <c r="CB37" i="243"/>
  <c r="CD256" i="243"/>
  <c r="D104" i="243"/>
  <c r="DZ16" i="243"/>
  <c r="DW16" i="243" s="1"/>
  <c r="DX16" i="243" s="1"/>
  <c r="DV16" i="243"/>
  <c r="DT16" i="243"/>
  <c r="DR16" i="243" s="1"/>
  <c r="EH55" i="2"/>
  <c r="EF55" i="2" s="1"/>
  <c r="DM55" i="2"/>
  <c r="DK55" i="2" s="1"/>
  <c r="EO55" i="2"/>
  <c r="EM55" i="2" s="1"/>
  <c r="DT55" i="2"/>
  <c r="DR55" i="2" s="1"/>
  <c r="EA55" i="2"/>
  <c r="DY55" i="2" s="1"/>
  <c r="EB16" i="243"/>
  <c r="BJ102" i="243"/>
  <c r="BC82" i="242"/>
  <c r="S65" i="139"/>
  <c r="Q65" i="139"/>
  <c r="CE65" i="242"/>
  <c r="CE53" i="242"/>
  <c r="P65" i="139"/>
  <c r="CL65" i="242"/>
  <c r="CL53" i="242"/>
  <c r="CE189" i="243"/>
  <c r="CE46" i="242"/>
  <c r="BJ82" i="242"/>
  <c r="BJ86" i="242" s="1"/>
  <c r="P56" i="139" s="1"/>
  <c r="CL82" i="242"/>
  <c r="CL86" i="242" s="1"/>
  <c r="CL189" i="243"/>
  <c r="EO357" i="11"/>
  <c r="EM357" i="11"/>
  <c r="EK357" i="11"/>
  <c r="BQ78" i="243"/>
  <c r="CL38" i="242"/>
  <c r="BQ97" i="243"/>
  <c r="CE45" i="243"/>
  <c r="CD45" i="243" s="1"/>
  <c r="CB45" i="243" s="1"/>
  <c r="CE252" i="243"/>
  <c r="U62" i="139"/>
  <c r="T65" i="139"/>
  <c r="R65" i="139"/>
  <c r="DH31" i="178"/>
  <c r="DO31" i="178" s="1"/>
  <c r="DV31" i="178" s="1"/>
  <c r="EC31" i="178" s="1"/>
  <c r="CE82" i="242"/>
  <c r="CE86" i="242" s="1"/>
  <c r="S56" i="139" s="1"/>
  <c r="AV82" i="242"/>
  <c r="AV86" i="242" s="1"/>
  <c r="O56" i="139" s="1"/>
  <c r="AO82" i="242"/>
  <c r="AO86" i="242" s="1"/>
  <c r="N56" i="139" s="1"/>
  <c r="BQ213" i="243"/>
  <c r="K65" i="139"/>
  <c r="AO84" i="243"/>
  <c r="AV95" i="243"/>
  <c r="AO104" i="243"/>
  <c r="H213" i="243"/>
  <c r="L213" i="243"/>
  <c r="AH213" i="243"/>
  <c r="D243" i="243"/>
  <c r="E246" i="243" s="1"/>
  <c r="I243" i="243"/>
  <c r="J246" i="243" s="1"/>
  <c r="M243" i="243"/>
  <c r="AH58" i="243"/>
  <c r="M98" i="243"/>
  <c r="M84" i="243" s="1"/>
  <c r="F110" i="243"/>
  <c r="E58" i="243"/>
  <c r="E59" i="243" s="1"/>
  <c r="I58" i="243"/>
  <c r="I59" i="243" s="1"/>
  <c r="AA86" i="242"/>
  <c r="L56" i="139" s="1"/>
  <c r="T82" i="242"/>
  <c r="T86" i="242" s="1"/>
  <c r="AA10" i="243"/>
  <c r="BC10" i="243"/>
  <c r="BC167" i="243" s="1"/>
  <c r="BC185" i="243" s="1"/>
  <c r="BC213" i="243"/>
  <c r="G109" i="243"/>
  <c r="G117" i="243" s="1"/>
  <c r="G124" i="243" s="1"/>
  <c r="DC34" i="178"/>
  <c r="AO10" i="243"/>
  <c r="M92" i="243"/>
  <c r="J204" i="243"/>
  <c r="I213" i="243"/>
  <c r="M213" i="243"/>
  <c r="AO213" i="243"/>
  <c r="T98" i="243"/>
  <c r="AA95" i="243" s="1"/>
  <c r="AA98" i="243" s="1"/>
  <c r="D229" i="243"/>
  <c r="L65" i="139"/>
  <c r="CL21" i="243"/>
  <c r="F21" i="243"/>
  <c r="AA45" i="243"/>
  <c r="Z45" i="243" s="1"/>
  <c r="X45" i="243" s="1"/>
  <c r="DX358" i="11"/>
  <c r="DX375" i="11" s="1"/>
  <c r="DW375" i="11"/>
  <c r="D130" i="243"/>
  <c r="H130" i="243"/>
  <c r="L130" i="243"/>
  <c r="DY358" i="11"/>
  <c r="EB375" i="11"/>
  <c r="DS358" i="11"/>
  <c r="DS375" i="11" s="1"/>
  <c r="DR375" i="11"/>
  <c r="CC61" i="220"/>
  <c r="CC58" i="220" s="1"/>
  <c r="CC59" i="220" s="1"/>
  <c r="BX61" i="220"/>
  <c r="BX58" i="220" s="1"/>
  <c r="BX59" i="220" s="1"/>
  <c r="CF53" i="178"/>
  <c r="CF50" i="178" s="1"/>
  <c r="CF51" i="178" s="1"/>
  <c r="EO358" i="11"/>
  <c r="EO375" i="11" s="1"/>
  <c r="BC83" i="243"/>
  <c r="BJ88" i="243"/>
  <c r="BJ90" i="243" s="1"/>
  <c r="G204" i="243"/>
  <c r="AA49" i="243"/>
  <c r="AA58" i="243" s="1"/>
  <c r="AA34" i="243"/>
  <c r="CJ53" i="178"/>
  <c r="CJ50" i="178" s="1"/>
  <c r="CJ51" i="178" s="1"/>
  <c r="AA241" i="243"/>
  <c r="AA243" i="243" s="1"/>
  <c r="K66" i="139"/>
  <c r="T103" i="243"/>
  <c r="T102" i="243" s="1"/>
  <c r="BJ73" i="243"/>
  <c r="BU31" i="220"/>
  <c r="EI358" i="11"/>
  <c r="ED358" i="11"/>
  <c r="M65" i="139"/>
  <c r="J65" i="139"/>
  <c r="N65" i="139"/>
  <c r="AH34" i="243"/>
  <c r="AO58" i="243"/>
  <c r="AO59" i="243" s="1"/>
  <c r="F58" i="243"/>
  <c r="F59" i="243" s="1"/>
  <c r="T58" i="243"/>
  <c r="T59" i="243" s="1"/>
  <c r="K58" i="243"/>
  <c r="K59" i="243" s="1"/>
  <c r="H61" i="139"/>
  <c r="H65" i="243"/>
  <c r="E110" i="243"/>
  <c r="C186" i="243"/>
  <c r="E175" i="243"/>
  <c r="I175" i="243"/>
  <c r="M175" i="243"/>
  <c r="AO175" i="243"/>
  <c r="BQ175" i="243"/>
  <c r="C175" i="243"/>
  <c r="G175" i="243"/>
  <c r="K175" i="243"/>
  <c r="AA175" i="243"/>
  <c r="BC175" i="243"/>
  <c r="CE175" i="243"/>
  <c r="D228" i="243"/>
  <c r="E229" i="243"/>
  <c r="CG29" i="178"/>
  <c r="Z63" i="139"/>
  <c r="EB251" i="243"/>
  <c r="F240" i="243"/>
  <c r="F243" i="243" s="1"/>
  <c r="G246" i="243" s="1"/>
  <c r="B66" i="139"/>
  <c r="AH241" i="243"/>
  <c r="L66" i="139"/>
  <c r="BC21" i="243"/>
  <c r="C71" i="139"/>
  <c r="BJ34" i="243"/>
  <c r="BC85" i="243"/>
  <c r="BC98" i="243" s="1"/>
  <c r="O72" i="139"/>
  <c r="M90" i="243"/>
  <c r="AV98" i="243"/>
  <c r="E95" i="243"/>
  <c r="E98" i="243" s="1"/>
  <c r="M102" i="243"/>
  <c r="M111" i="243" s="1"/>
  <c r="M112" i="243" s="1"/>
  <c r="D186" i="243"/>
  <c r="F175" i="243"/>
  <c r="J175" i="243"/>
  <c r="T175" i="243"/>
  <c r="AV175" i="243"/>
  <c r="BX175" i="243"/>
  <c r="D175" i="243"/>
  <c r="H175" i="243"/>
  <c r="L175" i="243"/>
  <c r="AH175" i="243"/>
  <c r="BJ175" i="243"/>
  <c r="CL175" i="243"/>
  <c r="C243" i="243"/>
  <c r="D246" i="243" s="1"/>
  <c r="H243" i="243"/>
  <c r="I246" i="243" s="1"/>
  <c r="L243" i="243"/>
  <c r="K135" i="243"/>
  <c r="DV47" i="4"/>
  <c r="DW47" i="4" s="1"/>
  <c r="EA47" i="4"/>
  <c r="EC97" i="4"/>
  <c r="ED97" i="4" s="1"/>
  <c r="CY30" i="4"/>
  <c r="CT71" i="4"/>
  <c r="CT95" i="4" s="1"/>
  <c r="CT110" i="4" s="1"/>
  <c r="EA97" i="4"/>
  <c r="DX97" i="4" s="1"/>
  <c r="DY97" i="4" s="1"/>
  <c r="DV97" i="4"/>
  <c r="DW97" i="4" s="1"/>
  <c r="EJ97" i="4"/>
  <c r="EK97" i="4" s="1"/>
  <c r="EO97" i="4"/>
  <c r="EL97" i="4" s="1"/>
  <c r="EV97" i="4"/>
  <c r="ES97" i="4" s="1"/>
  <c r="EQ97" i="4"/>
  <c r="ER97" i="4" s="1"/>
  <c r="EV47" i="4"/>
  <c r="ER47" i="4"/>
  <c r="EO47" i="4"/>
  <c r="EK47" i="4"/>
  <c r="EH47" i="4"/>
  <c r="ED47" i="4"/>
  <c r="EF97" i="4"/>
  <c r="DT47" i="4"/>
  <c r="DR97" i="4"/>
  <c r="CY97" i="4"/>
  <c r="CU30" i="4"/>
  <c r="BX95" i="243"/>
  <c r="BX84" i="243" s="1"/>
  <c r="BX83" i="243" s="1"/>
  <c r="BX91" i="243" s="1"/>
  <c r="CG27" i="178"/>
  <c r="CG28" i="178" s="1"/>
  <c r="H195" i="243"/>
  <c r="AH195" i="243"/>
  <c r="D197" i="243"/>
  <c r="BJ195" i="243"/>
  <c r="BC195" i="243"/>
  <c r="K248" i="243"/>
  <c r="K195" i="243"/>
  <c r="C195" i="243"/>
  <c r="L195" i="243"/>
  <c r="CL195" i="243"/>
  <c r="F130" i="243"/>
  <c r="J130" i="243"/>
  <c r="C32" i="243"/>
  <c r="I122" i="243"/>
  <c r="H109" i="243"/>
  <c r="H117" i="243" s="1"/>
  <c r="H124" i="243" s="1"/>
  <c r="F204" i="243"/>
  <c r="F226" i="243" s="1"/>
  <c r="AA24" i="243"/>
  <c r="L71" i="139" s="1"/>
  <c r="F252" i="243"/>
  <c r="F45" i="243"/>
  <c r="T251" i="243"/>
  <c r="T37" i="243"/>
  <c r="T45" i="243" s="1"/>
  <c r="AH10" i="243"/>
  <c r="BJ10" i="243"/>
  <c r="BC24" i="243"/>
  <c r="O71" i="139" s="1"/>
  <c r="D35" i="243"/>
  <c r="AV118" i="243"/>
  <c r="AV103" i="243"/>
  <c r="AV10" i="243"/>
  <c r="BC34" i="243"/>
  <c r="BC178" i="243" s="1"/>
  <c r="BC186" i="243" s="1"/>
  <c r="BC58" i="243"/>
  <c r="D73" i="243"/>
  <c r="D80" i="243" s="1"/>
  <c r="D64" i="243"/>
  <c r="D66" i="243" s="1"/>
  <c r="AO83" i="243"/>
  <c r="BC88" i="243"/>
  <c r="BC92" i="243" s="1"/>
  <c r="AV110" i="243"/>
  <c r="E137" i="243"/>
  <c r="E135" i="243"/>
  <c r="I137" i="243"/>
  <c r="I135" i="243"/>
  <c r="E243" i="243"/>
  <c r="F246" i="243" s="1"/>
  <c r="G58" i="243"/>
  <c r="G59" i="243" s="1"/>
  <c r="BJ70" i="243"/>
  <c r="BX76" i="243"/>
  <c r="BX78" i="243" s="1"/>
  <c r="AV90" i="243"/>
  <c r="D121" i="243"/>
  <c r="G197" i="243"/>
  <c r="AA197" i="243"/>
  <c r="CE197" i="243"/>
  <c r="E211" i="243"/>
  <c r="E213" i="243" s="1"/>
  <c r="E78" i="243"/>
  <c r="D85" i="243"/>
  <c r="G130" i="243"/>
  <c r="K130" i="243"/>
  <c r="G135" i="243"/>
  <c r="K204" i="243"/>
  <c r="G228" i="243"/>
  <c r="F213" i="243"/>
  <c r="J213" i="243"/>
  <c r="T213" i="243"/>
  <c r="AV213" i="243"/>
  <c r="J243" i="243"/>
  <c r="K246" i="243" s="1"/>
  <c r="T243" i="243"/>
  <c r="H58" i="243"/>
  <c r="H59" i="243" s="1"/>
  <c r="L58" i="243"/>
  <c r="L59" i="243" s="1"/>
  <c r="F79" i="243"/>
  <c r="F65" i="243" s="1"/>
  <c r="T91" i="243"/>
  <c r="AA88" i="243" s="1"/>
  <c r="AA91" i="243" s="1"/>
  <c r="E112" i="243"/>
  <c r="E121" i="243" s="1"/>
  <c r="AA119" i="243"/>
  <c r="AH115" i="243" s="1"/>
  <c r="AH119" i="243" s="1"/>
  <c r="E130" i="243"/>
  <c r="I130" i="243"/>
  <c r="C211" i="243"/>
  <c r="C213" i="243" s="1"/>
  <c r="I204" i="243"/>
  <c r="D211" i="243"/>
  <c r="D213" i="243" s="1"/>
  <c r="G213" i="243"/>
  <c r="K213" i="243"/>
  <c r="AA213" i="243"/>
  <c r="BJ213" i="243"/>
  <c r="F222" i="243"/>
  <c r="F232" i="243" s="1"/>
  <c r="G243" i="243"/>
  <c r="H246" i="243" s="1"/>
  <c r="K243" i="243"/>
  <c r="L246" i="243" s="1"/>
  <c r="AV265" i="243"/>
  <c r="G252" i="243"/>
  <c r="G45" i="243"/>
  <c r="C167" i="243"/>
  <c r="C185" i="243" s="1"/>
  <c r="AH24" i="243"/>
  <c r="BJ24" i="243"/>
  <c r="B256" i="243"/>
  <c r="B252" i="243"/>
  <c r="B253" i="243" s="1"/>
  <c r="K37" i="243"/>
  <c r="AH256" i="243"/>
  <c r="AH252" i="243"/>
  <c r="AH45" i="243"/>
  <c r="AG45" i="243" s="1"/>
  <c r="AE45" i="243" s="1"/>
  <c r="BJ256" i="243"/>
  <c r="BJ252" i="243"/>
  <c r="BJ45" i="243"/>
  <c r="BI45" i="243" s="1"/>
  <c r="BG45" i="243" s="1"/>
  <c r="H256" i="243"/>
  <c r="H251" i="243"/>
  <c r="M58" i="243"/>
  <c r="M59" i="243" s="1"/>
  <c r="T64" i="243"/>
  <c r="T73" i="243"/>
  <c r="AA69" i="243"/>
  <c r="AA72" i="243" s="1"/>
  <c r="AO34" i="243"/>
  <c r="C252" i="243"/>
  <c r="C253" i="243" s="1"/>
  <c r="C256" i="243"/>
  <c r="L256" i="243"/>
  <c r="L252" i="243"/>
  <c r="L253" i="243" s="1"/>
  <c r="L45" i="243"/>
  <c r="J45" i="243"/>
  <c r="J58" i="243"/>
  <c r="J59" i="243" s="1"/>
  <c r="AV34" i="243"/>
  <c r="D256" i="243"/>
  <c r="D252" i="243"/>
  <c r="D253" i="243" s="1"/>
  <c r="H252" i="243"/>
  <c r="H45" i="243"/>
  <c r="AV256" i="243"/>
  <c r="AV252" i="243"/>
  <c r="BX256" i="243"/>
  <c r="BX252" i="243"/>
  <c r="D47" i="243"/>
  <c r="I65" i="243"/>
  <c r="J76" i="243"/>
  <c r="J79" i="243" s="1"/>
  <c r="F10" i="243"/>
  <c r="F167" i="243" s="1"/>
  <c r="AA252" i="243"/>
  <c r="AA256" i="243"/>
  <c r="BC252" i="243"/>
  <c r="BC253" i="243" s="1"/>
  <c r="BC256" i="243"/>
  <c r="CE256" i="243"/>
  <c r="G256" i="243"/>
  <c r="G251" i="243"/>
  <c r="BX45" i="243"/>
  <c r="BW45" i="243" s="1"/>
  <c r="BU45" i="243" s="1"/>
  <c r="CL56" i="243"/>
  <c r="F102" i="243"/>
  <c r="BJ115" i="243"/>
  <c r="BJ118" i="243" s="1"/>
  <c r="BC103" i="243"/>
  <c r="BC118" i="243"/>
  <c r="T121" i="243"/>
  <c r="T125" i="243"/>
  <c r="G149" i="243"/>
  <c r="G145" i="243"/>
  <c r="K149" i="243"/>
  <c r="K145" i="243"/>
  <c r="CL256" i="243"/>
  <c r="CL252" i="243"/>
  <c r="CK252" i="243" s="1"/>
  <c r="I251" i="243"/>
  <c r="CL45" i="243"/>
  <c r="CK45" i="243" s="1"/>
  <c r="CI45" i="243" s="1"/>
  <c r="BC79" i="243"/>
  <c r="BQ88" i="243"/>
  <c r="AV121" i="243"/>
  <c r="AV125" i="243"/>
  <c r="H149" i="243"/>
  <c r="H145" i="243"/>
  <c r="L149" i="243"/>
  <c r="L145" i="243"/>
  <c r="E256" i="243"/>
  <c r="E252" i="243"/>
  <c r="E253" i="243" s="1"/>
  <c r="I37" i="243"/>
  <c r="I256" i="243" s="1"/>
  <c r="M37" i="243"/>
  <c r="AO256" i="243"/>
  <c r="AO252" i="243"/>
  <c r="BQ256" i="243"/>
  <c r="BQ252" i="243"/>
  <c r="F256" i="243"/>
  <c r="F251" i="243"/>
  <c r="J256" i="243"/>
  <c r="J251" i="243"/>
  <c r="J253" i="243" s="1"/>
  <c r="E45" i="243"/>
  <c r="AO45" i="243"/>
  <c r="AN45" i="243" s="1"/>
  <c r="AL45" i="243" s="1"/>
  <c r="BQ45" i="243"/>
  <c r="BP45" i="243" s="1"/>
  <c r="BN45" i="243" s="1"/>
  <c r="BC112" i="243"/>
  <c r="BC110" i="243"/>
  <c r="E69" i="243"/>
  <c r="E72" i="243" s="1"/>
  <c r="D92" i="243"/>
  <c r="E88" i="243"/>
  <c r="AV92" i="243"/>
  <c r="BJ84" i="243"/>
  <c r="BJ83" i="243" s="1"/>
  <c r="AA107" i="243"/>
  <c r="BJ121" i="243"/>
  <c r="BJ125" i="243"/>
  <c r="F121" i="243"/>
  <c r="F125" i="243"/>
  <c r="F149" i="243"/>
  <c r="F145" i="243"/>
  <c r="J149" i="243"/>
  <c r="J145" i="243"/>
  <c r="BJ110" i="243"/>
  <c r="H135" i="243"/>
  <c r="L135" i="243"/>
  <c r="D145" i="243"/>
  <c r="I185" i="243"/>
  <c r="M185" i="243"/>
  <c r="E185" i="243"/>
  <c r="E186" i="243"/>
  <c r="I186" i="243"/>
  <c r="M186" i="243"/>
  <c r="J185" i="243"/>
  <c r="F135" i="243"/>
  <c r="J135" i="243"/>
  <c r="G185" i="243"/>
  <c r="K185" i="243"/>
  <c r="G186" i="243"/>
  <c r="K186" i="243"/>
  <c r="H185" i="243"/>
  <c r="L185" i="243"/>
  <c r="D185" i="243"/>
  <c r="H186" i="243"/>
  <c r="L186" i="243"/>
  <c r="F186" i="243"/>
  <c r="J186" i="243"/>
  <c r="T186" i="243"/>
  <c r="E197" i="243"/>
  <c r="E195" i="243"/>
  <c r="I197" i="243"/>
  <c r="I195" i="243"/>
  <c r="M197" i="243"/>
  <c r="M195" i="243"/>
  <c r="AO197" i="243"/>
  <c r="AO195" i="243"/>
  <c r="BQ197" i="243"/>
  <c r="BQ195" i="243"/>
  <c r="F197" i="243"/>
  <c r="F195" i="243"/>
  <c r="J197" i="243"/>
  <c r="J195" i="243"/>
  <c r="T197" i="243"/>
  <c r="T195" i="243"/>
  <c r="AV197" i="243"/>
  <c r="AV195" i="243"/>
  <c r="BX197" i="243"/>
  <c r="BX195" i="243"/>
  <c r="T210" i="243"/>
  <c r="AA210" i="243" s="1"/>
  <c r="AH210" i="243" s="1"/>
  <c r="M204" i="243"/>
  <c r="E226" i="243"/>
  <c r="G227" i="243"/>
  <c r="E228" i="243"/>
  <c r="G229" i="243"/>
  <c r="H219" i="243"/>
  <c r="G220" i="243"/>
  <c r="F230" i="243"/>
  <c r="E227" i="243"/>
  <c r="H204" i="243"/>
  <c r="L204" i="243"/>
  <c r="H227" i="243"/>
  <c r="F228" i="243"/>
  <c r="I227" i="243"/>
  <c r="D227" i="243"/>
  <c r="D230" i="243"/>
  <c r="K217" i="243"/>
  <c r="J227" i="243"/>
  <c r="F223" i="243"/>
  <c r="E233" i="243"/>
  <c r="I216" i="243"/>
  <c r="F227" i="243"/>
  <c r="H228" i="243"/>
  <c r="I218" i="243"/>
  <c r="F229" i="243"/>
  <c r="E230" i="243"/>
  <c r="E31" i="242"/>
  <c r="I31" i="242"/>
  <c r="M31" i="242"/>
  <c r="AO31" i="242"/>
  <c r="BQ31" i="242"/>
  <c r="J20" i="242"/>
  <c r="J189" i="243" s="1"/>
  <c r="F31" i="242"/>
  <c r="T31" i="242"/>
  <c r="D31" i="242"/>
  <c r="AH31" i="242"/>
  <c r="H31" i="242"/>
  <c r="L31" i="242"/>
  <c r="BJ31" i="242"/>
  <c r="CL31" i="242"/>
  <c r="G38" i="242"/>
  <c r="D21" i="242"/>
  <c r="AV31" i="242"/>
  <c r="BX31" i="242"/>
  <c r="BC38" i="242"/>
  <c r="AH86" i="242"/>
  <c r="M56" i="139" s="1"/>
  <c r="C31" i="242"/>
  <c r="G31" i="242"/>
  <c r="K31" i="242"/>
  <c r="AA31" i="242"/>
  <c r="M82" i="242"/>
  <c r="M86" i="242" s="1"/>
  <c r="J56" i="139" s="1"/>
  <c r="BQ82" i="242"/>
  <c r="BQ86" i="242" s="1"/>
  <c r="Q56" i="139" s="1"/>
  <c r="H20" i="242"/>
  <c r="H189" i="243" s="1"/>
  <c r="J31" i="242"/>
  <c r="I20" i="242"/>
  <c r="I189" i="243" s="1"/>
  <c r="C21" i="242"/>
  <c r="BC31" i="242"/>
  <c r="CE31" i="242"/>
  <c r="CL67" i="242" l="1"/>
  <c r="BI22" i="243"/>
  <c r="AH243" i="243"/>
  <c r="AM246" i="243" s="1"/>
  <c r="BQ58" i="243"/>
  <c r="BQ59" i="243" s="1"/>
  <c r="BN22" i="243"/>
  <c r="S61" i="139"/>
  <c r="BX58" i="243"/>
  <c r="BX59" i="243" s="1"/>
  <c r="BG21" i="243"/>
  <c r="BG22" i="243" s="1"/>
  <c r="CD10" i="243"/>
  <c r="CD167" i="243" s="1"/>
  <c r="BP10" i="243"/>
  <c r="BN10" i="243" s="1"/>
  <c r="Z22" i="243"/>
  <c r="X22" i="243"/>
  <c r="AS22" i="243"/>
  <c r="BP22" i="243"/>
  <c r="CK10" i="243"/>
  <c r="CI10" i="243" s="1"/>
  <c r="CD22" i="243"/>
  <c r="CB22" i="243"/>
  <c r="BW22" i="243"/>
  <c r="AN22" i="243"/>
  <c r="AG22" i="243"/>
  <c r="BJ58" i="243"/>
  <c r="BJ59" i="243" s="1"/>
  <c r="BU22" i="243"/>
  <c r="BW10" i="243"/>
  <c r="BU10" i="243" s="1"/>
  <c r="AE21" i="243"/>
  <c r="AE22" i="243" s="1"/>
  <c r="AL21" i="243"/>
  <c r="AL22" i="243" s="1"/>
  <c r="U185" i="243"/>
  <c r="U168" i="243"/>
  <c r="BG53" i="243"/>
  <c r="BG56" i="243" s="1"/>
  <c r="BI56" i="243"/>
  <c r="AS53" i="243"/>
  <c r="AS56" i="243" s="1"/>
  <c r="AU56" i="243"/>
  <c r="AB185" i="243"/>
  <c r="AB168" i="243"/>
  <c r="CB53" i="243"/>
  <c r="CB56" i="243" s="1"/>
  <c r="CD56" i="243"/>
  <c r="BU53" i="243"/>
  <c r="BU56" i="243" s="1"/>
  <c r="BW56" i="243"/>
  <c r="AU22" i="243"/>
  <c r="BN53" i="243"/>
  <c r="BN56" i="243" s="1"/>
  <c r="BP56" i="243"/>
  <c r="V9" i="243"/>
  <c r="Y10" i="243"/>
  <c r="V44" i="243"/>
  <c r="W44" i="243" s="1"/>
  <c r="W45" i="243" s="1"/>
  <c r="Y45" i="243"/>
  <c r="V45" i="243" s="1"/>
  <c r="CN30" i="178"/>
  <c r="CG30" i="178"/>
  <c r="BU34" i="220"/>
  <c r="BU35" i="220" s="1"/>
  <c r="BU32" i="220"/>
  <c r="CD31" i="242"/>
  <c r="AG53" i="242"/>
  <c r="AG31" i="242"/>
  <c r="AE23" i="242"/>
  <c r="S38" i="242"/>
  <c r="Q33" i="242"/>
  <c r="Q38" i="242" s="1"/>
  <c r="AH51" i="242"/>
  <c r="AG55" i="242"/>
  <c r="AE55" i="242" s="1"/>
  <c r="Z38" i="242"/>
  <c r="X33" i="242"/>
  <c r="X38" i="242" s="1"/>
  <c r="Z53" i="242"/>
  <c r="Z31" i="242"/>
  <c r="X23" i="242"/>
  <c r="T52" i="242"/>
  <c r="T55" i="242" s="1"/>
  <c r="S55" i="242" s="1"/>
  <c r="Q55" i="242" s="1"/>
  <c r="BB49" i="242"/>
  <c r="AA52" i="242"/>
  <c r="AA55" i="242" s="1"/>
  <c r="Z55" i="242" s="1"/>
  <c r="X55" i="242" s="1"/>
  <c r="S53" i="242"/>
  <c r="S31" i="242"/>
  <c r="Q23" i="242"/>
  <c r="K56" i="139"/>
  <c r="S86" i="242"/>
  <c r="Q86" i="242" s="1"/>
  <c r="Q46" i="242"/>
  <c r="BJ253" i="243"/>
  <c r="BI252" i="243"/>
  <c r="AO253" i="243"/>
  <c r="AN252" i="243"/>
  <c r="AV253" i="243"/>
  <c r="AU252" i="243"/>
  <c r="Y246" i="243"/>
  <c r="U246" i="243"/>
  <c r="AH167" i="243"/>
  <c r="AH185" i="243" s="1"/>
  <c r="AG10" i="243"/>
  <c r="AH178" i="243"/>
  <c r="AH186" i="243" s="1"/>
  <c r="AG34" i="243"/>
  <c r="AT235" i="243"/>
  <c r="AP235" i="243"/>
  <c r="AA167" i="243"/>
  <c r="AA185" i="243" s="1"/>
  <c r="Z10" i="243"/>
  <c r="X242" i="243"/>
  <c r="X243" i="243" s="1"/>
  <c r="X246" i="243" s="1"/>
  <c r="Z243" i="243"/>
  <c r="Z246" i="243" s="1"/>
  <c r="AU47" i="243"/>
  <c r="AU256" i="243"/>
  <c r="AS37" i="243"/>
  <c r="AG47" i="243"/>
  <c r="AO210" i="243"/>
  <c r="AN210" i="243" s="1"/>
  <c r="AL210" i="243" s="1"/>
  <c r="AG210" i="243"/>
  <c r="AE210" i="243" s="1"/>
  <c r="AA253" i="243"/>
  <c r="Z252" i="243"/>
  <c r="AB235" i="243"/>
  <c r="AF235" i="243"/>
  <c r="AB246" i="243"/>
  <c r="AF246" i="243"/>
  <c r="Z47" i="243"/>
  <c r="AL47" i="243"/>
  <c r="AL256" i="243"/>
  <c r="AO242" i="243"/>
  <c r="AG242" i="243"/>
  <c r="BG47" i="243"/>
  <c r="BG256" i="243"/>
  <c r="AE256" i="243"/>
  <c r="AE47" i="243"/>
  <c r="Y235" i="243"/>
  <c r="U235" i="243"/>
  <c r="AS206" i="243"/>
  <c r="AV178" i="243"/>
  <c r="AV186" i="243" s="1"/>
  <c r="AU34" i="243"/>
  <c r="AO178" i="243"/>
  <c r="AO186" i="243" s="1"/>
  <c r="AN34" i="243"/>
  <c r="AH253" i="243"/>
  <c r="AG252" i="243"/>
  <c r="AV167" i="243"/>
  <c r="AV185" i="243" s="1"/>
  <c r="AU10" i="243"/>
  <c r="AA178" i="243"/>
  <c r="AA186" i="243" s="1"/>
  <c r="Z34" i="243"/>
  <c r="BH235" i="243"/>
  <c r="BD235" i="243"/>
  <c r="X256" i="243"/>
  <c r="X47" i="243"/>
  <c r="AE206" i="243"/>
  <c r="BI47" i="243"/>
  <c r="BJ167" i="243"/>
  <c r="BJ185" i="243" s="1"/>
  <c r="BI10" i="243"/>
  <c r="BJ178" i="243"/>
  <c r="BJ186" i="243" s="1"/>
  <c r="BI34" i="243"/>
  <c r="AO167" i="243"/>
  <c r="AO185" i="243" s="1"/>
  <c r="AN10" i="243"/>
  <c r="AM235" i="243"/>
  <c r="AI235" i="243"/>
  <c r="AN47" i="243"/>
  <c r="BC206" i="243"/>
  <c r="BJ206" i="243" s="1"/>
  <c r="AN206" i="243"/>
  <c r="X20" i="242"/>
  <c r="Z189" i="243"/>
  <c r="Z46" i="242"/>
  <c r="CE67" i="242"/>
  <c r="AE20" i="242"/>
  <c r="AG189" i="243"/>
  <c r="AG46" i="242"/>
  <c r="BG33" i="242"/>
  <c r="BG38" i="242" s="1"/>
  <c r="BI38" i="242"/>
  <c r="CB31" i="242"/>
  <c r="CB53" i="242"/>
  <c r="CB52" i="242" s="1"/>
  <c r="BB53" i="242"/>
  <c r="AZ23" i="242"/>
  <c r="BB31" i="242"/>
  <c r="BB42" i="242" s="1"/>
  <c r="BW53" i="242"/>
  <c r="BW52" i="242" s="1"/>
  <c r="BW31" i="242"/>
  <c r="BU23" i="242"/>
  <c r="AN53" i="242"/>
  <c r="AL23" i="242"/>
  <c r="AN31" i="242"/>
  <c r="AN42" i="242" s="1"/>
  <c r="CK31" i="242"/>
  <c r="BU33" i="242"/>
  <c r="BU38" i="242" s="1"/>
  <c r="BW38" i="242"/>
  <c r="AS33" i="242"/>
  <c r="AS38" i="242" s="1"/>
  <c r="AU38" i="242"/>
  <c r="BX52" i="242"/>
  <c r="BX55" i="242" s="1"/>
  <c r="BW55" i="242" s="1"/>
  <c r="AZ21" i="242"/>
  <c r="AZ45" i="242" s="1"/>
  <c r="AZ46" i="242"/>
  <c r="BP38" i="242"/>
  <c r="BN33" i="242"/>
  <c r="BN38" i="242" s="1"/>
  <c r="CK52" i="242"/>
  <c r="CK51" i="242"/>
  <c r="AS21" i="242"/>
  <c r="AS45" i="242" s="1"/>
  <c r="AS189" i="243"/>
  <c r="AS46" i="242"/>
  <c r="BG21" i="242"/>
  <c r="BG189" i="243"/>
  <c r="BG46" i="242"/>
  <c r="AV52" i="242"/>
  <c r="AV55" i="242" s="1"/>
  <c r="AU55" i="242" s="1"/>
  <c r="AS55" i="242" s="1"/>
  <c r="BJ51" i="242"/>
  <c r="BI55" i="242"/>
  <c r="BG55" i="242" s="1"/>
  <c r="AL21" i="242"/>
  <c r="AL45" i="242" s="1"/>
  <c r="AL189" i="243"/>
  <c r="AL46" i="242"/>
  <c r="BQ52" i="242"/>
  <c r="BQ55" i="242" s="1"/>
  <c r="BP55" i="242" s="1"/>
  <c r="BN55" i="242" s="1"/>
  <c r="BC52" i="242"/>
  <c r="BC55" i="242" s="1"/>
  <c r="BB55" i="242" s="1"/>
  <c r="AZ55" i="242" s="1"/>
  <c r="AU53" i="242"/>
  <c r="AS23" i="242"/>
  <c r="AU31" i="242"/>
  <c r="AU42" i="242" s="1"/>
  <c r="AO52" i="242"/>
  <c r="AO55" i="242" s="1"/>
  <c r="AN55" i="242" s="1"/>
  <c r="AL55" i="242" s="1"/>
  <c r="CI31" i="242"/>
  <c r="CI53" i="242"/>
  <c r="BI53" i="242"/>
  <c r="BG23" i="242"/>
  <c r="BI31" i="242"/>
  <c r="AN45" i="242"/>
  <c r="AN49" i="242" s="1"/>
  <c r="BP53" i="242"/>
  <c r="BP31" i="242"/>
  <c r="BN23" i="242"/>
  <c r="AU49" i="242"/>
  <c r="BI45" i="242"/>
  <c r="BI49" i="242" s="1"/>
  <c r="BK235" i="243"/>
  <c r="BO235" i="243"/>
  <c r="BN34" i="243"/>
  <c r="BP178" i="243"/>
  <c r="BP35" i="243"/>
  <c r="BP47" i="243"/>
  <c r="BN256" i="243"/>
  <c r="BN47" i="243"/>
  <c r="BQ253" i="243"/>
  <c r="BP252" i="243"/>
  <c r="BP46" i="242"/>
  <c r="BN20" i="242"/>
  <c r="BP189" i="243"/>
  <c r="BU20" i="242"/>
  <c r="BW189" i="243"/>
  <c r="BW46" i="242"/>
  <c r="BW21" i="242"/>
  <c r="CB189" i="243"/>
  <c r="CB46" i="242"/>
  <c r="CI20" i="242"/>
  <c r="CK189" i="243"/>
  <c r="CK46" i="242"/>
  <c r="BX253" i="243"/>
  <c r="BW252" i="243"/>
  <c r="DC21" i="243"/>
  <c r="CK21" i="243"/>
  <c r="BU256" i="243"/>
  <c r="BU47" i="243"/>
  <c r="CI34" i="243"/>
  <c r="CK178" i="243"/>
  <c r="CK35" i="243"/>
  <c r="CI47" i="243"/>
  <c r="CI256" i="243"/>
  <c r="BU34" i="243"/>
  <c r="BW178" i="243"/>
  <c r="BW35" i="243"/>
  <c r="CK47" i="243"/>
  <c r="CK253" i="243"/>
  <c r="CI252" i="243"/>
  <c r="CI253" i="243" s="1"/>
  <c r="CB47" i="243"/>
  <c r="CB256" i="243"/>
  <c r="BW47" i="243"/>
  <c r="CB34" i="243"/>
  <c r="CD178" i="243"/>
  <c r="CD35" i="243"/>
  <c r="BV235" i="243"/>
  <c r="BR235" i="243"/>
  <c r="CE253" i="243"/>
  <c r="CD252" i="243"/>
  <c r="CD47" i="243"/>
  <c r="DJ33" i="243"/>
  <c r="DJ32" i="243"/>
  <c r="DJ17" i="243"/>
  <c r="DJ5" i="243"/>
  <c r="DJ55" i="243"/>
  <c r="DJ52" i="243"/>
  <c r="DJ44" i="243"/>
  <c r="DJ31" i="243"/>
  <c r="DJ43" i="243"/>
  <c r="DJ20" i="243"/>
  <c r="EC16" i="243"/>
  <c r="EG16" i="243"/>
  <c r="ED16" i="243" s="1"/>
  <c r="EE16" i="243" s="1"/>
  <c r="EA16" i="243"/>
  <c r="DY16" i="243" s="1"/>
  <c r="DU85" i="242"/>
  <c r="DM85" i="242"/>
  <c r="DK85" i="242" s="1"/>
  <c r="DJ85" i="242"/>
  <c r="DJ19" i="243"/>
  <c r="DF208" i="243"/>
  <c r="DD208" i="243" s="1"/>
  <c r="DN33" i="243"/>
  <c r="DD33" i="243"/>
  <c r="DN32" i="243"/>
  <c r="DD32" i="243"/>
  <c r="DD18" i="243"/>
  <c r="DN38" i="243"/>
  <c r="DN17" i="243"/>
  <c r="DD17" i="243"/>
  <c r="DD5" i="243"/>
  <c r="DF205" i="243"/>
  <c r="DN55" i="243"/>
  <c r="DD55" i="243"/>
  <c r="DN52" i="243"/>
  <c r="DD52" i="243"/>
  <c r="DN44" i="243"/>
  <c r="DD44" i="243"/>
  <c r="DN31" i="243"/>
  <c r="DD31" i="243"/>
  <c r="DF209" i="243"/>
  <c r="DD209" i="243" s="1"/>
  <c r="DF204" i="243"/>
  <c r="DD204" i="243" s="1"/>
  <c r="DN19" i="243"/>
  <c r="DD19" i="243"/>
  <c r="DN43" i="243"/>
  <c r="DD43" i="243"/>
  <c r="DN28" i="243"/>
  <c r="DN20" i="243"/>
  <c r="DD20" i="243"/>
  <c r="DF207" i="243"/>
  <c r="DD207" i="243" s="1"/>
  <c r="EI16" i="243"/>
  <c r="DN207" i="243"/>
  <c r="DN209" i="243"/>
  <c r="DN208" i="243"/>
  <c r="DN205" i="243"/>
  <c r="L226" i="243"/>
  <c r="DA48" i="4"/>
  <c r="CT54" i="2" s="1"/>
  <c r="DB47" i="4"/>
  <c r="DB48" i="4" s="1"/>
  <c r="CU54" i="2" s="1"/>
  <c r="CG34" i="178"/>
  <c r="CN28" i="178"/>
  <c r="CE52" i="242"/>
  <c r="CE55" i="242" s="1"/>
  <c r="CL51" i="242"/>
  <c r="CL52" i="242"/>
  <c r="T235" i="243"/>
  <c r="BX97" i="243"/>
  <c r="V62" i="139"/>
  <c r="CG73" i="178"/>
  <c r="CH29" i="178"/>
  <c r="AO235" i="243"/>
  <c r="AH235" i="243"/>
  <c r="G222" i="243"/>
  <c r="H222" i="243" s="1"/>
  <c r="G226" i="243"/>
  <c r="J226" i="243"/>
  <c r="K226" i="243"/>
  <c r="M246" i="243"/>
  <c r="T246" i="243"/>
  <c r="AV97" i="243"/>
  <c r="BC235" i="243"/>
  <c r="M110" i="243"/>
  <c r="AV235" i="243"/>
  <c r="CJ61" i="220"/>
  <c r="CG53" i="178"/>
  <c r="T92" i="243"/>
  <c r="AA235" i="243"/>
  <c r="M235" i="243"/>
  <c r="T84" i="243"/>
  <c r="D49" i="243"/>
  <c r="D58" i="243" s="1"/>
  <c r="D59" i="243" s="1"/>
  <c r="AA59" i="243"/>
  <c r="AA246" i="243"/>
  <c r="AV84" i="243"/>
  <c r="BQ65" i="243"/>
  <c r="BQ72" i="243" s="1"/>
  <c r="BQ64" i="243" s="1"/>
  <c r="T252" i="243"/>
  <c r="T253" i="243" s="1"/>
  <c r="CQ31" i="220"/>
  <c r="CQ58" i="220" s="1"/>
  <c r="T256" i="243"/>
  <c r="C188" i="243"/>
  <c r="D188" i="243" s="1"/>
  <c r="E188" i="243" s="1"/>
  <c r="EK358" i="11"/>
  <c r="EK375" i="11" s="1"/>
  <c r="D42" i="242"/>
  <c r="EP358" i="11"/>
  <c r="EP375" i="11" s="1"/>
  <c r="BJ95" i="243"/>
  <c r="BJ97" i="243" s="1"/>
  <c r="BC84" i="243"/>
  <c r="BJ235" i="243"/>
  <c r="EE358" i="11"/>
  <c r="EE375" i="11" s="1"/>
  <c r="ED375" i="11"/>
  <c r="EF358" i="11"/>
  <c r="EI375" i="11"/>
  <c r="DZ358" i="11"/>
  <c r="DZ375" i="11" s="1"/>
  <c r="DY375" i="11"/>
  <c r="BU61" i="220"/>
  <c r="CG50" i="178"/>
  <c r="CG51" i="178" s="1"/>
  <c r="DJ34" i="178"/>
  <c r="DH34" i="178"/>
  <c r="BQ235" i="243"/>
  <c r="H226" i="243"/>
  <c r="AA103" i="243"/>
  <c r="AA63" i="139"/>
  <c r="EI251" i="243"/>
  <c r="CE61" i="220"/>
  <c r="BU58" i="220"/>
  <c r="CL58" i="243"/>
  <c r="CL59" i="243" s="1"/>
  <c r="T61" i="139"/>
  <c r="AH59" i="243"/>
  <c r="M71" i="139"/>
  <c r="BU37" i="220"/>
  <c r="BU38" i="220" s="1"/>
  <c r="CU47" i="4"/>
  <c r="BT21" i="220"/>
  <c r="CT65" i="4" s="1"/>
  <c r="CT89" i="4" s="1"/>
  <c r="CT104" i="4" s="1"/>
  <c r="CZ31" i="220"/>
  <c r="C42" i="242"/>
  <c r="T56" i="139"/>
  <c r="E125" i="243"/>
  <c r="F253" i="243"/>
  <c r="BJ92" i="243"/>
  <c r="P71" i="139"/>
  <c r="BC59" i="243"/>
  <c r="F95" i="243"/>
  <c r="F98" i="243" s="1"/>
  <c r="E84" i="243"/>
  <c r="G76" i="243"/>
  <c r="G79" i="243" s="1"/>
  <c r="G65" i="243" s="1"/>
  <c r="CU71" i="4"/>
  <c r="CU95" i="4" s="1"/>
  <c r="CY110" i="4"/>
  <c r="CU12" i="4"/>
  <c r="DX47" i="4"/>
  <c r="DY47" i="4" s="1"/>
  <c r="EM97" i="4"/>
  <c r="CW71" i="4"/>
  <c r="CW95" i="4" s="1"/>
  <c r="ET97" i="4"/>
  <c r="ES47" i="4"/>
  <c r="EL47" i="4"/>
  <c r="EM47" i="4" s="1"/>
  <c r="EE47" i="4"/>
  <c r="EF47" i="4" s="1"/>
  <c r="DQ47" i="4"/>
  <c r="DJ97" i="4"/>
  <c r="DK97" i="4" s="1"/>
  <c r="CW47" i="4"/>
  <c r="CW97" i="4"/>
  <c r="CU97" i="4"/>
  <c r="BQ84" i="243"/>
  <c r="BQ83" i="243" s="1"/>
  <c r="BQ91" i="243" s="1"/>
  <c r="BQ90" i="243" s="1"/>
  <c r="CE95" i="243"/>
  <c r="CG31" i="178"/>
  <c r="F185" i="243"/>
  <c r="I149" i="243"/>
  <c r="I145" i="243"/>
  <c r="J122" i="243"/>
  <c r="I109" i="243"/>
  <c r="I117" i="243" s="1"/>
  <c r="C43" i="243"/>
  <c r="C47" i="243" s="1"/>
  <c r="B32" i="243"/>
  <c r="C35" i="243"/>
  <c r="E231" i="243"/>
  <c r="D231" i="243"/>
  <c r="E149" i="243"/>
  <c r="E145" i="243"/>
  <c r="CE88" i="243"/>
  <c r="K227" i="243"/>
  <c r="L217" i="243"/>
  <c r="L227" i="243" s="1"/>
  <c r="AH246" i="243"/>
  <c r="H220" i="243"/>
  <c r="G230" i="243"/>
  <c r="G253" i="243"/>
  <c r="I219" i="243"/>
  <c r="H229" i="243"/>
  <c r="E64" i="243"/>
  <c r="E66" i="243" s="1"/>
  <c r="E73" i="243"/>
  <c r="F69" i="243"/>
  <c r="F72" i="243" s="1"/>
  <c r="M256" i="243"/>
  <c r="M252" i="243"/>
  <c r="M253" i="243" s="1"/>
  <c r="M45" i="243"/>
  <c r="BC65" i="243"/>
  <c r="BJ76" i="243"/>
  <c r="BJ78" i="243" s="1"/>
  <c r="CE76" i="243"/>
  <c r="CE78" i="243" s="1"/>
  <c r="BX65" i="243"/>
  <c r="BX72" i="243" s="1"/>
  <c r="AA64" i="243"/>
  <c r="AA73" i="243"/>
  <c r="AH69" i="243"/>
  <c r="AH72" i="243" s="1"/>
  <c r="K252" i="243"/>
  <c r="K253" i="243" s="1"/>
  <c r="K256" i="243"/>
  <c r="K45" i="243"/>
  <c r="I226" i="243"/>
  <c r="AA111" i="243"/>
  <c r="AA122" i="243"/>
  <c r="I252" i="243"/>
  <c r="I253" i="243" s="1"/>
  <c r="I45" i="243"/>
  <c r="AO115" i="243"/>
  <c r="AO118" i="243" s="1"/>
  <c r="AH103" i="243"/>
  <c r="CL253" i="243"/>
  <c r="AH95" i="243"/>
  <c r="AH98" i="243" s="1"/>
  <c r="AA84" i="243"/>
  <c r="AA83" i="243"/>
  <c r="AA92" i="243"/>
  <c r="AH88" i="243"/>
  <c r="AH91" i="243" s="1"/>
  <c r="I228" i="243"/>
  <c r="J218" i="243"/>
  <c r="G223" i="243"/>
  <c r="F233" i="243"/>
  <c r="F231" i="243" s="1"/>
  <c r="DN204" i="243"/>
  <c r="M121" i="243"/>
  <c r="M125" i="243"/>
  <c r="E90" i="243"/>
  <c r="E92" i="243"/>
  <c r="BC125" i="243"/>
  <c r="BC121" i="243"/>
  <c r="J65" i="243"/>
  <c r="K76" i="243"/>
  <c r="K79" i="243" s="1"/>
  <c r="H253" i="243"/>
  <c r="CS211" i="4"/>
  <c r="CS155" i="4"/>
  <c r="CL155" i="4"/>
  <c r="CS137" i="4"/>
  <c r="CL137" i="4"/>
  <c r="CJ58" i="220" l="1"/>
  <c r="CK61" i="220"/>
  <c r="CK62" i="220" s="1"/>
  <c r="AI246" i="243"/>
  <c r="CK167" i="243"/>
  <c r="CK185" i="243" s="1"/>
  <c r="BW167" i="243"/>
  <c r="BW168" i="243" s="1"/>
  <c r="CK11" i="243"/>
  <c r="CD11" i="243"/>
  <c r="CD24" i="243" s="1"/>
  <c r="CB10" i="243"/>
  <c r="CB167" i="243" s="1"/>
  <c r="BP11" i="243"/>
  <c r="BP24" i="243" s="1"/>
  <c r="BP167" i="243"/>
  <c r="BP185" i="243" s="1"/>
  <c r="AV210" i="243"/>
  <c r="AU210" i="243" s="1"/>
  <c r="AS210" i="243" s="1"/>
  <c r="AS211" i="243" s="1"/>
  <c r="AS213" i="243" s="1"/>
  <c r="AS235" i="243" s="1"/>
  <c r="BC210" i="243"/>
  <c r="BJ210" i="243" s="1"/>
  <c r="BQ210" i="243" s="1"/>
  <c r="BX210" i="243" s="1"/>
  <c r="BU62" i="220"/>
  <c r="BW11" i="243"/>
  <c r="BW24" i="243" s="1"/>
  <c r="BP49" i="243"/>
  <c r="BP58" i="243" s="1"/>
  <c r="AG211" i="243"/>
  <c r="AG213" i="243" s="1"/>
  <c r="AG235" i="243" s="1"/>
  <c r="AE211" i="243"/>
  <c r="AE213" i="243" s="1"/>
  <c r="AE235" i="243" s="1"/>
  <c r="BI42" i="242"/>
  <c r="W9" i="243"/>
  <c r="W10" i="243" s="1"/>
  <c r="W167" i="243" s="1"/>
  <c r="V47" i="243"/>
  <c r="V49" i="243" s="1"/>
  <c r="V58" i="243" s="1"/>
  <c r="V10" i="243"/>
  <c r="V167" i="243" s="1"/>
  <c r="Y167" i="243"/>
  <c r="CO30" i="178"/>
  <c r="CH30" i="178"/>
  <c r="CN32" i="178"/>
  <c r="CG32" i="178"/>
  <c r="CN35" i="178"/>
  <c r="CG35" i="178"/>
  <c r="T51" i="242"/>
  <c r="AE53" i="242"/>
  <c r="AE52" i="242" s="1"/>
  <c r="AE31" i="242"/>
  <c r="S52" i="242"/>
  <c r="S51" i="242"/>
  <c r="Z52" i="242"/>
  <c r="Z51" i="242"/>
  <c r="AG52" i="242"/>
  <c r="AG51" i="242"/>
  <c r="Q53" i="242"/>
  <c r="Q52" i="242" s="1"/>
  <c r="Q31" i="242"/>
  <c r="AA51" i="242"/>
  <c r="X53" i="242"/>
  <c r="X31" i="242"/>
  <c r="AL49" i="242"/>
  <c r="AS49" i="242"/>
  <c r="AE242" i="243"/>
  <c r="AE243" i="243" s="1"/>
  <c r="AE246" i="243" s="1"/>
  <c r="AG243" i="243"/>
  <c r="AG246" i="243" s="1"/>
  <c r="Z167" i="243"/>
  <c r="X10" i="243"/>
  <c r="Z11" i="243"/>
  <c r="Z24" i="243" s="1"/>
  <c r="AG178" i="243"/>
  <c r="AE34" i="243"/>
  <c r="AG35" i="243"/>
  <c r="AG49" i="243" s="1"/>
  <c r="AG58" i="243" s="1"/>
  <c r="AN253" i="243"/>
  <c r="AL252" i="243"/>
  <c r="AL253" i="243" s="1"/>
  <c r="AL206" i="243"/>
  <c r="AL211" i="243" s="1"/>
  <c r="AL213" i="243" s="1"/>
  <c r="AL235" i="243" s="1"/>
  <c r="AN211" i="243"/>
  <c r="AN213" i="243" s="1"/>
  <c r="AN235" i="243" s="1"/>
  <c r="BG10" i="243"/>
  <c r="BI167" i="243"/>
  <c r="BI11" i="243"/>
  <c r="BI24" i="243" s="1"/>
  <c r="Z178" i="243"/>
  <c r="X34" i="243"/>
  <c r="Z35" i="243"/>
  <c r="Z49" i="243" s="1"/>
  <c r="Z58" i="243" s="1"/>
  <c r="AG253" i="243"/>
  <c r="AE252" i="243"/>
  <c r="AE253" i="243" s="1"/>
  <c r="AS34" i="243"/>
  <c r="AU178" i="243"/>
  <c r="AU35" i="243"/>
  <c r="AU49" i="243" s="1"/>
  <c r="AU58" i="243" s="1"/>
  <c r="AN242" i="243"/>
  <c r="AO243" i="243"/>
  <c r="BC242" i="243"/>
  <c r="AV242" i="243"/>
  <c r="X252" i="243"/>
  <c r="X253" i="243" s="1"/>
  <c r="Z253" i="243"/>
  <c r="BQ206" i="243"/>
  <c r="BI206" i="243"/>
  <c r="AS47" i="243"/>
  <c r="AS256" i="243"/>
  <c r="AE10" i="243"/>
  <c r="AG167" i="243"/>
  <c r="AG11" i="243"/>
  <c r="AG24" i="243" s="1"/>
  <c r="AS252" i="243"/>
  <c r="AS253" i="243" s="1"/>
  <c r="AU253" i="243"/>
  <c r="BG252" i="243"/>
  <c r="BG253" i="243" s="1"/>
  <c r="BI253" i="243"/>
  <c r="AN167" i="243"/>
  <c r="AL10" i="243"/>
  <c r="AN11" i="243"/>
  <c r="AN24" i="243" s="1"/>
  <c r="BI178" i="243"/>
  <c r="BG34" i="243"/>
  <c r="BI35" i="243"/>
  <c r="BI49" i="243" s="1"/>
  <c r="BI58" i="243" s="1"/>
  <c r="AS10" i="243"/>
  <c r="AU167" i="243"/>
  <c r="AU11" i="243"/>
  <c r="AU24" i="243" s="1"/>
  <c r="AN178" i="243"/>
  <c r="AL34" i="243"/>
  <c r="AN35" i="243"/>
  <c r="AN49" i="243" s="1"/>
  <c r="AN58" i="243" s="1"/>
  <c r="AE46" i="242"/>
  <c r="AE189" i="243"/>
  <c r="X46" i="242"/>
  <c r="X189" i="243"/>
  <c r="AO51" i="242"/>
  <c r="BN31" i="242"/>
  <c r="BN53" i="242"/>
  <c r="BN52" i="242" s="1"/>
  <c r="CI52" i="242"/>
  <c r="CI51" i="242"/>
  <c r="BX51" i="242"/>
  <c r="AL53" i="242"/>
  <c r="AL31" i="242"/>
  <c r="AL42" i="242" s="1"/>
  <c r="AS53" i="242"/>
  <c r="AS31" i="242"/>
  <c r="AS42" i="242" s="1"/>
  <c r="BQ51" i="242"/>
  <c r="BW51" i="242"/>
  <c r="BU55" i="242"/>
  <c r="AN52" i="242"/>
  <c r="AN58" i="242" s="1"/>
  <c r="AN60" i="242" s="1"/>
  <c r="AN51" i="242"/>
  <c r="AN56" i="242" s="1"/>
  <c r="AN61" i="242" s="1"/>
  <c r="BP52" i="242"/>
  <c r="BP51" i="242"/>
  <c r="BG53" i="242"/>
  <c r="BG31" i="242"/>
  <c r="BG42" i="242" s="1"/>
  <c r="AU52" i="242"/>
  <c r="AU58" i="242" s="1"/>
  <c r="AU60" i="242" s="1"/>
  <c r="AU51" i="242"/>
  <c r="AU56" i="242" s="1"/>
  <c r="AU61" i="242" s="1"/>
  <c r="BG45" i="242"/>
  <c r="BG49" i="242" s="1"/>
  <c r="BU53" i="242"/>
  <c r="BU31" i="242"/>
  <c r="AZ53" i="242"/>
  <c r="AZ31" i="242"/>
  <c r="AZ42" i="242" s="1"/>
  <c r="BI52" i="242"/>
  <c r="BI58" i="242" s="1"/>
  <c r="BI60" i="242" s="1"/>
  <c r="BI51" i="242"/>
  <c r="BI56" i="242" s="1"/>
  <c r="BI61" i="242" s="1"/>
  <c r="BC51" i="242"/>
  <c r="AV51" i="242"/>
  <c r="AZ49" i="242"/>
  <c r="BB52" i="242"/>
  <c r="BB58" i="242" s="1"/>
  <c r="BB60" i="242" s="1"/>
  <c r="BB51" i="242"/>
  <c r="BB56" i="242" s="1"/>
  <c r="BB61" i="242" s="1"/>
  <c r="BN178" i="243"/>
  <c r="BN35" i="243"/>
  <c r="BN49" i="243" s="1"/>
  <c r="BN58" i="243" s="1"/>
  <c r="BP186" i="243"/>
  <c r="BN167" i="243"/>
  <c r="BN11" i="243"/>
  <c r="BN24" i="243" s="1"/>
  <c r="BN252" i="243"/>
  <c r="BN253" i="243" s="1"/>
  <c r="BP253" i="243"/>
  <c r="BN46" i="242"/>
  <c r="BN189" i="243"/>
  <c r="DJ21" i="243"/>
  <c r="BW42" i="242"/>
  <c r="BW45" i="242"/>
  <c r="BW49" i="242" s="1"/>
  <c r="CI189" i="243"/>
  <c r="CI46" i="242"/>
  <c r="CE51" i="242"/>
  <c r="CD55" i="242"/>
  <c r="BU189" i="243"/>
  <c r="BU46" i="242"/>
  <c r="BU21" i="242"/>
  <c r="CB252" i="243"/>
  <c r="CB253" i="243" s="1"/>
  <c r="CD253" i="243"/>
  <c r="CD186" i="243"/>
  <c r="CD179" i="243"/>
  <c r="CI21" i="243"/>
  <c r="CI22" i="243" s="1"/>
  <c r="CK22" i="243"/>
  <c r="BU167" i="243"/>
  <c r="BU11" i="243"/>
  <c r="BU24" i="243" s="1"/>
  <c r="CB178" i="243"/>
  <c r="CB35" i="243"/>
  <c r="CB49" i="243" s="1"/>
  <c r="CB58" i="243" s="1"/>
  <c r="BW49" i="243"/>
  <c r="BW58" i="243" s="1"/>
  <c r="CD185" i="243"/>
  <c r="CD168" i="243"/>
  <c r="CI178" i="243"/>
  <c r="CI35" i="243"/>
  <c r="CI49" i="243" s="1"/>
  <c r="CI58" i="243" s="1"/>
  <c r="BW185" i="243"/>
  <c r="BW186" i="243"/>
  <c r="BW179" i="243"/>
  <c r="CK49" i="243"/>
  <c r="CK58" i="243" s="1"/>
  <c r="BW253" i="243"/>
  <c r="BU252" i="243"/>
  <c r="BU253" i="243" s="1"/>
  <c r="CI167" i="243"/>
  <c r="CI11" i="243"/>
  <c r="CD49" i="243"/>
  <c r="CD58" i="243" s="1"/>
  <c r="BU178" i="243"/>
  <c r="BU35" i="243"/>
  <c r="BU49" i="243" s="1"/>
  <c r="BU58" i="243" s="1"/>
  <c r="CK186" i="243"/>
  <c r="CK179" i="243"/>
  <c r="DO168" i="243"/>
  <c r="DS168" i="243"/>
  <c r="DQ168" i="243"/>
  <c r="DU208" i="243"/>
  <c r="DJ208" i="243"/>
  <c r="DM208" i="243"/>
  <c r="DK208" i="243" s="1"/>
  <c r="DU209" i="243"/>
  <c r="DJ209" i="243"/>
  <c r="DM209" i="243"/>
  <c r="DK209" i="243" s="1"/>
  <c r="DU207" i="243"/>
  <c r="DJ207" i="243"/>
  <c r="DM207" i="243"/>
  <c r="DK207" i="243" s="1"/>
  <c r="EJ16" i="243"/>
  <c r="EN16" i="243"/>
  <c r="EK16" i="243" s="1"/>
  <c r="EL16" i="243" s="1"/>
  <c r="EH16" i="243"/>
  <c r="EF16" i="243" s="1"/>
  <c r="DU205" i="243"/>
  <c r="DJ205" i="243"/>
  <c r="DM205" i="243"/>
  <c r="DK205" i="243" s="1"/>
  <c r="DO6" i="243"/>
  <c r="DS6" i="243"/>
  <c r="DO28" i="243"/>
  <c r="DS28" i="243"/>
  <c r="DM28" i="243"/>
  <c r="DU44" i="243"/>
  <c r="DO44" i="243"/>
  <c r="DS44" i="243"/>
  <c r="DP44" i="243" s="1"/>
  <c r="DQ44" i="243" s="1"/>
  <c r="DM44" i="243"/>
  <c r="DK44" i="243" s="1"/>
  <c r="DU55" i="243"/>
  <c r="DO55" i="243"/>
  <c r="DM55" i="243"/>
  <c r="DK55" i="243" s="1"/>
  <c r="DS55" i="243"/>
  <c r="DP55" i="243" s="1"/>
  <c r="DQ55" i="243" s="1"/>
  <c r="DU5" i="243"/>
  <c r="DO5" i="243"/>
  <c r="DM5" i="243"/>
  <c r="DK5" i="243" s="1"/>
  <c r="DS5" i="243"/>
  <c r="DP5" i="243" s="1"/>
  <c r="DQ5" i="243" s="1"/>
  <c r="DO38" i="243"/>
  <c r="DO84" i="242" s="1"/>
  <c r="DS38" i="243"/>
  <c r="DM38" i="243"/>
  <c r="DU32" i="243"/>
  <c r="DO32" i="243"/>
  <c r="DS32" i="243"/>
  <c r="DP32" i="243" s="1"/>
  <c r="DQ32" i="243" s="1"/>
  <c r="DM32" i="243"/>
  <c r="DK32" i="243" s="1"/>
  <c r="DM204" i="243"/>
  <c r="DJ204" i="243"/>
  <c r="DJ9" i="243"/>
  <c r="DJ25" i="242" s="1"/>
  <c r="DU20" i="243"/>
  <c r="DS20" i="243"/>
  <c r="DP20" i="243" s="1"/>
  <c r="DQ20" i="243" s="1"/>
  <c r="DM20" i="243"/>
  <c r="DK20" i="243" s="1"/>
  <c r="DO20" i="243"/>
  <c r="DU43" i="243"/>
  <c r="DO43" i="243"/>
  <c r="DS43" i="243"/>
  <c r="DP43" i="243" s="1"/>
  <c r="DQ43" i="243" s="1"/>
  <c r="DM43" i="243"/>
  <c r="DK43" i="243" s="1"/>
  <c r="DU31" i="243"/>
  <c r="DO31" i="243"/>
  <c r="DS31" i="243"/>
  <c r="DP31" i="243" s="1"/>
  <c r="DQ31" i="243" s="1"/>
  <c r="DM31" i="243"/>
  <c r="DK31" i="243" s="1"/>
  <c r="DU52" i="243"/>
  <c r="DO52" i="243"/>
  <c r="DS52" i="243"/>
  <c r="DP52" i="243" s="1"/>
  <c r="DQ52" i="243" s="1"/>
  <c r="DM52" i="243"/>
  <c r="DK52" i="243" s="1"/>
  <c r="DO17" i="243"/>
  <c r="DS17" i="243"/>
  <c r="DP17" i="243" s="1"/>
  <c r="DQ17" i="243" s="1"/>
  <c r="DM17" i="243"/>
  <c r="DK17" i="243" s="1"/>
  <c r="DU33" i="243"/>
  <c r="DO33" i="243"/>
  <c r="DS33" i="243"/>
  <c r="DP33" i="243" s="1"/>
  <c r="DQ33" i="243" s="1"/>
  <c r="DM33" i="243"/>
  <c r="DK33" i="243" s="1"/>
  <c r="DU19" i="243"/>
  <c r="DO19" i="243"/>
  <c r="DS19" i="243"/>
  <c r="DP19" i="243" s="1"/>
  <c r="DQ19" i="243" s="1"/>
  <c r="DM19" i="243"/>
  <c r="DK19" i="243" s="1"/>
  <c r="EB85" i="242"/>
  <c r="DO85" i="242"/>
  <c r="DT85" i="242"/>
  <c r="DR85" i="242" s="1"/>
  <c r="DQ85" i="242"/>
  <c r="DS85" i="242"/>
  <c r="DP85" i="242" s="1"/>
  <c r="EP16" i="243"/>
  <c r="DF240" i="243"/>
  <c r="DD6" i="243"/>
  <c r="DD81" i="242" s="1"/>
  <c r="DD28" i="243"/>
  <c r="DD83" i="242" s="1"/>
  <c r="DD38" i="243"/>
  <c r="DD84" i="242" s="1"/>
  <c r="DD9" i="243"/>
  <c r="DU6" i="243"/>
  <c r="DN240" i="243"/>
  <c r="DU28" i="243"/>
  <c r="DU38" i="243"/>
  <c r="DC81" i="242"/>
  <c r="DC84" i="242"/>
  <c r="W62" i="139"/>
  <c r="DD205" i="243"/>
  <c r="DU17" i="243"/>
  <c r="CT56" i="2"/>
  <c r="CU56" i="2" s="1"/>
  <c r="CU57" i="2" s="1"/>
  <c r="CE58" i="220"/>
  <c r="CG54" i="178"/>
  <c r="BU64" i="220"/>
  <c r="CL95" i="243"/>
  <c r="CE97" i="243"/>
  <c r="G232" i="243"/>
  <c r="BQ73" i="243"/>
  <c r="CH31" i="178"/>
  <c r="CH73" i="178"/>
  <c r="DC29" i="178"/>
  <c r="DJ29" i="178" s="1"/>
  <c r="CU13" i="4"/>
  <c r="CU23" i="4" s="1"/>
  <c r="CQ34" i="220"/>
  <c r="CX34" i="220" s="1"/>
  <c r="CX61" i="220" s="1"/>
  <c r="BQ70" i="243"/>
  <c r="BX69" i="243"/>
  <c r="BX71" i="243" s="1"/>
  <c r="EM358" i="11"/>
  <c r="EN358" i="11" s="1"/>
  <c r="EL358" i="11"/>
  <c r="EL375" i="11" s="1"/>
  <c r="D182" i="243"/>
  <c r="CX31" i="220"/>
  <c r="CV65" i="4"/>
  <c r="CV89" i="4" s="1"/>
  <c r="CV104" i="4" s="1"/>
  <c r="CW30" i="4"/>
  <c r="CG56" i="178"/>
  <c r="EG358" i="11"/>
  <c r="EG375" i="11" s="1"/>
  <c r="EF375" i="11"/>
  <c r="CG37" i="178"/>
  <c r="CX65" i="4"/>
  <c r="CX89" i="4" s="1"/>
  <c r="CX104" i="4" s="1"/>
  <c r="BU21" i="220"/>
  <c r="CM28" i="178"/>
  <c r="DO34" i="178"/>
  <c r="E85" i="243"/>
  <c r="E83" i="243" s="1"/>
  <c r="B72" i="139"/>
  <c r="DL29" i="178"/>
  <c r="F84" i="243"/>
  <c r="G95" i="243"/>
  <c r="G98" i="243" s="1"/>
  <c r="CZ58" i="220"/>
  <c r="DG31" i="220"/>
  <c r="AB63" i="139"/>
  <c r="EP251" i="243"/>
  <c r="DH29" i="178"/>
  <c r="DQ34" i="178"/>
  <c r="BU18" i="220"/>
  <c r="BT24" i="220"/>
  <c r="CT143" i="4" s="1"/>
  <c r="BU59" i="220"/>
  <c r="CE84" i="243"/>
  <c r="CE83" i="243" s="1"/>
  <c r="CE91" i="243" s="1"/>
  <c r="CE92" i="243" s="1"/>
  <c r="CU110" i="4"/>
  <c r="ET47" i="4"/>
  <c r="DR47" i="4"/>
  <c r="BX88" i="243"/>
  <c r="BX92" i="243" s="1"/>
  <c r="BQ92" i="243"/>
  <c r="CG38" i="178"/>
  <c r="CF17" i="178"/>
  <c r="CN62" i="11" s="1"/>
  <c r="B43" i="243"/>
  <c r="B47" i="243" s="1"/>
  <c r="B35" i="243"/>
  <c r="I124" i="243"/>
  <c r="C49" i="243"/>
  <c r="C58" i="243" s="1"/>
  <c r="C59" i="243" s="1"/>
  <c r="K122" i="243"/>
  <c r="J109" i="243"/>
  <c r="J117" i="243" s="1"/>
  <c r="DU204" i="243"/>
  <c r="J228" i="243"/>
  <c r="K218" i="243"/>
  <c r="E182" i="243"/>
  <c r="F188" i="243"/>
  <c r="J219" i="243"/>
  <c r="I229" i="243"/>
  <c r="H230" i="243"/>
  <c r="I220" i="243"/>
  <c r="AH73" i="243"/>
  <c r="AO69" i="243"/>
  <c r="AO72" i="243" s="1"/>
  <c r="AH64" i="243"/>
  <c r="BX64" i="243"/>
  <c r="CE69" i="243"/>
  <c r="F64" i="243"/>
  <c r="F66" i="243" s="1"/>
  <c r="F73" i="243"/>
  <c r="G69" i="243"/>
  <c r="G72" i="243" s="1"/>
  <c r="K65" i="243"/>
  <c r="L76" i="243"/>
  <c r="L79" i="243" s="1"/>
  <c r="DC273" i="243"/>
  <c r="AH92" i="243"/>
  <c r="AO88" i="243"/>
  <c r="AH83" i="243"/>
  <c r="AA112" i="243"/>
  <c r="AH107" i="243"/>
  <c r="AA102" i="243"/>
  <c r="G233" i="243"/>
  <c r="H223" i="243"/>
  <c r="AH84" i="243"/>
  <c r="AO95" i="243"/>
  <c r="AO97" i="243" s="1"/>
  <c r="CL76" i="243"/>
  <c r="CL78" i="243" s="1"/>
  <c r="CE65" i="243"/>
  <c r="CE72" i="243" s="1"/>
  <c r="CL84" i="243"/>
  <c r="CL83" i="243" s="1"/>
  <c r="CL91" i="243" s="1"/>
  <c r="CS88" i="243" s="1"/>
  <c r="H232" i="243"/>
  <c r="I222" i="243"/>
  <c r="CK168" i="243" l="1"/>
  <c r="CJ59" i="220"/>
  <c r="CK58" i="220"/>
  <c r="CD59" i="243"/>
  <c r="CK24" i="243"/>
  <c r="CK59" i="243" s="1"/>
  <c r="CB11" i="243"/>
  <c r="CB24" i="243" s="1"/>
  <c r="CB59" i="243" s="1"/>
  <c r="BW59" i="243"/>
  <c r="BI59" i="243"/>
  <c r="BI210" i="243"/>
  <c r="BG210" i="243" s="1"/>
  <c r="AU211" i="243"/>
  <c r="AU213" i="243" s="1"/>
  <c r="AU235" i="243" s="1"/>
  <c r="BP59" i="243"/>
  <c r="DN21" i="243"/>
  <c r="BP210" i="243"/>
  <c r="BN210" i="243" s="1"/>
  <c r="BW210" i="243"/>
  <c r="BU210" i="243" s="1"/>
  <c r="CE210" i="243"/>
  <c r="CD210" i="243" s="1"/>
  <c r="CB210" i="243" s="1"/>
  <c r="DD21" i="243"/>
  <c r="AG59" i="243"/>
  <c r="V11" i="243"/>
  <c r="V24" i="243" s="1"/>
  <c r="V59" i="243" s="1"/>
  <c r="Y185" i="243"/>
  <c r="Y168" i="243"/>
  <c r="W185" i="243"/>
  <c r="W168" i="243"/>
  <c r="V185" i="243"/>
  <c r="V168" i="243"/>
  <c r="CO32" i="178"/>
  <c r="CH32" i="178"/>
  <c r="AE51" i="242"/>
  <c r="Q51" i="242"/>
  <c r="X51" i="242"/>
  <c r="X52" i="242"/>
  <c r="AU59" i="243"/>
  <c r="Z59" i="243"/>
  <c r="AN59" i="243"/>
  <c r="AU168" i="243"/>
  <c r="AU185" i="243"/>
  <c r="BI179" i="243"/>
  <c r="BI186" i="243"/>
  <c r="AT246" i="243"/>
  <c r="AP246" i="243"/>
  <c r="AO246" i="243"/>
  <c r="AS178" i="243"/>
  <c r="AS35" i="243"/>
  <c r="AS49" i="243" s="1"/>
  <c r="AS58" i="243" s="1"/>
  <c r="X178" i="243"/>
  <c r="X35" i="243"/>
  <c r="X49" i="243" s="1"/>
  <c r="X58" i="243" s="1"/>
  <c r="BG167" i="243"/>
  <c r="BG11" i="243"/>
  <c r="BG24" i="243" s="1"/>
  <c r="AE178" i="243"/>
  <c r="AE35" i="243"/>
  <c r="AE49" i="243" s="1"/>
  <c r="AE58" i="243" s="1"/>
  <c r="Z185" i="243"/>
  <c r="BG178" i="243"/>
  <c r="BG35" i="243"/>
  <c r="BG49" i="243" s="1"/>
  <c r="BG58" i="243" s="1"/>
  <c r="AN185" i="243"/>
  <c r="BJ242" i="243"/>
  <c r="BC243" i="243"/>
  <c r="AU179" i="243"/>
  <c r="AU186" i="243"/>
  <c r="AL178" i="243"/>
  <c r="AL35" i="243"/>
  <c r="AL49" i="243" s="1"/>
  <c r="AL58" i="243" s="1"/>
  <c r="AS167" i="243"/>
  <c r="AS11" i="243"/>
  <c r="AS24" i="243" s="1"/>
  <c r="AG185" i="243"/>
  <c r="BG206" i="243"/>
  <c r="AL242" i="243"/>
  <c r="AL243" i="243" s="1"/>
  <c r="AL246" i="243" s="1"/>
  <c r="AN243" i="243"/>
  <c r="AN246" i="243" s="1"/>
  <c r="Z186" i="243"/>
  <c r="AG186" i="243"/>
  <c r="AN186" i="243"/>
  <c r="AL167" i="243"/>
  <c r="AL11" i="243"/>
  <c r="AL24" i="243" s="1"/>
  <c r="AE167" i="243"/>
  <c r="AE11" i="243"/>
  <c r="AE24" i="243" s="1"/>
  <c r="BX206" i="243"/>
  <c r="BX211" i="243" s="1"/>
  <c r="BX213" i="243" s="1"/>
  <c r="BP206" i="243"/>
  <c r="BN206" i="243" s="1"/>
  <c r="AV243" i="243"/>
  <c r="AV246" i="243" s="1"/>
  <c r="AU242" i="243"/>
  <c r="BI168" i="243"/>
  <c r="BI185" i="243"/>
  <c r="X167" i="243"/>
  <c r="X11" i="243"/>
  <c r="X24" i="243" s="1"/>
  <c r="BU51" i="242"/>
  <c r="BU52" i="242"/>
  <c r="AL51" i="242"/>
  <c r="AL56" i="242" s="1"/>
  <c r="AL61" i="242" s="1"/>
  <c r="AL52" i="242"/>
  <c r="AL58" i="242" s="1"/>
  <c r="AL60" i="242" s="1"/>
  <c r="AZ52" i="242"/>
  <c r="AZ58" i="242" s="1"/>
  <c r="AZ60" i="242" s="1"/>
  <c r="AZ51" i="242"/>
  <c r="AZ56" i="242" s="1"/>
  <c r="AZ61" i="242" s="1"/>
  <c r="AS52" i="242"/>
  <c r="AS58" i="242" s="1"/>
  <c r="AS60" i="242" s="1"/>
  <c r="AS51" i="242"/>
  <c r="AS56" i="242" s="1"/>
  <c r="AS61" i="242" s="1"/>
  <c r="BN51" i="242"/>
  <c r="BG52" i="242"/>
  <c r="BG58" i="242" s="1"/>
  <c r="BG60" i="242" s="1"/>
  <c r="BG51" i="242"/>
  <c r="BG56" i="242" s="1"/>
  <c r="BG61" i="242" s="1"/>
  <c r="BN59" i="243"/>
  <c r="CI24" i="243"/>
  <c r="CI59" i="243" s="1"/>
  <c r="BN185" i="243"/>
  <c r="BN186" i="243"/>
  <c r="CB55" i="242"/>
  <c r="CB51" i="242" s="1"/>
  <c r="CD51" i="242"/>
  <c r="BW56" i="242"/>
  <c r="BW61" i="242" s="1"/>
  <c r="BW58" i="242"/>
  <c r="BW60" i="242" s="1"/>
  <c r="BU45" i="242"/>
  <c r="BU49" i="242" s="1"/>
  <c r="BU42" i="242"/>
  <c r="CB185" i="243"/>
  <c r="CB168" i="243"/>
  <c r="BU185" i="243"/>
  <c r="BU168" i="243"/>
  <c r="BU59" i="243"/>
  <c r="CI186" i="243"/>
  <c r="CI179" i="243"/>
  <c r="BU186" i="243"/>
  <c r="BU179" i="243"/>
  <c r="CI185" i="243"/>
  <c r="CI168" i="243"/>
  <c r="CB186" i="243"/>
  <c r="CB179" i="243"/>
  <c r="EB208" i="243"/>
  <c r="DT208" i="243"/>
  <c r="DR208" i="243" s="1"/>
  <c r="DO208" i="243"/>
  <c r="DS208" i="243"/>
  <c r="DP208" i="243" s="1"/>
  <c r="DQ208" i="243"/>
  <c r="DF256" i="243"/>
  <c r="DS204" i="243"/>
  <c r="DO204" i="243"/>
  <c r="DT204" i="243"/>
  <c r="DQ204" i="243"/>
  <c r="DZ17" i="243"/>
  <c r="DW17" i="243" s="1"/>
  <c r="DX17" i="243" s="1"/>
  <c r="DT17" i="243"/>
  <c r="DR17" i="243" s="1"/>
  <c r="DV17" i="243"/>
  <c r="DZ28" i="243"/>
  <c r="DV28" i="243"/>
  <c r="DT28" i="243"/>
  <c r="EB33" i="243"/>
  <c r="DZ33" i="243"/>
  <c r="DW33" i="243" s="1"/>
  <c r="DX33" i="243" s="1"/>
  <c r="DT33" i="243"/>
  <c r="DR33" i="243" s="1"/>
  <c r="DV33" i="243"/>
  <c r="DJ6" i="243"/>
  <c r="DP38" i="243"/>
  <c r="DS84" i="242"/>
  <c r="DO83" i="242"/>
  <c r="DO33" i="242"/>
  <c r="DO38" i="242" s="1"/>
  <c r="EB205" i="243"/>
  <c r="DS205" i="243"/>
  <c r="DP205" i="243" s="1"/>
  <c r="DT205" i="243"/>
  <c r="DR205" i="243" s="1"/>
  <c r="DQ205" i="243"/>
  <c r="DO205" i="243"/>
  <c r="DV168" i="243"/>
  <c r="DZ168" i="243"/>
  <c r="DX168" i="243"/>
  <c r="DV6" i="243"/>
  <c r="DV81" i="242" s="1"/>
  <c r="DZ6" i="243"/>
  <c r="DT6" i="243"/>
  <c r="DK204" i="243"/>
  <c r="DM84" i="242"/>
  <c r="DK38" i="243"/>
  <c r="DK84" i="242" s="1"/>
  <c r="DP28" i="243"/>
  <c r="DS33" i="242"/>
  <c r="DS83" i="242"/>
  <c r="DO240" i="243"/>
  <c r="DO81" i="242"/>
  <c r="EB207" i="243"/>
  <c r="DT207" i="243"/>
  <c r="DR207" i="243" s="1"/>
  <c r="DO207" i="243"/>
  <c r="DS207" i="243"/>
  <c r="DP207" i="243" s="1"/>
  <c r="DQ207" i="243"/>
  <c r="DU9" i="243"/>
  <c r="DO9" i="243"/>
  <c r="DO25" i="242" s="1"/>
  <c r="DK9" i="243"/>
  <c r="DS9" i="243"/>
  <c r="DP9" i="243" s="1"/>
  <c r="DQ9" i="243" s="1"/>
  <c r="DQ25" i="242" s="1"/>
  <c r="EB5" i="243"/>
  <c r="DZ5" i="243"/>
  <c r="DW5" i="243" s="1"/>
  <c r="DX5" i="243" s="1"/>
  <c r="DV5" i="243"/>
  <c r="DT5" i="243"/>
  <c r="DR5" i="243" s="1"/>
  <c r="EB55" i="243"/>
  <c r="DV55" i="243"/>
  <c r="DZ55" i="243"/>
  <c r="DW55" i="243" s="1"/>
  <c r="DX55" i="243" s="1"/>
  <c r="DT55" i="243"/>
  <c r="DR55" i="243" s="1"/>
  <c r="EB44" i="243"/>
  <c r="DV44" i="243"/>
  <c r="DT44" i="243"/>
  <c r="DR44" i="243" s="1"/>
  <c r="DZ44" i="243"/>
  <c r="DW44" i="243" s="1"/>
  <c r="DX44" i="243" s="1"/>
  <c r="DM240" i="243"/>
  <c r="DK6" i="243"/>
  <c r="DK240" i="243" s="1"/>
  <c r="DM81" i="242"/>
  <c r="DJ28" i="243"/>
  <c r="DZ38" i="243"/>
  <c r="DV38" i="243"/>
  <c r="DV84" i="242" s="1"/>
  <c r="DT38" i="243"/>
  <c r="EO16" i="243"/>
  <c r="EM16" i="243" s="1"/>
  <c r="EB52" i="243"/>
  <c r="DV52" i="243"/>
  <c r="DZ52" i="243"/>
  <c r="DW52" i="243" s="1"/>
  <c r="DX52" i="243" s="1"/>
  <c r="DT52" i="243"/>
  <c r="DR52" i="243" s="1"/>
  <c r="EB31" i="243"/>
  <c r="DZ31" i="243"/>
  <c r="DW31" i="243" s="1"/>
  <c r="DX31" i="243" s="1"/>
  <c r="DT31" i="243"/>
  <c r="DR31" i="243" s="1"/>
  <c r="DV31" i="243"/>
  <c r="EB43" i="243"/>
  <c r="DZ43" i="243"/>
  <c r="DW43" i="243" s="1"/>
  <c r="DX43" i="243" s="1"/>
  <c r="DT43" i="243"/>
  <c r="DR43" i="243" s="1"/>
  <c r="DV43" i="243"/>
  <c r="EB20" i="243"/>
  <c r="DZ20" i="243"/>
  <c r="DW20" i="243" s="1"/>
  <c r="DX20" i="243" s="1"/>
  <c r="DT20" i="243"/>
  <c r="DR20" i="243" s="1"/>
  <c r="DV20" i="243"/>
  <c r="EB32" i="243"/>
  <c r="DZ32" i="243"/>
  <c r="DW32" i="243" s="1"/>
  <c r="DX32" i="243" s="1"/>
  <c r="DV32" i="243"/>
  <c r="DT32" i="243"/>
  <c r="DR32" i="243" s="1"/>
  <c r="DM83" i="242"/>
  <c r="DK28" i="243"/>
  <c r="DK83" i="242" s="1"/>
  <c r="DS240" i="243"/>
  <c r="DP6" i="243"/>
  <c r="DS81" i="242"/>
  <c r="DJ38" i="243"/>
  <c r="DJ84" i="242" s="1"/>
  <c r="EB209" i="243"/>
  <c r="DT209" i="243"/>
  <c r="DR209" i="243" s="1"/>
  <c r="DS209" i="243"/>
  <c r="DP209" i="243" s="1"/>
  <c r="DQ209" i="243"/>
  <c r="DO209" i="243"/>
  <c r="CN8" i="2"/>
  <c r="CN154" i="243"/>
  <c r="EI85" i="242"/>
  <c r="DV85" i="242"/>
  <c r="EA85" i="242"/>
  <c r="DY85" i="242" s="1"/>
  <c r="DZ85" i="242"/>
  <c r="DW85" i="242" s="1"/>
  <c r="DX85" i="242"/>
  <c r="DV19" i="243"/>
  <c r="DT19" i="243"/>
  <c r="DR19" i="243" s="1"/>
  <c r="DZ19" i="243"/>
  <c r="DW19" i="243" s="1"/>
  <c r="DX19" i="243" s="1"/>
  <c r="EB19" i="243"/>
  <c r="CT59" i="2"/>
  <c r="DU240" i="243"/>
  <c r="EB6" i="243"/>
  <c r="DD240" i="243"/>
  <c r="CT57" i="2"/>
  <c r="DD51" i="243"/>
  <c r="EB28" i="243"/>
  <c r="EB17" i="243"/>
  <c r="DC83" i="242"/>
  <c r="DC38" i="242"/>
  <c r="EB38" i="243"/>
  <c r="DC256" i="243"/>
  <c r="CU61" i="2"/>
  <c r="CU62" i="2"/>
  <c r="CU59" i="2"/>
  <c r="CE59" i="220"/>
  <c r="G231" i="243"/>
  <c r="CS95" i="243"/>
  <c r="CL97" i="243"/>
  <c r="BX73" i="243"/>
  <c r="CX64" i="4"/>
  <c r="CX88" i="4" s="1"/>
  <c r="CX103" i="4" s="1"/>
  <c r="CR62" i="11"/>
  <c r="CR63" i="11" s="1"/>
  <c r="CG57" i="178"/>
  <c r="CQ28" i="220"/>
  <c r="CQ37" i="220" s="1"/>
  <c r="CQ38" i="220" s="1"/>
  <c r="DE34" i="220"/>
  <c r="DE61" i="220" s="1"/>
  <c r="CX28" i="220"/>
  <c r="CX4" i="220" s="1"/>
  <c r="CQ61" i="220"/>
  <c r="CQ64" i="220" s="1"/>
  <c r="CQ9" i="220" s="1"/>
  <c r="CJ38" i="220"/>
  <c r="CV143" i="4"/>
  <c r="CX58" i="220"/>
  <c r="CX64" i="220" s="1"/>
  <c r="CX9" i="220" s="1"/>
  <c r="DX28" i="4" s="1"/>
  <c r="DE31" i="220"/>
  <c r="DL31" i="220" s="1"/>
  <c r="EM375" i="11"/>
  <c r="B49" i="243"/>
  <c r="B58" i="243" s="1"/>
  <c r="B59" i="243" s="1"/>
  <c r="EN375" i="11"/>
  <c r="CL88" i="243"/>
  <c r="CL92" i="243" s="1"/>
  <c r="CT64" i="4"/>
  <c r="CT88" i="4" s="1"/>
  <c r="CT103" i="4" s="1"/>
  <c r="DN31" i="220"/>
  <c r="DG58" i="220"/>
  <c r="CZ34" i="220"/>
  <c r="CS61" i="220"/>
  <c r="CS58" i="220" s="1"/>
  <c r="CS59" i="220" s="1"/>
  <c r="DS29" i="178"/>
  <c r="DI29" i="178"/>
  <c r="DI30" i="178" s="1"/>
  <c r="DV34" i="178"/>
  <c r="CM25" i="178"/>
  <c r="CA7" i="220"/>
  <c r="CA5" i="220"/>
  <c r="X62" i="139"/>
  <c r="BU19" i="220"/>
  <c r="CU65" i="4"/>
  <c r="CU89" i="4" s="1"/>
  <c r="BU22" i="220"/>
  <c r="DX34" i="178"/>
  <c r="F85" i="243"/>
  <c r="F83" i="243" s="1"/>
  <c r="F91" i="243" s="1"/>
  <c r="F92" i="243" s="1"/>
  <c r="C72" i="139"/>
  <c r="CG14" i="178"/>
  <c r="CH14" i="178" s="1"/>
  <c r="CH15" i="178" s="1"/>
  <c r="BU65" i="220"/>
  <c r="DO29" i="178"/>
  <c r="DH27" i="178"/>
  <c r="G84" i="243"/>
  <c r="H95" i="243"/>
  <c r="H98" i="243" s="1"/>
  <c r="DQ29" i="178"/>
  <c r="CX143" i="4"/>
  <c r="BU24" i="220"/>
  <c r="CW110" i="4"/>
  <c r="CF20" i="178"/>
  <c r="CG17" i="178"/>
  <c r="J124" i="243"/>
  <c r="L122" i="243"/>
  <c r="L109" i="243" s="1"/>
  <c r="L117" i="243" s="1"/>
  <c r="K109" i="243"/>
  <c r="K117" i="243" s="1"/>
  <c r="I232" i="243"/>
  <c r="J222" i="243"/>
  <c r="DN37" i="243"/>
  <c r="AO92" i="243"/>
  <c r="AO90" i="243"/>
  <c r="G188" i="243"/>
  <c r="F182" i="243"/>
  <c r="M76" i="243"/>
  <c r="M79" i="243" s="1"/>
  <c r="L65" i="243"/>
  <c r="I230" i="243"/>
  <c r="J220" i="243"/>
  <c r="EB204" i="243"/>
  <c r="AH111" i="243"/>
  <c r="AH122" i="243"/>
  <c r="CL65" i="243"/>
  <c r="CL72" i="243" s="1"/>
  <c r="CS69" i="243" s="1"/>
  <c r="H233" i="243"/>
  <c r="H231" i="243" s="1"/>
  <c r="I223" i="243"/>
  <c r="AA125" i="243"/>
  <c r="AA121" i="243"/>
  <c r="G64" i="243"/>
  <c r="G66" i="243" s="1"/>
  <c r="G73" i="243"/>
  <c r="H69" i="243"/>
  <c r="H72" i="243" s="1"/>
  <c r="AV69" i="243"/>
  <c r="AO64" i="243"/>
  <c r="AO73" i="243"/>
  <c r="J229" i="243"/>
  <c r="K219" i="243"/>
  <c r="CE73" i="243"/>
  <c r="CE71" i="243"/>
  <c r="CE64" i="243"/>
  <c r="CL69" i="243"/>
  <c r="DN273" i="243"/>
  <c r="K228" i="243"/>
  <c r="L218" i="243"/>
  <c r="L228" i="243" s="1"/>
  <c r="CK64" i="220" l="1"/>
  <c r="CK65" i="220" s="1"/>
  <c r="CK59" i="220"/>
  <c r="CL210" i="243"/>
  <c r="CK210" i="243" s="1"/>
  <c r="CI210" i="243" s="1"/>
  <c r="BG211" i="243"/>
  <c r="BG213" i="243" s="1"/>
  <c r="BG235" i="243" s="1"/>
  <c r="CT61" i="2"/>
  <c r="BI211" i="243"/>
  <c r="BI213" i="243" s="1"/>
  <c r="BI235" i="243" s="1"/>
  <c r="DU21" i="243"/>
  <c r="DV21" i="243" s="1"/>
  <c r="DM21" i="243"/>
  <c r="DK21" i="243" s="1"/>
  <c r="DO21" i="243"/>
  <c r="DS21" i="243"/>
  <c r="DP21" i="243" s="1"/>
  <c r="DQ21" i="243" s="1"/>
  <c r="AL59" i="243"/>
  <c r="BY235" i="243"/>
  <c r="BX235" i="243"/>
  <c r="BN211" i="243"/>
  <c r="BN213" i="243" s="1"/>
  <c r="BN235" i="243" s="1"/>
  <c r="AS242" i="243"/>
  <c r="AS243" i="243" s="1"/>
  <c r="AS246" i="243" s="1"/>
  <c r="AU243" i="243"/>
  <c r="AU246" i="243" s="1"/>
  <c r="BQ242" i="243"/>
  <c r="BI242" i="243"/>
  <c r="BJ243" i="243"/>
  <c r="BJ246" i="243" s="1"/>
  <c r="BG179" i="243"/>
  <c r="BG186" i="243"/>
  <c r="AE186" i="243"/>
  <c r="X186" i="243"/>
  <c r="CC235" i="243"/>
  <c r="BG168" i="243"/>
  <c r="BG185" i="243"/>
  <c r="AS179" i="243"/>
  <c r="AS186" i="243"/>
  <c r="X185" i="243"/>
  <c r="AE185" i="243"/>
  <c r="AS168" i="243"/>
  <c r="AS185" i="243"/>
  <c r="AS59" i="243"/>
  <c r="BP211" i="243"/>
  <c r="BP213" i="243" s="1"/>
  <c r="BP235" i="243" s="1"/>
  <c r="CE206" i="243"/>
  <c r="BW206" i="243"/>
  <c r="AL185" i="243"/>
  <c r="AL186" i="243"/>
  <c r="BD246" i="243"/>
  <c r="BH246" i="243"/>
  <c r="BC246" i="243"/>
  <c r="BG59" i="243"/>
  <c r="AE59" i="243"/>
  <c r="X59" i="243"/>
  <c r="BU58" i="242"/>
  <c r="BU60" i="242" s="1"/>
  <c r="BU56" i="242"/>
  <c r="BU61" i="242" s="1"/>
  <c r="CT65" i="2"/>
  <c r="DD37" i="243"/>
  <c r="DD256" i="243" s="1"/>
  <c r="DS25" i="242"/>
  <c r="DP25" i="242" s="1"/>
  <c r="DW38" i="243"/>
  <c r="DZ84" i="242"/>
  <c r="DR6" i="243"/>
  <c r="DT81" i="242"/>
  <c r="DT240" i="243"/>
  <c r="DJ83" i="242"/>
  <c r="DJ33" i="242"/>
  <c r="DJ38" i="242" s="1"/>
  <c r="EB9" i="243"/>
  <c r="DV9" i="243"/>
  <c r="DV25" i="242" s="1"/>
  <c r="DT9" i="243"/>
  <c r="DR9" i="243" s="1"/>
  <c r="DZ9" i="243"/>
  <c r="DW9" i="243" s="1"/>
  <c r="DW6" i="243"/>
  <c r="DZ240" i="243"/>
  <c r="DZ81" i="242"/>
  <c r="DJ240" i="243"/>
  <c r="DJ81" i="242"/>
  <c r="DW28" i="243"/>
  <c r="DZ83" i="242"/>
  <c r="DZ33" i="242"/>
  <c r="DR204" i="243"/>
  <c r="EE168" i="243"/>
  <c r="EC168" i="243"/>
  <c r="EG168" i="243"/>
  <c r="EC28" i="243"/>
  <c r="EG28" i="243"/>
  <c r="EA28" i="243"/>
  <c r="EI44" i="243"/>
  <c r="EG44" i="243"/>
  <c r="ED44" i="243" s="1"/>
  <c r="EE44" i="243" s="1"/>
  <c r="EC44" i="243"/>
  <c r="EA44" i="243"/>
  <c r="DY44" i="243" s="1"/>
  <c r="EI55" i="243"/>
  <c r="EG55" i="243"/>
  <c r="ED55" i="243" s="1"/>
  <c r="EE55" i="243" s="1"/>
  <c r="EC55" i="243"/>
  <c r="EA55" i="243"/>
  <c r="DY55" i="243" s="1"/>
  <c r="EI5" i="243"/>
  <c r="EG5" i="243"/>
  <c r="ED5" i="243" s="1"/>
  <c r="EE5" i="243" s="1"/>
  <c r="EC5" i="243"/>
  <c r="EA5" i="243"/>
  <c r="DY5" i="243" s="1"/>
  <c r="DV33" i="242"/>
  <c r="DV38" i="242" s="1"/>
  <c r="DV83" i="242"/>
  <c r="DJ273" i="243"/>
  <c r="DJ41" i="243" s="1"/>
  <c r="EG38" i="243"/>
  <c r="EC38" i="243"/>
  <c r="EC84" i="242" s="1"/>
  <c r="EA38" i="243"/>
  <c r="EI32" i="243"/>
  <c r="EG32" i="243"/>
  <c r="ED32" i="243" s="1"/>
  <c r="EE32" i="243" s="1"/>
  <c r="EC32" i="243"/>
  <c r="EA32" i="243"/>
  <c r="DY32" i="243" s="1"/>
  <c r="DR38" i="243"/>
  <c r="DR84" i="242" s="1"/>
  <c r="DT84" i="242"/>
  <c r="EI207" i="243"/>
  <c r="EA207" i="243"/>
  <c r="DY207" i="243" s="1"/>
  <c r="DX207" i="243"/>
  <c r="DZ207" i="243"/>
  <c r="DW207" i="243" s="1"/>
  <c r="DV207" i="243"/>
  <c r="DP33" i="242"/>
  <c r="DV240" i="243"/>
  <c r="EI205" i="243"/>
  <c r="DV205" i="243"/>
  <c r="DZ205" i="243"/>
  <c r="DW205" i="243" s="1"/>
  <c r="EA205" i="243"/>
  <c r="DY205" i="243" s="1"/>
  <c r="DX205" i="243"/>
  <c r="DQ38" i="243"/>
  <c r="DQ84" i="242" s="1"/>
  <c r="DP84" i="242"/>
  <c r="EI33" i="243"/>
  <c r="EG33" i="243"/>
  <c r="ED33" i="243" s="1"/>
  <c r="EE33" i="243" s="1"/>
  <c r="EA33" i="243"/>
  <c r="DY33" i="243" s="1"/>
  <c r="EC33" i="243"/>
  <c r="DX204" i="243"/>
  <c r="DZ204" i="243"/>
  <c r="DV204" i="243"/>
  <c r="EA204" i="243"/>
  <c r="DO37" i="243"/>
  <c r="DO256" i="243" s="1"/>
  <c r="DS37" i="243"/>
  <c r="DM37" i="243"/>
  <c r="EC17" i="243"/>
  <c r="EG17" i="243"/>
  <c r="ED17" i="243" s="1"/>
  <c r="EE17" i="243" s="1"/>
  <c r="EA17" i="243"/>
  <c r="DY17" i="243" s="1"/>
  <c r="EG6" i="243"/>
  <c r="EA6" i="243"/>
  <c r="EC6" i="243"/>
  <c r="EI209" i="243"/>
  <c r="DZ209" i="243"/>
  <c r="DW209" i="243" s="1"/>
  <c r="DV209" i="243"/>
  <c r="DX209" i="243"/>
  <c r="EA209" i="243"/>
  <c r="DY209" i="243" s="1"/>
  <c r="DP81" i="242"/>
  <c r="DP240" i="243"/>
  <c r="DQ6" i="243"/>
  <c r="EI20" i="243"/>
  <c r="EG20" i="243"/>
  <c r="ED20" i="243" s="1"/>
  <c r="EE20" i="243" s="1"/>
  <c r="EC20" i="243"/>
  <c r="EA20" i="243"/>
  <c r="DY20" i="243" s="1"/>
  <c r="EI43" i="243"/>
  <c r="EC43" i="243"/>
  <c r="EG43" i="243"/>
  <c r="ED43" i="243" s="1"/>
  <c r="EE43" i="243" s="1"/>
  <c r="EA43" i="243"/>
  <c r="DY43" i="243" s="1"/>
  <c r="EI31" i="243"/>
  <c r="EC31" i="243"/>
  <c r="EG31" i="243"/>
  <c r="ED31" i="243" s="1"/>
  <c r="EE31" i="243" s="1"/>
  <c r="EA31" i="243"/>
  <c r="DY31" i="243" s="1"/>
  <c r="EI52" i="243"/>
  <c r="EG52" i="243"/>
  <c r="ED52" i="243" s="1"/>
  <c r="EE52" i="243" s="1"/>
  <c r="EC52" i="243"/>
  <c r="EA52" i="243"/>
  <c r="DY52" i="243" s="1"/>
  <c r="DK81" i="242"/>
  <c r="DQ28" i="243"/>
  <c r="DP83" i="242"/>
  <c r="DR28" i="243"/>
  <c r="DR83" i="242" s="1"/>
  <c r="DT83" i="242"/>
  <c r="DP204" i="243"/>
  <c r="EI208" i="243"/>
  <c r="DZ208" i="243"/>
  <c r="DW208" i="243" s="1"/>
  <c r="DX208" i="243"/>
  <c r="EA208" i="243"/>
  <c r="DY208" i="243" s="1"/>
  <c r="DV208" i="243"/>
  <c r="CT62" i="2"/>
  <c r="CT66" i="2"/>
  <c r="CN159" i="243"/>
  <c r="CN153" i="243"/>
  <c r="CN165" i="243"/>
  <c r="CN171" i="243"/>
  <c r="CN162" i="243"/>
  <c r="CN176" i="243"/>
  <c r="CN168" i="243"/>
  <c r="CN179" i="243"/>
  <c r="CN10" i="2"/>
  <c r="CN11" i="2" s="1"/>
  <c r="CN274" i="243"/>
  <c r="EP85" i="242"/>
  <c r="EE85" i="242"/>
  <c r="EC85" i="242"/>
  <c r="EH85" i="242"/>
  <c r="EF85" i="242" s="1"/>
  <c r="EG85" i="242"/>
  <c r="ED85" i="242" s="1"/>
  <c r="EC19" i="243"/>
  <c r="EA19" i="243"/>
  <c r="DY19" i="243" s="1"/>
  <c r="EG19" i="243"/>
  <c r="ED19" i="243" s="1"/>
  <c r="EE19" i="243" s="1"/>
  <c r="EI19" i="243"/>
  <c r="DF206" i="243"/>
  <c r="DC206" i="243"/>
  <c r="EI38" i="243"/>
  <c r="EI28" i="243"/>
  <c r="EI6" i="243"/>
  <c r="EB240" i="243"/>
  <c r="EI17" i="243"/>
  <c r="CU65" i="2"/>
  <c r="CU66" i="2"/>
  <c r="CS84" i="243"/>
  <c r="CS83" i="243" s="1"/>
  <c r="CS91" i="243" s="1"/>
  <c r="CZ88" i="243" s="1"/>
  <c r="CS97" i="243"/>
  <c r="CX37" i="220"/>
  <c r="CX38" i="220" s="1"/>
  <c r="CX29" i="220"/>
  <c r="CQ29" i="220"/>
  <c r="CQ4" i="220"/>
  <c r="DQ6" i="4" s="1"/>
  <c r="DE58" i="220"/>
  <c r="DE64" i="220" s="1"/>
  <c r="DE9" i="220" s="1"/>
  <c r="CQ65" i="220"/>
  <c r="CX142" i="4"/>
  <c r="CR70" i="11"/>
  <c r="CR71" i="11" s="1"/>
  <c r="DL34" i="220"/>
  <c r="DL28" i="220" s="1"/>
  <c r="DL37" i="220" s="1"/>
  <c r="DL38" i="220" s="1"/>
  <c r="DE28" i="220"/>
  <c r="DE4" i="220" s="1"/>
  <c r="CX15" i="220"/>
  <c r="DX53" i="4" s="1"/>
  <c r="CX10" i="220"/>
  <c r="CX65" i="220"/>
  <c r="F89" i="243"/>
  <c r="DQ28" i="4"/>
  <c r="CQ15" i="220"/>
  <c r="G88" i="243"/>
  <c r="CN63" i="11"/>
  <c r="CT63" i="4"/>
  <c r="CT87" i="4" s="1"/>
  <c r="CT142" i="4"/>
  <c r="CN70" i="11"/>
  <c r="CN71" i="11" s="1"/>
  <c r="CG12" i="178"/>
  <c r="G85" i="243"/>
  <c r="G83" i="243" s="1"/>
  <c r="G91" i="243" s="1"/>
  <c r="D72" i="139"/>
  <c r="CG20" i="178"/>
  <c r="CU142" i="4" s="1"/>
  <c r="DV29" i="178"/>
  <c r="DO27" i="178"/>
  <c r="DE17" i="4"/>
  <c r="H84" i="243"/>
  <c r="I95" i="243"/>
  <c r="I98" i="243" s="1"/>
  <c r="CT45" i="4"/>
  <c r="EC34" i="178"/>
  <c r="DZ29" i="178"/>
  <c r="DP29" i="178"/>
  <c r="DP30" i="178" s="1"/>
  <c r="DN58" i="220"/>
  <c r="DU31" i="220"/>
  <c r="Y62" i="139"/>
  <c r="AO122" i="243"/>
  <c r="AV122" i="243" s="1"/>
  <c r="CU143" i="4"/>
  <c r="BU25" i="220"/>
  <c r="DS31" i="220"/>
  <c r="DL58" i="220"/>
  <c r="BU10" i="220"/>
  <c r="BU15" i="220"/>
  <c r="CG15" i="178"/>
  <c r="EE34" i="178"/>
  <c r="CT44" i="4"/>
  <c r="CM5" i="178"/>
  <c r="DG34" i="220"/>
  <c r="CZ61" i="220"/>
  <c r="CZ28" i="220"/>
  <c r="DJ18" i="4"/>
  <c r="CG18" i="178"/>
  <c r="CU64" i="4"/>
  <c r="CU88" i="4" s="1"/>
  <c r="DX29" i="178"/>
  <c r="CT5" i="178"/>
  <c r="DH28" i="178"/>
  <c r="DH24" i="178"/>
  <c r="DH37" i="178" s="1"/>
  <c r="DE18" i="4"/>
  <c r="DX6" i="4"/>
  <c r="CS38" i="220"/>
  <c r="K124" i="243"/>
  <c r="L124" i="243"/>
  <c r="DU273" i="243"/>
  <c r="DN41" i="243"/>
  <c r="DM41" i="243" s="1"/>
  <c r="K229" i="243"/>
  <c r="L219" i="243"/>
  <c r="L229" i="243" s="1"/>
  <c r="CL73" i="243"/>
  <c r="CL71" i="243"/>
  <c r="CL64" i="243"/>
  <c r="K220" i="243"/>
  <c r="J230" i="243"/>
  <c r="H73" i="243"/>
  <c r="I69" i="243"/>
  <c r="I72" i="243" s="1"/>
  <c r="H64" i="243"/>
  <c r="H66" i="243" s="1"/>
  <c r="AH102" i="243"/>
  <c r="AH104" i="243" s="1"/>
  <c r="AH112" i="243"/>
  <c r="AO107" i="243"/>
  <c r="M65" i="243"/>
  <c r="T76" i="243"/>
  <c r="T79" i="243" s="1"/>
  <c r="H188" i="243"/>
  <c r="G182" i="243"/>
  <c r="AV73" i="243"/>
  <c r="AV71" i="243"/>
  <c r="K222" i="243"/>
  <c r="J232" i="243"/>
  <c r="DN206" i="243"/>
  <c r="J223" i="243"/>
  <c r="I233" i="243"/>
  <c r="I231" i="243" s="1"/>
  <c r="EI204" i="243"/>
  <c r="EP168" i="243"/>
  <c r="DN256" i="243"/>
  <c r="DU37" i="243"/>
  <c r="N25" i="139"/>
  <c r="Q25" i="139"/>
  <c r="P25" i="139"/>
  <c r="O25" i="139"/>
  <c r="DZ21" i="243" l="1"/>
  <c r="DW21" i="243" s="1"/>
  <c r="DX21" i="243" s="1"/>
  <c r="DT21" i="243"/>
  <c r="DR21" i="243" s="1"/>
  <c r="EB21" i="243"/>
  <c r="EG21" i="243" s="1"/>
  <c r="ED21" i="243" s="1"/>
  <c r="EE21" i="243" s="1"/>
  <c r="CZ92" i="243"/>
  <c r="CZ90" i="243"/>
  <c r="BU206" i="243"/>
  <c r="BU211" i="243" s="1"/>
  <c r="BU213" i="243" s="1"/>
  <c r="BU235" i="243" s="1"/>
  <c r="BW211" i="243"/>
  <c r="BW213" i="243" s="1"/>
  <c r="BW235" i="243" s="1"/>
  <c r="BP242" i="243"/>
  <c r="BQ243" i="243"/>
  <c r="BX242" i="243"/>
  <c r="CD206" i="243"/>
  <c r="CL206" i="243"/>
  <c r="CE211" i="243"/>
  <c r="CE213" i="243" s="1"/>
  <c r="BG242" i="243"/>
  <c r="BG243" i="243" s="1"/>
  <c r="BG246" i="243" s="1"/>
  <c r="BI243" i="243"/>
  <c r="BI246" i="243" s="1"/>
  <c r="BO246" i="243"/>
  <c r="BK246" i="243"/>
  <c r="EE204" i="243"/>
  <c r="EH204" i="243"/>
  <c r="EC204" i="243"/>
  <c r="EG204" i="243"/>
  <c r="EN6" i="243"/>
  <c r="EJ6" i="243"/>
  <c r="EH6" i="243"/>
  <c r="EG240" i="243"/>
  <c r="EG81" i="242"/>
  <c r="ED6" i="243"/>
  <c r="DY28" i="243"/>
  <c r="DY83" i="242" s="1"/>
  <c r="EA83" i="242"/>
  <c r="DX28" i="243"/>
  <c r="DW83" i="242"/>
  <c r="DX9" i="243"/>
  <c r="DX25" i="242" s="1"/>
  <c r="DR81" i="242"/>
  <c r="DR240" i="243"/>
  <c r="DV37" i="243"/>
  <c r="DV256" i="243" s="1"/>
  <c r="DT37" i="243"/>
  <c r="DZ37" i="243"/>
  <c r="DK41" i="243"/>
  <c r="DM212" i="243"/>
  <c r="DM273" i="243"/>
  <c r="EJ38" i="243"/>
  <c r="EJ84" i="242" s="1"/>
  <c r="EH38" i="243"/>
  <c r="EN38" i="243"/>
  <c r="EP52" i="243"/>
  <c r="EO52" i="243" s="1"/>
  <c r="EM52" i="243" s="1"/>
  <c r="EN52" i="243"/>
  <c r="EK52" i="243" s="1"/>
  <c r="EL52" i="243" s="1"/>
  <c r="EJ52" i="243"/>
  <c r="EH52" i="243"/>
  <c r="EF52" i="243" s="1"/>
  <c r="EP31" i="243"/>
  <c r="EO31" i="243" s="1"/>
  <c r="EM31" i="243" s="1"/>
  <c r="EN31" i="243"/>
  <c r="EK31" i="243" s="1"/>
  <c r="EL31" i="243" s="1"/>
  <c r="EH31" i="243"/>
  <c r="EF31" i="243" s="1"/>
  <c r="EJ31" i="243"/>
  <c r="EP43" i="243"/>
  <c r="EO43" i="243" s="1"/>
  <c r="EM43" i="243" s="1"/>
  <c r="EJ43" i="243"/>
  <c r="EH43" i="243"/>
  <c r="EF43" i="243" s="1"/>
  <c r="EN43" i="243"/>
  <c r="EK43" i="243" s="1"/>
  <c r="EL43" i="243" s="1"/>
  <c r="EP20" i="243"/>
  <c r="EO20" i="243" s="1"/>
  <c r="EM20" i="243" s="1"/>
  <c r="EJ20" i="243"/>
  <c r="EN20" i="243"/>
  <c r="EK20" i="243" s="1"/>
  <c r="EL20" i="243" s="1"/>
  <c r="EH20" i="243"/>
  <c r="EF20" i="243" s="1"/>
  <c r="EP209" i="243"/>
  <c r="EH209" i="243"/>
  <c r="EF209" i="243" s="1"/>
  <c r="EG209" i="243"/>
  <c r="ED209" i="243" s="1"/>
  <c r="EE209" i="243"/>
  <c r="EC209" i="243"/>
  <c r="DP37" i="243"/>
  <c r="DS256" i="243"/>
  <c r="DY204" i="243"/>
  <c r="EP33" i="243"/>
  <c r="EO33" i="243" s="1"/>
  <c r="EM33" i="243" s="1"/>
  <c r="EH33" i="243"/>
  <c r="EF33" i="243" s="1"/>
  <c r="EN33" i="243"/>
  <c r="EK33" i="243" s="1"/>
  <c r="EL33" i="243" s="1"/>
  <c r="EJ33" i="243"/>
  <c r="EP207" i="243"/>
  <c r="EC207" i="243"/>
  <c r="EH207" i="243"/>
  <c r="EF207" i="243" s="1"/>
  <c r="EG207" i="243"/>
  <c r="ED207" i="243" s="1"/>
  <c r="EE207" i="243"/>
  <c r="ED38" i="243"/>
  <c r="EG84" i="242"/>
  <c r="ED28" i="243"/>
  <c r="EG83" i="242"/>
  <c r="EG33" i="242"/>
  <c r="DQ83" i="242"/>
  <c r="DQ33" i="242"/>
  <c r="DQ38" i="242" s="1"/>
  <c r="DK37" i="243"/>
  <c r="DK256" i="243" s="1"/>
  <c r="DM256" i="243"/>
  <c r="EP205" i="243"/>
  <c r="EE205" i="243"/>
  <c r="EC205" i="243"/>
  <c r="EH205" i="243"/>
  <c r="EF205" i="243" s="1"/>
  <c r="EG205" i="243"/>
  <c r="ED205" i="243" s="1"/>
  <c r="EP32" i="243"/>
  <c r="EO32" i="243" s="1"/>
  <c r="EM32" i="243" s="1"/>
  <c r="EH32" i="243"/>
  <c r="EF32" i="243" s="1"/>
  <c r="EN32" i="243"/>
  <c r="EK32" i="243" s="1"/>
  <c r="EL32" i="243" s="1"/>
  <c r="EJ32" i="243"/>
  <c r="DJ206" i="243"/>
  <c r="DM206" i="243"/>
  <c r="DS273" i="243"/>
  <c r="DS41" i="243" s="1"/>
  <c r="DQ273" i="243"/>
  <c r="DQ41" i="243" s="1"/>
  <c r="DQ212" i="243" s="1"/>
  <c r="DO273" i="243"/>
  <c r="DO41" i="243" s="1"/>
  <c r="EN17" i="243"/>
  <c r="EK17" i="243" s="1"/>
  <c r="EL17" i="243" s="1"/>
  <c r="EJ17" i="243"/>
  <c r="EH17" i="243"/>
  <c r="EF17" i="243" s="1"/>
  <c r="EP208" i="243"/>
  <c r="EH208" i="243"/>
  <c r="EF208" i="243" s="1"/>
  <c r="EC208" i="243"/>
  <c r="EG208" i="243"/>
  <c r="ED208" i="243" s="1"/>
  <c r="EE208" i="243"/>
  <c r="DQ81" i="242"/>
  <c r="DQ240" i="243"/>
  <c r="EC240" i="243"/>
  <c r="EC81" i="242"/>
  <c r="DJ12" i="242"/>
  <c r="EC83" i="242"/>
  <c r="EC33" i="242"/>
  <c r="EC38" i="242" s="1"/>
  <c r="DW33" i="242"/>
  <c r="DW240" i="243"/>
  <c r="DX6" i="243"/>
  <c r="DW81" i="242"/>
  <c r="EJ168" i="243"/>
  <c r="EN168" i="243"/>
  <c r="EL168" i="243"/>
  <c r="EN28" i="243"/>
  <c r="EJ28" i="243"/>
  <c r="EH28" i="243"/>
  <c r="EA240" i="243"/>
  <c r="DY6" i="243"/>
  <c r="DY240" i="243" s="1"/>
  <c r="EA81" i="242"/>
  <c r="DW204" i="243"/>
  <c r="DY38" i="243"/>
  <c r="DY84" i="242" s="1"/>
  <c r="EA84" i="242"/>
  <c r="DJ212" i="243"/>
  <c r="EP5" i="243"/>
  <c r="EO5" i="243" s="1"/>
  <c r="EM5" i="243" s="1"/>
  <c r="EJ5" i="243"/>
  <c r="EH5" i="243"/>
  <c r="EF5" i="243" s="1"/>
  <c r="EN5" i="243"/>
  <c r="EK5" i="243" s="1"/>
  <c r="EL5" i="243" s="1"/>
  <c r="EP55" i="243"/>
  <c r="EO55" i="243" s="1"/>
  <c r="EM55" i="243" s="1"/>
  <c r="EH55" i="243"/>
  <c r="EF55" i="243" s="1"/>
  <c r="EJ55" i="243"/>
  <c r="EN55" i="243"/>
  <c r="EK55" i="243" s="1"/>
  <c r="EL55" i="243" s="1"/>
  <c r="EP44" i="243"/>
  <c r="EO44" i="243" s="1"/>
  <c r="EM44" i="243" s="1"/>
  <c r="EJ44" i="243"/>
  <c r="EH44" i="243"/>
  <c r="EF44" i="243" s="1"/>
  <c r="EN44" i="243"/>
  <c r="EK44" i="243" s="1"/>
  <c r="EL44" i="243" s="1"/>
  <c r="DJ37" i="243"/>
  <c r="DJ256" i="243" s="1"/>
  <c r="DZ25" i="242"/>
  <c r="DW25" i="242" s="1"/>
  <c r="EI9" i="243"/>
  <c r="EC9" i="243"/>
  <c r="EC25" i="242" s="1"/>
  <c r="EG9" i="243"/>
  <c r="ED9" i="243" s="1"/>
  <c r="EA9" i="243"/>
  <c r="DY9" i="243" s="1"/>
  <c r="DW84" i="242"/>
  <c r="DX38" i="243"/>
  <c r="DX84" i="242" s="1"/>
  <c r="EJ19" i="243"/>
  <c r="EN19" i="243"/>
  <c r="EK19" i="243" s="1"/>
  <c r="EL19" i="243" s="1"/>
  <c r="EH19" i="243"/>
  <c r="EF19" i="243" s="1"/>
  <c r="EP19" i="243"/>
  <c r="EO19" i="243" s="1"/>
  <c r="EM19" i="243" s="1"/>
  <c r="EL85" i="242"/>
  <c r="EJ85" i="242"/>
  <c r="EO85" i="242"/>
  <c r="EM85" i="242" s="1"/>
  <c r="EN85" i="242"/>
  <c r="EK85" i="242" s="1"/>
  <c r="EP17" i="243"/>
  <c r="EP38" i="243"/>
  <c r="EP28" i="243"/>
  <c r="DD206" i="243"/>
  <c r="EI240" i="243"/>
  <c r="EP6" i="243"/>
  <c r="EO6" i="243" s="1"/>
  <c r="DF273" i="243"/>
  <c r="DD41" i="243"/>
  <c r="DF212" i="243"/>
  <c r="DJ45" i="4"/>
  <c r="CS90" i="243"/>
  <c r="CS92" i="243"/>
  <c r="CX7" i="220"/>
  <c r="DQ18" i="4"/>
  <c r="CX5" i="220"/>
  <c r="CQ7" i="220"/>
  <c r="CQ5" i="220"/>
  <c r="CQ10" i="220"/>
  <c r="CX16" i="220"/>
  <c r="DL61" i="220"/>
  <c r="DL64" i="220" s="1"/>
  <c r="DS34" i="220"/>
  <c r="DS61" i="220" s="1"/>
  <c r="DE37" i="220"/>
  <c r="DE38" i="220" s="1"/>
  <c r="DE65" i="220"/>
  <c r="DE29" i="220"/>
  <c r="G89" i="243"/>
  <c r="CQ16" i="220"/>
  <c r="DQ53" i="4"/>
  <c r="H88" i="243"/>
  <c r="G92" i="243"/>
  <c r="BC122" i="243"/>
  <c r="BJ122" i="243"/>
  <c r="BQ122" i="243" s="1"/>
  <c r="BX122" i="243" s="1"/>
  <c r="CE122" i="243" s="1"/>
  <c r="CL122" i="243" s="1"/>
  <c r="CS122" i="243" s="1"/>
  <c r="CZ122" i="243" s="1"/>
  <c r="DG122" i="243" s="1"/>
  <c r="DG109" i="243" s="1"/>
  <c r="CT102" i="4"/>
  <c r="CT109" i="4" s="1"/>
  <c r="CT111" i="4" s="1"/>
  <c r="CT112" i="4" s="1"/>
  <c r="CT94" i="4"/>
  <c r="CT96" i="4" s="1"/>
  <c r="CT98" i="4" s="1"/>
  <c r="CU103" i="4"/>
  <c r="DB17" i="4"/>
  <c r="CG21" i="178"/>
  <c r="Z62" i="139"/>
  <c r="BU16" i="220"/>
  <c r="EG29" i="178"/>
  <c r="DW29" i="178"/>
  <c r="DW30" i="178" s="1"/>
  <c r="J95" i="243"/>
  <c r="J98" i="243" s="1"/>
  <c r="I84" i="243"/>
  <c r="DO28" i="178"/>
  <c r="DO24" i="178"/>
  <c r="DN212" i="243"/>
  <c r="DX18" i="4"/>
  <c r="DH17" i="4"/>
  <c r="EE28" i="4"/>
  <c r="DE15" i="220"/>
  <c r="DE10" i="220"/>
  <c r="CZ64" i="220"/>
  <c r="DV27" i="178"/>
  <c r="EC29" i="178"/>
  <c r="EC27" i="178" s="1"/>
  <c r="DS58" i="220"/>
  <c r="DU58" i="220"/>
  <c r="EE6" i="4"/>
  <c r="EE18" i="4" s="1"/>
  <c r="DE7" i="220"/>
  <c r="DE5" i="220"/>
  <c r="CU44" i="4"/>
  <c r="DN34" i="220"/>
  <c r="DG61" i="220"/>
  <c r="DG28" i="220"/>
  <c r="H85" i="243"/>
  <c r="H83" i="243" s="1"/>
  <c r="H91" i="243" s="1"/>
  <c r="E72" i="139"/>
  <c r="DH25" i="178"/>
  <c r="DH4" i="178"/>
  <c r="DH38" i="178"/>
  <c r="EE29" i="178"/>
  <c r="CZ4" i="220"/>
  <c r="CZ29" i="220"/>
  <c r="CZ37" i="220"/>
  <c r="CZ38" i="220" s="1"/>
  <c r="DL29" i="220"/>
  <c r="DL4" i="220"/>
  <c r="DX45" i="4"/>
  <c r="DU256" i="243"/>
  <c r="EB37" i="243"/>
  <c r="L222" i="243"/>
  <c r="L232" i="243" s="1"/>
  <c r="K232" i="243"/>
  <c r="I188" i="243"/>
  <c r="H182" i="243"/>
  <c r="AH121" i="243"/>
  <c r="AH125" i="243"/>
  <c r="I64" i="243"/>
  <c r="I66" i="243" s="1"/>
  <c r="I73" i="243"/>
  <c r="J69" i="243"/>
  <c r="J72" i="243" s="1"/>
  <c r="K223" i="243"/>
  <c r="J233" i="243"/>
  <c r="J231" i="243" s="1"/>
  <c r="DU206" i="243"/>
  <c r="EB273" i="243"/>
  <c r="DU41" i="243"/>
  <c r="DT41" i="243" s="1"/>
  <c r="EP204" i="243"/>
  <c r="T65" i="243"/>
  <c r="T66" i="243" s="1"/>
  <c r="AA76" i="243"/>
  <c r="AA79" i="243" s="1"/>
  <c r="AO112" i="243"/>
  <c r="AO110" i="243"/>
  <c r="L220" i="243"/>
  <c r="L230" i="243" s="1"/>
  <c r="K230" i="243"/>
  <c r="BL64" i="220"/>
  <c r="BE64" i="220"/>
  <c r="AX64" i="220"/>
  <c r="AQ64" i="220"/>
  <c r="AJ64" i="220"/>
  <c r="AC64" i="220"/>
  <c r="V64" i="220"/>
  <c r="O64" i="220"/>
  <c r="H64" i="220"/>
  <c r="BS64" i="220"/>
  <c r="BS75" i="220"/>
  <c r="V72" i="220"/>
  <c r="AC72" i="220"/>
  <c r="AJ72" i="220"/>
  <c r="AQ72" i="220"/>
  <c r="AX72" i="220"/>
  <c r="BE72" i="220"/>
  <c r="BL72" i="220"/>
  <c r="BS72" i="220"/>
  <c r="O72" i="220"/>
  <c r="A54" i="220"/>
  <c r="A51" i="220"/>
  <c r="A49" i="220"/>
  <c r="A50" i="220"/>
  <c r="A52" i="220"/>
  <c r="A53" i="220"/>
  <c r="A48" i="220"/>
  <c r="AQ38" i="220"/>
  <c r="AJ38" i="220"/>
  <c r="BE38" i="220"/>
  <c r="AX38" i="220"/>
  <c r="AC38" i="220"/>
  <c r="V38" i="220"/>
  <c r="O38" i="220"/>
  <c r="H38" i="220"/>
  <c r="BL38" i="220"/>
  <c r="BS18" i="220"/>
  <c r="CE38" i="178"/>
  <c r="BX38" i="178"/>
  <c r="BQ38" i="178"/>
  <c r="BJ38" i="178"/>
  <c r="BC38" i="178"/>
  <c r="AV38" i="178"/>
  <c r="AO38" i="178"/>
  <c r="AH38" i="178"/>
  <c r="AA38" i="178"/>
  <c r="T38" i="178"/>
  <c r="M38" i="178"/>
  <c r="BS38" i="220"/>
  <c r="CE30" i="178"/>
  <c r="CE11" i="178"/>
  <c r="BX7" i="178"/>
  <c r="BX11" i="178"/>
  <c r="CE7" i="178"/>
  <c r="CE56" i="178" s="1"/>
  <c r="CE21" i="178"/>
  <c r="BX21" i="178"/>
  <c r="CE4" i="178"/>
  <c r="CE24" i="178" s="1"/>
  <c r="CE40" i="178" s="1"/>
  <c r="EO71" i="11"/>
  <c r="EM71" i="11"/>
  <c r="EK71" i="11"/>
  <c r="EO63" i="11"/>
  <c r="EM63" i="11"/>
  <c r="EK63" i="11"/>
  <c r="EH71" i="11"/>
  <c r="EF71" i="11"/>
  <c r="ED71" i="11"/>
  <c r="EH63" i="11"/>
  <c r="EF63" i="11"/>
  <c r="ED63" i="11"/>
  <c r="EA71" i="11"/>
  <c r="DY71" i="11"/>
  <c r="DW71" i="11"/>
  <c r="EA63" i="11"/>
  <c r="DY63" i="11"/>
  <c r="DW63" i="11"/>
  <c r="DT71" i="11"/>
  <c r="DR71" i="11"/>
  <c r="DP71" i="11"/>
  <c r="DT63" i="11"/>
  <c r="DR63" i="11"/>
  <c r="DP63" i="11"/>
  <c r="EP56" i="11"/>
  <c r="EN56" i="11" s="1"/>
  <c r="EL56" i="11"/>
  <c r="EP55" i="11"/>
  <c r="EN55" i="11" s="1"/>
  <c r="EL55" i="11"/>
  <c r="EP54" i="11"/>
  <c r="EN54" i="11" s="1"/>
  <c r="EL54" i="11"/>
  <c r="EP53" i="11"/>
  <c r="EN53" i="11" s="1"/>
  <c r="EL53" i="11"/>
  <c r="EP52" i="11"/>
  <c r="EN52" i="11" s="1"/>
  <c r="EL52" i="11"/>
  <c r="EP51" i="11"/>
  <c r="EN51" i="11" s="1"/>
  <c r="EL51" i="11"/>
  <c r="EP50" i="11"/>
  <c r="EN50" i="11" s="1"/>
  <c r="EL50" i="11"/>
  <c r="EI56" i="11"/>
  <c r="EG56" i="11" s="1"/>
  <c r="EE56" i="11"/>
  <c r="EI55" i="11"/>
  <c r="EG55" i="11" s="1"/>
  <c r="EE55" i="11"/>
  <c r="EI54" i="11"/>
  <c r="EG54" i="11" s="1"/>
  <c r="EE54" i="11"/>
  <c r="EI53" i="11"/>
  <c r="EG53" i="11" s="1"/>
  <c r="EE53" i="11"/>
  <c r="EI52" i="11"/>
  <c r="EG52" i="11" s="1"/>
  <c r="EE52" i="11"/>
  <c r="EI51" i="11"/>
  <c r="EG51" i="11" s="1"/>
  <c r="EE51" i="11"/>
  <c r="EI50" i="11"/>
  <c r="EG50" i="11" s="1"/>
  <c r="EE50" i="11"/>
  <c r="EB56" i="11"/>
  <c r="DZ56" i="11" s="1"/>
  <c r="DX56" i="11"/>
  <c r="EB55" i="11"/>
  <c r="DZ55" i="11" s="1"/>
  <c r="DX55" i="11"/>
  <c r="EB54" i="11"/>
  <c r="DZ54" i="11" s="1"/>
  <c r="DX54" i="11"/>
  <c r="EB53" i="11"/>
  <c r="DZ53" i="11" s="1"/>
  <c r="DX53" i="11"/>
  <c r="EB52" i="11"/>
  <c r="DZ52" i="11" s="1"/>
  <c r="DX52" i="11"/>
  <c r="EB51" i="11"/>
  <c r="DZ51" i="11" s="1"/>
  <c r="DX51" i="11"/>
  <c r="EB50" i="11"/>
  <c r="DZ50" i="11" s="1"/>
  <c r="DX50" i="11"/>
  <c r="DU56" i="11"/>
  <c r="DS56" i="11" s="1"/>
  <c r="DQ56" i="11"/>
  <c r="DU55" i="11"/>
  <c r="DS55" i="11" s="1"/>
  <c r="DQ55" i="11"/>
  <c r="DU54" i="11"/>
  <c r="DS54" i="11" s="1"/>
  <c r="DQ54" i="11"/>
  <c r="DU53" i="11"/>
  <c r="DS53" i="11" s="1"/>
  <c r="DQ53" i="11"/>
  <c r="DU52" i="11"/>
  <c r="DS52" i="11" s="1"/>
  <c r="DQ52" i="11"/>
  <c r="DU51" i="11"/>
  <c r="DS51" i="11" s="1"/>
  <c r="DQ51" i="11"/>
  <c r="DU50" i="11"/>
  <c r="DS50" i="11" s="1"/>
  <c r="DQ50" i="11"/>
  <c r="DN56" i="11"/>
  <c r="DL56" i="11" s="1"/>
  <c r="DN55" i="11"/>
  <c r="DL55" i="11" s="1"/>
  <c r="DN54" i="11"/>
  <c r="DL54" i="11" s="1"/>
  <c r="DN53" i="11"/>
  <c r="DL53" i="11" s="1"/>
  <c r="DN52" i="11"/>
  <c r="DL52" i="11" s="1"/>
  <c r="DN51" i="11"/>
  <c r="DL51" i="11" s="1"/>
  <c r="DN50" i="11"/>
  <c r="DL50" i="11" s="1"/>
  <c r="CS51" i="11"/>
  <c r="CQ51" i="11" s="1"/>
  <c r="CS52" i="11"/>
  <c r="CQ52" i="11" s="1"/>
  <c r="CS53" i="11"/>
  <c r="CQ53" i="11" s="1"/>
  <c r="CS54" i="11"/>
  <c r="CQ54" i="11" s="1"/>
  <c r="CS55" i="11"/>
  <c r="CQ55" i="11" s="1"/>
  <c r="CS56" i="11"/>
  <c r="CS50" i="11"/>
  <c r="CQ50" i="11" s="1"/>
  <c r="CO51" i="11"/>
  <c r="CO52" i="11"/>
  <c r="CO53" i="11"/>
  <c r="CO54" i="11"/>
  <c r="CO55" i="11"/>
  <c r="CO56" i="11"/>
  <c r="CO50" i="11"/>
  <c r="EP398" i="11"/>
  <c r="EO398" i="11"/>
  <c r="EN398" i="11"/>
  <c r="EM398" i="11"/>
  <c r="EL398" i="11"/>
  <c r="EK398" i="11"/>
  <c r="EI398" i="11"/>
  <c r="EH398" i="11"/>
  <c r="EG398" i="11"/>
  <c r="EF398" i="11"/>
  <c r="EE398" i="11"/>
  <c r="ED398" i="11"/>
  <c r="EB399" i="11"/>
  <c r="EA399" i="11"/>
  <c r="DZ399" i="11"/>
  <c r="DY399" i="11"/>
  <c r="DX399" i="11"/>
  <c r="DW399" i="11"/>
  <c r="EB398" i="11"/>
  <c r="EA398" i="11"/>
  <c r="DZ398" i="11"/>
  <c r="DY398" i="11"/>
  <c r="DX398" i="11"/>
  <c r="DW398" i="11"/>
  <c r="DU399" i="11"/>
  <c r="DT399" i="11"/>
  <c r="DS399" i="11"/>
  <c r="DR399" i="11"/>
  <c r="DQ399" i="11"/>
  <c r="DP399" i="11"/>
  <c r="DU398" i="11"/>
  <c r="DT398" i="11"/>
  <c r="DS398" i="11"/>
  <c r="DR398" i="11"/>
  <c r="DQ398" i="11"/>
  <c r="DP398" i="11"/>
  <c r="CS398" i="11"/>
  <c r="CT398" i="11"/>
  <c r="CS399" i="11"/>
  <c r="CO399" i="11"/>
  <c r="EO386" i="11"/>
  <c r="EK386" i="11" s="1"/>
  <c r="EP383" i="11"/>
  <c r="EO383" i="11"/>
  <c r="EN383" i="11"/>
  <c r="EM383" i="11"/>
  <c r="EL383" i="11"/>
  <c r="EK383" i="11"/>
  <c r="EH386" i="11"/>
  <c r="EI386" i="11" s="1"/>
  <c r="EI383" i="11"/>
  <c r="EH383" i="11"/>
  <c r="EG383" i="11"/>
  <c r="EF383" i="11"/>
  <c r="EE383" i="11"/>
  <c r="ED383" i="11"/>
  <c r="EA386" i="11"/>
  <c r="DW386" i="11" s="1"/>
  <c r="EB383" i="11"/>
  <c r="EA383" i="11"/>
  <c r="DZ383" i="11"/>
  <c r="DY383" i="11"/>
  <c r="DX383" i="11"/>
  <c r="DW383" i="11"/>
  <c r="DT386" i="11"/>
  <c r="DP386" i="11" s="1"/>
  <c r="DU383" i="11"/>
  <c r="DT383" i="11"/>
  <c r="DS383" i="11"/>
  <c r="DR383" i="11"/>
  <c r="DQ383" i="11"/>
  <c r="DP383" i="11"/>
  <c r="DN383" i="11"/>
  <c r="DL383" i="11"/>
  <c r="DK383" i="11"/>
  <c r="EO354" i="11"/>
  <c r="EM354" i="11"/>
  <c r="EK354" i="11"/>
  <c r="EH354" i="11"/>
  <c r="EF354" i="11"/>
  <c r="ED354" i="11"/>
  <c r="EA354" i="11"/>
  <c r="DY354" i="11"/>
  <c r="DW354" i="11"/>
  <c r="DT354" i="11"/>
  <c r="DR354" i="11"/>
  <c r="DP354" i="11"/>
  <c r="CY354" i="11"/>
  <c r="CW354" i="11"/>
  <c r="CU354" i="11"/>
  <c r="EO328" i="11"/>
  <c r="EM328" i="11"/>
  <c r="EK328" i="11"/>
  <c r="EO327" i="11"/>
  <c r="EM327" i="11"/>
  <c r="EK327" i="11"/>
  <c r="EO326" i="11"/>
  <c r="EM326" i="11"/>
  <c r="EK326" i="11"/>
  <c r="EO325" i="11"/>
  <c r="EM325" i="11"/>
  <c r="EK325" i="11"/>
  <c r="EO324" i="11"/>
  <c r="EM324" i="11"/>
  <c r="EK324" i="11"/>
  <c r="EO323" i="11"/>
  <c r="EM323" i="11"/>
  <c r="EK323" i="11"/>
  <c r="EH328" i="11"/>
  <c r="EF328" i="11"/>
  <c r="ED328" i="11"/>
  <c r="EH327" i="11"/>
  <c r="EF327" i="11"/>
  <c r="ED327" i="11"/>
  <c r="EH326" i="11"/>
  <c r="EF326" i="11"/>
  <c r="ED326" i="11"/>
  <c r="EH325" i="11"/>
  <c r="EF325" i="11"/>
  <c r="ED325" i="11"/>
  <c r="EH324" i="11"/>
  <c r="EF324" i="11"/>
  <c r="ED324" i="11"/>
  <c r="EH323" i="11"/>
  <c r="EF323" i="11"/>
  <c r="ED323" i="11"/>
  <c r="EA328" i="11"/>
  <c r="DY328" i="11"/>
  <c r="DW328" i="11"/>
  <c r="EA327" i="11"/>
  <c r="DY327" i="11"/>
  <c r="DW327" i="11"/>
  <c r="EA326" i="11"/>
  <c r="DY326" i="11"/>
  <c r="DW326" i="11"/>
  <c r="EA325" i="11"/>
  <c r="DY325" i="11"/>
  <c r="DW325" i="11"/>
  <c r="EA324" i="11"/>
  <c r="DY324" i="11"/>
  <c r="DW324" i="11"/>
  <c r="EA323" i="11"/>
  <c r="DY323" i="11"/>
  <c r="DW323" i="11"/>
  <c r="DT328" i="11"/>
  <c r="DR328" i="11"/>
  <c r="DP328" i="11"/>
  <c r="DT327" i="11"/>
  <c r="DR327" i="11"/>
  <c r="DP327" i="11"/>
  <c r="DT326" i="11"/>
  <c r="DR326" i="11"/>
  <c r="DP326" i="11"/>
  <c r="DT325" i="11"/>
  <c r="DR325" i="11"/>
  <c r="DP325" i="11"/>
  <c r="DT324" i="11"/>
  <c r="DR324" i="11"/>
  <c r="DP324" i="11"/>
  <c r="DT323" i="11"/>
  <c r="DR323" i="11"/>
  <c r="DP323" i="11"/>
  <c r="DA210" i="11"/>
  <c r="DH210" i="11" s="1"/>
  <c r="DD210" i="11" s="1"/>
  <c r="DA211" i="11"/>
  <c r="DH211" i="11" s="1"/>
  <c r="DA212" i="11"/>
  <c r="DH212" i="11" s="1"/>
  <c r="DF214" i="11"/>
  <c r="DD215" i="11"/>
  <c r="EC205" i="11"/>
  <c r="EJ205" i="11" s="1"/>
  <c r="EC204" i="11"/>
  <c r="EJ204" i="11" s="1"/>
  <c r="EG204" i="11" s="1"/>
  <c r="DO198" i="11"/>
  <c r="DO199" i="11"/>
  <c r="DK199" i="11" s="1"/>
  <c r="DO200" i="11"/>
  <c r="DI200" i="11" s="1"/>
  <c r="DO201" i="11"/>
  <c r="DO202" i="11"/>
  <c r="DO203" i="11"/>
  <c r="DK203" i="11" s="1"/>
  <c r="CU197" i="11"/>
  <c r="CP127" i="11"/>
  <c r="CS127" i="11"/>
  <c r="CP123" i="11"/>
  <c r="CS123" i="11"/>
  <c r="CR117" i="11"/>
  <c r="EL97" i="11"/>
  <c r="EN139" i="11" s="1"/>
  <c r="DZ97" i="11"/>
  <c r="EE139" i="11" s="1"/>
  <c r="DI96" i="11"/>
  <c r="DM96" i="11" s="1"/>
  <c r="DK96" i="11"/>
  <c r="A377" i="11"/>
  <c r="A376" i="11"/>
  <c r="CF30" i="11"/>
  <c r="BY30" i="11"/>
  <c r="BR30" i="11"/>
  <c r="BK30" i="11"/>
  <c r="A28" i="11"/>
  <c r="A26" i="11"/>
  <c r="A357" i="11"/>
  <c r="A356" i="11"/>
  <c r="A374" i="11" s="1"/>
  <c r="AB15" i="11"/>
  <c r="U15" i="11"/>
  <c r="N15" i="11"/>
  <c r="AI15" i="11"/>
  <c r="AP15" i="11"/>
  <c r="AW15" i="11"/>
  <c r="BD15" i="11"/>
  <c r="BK15" i="11"/>
  <c r="BR15" i="11"/>
  <c r="BY15" i="11"/>
  <c r="EO272" i="11"/>
  <c r="EM272" i="11"/>
  <c r="EK272" i="11"/>
  <c r="EH272" i="11"/>
  <c r="EF272" i="11"/>
  <c r="ED272" i="11"/>
  <c r="EA272" i="11"/>
  <c r="DY272" i="11"/>
  <c r="DW272" i="11"/>
  <c r="DT272" i="11"/>
  <c r="DR272" i="11"/>
  <c r="DP272" i="11"/>
  <c r="EQ269" i="11"/>
  <c r="EP263" i="11"/>
  <c r="EO263" i="11"/>
  <c r="EN263" i="11"/>
  <c r="EM263" i="11"/>
  <c r="EL263" i="11"/>
  <c r="EK263" i="11"/>
  <c r="EP262" i="11"/>
  <c r="EO262" i="11"/>
  <c r="EN262" i="11"/>
  <c r="EM262" i="11"/>
  <c r="EL262" i="11"/>
  <c r="EK262" i="11"/>
  <c r="EP261" i="11"/>
  <c r="EO261" i="11"/>
  <c r="EN261" i="11"/>
  <c r="EM261" i="11"/>
  <c r="EL261" i="11"/>
  <c r="EK261" i="11"/>
  <c r="EQ245" i="11"/>
  <c r="EP245" i="11"/>
  <c r="EO245" i="11"/>
  <c r="EN245" i="11"/>
  <c r="EM245" i="11"/>
  <c r="EL245" i="11"/>
  <c r="EK245" i="11"/>
  <c r="EJ269" i="11"/>
  <c r="EI263" i="11"/>
  <c r="EH263" i="11"/>
  <c r="EG263" i="11"/>
  <c r="EF263" i="11"/>
  <c r="EE263" i="11"/>
  <c r="ED263" i="11"/>
  <c r="EI262" i="11"/>
  <c r="EH262" i="11"/>
  <c r="EG262" i="11"/>
  <c r="EF262" i="11"/>
  <c r="EE262" i="11"/>
  <c r="ED262" i="11"/>
  <c r="EI261" i="11"/>
  <c r="EH261" i="11"/>
  <c r="EG261" i="11"/>
  <c r="EF261" i="11"/>
  <c r="EE261" i="11"/>
  <c r="ED261" i="11"/>
  <c r="EJ245" i="11"/>
  <c r="EI245" i="11"/>
  <c r="EH245" i="11"/>
  <c r="EG245" i="11"/>
  <c r="EF245" i="11"/>
  <c r="EE245" i="11"/>
  <c r="ED245" i="11"/>
  <c r="EC269" i="11"/>
  <c r="EB263" i="11"/>
  <c r="EA263" i="11"/>
  <c r="DZ263" i="11"/>
  <c r="DY263" i="11"/>
  <c r="DX263" i="11"/>
  <c r="DW263" i="11"/>
  <c r="EB262" i="11"/>
  <c r="EA262" i="11"/>
  <c r="DZ262" i="11"/>
  <c r="DY262" i="11"/>
  <c r="DX262" i="11"/>
  <c r="DW262" i="11"/>
  <c r="EB261" i="11"/>
  <c r="EA261" i="11"/>
  <c r="DZ261" i="11"/>
  <c r="DY261" i="11"/>
  <c r="DX261" i="11"/>
  <c r="DW261" i="11"/>
  <c r="EC245" i="11"/>
  <c r="EB245" i="11"/>
  <c r="EA245" i="11"/>
  <c r="DZ245" i="11"/>
  <c r="DY245" i="11"/>
  <c r="DX245" i="11"/>
  <c r="DW245" i="11"/>
  <c r="DV269" i="11"/>
  <c r="DU263" i="11"/>
  <c r="DT263" i="11"/>
  <c r="DS263" i="11"/>
  <c r="DR263" i="11"/>
  <c r="DQ263" i="11"/>
  <c r="DP263" i="11"/>
  <c r="DU262" i="11"/>
  <c r="DT262" i="11"/>
  <c r="DS262" i="11"/>
  <c r="DR262" i="11"/>
  <c r="DQ262" i="11"/>
  <c r="DP262" i="11"/>
  <c r="DU261" i="11"/>
  <c r="DT261" i="11"/>
  <c r="DS261" i="11"/>
  <c r="DR261" i="11"/>
  <c r="DQ261" i="11"/>
  <c r="DP261" i="11"/>
  <c r="DV245" i="11"/>
  <c r="DU245" i="11"/>
  <c r="DT245" i="11"/>
  <c r="DS245" i="11"/>
  <c r="DR245" i="11"/>
  <c r="DQ245" i="11"/>
  <c r="DP245" i="11"/>
  <c r="DO269" i="11"/>
  <c r="DN263" i="11"/>
  <c r="DM263" i="11"/>
  <c r="DL263" i="11"/>
  <c r="DK263" i="11"/>
  <c r="DJ263" i="11"/>
  <c r="DI263" i="11"/>
  <c r="DN262" i="11"/>
  <c r="DM262" i="11"/>
  <c r="DL262" i="11"/>
  <c r="DK262" i="11"/>
  <c r="DJ262" i="11"/>
  <c r="DI262" i="11"/>
  <c r="DN261" i="11"/>
  <c r="DM261" i="11"/>
  <c r="DL261" i="11"/>
  <c r="DK261" i="11"/>
  <c r="DJ261" i="11"/>
  <c r="DI261" i="11"/>
  <c r="DO245" i="11"/>
  <c r="DN245" i="11"/>
  <c r="DM245" i="11"/>
  <c r="DL245" i="11"/>
  <c r="DK245" i="11"/>
  <c r="DJ245" i="11"/>
  <c r="DI245" i="11"/>
  <c r="DH269" i="11"/>
  <c r="DG263" i="11"/>
  <c r="DE263" i="11"/>
  <c r="DD263" i="11"/>
  <c r="DG262" i="11"/>
  <c r="DE262" i="11"/>
  <c r="DD262" i="11"/>
  <c r="DG261" i="11"/>
  <c r="DE261" i="11"/>
  <c r="DD261" i="11"/>
  <c r="DH245" i="11"/>
  <c r="DG245" i="11"/>
  <c r="DE245" i="11"/>
  <c r="DD245" i="11"/>
  <c r="CW263" i="11"/>
  <c r="CU263" i="11"/>
  <c r="CW262" i="11"/>
  <c r="CU262" i="11"/>
  <c r="CW261" i="11"/>
  <c r="CU261" i="11"/>
  <c r="CW245" i="11"/>
  <c r="CU245" i="11"/>
  <c r="CS263" i="11"/>
  <c r="CQ263" i="11"/>
  <c r="CO263" i="11"/>
  <c r="CS262" i="11"/>
  <c r="CQ262" i="11"/>
  <c r="CO262" i="11"/>
  <c r="CS261" i="11"/>
  <c r="CQ261" i="11"/>
  <c r="CO261" i="11"/>
  <c r="CT269" i="11"/>
  <c r="CT245" i="11"/>
  <c r="CS245" i="11"/>
  <c r="CQ245" i="11"/>
  <c r="CO245" i="11"/>
  <c r="DD198" i="11"/>
  <c r="DB198" i="11"/>
  <c r="CW198" i="11"/>
  <c r="CU198" i="11"/>
  <c r="CN198" i="11"/>
  <c r="CO198" i="11"/>
  <c r="EP187" i="11"/>
  <c r="EO187" i="11"/>
  <c r="EN187" i="11"/>
  <c r="EM187" i="11"/>
  <c r="EL187" i="11"/>
  <c r="EK187" i="11"/>
  <c r="EP186" i="11"/>
  <c r="EO186" i="11"/>
  <c r="EN186" i="11"/>
  <c r="EM186" i="11"/>
  <c r="EL186" i="11"/>
  <c r="EK186" i="11"/>
  <c r="EP185" i="11"/>
  <c r="EO185" i="11"/>
  <c r="EN185" i="11"/>
  <c r="EM185" i="11"/>
  <c r="EL185" i="11"/>
  <c r="EK185" i="11"/>
  <c r="EP184" i="11"/>
  <c r="EO184" i="11"/>
  <c r="EN184" i="11"/>
  <c r="EM184" i="11"/>
  <c r="EL184" i="11"/>
  <c r="EK184" i="11"/>
  <c r="EP172" i="11"/>
  <c r="EO172" i="11"/>
  <c r="EN172" i="11"/>
  <c r="EM172" i="11"/>
  <c r="EL172" i="11"/>
  <c r="EK172" i="11"/>
  <c r="EI187" i="11"/>
  <c r="EH187" i="11"/>
  <c r="EG187" i="11"/>
  <c r="EF187" i="11"/>
  <c r="EE187" i="11"/>
  <c r="ED187" i="11"/>
  <c r="EI186" i="11"/>
  <c r="EH186" i="11"/>
  <c r="EG186" i="11"/>
  <c r="EF186" i="11"/>
  <c r="EE186" i="11"/>
  <c r="ED186" i="11"/>
  <c r="EI185" i="11"/>
  <c r="EH185" i="11"/>
  <c r="EG185" i="11"/>
  <c r="EF185" i="11"/>
  <c r="EE185" i="11"/>
  <c r="ED185" i="11"/>
  <c r="EI184" i="11"/>
  <c r="EH184" i="11"/>
  <c r="EG184" i="11"/>
  <c r="EF184" i="11"/>
  <c r="EE184" i="11"/>
  <c r="ED184" i="11"/>
  <c r="EI172" i="11"/>
  <c r="EH172" i="11"/>
  <c r="EG172" i="11"/>
  <c r="EF172" i="11"/>
  <c r="EE172" i="11"/>
  <c r="ED172" i="11"/>
  <c r="EB187" i="11"/>
  <c r="EA187" i="11"/>
  <c r="DZ187" i="11"/>
  <c r="DY187" i="11"/>
  <c r="DX187" i="11"/>
  <c r="DW187" i="11"/>
  <c r="EB186" i="11"/>
  <c r="EA186" i="11"/>
  <c r="DZ186" i="11"/>
  <c r="DY186" i="11"/>
  <c r="DX186" i="11"/>
  <c r="DW186" i="11"/>
  <c r="EB185" i="11"/>
  <c r="EA185" i="11"/>
  <c r="DZ185" i="11"/>
  <c r="DY185" i="11"/>
  <c r="DX185" i="11"/>
  <c r="DW185" i="11"/>
  <c r="EB184" i="11"/>
  <c r="EA184" i="11"/>
  <c r="DZ184" i="11"/>
  <c r="DY184" i="11"/>
  <c r="DX184" i="11"/>
  <c r="DW184" i="11"/>
  <c r="EB172" i="11"/>
  <c r="EA172" i="11"/>
  <c r="DZ172" i="11"/>
  <c r="DY172" i="11"/>
  <c r="DX172" i="11"/>
  <c r="DW172" i="11"/>
  <c r="DU187" i="11"/>
  <c r="DT187" i="11"/>
  <c r="DS187" i="11"/>
  <c r="DR187" i="11"/>
  <c r="DQ187" i="11"/>
  <c r="DP187" i="11"/>
  <c r="DU186" i="11"/>
  <c r="DT186" i="11"/>
  <c r="DS186" i="11"/>
  <c r="DR186" i="11"/>
  <c r="DQ186" i="11"/>
  <c r="DP186" i="11"/>
  <c r="DU185" i="11"/>
  <c r="DT185" i="11"/>
  <c r="DS185" i="11"/>
  <c r="DR185" i="11"/>
  <c r="DQ185" i="11"/>
  <c r="DP185" i="11"/>
  <c r="DU184" i="11"/>
  <c r="DT184" i="11"/>
  <c r="DS184" i="11"/>
  <c r="DR184" i="11"/>
  <c r="DQ184" i="11"/>
  <c r="DP184" i="11"/>
  <c r="DU172" i="11"/>
  <c r="DT172" i="11"/>
  <c r="DS172" i="11"/>
  <c r="DR172" i="11"/>
  <c r="DQ172" i="11"/>
  <c r="DP172" i="11"/>
  <c r="DN187" i="11"/>
  <c r="DM187" i="11"/>
  <c r="DL187" i="11"/>
  <c r="DK187" i="11"/>
  <c r="DJ187" i="11"/>
  <c r="DI187" i="11"/>
  <c r="DN186" i="11"/>
  <c r="DM186" i="11"/>
  <c r="DL186" i="11"/>
  <c r="DK186" i="11"/>
  <c r="DJ186" i="11"/>
  <c r="DI186" i="11"/>
  <c r="DN185" i="11"/>
  <c r="DM185" i="11"/>
  <c r="DL185" i="11"/>
  <c r="DK185" i="11"/>
  <c r="DJ185" i="11"/>
  <c r="DI185" i="11"/>
  <c r="DN184" i="11"/>
  <c r="DM184" i="11"/>
  <c r="DL184" i="11"/>
  <c r="DK184" i="11"/>
  <c r="DJ184" i="11"/>
  <c r="DI184" i="11"/>
  <c r="DN172" i="11"/>
  <c r="DM172" i="11"/>
  <c r="DL172" i="11"/>
  <c r="DK172" i="11"/>
  <c r="DJ172" i="11"/>
  <c r="DI172" i="11"/>
  <c r="DG187" i="11"/>
  <c r="DE187" i="11"/>
  <c r="DD187" i="11"/>
  <c r="DC187" i="11"/>
  <c r="DB187" i="11"/>
  <c r="DG186" i="11"/>
  <c r="DE186" i="11"/>
  <c r="DD186" i="11"/>
  <c r="DC186" i="11"/>
  <c r="DB186" i="11"/>
  <c r="DG185" i="11"/>
  <c r="DE185" i="11"/>
  <c r="DD185" i="11"/>
  <c r="DC185" i="11"/>
  <c r="DB185" i="11"/>
  <c r="DG184" i="11"/>
  <c r="DE184" i="11"/>
  <c r="DD184" i="11"/>
  <c r="DC184" i="11"/>
  <c r="DB184" i="11"/>
  <c r="DG172" i="11"/>
  <c r="DE172" i="11"/>
  <c r="DD172" i="11"/>
  <c r="DC172" i="11"/>
  <c r="DB172" i="11"/>
  <c r="CZ187" i="11"/>
  <c r="CX187" i="11"/>
  <c r="CW187" i="11"/>
  <c r="CV187" i="11"/>
  <c r="CU187" i="11"/>
  <c r="CZ186" i="11"/>
  <c r="CX186" i="11"/>
  <c r="CW186" i="11"/>
  <c r="CV186" i="11"/>
  <c r="CU186" i="11"/>
  <c r="CZ185" i="11"/>
  <c r="CX185" i="11"/>
  <c r="CW185" i="11"/>
  <c r="CV185" i="11"/>
  <c r="CU185" i="11"/>
  <c r="CZ184" i="11"/>
  <c r="CX184" i="11"/>
  <c r="CW184" i="11"/>
  <c r="CV184" i="11"/>
  <c r="CU184" i="11"/>
  <c r="CZ172" i="11"/>
  <c r="CX172" i="11"/>
  <c r="CW172" i="11"/>
  <c r="CV172" i="11"/>
  <c r="CU172" i="11"/>
  <c r="CN172" i="11"/>
  <c r="CO172" i="11"/>
  <c r="CP172" i="11"/>
  <c r="CQ172" i="11"/>
  <c r="CR172" i="11"/>
  <c r="CS172" i="11"/>
  <c r="CN184" i="11"/>
  <c r="CO184" i="11"/>
  <c r="CP184" i="11"/>
  <c r="CQ184" i="11"/>
  <c r="CR184" i="11"/>
  <c r="CS184" i="11"/>
  <c r="CN185" i="11"/>
  <c r="CO185" i="11"/>
  <c r="CP185" i="11"/>
  <c r="CQ185" i="11"/>
  <c r="CR185" i="11"/>
  <c r="CS185" i="11"/>
  <c r="CN186" i="11"/>
  <c r="CO186" i="11"/>
  <c r="CP186" i="11"/>
  <c r="CQ186" i="11"/>
  <c r="CR186" i="11"/>
  <c r="CS186" i="11"/>
  <c r="CN187" i="11"/>
  <c r="CO187" i="11"/>
  <c r="CP187" i="11"/>
  <c r="CQ187" i="11"/>
  <c r="CR187" i="11"/>
  <c r="CS187" i="11"/>
  <c r="CO137" i="11"/>
  <c r="EO136" i="11"/>
  <c r="EH136" i="11"/>
  <c r="EA136" i="11"/>
  <c r="DT136" i="11"/>
  <c r="DF136" i="11"/>
  <c r="CU136" i="11"/>
  <c r="EO125" i="11"/>
  <c r="EK125" i="11" s="1"/>
  <c r="EH125" i="11"/>
  <c r="ED125" i="11" s="1"/>
  <c r="EA125" i="11"/>
  <c r="DW125" i="11" s="1"/>
  <c r="DT125" i="11"/>
  <c r="CZ125" i="11"/>
  <c r="CX125" i="11" s="1"/>
  <c r="EO141" i="11"/>
  <c r="EH141" i="11"/>
  <c r="EN205" i="4" s="1"/>
  <c r="EA141" i="11"/>
  <c r="EG205" i="4" s="1"/>
  <c r="DT141" i="11"/>
  <c r="DZ205" i="4" s="1"/>
  <c r="EO121" i="11"/>
  <c r="EP121" i="11" s="1"/>
  <c r="EH121" i="11"/>
  <c r="ED121" i="11" s="1"/>
  <c r="EA121" i="11"/>
  <c r="DW121" i="11" s="1"/>
  <c r="DT121" i="11"/>
  <c r="DP121" i="11" s="1"/>
  <c r="EP114" i="11"/>
  <c r="EV197" i="4" s="1"/>
  <c r="EL114" i="11"/>
  <c r="EI114" i="11"/>
  <c r="EO197" i="4" s="1"/>
  <c r="EE114" i="11"/>
  <c r="EB114" i="11"/>
  <c r="EH197" i="4" s="1"/>
  <c r="DX114" i="11"/>
  <c r="DU114" i="11"/>
  <c r="EA197" i="4" s="1"/>
  <c r="DQ114" i="11"/>
  <c r="DN114" i="11"/>
  <c r="DT197" i="4" s="1"/>
  <c r="DG114" i="11"/>
  <c r="DC114" i="11"/>
  <c r="DF197" i="4"/>
  <c r="CS114" i="11"/>
  <c r="CO114" i="11"/>
  <c r="CN123" i="11"/>
  <c r="CT201" i="4" s="1"/>
  <c r="CN127" i="11"/>
  <c r="CN104" i="11"/>
  <c r="CN117" i="11"/>
  <c r="DS97" i="11"/>
  <c r="DX139" i="11" s="1"/>
  <c r="DR97" i="11"/>
  <c r="DW139" i="11" s="1"/>
  <c r="DQ97" i="11"/>
  <c r="DS139" i="11" s="1"/>
  <c r="DP97" i="11"/>
  <c r="DR139" i="11" s="1"/>
  <c r="DS94" i="11"/>
  <c r="DR94" i="11"/>
  <c r="DQ94" i="11"/>
  <c r="DR117" i="11" s="1"/>
  <c r="DP94" i="11"/>
  <c r="DS93" i="11"/>
  <c r="DW104" i="11" s="1"/>
  <c r="EC207" i="4" s="1"/>
  <c r="DR93" i="11"/>
  <c r="DQ93" i="11"/>
  <c r="DP93" i="11"/>
  <c r="DL97" i="11"/>
  <c r="DQ139" i="11" s="1"/>
  <c r="DK97" i="11"/>
  <c r="DP139" i="11" s="1"/>
  <c r="DI97" i="11"/>
  <c r="DM97" i="11" s="1"/>
  <c r="DL94" i="11"/>
  <c r="DK94" i="11"/>
  <c r="DI94" i="11"/>
  <c r="DM94" i="11" s="1"/>
  <c r="DL93" i="11"/>
  <c r="DP104" i="11" s="1"/>
  <c r="DV207" i="4" s="1"/>
  <c r="DK93" i="11"/>
  <c r="DQ207" i="4"/>
  <c r="DI93" i="11"/>
  <c r="DM93" i="11" s="1"/>
  <c r="DE94" i="11"/>
  <c r="DE93" i="11"/>
  <c r="DO207" i="4" s="1"/>
  <c r="A95" i="11"/>
  <c r="A96" i="11"/>
  <c r="A97" i="11"/>
  <c r="DU89" i="11"/>
  <c r="DT89" i="11"/>
  <c r="DU86" i="11"/>
  <c r="DT86" i="11"/>
  <c r="DU85" i="11"/>
  <c r="DT85" i="11"/>
  <c r="DN89" i="11"/>
  <c r="DN86" i="11"/>
  <c r="DN85" i="11"/>
  <c r="DG86" i="11"/>
  <c r="DG85" i="11"/>
  <c r="DZ93" i="11"/>
  <c r="ED104" i="11" s="1"/>
  <c r="EJ207" i="4" s="1"/>
  <c r="EQ481" i="11"/>
  <c r="EQ480" i="11"/>
  <c r="EQ479" i="11"/>
  <c r="EQ384" i="11"/>
  <c r="EM384" i="11" s="1"/>
  <c r="EQ134" i="11"/>
  <c r="EQ112" i="11"/>
  <c r="EQ461" i="11"/>
  <c r="EJ481" i="11"/>
  <c r="EJ480" i="11"/>
  <c r="EJ479" i="11"/>
  <c r="EJ384" i="11"/>
  <c r="EE384" i="11" s="1"/>
  <c r="EJ134" i="11"/>
  <c r="EJ112" i="11"/>
  <c r="EJ461" i="11"/>
  <c r="EC481" i="11"/>
  <c r="EC480" i="11"/>
  <c r="EC479" i="11"/>
  <c r="EC384" i="11"/>
  <c r="DY384" i="11" s="1"/>
  <c r="EC455" i="11"/>
  <c r="EC134" i="11"/>
  <c r="EC112" i="11"/>
  <c r="EC461" i="11"/>
  <c r="DV481" i="11"/>
  <c r="DV480" i="11"/>
  <c r="DV479" i="11"/>
  <c r="DV384" i="11"/>
  <c r="DV455" i="11"/>
  <c r="DV134" i="11"/>
  <c r="DV112" i="11"/>
  <c r="DV461" i="11"/>
  <c r="DO481" i="11"/>
  <c r="DO480" i="11"/>
  <c r="DO479" i="11"/>
  <c r="DO384" i="11"/>
  <c r="DL384" i="11" s="1"/>
  <c r="DO134" i="11"/>
  <c r="DO112" i="11"/>
  <c r="DO461" i="11"/>
  <c r="DH481" i="11"/>
  <c r="DH480" i="11"/>
  <c r="DH479" i="11"/>
  <c r="DH134" i="11"/>
  <c r="DH112" i="11"/>
  <c r="DH461" i="11"/>
  <c r="DA481" i="11"/>
  <c r="DA480" i="11"/>
  <c r="DA479" i="11"/>
  <c r="DA134" i="11"/>
  <c r="DA112" i="11"/>
  <c r="DA461" i="11"/>
  <c r="A316" i="11"/>
  <c r="A317" i="11"/>
  <c r="A315" i="11"/>
  <c r="F429" i="11"/>
  <c r="A280" i="11"/>
  <c r="A19" i="11" s="1"/>
  <c r="A286" i="11"/>
  <c r="A290" i="11"/>
  <c r="A21" i="11" s="1"/>
  <c r="A293" i="11"/>
  <c r="A22" i="11" s="1"/>
  <c r="A296" i="11"/>
  <c r="A23" i="11" s="1"/>
  <c r="A300" i="11"/>
  <c r="A301" i="11"/>
  <c r="A302" i="11"/>
  <c r="A303" i="11"/>
  <c r="A304" i="11"/>
  <c r="A24" i="11" s="1"/>
  <c r="A305" i="11"/>
  <c r="A25" i="11" s="1"/>
  <c r="A307" i="11"/>
  <c r="A27" i="11" s="1"/>
  <c r="CM245" i="11"/>
  <c r="CF245" i="11"/>
  <c r="BY245" i="11"/>
  <c r="BR245" i="11"/>
  <c r="BK245" i="11"/>
  <c r="BD245" i="11"/>
  <c r="AW245" i="11"/>
  <c r="AP245" i="11"/>
  <c r="AI245" i="11"/>
  <c r="AB245" i="11"/>
  <c r="U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J239" i="11"/>
  <c r="J269" i="11" s="1"/>
  <c r="L239" i="11"/>
  <c r="L269" i="11" s="1"/>
  <c r="M239" i="11"/>
  <c r="M269" i="11" s="1"/>
  <c r="N239" i="11"/>
  <c r="N269" i="11" s="1"/>
  <c r="U239" i="11"/>
  <c r="U269" i="11" s="1"/>
  <c r="AB239" i="11"/>
  <c r="AB269" i="11" s="1"/>
  <c r="AI239" i="11"/>
  <c r="AI269" i="11" s="1"/>
  <c r="AP239" i="11"/>
  <c r="AP269" i="11" s="1"/>
  <c r="AW239" i="11"/>
  <c r="AW269" i="11" s="1"/>
  <c r="AB236" i="11"/>
  <c r="AB265" i="11" s="1"/>
  <c r="AI236" i="11"/>
  <c r="AI265" i="11" s="1"/>
  <c r="AP236" i="11"/>
  <c r="AP265" i="11" s="1"/>
  <c r="AW236" i="11"/>
  <c r="AW265" i="11" s="1"/>
  <c r="F224" i="11"/>
  <c r="F248" i="11" s="1"/>
  <c r="L224" i="11"/>
  <c r="L248" i="11" s="1"/>
  <c r="M224" i="11"/>
  <c r="M248" i="11" s="1"/>
  <c r="N224" i="11"/>
  <c r="N248" i="11" s="1"/>
  <c r="U224" i="11"/>
  <c r="U248" i="11" s="1"/>
  <c r="AB224" i="11"/>
  <c r="AB248" i="11" s="1"/>
  <c r="AI224" i="11"/>
  <c r="AI248" i="11" s="1"/>
  <c r="AP224" i="11"/>
  <c r="AP248" i="11" s="1"/>
  <c r="AW224" i="11"/>
  <c r="AW248" i="11" s="1"/>
  <c r="U227" i="11"/>
  <c r="U252" i="11" s="1"/>
  <c r="AB227" i="11"/>
  <c r="AB252" i="11" s="1"/>
  <c r="AI227" i="11"/>
  <c r="AI252" i="11" s="1"/>
  <c r="AP227" i="11"/>
  <c r="AP252" i="11" s="1"/>
  <c r="AW227" i="11"/>
  <c r="AW252" i="11" s="1"/>
  <c r="F229" i="11"/>
  <c r="F255" i="11" s="1"/>
  <c r="L229" i="11"/>
  <c r="M229" i="11"/>
  <c r="M255" i="11" s="1"/>
  <c r="AI229" i="11"/>
  <c r="AI255" i="11" s="1"/>
  <c r="AP229" i="11"/>
  <c r="AP255" i="11" s="1"/>
  <c r="AW229" i="11"/>
  <c r="AW255" i="11" s="1"/>
  <c r="AW231" i="11"/>
  <c r="AW258" i="11" s="1"/>
  <c r="CM215" i="11"/>
  <c r="CF215" i="11"/>
  <c r="BY215" i="11"/>
  <c r="BR215" i="11"/>
  <c r="BK215" i="11"/>
  <c r="BD215" i="11"/>
  <c r="AW215" i="11"/>
  <c r="AW238" i="11" s="1"/>
  <c r="AW267" i="11" s="1"/>
  <c r="AP215" i="11"/>
  <c r="AP238" i="11" s="1"/>
  <c r="AP267" i="11" s="1"/>
  <c r="AI215" i="11"/>
  <c r="AI238" i="11" s="1"/>
  <c r="AI267" i="11" s="1"/>
  <c r="AB215" i="11"/>
  <c r="AB238" i="11" s="1"/>
  <c r="AB267" i="11" s="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U205" i="11"/>
  <c r="U228" i="11" s="1"/>
  <c r="U253" i="11" s="1"/>
  <c r="AB205" i="11"/>
  <c r="AB228" i="11" s="1"/>
  <c r="AB253" i="11" s="1"/>
  <c r="AI205" i="11"/>
  <c r="AI228" i="11" s="1"/>
  <c r="AI253" i="11" s="1"/>
  <c r="AP205" i="11"/>
  <c r="AP228" i="11" s="1"/>
  <c r="AP253" i="11" s="1"/>
  <c r="AW205" i="11"/>
  <c r="AW228" i="11" s="1"/>
  <c r="AW253" i="11" s="1"/>
  <c r="BD205" i="11"/>
  <c r="BK205" i="11"/>
  <c r="BR205" i="11"/>
  <c r="BY205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U203" i="11"/>
  <c r="U226" i="11" s="1"/>
  <c r="U251" i="11" s="1"/>
  <c r="AB203" i="11"/>
  <c r="AB226" i="11" s="1"/>
  <c r="AB251" i="11" s="1"/>
  <c r="AI203" i="11"/>
  <c r="AI226" i="11" s="1"/>
  <c r="AI251" i="11" s="1"/>
  <c r="AP203" i="11"/>
  <c r="AP226" i="11" s="1"/>
  <c r="AP251" i="11" s="1"/>
  <c r="AW203" i="11"/>
  <c r="AW226" i="11" s="1"/>
  <c r="AW251" i="11" s="1"/>
  <c r="BD203" i="11"/>
  <c r="BK196" i="11"/>
  <c r="BR196" i="11"/>
  <c r="BY196" i="11"/>
  <c r="CF196" i="11"/>
  <c r="CM196" i="11"/>
  <c r="C202" i="11"/>
  <c r="D202" i="11"/>
  <c r="E202" i="11"/>
  <c r="F202" i="11"/>
  <c r="F225" i="11" s="1"/>
  <c r="F249" i="11" s="1"/>
  <c r="G202" i="11"/>
  <c r="H202" i="11"/>
  <c r="I202" i="11"/>
  <c r="J202" i="11"/>
  <c r="K202" i="11"/>
  <c r="A202" i="11"/>
  <c r="L202" i="11"/>
  <c r="L225" i="11" s="1"/>
  <c r="L249" i="11" s="1"/>
  <c r="M202" i="11"/>
  <c r="M225" i="11" s="1"/>
  <c r="M249" i="11" s="1"/>
  <c r="N202" i="11"/>
  <c r="N225" i="11" s="1"/>
  <c r="N249" i="11" s="1"/>
  <c r="U202" i="11"/>
  <c r="U225" i="11" s="1"/>
  <c r="U249" i="11" s="1"/>
  <c r="AB202" i="11"/>
  <c r="AB225" i="11" s="1"/>
  <c r="AB249" i="11" s="1"/>
  <c r="AI202" i="11"/>
  <c r="AI225" i="11" s="1"/>
  <c r="AI249" i="11" s="1"/>
  <c r="AP202" i="11"/>
  <c r="AP225" i="11" s="1"/>
  <c r="AW202" i="11"/>
  <c r="AW225" i="11" s="1"/>
  <c r="AW249" i="11" s="1"/>
  <c r="BD202" i="11"/>
  <c r="C200" i="11"/>
  <c r="C199" i="11"/>
  <c r="D200" i="11"/>
  <c r="D199" i="11"/>
  <c r="E200" i="11"/>
  <c r="E199" i="11"/>
  <c r="F200" i="11"/>
  <c r="F223" i="11" s="1"/>
  <c r="F247" i="11" s="1"/>
  <c r="F199" i="11"/>
  <c r="F222" i="11" s="1"/>
  <c r="F246" i="11" s="1"/>
  <c r="G200" i="11"/>
  <c r="G199" i="11"/>
  <c r="H200" i="11"/>
  <c r="H199" i="11"/>
  <c r="I200" i="11"/>
  <c r="I199" i="11"/>
  <c r="J200" i="11"/>
  <c r="J199" i="11"/>
  <c r="K200" i="11"/>
  <c r="K199" i="11"/>
  <c r="L200" i="11"/>
  <c r="L223" i="11" s="1"/>
  <c r="L247" i="11" s="1"/>
  <c r="L199" i="11"/>
  <c r="L222" i="11" s="1"/>
  <c r="L246" i="11" s="1"/>
  <c r="M200" i="11"/>
  <c r="M223" i="11" s="1"/>
  <c r="M247" i="11" s="1"/>
  <c r="M199" i="11"/>
  <c r="M222" i="11" s="1"/>
  <c r="M246" i="11" s="1"/>
  <c r="N200" i="11"/>
  <c r="N223" i="11" s="1"/>
  <c r="N247" i="11" s="1"/>
  <c r="N199" i="11"/>
  <c r="N222" i="11" s="1"/>
  <c r="N246" i="11" s="1"/>
  <c r="U200" i="11"/>
  <c r="U223" i="11" s="1"/>
  <c r="U247" i="11" s="1"/>
  <c r="U199" i="11"/>
  <c r="U222" i="11" s="1"/>
  <c r="U246" i="11" s="1"/>
  <c r="AB200" i="11"/>
  <c r="AB223" i="11" s="1"/>
  <c r="AB247" i="11" s="1"/>
  <c r="AB199" i="11"/>
  <c r="AB222" i="11" s="1"/>
  <c r="AB246" i="11" s="1"/>
  <c r="AI200" i="11"/>
  <c r="AI223" i="11" s="1"/>
  <c r="AI247" i="11" s="1"/>
  <c r="AI199" i="11"/>
  <c r="AI222" i="11" s="1"/>
  <c r="AI246" i="11" s="1"/>
  <c r="AP200" i="11"/>
  <c r="AP223" i="11" s="1"/>
  <c r="AP247" i="11" s="1"/>
  <c r="AP199" i="11"/>
  <c r="AP222" i="11" s="1"/>
  <c r="AP246" i="11" s="1"/>
  <c r="AW200" i="11"/>
  <c r="AW223" i="11" s="1"/>
  <c r="AW247" i="11" s="1"/>
  <c r="AW199" i="11"/>
  <c r="AW222" i="11" s="1"/>
  <c r="AW246" i="11" s="1"/>
  <c r="BD200" i="11"/>
  <c r="BD199" i="11"/>
  <c r="A94" i="11"/>
  <c r="A93" i="11"/>
  <c r="A328" i="11"/>
  <c r="A337" i="11" s="1"/>
  <c r="A347" i="11" s="1"/>
  <c r="A323" i="11"/>
  <c r="A332" i="11" s="1"/>
  <c r="A342" i="11" s="1"/>
  <c r="A326" i="11"/>
  <c r="A335" i="11" s="1"/>
  <c r="A345" i="11" s="1"/>
  <c r="A327" i="11"/>
  <c r="A336" i="11" s="1"/>
  <c r="A346" i="11" s="1"/>
  <c r="G429" i="11"/>
  <c r="E429" i="11"/>
  <c r="D429" i="11"/>
  <c r="C429" i="11"/>
  <c r="U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AP426" i="11"/>
  <c r="AI426" i="11"/>
  <c r="AB426" i="11"/>
  <c r="U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D421" i="11"/>
  <c r="AW421" i="11"/>
  <c r="AP421" i="11"/>
  <c r="AI421" i="11"/>
  <c r="AB421" i="11"/>
  <c r="U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DI198" i="11" l="1"/>
  <c r="DJ198" i="11"/>
  <c r="DN198" i="11"/>
  <c r="DL198" i="11"/>
  <c r="DG117" i="243"/>
  <c r="DG118" i="243" s="1"/>
  <c r="DE118" i="243" s="1"/>
  <c r="DA118" i="243" s="1"/>
  <c r="DB118" i="243" s="1"/>
  <c r="DG110" i="243"/>
  <c r="DM197" i="4"/>
  <c r="DE114" i="11"/>
  <c r="EC21" i="243"/>
  <c r="DB136" i="11"/>
  <c r="DB139" i="11" s="1"/>
  <c r="DH204" i="4" s="1"/>
  <c r="DH206" i="4" s="1"/>
  <c r="DH208" i="4" s="1"/>
  <c r="DF139" i="11"/>
  <c r="DG139" i="11" s="1"/>
  <c r="DE139" i="11" s="1"/>
  <c r="DE89" i="11" s="1"/>
  <c r="EI21" i="243"/>
  <c r="EP21" i="243" s="1"/>
  <c r="EA21" i="243"/>
  <c r="DY21" i="243" s="1"/>
  <c r="DL205" i="4"/>
  <c r="CL41" i="178"/>
  <c r="CD40" i="178"/>
  <c r="EK204" i="4"/>
  <c r="CV201" i="4"/>
  <c r="DO202" i="4"/>
  <c r="DR207" i="4"/>
  <c r="DV204" i="4"/>
  <c r="EC204" i="4"/>
  <c r="CN88" i="11"/>
  <c r="CN96" i="11" s="1"/>
  <c r="CT202" i="4"/>
  <c r="ED197" i="4"/>
  <c r="ER197" i="4"/>
  <c r="ET204" i="4"/>
  <c r="CY202" i="4"/>
  <c r="DI202" i="4"/>
  <c r="DR204" i="4"/>
  <c r="DY204" i="4"/>
  <c r="DW204" i="4"/>
  <c r="ED204" i="4"/>
  <c r="CV202" i="4"/>
  <c r="CN85" i="11"/>
  <c r="CT207" i="4"/>
  <c r="CQ114" i="11"/>
  <c r="CW197" i="4" s="1"/>
  <c r="CY197" i="4"/>
  <c r="EU205" i="4"/>
  <c r="DJ202" i="4"/>
  <c r="DQ204" i="4"/>
  <c r="DX204" i="4"/>
  <c r="CU197" i="4"/>
  <c r="DI197" i="4"/>
  <c r="DW197" i="4"/>
  <c r="EK197" i="4"/>
  <c r="DQ202" i="4"/>
  <c r="CY201" i="4"/>
  <c r="CF235" i="243"/>
  <c r="CE235" i="243"/>
  <c r="CJ235" i="243"/>
  <c r="BV246" i="243"/>
  <c r="BR246" i="243"/>
  <c r="CK206" i="243"/>
  <c r="CL211" i="243"/>
  <c r="CL213" i="243" s="1"/>
  <c r="BP243" i="243"/>
  <c r="BP246" i="243" s="1"/>
  <c r="BN242" i="243"/>
  <c r="BN243" i="243" s="1"/>
  <c r="BN246" i="243" s="1"/>
  <c r="CB206" i="243"/>
  <c r="CB211" i="243" s="1"/>
  <c r="CB213" i="243" s="1"/>
  <c r="CB235" i="243" s="1"/>
  <c r="CD211" i="243"/>
  <c r="CD213" i="243" s="1"/>
  <c r="CD235" i="243" s="1"/>
  <c r="BQ246" i="243"/>
  <c r="BW242" i="243"/>
  <c r="BX243" i="243"/>
  <c r="CE242" i="243"/>
  <c r="EE9" i="243"/>
  <c r="EE25" i="242" s="1"/>
  <c r="EN83" i="242"/>
  <c r="EN33" i="242"/>
  <c r="EK28" i="243"/>
  <c r="DO212" i="243"/>
  <c r="DO12" i="242"/>
  <c r="ED33" i="242"/>
  <c r="DK212" i="243"/>
  <c r="DK273" i="243"/>
  <c r="EH240" i="243"/>
  <c r="EH81" i="242"/>
  <c r="EF6" i="243"/>
  <c r="EO204" i="243"/>
  <c r="EN204" i="243"/>
  <c r="EJ204" i="243"/>
  <c r="EL204" i="243"/>
  <c r="DX240" i="243"/>
  <c r="DX81" i="242"/>
  <c r="DY81" i="242"/>
  <c r="EL207" i="243"/>
  <c r="EJ207" i="243"/>
  <c r="EO207" i="243"/>
  <c r="EM207" i="243" s="1"/>
  <c r="EN207" i="243"/>
  <c r="EK207" i="243" s="1"/>
  <c r="DQ37" i="243"/>
  <c r="DQ256" i="243" s="1"/>
  <c r="DP256" i="243"/>
  <c r="DW37" i="243"/>
  <c r="DZ256" i="243"/>
  <c r="DX83" i="242"/>
  <c r="DX33" i="242"/>
  <c r="DX38" i="242" s="1"/>
  <c r="EJ240" i="243"/>
  <c r="EJ81" i="242"/>
  <c r="EF204" i="243"/>
  <c r="EO28" i="243"/>
  <c r="EO38" i="243"/>
  <c r="EE38" i="243"/>
  <c r="EE84" i="242" s="1"/>
  <c r="ED84" i="242"/>
  <c r="DT212" i="243"/>
  <c r="DR41" i="243"/>
  <c r="DT273" i="243"/>
  <c r="EG25" i="242"/>
  <c r="ED25" i="242" s="1"/>
  <c r="EP9" i="243"/>
  <c r="EO9" i="243" s="1"/>
  <c r="EM9" i="243" s="1"/>
  <c r="EJ9" i="243"/>
  <c r="EJ25" i="242" s="1"/>
  <c r="EH9" i="243"/>
  <c r="EF9" i="243" s="1"/>
  <c r="EN9" i="243"/>
  <c r="EK9" i="243" s="1"/>
  <c r="EL9" i="243" s="1"/>
  <c r="EL25" i="242" s="1"/>
  <c r="EF28" i="243"/>
  <c r="EF83" i="242" s="1"/>
  <c r="EH83" i="242"/>
  <c r="DS12" i="242"/>
  <c r="DP41" i="243"/>
  <c r="DS212" i="243"/>
  <c r="EO205" i="243"/>
  <c r="EM205" i="243" s="1"/>
  <c r="EN205" i="243"/>
  <c r="EK205" i="243" s="1"/>
  <c r="EL205" i="243"/>
  <c r="EJ205" i="243"/>
  <c r="ED83" i="242"/>
  <c r="EE28" i="243"/>
  <c r="EL209" i="243"/>
  <c r="EO209" i="243"/>
  <c r="EM209" i="243" s="1"/>
  <c r="EJ209" i="243"/>
  <c r="EN209" i="243"/>
  <c r="EK209" i="243" s="1"/>
  <c r="EN84" i="242"/>
  <c r="EK38" i="243"/>
  <c r="DR37" i="243"/>
  <c r="DR256" i="243" s="1"/>
  <c r="DT256" i="243"/>
  <c r="ED240" i="243"/>
  <c r="EE6" i="243"/>
  <c r="ED81" i="242"/>
  <c r="EN81" i="242"/>
  <c r="EK6" i="243"/>
  <c r="EN240" i="243"/>
  <c r="DQ206" i="243"/>
  <c r="DT206" i="243"/>
  <c r="DO206" i="243"/>
  <c r="DS206" i="243"/>
  <c r="EO17" i="243"/>
  <c r="EM17" i="243" s="1"/>
  <c r="DZ273" i="243"/>
  <c r="DZ41" i="243" s="1"/>
  <c r="DV273" i="243"/>
  <c r="DV41" i="243" s="1"/>
  <c r="DX273" i="243"/>
  <c r="DX41" i="243" s="1"/>
  <c r="EG37" i="243"/>
  <c r="EA37" i="243"/>
  <c r="EC37" i="243"/>
  <c r="EC256" i="243" s="1"/>
  <c r="EM6" i="243"/>
  <c r="EJ33" i="242"/>
  <c r="EJ38" i="242" s="1"/>
  <c r="EJ83" i="242"/>
  <c r="EL208" i="243"/>
  <c r="EJ208" i="243"/>
  <c r="EO208" i="243"/>
  <c r="EM208" i="243" s="1"/>
  <c r="EN208" i="243"/>
  <c r="EK208" i="243" s="1"/>
  <c r="DK206" i="243"/>
  <c r="EF38" i="243"/>
  <c r="EF84" i="242" s="1"/>
  <c r="EH84" i="242"/>
  <c r="ED204" i="243"/>
  <c r="DD273" i="243"/>
  <c r="DD212" i="243"/>
  <c r="EP240" i="243"/>
  <c r="CT99" i="4"/>
  <c r="CM20" i="2"/>
  <c r="CM18" i="2" s="1"/>
  <c r="CU139" i="11"/>
  <c r="CV136" i="11"/>
  <c r="DE119" i="11"/>
  <c r="DL119" i="11"/>
  <c r="DD119" i="11"/>
  <c r="DR119" i="11"/>
  <c r="DC119" i="11"/>
  <c r="A372" i="11"/>
  <c r="A370" i="11"/>
  <c r="A367" i="11"/>
  <c r="A371" i="11"/>
  <c r="DK102" i="11"/>
  <c r="DK103" i="11" s="1"/>
  <c r="ED102" i="11"/>
  <c r="ED103" i="11" s="1"/>
  <c r="DP102" i="11"/>
  <c r="DP103" i="11" s="1"/>
  <c r="DW102" i="11"/>
  <c r="DW103" i="11" s="1"/>
  <c r="CQ56" i="11"/>
  <c r="CQ58" i="11" s="1"/>
  <c r="CS58" i="11"/>
  <c r="DO86" i="11"/>
  <c r="DO94" i="11" s="1"/>
  <c r="DV85" i="11"/>
  <c r="DV93" i="11" s="1"/>
  <c r="DV89" i="11"/>
  <c r="DV97" i="11" s="1"/>
  <c r="DO85" i="11"/>
  <c r="DO89" i="11"/>
  <c r="DO97" i="11" s="1"/>
  <c r="DV86" i="11"/>
  <c r="DV94" i="11" s="1"/>
  <c r="DH85" i="11"/>
  <c r="DH86" i="11"/>
  <c r="DH94" i="11" s="1"/>
  <c r="CP88" i="11"/>
  <c r="CP87" i="11"/>
  <c r="DS64" i="220"/>
  <c r="DS9" i="220" s="1"/>
  <c r="CO58" i="11"/>
  <c r="CO60" i="11" s="1"/>
  <c r="DS28" i="220"/>
  <c r="DS37" i="220" s="1"/>
  <c r="DS38" i="220" s="1"/>
  <c r="DL65" i="220"/>
  <c r="DL9" i="220"/>
  <c r="EL28" i="4" s="1"/>
  <c r="DW204" i="11"/>
  <c r="H92" i="243"/>
  <c r="DY97" i="11"/>
  <c r="EB97" i="11" s="1"/>
  <c r="ED204" i="11"/>
  <c r="H89" i="243"/>
  <c r="DQ45" i="4"/>
  <c r="I88" i="243"/>
  <c r="DZ205" i="11"/>
  <c r="CN119" i="11"/>
  <c r="CN86" i="11"/>
  <c r="CN87" i="11"/>
  <c r="DW94" i="11"/>
  <c r="DX117" i="11" s="1"/>
  <c r="CW206" i="11"/>
  <c r="DA501" i="11"/>
  <c r="DA261" i="11" s="1"/>
  <c r="CU104" i="4"/>
  <c r="CU45" i="4"/>
  <c r="T85" i="243"/>
  <c r="T83" i="243" s="1"/>
  <c r="K72" i="139"/>
  <c r="DZ6" i="4"/>
  <c r="CZ7" i="220"/>
  <c r="CZ5" i="220"/>
  <c r="DG64" i="220"/>
  <c r="DO17" i="4"/>
  <c r="EC28" i="178"/>
  <c r="EE53" i="4"/>
  <c r="DE16" i="220"/>
  <c r="DO38" i="178"/>
  <c r="DO25" i="178"/>
  <c r="DO4" i="178"/>
  <c r="I85" i="243"/>
  <c r="I83" i="243" s="1"/>
  <c r="I91" i="243" s="1"/>
  <c r="J88" i="243" s="1"/>
  <c r="F72" i="139"/>
  <c r="DS205" i="11"/>
  <c r="AA62" i="139"/>
  <c r="EL6" i="4"/>
  <c r="DL5" i="220"/>
  <c r="DL7" i="220"/>
  <c r="DN61" i="220"/>
  <c r="DU34" i="220"/>
  <c r="DN28" i="220"/>
  <c r="DV28" i="178"/>
  <c r="DV24" i="178"/>
  <c r="DV37" i="178" s="1"/>
  <c r="CZ9" i="220"/>
  <c r="CZ65" i="220"/>
  <c r="DO37" i="178"/>
  <c r="K95" i="243"/>
  <c r="K98" i="243" s="1"/>
  <c r="J84" i="243"/>
  <c r="EC24" i="178"/>
  <c r="ED29" i="178"/>
  <c r="ED30" i="178" s="1"/>
  <c r="DU212" i="243"/>
  <c r="DV5" i="4"/>
  <c r="DH5" i="178"/>
  <c r="DG37" i="220"/>
  <c r="DG38" i="220" s="1"/>
  <c r="DG4" i="220"/>
  <c r="DG29" i="220"/>
  <c r="DR204" i="11"/>
  <c r="EA204" i="11"/>
  <c r="EH204" i="11"/>
  <c r="DR205" i="11"/>
  <c r="DY205" i="11"/>
  <c r="EB141" i="11"/>
  <c r="DS114" i="11"/>
  <c r="EG114" i="11"/>
  <c r="EI141" i="11"/>
  <c r="CO127" i="11"/>
  <c r="CU202" i="4" s="1"/>
  <c r="DN141" i="11"/>
  <c r="DL114" i="11"/>
  <c r="DZ114" i="11"/>
  <c r="EN114" i="11"/>
  <c r="DU141" i="11"/>
  <c r="AO121" i="243"/>
  <c r="AO125" i="243"/>
  <c r="AA65" i="243"/>
  <c r="AA66" i="243" s="1"/>
  <c r="AH76" i="243"/>
  <c r="AH79" i="243" s="1"/>
  <c r="K233" i="243"/>
  <c r="K231" i="243" s="1"/>
  <c r="L223" i="243"/>
  <c r="L233" i="243" s="1"/>
  <c r="L231" i="243" s="1"/>
  <c r="J64" i="243"/>
  <c r="J66" i="243" s="1"/>
  <c r="J73" i="243"/>
  <c r="K69" i="243"/>
  <c r="K72" i="243" s="1"/>
  <c r="EB256" i="243"/>
  <c r="EI37" i="243"/>
  <c r="EI273" i="243"/>
  <c r="EB41" i="243"/>
  <c r="EA41" i="243" s="1"/>
  <c r="EB206" i="243"/>
  <c r="I182" i="243"/>
  <c r="J188" i="243"/>
  <c r="CE42" i="178"/>
  <c r="CE27" i="178"/>
  <c r="CD27" i="178" s="1"/>
  <c r="BX10" i="178"/>
  <c r="CE18" i="178"/>
  <c r="CE15" i="178"/>
  <c r="DY94" i="11"/>
  <c r="DZ117" i="11" s="1"/>
  <c r="EB86" i="11"/>
  <c r="DX94" i="11"/>
  <c r="DY117" i="11" s="1"/>
  <c r="CY208" i="11"/>
  <c r="DP205" i="11"/>
  <c r="DT205" i="11"/>
  <c r="DW205" i="11"/>
  <c r="EA205" i="11"/>
  <c r="CU208" i="11"/>
  <c r="EA86" i="11"/>
  <c r="DW97" i="11"/>
  <c r="DY139" i="11" s="1"/>
  <c r="CW208" i="11"/>
  <c r="DQ205" i="11"/>
  <c r="DU205" i="11"/>
  <c r="DX205" i="11"/>
  <c r="EB205" i="11"/>
  <c r="DM199" i="11"/>
  <c r="DA502" i="11"/>
  <c r="DA262" i="11" s="1"/>
  <c r="DH502" i="11"/>
  <c r="DH262" i="11" s="1"/>
  <c r="DX97" i="11"/>
  <c r="DZ139" i="11" s="1"/>
  <c r="DP96" i="11"/>
  <c r="DR127" i="11" s="1"/>
  <c r="DV199" i="11"/>
  <c r="DR199" i="11" s="1"/>
  <c r="DA503" i="11"/>
  <c r="DA263" i="11" s="1"/>
  <c r="CU206" i="11"/>
  <c r="CY206" i="11"/>
  <c r="CW213" i="11"/>
  <c r="DD206" i="11"/>
  <c r="CO117" i="11"/>
  <c r="DA504" i="11"/>
  <c r="EA89" i="11"/>
  <c r="CQ123" i="11"/>
  <c r="CW201" i="4" s="1"/>
  <c r="EM94" i="11"/>
  <c r="EN117" i="11" s="1"/>
  <c r="EF94" i="11"/>
  <c r="EG117" i="11" s="1"/>
  <c r="DF211" i="11"/>
  <c r="EM97" i="11"/>
  <c r="EF97" i="11"/>
  <c r="EK139" i="11" s="1"/>
  <c r="DT384" i="11"/>
  <c r="DP384" i="11"/>
  <c r="DM203" i="11"/>
  <c r="DU384" i="11"/>
  <c r="EA384" i="11"/>
  <c r="EI384" i="11"/>
  <c r="DI199" i="11"/>
  <c r="DK384" i="11"/>
  <c r="DQ384" i="11"/>
  <c r="DW384" i="11"/>
  <c r="EB384" i="11"/>
  <c r="EH384" i="11"/>
  <c r="ED384" i="11"/>
  <c r="EI399" i="11"/>
  <c r="EE399" i="11"/>
  <c r="EH399" i="11"/>
  <c r="ED399" i="11"/>
  <c r="DV203" i="11"/>
  <c r="EC203" i="11" s="1"/>
  <c r="DF210" i="11"/>
  <c r="DR384" i="11"/>
  <c r="DX384" i="11"/>
  <c r="EF384" i="11"/>
  <c r="EF399" i="11"/>
  <c r="EP384" i="11"/>
  <c r="EL384" i="11"/>
  <c r="EO384" i="11"/>
  <c r="EK384" i="11"/>
  <c r="DU88" i="11"/>
  <c r="DN384" i="11"/>
  <c r="DS384" i="11"/>
  <c r="DZ384" i="11"/>
  <c r="EG384" i="11"/>
  <c r="EN384" i="11"/>
  <c r="EG399" i="11"/>
  <c r="EL386" i="11"/>
  <c r="EP386" i="11"/>
  <c r="EF386" i="11"/>
  <c r="ED386" i="11"/>
  <c r="DX386" i="11"/>
  <c r="EB386" i="11"/>
  <c r="DQ386" i="11"/>
  <c r="DU386" i="11"/>
  <c r="DJ386" i="11"/>
  <c r="DN386" i="11"/>
  <c r="DG386" i="11"/>
  <c r="DO196" i="11"/>
  <c r="DD196" i="11"/>
  <c r="EH205" i="11"/>
  <c r="EQ205" i="11"/>
  <c r="EF205" i="11"/>
  <c r="EE205" i="11"/>
  <c r="EE94" i="11"/>
  <c r="EF117" i="11" s="1"/>
  <c r="EL94" i="11"/>
  <c r="EM117" i="11" s="1"/>
  <c r="DS96" i="11"/>
  <c r="DX127" i="11" s="1"/>
  <c r="DQ96" i="11"/>
  <c r="DS127" i="11" s="1"/>
  <c r="EE97" i="11"/>
  <c r="EG139" i="11" s="1"/>
  <c r="EI205" i="11"/>
  <c r="EH89" i="11"/>
  <c r="DH503" i="11"/>
  <c r="DH263" i="11" s="1"/>
  <c r="EB89" i="11"/>
  <c r="DZ94" i="11"/>
  <c r="ED117" i="11" s="1"/>
  <c r="DS204" i="11"/>
  <c r="DX204" i="11"/>
  <c r="EB204" i="11"/>
  <c r="EE204" i="11"/>
  <c r="EI204" i="11"/>
  <c r="DK200" i="11"/>
  <c r="DV200" i="11"/>
  <c r="DS200" i="11" s="1"/>
  <c r="DM200" i="11"/>
  <c r="EQ204" i="11"/>
  <c r="DO206" i="11"/>
  <c r="DO207" i="11"/>
  <c r="DD207" i="11"/>
  <c r="EH86" i="11"/>
  <c r="DF209" i="11"/>
  <c r="DD209" i="11"/>
  <c r="DH504" i="11"/>
  <c r="DB206" i="11"/>
  <c r="DF206" i="11"/>
  <c r="DP204" i="11"/>
  <c r="DT204" i="11"/>
  <c r="DY204" i="11"/>
  <c r="EF204" i="11"/>
  <c r="DO208" i="11"/>
  <c r="DD208" i="11"/>
  <c r="DH501" i="11"/>
  <c r="DH261" i="11" s="1"/>
  <c r="DL96" i="11"/>
  <c r="DQ127" i="11" s="1"/>
  <c r="ED97" i="11"/>
  <c r="EF139" i="11" s="1"/>
  <c r="DQ204" i="11"/>
  <c r="DU204" i="11"/>
  <c r="DZ204" i="11"/>
  <c r="DI202" i="11"/>
  <c r="DB211" i="11"/>
  <c r="DO214" i="11"/>
  <c r="DK214" i="11" s="1"/>
  <c r="DB210" i="11"/>
  <c r="DI203" i="11"/>
  <c r="DK198" i="11"/>
  <c r="DF215" i="11"/>
  <c r="DB215" i="11"/>
  <c r="DO215" i="11"/>
  <c r="DD214" i="11"/>
  <c r="DB214" i="11"/>
  <c r="CY213" i="11"/>
  <c r="CU213" i="11"/>
  <c r="DB212" i="11"/>
  <c r="DF212" i="11"/>
  <c r="DD212" i="11"/>
  <c r="DO212" i="11"/>
  <c r="DB208" i="11"/>
  <c r="DF208" i="11"/>
  <c r="DO211" i="11"/>
  <c r="DD211" i="11"/>
  <c r="DB207" i="11"/>
  <c r="DO209" i="11"/>
  <c r="DB209" i="11"/>
  <c r="DO210" i="11"/>
  <c r="DF207" i="11"/>
  <c r="EG205" i="11"/>
  <c r="ED205" i="11"/>
  <c r="DV202" i="11"/>
  <c r="DM201" i="11"/>
  <c r="DI201" i="11"/>
  <c r="DV198" i="11"/>
  <c r="DK201" i="11"/>
  <c r="DK202" i="11"/>
  <c r="DV201" i="11"/>
  <c r="DM202" i="11"/>
  <c r="DM198" i="11"/>
  <c r="CW197" i="11"/>
  <c r="DB196" i="11"/>
  <c r="CQ127" i="11"/>
  <c r="CW202" i="4" s="1"/>
  <c r="DN88" i="11"/>
  <c r="EK94" i="11"/>
  <c r="EL117" i="11" s="1"/>
  <c r="ED94" i="11"/>
  <c r="A20" i="11"/>
  <c r="DP264" i="11"/>
  <c r="DT264" i="11"/>
  <c r="DW264" i="11"/>
  <c r="EA264" i="11"/>
  <c r="EF264" i="11"/>
  <c r="ED264" i="11"/>
  <c r="EH264" i="11"/>
  <c r="EK264" i="11"/>
  <c r="EO264" i="11"/>
  <c r="CS264" i="11"/>
  <c r="DJ264" i="11"/>
  <c r="DN264" i="11"/>
  <c r="DS264" i="11"/>
  <c r="DX264" i="11"/>
  <c r="EB264" i="11"/>
  <c r="EG264" i="11"/>
  <c r="EL264" i="11"/>
  <c r="EP264" i="11"/>
  <c r="DI264" i="11"/>
  <c r="CZ136" i="11"/>
  <c r="CW136" i="11" s="1"/>
  <c r="CQ264" i="11"/>
  <c r="CU264" i="11"/>
  <c r="DE264" i="11"/>
  <c r="DM264" i="11"/>
  <c r="CZ141" i="11"/>
  <c r="EP141" i="11"/>
  <c r="EV205" i="4" s="1"/>
  <c r="EK141" i="11"/>
  <c r="CO125" i="11"/>
  <c r="CS125" i="11"/>
  <c r="CQ125" i="11" s="1"/>
  <c r="DC121" i="11"/>
  <c r="DG141" i="11"/>
  <c r="DM205" i="4" s="1"/>
  <c r="DW141" i="11"/>
  <c r="DG136" i="11"/>
  <c r="DE136" i="11" s="1"/>
  <c r="EP136" i="11"/>
  <c r="EK136" i="11"/>
  <c r="EL136" i="11" s="1"/>
  <c r="EA269" i="11"/>
  <c r="EO269" i="11"/>
  <c r="CS121" i="11"/>
  <c r="CO121" i="11"/>
  <c r="CO141" i="11"/>
  <c r="CU205" i="4" s="1"/>
  <c r="CS141" i="11"/>
  <c r="CO264" i="11"/>
  <c r="CY429" i="11"/>
  <c r="DN139" i="11"/>
  <c r="CW264" i="11"/>
  <c r="DG264" i="11"/>
  <c r="DL264" i="11"/>
  <c r="DQ264" i="11"/>
  <c r="DU264" i="11"/>
  <c r="DT269" i="11"/>
  <c r="DY264" i="11"/>
  <c r="EH269" i="11"/>
  <c r="EM264" i="11"/>
  <c r="DD264" i="11"/>
  <c r="DK264" i="11"/>
  <c r="DM269" i="11"/>
  <c r="DR264" i="11"/>
  <c r="DZ264" i="11"/>
  <c r="EE264" i="11"/>
  <c r="EI264" i="11"/>
  <c r="EN264" i="11"/>
  <c r="CW196" i="11"/>
  <c r="CU196" i="11"/>
  <c r="CY214" i="11"/>
  <c r="CU214" i="11"/>
  <c r="CW214" i="11"/>
  <c r="DU136" i="11"/>
  <c r="DR136" i="11" s="1"/>
  <c r="DP136" i="11"/>
  <c r="DQ136" i="11" s="1"/>
  <c r="CS136" i="11"/>
  <c r="CP136" i="11" s="1"/>
  <c r="CQ136" i="11" s="1"/>
  <c r="CN136" i="11"/>
  <c r="CN139" i="11" s="1"/>
  <c r="CT204" i="4" s="1"/>
  <c r="CY209" i="11"/>
  <c r="CU209" i="11"/>
  <c r="CW209" i="11"/>
  <c r="EB136" i="11"/>
  <c r="DY136" i="11" s="1"/>
  <c r="DZ136" i="11" s="1"/>
  <c r="DW136" i="11"/>
  <c r="DX136" i="11" s="1"/>
  <c r="CY203" i="11"/>
  <c r="CU203" i="11"/>
  <c r="CW203" i="11"/>
  <c r="CW215" i="11"/>
  <c r="CY215" i="11"/>
  <c r="CU215" i="11"/>
  <c r="DP127" i="11"/>
  <c r="DT139" i="11"/>
  <c r="EA139" i="11"/>
  <c r="EG204" i="4" s="1"/>
  <c r="DP141" i="11"/>
  <c r="ED141" i="11"/>
  <c r="DN136" i="11"/>
  <c r="DK136" i="11" s="1"/>
  <c r="DL136" i="11" s="1"/>
  <c r="DU139" i="11"/>
  <c r="CY207" i="11"/>
  <c r="CU207" i="11"/>
  <c r="CW207" i="11"/>
  <c r="EI136" i="11"/>
  <c r="EF136" i="11" s="1"/>
  <c r="EG136" i="11" s="1"/>
  <c r="ED136" i="11"/>
  <c r="EE136" i="11" s="1"/>
  <c r="EL125" i="11"/>
  <c r="EP125" i="11"/>
  <c r="EE125" i="11"/>
  <c r="EI125" i="11"/>
  <c r="DX125" i="11"/>
  <c r="EB125" i="11"/>
  <c r="DP125" i="11"/>
  <c r="DQ125" i="11" s="1"/>
  <c r="DU125" i="11"/>
  <c r="DN125" i="11"/>
  <c r="DC125" i="11"/>
  <c r="EM121" i="11"/>
  <c r="EN121" i="11" s="1"/>
  <c r="EK121" i="11"/>
  <c r="EL121" i="11" s="1"/>
  <c r="EE121" i="11"/>
  <c r="EI121" i="11"/>
  <c r="DX121" i="11"/>
  <c r="EB121" i="11"/>
  <c r="DQ121" i="11"/>
  <c r="DU121" i="11"/>
  <c r="DN121" i="11"/>
  <c r="CZ121" i="11"/>
  <c r="DT94" i="11"/>
  <c r="DT97" i="11"/>
  <c r="DN104" i="11"/>
  <c r="DG94" i="11"/>
  <c r="DN97" i="11"/>
  <c r="DX93" i="11"/>
  <c r="EA85" i="11"/>
  <c r="DR116" i="11"/>
  <c r="DX199" i="4" s="1"/>
  <c r="DR104" i="11"/>
  <c r="DX207" i="4" s="1"/>
  <c r="DY93" i="11"/>
  <c r="EB93" i="11" s="1"/>
  <c r="EB85" i="11"/>
  <c r="DJ199" i="4"/>
  <c r="DN94" i="11"/>
  <c r="DP117" i="11"/>
  <c r="DJ207" i="4"/>
  <c r="DQ117" i="11"/>
  <c r="DW93" i="11"/>
  <c r="DS104" i="11"/>
  <c r="DU94" i="11"/>
  <c r="DU97" i="11"/>
  <c r="DS117" i="11"/>
  <c r="DT93" i="11"/>
  <c r="DQ104" i="11"/>
  <c r="DW117" i="11"/>
  <c r="CN129" i="11"/>
  <c r="DU93" i="11"/>
  <c r="DN93" i="11"/>
  <c r="DG93" i="11"/>
  <c r="EQ455" i="11"/>
  <c r="EJ455" i="11"/>
  <c r="DO455" i="11"/>
  <c r="DH455" i="11"/>
  <c r="DA455" i="11"/>
  <c r="M250" i="11"/>
  <c r="AI250" i="11"/>
  <c r="AB250" i="11"/>
  <c r="AW254" i="11"/>
  <c r="U254" i="11"/>
  <c r="L250" i="11"/>
  <c r="AB254" i="11"/>
  <c r="AB424" i="11"/>
  <c r="N250" i="11"/>
  <c r="F250" i="11"/>
  <c r="AW250" i="11"/>
  <c r="U250" i="11"/>
  <c r="AP254" i="11"/>
  <c r="AI254" i="11"/>
  <c r="U424" i="11"/>
  <c r="BK239" i="11"/>
  <c r="BK269" i="11" s="1"/>
  <c r="BK231" i="11"/>
  <c r="BK258" i="11" s="1"/>
  <c r="BK229" i="11"/>
  <c r="BK255" i="11" s="1"/>
  <c r="BK224" i="11"/>
  <c r="BK248" i="11" s="1"/>
  <c r="BK220" i="11"/>
  <c r="BK243" i="11" s="1"/>
  <c r="BK219" i="11"/>
  <c r="BK242" i="11" s="1"/>
  <c r="A216" i="11"/>
  <c r="A239" i="11" s="1"/>
  <c r="AI214" i="11"/>
  <c r="AI237" i="11" s="1"/>
  <c r="AI266" i="11" s="1"/>
  <c r="AP214" i="11"/>
  <c r="AP237" i="11" s="1"/>
  <c r="AP266" i="11" s="1"/>
  <c r="AB214" i="11"/>
  <c r="AB237" i="11" s="1"/>
  <c r="AB266" i="11" s="1"/>
  <c r="A213" i="11"/>
  <c r="A236" i="11" s="1"/>
  <c r="BD209" i="11"/>
  <c r="BK209" i="11"/>
  <c r="BK232" i="11" s="1"/>
  <c r="BK259" i="11" s="1"/>
  <c r="BR209" i="11"/>
  <c r="BY209" i="11"/>
  <c r="CF209" i="11"/>
  <c r="CM209" i="11"/>
  <c r="AW209" i="11"/>
  <c r="AW232" i="11" s="1"/>
  <c r="AW259" i="11" s="1"/>
  <c r="A208" i="11"/>
  <c r="A231" i="11" s="1"/>
  <c r="A258" i="11" s="1"/>
  <c r="CM207" i="11"/>
  <c r="CF207" i="11"/>
  <c r="BY207" i="11"/>
  <c r="BR207" i="11"/>
  <c r="BK207" i="11"/>
  <c r="BK230" i="11" s="1"/>
  <c r="BK256" i="11" s="1"/>
  <c r="BD207" i="11"/>
  <c r="AW207" i="11"/>
  <c r="AW230" i="11" s="1"/>
  <c r="AW256" i="11" s="1"/>
  <c r="AP207" i="11"/>
  <c r="AP230" i="11" s="1"/>
  <c r="AP256" i="11" s="1"/>
  <c r="AI207" i="11"/>
  <c r="AI230" i="11" s="1"/>
  <c r="AI256" i="11" s="1"/>
  <c r="AB207" i="11"/>
  <c r="AB230" i="11" s="1"/>
  <c r="AB256" i="11" s="1"/>
  <c r="U207" i="11"/>
  <c r="U230" i="11" s="1"/>
  <c r="U256" i="11" s="1"/>
  <c r="N207" i="11"/>
  <c r="N230" i="11" s="1"/>
  <c r="N256" i="11" s="1"/>
  <c r="M207" i="11"/>
  <c r="M230" i="11" s="1"/>
  <c r="M256" i="11" s="1"/>
  <c r="L207" i="11"/>
  <c r="L230" i="11" s="1"/>
  <c r="L256" i="11" s="1"/>
  <c r="K207" i="11"/>
  <c r="J207" i="11"/>
  <c r="I207" i="11"/>
  <c r="H207" i="11"/>
  <c r="G207" i="11"/>
  <c r="F207" i="11"/>
  <c r="F230" i="11" s="1"/>
  <c r="F256" i="11" s="1"/>
  <c r="E207" i="11"/>
  <c r="D207" i="11"/>
  <c r="C207" i="11"/>
  <c r="A206" i="11"/>
  <c r="A229" i="11" s="1"/>
  <c r="A255" i="11" s="1"/>
  <c r="CM202" i="11"/>
  <c r="CF202" i="11"/>
  <c r="BY202" i="11"/>
  <c r="BR202" i="11"/>
  <c r="BK202" i="11"/>
  <c r="BK225" i="11" s="1"/>
  <c r="BK249" i="11" s="1"/>
  <c r="CM200" i="11"/>
  <c r="CM199" i="11"/>
  <c r="CF200" i="11"/>
  <c r="CF199" i="11"/>
  <c r="BY200" i="11"/>
  <c r="BY199" i="11"/>
  <c r="BR200" i="11"/>
  <c r="BR199" i="11"/>
  <c r="BK200" i="11"/>
  <c r="BK223" i="11" s="1"/>
  <c r="BK247" i="11" s="1"/>
  <c r="BK199" i="11"/>
  <c r="BK222" i="11" s="1"/>
  <c r="BK246" i="11" s="1"/>
  <c r="A215" i="11"/>
  <c r="A238" i="11" s="1"/>
  <c r="A214" i="11"/>
  <c r="A237" i="11" s="1"/>
  <c r="A212" i="11"/>
  <c r="A235" i="11" s="1"/>
  <c r="A263" i="11" s="1"/>
  <c r="A211" i="11"/>
  <c r="A234" i="11" s="1"/>
  <c r="A262" i="11" s="1"/>
  <c r="A210" i="11"/>
  <c r="A233" i="11" s="1"/>
  <c r="A261" i="11" s="1"/>
  <c r="A209" i="11"/>
  <c r="A232" i="11" s="1"/>
  <c r="A259" i="11" s="1"/>
  <c r="A207" i="11"/>
  <c r="A230" i="11" s="1"/>
  <c r="A256" i="11" s="1"/>
  <c r="A198" i="11"/>
  <c r="A221" i="11" s="1"/>
  <c r="A245" i="11" s="1"/>
  <c r="A204" i="11"/>
  <c r="A227" i="11" s="1"/>
  <c r="A252" i="11" s="1"/>
  <c r="A205" i="11"/>
  <c r="A228" i="11" s="1"/>
  <c r="A253" i="11" s="1"/>
  <c r="A203" i="11"/>
  <c r="A226" i="11" s="1"/>
  <c r="A251" i="11" s="1"/>
  <c r="A225" i="11"/>
  <c r="A249" i="11" s="1"/>
  <c r="A197" i="11"/>
  <c r="A220" i="11" s="1"/>
  <c r="A243" i="11" s="1"/>
  <c r="A199" i="11"/>
  <c r="A222" i="11" s="1"/>
  <c r="A246" i="11" s="1"/>
  <c r="A200" i="11"/>
  <c r="A223" i="11" s="1"/>
  <c r="A247" i="11" s="1"/>
  <c r="A201" i="11"/>
  <c r="A224" i="11" s="1"/>
  <c r="A248" i="11" s="1"/>
  <c r="A196" i="11"/>
  <c r="A219" i="11" s="1"/>
  <c r="A242" i="11" s="1"/>
  <c r="BR171" i="11"/>
  <c r="BY171" i="11" s="1"/>
  <c r="CF171" i="11" s="1"/>
  <c r="CM171" i="11" s="1"/>
  <c r="CT171" i="11" s="1"/>
  <c r="BR173" i="11"/>
  <c r="BY173" i="11" s="1"/>
  <c r="CF173" i="11" s="1"/>
  <c r="CM173" i="11" s="1"/>
  <c r="CT173" i="11" s="1"/>
  <c r="BR174" i="11"/>
  <c r="BY174" i="11" s="1"/>
  <c r="CF174" i="11" s="1"/>
  <c r="CM174" i="11" s="1"/>
  <c r="CT174" i="11" s="1"/>
  <c r="BR175" i="11"/>
  <c r="BY175" i="11" s="1"/>
  <c r="CF175" i="11" s="1"/>
  <c r="CM175" i="11" s="1"/>
  <c r="CT175" i="11" s="1"/>
  <c r="BR176" i="11"/>
  <c r="BY176" i="11" s="1"/>
  <c r="CF176" i="11" s="1"/>
  <c r="CM176" i="11" s="1"/>
  <c r="CT176" i="11" s="1"/>
  <c r="BR177" i="11"/>
  <c r="BY177" i="11" s="1"/>
  <c r="CF177" i="11" s="1"/>
  <c r="CM177" i="11" s="1"/>
  <c r="CT177" i="11" s="1"/>
  <c r="BR178" i="11"/>
  <c r="BY178" i="11" s="1"/>
  <c r="CF178" i="11" s="1"/>
  <c r="CM178" i="11" s="1"/>
  <c r="CT178" i="11" s="1"/>
  <c r="BR179" i="11"/>
  <c r="BY179" i="11" s="1"/>
  <c r="CF179" i="11" s="1"/>
  <c r="CM179" i="11" s="1"/>
  <c r="CT179" i="11" s="1"/>
  <c r="BR180" i="11"/>
  <c r="BY180" i="11" s="1"/>
  <c r="CF180" i="11" s="1"/>
  <c r="CM180" i="11" s="1"/>
  <c r="CT180" i="11" s="1"/>
  <c r="BR181" i="11"/>
  <c r="BY181" i="11" s="1"/>
  <c r="CF181" i="11" s="1"/>
  <c r="CM181" i="11" s="1"/>
  <c r="CT181" i="11" s="1"/>
  <c r="BR182" i="11"/>
  <c r="BY182" i="11" s="1"/>
  <c r="CF182" i="11" s="1"/>
  <c r="CM182" i="11" s="1"/>
  <c r="CT182" i="11" s="1"/>
  <c r="BR183" i="11"/>
  <c r="BY183" i="11" s="1"/>
  <c r="CF183" i="11" s="1"/>
  <c r="CM183" i="11" s="1"/>
  <c r="CT183" i="11" s="1"/>
  <c r="BR188" i="11"/>
  <c r="BY188" i="11" s="1"/>
  <c r="CF188" i="11" s="1"/>
  <c r="CM188" i="11" s="1"/>
  <c r="CT188" i="11" s="1"/>
  <c r="BR189" i="11"/>
  <c r="BY189" i="11" s="1"/>
  <c r="CF189" i="11" s="1"/>
  <c r="CM189" i="11" s="1"/>
  <c r="CT189" i="11" s="1"/>
  <c r="BR190" i="11"/>
  <c r="BY190" i="11" s="1"/>
  <c r="CF190" i="11" s="1"/>
  <c r="CM190" i="11" s="1"/>
  <c r="CT190" i="11" s="1"/>
  <c r="BR191" i="11"/>
  <c r="BY191" i="11" s="1"/>
  <c r="CF191" i="11" s="1"/>
  <c r="CM191" i="11" s="1"/>
  <c r="CT191" i="11" s="1"/>
  <c r="BR170" i="11"/>
  <c r="BY170" i="11" s="1"/>
  <c r="CF170" i="11" s="1"/>
  <c r="CM170" i="11" s="1"/>
  <c r="CT170" i="11" s="1"/>
  <c r="AP193" i="11"/>
  <c r="AW193" i="11"/>
  <c r="BD193" i="11" s="1"/>
  <c r="U134" i="11"/>
  <c r="AB134" i="11"/>
  <c r="AI134" i="11"/>
  <c r="AP134" i="11"/>
  <c r="CM134" i="11"/>
  <c r="CF134" i="11"/>
  <c r="BY134" i="11"/>
  <c r="BR134" i="11"/>
  <c r="BK134" i="11"/>
  <c r="BD134" i="11"/>
  <c r="AW134" i="11"/>
  <c r="CT134" i="11"/>
  <c r="CM137" i="11"/>
  <c r="CT112" i="11"/>
  <c r="CM71" i="11"/>
  <c r="CF71" i="11"/>
  <c r="U58" i="11"/>
  <c r="EN21" i="243" l="1"/>
  <c r="EK21" i="243" s="1"/>
  <c r="EL21" i="243" s="1"/>
  <c r="DG89" i="11"/>
  <c r="DE97" i="11"/>
  <c r="DG97" i="11" s="1"/>
  <c r="EH21" i="243"/>
  <c r="EF21" i="243" s="1"/>
  <c r="EJ21" i="243"/>
  <c r="DB89" i="11"/>
  <c r="DB97" i="11" s="1"/>
  <c r="DB143" i="11"/>
  <c r="DC139" i="11"/>
  <c r="DC136" i="11"/>
  <c r="CQ60" i="11"/>
  <c r="CX60" i="11"/>
  <c r="CS60" i="11"/>
  <c r="CZ60" i="11"/>
  <c r="DF205" i="4"/>
  <c r="CZ269" i="11"/>
  <c r="CZ429" i="11" s="1"/>
  <c r="DA264" i="11"/>
  <c r="CB27" i="178"/>
  <c r="CD31" i="178"/>
  <c r="CD37" i="178"/>
  <c r="CD45" i="178"/>
  <c r="CB40" i="178"/>
  <c r="CK41" i="178"/>
  <c r="CL43" i="178"/>
  <c r="CD42" i="178"/>
  <c r="CM13" i="2"/>
  <c r="CM156" i="243" s="1"/>
  <c r="DK207" i="4"/>
  <c r="EA204" i="4"/>
  <c r="CY205" i="4"/>
  <c r="EF197" i="4"/>
  <c r="DT207" i="4"/>
  <c r="DV205" i="4"/>
  <c r="DF202" i="4"/>
  <c r="EQ205" i="4"/>
  <c r="CV139" i="11"/>
  <c r="DB204" i="4" s="1"/>
  <c r="DB206" i="4" s="1"/>
  <c r="DB208" i="4" s="1"/>
  <c r="DA204" i="4"/>
  <c r="DA206" i="4" s="1"/>
  <c r="DA208" i="4" s="1"/>
  <c r="DK204" i="4"/>
  <c r="EJ205" i="4"/>
  <c r="DV202" i="4"/>
  <c r="DL202" i="4"/>
  <c r="DT204" i="4"/>
  <c r="ED202" i="4"/>
  <c r="DR202" i="4"/>
  <c r="DR141" i="11"/>
  <c r="DS141" i="11" s="1"/>
  <c r="DY205" i="4" s="1"/>
  <c r="EA205" i="4"/>
  <c r="DD197" i="4"/>
  <c r="DY197" i="4"/>
  <c r="DJ204" i="4"/>
  <c r="DW207" i="4"/>
  <c r="DY207" i="4"/>
  <c r="EC205" i="4"/>
  <c r="EL204" i="4"/>
  <c r="EM204" i="4"/>
  <c r="DX202" i="4"/>
  <c r="ET197" i="4"/>
  <c r="DR197" i="4"/>
  <c r="DK141" i="11"/>
  <c r="DQ205" i="4" s="1"/>
  <c r="DT205" i="4"/>
  <c r="EF141" i="11"/>
  <c r="EG141" i="11" s="1"/>
  <c r="EM205" i="4" s="1"/>
  <c r="EO205" i="4"/>
  <c r="EM197" i="4"/>
  <c r="DK197" i="4"/>
  <c r="DY141" i="11"/>
  <c r="EE205" i="4" s="1"/>
  <c r="EH205" i="4"/>
  <c r="CT203" i="4"/>
  <c r="CT206" i="4" s="1"/>
  <c r="CT208" i="4" s="1"/>
  <c r="DI207" i="4"/>
  <c r="DZ204" i="4"/>
  <c r="DO205" i="4"/>
  <c r="DW202" i="4"/>
  <c r="DY202" i="4"/>
  <c r="EQ204" i="4"/>
  <c r="EF204" i="4"/>
  <c r="EE204" i="4"/>
  <c r="DP12" i="242"/>
  <c r="CC246" i="243"/>
  <c r="BY246" i="243"/>
  <c r="CI206" i="243"/>
  <c r="CI211" i="243" s="1"/>
  <c r="CI213" i="243" s="1"/>
  <c r="CI235" i="243" s="1"/>
  <c r="CK211" i="243"/>
  <c r="CK213" i="243" s="1"/>
  <c r="CK235" i="243" s="1"/>
  <c r="BU242" i="243"/>
  <c r="BU243" i="243" s="1"/>
  <c r="BU246" i="243" s="1"/>
  <c r="BW243" i="243"/>
  <c r="BW246" i="243" s="1"/>
  <c r="BX246" i="243"/>
  <c r="CD242" i="243"/>
  <c r="CL242" i="243"/>
  <c r="CE243" i="243"/>
  <c r="CS235" i="243"/>
  <c r="CQ235" i="243"/>
  <c r="CM235" i="243"/>
  <c r="CL235" i="243"/>
  <c r="EO81" i="242"/>
  <c r="EO240" i="243"/>
  <c r="CV60" i="11"/>
  <c r="EE273" i="243"/>
  <c r="EE41" i="243" s="1"/>
  <c r="EC273" i="243"/>
  <c r="EC41" i="243" s="1"/>
  <c r="EG273" i="243"/>
  <c r="EG41" i="243" s="1"/>
  <c r="DY37" i="243"/>
  <c r="DY256" i="243" s="1"/>
  <c r="EA256" i="243"/>
  <c r="DZ212" i="243"/>
  <c r="DZ12" i="242"/>
  <c r="DW41" i="243"/>
  <c r="DX12" i="242" s="1"/>
  <c r="EE83" i="242"/>
  <c r="EE33" i="242"/>
  <c r="EE38" i="242" s="1"/>
  <c r="EH37" i="243"/>
  <c r="EN37" i="243"/>
  <c r="EJ37" i="243"/>
  <c r="EJ256" i="243" s="1"/>
  <c r="ED37" i="243"/>
  <c r="EG256" i="243"/>
  <c r="DP206" i="243"/>
  <c r="DR273" i="243"/>
  <c r="DR212" i="243"/>
  <c r="EM38" i="243"/>
  <c r="EM84" i="242" s="1"/>
  <c r="EO84" i="242"/>
  <c r="EK204" i="243"/>
  <c r="EA206" i="243"/>
  <c r="DV206" i="243"/>
  <c r="DZ206" i="243"/>
  <c r="DX206" i="243"/>
  <c r="EM81" i="242"/>
  <c r="EM240" i="243"/>
  <c r="DX212" i="243"/>
  <c r="EE81" i="242"/>
  <c r="EE240" i="243"/>
  <c r="EL38" i="243"/>
  <c r="EL84" i="242" s="1"/>
  <c r="EK84" i="242"/>
  <c r="DQ12" i="242"/>
  <c r="DP273" i="243"/>
  <c r="DP212" i="243"/>
  <c r="EN25" i="242"/>
  <c r="EK25" i="242" s="1"/>
  <c r="EM204" i="243"/>
  <c r="EL28" i="243"/>
  <c r="EK83" i="242"/>
  <c r="DY41" i="243"/>
  <c r="EA273" i="243"/>
  <c r="EA212" i="243"/>
  <c r="EO21" i="243"/>
  <c r="EM21" i="243" s="1"/>
  <c r="DV212" i="243"/>
  <c r="DV12" i="242"/>
  <c r="DR206" i="243"/>
  <c r="EK81" i="242"/>
  <c r="EK240" i="243"/>
  <c r="EL6" i="243"/>
  <c r="EM28" i="243"/>
  <c r="EM83" i="242" s="1"/>
  <c r="EO83" i="242"/>
  <c r="DX37" i="243"/>
  <c r="DX256" i="243" s="1"/>
  <c r="DW256" i="243"/>
  <c r="EF81" i="242"/>
  <c r="EF240" i="243"/>
  <c r="EK33" i="242"/>
  <c r="DF210" i="243"/>
  <c r="DC210" i="243"/>
  <c r="DC211" i="243" s="1"/>
  <c r="DC213" i="243" s="1"/>
  <c r="DC235" i="243" s="1"/>
  <c r="CU143" i="11"/>
  <c r="CU74" i="11" s="1"/>
  <c r="CU89" i="11"/>
  <c r="CU90" i="11" s="1"/>
  <c r="DP119" i="11"/>
  <c r="DG119" i="11"/>
  <c r="EN119" i="11"/>
  <c r="DW119" i="11"/>
  <c r="DQ119" i="11"/>
  <c r="EF116" i="11"/>
  <c r="EG119" i="11"/>
  <c r="DY116" i="11"/>
  <c r="DZ119" i="11"/>
  <c r="EL119" i="11"/>
  <c r="DX119" i="11"/>
  <c r="DK119" i="11"/>
  <c r="ED119" i="11"/>
  <c r="EM116" i="11"/>
  <c r="DR102" i="11"/>
  <c r="DR103" i="11" s="1"/>
  <c r="CQ87" i="11"/>
  <c r="CQ88" i="11"/>
  <c r="CQ96" i="11" s="1"/>
  <c r="DL15" i="220"/>
  <c r="DL16" i="220" s="1"/>
  <c r="EC86" i="11"/>
  <c r="EC94" i="11" s="1"/>
  <c r="DO88" i="11"/>
  <c r="DO96" i="11" s="1"/>
  <c r="EC89" i="11"/>
  <c r="EC97" i="11" s="1"/>
  <c r="EC85" i="11"/>
  <c r="CP95" i="11"/>
  <c r="CP96" i="11"/>
  <c r="DL10" i="220"/>
  <c r="DS65" i="220"/>
  <c r="DS4" i="220"/>
  <c r="DS5" i="220" s="1"/>
  <c r="DS29" i="220"/>
  <c r="CO119" i="11"/>
  <c r="CO86" i="11"/>
  <c r="CO94" i="11" s="1"/>
  <c r="CO88" i="11"/>
  <c r="CO59" i="11"/>
  <c r="ED139" i="11"/>
  <c r="DQ203" i="11"/>
  <c r="EB139" i="11"/>
  <c r="DT203" i="11"/>
  <c r="EO94" i="11"/>
  <c r="DN127" i="11"/>
  <c r="I89" i="243"/>
  <c r="CN95" i="11"/>
  <c r="EA97" i="11"/>
  <c r="CN89" i="11"/>
  <c r="CN93" i="11"/>
  <c r="CN94" i="11"/>
  <c r="EC25" i="178"/>
  <c r="EC4" i="178"/>
  <c r="EC38" i="178"/>
  <c r="DN4" i="220"/>
  <c r="DN29" i="220"/>
  <c r="DN37" i="220"/>
  <c r="DN38" i="220" s="1"/>
  <c r="EC5" i="4"/>
  <c r="DO5" i="178"/>
  <c r="EE45" i="4"/>
  <c r="DZ18" i="4"/>
  <c r="EO429" i="11"/>
  <c r="EH94" i="11"/>
  <c r="EF119" i="11"/>
  <c r="EH429" i="11"/>
  <c r="EA429" i="11"/>
  <c r="DI214" i="11"/>
  <c r="I92" i="243"/>
  <c r="AA85" i="243"/>
  <c r="L72" i="139"/>
  <c r="DF429" i="11"/>
  <c r="DT429" i="11"/>
  <c r="EB94" i="11"/>
  <c r="EI117" i="11"/>
  <c r="DM429" i="11"/>
  <c r="EC200" i="11"/>
  <c r="EA200" i="11" s="1"/>
  <c r="EB212" i="243"/>
  <c r="AB62" i="139"/>
  <c r="L95" i="243"/>
  <c r="L98" i="243" s="1"/>
  <c r="L84" i="243" s="1"/>
  <c r="K84" i="243"/>
  <c r="DU61" i="220"/>
  <c r="DU28" i="220"/>
  <c r="EL18" i="4"/>
  <c r="DG9" i="220"/>
  <c r="DG65" i="220"/>
  <c r="J85" i="243"/>
  <c r="J83" i="243" s="1"/>
  <c r="J91" i="243" s="1"/>
  <c r="J89" i="243" s="1"/>
  <c r="G72" i="139"/>
  <c r="ES28" i="4"/>
  <c r="DS15" i="220"/>
  <c r="EG6" i="4"/>
  <c r="DG7" i="220"/>
  <c r="DG5" i="220"/>
  <c r="DV17" i="4"/>
  <c r="DZ28" i="4"/>
  <c r="CZ10" i="220"/>
  <c r="CZ15" i="220"/>
  <c r="DV25" i="178"/>
  <c r="DV4" i="178"/>
  <c r="DV38" i="178"/>
  <c r="DN64" i="220"/>
  <c r="EC37" i="178"/>
  <c r="EA94" i="11"/>
  <c r="DY119" i="11"/>
  <c r="EI139" i="11"/>
  <c r="DP199" i="11"/>
  <c r="DU199" i="11"/>
  <c r="EC199" i="11"/>
  <c r="EB199" i="11" s="1"/>
  <c r="EB117" i="11"/>
  <c r="DS199" i="11"/>
  <c r="DV214" i="11"/>
  <c r="DT214" i="11" s="1"/>
  <c r="DW269" i="11"/>
  <c r="EP269" i="11"/>
  <c r="EP429" i="11" s="1"/>
  <c r="DI269" i="11"/>
  <c r="DN269" i="11"/>
  <c r="DN429" i="11" s="1"/>
  <c r="DP269" i="11"/>
  <c r="CO269" i="11"/>
  <c r="DB429" i="11"/>
  <c r="CU269" i="11"/>
  <c r="CU429" i="11" s="1"/>
  <c r="EI269" i="11"/>
  <c r="EI429" i="11" s="1"/>
  <c r="DR115" i="11"/>
  <c r="DG269" i="11"/>
  <c r="DG429" i="11" s="1"/>
  <c r="DU269" i="11"/>
  <c r="DU429" i="11" s="1"/>
  <c r="ED269" i="11"/>
  <c r="ED429" i="11" s="1"/>
  <c r="EK269" i="11"/>
  <c r="EB269" i="11"/>
  <c r="EB429" i="11" s="1"/>
  <c r="EP273" i="243"/>
  <c r="EI41" i="243"/>
  <c r="EH41" i="243" s="1"/>
  <c r="K188" i="243"/>
  <c r="J182" i="243"/>
  <c r="EI256" i="243"/>
  <c r="EP37" i="243"/>
  <c r="EO37" i="243" s="1"/>
  <c r="K64" i="243"/>
  <c r="K66" i="243" s="1"/>
  <c r="K73" i="243"/>
  <c r="L69" i="243"/>
  <c r="L72" i="243" s="1"/>
  <c r="EI206" i="243"/>
  <c r="AO76" i="243"/>
  <c r="AO79" i="243" s="1"/>
  <c r="AH65" i="243"/>
  <c r="AH66" i="243" s="1"/>
  <c r="DN210" i="243"/>
  <c r="DQ199" i="11"/>
  <c r="DT199" i="11"/>
  <c r="DK208" i="11"/>
  <c r="CE34" i="178"/>
  <c r="CE31" i="178"/>
  <c r="CL32" i="178" s="1"/>
  <c r="DY203" i="11"/>
  <c r="EA203" i="11"/>
  <c r="DW203" i="11"/>
  <c r="DZ203" i="11"/>
  <c r="DV207" i="11"/>
  <c r="DQ207" i="11" s="1"/>
  <c r="DV208" i="11"/>
  <c r="DS208" i="11" s="1"/>
  <c r="DP203" i="11"/>
  <c r="DR203" i="11"/>
  <c r="DS203" i="11"/>
  <c r="DM207" i="11"/>
  <c r="DU203" i="11"/>
  <c r="EH97" i="11"/>
  <c r="DT88" i="11"/>
  <c r="DU127" i="11"/>
  <c r="EP117" i="11"/>
  <c r="CQ129" i="11"/>
  <c r="DX203" i="11"/>
  <c r="DI207" i="11"/>
  <c r="EA88" i="11"/>
  <c r="DH264" i="11"/>
  <c r="CX136" i="11"/>
  <c r="DP200" i="11"/>
  <c r="DQ200" i="11"/>
  <c r="EJ203" i="11"/>
  <c r="ED203" i="11" s="1"/>
  <c r="DM214" i="11"/>
  <c r="DU200" i="11"/>
  <c r="DT200" i="11"/>
  <c r="DR200" i="11"/>
  <c r="EB203" i="11"/>
  <c r="DI208" i="11"/>
  <c r="DK207" i="11"/>
  <c r="DM208" i="11"/>
  <c r="EP399" i="11"/>
  <c r="EL399" i="11"/>
  <c r="EO399" i="11"/>
  <c r="EK399" i="11"/>
  <c r="EN399" i="11"/>
  <c r="EM399" i="11"/>
  <c r="DR96" i="11"/>
  <c r="EM386" i="11"/>
  <c r="EE386" i="11"/>
  <c r="EG386" i="11"/>
  <c r="DY386" i="11"/>
  <c r="DR386" i="11"/>
  <c r="EG97" i="11"/>
  <c r="EI89" i="11"/>
  <c r="EE117" i="11"/>
  <c r="EI86" i="11"/>
  <c r="EG94" i="11"/>
  <c r="EO205" i="11"/>
  <c r="EK205" i="11"/>
  <c r="EN205" i="11"/>
  <c r="EM205" i="11"/>
  <c r="EP205" i="11"/>
  <c r="EL205" i="11"/>
  <c r="DK196" i="11"/>
  <c r="DI196" i="11"/>
  <c r="DV196" i="11"/>
  <c r="DM196" i="11"/>
  <c r="DV206" i="11"/>
  <c r="DO502" i="11"/>
  <c r="DO262" i="11" s="1"/>
  <c r="DK206" i="11"/>
  <c r="DO501" i="11"/>
  <c r="DO261" i="11" s="1"/>
  <c r="DO504" i="11"/>
  <c r="DO503" i="11"/>
  <c r="DO263" i="11" s="1"/>
  <c r="DM206" i="11"/>
  <c r="DI206" i="11"/>
  <c r="DT96" i="11"/>
  <c r="DT127" i="11"/>
  <c r="DZ202" i="4" s="1"/>
  <c r="EM119" i="11"/>
  <c r="DN96" i="11"/>
  <c r="EK97" i="11"/>
  <c r="EO89" i="11"/>
  <c r="EM204" i="11"/>
  <c r="EP204" i="11"/>
  <c r="EL204" i="11"/>
  <c r="EO204" i="11"/>
  <c r="EK204" i="11"/>
  <c r="EN204" i="11"/>
  <c r="DX96" i="11"/>
  <c r="DZ127" i="11" s="1"/>
  <c r="DZ96" i="11"/>
  <c r="EO86" i="11"/>
  <c r="DK209" i="11"/>
  <c r="DV209" i="11"/>
  <c r="DM209" i="11"/>
  <c r="DI209" i="11"/>
  <c r="DV212" i="11"/>
  <c r="DM212" i="11"/>
  <c r="DI212" i="11"/>
  <c r="DK212" i="11"/>
  <c r="DK210" i="11"/>
  <c r="DV210" i="11"/>
  <c r="DM210" i="11"/>
  <c r="DI210" i="11"/>
  <c r="DV215" i="11"/>
  <c r="DK215" i="11"/>
  <c r="DM215" i="11"/>
  <c r="DI215" i="11"/>
  <c r="DI211" i="11"/>
  <c r="DM211" i="11"/>
  <c r="DK211" i="11"/>
  <c r="DV211" i="11"/>
  <c r="DO213" i="11"/>
  <c r="DB213" i="11"/>
  <c r="DD213" i="11"/>
  <c r="DF213" i="11"/>
  <c r="DP201" i="11"/>
  <c r="DT201" i="11"/>
  <c r="DQ201" i="11"/>
  <c r="DU201" i="11"/>
  <c r="EC201" i="11"/>
  <c r="DR201" i="11"/>
  <c r="DS201" i="11"/>
  <c r="DQ202" i="11"/>
  <c r="DU202" i="11"/>
  <c r="EC202" i="11"/>
  <c r="DS202" i="11"/>
  <c r="DP202" i="11"/>
  <c r="DR202" i="11"/>
  <c r="DT202" i="11"/>
  <c r="DQ198" i="11"/>
  <c r="DU198" i="11"/>
  <c r="EC198" i="11"/>
  <c r="DS198" i="11"/>
  <c r="DP198" i="11"/>
  <c r="DR198" i="11"/>
  <c r="DT198" i="11"/>
  <c r="DO197" i="11"/>
  <c r="DV197" i="11" s="1"/>
  <c r="DD197" i="11"/>
  <c r="DB197" i="11"/>
  <c r="EM141" i="11"/>
  <c r="ES205" i="4" s="1"/>
  <c r="DX141" i="11"/>
  <c r="CQ121" i="11"/>
  <c r="DI205" i="4"/>
  <c r="EL141" i="11"/>
  <c r="ER205" i="4" s="1"/>
  <c r="CN143" i="11"/>
  <c r="DQ141" i="11"/>
  <c r="DW205" i="4" s="1"/>
  <c r="DD141" i="11"/>
  <c r="EE141" i="11"/>
  <c r="EK205" i="4" s="1"/>
  <c r="CO136" i="11"/>
  <c r="CS269" i="11"/>
  <c r="EM136" i="11"/>
  <c r="EN136" i="11" s="1"/>
  <c r="DS136" i="11"/>
  <c r="DA179" i="11"/>
  <c r="CT228" i="11"/>
  <c r="CN179" i="11"/>
  <c r="CN228" i="11" s="1"/>
  <c r="CN253" i="11" s="1"/>
  <c r="CR179" i="11"/>
  <c r="CR228" i="11" s="1"/>
  <c r="CP179" i="11"/>
  <c r="CP228" i="11" s="1"/>
  <c r="CP253" i="11" s="1"/>
  <c r="CS179" i="11"/>
  <c r="CQ179" i="11"/>
  <c r="CO179" i="11"/>
  <c r="DA190" i="11"/>
  <c r="CT238" i="11"/>
  <c r="CP190" i="11"/>
  <c r="CP238" i="11" s="1"/>
  <c r="CP267" i="11" s="1"/>
  <c r="CN190" i="11"/>
  <c r="CN238" i="11" s="1"/>
  <c r="CN267" i="11" s="1"/>
  <c r="CN303" i="11" s="1"/>
  <c r="CR190" i="11"/>
  <c r="CR238" i="11" s="1"/>
  <c r="CQ190" i="11"/>
  <c r="CS190" i="11"/>
  <c r="CO190" i="11"/>
  <c r="DA174" i="11"/>
  <c r="CT223" i="11"/>
  <c r="CP174" i="11"/>
  <c r="CP223" i="11" s="1"/>
  <c r="CP247" i="11" s="1"/>
  <c r="CN174" i="11"/>
  <c r="CN223" i="11" s="1"/>
  <c r="CN247" i="11" s="1"/>
  <c r="CN283" i="11" s="1"/>
  <c r="CR174" i="11"/>
  <c r="CR223" i="11" s="1"/>
  <c r="CQ174" i="11"/>
  <c r="CS174" i="11"/>
  <c r="CO174" i="11"/>
  <c r="DU117" i="11"/>
  <c r="DS119" i="11"/>
  <c r="DA191" i="11"/>
  <c r="CW191" i="11" s="1"/>
  <c r="CN191" i="11"/>
  <c r="CR191" i="11"/>
  <c r="CP191" i="11"/>
  <c r="CS191" i="11"/>
  <c r="CQ191" i="11"/>
  <c r="CO191" i="11"/>
  <c r="DA183" i="11"/>
  <c r="CY183" i="11" s="1"/>
  <c r="CY232" i="11" s="1"/>
  <c r="CY259" i="11" s="1"/>
  <c r="CT232" i="11"/>
  <c r="CN183" i="11"/>
  <c r="CN232" i="11" s="1"/>
  <c r="CN259" i="11" s="1"/>
  <c r="CN295" i="11" s="1"/>
  <c r="CR183" i="11"/>
  <c r="CR232" i="11" s="1"/>
  <c r="CP183" i="11"/>
  <c r="CP232" i="11" s="1"/>
  <c r="CP259" i="11" s="1"/>
  <c r="CS183" i="11"/>
  <c r="CQ183" i="11"/>
  <c r="CO183" i="11"/>
  <c r="DA175" i="11"/>
  <c r="CT224" i="11"/>
  <c r="CN175" i="11"/>
  <c r="CN224" i="11" s="1"/>
  <c r="CN248" i="11" s="1"/>
  <c r="CN284" i="11" s="1"/>
  <c r="CR175" i="11"/>
  <c r="CR224" i="11" s="1"/>
  <c r="CP175" i="11"/>
  <c r="CP224" i="11" s="1"/>
  <c r="CP248" i="11" s="1"/>
  <c r="CS175" i="11"/>
  <c r="CQ175" i="11"/>
  <c r="CO175" i="11"/>
  <c r="DA182" i="11"/>
  <c r="CT231" i="11"/>
  <c r="CP182" i="11"/>
  <c r="CP231" i="11" s="1"/>
  <c r="CP258" i="11" s="1"/>
  <c r="CN182" i="11"/>
  <c r="CN231" i="11" s="1"/>
  <c r="CN258" i="11" s="1"/>
  <c r="CR182" i="11"/>
  <c r="CR231" i="11" s="1"/>
  <c r="CQ182" i="11"/>
  <c r="CS182" i="11"/>
  <c r="CO182" i="11"/>
  <c r="DA178" i="11"/>
  <c r="CT227" i="11"/>
  <c r="CP178" i="11"/>
  <c r="CP227" i="11" s="1"/>
  <c r="CP252" i="11" s="1"/>
  <c r="CN178" i="11"/>
  <c r="CN227" i="11" s="1"/>
  <c r="CN252" i="11" s="1"/>
  <c r="CN288" i="11" s="1"/>
  <c r="CR178" i="11"/>
  <c r="CR227" i="11" s="1"/>
  <c r="CQ178" i="11"/>
  <c r="CO178" i="11"/>
  <c r="CS178" i="11"/>
  <c r="DA173" i="11"/>
  <c r="CN173" i="11"/>
  <c r="CN222" i="11" s="1"/>
  <c r="CN246" i="11" s="1"/>
  <c r="CR173" i="11"/>
  <c r="CR222" i="11" s="1"/>
  <c r="CT222" i="11"/>
  <c r="CP173" i="11"/>
  <c r="CP222" i="11" s="1"/>
  <c r="CP246" i="11" s="1"/>
  <c r="CO173" i="11"/>
  <c r="CQ173" i="11"/>
  <c r="CS173" i="11"/>
  <c r="DT104" i="11"/>
  <c r="DV139" i="11"/>
  <c r="CP129" i="11"/>
  <c r="CS129" i="11"/>
  <c r="DA189" i="11"/>
  <c r="CT237" i="11"/>
  <c r="CN189" i="11"/>
  <c r="CN237" i="11" s="1"/>
  <c r="CN266" i="11" s="1"/>
  <c r="CN302" i="11" s="1"/>
  <c r="CR189" i="11"/>
  <c r="CR237" i="11" s="1"/>
  <c r="CP189" i="11"/>
  <c r="CP237" i="11" s="1"/>
  <c r="CP266" i="11" s="1"/>
  <c r="CO189" i="11"/>
  <c r="CQ189" i="11"/>
  <c r="CS189" i="11"/>
  <c r="DA181" i="11"/>
  <c r="CT230" i="11"/>
  <c r="CN181" i="11"/>
  <c r="CN230" i="11" s="1"/>
  <c r="CN256" i="11" s="1"/>
  <c r="CN292" i="11" s="1"/>
  <c r="CR181" i="11"/>
  <c r="CR230" i="11" s="1"/>
  <c r="CP181" i="11"/>
  <c r="CP230" i="11" s="1"/>
  <c r="CP256" i="11" s="1"/>
  <c r="CO181" i="11"/>
  <c r="CQ181" i="11"/>
  <c r="CS181" i="11"/>
  <c r="DA177" i="11"/>
  <c r="CT226" i="11"/>
  <c r="CN177" i="11"/>
  <c r="CN226" i="11" s="1"/>
  <c r="CN251" i="11" s="1"/>
  <c r="CN287" i="11" s="1"/>
  <c r="CR177" i="11"/>
  <c r="CR226" i="11" s="1"/>
  <c r="CP177" i="11"/>
  <c r="CP226" i="11" s="1"/>
  <c r="CP251" i="11" s="1"/>
  <c r="CO177" i="11"/>
  <c r="CQ177" i="11"/>
  <c r="CS177" i="11"/>
  <c r="DA170" i="11"/>
  <c r="CY170" i="11" s="1"/>
  <c r="CY219" i="11" s="1"/>
  <c r="CY242" i="11" s="1"/>
  <c r="CQ170" i="11"/>
  <c r="CS170" i="11"/>
  <c r="CO170" i="11"/>
  <c r="CR170" i="11"/>
  <c r="CR219" i="11" s="1"/>
  <c r="CN170" i="11"/>
  <c r="CN219" i="11" s="1"/>
  <c r="CN242" i="11" s="1"/>
  <c r="CP170" i="11"/>
  <c r="CP219" i="11" s="1"/>
  <c r="CP242" i="11" s="1"/>
  <c r="DA188" i="11"/>
  <c r="CT236" i="11"/>
  <c r="CP188" i="11"/>
  <c r="CP236" i="11" s="1"/>
  <c r="CP265" i="11" s="1"/>
  <c r="CN188" i="11"/>
  <c r="CN236" i="11" s="1"/>
  <c r="CN265" i="11" s="1"/>
  <c r="CR188" i="11"/>
  <c r="CR236" i="11" s="1"/>
  <c r="CS188" i="11"/>
  <c r="CO188" i="11"/>
  <c r="CQ188" i="11"/>
  <c r="DA180" i="11"/>
  <c r="CT229" i="11"/>
  <c r="CP180" i="11"/>
  <c r="CP229" i="11" s="1"/>
  <c r="CP255" i="11" s="1"/>
  <c r="CN180" i="11"/>
  <c r="CN229" i="11" s="1"/>
  <c r="CN255" i="11" s="1"/>
  <c r="CR180" i="11"/>
  <c r="CR229" i="11" s="1"/>
  <c r="CS180" i="11"/>
  <c r="CO180" i="11"/>
  <c r="CQ180" i="11"/>
  <c r="DA176" i="11"/>
  <c r="CT225" i="11"/>
  <c r="CP176" i="11"/>
  <c r="CP225" i="11" s="1"/>
  <c r="CP249" i="11" s="1"/>
  <c r="CN176" i="11"/>
  <c r="CN225" i="11" s="1"/>
  <c r="CN249" i="11" s="1"/>
  <c r="CN285" i="11" s="1"/>
  <c r="CR176" i="11"/>
  <c r="CR225" i="11" s="1"/>
  <c r="CO176" i="11"/>
  <c r="CS176" i="11"/>
  <c r="CQ176" i="11"/>
  <c r="DA171" i="11"/>
  <c r="CY171" i="11" s="1"/>
  <c r="CY220" i="11" s="1"/>
  <c r="CY243" i="11" s="1"/>
  <c r="CT220" i="11"/>
  <c r="CN171" i="11"/>
  <c r="CN220" i="11" s="1"/>
  <c r="CN243" i="11" s="1"/>
  <c r="CN279" i="11" s="1"/>
  <c r="CR171" i="11"/>
  <c r="CR220" i="11" s="1"/>
  <c r="CP171" i="11"/>
  <c r="CP220" i="11" s="1"/>
  <c r="CP243" i="11" s="1"/>
  <c r="CQ171" i="11"/>
  <c r="CO171" i="11"/>
  <c r="CS171" i="11"/>
  <c r="CO102" i="11"/>
  <c r="EM125" i="11"/>
  <c r="EN125" i="11" s="1"/>
  <c r="EF125" i="11"/>
  <c r="EG125" i="11" s="1"/>
  <c r="DY125" i="11"/>
  <c r="DZ125" i="11" s="1"/>
  <c r="DR125" i="11"/>
  <c r="DS125" i="11" s="1"/>
  <c r="DL125" i="11"/>
  <c r="EF121" i="11"/>
  <c r="EG121" i="11" s="1"/>
  <c r="DY121" i="11"/>
  <c r="DZ121" i="11" s="1"/>
  <c r="DR121" i="11"/>
  <c r="DS121" i="11" s="1"/>
  <c r="DK121" i="11"/>
  <c r="DL121" i="11" s="1"/>
  <c r="CX121" i="11"/>
  <c r="EG93" i="11"/>
  <c r="EA117" i="11"/>
  <c r="DW116" i="11"/>
  <c r="EF93" i="11"/>
  <c r="EI85" i="11"/>
  <c r="EO85" i="11"/>
  <c r="EE93" i="11"/>
  <c r="EK93" i="11"/>
  <c r="DN117" i="11"/>
  <c r="DK116" i="11"/>
  <c r="DQ199" i="4" s="1"/>
  <c r="EA93" i="11"/>
  <c r="DX104" i="11"/>
  <c r="DH93" i="11"/>
  <c r="EM93" i="11"/>
  <c r="DO93" i="11"/>
  <c r="ED93" i="11"/>
  <c r="EH85" i="11"/>
  <c r="DT117" i="11"/>
  <c r="DP116" i="11"/>
  <c r="CO116" i="11"/>
  <c r="CR119" i="11"/>
  <c r="ED116" i="11"/>
  <c r="DZ104" i="11"/>
  <c r="DU104" i="11"/>
  <c r="DY104" i="11"/>
  <c r="EE207" i="4" s="1"/>
  <c r="CT219" i="11"/>
  <c r="CT242" i="11" s="1"/>
  <c r="AW260" i="11"/>
  <c r="BK429" i="11"/>
  <c r="AW257" i="11"/>
  <c r="M257" i="11"/>
  <c r="AI257" i="11"/>
  <c r="F257" i="11"/>
  <c r="AP257" i="11"/>
  <c r="A292" i="11"/>
  <c r="A282" i="11"/>
  <c r="A325" i="11"/>
  <c r="A334" i="11" s="1"/>
  <c r="A344" i="11" s="1"/>
  <c r="A289" i="11"/>
  <c r="A295" i="11"/>
  <c r="A287" i="11"/>
  <c r="A278" i="11"/>
  <c r="A279" i="11"/>
  <c r="A324" i="11"/>
  <c r="A333" i="11" s="1"/>
  <c r="A343" i="11" s="1"/>
  <c r="A288" i="11"/>
  <c r="A297" i="11"/>
  <c r="A291" i="11"/>
  <c r="A294" i="11"/>
  <c r="A283" i="11"/>
  <c r="A299" i="11"/>
  <c r="A284" i="11"/>
  <c r="A285" i="11"/>
  <c r="A281" i="11"/>
  <c r="A298" i="11"/>
  <c r="BK250" i="11"/>
  <c r="BK244" i="11"/>
  <c r="BK260" i="11"/>
  <c r="BK257" i="11"/>
  <c r="BK426" i="11"/>
  <c r="BK425" i="11"/>
  <c r="BK423" i="11"/>
  <c r="BK421" i="11"/>
  <c r="CF229" i="11"/>
  <c r="CF255" i="11" s="1"/>
  <c r="CM229" i="11"/>
  <c r="CF225" i="11"/>
  <c r="CF249" i="11" s="1"/>
  <c r="CF230" i="11"/>
  <c r="CF256" i="11" s="1"/>
  <c r="CM225" i="11"/>
  <c r="CM249" i="11" s="1"/>
  <c r="CM223" i="11"/>
  <c r="CM247" i="11" s="1"/>
  <c r="CM230" i="11"/>
  <c r="CM256" i="11" s="1"/>
  <c r="CM219" i="11"/>
  <c r="CM224" i="11"/>
  <c r="CM248" i="11" s="1"/>
  <c r="BR219" i="11"/>
  <c r="BR242" i="11" s="1"/>
  <c r="BR220" i="11"/>
  <c r="BR243" i="11" s="1"/>
  <c r="BR222" i="11"/>
  <c r="BR246" i="11" s="1"/>
  <c r="BR224" i="11"/>
  <c r="BR248" i="11" s="1"/>
  <c r="BR231" i="11"/>
  <c r="BR258" i="11" s="1"/>
  <c r="BR232" i="11"/>
  <c r="BR259" i="11" s="1"/>
  <c r="BR239" i="11"/>
  <c r="BR269" i="11" s="1"/>
  <c r="BY223" i="11"/>
  <c r="BY247" i="11" s="1"/>
  <c r="BR223" i="11"/>
  <c r="BR247" i="11" s="1"/>
  <c r="CF223" i="11"/>
  <c r="CF247" i="11" s="1"/>
  <c r="BR225" i="11"/>
  <c r="BR249" i="11" s="1"/>
  <c r="CM239" i="11"/>
  <c r="CM269" i="11" s="1"/>
  <c r="CM232" i="11"/>
  <c r="CM259" i="11" s="1"/>
  <c r="BY219" i="11"/>
  <c r="BY242" i="11" s="1"/>
  <c r="BY220" i="11"/>
  <c r="BY243" i="11" s="1"/>
  <c r="CF222" i="11"/>
  <c r="CF246" i="11" s="1"/>
  <c r="BY224" i="11"/>
  <c r="BY248" i="11" s="1"/>
  <c r="BR229" i="11"/>
  <c r="BR255" i="11" s="1"/>
  <c r="BR230" i="11"/>
  <c r="BR256" i="11" s="1"/>
  <c r="BY231" i="11"/>
  <c r="BY258" i="11" s="1"/>
  <c r="BY232" i="11"/>
  <c r="BY259" i="11" s="1"/>
  <c r="BY239" i="11"/>
  <c r="BY269" i="11" s="1"/>
  <c r="BY222" i="11"/>
  <c r="BY246" i="11" s="1"/>
  <c r="CM222" i="11"/>
  <c r="CM246" i="11" s="1"/>
  <c r="BY225" i="11"/>
  <c r="BY249" i="11" s="1"/>
  <c r="CM231" i="11"/>
  <c r="CM220" i="11"/>
  <c r="CM243" i="11" s="1"/>
  <c r="CF219" i="11"/>
  <c r="CF242" i="11" s="1"/>
  <c r="CF220" i="11"/>
  <c r="CF243" i="11" s="1"/>
  <c r="CF224" i="11"/>
  <c r="CF248" i="11" s="1"/>
  <c r="BY229" i="11"/>
  <c r="BY255" i="11" s="1"/>
  <c r="BY230" i="11"/>
  <c r="BY256" i="11" s="1"/>
  <c r="CF231" i="11"/>
  <c r="CF258" i="11" s="1"/>
  <c r="CF232" i="11"/>
  <c r="CF259" i="11" s="1"/>
  <c r="CF239" i="11"/>
  <c r="CM45" i="11"/>
  <c r="CM42" i="11"/>
  <c r="DO117" i="11" l="1"/>
  <c r="DO119" i="11" s="1"/>
  <c r="DC89" i="11"/>
  <c r="DF89" i="11" s="1"/>
  <c r="DF90" i="11" s="1"/>
  <c r="DC143" i="11"/>
  <c r="DC74" i="11" s="1"/>
  <c r="DI204" i="4"/>
  <c r="DB90" i="11"/>
  <c r="DC97" i="11"/>
  <c r="DC98" i="11" s="1"/>
  <c r="DC90" i="11"/>
  <c r="DB98" i="11"/>
  <c r="EB204" i="4"/>
  <c r="CL35" i="178"/>
  <c r="CD34" i="178"/>
  <c r="CB45" i="178"/>
  <c r="CI41" i="178"/>
  <c r="CD46" i="178"/>
  <c r="CB42" i="178"/>
  <c r="CK43" i="178"/>
  <c r="CB31" i="178"/>
  <c r="CB37" i="178"/>
  <c r="EF269" i="11"/>
  <c r="EF429" i="11" s="1"/>
  <c r="DL141" i="11"/>
  <c r="DR205" i="4" s="1"/>
  <c r="DR269" i="11"/>
  <c r="DR429" i="11" s="1"/>
  <c r="DY269" i="11"/>
  <c r="DY429" i="11" s="1"/>
  <c r="DK269" i="11"/>
  <c r="DK429" i="11" s="1"/>
  <c r="DZ141" i="11"/>
  <c r="EF205" i="4" s="1"/>
  <c r="DM204" i="4"/>
  <c r="CV89" i="11"/>
  <c r="CV90" i="11" s="1"/>
  <c r="CV143" i="11"/>
  <c r="CV74" i="11" s="1"/>
  <c r="EJ199" i="4"/>
  <c r="DL207" i="4"/>
  <c r="CY203" i="4"/>
  <c r="DF207" i="4"/>
  <c r="DM207" i="4"/>
  <c r="ED207" i="4"/>
  <c r="EC199" i="4"/>
  <c r="CV203" i="4"/>
  <c r="DT102" i="11"/>
  <c r="DQ102" i="11" s="1"/>
  <c r="DZ207" i="4"/>
  <c r="DJ205" i="4"/>
  <c r="ED205" i="4"/>
  <c r="CW203" i="4"/>
  <c r="CU97" i="11"/>
  <c r="CU98" i="11" s="1"/>
  <c r="EE199" i="4"/>
  <c r="EL205" i="4"/>
  <c r="DX205" i="4"/>
  <c r="EA207" i="4"/>
  <c r="CU199" i="4"/>
  <c r="DX198" i="4"/>
  <c r="DX200" i="4" s="1"/>
  <c r="EJ204" i="4"/>
  <c r="EM115" i="11"/>
  <c r="ES199" i="4"/>
  <c r="EF207" i="4"/>
  <c r="DV199" i="4"/>
  <c r="DO199" i="4"/>
  <c r="EA202" i="4"/>
  <c r="EO204" i="4"/>
  <c r="EH204" i="4"/>
  <c r="EF115" i="11"/>
  <c r="EL199" i="4"/>
  <c r="EF202" i="4"/>
  <c r="DJ198" i="4"/>
  <c r="DJ200" i="4" s="1"/>
  <c r="DL204" i="4"/>
  <c r="DT202" i="4"/>
  <c r="DW12" i="242"/>
  <c r="CJ246" i="243"/>
  <c r="CF246" i="243"/>
  <c r="CE246" i="243"/>
  <c r="CS242" i="243"/>
  <c r="CZ242" i="243" s="1"/>
  <c r="DG242" i="243" s="1"/>
  <c r="DG243" i="243" s="1"/>
  <c r="CL243" i="243"/>
  <c r="CL246" i="243" s="1"/>
  <c r="CK242" i="243"/>
  <c r="CD243" i="243"/>
  <c r="CD246" i="243" s="1"/>
  <c r="CB242" i="243"/>
  <c r="CB243" i="243" s="1"/>
  <c r="CB246" i="243" s="1"/>
  <c r="EM37" i="243"/>
  <c r="EM256" i="243" s="1"/>
  <c r="EO256" i="243"/>
  <c r="DM210" i="243"/>
  <c r="DJ210" i="243"/>
  <c r="DJ211" i="243" s="1"/>
  <c r="DJ213" i="243" s="1"/>
  <c r="EF41" i="243"/>
  <c r="EH212" i="243"/>
  <c r="EH273" i="243"/>
  <c r="DY206" i="243"/>
  <c r="EJ273" i="243"/>
  <c r="EJ41" i="243" s="1"/>
  <c r="EN273" i="243"/>
  <c r="EN41" i="243" s="1"/>
  <c r="EL273" i="243"/>
  <c r="EL41" i="243" s="1"/>
  <c r="EL83" i="242"/>
  <c r="EL33" i="242"/>
  <c r="EL38" i="242" s="1"/>
  <c r="EG12" i="242"/>
  <c r="EG212" i="243"/>
  <c r="ED41" i="243"/>
  <c r="EE12" i="242" s="1"/>
  <c r="EE206" i="243"/>
  <c r="EH206" i="243"/>
  <c r="EC206" i="243"/>
  <c r="EG206" i="243"/>
  <c r="EL81" i="242"/>
  <c r="EL240" i="243"/>
  <c r="DW206" i="243"/>
  <c r="EK37" i="243"/>
  <c r="EN256" i="243"/>
  <c r="DW273" i="243"/>
  <c r="DW212" i="243"/>
  <c r="EC212" i="243"/>
  <c r="EC12" i="242"/>
  <c r="DY273" i="243"/>
  <c r="DY212" i="243"/>
  <c r="EE37" i="243"/>
  <c r="EE256" i="243" s="1"/>
  <c r="ED256" i="243"/>
  <c r="EF37" i="243"/>
  <c r="EF256" i="243" s="1"/>
  <c r="EH256" i="243"/>
  <c r="EE212" i="243"/>
  <c r="DD210" i="243"/>
  <c r="DD211" i="243" s="1"/>
  <c r="DD213" i="243" s="1"/>
  <c r="DF211" i="243"/>
  <c r="DF213" i="243" s="1"/>
  <c r="DH176" i="11"/>
  <c r="CY176" i="11"/>
  <c r="CY225" i="11" s="1"/>
  <c r="CY249" i="11" s="1"/>
  <c r="DH178" i="11"/>
  <c r="CY178" i="11"/>
  <c r="CY227" i="11" s="1"/>
  <c r="CY252" i="11" s="1"/>
  <c r="DA477" i="11"/>
  <c r="CY182" i="11"/>
  <c r="CY231" i="11" s="1"/>
  <c r="CY258" i="11" s="1"/>
  <c r="CY260" i="11" s="1"/>
  <c r="DA469" i="11"/>
  <c r="CY174" i="11"/>
  <c r="CY223" i="11" s="1"/>
  <c r="CY247" i="11" s="1"/>
  <c r="DH190" i="11"/>
  <c r="CY190" i="11"/>
  <c r="CY238" i="11" s="1"/>
  <c r="CY267" i="11" s="1"/>
  <c r="DA475" i="11"/>
  <c r="CY180" i="11"/>
  <c r="CY229" i="11" s="1"/>
  <c r="CY255" i="11" s="1"/>
  <c r="DA482" i="11"/>
  <c r="CY188" i="11"/>
  <c r="CY236" i="11" s="1"/>
  <c r="CY265" i="11" s="1"/>
  <c r="DH191" i="11"/>
  <c r="DF191" i="11" s="1"/>
  <c r="CY191" i="11"/>
  <c r="DA468" i="11"/>
  <c r="CY173" i="11"/>
  <c r="CY222" i="11" s="1"/>
  <c r="CY246" i="11" s="1"/>
  <c r="DA470" i="11"/>
  <c r="CY175" i="11"/>
  <c r="CY224" i="11" s="1"/>
  <c r="CY248" i="11" s="1"/>
  <c r="CY244" i="11"/>
  <c r="DH177" i="11"/>
  <c r="CY177" i="11"/>
  <c r="CY226" i="11" s="1"/>
  <c r="CY251" i="11" s="1"/>
  <c r="DH181" i="11"/>
  <c r="CY181" i="11"/>
  <c r="CY230" i="11" s="1"/>
  <c r="CY256" i="11" s="1"/>
  <c r="DH189" i="11"/>
  <c r="CY189" i="11"/>
  <c r="CY237" i="11" s="1"/>
  <c r="CY266" i="11" s="1"/>
  <c r="DH179" i="11"/>
  <c r="CY179" i="11"/>
  <c r="CY228" i="11" s="1"/>
  <c r="CY253" i="11" s="1"/>
  <c r="DV117" i="11"/>
  <c r="EC117" i="11"/>
  <c r="EC116" i="11" s="1"/>
  <c r="DY115" i="11"/>
  <c r="EI119" i="11"/>
  <c r="DT119" i="11"/>
  <c r="DN119" i="11"/>
  <c r="DM119" i="11"/>
  <c r="EE119" i="11"/>
  <c r="EP119" i="11"/>
  <c r="EB119" i="11"/>
  <c r="EA119" i="11"/>
  <c r="DU119" i="11"/>
  <c r="EL53" i="4"/>
  <c r="EL45" i="4" s="1"/>
  <c r="A368" i="11"/>
  <c r="A369" i="11"/>
  <c r="DY102" i="11"/>
  <c r="DY103" i="11" s="1"/>
  <c r="EC139" i="11"/>
  <c r="CS88" i="11"/>
  <c r="CQ95" i="11"/>
  <c r="CS95" i="11" s="1"/>
  <c r="CS87" i="11"/>
  <c r="EH139" i="11"/>
  <c r="EJ85" i="11"/>
  <c r="CP260" i="11"/>
  <c r="CP268" i="11"/>
  <c r="EJ86" i="11"/>
  <c r="EJ94" i="11" s="1"/>
  <c r="CP257" i="11"/>
  <c r="DV88" i="11"/>
  <c r="DV96" i="11" s="1"/>
  <c r="EJ89" i="11"/>
  <c r="EJ97" i="11" s="1"/>
  <c r="CP244" i="11"/>
  <c r="CP254" i="11"/>
  <c r="CP250" i="11"/>
  <c r="CO227" i="11"/>
  <c r="CO204" i="11" s="1"/>
  <c r="CS238" i="11"/>
  <c r="CQ238" i="11" s="1"/>
  <c r="CS219" i="11"/>
  <c r="CQ219" i="11" s="1"/>
  <c r="CS230" i="11"/>
  <c r="CQ230" i="11" s="1"/>
  <c r="CS237" i="11"/>
  <c r="CQ237" i="11" s="1"/>
  <c r="CS232" i="11"/>
  <c r="CQ232" i="11" s="1"/>
  <c r="CO228" i="11"/>
  <c r="CO205" i="11" s="1"/>
  <c r="CS220" i="11"/>
  <c r="CQ220" i="11" s="1"/>
  <c r="CT249" i="11"/>
  <c r="CS225" i="11"/>
  <c r="CQ225" i="11" s="1"/>
  <c r="CQ249" i="11" s="1"/>
  <c r="CS229" i="11"/>
  <c r="CQ229" i="11" s="1"/>
  <c r="CS236" i="11"/>
  <c r="CQ236" i="11" s="1"/>
  <c r="CR242" i="11"/>
  <c r="CO219" i="11"/>
  <c r="CO196" i="11" s="1"/>
  <c r="CR246" i="11"/>
  <c r="CO222" i="11"/>
  <c r="CO246" i="11" s="1"/>
  <c r="CR247" i="11"/>
  <c r="CO223" i="11"/>
  <c r="CO247" i="11" s="1"/>
  <c r="CR267" i="11"/>
  <c r="CO238" i="11"/>
  <c r="CO215" i="11" s="1"/>
  <c r="CS96" i="11"/>
  <c r="CR249" i="11"/>
  <c r="CO225" i="11"/>
  <c r="CO249" i="11" s="1"/>
  <c r="CR255" i="11"/>
  <c r="CO229" i="11"/>
  <c r="CO206" i="11" s="1"/>
  <c r="CR265" i="11"/>
  <c r="CO236" i="11"/>
  <c r="CO265" i="11" s="1"/>
  <c r="CR251" i="11"/>
  <c r="CO226" i="11"/>
  <c r="CO251" i="11" s="1"/>
  <c r="CR256" i="11"/>
  <c r="CO230" i="11"/>
  <c r="CO207" i="11" s="1"/>
  <c r="CR266" i="11"/>
  <c r="CO237" i="11"/>
  <c r="CO214" i="11" s="1"/>
  <c r="CS231" i="11"/>
  <c r="CQ231" i="11" s="1"/>
  <c r="CT248" i="11"/>
  <c r="CS224" i="11"/>
  <c r="CS248" i="11" s="1"/>
  <c r="CT334" i="11"/>
  <c r="CS228" i="11"/>
  <c r="CQ228" i="11" s="1"/>
  <c r="CR243" i="11"/>
  <c r="CO220" i="11"/>
  <c r="CO197" i="11" s="1"/>
  <c r="CR258" i="11"/>
  <c r="CO231" i="11"/>
  <c r="CO208" i="11" s="1"/>
  <c r="CT251" i="11"/>
  <c r="CS226" i="11"/>
  <c r="CQ226" i="11" s="1"/>
  <c r="CQ251" i="11" s="1"/>
  <c r="CT246" i="11"/>
  <c r="CS222" i="11"/>
  <c r="CS246" i="11" s="1"/>
  <c r="CR248" i="11"/>
  <c r="CO224" i="11"/>
  <c r="CO248" i="11" s="1"/>
  <c r="CR259" i="11"/>
  <c r="CO232" i="11"/>
  <c r="CO209" i="11" s="1"/>
  <c r="CT247" i="11"/>
  <c r="CS223" i="11"/>
  <c r="CS247" i="11" s="1"/>
  <c r="DS7" i="220"/>
  <c r="ES6" i="4"/>
  <c r="DS10" i="220"/>
  <c r="CP334" i="11"/>
  <c r="CT333" i="11"/>
  <c r="CS227" i="11"/>
  <c r="CQ227" i="11" s="1"/>
  <c r="CR94" i="11"/>
  <c r="CR86" i="11"/>
  <c r="CR333" i="11"/>
  <c r="CR252" i="11"/>
  <c r="CO96" i="11"/>
  <c r="CR96" i="11" s="1"/>
  <c r="CR88" i="11"/>
  <c r="CR334" i="11"/>
  <c r="CR253" i="11"/>
  <c r="DZ200" i="11"/>
  <c r="DX200" i="11"/>
  <c r="EC207" i="11"/>
  <c r="EA207" i="11" s="1"/>
  <c r="K88" i="243"/>
  <c r="EJ200" i="11"/>
  <c r="EQ200" i="11" s="1"/>
  <c r="DW200" i="11"/>
  <c r="EB200" i="11"/>
  <c r="DY200" i="11"/>
  <c r="J92" i="243"/>
  <c r="DO127" i="11"/>
  <c r="DT207" i="11"/>
  <c r="DP207" i="11"/>
  <c r="CN97" i="11"/>
  <c r="CN268" i="11"/>
  <c r="CN304" i="11" s="1"/>
  <c r="CN301" i="11"/>
  <c r="CN90" i="11"/>
  <c r="CN244" i="11"/>
  <c r="CN280" i="11" s="1"/>
  <c r="CN278" i="11"/>
  <c r="DS214" i="11"/>
  <c r="CN257" i="11"/>
  <c r="CN293" i="11" s="1"/>
  <c r="CN291" i="11"/>
  <c r="CN260" i="11"/>
  <c r="CN296" i="11" s="1"/>
  <c r="CN294" i="11"/>
  <c r="CN254" i="11"/>
  <c r="CN290" i="11" s="1"/>
  <c r="CN21" i="11" s="1"/>
  <c r="CN289" i="11"/>
  <c r="CN250" i="11"/>
  <c r="CN282" i="11"/>
  <c r="CM356" i="11"/>
  <c r="EE203" i="11"/>
  <c r="DP214" i="11"/>
  <c r="DP429" i="11"/>
  <c r="DI429" i="11"/>
  <c r="AH85" i="243"/>
  <c r="M72" i="139"/>
  <c r="K85" i="243"/>
  <c r="K83" i="243" s="1"/>
  <c r="K91" i="243" s="1"/>
  <c r="L88" i="243" s="1"/>
  <c r="H72" i="139"/>
  <c r="ES53" i="4"/>
  <c r="DS16" i="220"/>
  <c r="DU64" i="220"/>
  <c r="EK429" i="11"/>
  <c r="DR207" i="11"/>
  <c r="DU207" i="11"/>
  <c r="EI212" i="243"/>
  <c r="EJ5" i="4"/>
  <c r="DV5" i="178"/>
  <c r="EN6" i="4"/>
  <c r="DN5" i="220"/>
  <c r="DN7" i="220"/>
  <c r="EQ5" i="4"/>
  <c r="EC5" i="178"/>
  <c r="DU37" i="220"/>
  <c r="DU38" i="220" s="1"/>
  <c r="DU4" i="220"/>
  <c r="DU29" i="220"/>
  <c r="DS207" i="11"/>
  <c r="DW429" i="11"/>
  <c r="DN9" i="220"/>
  <c r="DN65" i="220"/>
  <c r="DZ53" i="4"/>
  <c r="CZ16" i="220"/>
  <c r="EG18" i="4"/>
  <c r="EG28" i="4"/>
  <c r="DG10" i="220"/>
  <c r="DG15" i="220"/>
  <c r="DE21" i="178"/>
  <c r="DC21" i="178"/>
  <c r="EC17" i="4"/>
  <c r="CN74" i="11"/>
  <c r="EC214" i="11"/>
  <c r="DX214" i="11" s="1"/>
  <c r="DZ199" i="11"/>
  <c r="DX199" i="11"/>
  <c r="DW199" i="11"/>
  <c r="EJ199" i="11"/>
  <c r="DY199" i="11"/>
  <c r="EA199" i="11"/>
  <c r="DQ214" i="11"/>
  <c r="DR214" i="11"/>
  <c r="EH117" i="11"/>
  <c r="DU214" i="11"/>
  <c r="EG269" i="11"/>
  <c r="EG429" i="11" s="1"/>
  <c r="DQ269" i="11"/>
  <c r="DQ429" i="11" s="1"/>
  <c r="DC429" i="11"/>
  <c r="CV429" i="11"/>
  <c r="ED115" i="11"/>
  <c r="EJ198" i="4" s="1"/>
  <c r="DW115" i="11"/>
  <c r="CX141" i="11"/>
  <c r="EM269" i="11"/>
  <c r="DP115" i="11"/>
  <c r="DK115" i="11"/>
  <c r="DS269" i="11"/>
  <c r="DS429" i="11" s="1"/>
  <c r="EE269" i="11"/>
  <c r="EE429" i="11" s="1"/>
  <c r="EL269" i="11"/>
  <c r="EL429" i="11" s="1"/>
  <c r="DX269" i="11"/>
  <c r="DX429" i="11" s="1"/>
  <c r="DJ269" i="11"/>
  <c r="DJ429" i="11" s="1"/>
  <c r="DV127" i="11"/>
  <c r="EP206" i="243"/>
  <c r="L73" i="243"/>
  <c r="M69" i="243"/>
  <c r="M72" i="243" s="1"/>
  <c r="L64" i="243"/>
  <c r="L66" i="243" s="1"/>
  <c r="EP256" i="243"/>
  <c r="DU210" i="243"/>
  <c r="DN211" i="243"/>
  <c r="DN213" i="243" s="1"/>
  <c r="L188" i="243"/>
  <c r="K182" i="243"/>
  <c r="EP41" i="243"/>
  <c r="EO41" i="243" s="1"/>
  <c r="AO65" i="243"/>
  <c r="AO66" i="243" s="1"/>
  <c r="AV76" i="243"/>
  <c r="DT208" i="11"/>
  <c r="DU208" i="11"/>
  <c r="DQ208" i="11"/>
  <c r="DP208" i="11"/>
  <c r="EC208" i="11"/>
  <c r="EA208" i="11" s="1"/>
  <c r="DR208" i="11"/>
  <c r="DW96" i="11"/>
  <c r="EA96" i="11" s="1"/>
  <c r="EG203" i="11"/>
  <c r="EI203" i="11"/>
  <c r="ED96" i="11"/>
  <c r="EF203" i="11"/>
  <c r="EH203" i="11"/>
  <c r="DW127" i="11"/>
  <c r="DU96" i="11"/>
  <c r="EQ203" i="11"/>
  <c r="EP203" i="11" s="1"/>
  <c r="DY96" i="11"/>
  <c r="ED127" i="11" s="1"/>
  <c r="EB88" i="11"/>
  <c r="EI88" i="11"/>
  <c r="EN386" i="11"/>
  <c r="DZ386" i="11"/>
  <c r="DS386" i="11"/>
  <c r="DL386" i="11"/>
  <c r="DE386" i="11"/>
  <c r="CR337" i="11"/>
  <c r="CN334" i="11"/>
  <c r="DP197" i="11"/>
  <c r="DS197" i="11"/>
  <c r="DU197" i="11"/>
  <c r="EC197" i="11"/>
  <c r="DT197" i="11"/>
  <c r="DQ197" i="11"/>
  <c r="DR197" i="11"/>
  <c r="CN335" i="11"/>
  <c r="CN337" i="11"/>
  <c r="CP332" i="11"/>
  <c r="CN333" i="11"/>
  <c r="CN336" i="11"/>
  <c r="EL96" i="11"/>
  <c r="EN127" i="11" s="1"/>
  <c r="EE96" i="11"/>
  <c r="EG127" i="11" s="1"/>
  <c r="EM139" i="11"/>
  <c r="ES204" i="4" s="1"/>
  <c r="EO97" i="11"/>
  <c r="CR335" i="11"/>
  <c r="CP335" i="11"/>
  <c r="CP337" i="11"/>
  <c r="CN421" i="11"/>
  <c r="CN332" i="11"/>
  <c r="CP333" i="11"/>
  <c r="CP336" i="11"/>
  <c r="EE127" i="11"/>
  <c r="EK202" i="4" s="1"/>
  <c r="DO264" i="11"/>
  <c r="DS206" i="11"/>
  <c r="DT206" i="11"/>
  <c r="DP206" i="11"/>
  <c r="DV501" i="11"/>
  <c r="DV261" i="11" s="1"/>
  <c r="EC206" i="11"/>
  <c r="DV502" i="11"/>
  <c r="DV262" i="11" s="1"/>
  <c r="DV503" i="11"/>
  <c r="DV263" i="11" s="1"/>
  <c r="DU206" i="11"/>
  <c r="DV504" i="11"/>
  <c r="DQ206" i="11"/>
  <c r="DR206" i="11"/>
  <c r="EC196" i="11"/>
  <c r="DT196" i="11"/>
  <c r="DP196" i="11"/>
  <c r="DQ196" i="11"/>
  <c r="DS196" i="11"/>
  <c r="DU196" i="11"/>
  <c r="DR196" i="11"/>
  <c r="EN94" i="11"/>
  <c r="EP94" i="11" s="1"/>
  <c r="EP86" i="11"/>
  <c r="EQ86" i="11" s="1"/>
  <c r="EL139" i="11"/>
  <c r="ER204" i="4" s="1"/>
  <c r="EI97" i="11"/>
  <c r="CR336" i="11"/>
  <c r="EI94" i="11"/>
  <c r="EK117" i="11"/>
  <c r="CR332" i="11"/>
  <c r="EN96" i="11"/>
  <c r="EG96" i="11"/>
  <c r="EL127" i="11" s="1"/>
  <c r="EN97" i="11"/>
  <c r="EP97" i="11" s="1"/>
  <c r="EP89" i="11"/>
  <c r="DP210" i="11"/>
  <c r="DT210" i="11"/>
  <c r="DU210" i="11"/>
  <c r="DR210" i="11"/>
  <c r="DQ210" i="11"/>
  <c r="EC210" i="11"/>
  <c r="DS210" i="11"/>
  <c r="DR212" i="11"/>
  <c r="DS212" i="11"/>
  <c r="EC212" i="11"/>
  <c r="DT212" i="11"/>
  <c r="DU212" i="11"/>
  <c r="DP212" i="11"/>
  <c r="DQ212" i="11"/>
  <c r="DS209" i="11"/>
  <c r="DP209" i="11"/>
  <c r="DU209" i="11"/>
  <c r="DQ209" i="11"/>
  <c r="DR209" i="11"/>
  <c r="EC209" i="11"/>
  <c r="DT209" i="11"/>
  <c r="DK213" i="11"/>
  <c r="DM213" i="11"/>
  <c r="DI213" i="11"/>
  <c r="DV213" i="11"/>
  <c r="DQ211" i="11"/>
  <c r="DU211" i="11"/>
  <c r="EC211" i="11"/>
  <c r="DS211" i="11"/>
  <c r="DT211" i="11"/>
  <c r="DP211" i="11"/>
  <c r="DR211" i="11"/>
  <c r="DR215" i="11"/>
  <c r="DS215" i="11"/>
  <c r="DU215" i="11"/>
  <c r="EC215" i="11"/>
  <c r="DP215" i="11"/>
  <c r="DQ215" i="11"/>
  <c r="DT215" i="11"/>
  <c r="DY202" i="11"/>
  <c r="EA202" i="11"/>
  <c r="DX202" i="11"/>
  <c r="DZ202" i="11"/>
  <c r="DW202" i="11"/>
  <c r="EB202" i="11"/>
  <c r="EJ202" i="11"/>
  <c r="DX201" i="11"/>
  <c r="EB201" i="11"/>
  <c r="EJ201" i="11"/>
  <c r="DY201" i="11"/>
  <c r="DZ201" i="11"/>
  <c r="DW201" i="11"/>
  <c r="EA201" i="11"/>
  <c r="DY198" i="11"/>
  <c r="DW198" i="11"/>
  <c r="EA198" i="11"/>
  <c r="EJ198" i="11"/>
  <c r="DZ198" i="11"/>
  <c r="DX198" i="11"/>
  <c r="EB198" i="11"/>
  <c r="DK197" i="11"/>
  <c r="DI197" i="11"/>
  <c r="DM197" i="11"/>
  <c r="CT332" i="11"/>
  <c r="CM242" i="11"/>
  <c r="CM244" i="11" s="1"/>
  <c r="CM332" i="11"/>
  <c r="CT255" i="11"/>
  <c r="CT335" i="11"/>
  <c r="CT265" i="11"/>
  <c r="CT337" i="11"/>
  <c r="CM258" i="11"/>
  <c r="CM336" i="11"/>
  <c r="CM255" i="11"/>
  <c r="CM257" i="11" s="1"/>
  <c r="CM335" i="11"/>
  <c r="CT258" i="11"/>
  <c r="CT336" i="11"/>
  <c r="DH182" i="11"/>
  <c r="DA472" i="11"/>
  <c r="EN141" i="11"/>
  <c r="ET205" i="4" s="1"/>
  <c r="DH180" i="11"/>
  <c r="DH183" i="11"/>
  <c r="DD269" i="11"/>
  <c r="DE141" i="11"/>
  <c r="DK205" i="4" s="1"/>
  <c r="CW269" i="11"/>
  <c r="DH175" i="11"/>
  <c r="DH173" i="11"/>
  <c r="DH174" i="11"/>
  <c r="DH188" i="11"/>
  <c r="DA471" i="11"/>
  <c r="CP429" i="11"/>
  <c r="CQ141" i="11"/>
  <c r="CW205" i="4" s="1"/>
  <c r="DV104" i="11"/>
  <c r="DV519" i="11"/>
  <c r="DV137" i="11"/>
  <c r="CZ191" i="11"/>
  <c r="CV191" i="11"/>
  <c r="CX191" i="11"/>
  <c r="CU191" i="11"/>
  <c r="DA485" i="11"/>
  <c r="DA222" i="11"/>
  <c r="DA246" i="11" s="1"/>
  <c r="CZ173" i="11"/>
  <c r="CV173" i="11"/>
  <c r="CX173" i="11"/>
  <c r="CW173" i="11"/>
  <c r="CW222" i="11" s="1"/>
  <c r="CW246" i="11" s="1"/>
  <c r="CU173" i="11"/>
  <c r="CU222" i="11" s="1"/>
  <c r="CU246" i="11" s="1"/>
  <c r="DA227" i="11"/>
  <c r="DA333" i="11" s="1"/>
  <c r="CX178" i="11"/>
  <c r="CZ178" i="11"/>
  <c r="CV178" i="11"/>
  <c r="CU178" i="11"/>
  <c r="CU227" i="11" s="1"/>
  <c r="CW178" i="11"/>
  <c r="CW227" i="11" s="1"/>
  <c r="CW333" i="11" s="1"/>
  <c r="DA231" i="11"/>
  <c r="CX182" i="11"/>
  <c r="CZ182" i="11"/>
  <c r="CV182" i="11"/>
  <c r="CU182" i="11"/>
  <c r="CU231" i="11" s="1"/>
  <c r="CW182" i="11"/>
  <c r="CW231" i="11" s="1"/>
  <c r="DA224" i="11"/>
  <c r="DA248" i="11" s="1"/>
  <c r="CZ175" i="11"/>
  <c r="CV175" i="11"/>
  <c r="CX175" i="11"/>
  <c r="CU175" i="11"/>
  <c r="CU224" i="11" s="1"/>
  <c r="CU248" i="11" s="1"/>
  <c r="CW175" i="11"/>
  <c r="CW224" i="11" s="1"/>
  <c r="CW248" i="11" s="1"/>
  <c r="DA232" i="11"/>
  <c r="DA259" i="11" s="1"/>
  <c r="CZ183" i="11"/>
  <c r="CV183" i="11"/>
  <c r="CX183" i="11"/>
  <c r="CU183" i="11"/>
  <c r="CU232" i="11" s="1"/>
  <c r="CW183" i="11"/>
  <c r="CW232" i="11" s="1"/>
  <c r="EA104" i="11"/>
  <c r="EG207" i="4" s="1"/>
  <c r="DH170" i="11"/>
  <c r="DF170" i="11" s="1"/>
  <c r="DF219" i="11" s="1"/>
  <c r="DA219" i="11"/>
  <c r="CX170" i="11"/>
  <c r="CZ170" i="11"/>
  <c r="CV170" i="11"/>
  <c r="CW170" i="11"/>
  <c r="CW219" i="11" s="1"/>
  <c r="CU170" i="11"/>
  <c r="CU219" i="11" s="1"/>
  <c r="DA226" i="11"/>
  <c r="DA251" i="11" s="1"/>
  <c r="CZ177" i="11"/>
  <c r="CV177" i="11"/>
  <c r="CX177" i="11"/>
  <c r="CW177" i="11"/>
  <c r="CW226" i="11" s="1"/>
  <c r="CW251" i="11" s="1"/>
  <c r="CU177" i="11"/>
  <c r="CU226" i="11" s="1"/>
  <c r="CU251" i="11" s="1"/>
  <c r="DA230" i="11"/>
  <c r="DA256" i="11" s="1"/>
  <c r="CZ181" i="11"/>
  <c r="CV181" i="11"/>
  <c r="CX181" i="11"/>
  <c r="CW181" i="11"/>
  <c r="CW230" i="11" s="1"/>
  <c r="CU181" i="11"/>
  <c r="CU230" i="11" s="1"/>
  <c r="DA237" i="11"/>
  <c r="DA266" i="11" s="1"/>
  <c r="CZ189" i="11"/>
  <c r="CV189" i="11"/>
  <c r="CX189" i="11"/>
  <c r="CW189" i="11"/>
  <c r="CW237" i="11" s="1"/>
  <c r="CU189" i="11"/>
  <c r="CU237" i="11" s="1"/>
  <c r="DA223" i="11"/>
  <c r="DA247" i="11" s="1"/>
  <c r="CX174" i="11"/>
  <c r="CZ174" i="11"/>
  <c r="CV174" i="11"/>
  <c r="CU174" i="11"/>
  <c r="CU223" i="11" s="1"/>
  <c r="CU247" i="11" s="1"/>
  <c r="CW174" i="11"/>
  <c r="CW223" i="11" s="1"/>
  <c r="CW247" i="11" s="1"/>
  <c r="DA238" i="11"/>
  <c r="DA267" i="11" s="1"/>
  <c r="CX190" i="11"/>
  <c r="CZ190" i="11"/>
  <c r="CV190" i="11"/>
  <c r="CU190" i="11"/>
  <c r="CU238" i="11" s="1"/>
  <c r="CW190" i="11"/>
  <c r="CW238" i="11" s="1"/>
  <c r="DO104" i="11"/>
  <c r="DA228" i="11"/>
  <c r="CZ179" i="11"/>
  <c r="CV179" i="11"/>
  <c r="CX179" i="11"/>
  <c r="CU179" i="11"/>
  <c r="CU228" i="11" s="1"/>
  <c r="CW179" i="11"/>
  <c r="CW228" i="11" s="1"/>
  <c r="CW334" i="11" s="1"/>
  <c r="DH171" i="11"/>
  <c r="DF171" i="11" s="1"/>
  <c r="DF220" i="11" s="1"/>
  <c r="DA220" i="11"/>
  <c r="DA243" i="11" s="1"/>
  <c r="CZ171" i="11"/>
  <c r="CV171" i="11"/>
  <c r="CX171" i="11"/>
  <c r="CU171" i="11"/>
  <c r="CU220" i="11" s="1"/>
  <c r="CW171" i="11"/>
  <c r="CW220" i="11" s="1"/>
  <c r="CW243" i="11" s="1"/>
  <c r="DA225" i="11"/>
  <c r="DA249" i="11" s="1"/>
  <c r="CX176" i="11"/>
  <c r="CZ176" i="11"/>
  <c r="CV176" i="11"/>
  <c r="CW176" i="11"/>
  <c r="CW225" i="11" s="1"/>
  <c r="CW249" i="11" s="1"/>
  <c r="CU176" i="11"/>
  <c r="CU225" i="11" s="1"/>
  <c r="CU249" i="11" s="1"/>
  <c r="DA229" i="11"/>
  <c r="CX180" i="11"/>
  <c r="CZ180" i="11"/>
  <c r="CV180" i="11"/>
  <c r="CW180" i="11"/>
  <c r="CW229" i="11" s="1"/>
  <c r="CU180" i="11"/>
  <c r="CU229" i="11" s="1"/>
  <c r="DA236" i="11"/>
  <c r="CX188" i="11"/>
  <c r="CZ188" i="11"/>
  <c r="CV188" i="11"/>
  <c r="CW188" i="11"/>
  <c r="CW236" i="11" s="1"/>
  <c r="CU188" i="11"/>
  <c r="CU236" i="11" s="1"/>
  <c r="EB104" i="11"/>
  <c r="DT116" i="11"/>
  <c r="DZ199" i="4" s="1"/>
  <c r="EN93" i="11"/>
  <c r="EH93" i="11"/>
  <c r="EE104" i="11"/>
  <c r="EN104" i="11"/>
  <c r="EF104" i="11"/>
  <c r="EL207" i="4" s="1"/>
  <c r="EG104" i="11"/>
  <c r="EI93" i="11"/>
  <c r="EA116" i="11"/>
  <c r="EG199" i="4" s="1"/>
  <c r="EL93" i="11"/>
  <c r="EO93" i="11" s="1"/>
  <c r="EC93" i="11"/>
  <c r="CO115" i="11"/>
  <c r="CU198" i="4" s="1"/>
  <c r="EP85" i="11"/>
  <c r="EQ85" i="11" s="1"/>
  <c r="EL104" i="11"/>
  <c r="EK104" i="11"/>
  <c r="EQ207" i="4" s="1"/>
  <c r="BR429" i="11"/>
  <c r="BY429" i="11"/>
  <c r="BY257" i="11"/>
  <c r="BY250" i="11"/>
  <c r="BR250" i="11"/>
  <c r="BR257" i="11"/>
  <c r="BY244" i="11"/>
  <c r="CF260" i="11"/>
  <c r="BR260" i="11"/>
  <c r="BR244" i="11"/>
  <c r="CF244" i="11"/>
  <c r="BY260" i="11"/>
  <c r="CF250" i="11"/>
  <c r="CF257" i="11"/>
  <c r="CF269" i="11"/>
  <c r="CF426" i="11"/>
  <c r="BR426" i="11"/>
  <c r="CF421" i="11"/>
  <c r="CF425" i="11"/>
  <c r="BR423" i="11"/>
  <c r="BY423" i="11"/>
  <c r="BR425" i="11"/>
  <c r="CF423" i="11"/>
  <c r="BY425" i="11"/>
  <c r="BY421" i="11"/>
  <c r="BY426" i="11"/>
  <c r="BR421" i="11"/>
  <c r="CF15" i="11"/>
  <c r="BD447" i="11"/>
  <c r="A461" i="11"/>
  <c r="A460" i="11"/>
  <c r="A459" i="11"/>
  <c r="A458" i="11"/>
  <c r="A457" i="11"/>
  <c r="A455" i="11"/>
  <c r="A456" i="11"/>
  <c r="CM456" i="11"/>
  <c r="CF456" i="11"/>
  <c r="CS429" i="11"/>
  <c r="CR429" i="11"/>
  <c r="CO429" i="11"/>
  <c r="CN429" i="11"/>
  <c r="CN428" i="11"/>
  <c r="CN424" i="11"/>
  <c r="CN423" i="11"/>
  <c r="DH89" i="11" l="1"/>
  <c r="DH97" i="11" s="1"/>
  <c r="DF332" i="11"/>
  <c r="DF242" i="11"/>
  <c r="DG177" i="11"/>
  <c r="DF177" i="11"/>
  <c r="DF226" i="11" s="1"/>
  <c r="DD190" i="11"/>
  <c r="DD238" i="11" s="1"/>
  <c r="DF190" i="11"/>
  <c r="DF238" i="11" s="1"/>
  <c r="DD176" i="11"/>
  <c r="DD225" i="11" s="1"/>
  <c r="DD249" i="11" s="1"/>
  <c r="DF176" i="11"/>
  <c r="DF225" i="11" s="1"/>
  <c r="DH228" i="11"/>
  <c r="DH334" i="11" s="1"/>
  <c r="DF179" i="11"/>
  <c r="DF228" i="11" s="1"/>
  <c r="DC181" i="11"/>
  <c r="DF181" i="11"/>
  <c r="DF230" i="11" s="1"/>
  <c r="DG174" i="11"/>
  <c r="DF174" i="11"/>
  <c r="DF223" i="11" s="1"/>
  <c r="DH229" i="11"/>
  <c r="DH255" i="11" s="1"/>
  <c r="DF180" i="11"/>
  <c r="DF229" i="11" s="1"/>
  <c r="DH237" i="11"/>
  <c r="DF189" i="11"/>
  <c r="DF237" i="11" s="1"/>
  <c r="DC173" i="11"/>
  <c r="DF173" i="11"/>
  <c r="DF222" i="11" s="1"/>
  <c r="DF243" i="11"/>
  <c r="DE188" i="11"/>
  <c r="DF188" i="11"/>
  <c r="DF236" i="11" s="1"/>
  <c r="DH224" i="11"/>
  <c r="DF175" i="11"/>
  <c r="DF224" i="11" s="1"/>
  <c r="DC183" i="11"/>
  <c r="DF183" i="11"/>
  <c r="DF232" i="11" s="1"/>
  <c r="DG182" i="11"/>
  <c r="DF182" i="11"/>
  <c r="DF231" i="11" s="1"/>
  <c r="DG178" i="11"/>
  <c r="DF178" i="11"/>
  <c r="DF227" i="11" s="1"/>
  <c r="DF97" i="11"/>
  <c r="DF98" i="11" s="1"/>
  <c r="DC191" i="11"/>
  <c r="DB191" i="11"/>
  <c r="DO190" i="11"/>
  <c r="DJ190" i="11" s="1"/>
  <c r="DO176" i="11"/>
  <c r="DV176" i="11" s="1"/>
  <c r="CY242" i="243"/>
  <c r="CZ243" i="243"/>
  <c r="DG246" i="243" s="1"/>
  <c r="DA255" i="11"/>
  <c r="DA257" i="11" s="1"/>
  <c r="DA335" i="11"/>
  <c r="DA253" i="11"/>
  <c r="DA334" i="11"/>
  <c r="DA332" i="11"/>
  <c r="DA242" i="11"/>
  <c r="DA244" i="11" s="1"/>
  <c r="DA258" i="11"/>
  <c r="DA260" i="11" s="1"/>
  <c r="DA336" i="11"/>
  <c r="DA250" i="11"/>
  <c r="DD205" i="4"/>
  <c r="CX269" i="11"/>
  <c r="CX429" i="11" s="1"/>
  <c r="DA265" i="11"/>
  <c r="DA268" i="11" s="1"/>
  <c r="DA337" i="11"/>
  <c r="DA252" i="11"/>
  <c r="DE190" i="11"/>
  <c r="DC176" i="11"/>
  <c r="DH225" i="11"/>
  <c r="DU207" i="4"/>
  <c r="EB202" i="4"/>
  <c r="CB46" i="178"/>
  <c r="CI43" i="178"/>
  <c r="CD38" i="178"/>
  <c r="CB34" i="178"/>
  <c r="DZ269" i="11"/>
  <c r="DZ429" i="11" s="1"/>
  <c r="DL269" i="11"/>
  <c r="DL429" i="11" s="1"/>
  <c r="CU200" i="4"/>
  <c r="DE176" i="11"/>
  <c r="DG190" i="11"/>
  <c r="DH471" i="11"/>
  <c r="DB176" i="11"/>
  <c r="DB225" i="11" s="1"/>
  <c r="DB249" i="11" s="1"/>
  <c r="DC190" i="11"/>
  <c r="CV97" i="11"/>
  <c r="CV98" i="11" s="1"/>
  <c r="CW335" i="11"/>
  <c r="DG176" i="11"/>
  <c r="DH238" i="11"/>
  <c r="DD178" i="11"/>
  <c r="DD227" i="11" s="1"/>
  <c r="DD252" i="11" s="1"/>
  <c r="DO178" i="11"/>
  <c r="DO227" i="11" s="1"/>
  <c r="DO333" i="11" s="1"/>
  <c r="DB190" i="11"/>
  <c r="DB238" i="11" s="1"/>
  <c r="DB267" i="11" s="1"/>
  <c r="DE191" i="11"/>
  <c r="DG191" i="11"/>
  <c r="DH485" i="11"/>
  <c r="DB178" i="11"/>
  <c r="DB227" i="11" s="1"/>
  <c r="DB252" i="11" s="1"/>
  <c r="DE178" i="11"/>
  <c r="CY89" i="11"/>
  <c r="DC178" i="11"/>
  <c r="DH227" i="11"/>
  <c r="DO191" i="11"/>
  <c r="DM191" i="11" s="1"/>
  <c r="DD191" i="11"/>
  <c r="DT103" i="11"/>
  <c r="DQ103" i="11" s="1"/>
  <c r="DH226" i="11"/>
  <c r="DB177" i="11"/>
  <c r="DB226" i="11" s="1"/>
  <c r="DB251" i="11" s="1"/>
  <c r="CY257" i="11"/>
  <c r="DD189" i="11"/>
  <c r="DD237" i="11" s="1"/>
  <c r="DC189" i="11"/>
  <c r="DO189" i="11"/>
  <c r="DO237" i="11" s="1"/>
  <c r="DO177" i="11"/>
  <c r="DO226" i="11" s="1"/>
  <c r="DD177" i="11"/>
  <c r="DD226" i="11" s="1"/>
  <c r="DD251" i="11" s="1"/>
  <c r="DC177" i="11"/>
  <c r="DE189" i="11"/>
  <c r="DG189" i="11"/>
  <c r="EJ200" i="4"/>
  <c r="DH472" i="11"/>
  <c r="DE177" i="11"/>
  <c r="DB189" i="11"/>
  <c r="DB237" i="11" s="1"/>
  <c r="DB266" i="11" s="1"/>
  <c r="CW337" i="11"/>
  <c r="EM207" i="4"/>
  <c r="EJ202" i="4"/>
  <c r="DQ198" i="4"/>
  <c r="DQ200" i="4" s="1"/>
  <c r="EE198" i="4"/>
  <c r="EE200" i="4" s="1"/>
  <c r="ES198" i="4"/>
  <c r="ES200" i="4" s="1"/>
  <c r="ER207" i="4"/>
  <c r="EM202" i="4"/>
  <c r="DV198" i="4"/>
  <c r="DV200" i="4" s="1"/>
  <c r="DO198" i="4"/>
  <c r="DO200" i="4" s="1"/>
  <c r="DO126" i="11"/>
  <c r="DU202" i="4"/>
  <c r="EN204" i="4"/>
  <c r="EC137" i="11"/>
  <c r="EI204" i="4"/>
  <c r="EL198" i="4"/>
  <c r="EL200" i="4" s="1"/>
  <c r="ET207" i="4"/>
  <c r="ET202" i="4"/>
  <c r="EC198" i="4"/>
  <c r="EC200" i="4" s="1"/>
  <c r="DV102" i="11"/>
  <c r="EB207" i="4"/>
  <c r="ER202" i="4"/>
  <c r="EK207" i="4"/>
  <c r="EH207" i="4"/>
  <c r="EC202" i="4"/>
  <c r="CQ246" i="243"/>
  <c r="CM246" i="243"/>
  <c r="CS243" i="243"/>
  <c r="CR242" i="243"/>
  <c r="CK243" i="243"/>
  <c r="CK246" i="243" s="1"/>
  <c r="CI242" i="243"/>
  <c r="CI243" i="243" s="1"/>
  <c r="CI246" i="243" s="1"/>
  <c r="DU235" i="243"/>
  <c r="DJ235" i="243"/>
  <c r="ED206" i="243"/>
  <c r="ED273" i="243"/>
  <c r="ED212" i="243"/>
  <c r="EJ212" i="243"/>
  <c r="EJ12" i="242"/>
  <c r="ED12" i="242"/>
  <c r="EF273" i="243"/>
  <c r="EF212" i="243"/>
  <c r="DK210" i="243"/>
  <c r="DK211" i="243" s="1"/>
  <c r="DK213" i="243" s="1"/>
  <c r="DM211" i="243"/>
  <c r="DM213" i="243" s="1"/>
  <c r="EL37" i="243"/>
  <c r="EL256" i="243" s="1"/>
  <c r="EK256" i="243"/>
  <c r="EF206" i="243"/>
  <c r="EL212" i="243"/>
  <c r="EM41" i="243"/>
  <c r="EO273" i="243"/>
  <c r="EO212" i="243"/>
  <c r="DS210" i="243"/>
  <c r="DO210" i="243"/>
  <c r="DO211" i="243" s="1"/>
  <c r="DO213" i="243" s="1"/>
  <c r="DT210" i="243"/>
  <c r="DQ210" i="243"/>
  <c r="DQ211" i="243" s="1"/>
  <c r="DQ213" i="243" s="1"/>
  <c r="EL206" i="243"/>
  <c r="EO206" i="243"/>
  <c r="EJ206" i="243"/>
  <c r="EN206" i="243"/>
  <c r="EN212" i="243"/>
  <c r="EK41" i="243"/>
  <c r="EL12" i="242" s="1"/>
  <c r="EN12" i="242"/>
  <c r="CW332" i="11"/>
  <c r="CW336" i="11"/>
  <c r="DO179" i="11"/>
  <c r="DM179" i="11" s="1"/>
  <c r="DM228" i="11" s="1"/>
  <c r="DG181" i="11"/>
  <c r="DE181" i="11"/>
  <c r="CY268" i="11"/>
  <c r="DC179" i="11"/>
  <c r="CY254" i="11"/>
  <c r="DH230" i="11"/>
  <c r="DE179" i="11"/>
  <c r="DG179" i="11"/>
  <c r="CY250" i="11"/>
  <c r="DO181" i="11"/>
  <c r="DI181" i="11" s="1"/>
  <c r="DI230" i="11" s="1"/>
  <c r="DB181" i="11"/>
  <c r="DB230" i="11" s="1"/>
  <c r="DB256" i="11" s="1"/>
  <c r="DD179" i="11"/>
  <c r="DD228" i="11" s="1"/>
  <c r="DD253" i="11" s="1"/>
  <c r="DD181" i="11"/>
  <c r="DD230" i="11" s="1"/>
  <c r="DB179" i="11"/>
  <c r="DB228" i="11" s="1"/>
  <c r="DB253" i="11" s="1"/>
  <c r="DO102" i="11"/>
  <c r="CV228" i="11"/>
  <c r="CV253" i="11" s="1"/>
  <c r="CV237" i="11"/>
  <c r="CV266" i="11" s="1"/>
  <c r="CV236" i="11"/>
  <c r="CV265" i="11" s="1"/>
  <c r="CV238" i="11"/>
  <c r="CV267" i="11" s="1"/>
  <c r="CZ236" i="11"/>
  <c r="CZ265" i="11" s="1"/>
  <c r="DO116" i="11"/>
  <c r="EH119" i="11"/>
  <c r="CV220" i="11"/>
  <c r="CV243" i="11" s="1"/>
  <c r="CZ220" i="11"/>
  <c r="CX220" i="11" s="1"/>
  <c r="CX197" i="11" s="1"/>
  <c r="CZ237" i="11"/>
  <c r="CZ231" i="11"/>
  <c r="CZ258" i="11" s="1"/>
  <c r="CV219" i="11"/>
  <c r="CV242" i="11" s="1"/>
  <c r="CZ219" i="11"/>
  <c r="CX219" i="11" s="1"/>
  <c r="CX196" i="11" s="1"/>
  <c r="CZ238" i="11"/>
  <c r="CZ232" i="11"/>
  <c r="CV229" i="11"/>
  <c r="CV255" i="11" s="1"/>
  <c r="CV225" i="11"/>
  <c r="CV249" i="11" s="1"/>
  <c r="CV223" i="11"/>
  <c r="CV247" i="11" s="1"/>
  <c r="CV232" i="11"/>
  <c r="CV259" i="11" s="1"/>
  <c r="CZ225" i="11"/>
  <c r="CZ223" i="11"/>
  <c r="CZ224" i="11"/>
  <c r="CZ228" i="11"/>
  <c r="CV226" i="11"/>
  <c r="CV251" i="11" s="1"/>
  <c r="CZ226" i="11"/>
  <c r="CV222" i="11"/>
  <c r="CV246" i="11" s="1"/>
  <c r="CZ222" i="11"/>
  <c r="CZ229" i="11"/>
  <c r="CZ255" i="11" s="1"/>
  <c r="CV230" i="11"/>
  <c r="CV256" i="11" s="1"/>
  <c r="CZ230" i="11"/>
  <c r="CV224" i="11"/>
  <c r="CV248" i="11" s="1"/>
  <c r="CV231" i="11"/>
  <c r="CV258" i="11" s="1"/>
  <c r="CO203" i="11"/>
  <c r="CY333" i="11"/>
  <c r="CZ227" i="11"/>
  <c r="CZ252" i="11" s="1"/>
  <c r="CV227" i="11"/>
  <c r="CO266" i="11"/>
  <c r="CT339" i="11"/>
  <c r="CT338" i="11"/>
  <c r="CO253" i="11"/>
  <c r="CO242" i="11"/>
  <c r="EC519" i="11"/>
  <c r="EJ139" i="11"/>
  <c r="EF102" i="11"/>
  <c r="EF103" i="11" s="1"/>
  <c r="EA102" i="11"/>
  <c r="DX102" i="11" s="1"/>
  <c r="EK102" i="11"/>
  <c r="EK103" i="11" s="1"/>
  <c r="CS204" i="11"/>
  <c r="CQ204" i="11"/>
  <c r="DI201" i="4"/>
  <c r="EB207" i="11"/>
  <c r="CT250" i="11"/>
  <c r="DY207" i="11"/>
  <c r="ES18" i="4"/>
  <c r="CR244" i="11"/>
  <c r="EQ94" i="11"/>
  <c r="CT88" i="11"/>
  <c r="CT96" i="11" s="1"/>
  <c r="CQ224" i="11"/>
  <c r="CQ248" i="11" s="1"/>
  <c r="EC88" i="11"/>
  <c r="EC96" i="11" s="1"/>
  <c r="EQ89" i="11"/>
  <c r="EQ97" i="11" s="1"/>
  <c r="CO213" i="11"/>
  <c r="CP270" i="11"/>
  <c r="EG200" i="11"/>
  <c r="CO258" i="11"/>
  <c r="CR268" i="11"/>
  <c r="CR423" i="11"/>
  <c r="EI200" i="11"/>
  <c r="CS249" i="11"/>
  <c r="CS250" i="11" s="1"/>
  <c r="CR250" i="11"/>
  <c r="CO255" i="11"/>
  <c r="CR254" i="11"/>
  <c r="CR260" i="11"/>
  <c r="CR257" i="11"/>
  <c r="CQ222" i="11"/>
  <c r="CQ246" i="11" s="1"/>
  <c r="CO250" i="11"/>
  <c r="CO423" i="11"/>
  <c r="CP423" i="11"/>
  <c r="CQ223" i="11"/>
  <c r="CQ247" i="11" s="1"/>
  <c r="EJ117" i="11"/>
  <c r="EJ116" i="11" s="1"/>
  <c r="DZ207" i="11"/>
  <c r="DX207" i="11"/>
  <c r="DW207" i="11"/>
  <c r="EJ207" i="11"/>
  <c r="EF207" i="11" s="1"/>
  <c r="EF200" i="11"/>
  <c r="EE200" i="11"/>
  <c r="ED200" i="11"/>
  <c r="EH200" i="11"/>
  <c r="K92" i="243"/>
  <c r="DW214" i="11"/>
  <c r="EH116" i="11"/>
  <c r="K89" i="243"/>
  <c r="EJ214" i="11"/>
  <c r="EH214" i="11" s="1"/>
  <c r="EA214" i="11"/>
  <c r="EJ208" i="11"/>
  <c r="ED208" i="11" s="1"/>
  <c r="CN98" i="11"/>
  <c r="DZ208" i="11"/>
  <c r="DJ201" i="4"/>
  <c r="DX208" i="11"/>
  <c r="EB208" i="11"/>
  <c r="DW208" i="11"/>
  <c r="CO104" i="11"/>
  <c r="CN270" i="11"/>
  <c r="CN306" i="11" s="1"/>
  <c r="CN286" i="11"/>
  <c r="DH519" i="11"/>
  <c r="DD174" i="11"/>
  <c r="DD223" i="11" s="1"/>
  <c r="DD247" i="11" s="1"/>
  <c r="DG16" i="220"/>
  <c r="EG53" i="4"/>
  <c r="EN28" i="4"/>
  <c r="DN10" i="220"/>
  <c r="DN15" i="220"/>
  <c r="EJ17" i="4"/>
  <c r="CW429" i="11"/>
  <c r="DE174" i="11"/>
  <c r="DZ214" i="11"/>
  <c r="EB214" i="11"/>
  <c r="AO85" i="243"/>
  <c r="N72" i="139"/>
  <c r="DZ45" i="4"/>
  <c r="EU6" i="4"/>
  <c r="DU5" i="220"/>
  <c r="DU7" i="220"/>
  <c r="EQ17" i="4"/>
  <c r="EN18" i="4"/>
  <c r="DU9" i="220"/>
  <c r="DU65" i="220"/>
  <c r="DD429" i="11"/>
  <c r="DY214" i="11"/>
  <c r="EP212" i="243"/>
  <c r="L85" i="243"/>
  <c r="L83" i="243" s="1"/>
  <c r="L91" i="243" s="1"/>
  <c r="L89" i="243" s="1"/>
  <c r="I72" i="139"/>
  <c r="EM429" i="11"/>
  <c r="DJ21" i="178"/>
  <c r="DH21" i="178"/>
  <c r="DL21" i="178"/>
  <c r="ES45" i="4"/>
  <c r="DH516" i="11"/>
  <c r="EK203" i="11"/>
  <c r="EH88" i="11"/>
  <c r="DY127" i="11"/>
  <c r="EH199" i="11"/>
  <c r="EI199" i="11"/>
  <c r="EF199" i="11"/>
  <c r="EQ199" i="11"/>
  <c r="EG199" i="11"/>
  <c r="ED199" i="11"/>
  <c r="EE199" i="11"/>
  <c r="CN425" i="11"/>
  <c r="DO173" i="11"/>
  <c r="DK173" i="11" s="1"/>
  <c r="DK222" i="11" s="1"/>
  <c r="DK246" i="11" s="1"/>
  <c r="CR421" i="11"/>
  <c r="DO183" i="11"/>
  <c r="DM183" i="11" s="1"/>
  <c r="DM232" i="11" s="1"/>
  <c r="EC119" i="11"/>
  <c r="EC517" i="11" s="1"/>
  <c r="DV119" i="11"/>
  <c r="EL203" i="11"/>
  <c r="DY208" i="11"/>
  <c r="EK96" i="11"/>
  <c r="DT115" i="11"/>
  <c r="DZ198" i="4" s="1"/>
  <c r="DZ200" i="4" s="1"/>
  <c r="EH127" i="11"/>
  <c r="EP139" i="11"/>
  <c r="EA127" i="11"/>
  <c r="CO252" i="11"/>
  <c r="CQ269" i="11"/>
  <c r="CQ429" i="11" s="1"/>
  <c r="EN269" i="11"/>
  <c r="EN429" i="11" s="1"/>
  <c r="DV126" i="11"/>
  <c r="EA115" i="11"/>
  <c r="DE269" i="11"/>
  <c r="DE429" i="11" s="1"/>
  <c r="DV516" i="11"/>
  <c r="EO139" i="11"/>
  <c r="M188" i="243"/>
  <c r="L182" i="243"/>
  <c r="BC76" i="243"/>
  <c r="BC78" i="243" s="1"/>
  <c r="AV78" i="243"/>
  <c r="DN234" i="243"/>
  <c r="EB210" i="243"/>
  <c r="DU211" i="243"/>
  <c r="DU213" i="243" s="1"/>
  <c r="M64" i="243"/>
  <c r="M66" i="243" s="1"/>
  <c r="M73" i="243"/>
  <c r="DH478" i="11"/>
  <c r="DC188" i="11"/>
  <c r="DO188" i="11"/>
  <c r="DK188" i="11" s="1"/>
  <c r="DK236" i="11" s="1"/>
  <c r="EB96" i="11"/>
  <c r="CM421" i="11"/>
  <c r="EN203" i="11"/>
  <c r="EM203" i="11"/>
  <c r="EO203" i="11"/>
  <c r="CN426" i="11"/>
  <c r="EF96" i="11"/>
  <c r="DV264" i="11"/>
  <c r="CY337" i="11"/>
  <c r="CU258" i="11"/>
  <c r="CU336" i="11"/>
  <c r="DX197" i="11"/>
  <c r="DW197" i="11"/>
  <c r="EA197" i="11"/>
  <c r="DY197" i="11"/>
  <c r="DZ197" i="11"/>
  <c r="EJ197" i="11"/>
  <c r="EB197" i="11"/>
  <c r="CU265" i="11"/>
  <c r="CU337" i="11"/>
  <c r="CW255" i="11"/>
  <c r="CU334" i="11"/>
  <c r="CU332" i="11"/>
  <c r="CW252" i="11"/>
  <c r="EK119" i="11"/>
  <c r="EO117" i="11"/>
  <c r="EK116" i="11"/>
  <c r="CU255" i="11"/>
  <c r="CU335" i="11"/>
  <c r="CW253" i="11"/>
  <c r="EF127" i="11"/>
  <c r="EL202" i="4" s="1"/>
  <c r="EH96" i="11"/>
  <c r="CW265" i="11"/>
  <c r="CW242" i="11"/>
  <c r="CW258" i="11"/>
  <c r="CU333" i="11"/>
  <c r="EA196" i="11"/>
  <c r="DX196" i="11"/>
  <c r="EJ196" i="11"/>
  <c r="EB196" i="11"/>
  <c r="DW196" i="11"/>
  <c r="DZ196" i="11"/>
  <c r="DY196" i="11"/>
  <c r="CY335" i="11"/>
  <c r="CY334" i="11"/>
  <c r="CY332" i="11"/>
  <c r="CY336" i="11"/>
  <c r="DX206" i="11"/>
  <c r="DY206" i="11"/>
  <c r="EC504" i="11"/>
  <c r="DW206" i="11"/>
  <c r="EB206" i="11"/>
  <c r="EC503" i="11"/>
  <c r="EC263" i="11" s="1"/>
  <c r="EC502" i="11"/>
  <c r="EC262" i="11" s="1"/>
  <c r="EA206" i="11"/>
  <c r="EJ206" i="11"/>
  <c r="DZ206" i="11"/>
  <c r="EC501" i="11"/>
  <c r="EC261" i="11" s="1"/>
  <c r="DS213" i="11"/>
  <c r="DR213" i="11"/>
  <c r="EC213" i="11"/>
  <c r="DT213" i="11"/>
  <c r="DU213" i="11"/>
  <c r="DP213" i="11"/>
  <c r="DQ213" i="11"/>
  <c r="DW209" i="11"/>
  <c r="EA209" i="11"/>
  <c r="DZ209" i="11"/>
  <c r="DX209" i="11"/>
  <c r="EB209" i="11"/>
  <c r="EJ209" i="11"/>
  <c r="DY209" i="11"/>
  <c r="DY211" i="11"/>
  <c r="DX211" i="11"/>
  <c r="DZ211" i="11"/>
  <c r="EJ211" i="11"/>
  <c r="EA211" i="11"/>
  <c r="EB211" i="11"/>
  <c r="DW211" i="11"/>
  <c r="DZ212" i="11"/>
  <c r="DX212" i="11"/>
  <c r="DY212" i="11"/>
  <c r="EJ212" i="11"/>
  <c r="EA212" i="11"/>
  <c r="EB212" i="11"/>
  <c r="DW212" i="11"/>
  <c r="DX210" i="11"/>
  <c r="EB210" i="11"/>
  <c r="EJ210" i="11"/>
  <c r="DZ210" i="11"/>
  <c r="EA210" i="11"/>
  <c r="DW210" i="11"/>
  <c r="DY210" i="11"/>
  <c r="DZ215" i="11"/>
  <c r="DW215" i="11"/>
  <c r="EA215" i="11"/>
  <c r="DY215" i="11"/>
  <c r="EB215" i="11"/>
  <c r="EJ215" i="11"/>
  <c r="DX215" i="11"/>
  <c r="EM200" i="11"/>
  <c r="EK200" i="11"/>
  <c r="EL200" i="11"/>
  <c r="EN200" i="11"/>
  <c r="EO200" i="11"/>
  <c r="EP200" i="11"/>
  <c r="EF201" i="11"/>
  <c r="ED201" i="11"/>
  <c r="EE201" i="11"/>
  <c r="EQ201" i="11"/>
  <c r="EG201" i="11"/>
  <c r="EH201" i="11"/>
  <c r="EI201" i="11"/>
  <c r="EG198" i="11"/>
  <c r="EE198" i="11"/>
  <c r="EI198" i="11"/>
  <c r="EQ198" i="11"/>
  <c r="ED198" i="11"/>
  <c r="EH198" i="11"/>
  <c r="EF198" i="11"/>
  <c r="EG202" i="11"/>
  <c r="EI202" i="11"/>
  <c r="EQ202" i="11"/>
  <c r="ED202" i="11"/>
  <c r="EH202" i="11"/>
  <c r="EE202" i="11"/>
  <c r="EF202" i="11"/>
  <c r="DH468" i="11"/>
  <c r="DG188" i="11"/>
  <c r="DH482" i="11"/>
  <c r="DO174" i="11"/>
  <c r="DL174" i="11" s="1"/>
  <c r="DH469" i="11"/>
  <c r="DH236" i="11"/>
  <c r="DB174" i="11"/>
  <c r="DB223" i="11" s="1"/>
  <c r="DB247" i="11" s="1"/>
  <c r="DD188" i="11"/>
  <c r="DD236" i="11" s="1"/>
  <c r="DC174" i="11"/>
  <c r="DH223" i="11"/>
  <c r="DE173" i="11"/>
  <c r="DB188" i="11"/>
  <c r="DB236" i="11" s="1"/>
  <c r="DB265" i="11" s="1"/>
  <c r="DG173" i="11"/>
  <c r="DD183" i="11"/>
  <c r="DD232" i="11" s="1"/>
  <c r="DB182" i="11"/>
  <c r="DB231" i="11" s="1"/>
  <c r="DB258" i="11" s="1"/>
  <c r="DD182" i="11"/>
  <c r="DD231" i="11" s="1"/>
  <c r="DO182" i="11"/>
  <c r="DN182" i="11" s="1"/>
  <c r="DE182" i="11"/>
  <c r="DE183" i="11"/>
  <c r="DH232" i="11"/>
  <c r="DH477" i="11"/>
  <c r="DC182" i="11"/>
  <c r="DH231" i="11"/>
  <c r="DO175" i="11"/>
  <c r="DM175" i="11" s="1"/>
  <c r="DM224" i="11" s="1"/>
  <c r="DO180" i="11"/>
  <c r="DK180" i="11" s="1"/>
  <c r="DK229" i="11" s="1"/>
  <c r="DH475" i="11"/>
  <c r="DD175" i="11"/>
  <c r="DD224" i="11" s="1"/>
  <c r="DD248" i="11" s="1"/>
  <c r="DC175" i="11"/>
  <c r="DE175" i="11"/>
  <c r="DG175" i="11"/>
  <c r="DH470" i="11"/>
  <c r="DB175" i="11"/>
  <c r="DB224" i="11" s="1"/>
  <c r="DB248" i="11" s="1"/>
  <c r="DB183" i="11"/>
  <c r="DB232" i="11" s="1"/>
  <c r="DB259" i="11" s="1"/>
  <c r="DD173" i="11"/>
  <c r="DD222" i="11" s="1"/>
  <c r="DD246" i="11" s="1"/>
  <c r="DH222" i="11"/>
  <c r="DG183" i="11"/>
  <c r="DG180" i="11"/>
  <c r="DD180" i="11"/>
  <c r="DD229" i="11" s="1"/>
  <c r="DB180" i="11"/>
  <c r="DB229" i="11" s="1"/>
  <c r="DB255" i="11" s="1"/>
  <c r="DE180" i="11"/>
  <c r="DB173" i="11"/>
  <c r="DB222" i="11" s="1"/>
  <c r="DB246" i="11" s="1"/>
  <c r="DC180" i="11"/>
  <c r="CU250" i="11"/>
  <c r="CU423" i="11"/>
  <c r="CW423" i="11"/>
  <c r="CW250" i="11"/>
  <c r="EH104" i="11"/>
  <c r="EN207" i="4" s="1"/>
  <c r="DO516" i="11"/>
  <c r="DH219" i="11"/>
  <c r="DO170" i="11"/>
  <c r="DE170" i="11"/>
  <c r="DG170" i="11"/>
  <c r="DC170" i="11"/>
  <c r="DD170" i="11"/>
  <c r="DD219" i="11" s="1"/>
  <c r="DB170" i="11"/>
  <c r="DB219" i="11" s="1"/>
  <c r="DB242" i="11" s="1"/>
  <c r="DT137" i="11"/>
  <c r="DP137" i="11" s="1"/>
  <c r="DQ137" i="11" s="1"/>
  <c r="EC104" i="11"/>
  <c r="DV138" i="11"/>
  <c r="DO171" i="11"/>
  <c r="DH220" i="11"/>
  <c r="DG171" i="11"/>
  <c r="DC171" i="11"/>
  <c r="DE171" i="11"/>
  <c r="DD171" i="11"/>
  <c r="DD220" i="11" s="1"/>
  <c r="DD243" i="11" s="1"/>
  <c r="DB171" i="11"/>
  <c r="DB220" i="11" s="1"/>
  <c r="DB243" i="11" s="1"/>
  <c r="DC126" i="11"/>
  <c r="EP93" i="11"/>
  <c r="EI104" i="11"/>
  <c r="DQ116" i="11"/>
  <c r="EJ93" i="11"/>
  <c r="EO104" i="11"/>
  <c r="EU207" i="4" s="1"/>
  <c r="EM104" i="11"/>
  <c r="ES207" i="4" s="1"/>
  <c r="DX116" i="11"/>
  <c r="DV116" i="11"/>
  <c r="CF429" i="11"/>
  <c r="N16" i="11"/>
  <c r="U16" i="11"/>
  <c r="AB16" i="11"/>
  <c r="AI16" i="11"/>
  <c r="AP16" i="11"/>
  <c r="AW16" i="11"/>
  <c r="BD16" i="11"/>
  <c r="BK16" i="11"/>
  <c r="BR16" i="11"/>
  <c r="BY16" i="11"/>
  <c r="CF16" i="11"/>
  <c r="CM15" i="11"/>
  <c r="DM248" i="11" l="1"/>
  <c r="DO251" i="11"/>
  <c r="DV190" i="11"/>
  <c r="DM190" i="11"/>
  <c r="DM238" i="11" s="1"/>
  <c r="DK190" i="11"/>
  <c r="DK238" i="11" s="1"/>
  <c r="DI190" i="11"/>
  <c r="DI238" i="11" s="1"/>
  <c r="DN190" i="11"/>
  <c r="DO238" i="11"/>
  <c r="DL190" i="11"/>
  <c r="DJ176" i="11"/>
  <c r="DK176" i="11"/>
  <c r="DK225" i="11" s="1"/>
  <c r="DK249" i="11" s="1"/>
  <c r="DO471" i="11"/>
  <c r="DM176" i="11"/>
  <c r="DM225" i="11" s="1"/>
  <c r="DO225" i="11"/>
  <c r="DI176" i="11"/>
  <c r="DI225" i="11" s="1"/>
  <c r="DI249" i="11" s="1"/>
  <c r="DL176" i="11"/>
  <c r="DN176" i="11"/>
  <c r="DG224" i="11"/>
  <c r="DE224" i="11" s="1"/>
  <c r="DE248" i="11" s="1"/>
  <c r="DH248" i="11"/>
  <c r="DB257" i="11"/>
  <c r="DA246" i="243"/>
  <c r="DE246" i="243"/>
  <c r="DF258" i="11"/>
  <c r="DC231" i="11"/>
  <c r="DC258" i="11" s="1"/>
  <c r="DF336" i="11"/>
  <c r="DF248" i="11"/>
  <c r="DC224" i="11"/>
  <c r="DC248" i="11" s="1"/>
  <c r="DC237" i="11"/>
  <c r="DC266" i="11" s="1"/>
  <c r="DF266" i="11"/>
  <c r="DF247" i="11"/>
  <c r="DC223" i="11"/>
  <c r="DC247" i="11" s="1"/>
  <c r="DF334" i="11"/>
  <c r="DC228" i="11"/>
  <c r="DF253" i="11"/>
  <c r="DF267" i="11"/>
  <c r="DC238" i="11"/>
  <c r="DC267" i="11" s="1"/>
  <c r="DF244" i="11"/>
  <c r="DC220" i="11"/>
  <c r="DC243" i="11" s="1"/>
  <c r="DF252" i="11"/>
  <c r="DC227" i="11"/>
  <c r="DF333" i="11"/>
  <c r="DC232" i="11"/>
  <c r="DC259" i="11" s="1"/>
  <c r="DF259" i="11"/>
  <c r="DC236" i="11"/>
  <c r="DC265" i="11" s="1"/>
  <c r="DF337" i="11"/>
  <c r="DF265" i="11"/>
  <c r="DC222" i="11"/>
  <c r="DC246" i="11" s="1"/>
  <c r="DF246" i="11"/>
  <c r="DF335" i="11"/>
  <c r="DC229" i="11"/>
  <c r="DC255" i="11" s="1"/>
  <c r="DF255" i="11"/>
  <c r="DC230" i="11"/>
  <c r="DF256" i="11"/>
  <c r="DF249" i="11"/>
  <c r="DC225" i="11"/>
  <c r="DC249" i="11" s="1"/>
  <c r="DC226" i="11"/>
  <c r="DC251" i="11" s="1"/>
  <c r="DF251" i="11"/>
  <c r="DC219" i="11"/>
  <c r="DC242" i="11" s="1"/>
  <c r="DB250" i="11"/>
  <c r="DB260" i="11"/>
  <c r="DB244" i="11"/>
  <c r="DG236" i="11"/>
  <c r="DB268" i="11"/>
  <c r="DB254" i="11"/>
  <c r="DH259" i="11"/>
  <c r="DG232" i="11"/>
  <c r="DH251" i="11"/>
  <c r="DG226" i="11"/>
  <c r="DG229" i="11"/>
  <c r="DG219" i="11"/>
  <c r="DH246" i="11"/>
  <c r="DG222" i="11"/>
  <c r="DE222" i="11" s="1"/>
  <c r="DE246" i="11" s="1"/>
  <c r="DH258" i="11"/>
  <c r="DG231" i="11"/>
  <c r="DH335" i="11"/>
  <c r="DG230" i="11"/>
  <c r="DH333" i="11"/>
  <c r="DG227" i="11"/>
  <c r="DG220" i="11"/>
  <c r="DH249" i="11"/>
  <c r="DG225" i="11"/>
  <c r="DE225" i="11" s="1"/>
  <c r="DE249" i="11" s="1"/>
  <c r="DG228" i="11"/>
  <c r="DH247" i="11"/>
  <c r="DG223" i="11"/>
  <c r="DG238" i="11"/>
  <c r="DG237" i="11"/>
  <c r="DB334" i="11"/>
  <c r="CZ246" i="243"/>
  <c r="DA254" i="11"/>
  <c r="DA270" i="11" s="1"/>
  <c r="CY243" i="243"/>
  <c r="CY246" i="243" s="1"/>
  <c r="CW242" i="243"/>
  <c r="CW243" i="243" s="1"/>
  <c r="CW246" i="243" s="1"/>
  <c r="DA339" i="11"/>
  <c r="CX224" i="11"/>
  <c r="CX248" i="11" s="1"/>
  <c r="CZ248" i="11"/>
  <c r="CX222" i="11"/>
  <c r="CX246" i="11" s="1"/>
  <c r="CZ246" i="11"/>
  <c r="CX223" i="11"/>
  <c r="CX247" i="11" s="1"/>
  <c r="CZ247" i="11"/>
  <c r="DA338" i="11"/>
  <c r="CX225" i="11"/>
  <c r="CX249" i="11" s="1"/>
  <c r="CZ249" i="11"/>
  <c r="CX226" i="11"/>
  <c r="CX251" i="11" s="1"/>
  <c r="CZ251" i="11"/>
  <c r="CX238" i="11"/>
  <c r="CX237" i="11"/>
  <c r="CX230" i="11"/>
  <c r="CZ209" i="11"/>
  <c r="CX228" i="11"/>
  <c r="CZ253" i="11"/>
  <c r="DT126" i="11"/>
  <c r="DP126" i="11" s="1"/>
  <c r="DQ126" i="11" s="1"/>
  <c r="DU102" i="11"/>
  <c r="DS102" i="11" s="1"/>
  <c r="DU199" i="4"/>
  <c r="DN102" i="11"/>
  <c r="DL102" i="11" s="1"/>
  <c r="EC138" i="11"/>
  <c r="EB199" i="4"/>
  <c r="EI199" i="4"/>
  <c r="DN179" i="11"/>
  <c r="CY90" i="11"/>
  <c r="CX236" i="11"/>
  <c r="CX265" i="11" s="1"/>
  <c r="CB38" i="178"/>
  <c r="CX229" i="11"/>
  <c r="CX255" i="11" s="1"/>
  <c r="DJ178" i="11"/>
  <c r="DN178" i="11"/>
  <c r="DK178" i="11"/>
  <c r="DK227" i="11" s="1"/>
  <c r="DK252" i="11" s="1"/>
  <c r="DM178" i="11"/>
  <c r="DM227" i="11" s="1"/>
  <c r="DV178" i="11"/>
  <c r="DQ178" i="11" s="1"/>
  <c r="DQ227" i="11" s="1"/>
  <c r="DI178" i="11"/>
  <c r="DI227" i="11" s="1"/>
  <c r="DI252" i="11" s="1"/>
  <c r="DL189" i="11"/>
  <c r="DL178" i="11"/>
  <c r="DM181" i="11"/>
  <c r="DM230" i="11" s="1"/>
  <c r="DJ230" i="11" s="1"/>
  <c r="DD333" i="11"/>
  <c r="DV179" i="11"/>
  <c r="DR179" i="11" s="1"/>
  <c r="DR228" i="11" s="1"/>
  <c r="DO228" i="11"/>
  <c r="DO334" i="11" s="1"/>
  <c r="CY97" i="11"/>
  <c r="CY98" i="11" s="1"/>
  <c r="DV177" i="11"/>
  <c r="DQ177" i="11" s="1"/>
  <c r="DQ226" i="11" s="1"/>
  <c r="DQ251" i="11" s="1"/>
  <c r="DL177" i="11"/>
  <c r="CV244" i="11"/>
  <c r="DH337" i="11"/>
  <c r="DK191" i="11"/>
  <c r="DL191" i="11"/>
  <c r="DB333" i="11"/>
  <c r="DJ191" i="11"/>
  <c r="DV191" i="11"/>
  <c r="DQ191" i="11" s="1"/>
  <c r="DI191" i="11"/>
  <c r="DO485" i="11"/>
  <c r="DN191" i="11"/>
  <c r="EA137" i="11"/>
  <c r="EB137" i="11" s="1"/>
  <c r="DY137" i="11" s="1"/>
  <c r="DZ137" i="11" s="1"/>
  <c r="DO472" i="11"/>
  <c r="DK177" i="11"/>
  <c r="DK226" i="11" s="1"/>
  <c r="DK251" i="11" s="1"/>
  <c r="DI177" i="11"/>
  <c r="DI226" i="11" s="1"/>
  <c r="DI251" i="11" s="1"/>
  <c r="DN177" i="11"/>
  <c r="DM177" i="11"/>
  <c r="DM226" i="11" s="1"/>
  <c r="DJ177" i="11"/>
  <c r="DK181" i="11"/>
  <c r="DK230" i="11" s="1"/>
  <c r="DK335" i="11" s="1"/>
  <c r="DJ189" i="11"/>
  <c r="DI189" i="11"/>
  <c r="DI237" i="11" s="1"/>
  <c r="DL179" i="11"/>
  <c r="DV189" i="11"/>
  <c r="DU189" i="11" s="1"/>
  <c r="DU237" i="11" s="1"/>
  <c r="DV103" i="11"/>
  <c r="DJ181" i="11"/>
  <c r="DN189" i="11"/>
  <c r="DM189" i="11"/>
  <c r="DM237" i="11" s="1"/>
  <c r="DJ179" i="11"/>
  <c r="DI179" i="11"/>
  <c r="DI228" i="11" s="1"/>
  <c r="DI253" i="11" s="1"/>
  <c r="DV181" i="11"/>
  <c r="DU181" i="11" s="1"/>
  <c r="DU230" i="11" s="1"/>
  <c r="DO230" i="11"/>
  <c r="DK189" i="11"/>
  <c r="DK237" i="11" s="1"/>
  <c r="DK179" i="11"/>
  <c r="DK228" i="11" s="1"/>
  <c r="DK253" i="11" s="1"/>
  <c r="ED199" i="4"/>
  <c r="EO207" i="4"/>
  <c r="EC102" i="11"/>
  <c r="EI207" i="4"/>
  <c r="EQ199" i="4"/>
  <c r="EG202" i="4"/>
  <c r="EN202" i="4"/>
  <c r="EG198" i="4"/>
  <c r="EG200" i="4" s="1"/>
  <c r="EE202" i="4"/>
  <c r="CO85" i="11"/>
  <c r="CR85" i="11" s="1"/>
  <c r="CU207" i="4"/>
  <c r="EU204" i="4"/>
  <c r="EV204" i="4"/>
  <c r="EH115" i="11"/>
  <c r="EE115" i="11" s="1"/>
  <c r="EN199" i="4"/>
  <c r="DW199" i="4"/>
  <c r="EJ519" i="11"/>
  <c r="EP204" i="4"/>
  <c r="CP242" i="243"/>
  <c r="CP243" i="243" s="1"/>
  <c r="CP246" i="243" s="1"/>
  <c r="CR243" i="243"/>
  <c r="CR246" i="243" s="1"/>
  <c r="DQ235" i="243"/>
  <c r="DO235" i="243"/>
  <c r="DO234" i="243" s="1"/>
  <c r="DO29" i="2" s="1"/>
  <c r="EB235" i="243"/>
  <c r="DS235" i="243"/>
  <c r="DJ234" i="243"/>
  <c r="DJ29" i="2" s="1"/>
  <c r="CX246" i="243"/>
  <c r="CT246" i="243"/>
  <c r="CS246" i="243"/>
  <c r="DN29" i="2"/>
  <c r="EK212" i="243"/>
  <c r="EK273" i="243"/>
  <c r="EK206" i="243"/>
  <c r="DR210" i="243"/>
  <c r="DR211" i="243" s="1"/>
  <c r="DR213" i="243" s="1"/>
  <c r="DT211" i="243"/>
  <c r="DT213" i="243" s="1"/>
  <c r="EM273" i="243"/>
  <c r="EM212" i="243"/>
  <c r="EA210" i="243"/>
  <c r="DV210" i="243"/>
  <c r="DV211" i="243" s="1"/>
  <c r="DV213" i="243" s="1"/>
  <c r="DZ210" i="243"/>
  <c r="DX210" i="243"/>
  <c r="DX211" i="243" s="1"/>
  <c r="DX213" i="243" s="1"/>
  <c r="EK12" i="242"/>
  <c r="EM206" i="243"/>
  <c r="DP210" i="243"/>
  <c r="DP211" i="243" s="1"/>
  <c r="DP213" i="243" s="1"/>
  <c r="DS211" i="243"/>
  <c r="DS213" i="243" s="1"/>
  <c r="DD334" i="11"/>
  <c r="CV260" i="11"/>
  <c r="CY270" i="11"/>
  <c r="DL181" i="11"/>
  <c r="CV257" i="11"/>
  <c r="CV250" i="11"/>
  <c r="DN181" i="11"/>
  <c r="CV268" i="11"/>
  <c r="CV252" i="11"/>
  <c r="CV254" i="11" s="1"/>
  <c r="CX231" i="11"/>
  <c r="CX258" i="11" s="1"/>
  <c r="CZ213" i="11"/>
  <c r="DH483" i="11"/>
  <c r="DH266" i="11"/>
  <c r="CY423" i="11"/>
  <c r="EJ119" i="11"/>
  <c r="EJ517" i="11" s="1"/>
  <c r="CZ207" i="11"/>
  <c r="CZ196" i="11"/>
  <c r="CZ208" i="11"/>
  <c r="CZ206" i="11"/>
  <c r="CV423" i="11"/>
  <c r="CX232" i="11"/>
  <c r="CZ215" i="11"/>
  <c r="CZ214" i="11"/>
  <c r="DA423" i="11"/>
  <c r="CZ197" i="11"/>
  <c r="CZ205" i="11"/>
  <c r="CZ203" i="11"/>
  <c r="CZ204" i="11"/>
  <c r="CX227" i="11"/>
  <c r="CO254" i="11"/>
  <c r="EJ137" i="11"/>
  <c r="L92" i="243"/>
  <c r="EG207" i="11"/>
  <c r="EM102" i="11"/>
  <c r="EM103" i="11" s="1"/>
  <c r="EO102" i="11"/>
  <c r="EH102" i="11"/>
  <c r="EE102" i="11" s="1"/>
  <c r="DN87" i="11"/>
  <c r="DN90" i="11" s="1"/>
  <c r="CS423" i="11"/>
  <c r="EJ88" i="11"/>
  <c r="EJ96" i="11" s="1"/>
  <c r="EH207" i="11"/>
  <c r="CQ250" i="11"/>
  <c r="EI207" i="11"/>
  <c r="EE207" i="11"/>
  <c r="EQ207" i="11"/>
  <c r="EK207" i="11" s="1"/>
  <c r="EE116" i="11"/>
  <c r="ED207" i="11"/>
  <c r="CR270" i="11"/>
  <c r="CQ423" i="11"/>
  <c r="DK90" i="11"/>
  <c r="DK95" i="11"/>
  <c r="DL201" i="4"/>
  <c r="DG202" i="4"/>
  <c r="DO201" i="4"/>
  <c r="CO424" i="11"/>
  <c r="EI214" i="11"/>
  <c r="EQ208" i="11"/>
  <c r="EL208" i="11" s="1"/>
  <c r="EF214" i="11"/>
  <c r="EE214" i="11"/>
  <c r="DO236" i="11"/>
  <c r="DL173" i="11"/>
  <c r="DM188" i="11"/>
  <c r="DM236" i="11" s="1"/>
  <c r="DN173" i="11"/>
  <c r="EQ214" i="11"/>
  <c r="EO214" i="11" s="1"/>
  <c r="ED214" i="11"/>
  <c r="EG214" i="11"/>
  <c r="EE208" i="11"/>
  <c r="EF208" i="11"/>
  <c r="EG208" i="11"/>
  <c r="EH208" i="11"/>
  <c r="EI208" i="11"/>
  <c r="DM173" i="11"/>
  <c r="DM222" i="11" s="1"/>
  <c r="DO222" i="11"/>
  <c r="DO468" i="11"/>
  <c r="DJ173" i="11"/>
  <c r="DV173" i="11"/>
  <c r="DV222" i="11" s="1"/>
  <c r="DV246" i="11" s="1"/>
  <c r="DI173" i="11"/>
  <c r="DI222" i="11" s="1"/>
  <c r="DI246" i="11" s="1"/>
  <c r="DN183" i="11"/>
  <c r="CO103" i="11"/>
  <c r="CO243" i="11" s="1"/>
  <c r="DL183" i="11"/>
  <c r="DI95" i="11"/>
  <c r="DM95" i="11" s="1"/>
  <c r="DM98" i="11" s="1"/>
  <c r="DV183" i="11"/>
  <c r="DU183" i="11" s="1"/>
  <c r="DU232" i="11" s="1"/>
  <c r="DO232" i="11"/>
  <c r="EB127" i="11"/>
  <c r="DJ188" i="11"/>
  <c r="M85" i="243"/>
  <c r="M83" i="243" s="1"/>
  <c r="J72" i="139"/>
  <c r="EU28" i="4"/>
  <c r="DU15" i="220"/>
  <c r="DU10" i="220"/>
  <c r="DO478" i="11"/>
  <c r="DV188" i="11"/>
  <c r="DP188" i="11" s="1"/>
  <c r="DP236" i="11" s="1"/>
  <c r="DO469" i="11"/>
  <c r="DX115" i="11"/>
  <c r="DJ183" i="11"/>
  <c r="DI183" i="11"/>
  <c r="DI232" i="11" s="1"/>
  <c r="DJ232" i="11" s="1"/>
  <c r="DL188" i="11"/>
  <c r="DN188" i="11"/>
  <c r="DD423" i="11"/>
  <c r="EO88" i="11"/>
  <c r="EU18" i="4"/>
  <c r="EG45" i="4"/>
  <c r="DD254" i="11"/>
  <c r="CW244" i="11"/>
  <c r="EB21" i="178"/>
  <c r="DQ21" i="178"/>
  <c r="DO21" i="178"/>
  <c r="DS21" i="178"/>
  <c r="DO482" i="11"/>
  <c r="DK183" i="11"/>
  <c r="DK232" i="11" s="1"/>
  <c r="DN174" i="11"/>
  <c r="DI188" i="11"/>
  <c r="DI236" i="11" s="1"/>
  <c r="CN430" i="11"/>
  <c r="DN16" i="220"/>
  <c r="EN53" i="4"/>
  <c r="EL199" i="11"/>
  <c r="EN199" i="11"/>
  <c r="EP199" i="11"/>
  <c r="EK199" i="11"/>
  <c r="EM199" i="11"/>
  <c r="EO199" i="11"/>
  <c r="EQ139" i="11"/>
  <c r="EC115" i="11"/>
  <c r="EK115" i="11"/>
  <c r="EQ198" i="4" s="1"/>
  <c r="EI127" i="11"/>
  <c r="EO202" i="4" s="1"/>
  <c r="DO474" i="11"/>
  <c r="DU116" i="11"/>
  <c r="EA199" i="4" s="1"/>
  <c r="DQ115" i="11"/>
  <c r="EI210" i="243"/>
  <c r="EB211" i="243"/>
  <c r="EB213" i="243" s="1"/>
  <c r="T188" i="243"/>
  <c r="M182" i="243"/>
  <c r="DU234" i="243"/>
  <c r="CW421" i="11"/>
  <c r="DD424" i="11"/>
  <c r="EK127" i="11"/>
  <c r="EI96" i="11"/>
  <c r="CW424" i="11"/>
  <c r="EM96" i="11"/>
  <c r="EP96" i="11" s="1"/>
  <c r="EP88" i="11"/>
  <c r="EQ196" i="11"/>
  <c r="EG196" i="11"/>
  <c r="EH196" i="11"/>
  <c r="EF196" i="11"/>
  <c r="EI196" i="11"/>
  <c r="EE196" i="11"/>
  <c r="ED196" i="11"/>
  <c r="DK255" i="11"/>
  <c r="DD258" i="11"/>
  <c r="DD336" i="11"/>
  <c r="EI206" i="11"/>
  <c r="EJ501" i="11"/>
  <c r="EJ261" i="11" s="1"/>
  <c r="EH206" i="11"/>
  <c r="EF206" i="11"/>
  <c r="EQ206" i="11"/>
  <c r="EG206" i="11"/>
  <c r="EJ503" i="11"/>
  <c r="EJ263" i="11" s="1"/>
  <c r="ED206" i="11"/>
  <c r="EJ502" i="11"/>
  <c r="EJ262" i="11" s="1"/>
  <c r="EJ504" i="11"/>
  <c r="EE206" i="11"/>
  <c r="EE197" i="11"/>
  <c r="EQ197" i="11"/>
  <c r="EG197" i="11"/>
  <c r="ED197" i="11"/>
  <c r="EI197" i="11"/>
  <c r="EF197" i="11"/>
  <c r="EH197" i="11"/>
  <c r="DB332" i="11"/>
  <c r="DD242" i="11"/>
  <c r="DD332" i="11"/>
  <c r="DM253" i="11"/>
  <c r="DM334" i="11"/>
  <c r="CW254" i="11"/>
  <c r="DD255" i="11"/>
  <c r="DD335" i="11"/>
  <c r="DB336" i="11"/>
  <c r="DB337" i="11"/>
  <c r="DD265" i="11"/>
  <c r="DD337" i="11"/>
  <c r="EO96" i="11"/>
  <c r="EM127" i="11"/>
  <c r="ES202" i="4" s="1"/>
  <c r="EO119" i="11"/>
  <c r="EQ117" i="11"/>
  <c r="EQ116" i="11" s="1"/>
  <c r="EO116" i="11"/>
  <c r="DB335" i="11"/>
  <c r="DK265" i="11"/>
  <c r="EC264" i="11"/>
  <c r="ED215" i="11"/>
  <c r="EH215" i="11"/>
  <c r="EE215" i="11"/>
  <c r="EI215" i="11"/>
  <c r="EQ215" i="11"/>
  <c r="EG215" i="11"/>
  <c r="EF215" i="11"/>
  <c r="ED212" i="11"/>
  <c r="EH212" i="11"/>
  <c r="EI212" i="11"/>
  <c r="EE212" i="11"/>
  <c r="EF212" i="11"/>
  <c r="EQ212" i="11"/>
  <c r="EG212" i="11"/>
  <c r="DW213" i="11"/>
  <c r="EA213" i="11"/>
  <c r="DX213" i="11"/>
  <c r="DY213" i="11"/>
  <c r="EJ213" i="11"/>
  <c r="DZ213" i="11"/>
  <c r="EB213" i="11"/>
  <c r="EF210" i="11"/>
  <c r="EE210" i="11"/>
  <c r="EH210" i="11"/>
  <c r="EG210" i="11"/>
  <c r="EQ210" i="11"/>
  <c r="ED210" i="11"/>
  <c r="EI210" i="11"/>
  <c r="EG211" i="11"/>
  <c r="ED211" i="11"/>
  <c r="EI211" i="11"/>
  <c r="EE211" i="11"/>
  <c r="EF211" i="11"/>
  <c r="EQ211" i="11"/>
  <c r="EH211" i="11"/>
  <c r="EE209" i="11"/>
  <c r="EI209" i="11"/>
  <c r="EQ209" i="11"/>
  <c r="EF209" i="11"/>
  <c r="EH209" i="11"/>
  <c r="EG209" i="11"/>
  <c r="ED209" i="11"/>
  <c r="EK202" i="11"/>
  <c r="EO202" i="11"/>
  <c r="EL202" i="11"/>
  <c r="EP202" i="11"/>
  <c r="EM202" i="11"/>
  <c r="EN202" i="11"/>
  <c r="EN201" i="11"/>
  <c r="EL201" i="11"/>
  <c r="EK201" i="11"/>
  <c r="EO201" i="11"/>
  <c r="EP201" i="11"/>
  <c r="EM201" i="11"/>
  <c r="EK198" i="11"/>
  <c r="EO198" i="11"/>
  <c r="EM198" i="11"/>
  <c r="EL198" i="11"/>
  <c r="EP198" i="11"/>
  <c r="EN198" i="11"/>
  <c r="DI174" i="11"/>
  <c r="DI223" i="11" s="1"/>
  <c r="DI247" i="11" s="1"/>
  <c r="DJ174" i="11"/>
  <c r="DM174" i="11"/>
  <c r="DM223" i="11" s="1"/>
  <c r="DN175" i="11"/>
  <c r="DK174" i="11"/>
  <c r="DK223" i="11" s="1"/>
  <c r="DK247" i="11" s="1"/>
  <c r="DO223" i="11"/>
  <c r="DO224" i="11"/>
  <c r="DO470" i="11"/>
  <c r="DV174" i="11"/>
  <c r="DV223" i="11" s="1"/>
  <c r="DV247" i="11" s="1"/>
  <c r="DH265" i="11"/>
  <c r="DI182" i="11"/>
  <c r="DI231" i="11" s="1"/>
  <c r="DK182" i="11"/>
  <c r="DK231" i="11" s="1"/>
  <c r="DO477" i="11"/>
  <c r="DV175" i="11"/>
  <c r="DU175" i="11" s="1"/>
  <c r="DU224" i="11" s="1"/>
  <c r="DU248" i="11" s="1"/>
  <c r="DL182" i="11"/>
  <c r="DO231" i="11"/>
  <c r="DJ182" i="11"/>
  <c r="DV182" i="11"/>
  <c r="DT182" i="11" s="1"/>
  <c r="DT231" i="11" s="1"/>
  <c r="DM182" i="11"/>
  <c r="DM231" i="11" s="1"/>
  <c r="DL175" i="11"/>
  <c r="DJ175" i="11"/>
  <c r="DI175" i="11"/>
  <c r="DI224" i="11" s="1"/>
  <c r="DI248" i="11" s="1"/>
  <c r="DK175" i="11"/>
  <c r="DK224" i="11" s="1"/>
  <c r="DK248" i="11" s="1"/>
  <c r="DH336" i="11"/>
  <c r="DH332" i="11"/>
  <c r="DI180" i="11"/>
  <c r="DI229" i="11" s="1"/>
  <c r="DV180" i="11"/>
  <c r="DS180" i="11" s="1"/>
  <c r="DS229" i="11" s="1"/>
  <c r="DS255" i="11" s="1"/>
  <c r="DO229" i="11"/>
  <c r="DM180" i="11"/>
  <c r="DM229" i="11" s="1"/>
  <c r="DJ180" i="11"/>
  <c r="DO475" i="11"/>
  <c r="DN180" i="11"/>
  <c r="DL180" i="11"/>
  <c r="DD250" i="11"/>
  <c r="DB423" i="11"/>
  <c r="EA103" i="11"/>
  <c r="DX103" i="11" s="1"/>
  <c r="DU137" i="11"/>
  <c r="DR137" i="11" s="1"/>
  <c r="DS137" i="11" s="1"/>
  <c r="EC516" i="11"/>
  <c r="DH242" i="11"/>
  <c r="CR424" i="11"/>
  <c r="EJ104" i="11"/>
  <c r="DV171" i="11"/>
  <c r="DO220" i="11"/>
  <c r="DK171" i="11"/>
  <c r="DK220" i="11" s="1"/>
  <c r="DK243" i="11" s="1"/>
  <c r="DN171" i="11"/>
  <c r="DJ171" i="11"/>
  <c r="DM171" i="11"/>
  <c r="DM220" i="11" s="1"/>
  <c r="DI171" i="11"/>
  <c r="DI220" i="11" s="1"/>
  <c r="DI243" i="11" s="1"/>
  <c r="DL171" i="11"/>
  <c r="DV225" i="11"/>
  <c r="DV249" i="11" s="1"/>
  <c r="DT176" i="11"/>
  <c r="DT225" i="11" s="1"/>
  <c r="DT249" i="11" s="1"/>
  <c r="DP176" i="11"/>
  <c r="DP225" i="11" s="1"/>
  <c r="DP249" i="11" s="1"/>
  <c r="DS176" i="11"/>
  <c r="DS225" i="11" s="1"/>
  <c r="DS249" i="11" s="1"/>
  <c r="DR176" i="11"/>
  <c r="DR225" i="11" s="1"/>
  <c r="DR249" i="11" s="1"/>
  <c r="DQ176" i="11"/>
  <c r="DQ225" i="11" s="1"/>
  <c r="DQ249" i="11" s="1"/>
  <c r="DU176" i="11"/>
  <c r="DU225" i="11" s="1"/>
  <c r="DU249" i="11" s="1"/>
  <c r="DV238" i="11"/>
  <c r="DV267" i="11" s="1"/>
  <c r="DT190" i="11"/>
  <c r="DT238" i="11" s="1"/>
  <c r="DP190" i="11"/>
  <c r="DP238" i="11" s="1"/>
  <c r="DS190" i="11"/>
  <c r="DS238" i="11" s="1"/>
  <c r="DR190" i="11"/>
  <c r="DR238" i="11" s="1"/>
  <c r="DU190" i="11"/>
  <c r="DU238" i="11" s="1"/>
  <c r="DQ190" i="11"/>
  <c r="DQ238" i="11" s="1"/>
  <c r="DO219" i="11"/>
  <c r="DI170" i="11"/>
  <c r="DI219" i="11" s="1"/>
  <c r="DM170" i="11"/>
  <c r="DM219" i="11" s="1"/>
  <c r="DL170" i="11"/>
  <c r="DK170" i="11"/>
  <c r="DK219" i="11" s="1"/>
  <c r="DN170" i="11"/>
  <c r="DJ170" i="11"/>
  <c r="DV170" i="11"/>
  <c r="DT138" i="11"/>
  <c r="DP138" i="11" s="1"/>
  <c r="DQ138" i="11" s="1"/>
  <c r="DO103" i="11"/>
  <c r="EB116" i="11"/>
  <c r="EH199" i="4" s="1"/>
  <c r="DV115" i="11"/>
  <c r="EP104" i="11"/>
  <c r="DO517" i="11"/>
  <c r="EQ93" i="11"/>
  <c r="DN116" i="11"/>
  <c r="DT199" i="4" s="1"/>
  <c r="DO115" i="11"/>
  <c r="DV517" i="11"/>
  <c r="DV471" i="11"/>
  <c r="EC176" i="11"/>
  <c r="DV484" i="11"/>
  <c r="EC190" i="11"/>
  <c r="CM16" i="11"/>
  <c r="DJ229" i="11" l="1"/>
  <c r="DJ219" i="11"/>
  <c r="DN237" i="11"/>
  <c r="DM266" i="11"/>
  <c r="DJ231" i="11"/>
  <c r="DN230" i="11"/>
  <c r="DN238" i="11"/>
  <c r="DO242" i="11"/>
  <c r="DN219" i="11"/>
  <c r="DO258" i="11"/>
  <c r="DN231" i="11"/>
  <c r="DM251" i="11"/>
  <c r="DJ226" i="11"/>
  <c r="DJ251" i="11" s="1"/>
  <c r="DO259" i="11"/>
  <c r="DN232" i="11"/>
  <c r="DO265" i="11"/>
  <c r="DN236" i="11"/>
  <c r="DN228" i="11"/>
  <c r="DM243" i="11"/>
  <c r="DJ220" i="11"/>
  <c r="DO248" i="11"/>
  <c r="DN224" i="11"/>
  <c r="DL224" i="11" s="1"/>
  <c r="DL248" i="11" s="1"/>
  <c r="DO247" i="11"/>
  <c r="DN223" i="11"/>
  <c r="DL223" i="11" s="1"/>
  <c r="DL247" i="11" s="1"/>
  <c r="DN229" i="11"/>
  <c r="DO246" i="11"/>
  <c r="DN222" i="11"/>
  <c r="DL222" i="11" s="1"/>
  <c r="DL246" i="11" s="1"/>
  <c r="DN226" i="11"/>
  <c r="DM246" i="11"/>
  <c r="DJ222" i="11"/>
  <c r="DJ246" i="11" s="1"/>
  <c r="DO249" i="11"/>
  <c r="DN225" i="11"/>
  <c r="DN249" i="11" s="1"/>
  <c r="DM247" i="11"/>
  <c r="DJ223" i="11"/>
  <c r="DJ247" i="11" s="1"/>
  <c r="DJ237" i="11"/>
  <c r="DM249" i="11"/>
  <c r="DJ225" i="11"/>
  <c r="DJ249" i="11" s="1"/>
  <c r="DJ224" i="11"/>
  <c r="DJ248" i="11" s="1"/>
  <c r="DN220" i="11"/>
  <c r="DM265" i="11"/>
  <c r="DJ236" i="11"/>
  <c r="DJ238" i="11"/>
  <c r="DJ228" i="11"/>
  <c r="DM333" i="11"/>
  <c r="DJ227" i="11"/>
  <c r="DN227" i="11"/>
  <c r="DG248" i="11"/>
  <c r="DF268" i="11"/>
  <c r="DC244" i="11"/>
  <c r="DC197" i="11"/>
  <c r="DT178" i="11"/>
  <c r="DT227" i="11" s="1"/>
  <c r="DT252" i="11" s="1"/>
  <c r="DC196" i="11"/>
  <c r="DF250" i="11"/>
  <c r="DC260" i="11"/>
  <c r="EC178" i="11"/>
  <c r="DX178" i="11" s="1"/>
  <c r="DX227" i="11" s="1"/>
  <c r="DX252" i="11" s="1"/>
  <c r="DC268" i="11"/>
  <c r="DI259" i="11"/>
  <c r="DF257" i="11"/>
  <c r="DC250" i="11"/>
  <c r="DF254" i="11"/>
  <c r="DF260" i="11"/>
  <c r="DV227" i="11"/>
  <c r="DV333" i="11" s="1"/>
  <c r="DH260" i="11"/>
  <c r="DS178" i="11"/>
  <c r="DS227" i="11" s="1"/>
  <c r="DP178" i="11"/>
  <c r="DP227" i="11" s="1"/>
  <c r="DP252" i="11" s="1"/>
  <c r="DF423" i="11"/>
  <c r="DH423" i="11"/>
  <c r="DH250" i="11"/>
  <c r="DB270" i="11"/>
  <c r="DC423" i="11"/>
  <c r="DN126" i="11"/>
  <c r="DK259" i="11" s="1"/>
  <c r="DG249" i="11"/>
  <c r="DG246" i="11"/>
  <c r="DE223" i="11"/>
  <c r="DE247" i="11" s="1"/>
  <c r="DE423" i="11" s="1"/>
  <c r="DG247" i="11"/>
  <c r="DS177" i="11"/>
  <c r="DS226" i="11" s="1"/>
  <c r="DS251" i="11" s="1"/>
  <c r="EC177" i="11"/>
  <c r="DW177" i="11" s="1"/>
  <c r="DW226" i="11" s="1"/>
  <c r="DW251" i="11" s="1"/>
  <c r="DP177" i="11"/>
  <c r="DP226" i="11" s="1"/>
  <c r="DP251" i="11" s="1"/>
  <c r="DU177" i="11"/>
  <c r="DU226" i="11" s="1"/>
  <c r="DU251" i="11" s="1"/>
  <c r="DR177" i="11"/>
  <c r="DR226" i="11" s="1"/>
  <c r="DR251" i="11" s="1"/>
  <c r="DU178" i="11"/>
  <c r="DU227" i="11" s="1"/>
  <c r="DR178" i="11"/>
  <c r="DR227" i="11" s="1"/>
  <c r="DR252" i="11" s="1"/>
  <c r="DR181" i="11"/>
  <c r="DR230" i="11" s="1"/>
  <c r="DD266" i="11"/>
  <c r="DT181" i="11"/>
  <c r="DT230" i="11" s="1"/>
  <c r="CX250" i="11"/>
  <c r="CX214" i="11"/>
  <c r="CX207" i="11"/>
  <c r="CX215" i="11"/>
  <c r="CX209" i="11"/>
  <c r="CX203" i="11"/>
  <c r="CX205" i="11"/>
  <c r="CX253" i="11"/>
  <c r="DV472" i="11"/>
  <c r="DT177" i="11"/>
  <c r="DT226" i="11" s="1"/>
  <c r="DT251" i="11" s="1"/>
  <c r="DV226" i="11"/>
  <c r="DV251" i="11" s="1"/>
  <c r="DU126" i="11"/>
  <c r="DR126" i="11" s="1"/>
  <c r="DS126" i="11" s="1"/>
  <c r="CX423" i="11"/>
  <c r="CZ250" i="11"/>
  <c r="CX204" i="11"/>
  <c r="CX252" i="11"/>
  <c r="CZ254" i="11"/>
  <c r="DI333" i="11"/>
  <c r="CX213" i="11"/>
  <c r="DM259" i="11"/>
  <c r="DN103" i="11"/>
  <c r="DL103" i="11" s="1"/>
  <c r="EB198" i="4"/>
  <c r="EB200" i="4" s="1"/>
  <c r="EI198" i="4"/>
  <c r="EI200" i="4" s="1"/>
  <c r="DU198" i="4"/>
  <c r="DU200" i="4" s="1"/>
  <c r="EA138" i="11"/>
  <c r="DW138" i="11" s="1"/>
  <c r="DX138" i="11" s="1"/>
  <c r="EJ138" i="11"/>
  <c r="EB102" i="11"/>
  <c r="DZ102" i="11" s="1"/>
  <c r="DU103" i="11"/>
  <c r="DS103" i="11" s="1"/>
  <c r="DR189" i="11"/>
  <c r="DR237" i="11" s="1"/>
  <c r="DR266" i="11" s="1"/>
  <c r="DV237" i="11"/>
  <c r="DV266" i="11" s="1"/>
  <c r="DT179" i="11"/>
  <c r="DT228" i="11" s="1"/>
  <c r="DT253" i="11" s="1"/>
  <c r="EB234" i="243"/>
  <c r="EB29" i="2" s="1"/>
  <c r="DS189" i="11"/>
  <c r="DS237" i="11" s="1"/>
  <c r="DS266" i="11" s="1"/>
  <c r="DR191" i="11"/>
  <c r="DP189" i="11"/>
  <c r="DP237" i="11" s="1"/>
  <c r="DP266" i="11" s="1"/>
  <c r="DT189" i="11"/>
  <c r="DT237" i="11" s="1"/>
  <c r="DT266" i="11" s="1"/>
  <c r="DS191" i="11"/>
  <c r="EC189" i="11"/>
  <c r="DX189" i="11" s="1"/>
  <c r="DX237" i="11" s="1"/>
  <c r="DQ189" i="11"/>
  <c r="DQ237" i="11" s="1"/>
  <c r="DQ266" i="11" s="1"/>
  <c r="DK333" i="11"/>
  <c r="DV483" i="11"/>
  <c r="CX208" i="11"/>
  <c r="DH339" i="11"/>
  <c r="CX206" i="11"/>
  <c r="DM252" i="11"/>
  <c r="DI337" i="11"/>
  <c r="EC179" i="11"/>
  <c r="DY179" i="11" s="1"/>
  <c r="DY228" i="11" s="1"/>
  <c r="DV230" i="11"/>
  <c r="DP191" i="11"/>
  <c r="DQ179" i="11"/>
  <c r="DQ228" i="11" s="1"/>
  <c r="DQ253" i="11" s="1"/>
  <c r="DV474" i="11"/>
  <c r="DP181" i="11"/>
  <c r="DP230" i="11" s="1"/>
  <c r="DU191" i="11"/>
  <c r="DV228" i="11"/>
  <c r="DV253" i="11" s="1"/>
  <c r="DH243" i="11"/>
  <c r="DH244" i="11" s="1"/>
  <c r="DW137" i="11"/>
  <c r="DX137" i="11" s="1"/>
  <c r="EC191" i="11"/>
  <c r="EA191" i="11" s="1"/>
  <c r="DI334" i="11"/>
  <c r="DQ181" i="11"/>
  <c r="DQ230" i="11" s="1"/>
  <c r="DT191" i="11"/>
  <c r="DS179" i="11"/>
  <c r="DS228" i="11" s="1"/>
  <c r="DU179" i="11"/>
  <c r="DU228" i="11" s="1"/>
  <c r="DU253" i="11" s="1"/>
  <c r="EC181" i="11"/>
  <c r="EB181" i="11" s="1"/>
  <c r="EB230" i="11" s="1"/>
  <c r="DV485" i="11"/>
  <c r="DS181" i="11"/>
  <c r="DS230" i="11" s="1"/>
  <c r="DP179" i="11"/>
  <c r="DP228" i="11" s="1"/>
  <c r="DP334" i="11" s="1"/>
  <c r="DO253" i="11"/>
  <c r="DK337" i="11"/>
  <c r="DK334" i="11"/>
  <c r="CO93" i="11"/>
  <c r="CR93" i="11" s="1"/>
  <c r="EQ200" i="4"/>
  <c r="EJ102" i="11"/>
  <c r="EP207" i="4"/>
  <c r="ED198" i="4"/>
  <c r="ED200" i="4" s="1"/>
  <c r="EP199" i="4"/>
  <c r="EV207" i="4"/>
  <c r="EH202" i="4"/>
  <c r="EK198" i="4"/>
  <c r="EK199" i="4"/>
  <c r="EU199" i="4"/>
  <c r="DW198" i="4"/>
  <c r="DW200" i="4" s="1"/>
  <c r="EW204" i="4"/>
  <c r="EN198" i="4"/>
  <c r="EN200" i="4" s="1"/>
  <c r="EQ202" i="4"/>
  <c r="DS234" i="243"/>
  <c r="DS29" i="2" s="1"/>
  <c r="DQ234" i="243"/>
  <c r="DQ29" i="2" s="1"/>
  <c r="DV235" i="243"/>
  <c r="DV234" i="243" s="1"/>
  <c r="DV29" i="2" s="1"/>
  <c r="DX235" i="243"/>
  <c r="DZ235" i="243"/>
  <c r="EI235" i="243"/>
  <c r="DF242" i="243"/>
  <c r="DD242" i="243" s="1"/>
  <c r="DN242" i="243"/>
  <c r="U188" i="243"/>
  <c r="Y188" i="243"/>
  <c r="Y182" i="243" s="1"/>
  <c r="DU29" i="2"/>
  <c r="DW210" i="243"/>
  <c r="DW211" i="243" s="1"/>
  <c r="DW213" i="243" s="1"/>
  <c r="DZ211" i="243"/>
  <c r="DZ213" i="243" s="1"/>
  <c r="EG210" i="243"/>
  <c r="EE210" i="243"/>
  <c r="EE211" i="243" s="1"/>
  <c r="EE213" i="243" s="1"/>
  <c r="EC210" i="243"/>
  <c r="EC211" i="243" s="1"/>
  <c r="EC213" i="243" s="1"/>
  <c r="EH210" i="243"/>
  <c r="DY210" i="243"/>
  <c r="DY211" i="243" s="1"/>
  <c r="DY213" i="243" s="1"/>
  <c r="EA211" i="243"/>
  <c r="EA213" i="243" s="1"/>
  <c r="DH267" i="11"/>
  <c r="DH268" i="11" s="1"/>
  <c r="DH484" i="11"/>
  <c r="CV270" i="11"/>
  <c r="DP173" i="11"/>
  <c r="DP222" i="11" s="1"/>
  <c r="DP246" i="11" s="1"/>
  <c r="CZ423" i="11"/>
  <c r="DH338" i="11"/>
  <c r="EO208" i="11"/>
  <c r="EH137" i="11"/>
  <c r="ED137" i="11" s="1"/>
  <c r="EE137" i="11" s="1"/>
  <c r="EL102" i="11"/>
  <c r="EJ115" i="11"/>
  <c r="EM208" i="11"/>
  <c r="EI116" i="11"/>
  <c r="EK208" i="11"/>
  <c r="EM214" i="11"/>
  <c r="EP208" i="11"/>
  <c r="DL95" i="11"/>
  <c r="DN95" i="11" s="1"/>
  <c r="DN98" i="11" s="1"/>
  <c r="DU87" i="11"/>
  <c r="DU90" i="11" s="1"/>
  <c r="DL90" i="11"/>
  <c r="DI203" i="4"/>
  <c r="EN207" i="11"/>
  <c r="EL207" i="11"/>
  <c r="EQ88" i="11"/>
  <c r="EQ96" i="11" s="1"/>
  <c r="EP207" i="11"/>
  <c r="EO207" i="11"/>
  <c r="EN208" i="11"/>
  <c r="EM207" i="11"/>
  <c r="EL214" i="11"/>
  <c r="DO203" i="4"/>
  <c r="DF129" i="11"/>
  <c r="DL203" i="4" s="1"/>
  <c r="DR90" i="11"/>
  <c r="DR95" i="11"/>
  <c r="DP123" i="11"/>
  <c r="DV201" i="4" s="1"/>
  <c r="DK98" i="11"/>
  <c r="EC173" i="11"/>
  <c r="DY173" i="11" s="1"/>
  <c r="DY222" i="11" s="1"/>
  <c r="DY246" i="11" s="1"/>
  <c r="DQ173" i="11"/>
  <c r="DQ222" i="11" s="1"/>
  <c r="DQ246" i="11" s="1"/>
  <c r="DU173" i="11"/>
  <c r="DU222" i="11" s="1"/>
  <c r="DU246" i="11" s="1"/>
  <c r="DM337" i="11"/>
  <c r="DS173" i="11"/>
  <c r="DS222" i="11" s="1"/>
  <c r="DS246" i="11" s="1"/>
  <c r="DR173" i="11"/>
  <c r="DR222" i="11" s="1"/>
  <c r="DR246" i="11" s="1"/>
  <c r="DQ188" i="11"/>
  <c r="DQ236" i="11" s="1"/>
  <c r="DQ265" i="11" s="1"/>
  <c r="DO337" i="11"/>
  <c r="DR183" i="11"/>
  <c r="DR232" i="11" s="1"/>
  <c r="EN214" i="11"/>
  <c r="EP214" i="11"/>
  <c r="EK214" i="11"/>
  <c r="EC183" i="11"/>
  <c r="EB183" i="11" s="1"/>
  <c r="EB232" i="11" s="1"/>
  <c r="DP183" i="11"/>
  <c r="DP232" i="11" s="1"/>
  <c r="DP259" i="11" s="1"/>
  <c r="DV468" i="11"/>
  <c r="DT173" i="11"/>
  <c r="DT222" i="11" s="1"/>
  <c r="DT246" i="11" s="1"/>
  <c r="DI265" i="11"/>
  <c r="DT188" i="11"/>
  <c r="DT236" i="11" s="1"/>
  <c r="DD129" i="11"/>
  <c r="DJ203" i="4" s="1"/>
  <c r="DJ206" i="4" s="1"/>
  <c r="DJ208" i="4" s="1"/>
  <c r="DP95" i="11"/>
  <c r="DP90" i="11"/>
  <c r="DT183" i="11"/>
  <c r="DT232" i="11" s="1"/>
  <c r="DT259" i="11" s="1"/>
  <c r="DV478" i="11"/>
  <c r="DV232" i="11"/>
  <c r="DV259" i="11" s="1"/>
  <c r="DQ183" i="11"/>
  <c r="DQ232" i="11" s="1"/>
  <c r="DQ259" i="11" s="1"/>
  <c r="CO244" i="11"/>
  <c r="CO421" i="11"/>
  <c r="DS183" i="11"/>
  <c r="DS232" i="11" s="1"/>
  <c r="DI98" i="11"/>
  <c r="DQ201" i="4"/>
  <c r="DR188" i="11"/>
  <c r="DR236" i="11" s="1"/>
  <c r="DR265" i="11" s="1"/>
  <c r="DV236" i="11"/>
  <c r="EC127" i="11"/>
  <c r="EC188" i="11"/>
  <c r="EC236" i="11" s="1"/>
  <c r="DS188" i="11"/>
  <c r="DS236" i="11" s="1"/>
  <c r="DS265" i="11" s="1"/>
  <c r="DV482" i="11"/>
  <c r="DU188" i="11"/>
  <c r="DU236" i="11" s="1"/>
  <c r="DU265" i="11" s="1"/>
  <c r="DQ252" i="11"/>
  <c r="EQ137" i="11"/>
  <c r="EQ519" i="11"/>
  <c r="EI21" i="178"/>
  <c r="DX21" i="178"/>
  <c r="DV21" i="178"/>
  <c r="DZ21" i="178"/>
  <c r="DU16" i="220"/>
  <c r="EU53" i="4"/>
  <c r="EN45" i="4"/>
  <c r="DD421" i="11"/>
  <c r="DF421" i="11"/>
  <c r="DL116" i="11"/>
  <c r="DR199" i="4" s="1"/>
  <c r="EO127" i="11"/>
  <c r="DZ116" i="11"/>
  <c r="DS116" i="11"/>
  <c r="DO252" i="11"/>
  <c r="DD244" i="11"/>
  <c r="EP127" i="11"/>
  <c r="EB115" i="11"/>
  <c r="EH198" i="4" s="1"/>
  <c r="EH200" i="4" s="1"/>
  <c r="DU115" i="11"/>
  <c r="EJ127" i="11"/>
  <c r="AA188" i="243"/>
  <c r="T182" i="243"/>
  <c r="EP210" i="243"/>
  <c r="EI211" i="243"/>
  <c r="EI213" i="243" s="1"/>
  <c r="DI423" i="11"/>
  <c r="DF426" i="11"/>
  <c r="DI424" i="11"/>
  <c r="DK254" i="11"/>
  <c r="DB421" i="11"/>
  <c r="EJ264" i="11"/>
  <c r="EO115" i="11"/>
  <c r="EU198" i="4" s="1"/>
  <c r="EL116" i="11"/>
  <c r="DM242" i="11"/>
  <c r="DM332" i="11"/>
  <c r="DI254" i="11"/>
  <c r="DM258" i="11"/>
  <c r="DM336" i="11"/>
  <c r="EQ119" i="11"/>
  <c r="EQ517" i="11" s="1"/>
  <c r="DI242" i="11"/>
  <c r="DI244" i="11" s="1"/>
  <c r="DI332" i="11"/>
  <c r="DR253" i="11"/>
  <c r="DR334" i="11"/>
  <c r="DK424" i="11"/>
  <c r="DM255" i="11"/>
  <c r="DM335" i="11"/>
  <c r="DI255" i="11"/>
  <c r="DI335" i="11"/>
  <c r="DT258" i="11"/>
  <c r="DI258" i="11"/>
  <c r="DI336" i="11"/>
  <c r="EO196" i="11"/>
  <c r="EL196" i="11"/>
  <c r="EP196" i="11"/>
  <c r="EM196" i="11"/>
  <c r="EN196" i="11"/>
  <c r="EK196" i="11"/>
  <c r="DP265" i="11"/>
  <c r="DK242" i="11"/>
  <c r="DK244" i="11" s="1"/>
  <c r="DK332" i="11"/>
  <c r="DK258" i="11"/>
  <c r="DK336" i="11"/>
  <c r="EO197" i="11"/>
  <c r="EP197" i="11"/>
  <c r="EM197" i="11"/>
  <c r="EN197" i="11"/>
  <c r="EL197" i="11"/>
  <c r="EK197" i="11"/>
  <c r="EQ502" i="11"/>
  <c r="EQ262" i="11" s="1"/>
  <c r="EL206" i="11"/>
  <c r="EN206" i="11"/>
  <c r="EM206" i="11"/>
  <c r="EK206" i="11"/>
  <c r="EP206" i="11"/>
  <c r="EQ503" i="11"/>
  <c r="EQ263" i="11" s="1"/>
  <c r="EO206" i="11"/>
  <c r="EQ504" i="11"/>
  <c r="EQ501" i="11"/>
  <c r="EQ261" i="11" s="1"/>
  <c r="EK211" i="11"/>
  <c r="EO211" i="11"/>
  <c r="EN211" i="11"/>
  <c r="EP211" i="11"/>
  <c r="EL211" i="11"/>
  <c r="EM211" i="11"/>
  <c r="EN210" i="11"/>
  <c r="EK210" i="11"/>
  <c r="EP210" i="11"/>
  <c r="EL210" i="11"/>
  <c r="EM210" i="11"/>
  <c r="EO210" i="11"/>
  <c r="EM209" i="11"/>
  <c r="EK209" i="11"/>
  <c r="EP209" i="11"/>
  <c r="EL209" i="11"/>
  <c r="EN209" i="11"/>
  <c r="EO209" i="11"/>
  <c r="EE213" i="11"/>
  <c r="EI213" i="11"/>
  <c r="EQ213" i="11"/>
  <c r="EH213" i="11"/>
  <c r="ED213" i="11"/>
  <c r="EF213" i="11"/>
  <c r="EG213" i="11"/>
  <c r="EL212" i="11"/>
  <c r="EP212" i="11"/>
  <c r="EN212" i="11"/>
  <c r="EO212" i="11"/>
  <c r="EK212" i="11"/>
  <c r="EM212" i="11"/>
  <c r="EL215" i="11"/>
  <c r="EP215" i="11"/>
  <c r="EM215" i="11"/>
  <c r="EK215" i="11"/>
  <c r="EO215" i="11"/>
  <c r="EN215" i="11"/>
  <c r="EC174" i="11"/>
  <c r="EC223" i="11" s="1"/>
  <c r="EC247" i="11" s="1"/>
  <c r="DS174" i="11"/>
  <c r="DS223" i="11" s="1"/>
  <c r="DS247" i="11" s="1"/>
  <c r="DV475" i="11"/>
  <c r="DT174" i="11"/>
  <c r="DT223" i="11" s="1"/>
  <c r="DT247" i="11" s="1"/>
  <c r="DV229" i="11"/>
  <c r="DV255" i="11" s="1"/>
  <c r="DV469" i="11"/>
  <c r="DU174" i="11"/>
  <c r="DU223" i="11" s="1"/>
  <c r="DU247" i="11" s="1"/>
  <c r="CN436" i="11"/>
  <c r="CN437" i="11" s="1"/>
  <c r="DQ174" i="11"/>
  <c r="DQ223" i="11" s="1"/>
  <c r="DQ247" i="11" s="1"/>
  <c r="DQ180" i="11"/>
  <c r="DQ229" i="11" s="1"/>
  <c r="DQ255" i="11" s="1"/>
  <c r="EC180" i="11"/>
  <c r="EA180" i="11" s="1"/>
  <c r="EA229" i="11" s="1"/>
  <c r="DU180" i="11"/>
  <c r="DU229" i="11" s="1"/>
  <c r="DU255" i="11" s="1"/>
  <c r="DP174" i="11"/>
  <c r="DP223" i="11" s="1"/>
  <c r="DP247" i="11" s="1"/>
  <c r="DT180" i="11"/>
  <c r="DT229" i="11" s="1"/>
  <c r="DQ175" i="11"/>
  <c r="DQ224" i="11" s="1"/>
  <c r="DQ248" i="11" s="1"/>
  <c r="DV470" i="11"/>
  <c r="DQ182" i="11"/>
  <c r="DQ231" i="11" s="1"/>
  <c r="DQ258" i="11" s="1"/>
  <c r="DR174" i="11"/>
  <c r="DR223" i="11" s="1"/>
  <c r="DR247" i="11" s="1"/>
  <c r="DR180" i="11"/>
  <c r="DR229" i="11" s="1"/>
  <c r="DP180" i="11"/>
  <c r="DP229" i="11" s="1"/>
  <c r="EC182" i="11"/>
  <c r="EA182" i="11" s="1"/>
  <c r="EA231" i="11" s="1"/>
  <c r="DV231" i="11"/>
  <c r="DV258" i="11" s="1"/>
  <c r="DS182" i="11"/>
  <c r="DS231" i="11" s="1"/>
  <c r="DS258" i="11" s="1"/>
  <c r="DK423" i="11"/>
  <c r="DK250" i="11"/>
  <c r="DR175" i="11"/>
  <c r="DR224" i="11" s="1"/>
  <c r="DR248" i="11" s="1"/>
  <c r="DV477" i="11"/>
  <c r="DU182" i="11"/>
  <c r="DU231" i="11" s="1"/>
  <c r="DU258" i="11" s="1"/>
  <c r="DP182" i="11"/>
  <c r="DP231" i="11" s="1"/>
  <c r="DP175" i="11"/>
  <c r="DP224" i="11" s="1"/>
  <c r="DP248" i="11" s="1"/>
  <c r="DV224" i="11"/>
  <c r="DV248" i="11" s="1"/>
  <c r="EC175" i="11"/>
  <c r="EB175" i="11" s="1"/>
  <c r="EB224" i="11" s="1"/>
  <c r="EB248" i="11" s="1"/>
  <c r="DR182" i="11"/>
  <c r="DR231" i="11" s="1"/>
  <c r="DT175" i="11"/>
  <c r="DT224" i="11" s="1"/>
  <c r="DT248" i="11" s="1"/>
  <c r="DS175" i="11"/>
  <c r="DS224" i="11" s="1"/>
  <c r="DS248" i="11" s="1"/>
  <c r="DO336" i="11"/>
  <c r="DI250" i="11"/>
  <c r="DO255" i="11"/>
  <c r="DO335" i="11"/>
  <c r="DO332" i="11"/>
  <c r="EC103" i="11"/>
  <c r="EJ516" i="11"/>
  <c r="DU266" i="11"/>
  <c r="EH103" i="11"/>
  <c r="EE103" i="11" s="1"/>
  <c r="DD259" i="11"/>
  <c r="DQ267" i="11"/>
  <c r="DP267" i="11"/>
  <c r="DO243" i="11"/>
  <c r="DB426" i="11"/>
  <c r="DT267" i="11"/>
  <c r="EC225" i="11"/>
  <c r="EC249" i="11" s="1"/>
  <c r="EA176" i="11"/>
  <c r="EA225" i="11" s="1"/>
  <c r="EA249" i="11" s="1"/>
  <c r="DW176" i="11"/>
  <c r="DW225" i="11" s="1"/>
  <c r="DW249" i="11" s="1"/>
  <c r="DZ176" i="11"/>
  <c r="DZ225" i="11" s="1"/>
  <c r="DZ249" i="11" s="1"/>
  <c r="DY176" i="11"/>
  <c r="DY225" i="11" s="1"/>
  <c r="DY249" i="11" s="1"/>
  <c r="EB176" i="11"/>
  <c r="EB225" i="11" s="1"/>
  <c r="EB249" i="11" s="1"/>
  <c r="DX176" i="11"/>
  <c r="DX225" i="11" s="1"/>
  <c r="DX249" i="11" s="1"/>
  <c r="DU138" i="11"/>
  <c r="DR138" i="11" s="1"/>
  <c r="DS138" i="11" s="1"/>
  <c r="DS267" i="11" s="1"/>
  <c r="EQ104" i="11"/>
  <c r="DV219" i="11"/>
  <c r="DT170" i="11"/>
  <c r="DT219" i="11" s="1"/>
  <c r="DP170" i="11"/>
  <c r="DP219" i="11" s="1"/>
  <c r="DS170" i="11"/>
  <c r="DS219" i="11" s="1"/>
  <c r="DS242" i="11" s="1"/>
  <c r="DR170" i="11"/>
  <c r="DR219" i="11" s="1"/>
  <c r="DU170" i="11"/>
  <c r="DU219" i="11" s="1"/>
  <c r="DU242" i="11" s="1"/>
  <c r="DQ170" i="11"/>
  <c r="DQ219" i="11" s="1"/>
  <c r="DQ242" i="11" s="1"/>
  <c r="EC170" i="11"/>
  <c r="EC171" i="11"/>
  <c r="DV220" i="11"/>
  <c r="DV243" i="11" s="1"/>
  <c r="DR171" i="11"/>
  <c r="DR220" i="11" s="1"/>
  <c r="DR243" i="11" s="1"/>
  <c r="DU171" i="11"/>
  <c r="DU220" i="11" s="1"/>
  <c r="DQ171" i="11"/>
  <c r="DQ220" i="11" s="1"/>
  <c r="DQ243" i="11" s="1"/>
  <c r="DT171" i="11"/>
  <c r="DT220" i="11" s="1"/>
  <c r="DT243" i="11" s="1"/>
  <c r="DP171" i="11"/>
  <c r="DP220" i="11" s="1"/>
  <c r="DP243" i="11" s="1"/>
  <c r="DS171" i="11"/>
  <c r="DS220" i="11" s="1"/>
  <c r="EC238" i="11"/>
  <c r="EC267" i="11" s="1"/>
  <c r="EA190" i="11"/>
  <c r="EA238" i="11" s="1"/>
  <c r="DW190" i="11"/>
  <c r="DW238" i="11" s="1"/>
  <c r="DZ190" i="11"/>
  <c r="DZ238" i="11" s="1"/>
  <c r="DY190" i="11"/>
  <c r="DY238" i="11" s="1"/>
  <c r="EB190" i="11"/>
  <c r="EB238" i="11" s="1"/>
  <c r="DX190" i="11"/>
  <c r="DX238" i="11" s="1"/>
  <c r="DV473" i="11"/>
  <c r="DN115" i="11"/>
  <c r="DO473" i="11"/>
  <c r="EO103" i="11"/>
  <c r="EL103" i="11" s="1"/>
  <c r="EC471" i="11"/>
  <c r="EJ176" i="11"/>
  <c r="EC484" i="11"/>
  <c r="EJ190" i="11"/>
  <c r="CM385" i="11"/>
  <c r="DM423" i="11" l="1"/>
  <c r="DN248" i="11"/>
  <c r="DO250" i="11"/>
  <c r="DN247" i="11"/>
  <c r="DM250" i="11"/>
  <c r="DO260" i="11"/>
  <c r="DY178" i="11"/>
  <c r="DY227" i="11" s="1"/>
  <c r="DY333" i="11" s="1"/>
  <c r="DZ178" i="11"/>
  <c r="DZ227" i="11" s="1"/>
  <c r="DW178" i="11"/>
  <c r="DW227" i="11" s="1"/>
  <c r="DW252" i="11" s="1"/>
  <c r="EB178" i="11"/>
  <c r="EB227" i="11" s="1"/>
  <c r="EB252" i="11" s="1"/>
  <c r="EJ178" i="11"/>
  <c r="EH178" i="11" s="1"/>
  <c r="EH227" i="11" s="1"/>
  <c r="DO423" i="11"/>
  <c r="DN246" i="11"/>
  <c r="DL225" i="11"/>
  <c r="DL249" i="11" s="1"/>
  <c r="DL423" i="11" s="1"/>
  <c r="DJ250" i="11"/>
  <c r="DJ423" i="11"/>
  <c r="DM254" i="11"/>
  <c r="EA178" i="11"/>
  <c r="EA227" i="11" s="1"/>
  <c r="EA333" i="11" s="1"/>
  <c r="EC227" i="11"/>
  <c r="EC226" i="11"/>
  <c r="EC251" i="11" s="1"/>
  <c r="DX177" i="11"/>
  <c r="DX226" i="11" s="1"/>
  <c r="DX251" i="11" s="1"/>
  <c r="DY177" i="11"/>
  <c r="DY226" i="11" s="1"/>
  <c r="DY251" i="11" s="1"/>
  <c r="EA177" i="11"/>
  <c r="EA226" i="11" s="1"/>
  <c r="EA251" i="11" s="1"/>
  <c r="EB177" i="11"/>
  <c r="EB226" i="11" s="1"/>
  <c r="EB251" i="11" s="1"/>
  <c r="DT333" i="11"/>
  <c r="DP333" i="11"/>
  <c r="EC473" i="11"/>
  <c r="EJ177" i="11"/>
  <c r="EE177" i="11" s="1"/>
  <c r="EE226" i="11" s="1"/>
  <c r="EE251" i="11" s="1"/>
  <c r="DZ177" i="11"/>
  <c r="DZ226" i="11" s="1"/>
  <c r="DZ251" i="11" s="1"/>
  <c r="DI426" i="11"/>
  <c r="DV252" i="11"/>
  <c r="DV254" i="11" s="1"/>
  <c r="DF270" i="11"/>
  <c r="DU243" i="11"/>
  <c r="DU421" i="11" s="1"/>
  <c r="DL126" i="11"/>
  <c r="DG423" i="11"/>
  <c r="DG250" i="11"/>
  <c r="DE250" i="11"/>
  <c r="EJ179" i="11"/>
  <c r="EE179" i="11" s="1"/>
  <c r="EE228" i="11" s="1"/>
  <c r="EE253" i="11" s="1"/>
  <c r="EC472" i="11"/>
  <c r="DU259" i="11"/>
  <c r="DU426" i="11" s="1"/>
  <c r="DR333" i="11"/>
  <c r="EC483" i="11"/>
  <c r="EJ189" i="11"/>
  <c r="EI189" i="11" s="1"/>
  <c r="EI237" i="11" s="1"/>
  <c r="EB189" i="11"/>
  <c r="EB237" i="11" s="1"/>
  <c r="EB266" i="11" s="1"/>
  <c r="DS259" i="11"/>
  <c r="DS260" i="11" s="1"/>
  <c r="DY189" i="11"/>
  <c r="DY237" i="11" s="1"/>
  <c r="DY266" i="11" s="1"/>
  <c r="EC237" i="11"/>
  <c r="EC266" i="11" s="1"/>
  <c r="DR259" i="11"/>
  <c r="CX254" i="11"/>
  <c r="DX267" i="11"/>
  <c r="DW267" i="11"/>
  <c r="EA267" i="11"/>
  <c r="DS243" i="11"/>
  <c r="DS244" i="11" s="1"/>
  <c r="DZ189" i="11"/>
  <c r="DZ237" i="11" s="1"/>
  <c r="DZ266" i="11" s="1"/>
  <c r="DT234" i="243"/>
  <c r="DT29" i="2" s="1"/>
  <c r="EA189" i="11"/>
  <c r="EA237" i="11" s="1"/>
  <c r="EA266" i="11" s="1"/>
  <c r="DW189" i="11"/>
  <c r="DW237" i="11" s="1"/>
  <c r="DW266" i="11" s="1"/>
  <c r="DV337" i="11"/>
  <c r="DP234" i="243"/>
  <c r="DP235" i="243" s="1"/>
  <c r="DM424" i="11"/>
  <c r="DT334" i="11"/>
  <c r="EP202" i="4"/>
  <c r="EB103" i="11"/>
  <c r="DZ103" i="11" s="1"/>
  <c r="DF428" i="11"/>
  <c r="EJ103" i="11"/>
  <c r="EI103" i="11" s="1"/>
  <c r="EG103" i="11" s="1"/>
  <c r="EH138" i="11"/>
  <c r="EW199" i="4"/>
  <c r="EB138" i="11"/>
  <c r="DY138" i="11" s="1"/>
  <c r="DZ138" i="11" s="1"/>
  <c r="DZ267" i="11" s="1"/>
  <c r="DP337" i="11"/>
  <c r="DX191" i="11"/>
  <c r="DQ424" i="11"/>
  <c r="EC485" i="11"/>
  <c r="DP253" i="11"/>
  <c r="DP424" i="11" s="1"/>
  <c r="DT337" i="11"/>
  <c r="EB179" i="11"/>
  <c r="EB228" i="11" s="1"/>
  <c r="EB253" i="11" s="1"/>
  <c r="DX234" i="243"/>
  <c r="DX29" i="2" s="1"/>
  <c r="DZ234" i="243"/>
  <c r="DZ29" i="2" s="1"/>
  <c r="DV334" i="11"/>
  <c r="EC474" i="11"/>
  <c r="EC228" i="11"/>
  <c r="EC253" i="11" s="1"/>
  <c r="DZ179" i="11"/>
  <c r="DZ228" i="11" s="1"/>
  <c r="DZ253" i="11" s="1"/>
  <c r="EA179" i="11"/>
  <c r="EA228" i="11" s="1"/>
  <c r="EA334" i="11" s="1"/>
  <c r="DX179" i="11"/>
  <c r="DX228" i="11" s="1"/>
  <c r="DX253" i="11" s="1"/>
  <c r="DW179" i="11"/>
  <c r="DW228" i="11" s="1"/>
  <c r="DW253" i="11" s="1"/>
  <c r="DW181" i="11"/>
  <c r="DW230" i="11" s="1"/>
  <c r="DY181" i="11"/>
  <c r="DY230" i="11" s="1"/>
  <c r="DZ191" i="11"/>
  <c r="DY191" i="11"/>
  <c r="EB191" i="11"/>
  <c r="EJ191" i="11"/>
  <c r="EE191" i="11" s="1"/>
  <c r="DX266" i="11"/>
  <c r="DW191" i="11"/>
  <c r="EA181" i="11"/>
  <c r="EA230" i="11" s="1"/>
  <c r="EA335" i="11" s="1"/>
  <c r="DH421" i="11"/>
  <c r="EC230" i="11"/>
  <c r="DX181" i="11"/>
  <c r="DX230" i="11" s="1"/>
  <c r="EJ181" i="11"/>
  <c r="EF181" i="11" s="1"/>
  <c r="EF230" i="11" s="1"/>
  <c r="DZ181" i="11"/>
  <c r="DZ230" i="11" s="1"/>
  <c r="EU200" i="4"/>
  <c r="EI102" i="11"/>
  <c r="EG102" i="11" s="1"/>
  <c r="EK200" i="4"/>
  <c r="EQ102" i="11"/>
  <c r="EW207" i="4"/>
  <c r="ER199" i="4"/>
  <c r="EF199" i="4"/>
  <c r="EG116" i="11"/>
  <c r="EO199" i="4"/>
  <c r="EV202" i="4"/>
  <c r="DY199" i="4"/>
  <c r="EU202" i="4"/>
  <c r="DT198" i="4"/>
  <c r="DT200" i="4" s="1"/>
  <c r="EC126" i="11"/>
  <c r="EI202" i="4"/>
  <c r="EP198" i="4"/>
  <c r="EP200" i="4" s="1"/>
  <c r="DU252" i="11"/>
  <c r="DU424" i="11" s="1"/>
  <c r="EA198" i="4"/>
  <c r="EA200" i="4" s="1"/>
  <c r="DM242" i="243"/>
  <c r="DK242" i="243" s="1"/>
  <c r="DU242" i="243"/>
  <c r="DJ242" i="243"/>
  <c r="EP235" i="243"/>
  <c r="EE235" i="243"/>
  <c r="EC235" i="243"/>
  <c r="EC234" i="243" s="1"/>
  <c r="EC29" i="2" s="1"/>
  <c r="EG235" i="243"/>
  <c r="AB188" i="243"/>
  <c r="AF188" i="243"/>
  <c r="AF182" i="243" s="1"/>
  <c r="U182" i="243"/>
  <c r="V188" i="243"/>
  <c r="EF210" i="243"/>
  <c r="EF211" i="243" s="1"/>
  <c r="EF213" i="243" s="1"/>
  <c r="EH211" i="243"/>
  <c r="EH213" i="243" s="1"/>
  <c r="EP211" i="243"/>
  <c r="EP213" i="243" s="1"/>
  <c r="EJ210" i="243"/>
  <c r="EJ211" i="243" s="1"/>
  <c r="EJ213" i="243" s="1"/>
  <c r="EO210" i="243"/>
  <c r="EN210" i="243"/>
  <c r="EL210" i="243"/>
  <c r="EL211" i="243" s="1"/>
  <c r="EL213" i="243" s="1"/>
  <c r="ED210" i="243"/>
  <c r="ED211" i="243" s="1"/>
  <c r="ED213" i="243" s="1"/>
  <c r="EG211" i="243"/>
  <c r="EG213" i="243" s="1"/>
  <c r="DO339" i="11"/>
  <c r="DO338" i="11"/>
  <c r="EI137" i="11"/>
  <c r="EF137" i="11" s="1"/>
  <c r="EG137" i="11" s="1"/>
  <c r="EI115" i="11"/>
  <c r="DW183" i="11"/>
  <c r="DW232" i="11" s="1"/>
  <c r="EC222" i="11"/>
  <c r="EC246" i="11" s="1"/>
  <c r="DT265" i="11"/>
  <c r="DT268" i="11" s="1"/>
  <c r="EB87" i="11"/>
  <c r="EB90" i="11" s="1"/>
  <c r="DS90" i="11"/>
  <c r="DS95" i="11"/>
  <c r="DU95" i="11" s="1"/>
  <c r="DU98" i="11" s="1"/>
  <c r="DL98" i="11"/>
  <c r="DQ123" i="11"/>
  <c r="DY183" i="11"/>
  <c r="DY232" i="11" s="1"/>
  <c r="DV265" i="11"/>
  <c r="DV268" i="11" s="1"/>
  <c r="DA478" i="11"/>
  <c r="CZ126" i="11"/>
  <c r="CZ259" i="11" s="1"/>
  <c r="CZ260" i="11" s="1"/>
  <c r="DP129" i="11"/>
  <c r="DV203" i="4" s="1"/>
  <c r="DV206" i="4" s="1"/>
  <c r="DV208" i="4" s="1"/>
  <c r="DR98" i="11"/>
  <c r="DW123" i="11"/>
  <c r="EC201" i="4" s="1"/>
  <c r="CU256" i="11"/>
  <c r="DY90" i="11"/>
  <c r="DY95" i="11"/>
  <c r="EJ173" i="11"/>
  <c r="EF173" i="11" s="1"/>
  <c r="EF222" i="11" s="1"/>
  <c r="EF246" i="11" s="1"/>
  <c r="EA173" i="11"/>
  <c r="EA222" i="11" s="1"/>
  <c r="EA246" i="11" s="1"/>
  <c r="EC468" i="11"/>
  <c r="DX173" i="11"/>
  <c r="DX222" i="11" s="1"/>
  <c r="DX246" i="11" s="1"/>
  <c r="DZ173" i="11"/>
  <c r="DZ222" i="11" s="1"/>
  <c r="DZ246" i="11" s="1"/>
  <c r="EB173" i="11"/>
  <c r="EB222" i="11" s="1"/>
  <c r="EB246" i="11" s="1"/>
  <c r="DW173" i="11"/>
  <c r="DW222" i="11" s="1"/>
  <c r="DW246" i="11" s="1"/>
  <c r="DQ268" i="11"/>
  <c r="DU250" i="11"/>
  <c r="EC232" i="11"/>
  <c r="EJ183" i="11"/>
  <c r="EE183" i="11" s="1"/>
  <c r="EE232" i="11" s="1"/>
  <c r="DX183" i="11"/>
  <c r="DX232" i="11" s="1"/>
  <c r="EA183" i="11"/>
  <c r="EA232" i="11" s="1"/>
  <c r="DZ188" i="11"/>
  <c r="DZ236" i="11" s="1"/>
  <c r="DZ265" i="11" s="1"/>
  <c r="DZ183" i="11"/>
  <c r="DZ232" i="11" s="1"/>
  <c r="DR337" i="11"/>
  <c r="DT260" i="11"/>
  <c r="DI421" i="11"/>
  <c r="DX188" i="11"/>
  <c r="DX236" i="11" s="1"/>
  <c r="DX265" i="11" s="1"/>
  <c r="DW188" i="11"/>
  <c r="DW236" i="11" s="1"/>
  <c r="DW265" i="11" s="1"/>
  <c r="DK129" i="11"/>
  <c r="DQ203" i="4" s="1"/>
  <c r="DQ206" i="4" s="1"/>
  <c r="DQ208" i="4" s="1"/>
  <c r="EB188" i="11"/>
  <c r="EB236" i="11" s="1"/>
  <c r="EB265" i="11" s="1"/>
  <c r="EA188" i="11"/>
  <c r="EA236" i="11" s="1"/>
  <c r="DQ254" i="11"/>
  <c r="DD143" i="11"/>
  <c r="DD144" i="11" s="1"/>
  <c r="DW95" i="11"/>
  <c r="DW90" i="11"/>
  <c r="EJ188" i="11"/>
  <c r="ED188" i="11" s="1"/>
  <c r="ED236" i="11" s="1"/>
  <c r="EC482" i="11"/>
  <c r="DY188" i="11"/>
  <c r="DY236" i="11" s="1"/>
  <c r="DY265" i="11" s="1"/>
  <c r="DQ426" i="11"/>
  <c r="DT336" i="11"/>
  <c r="EQ127" i="11"/>
  <c r="DR123" i="11"/>
  <c r="DX201" i="4" s="1"/>
  <c r="DP98" i="11"/>
  <c r="DQ423" i="11"/>
  <c r="EO137" i="11"/>
  <c r="EQ138" i="11"/>
  <c r="DV260" i="11"/>
  <c r="DV423" i="11"/>
  <c r="DK421" i="11"/>
  <c r="DM426" i="11"/>
  <c r="DZ174" i="11"/>
  <c r="DZ223" i="11" s="1"/>
  <c r="DZ247" i="11" s="1"/>
  <c r="DM260" i="11"/>
  <c r="DK426" i="11"/>
  <c r="DT426" i="11"/>
  <c r="DP428" i="11"/>
  <c r="DO254" i="11"/>
  <c r="DI260" i="11"/>
  <c r="DM421" i="11"/>
  <c r="EU45" i="4"/>
  <c r="EC21" i="178"/>
  <c r="EG21" i="178"/>
  <c r="EE21" i="178"/>
  <c r="DT254" i="11"/>
  <c r="EJ126" i="11"/>
  <c r="DS253" i="11"/>
  <c r="DS115" i="11"/>
  <c r="DY198" i="4" s="1"/>
  <c r="DZ115" i="11"/>
  <c r="EL115" i="11"/>
  <c r="AH188" i="243"/>
  <c r="AA182" i="243"/>
  <c r="Z182" i="243" s="1"/>
  <c r="EI234" i="243"/>
  <c r="EC469" i="11"/>
  <c r="DQ250" i="11"/>
  <c r="EB174" i="11"/>
  <c r="EB223" i="11" s="1"/>
  <c r="EB247" i="11" s="1"/>
  <c r="DW174" i="11"/>
  <c r="DW223" i="11" s="1"/>
  <c r="DW247" i="11" s="1"/>
  <c r="DM244" i="11"/>
  <c r="DR424" i="11"/>
  <c r="DT424" i="11"/>
  <c r="DX174" i="11"/>
  <c r="DX223" i="11" s="1"/>
  <c r="DX247" i="11" s="1"/>
  <c r="EA174" i="11"/>
  <c r="EA223" i="11" s="1"/>
  <c r="EA247" i="11" s="1"/>
  <c r="DV335" i="11"/>
  <c r="EJ174" i="11"/>
  <c r="ED174" i="11" s="1"/>
  <c r="ED223" i="11" s="1"/>
  <c r="ED247" i="11" s="1"/>
  <c r="DY174" i="11"/>
  <c r="DY223" i="11" s="1"/>
  <c r="DY247" i="11" s="1"/>
  <c r="DK260" i="11"/>
  <c r="DR254" i="11"/>
  <c r="DY252" i="11"/>
  <c r="DR258" i="11"/>
  <c r="DR336" i="11"/>
  <c r="DP255" i="11"/>
  <c r="DP335" i="11"/>
  <c r="DT255" i="11"/>
  <c r="DT335" i="11"/>
  <c r="EP116" i="11"/>
  <c r="EV199" i="4" s="1"/>
  <c r="EQ115" i="11"/>
  <c r="DP242" i="11"/>
  <c r="DP244" i="11" s="1"/>
  <c r="DP332" i="11"/>
  <c r="DV250" i="11"/>
  <c r="DP258" i="11"/>
  <c r="DP260" i="11" s="1"/>
  <c r="DP336" i="11"/>
  <c r="DR255" i="11"/>
  <c r="DR335" i="11"/>
  <c r="DR242" i="11"/>
  <c r="DR332" i="11"/>
  <c r="EA258" i="11"/>
  <c r="EA255" i="11"/>
  <c r="DY253" i="11"/>
  <c r="DY334" i="11"/>
  <c r="DT242" i="11"/>
  <c r="DT332" i="11"/>
  <c r="EC229" i="11"/>
  <c r="EQ264" i="11"/>
  <c r="EM213" i="11"/>
  <c r="EN213" i="11"/>
  <c r="EO213" i="11"/>
  <c r="EP213" i="11"/>
  <c r="EK213" i="11"/>
  <c r="EL213" i="11"/>
  <c r="DS250" i="11"/>
  <c r="DU423" i="11"/>
  <c r="DT423" i="11"/>
  <c r="EJ175" i="11"/>
  <c r="EF175" i="11" s="1"/>
  <c r="EF224" i="11" s="1"/>
  <c r="EF248" i="11" s="1"/>
  <c r="EC477" i="11"/>
  <c r="DW182" i="11"/>
  <c r="DW231" i="11" s="1"/>
  <c r="EC475" i="11"/>
  <c r="DY180" i="11"/>
  <c r="DY229" i="11" s="1"/>
  <c r="DZ180" i="11"/>
  <c r="DZ229" i="11" s="1"/>
  <c r="DZ255" i="11" s="1"/>
  <c r="EC231" i="11"/>
  <c r="EC258" i="11" s="1"/>
  <c r="DQ260" i="11"/>
  <c r="DY182" i="11"/>
  <c r="DY231" i="11" s="1"/>
  <c r="EB182" i="11"/>
  <c r="EB231" i="11" s="1"/>
  <c r="EB258" i="11" s="1"/>
  <c r="DX180" i="11"/>
  <c r="DX229" i="11" s="1"/>
  <c r="DX255" i="11" s="1"/>
  <c r="DW180" i="11"/>
  <c r="DW229" i="11" s="1"/>
  <c r="EJ180" i="11"/>
  <c r="ED180" i="11" s="1"/>
  <c r="ED229" i="11" s="1"/>
  <c r="EJ182" i="11"/>
  <c r="ED182" i="11" s="1"/>
  <c r="ED231" i="11" s="1"/>
  <c r="EB180" i="11"/>
  <c r="EB229" i="11" s="1"/>
  <c r="EB255" i="11" s="1"/>
  <c r="DZ182" i="11"/>
  <c r="DZ231" i="11" s="1"/>
  <c r="DZ258" i="11" s="1"/>
  <c r="DP423" i="11"/>
  <c r="DR250" i="11"/>
  <c r="DT250" i="11"/>
  <c r="DX182" i="11"/>
  <c r="DX231" i="11" s="1"/>
  <c r="DX258" i="11" s="1"/>
  <c r="DP250" i="11"/>
  <c r="DR423" i="11"/>
  <c r="EA175" i="11"/>
  <c r="EA224" i="11" s="1"/>
  <c r="EA248" i="11" s="1"/>
  <c r="DV336" i="11"/>
  <c r="DW175" i="11"/>
  <c r="DW224" i="11" s="1"/>
  <c r="DW248" i="11" s="1"/>
  <c r="EC470" i="11"/>
  <c r="DY175" i="11"/>
  <c r="DY224" i="11" s="1"/>
  <c r="DY248" i="11" s="1"/>
  <c r="DS423" i="11"/>
  <c r="EC224" i="11"/>
  <c r="EC248" i="11" s="1"/>
  <c r="DX175" i="11"/>
  <c r="DX224" i="11" s="1"/>
  <c r="DX248" i="11" s="1"/>
  <c r="DZ175" i="11"/>
  <c r="DZ224" i="11" s="1"/>
  <c r="DZ248" i="11" s="1"/>
  <c r="DO421" i="11"/>
  <c r="EC252" i="11"/>
  <c r="EC333" i="11"/>
  <c r="DV242" i="11"/>
  <c r="DV332" i="11"/>
  <c r="EC265" i="11"/>
  <c r="DS428" i="11"/>
  <c r="DO244" i="11"/>
  <c r="EQ516" i="11"/>
  <c r="DP268" i="11"/>
  <c r="DS268" i="11"/>
  <c r="DL115" i="11"/>
  <c r="DR198" i="4" s="1"/>
  <c r="DR200" i="4" s="1"/>
  <c r="DU267" i="11"/>
  <c r="DR267" i="11"/>
  <c r="DD260" i="11"/>
  <c r="DD426" i="11"/>
  <c r="DQ428" i="11"/>
  <c r="DQ421" i="11"/>
  <c r="DQ244" i="11"/>
  <c r="EJ238" i="11"/>
  <c r="EJ267" i="11" s="1"/>
  <c r="EH190" i="11"/>
  <c r="EH238" i="11" s="1"/>
  <c r="ED190" i="11"/>
  <c r="ED238" i="11" s="1"/>
  <c r="EG190" i="11"/>
  <c r="EG238" i="11" s="1"/>
  <c r="EF190" i="11"/>
  <c r="EF238" i="11" s="1"/>
  <c r="EI190" i="11"/>
  <c r="EI238" i="11" s="1"/>
  <c r="EE190" i="11"/>
  <c r="EE238" i="11" s="1"/>
  <c r="EJ225" i="11"/>
  <c r="EJ249" i="11" s="1"/>
  <c r="EH176" i="11"/>
  <c r="EH225" i="11" s="1"/>
  <c r="EH249" i="11" s="1"/>
  <c r="ED176" i="11"/>
  <c r="ED225" i="11" s="1"/>
  <c r="ED249" i="11" s="1"/>
  <c r="EG176" i="11"/>
  <c r="EG225" i="11" s="1"/>
  <c r="EG249" i="11" s="1"/>
  <c r="EF176" i="11"/>
  <c r="EF225" i="11" s="1"/>
  <c r="EF249" i="11" s="1"/>
  <c r="EI176" i="11"/>
  <c r="EI225" i="11" s="1"/>
  <c r="EI249" i="11" s="1"/>
  <c r="EE176" i="11"/>
  <c r="EE225" i="11" s="1"/>
  <c r="EE249" i="11" s="1"/>
  <c r="EJ171" i="11"/>
  <c r="EC220" i="11"/>
  <c r="EC243" i="11" s="1"/>
  <c r="DY171" i="11"/>
  <c r="DY220" i="11" s="1"/>
  <c r="DY243" i="11" s="1"/>
  <c r="EB171" i="11"/>
  <c r="EB220" i="11" s="1"/>
  <c r="DX171" i="11"/>
  <c r="DX220" i="11" s="1"/>
  <c r="DX243" i="11" s="1"/>
  <c r="EA171" i="11"/>
  <c r="EA220" i="11" s="1"/>
  <c r="EA243" i="11" s="1"/>
  <c r="DW171" i="11"/>
  <c r="DW220" i="11" s="1"/>
  <c r="DW243" i="11" s="1"/>
  <c r="DZ171" i="11"/>
  <c r="DZ220" i="11" s="1"/>
  <c r="EC219" i="11"/>
  <c r="EA170" i="11"/>
  <c r="EA219" i="11" s="1"/>
  <c r="DW170" i="11"/>
  <c r="DW219" i="11" s="1"/>
  <c r="DZ170" i="11"/>
  <c r="DZ219" i="11" s="1"/>
  <c r="DZ242" i="11" s="1"/>
  <c r="DY170" i="11"/>
  <c r="DY219" i="11" s="1"/>
  <c r="EB170" i="11"/>
  <c r="EB219" i="11" s="1"/>
  <c r="EB242" i="11" s="1"/>
  <c r="DX170" i="11"/>
  <c r="DX219" i="11" s="1"/>
  <c r="DX242" i="11" s="1"/>
  <c r="EJ170" i="11"/>
  <c r="EJ484" i="11"/>
  <c r="EQ190" i="11"/>
  <c r="EJ471" i="11"/>
  <c r="EQ176" i="11"/>
  <c r="DX424" i="11" l="1"/>
  <c r="DN250" i="11"/>
  <c r="DN423" i="11"/>
  <c r="DW333" i="11"/>
  <c r="EJ227" i="11"/>
  <c r="EJ252" i="11" s="1"/>
  <c r="EA252" i="11"/>
  <c r="EI178" i="11"/>
  <c r="EI227" i="11" s="1"/>
  <c r="EI252" i="11" s="1"/>
  <c r="EF178" i="11"/>
  <c r="EF227" i="11" s="1"/>
  <c r="EF333" i="11" s="1"/>
  <c r="EE178" i="11"/>
  <c r="EE227" i="11" s="1"/>
  <c r="EE252" i="11" s="1"/>
  <c r="EE254" i="11" s="1"/>
  <c r="EQ178" i="11"/>
  <c r="EQ227" i="11" s="1"/>
  <c r="EG178" i="11"/>
  <c r="EG227" i="11" s="1"/>
  <c r="EJ473" i="11"/>
  <c r="ED178" i="11"/>
  <c r="ED227" i="11" s="1"/>
  <c r="ED252" i="11" s="1"/>
  <c r="DL250" i="11"/>
  <c r="DU260" i="11"/>
  <c r="EG177" i="11"/>
  <c r="EG226" i="11" s="1"/>
  <c r="EG251" i="11" s="1"/>
  <c r="EJ472" i="11"/>
  <c r="EI177" i="11"/>
  <c r="EI226" i="11" s="1"/>
  <c r="EI251" i="11" s="1"/>
  <c r="EF177" i="11"/>
  <c r="EF226" i="11" s="1"/>
  <c r="EF251" i="11" s="1"/>
  <c r="EQ177" i="11"/>
  <c r="EN177" i="11" s="1"/>
  <c r="EN226" i="11" s="1"/>
  <c r="EN251" i="11" s="1"/>
  <c r="EJ226" i="11"/>
  <c r="EJ251" i="11" s="1"/>
  <c r="ED177" i="11"/>
  <c r="ED226" i="11" s="1"/>
  <c r="ED251" i="11" s="1"/>
  <c r="EH177" i="11"/>
  <c r="EH226" i="11" s="1"/>
  <c r="EH251" i="11" s="1"/>
  <c r="EQ189" i="11"/>
  <c r="EP189" i="11" s="1"/>
  <c r="EP237" i="11" s="1"/>
  <c r="EI179" i="11"/>
  <c r="EI228" i="11" s="1"/>
  <c r="EI253" i="11" s="1"/>
  <c r="DM256" i="11"/>
  <c r="DU244" i="11"/>
  <c r="EG189" i="11"/>
  <c r="EG237" i="11" s="1"/>
  <c r="EG266" i="11" s="1"/>
  <c r="ED189" i="11"/>
  <c r="ED237" i="11" s="1"/>
  <c r="ED266" i="11" s="1"/>
  <c r="EF189" i="11"/>
  <c r="EF237" i="11" s="1"/>
  <c r="EF266" i="11" s="1"/>
  <c r="EJ237" i="11"/>
  <c r="EJ266" i="11" s="1"/>
  <c r="EF179" i="11"/>
  <c r="EF228" i="11" s="1"/>
  <c r="EF253" i="11" s="1"/>
  <c r="EJ228" i="11"/>
  <c r="EJ253" i="11" s="1"/>
  <c r="EI191" i="11"/>
  <c r="DS426" i="11"/>
  <c r="ED179" i="11"/>
  <c r="ED228" i="11" s="1"/>
  <c r="ED253" i="11" s="1"/>
  <c r="EQ179" i="11"/>
  <c r="EQ474" i="11" s="1"/>
  <c r="EJ474" i="11"/>
  <c r="EG179" i="11"/>
  <c r="EG228" i="11" s="1"/>
  <c r="EG253" i="11" s="1"/>
  <c r="EH179" i="11"/>
  <c r="EH228" i="11" s="1"/>
  <c r="EH253" i="11" s="1"/>
  <c r="DS421" i="11"/>
  <c r="DC144" i="11"/>
  <c r="EC337" i="11"/>
  <c r="DZ243" i="11"/>
  <c r="DZ244" i="11" s="1"/>
  <c r="EH189" i="11"/>
  <c r="EH237" i="11" s="1"/>
  <c r="EH266" i="11" s="1"/>
  <c r="EE189" i="11"/>
  <c r="EE237" i="11" s="1"/>
  <c r="EE266" i="11" s="1"/>
  <c r="EH267" i="11"/>
  <c r="EJ483" i="11"/>
  <c r="DB428" i="11"/>
  <c r="DC145" i="11"/>
  <c r="DD74" i="11"/>
  <c r="DD145" i="11"/>
  <c r="DD267" i="11"/>
  <c r="DD268" i="11" s="1"/>
  <c r="EA337" i="11"/>
  <c r="EC334" i="11"/>
  <c r="DR234" i="243"/>
  <c r="DR235" i="243" s="1"/>
  <c r="DT235" i="243"/>
  <c r="DP254" i="11"/>
  <c r="EA234" i="243"/>
  <c r="EA29" i="2" s="1"/>
  <c r="DW234" i="243"/>
  <c r="DW29" i="2" s="1"/>
  <c r="EB267" i="11"/>
  <c r="EB428" i="11" s="1"/>
  <c r="DP29" i="2"/>
  <c r="EE234" i="243"/>
  <c r="EE29" i="2" s="1"/>
  <c r="EB243" i="11"/>
  <c r="EB421" i="11" s="1"/>
  <c r="DY267" i="11"/>
  <c r="DY428" i="11" s="1"/>
  <c r="DW268" i="11"/>
  <c r="EO138" i="11"/>
  <c r="EK138" i="11" s="1"/>
  <c r="EL138" i="11" s="1"/>
  <c r="DZ428" i="11"/>
  <c r="EA126" i="11"/>
  <c r="DW126" i="11" s="1"/>
  <c r="DX126" i="11" s="1"/>
  <c r="DX259" i="11" s="1"/>
  <c r="ED138" i="11"/>
  <c r="EE138" i="11" s="1"/>
  <c r="EE267" i="11" s="1"/>
  <c r="EI138" i="11"/>
  <c r="EF138" i="11" s="1"/>
  <c r="EG138" i="11" s="1"/>
  <c r="EG267" i="11" s="1"/>
  <c r="EP102" i="11"/>
  <c r="EN102" i="11" s="1"/>
  <c r="EW198" i="4"/>
  <c r="EW200" i="4" s="1"/>
  <c r="EB424" i="11"/>
  <c r="DX254" i="11"/>
  <c r="DW334" i="11"/>
  <c r="EA253" i="11"/>
  <c r="EA254" i="11" s="1"/>
  <c r="EC335" i="11"/>
  <c r="EG234" i="243"/>
  <c r="EH234" i="243" s="1"/>
  <c r="EH181" i="11"/>
  <c r="EH230" i="11" s="1"/>
  <c r="EJ485" i="11"/>
  <c r="EG191" i="11"/>
  <c r="DX268" i="11"/>
  <c r="EJ230" i="11"/>
  <c r="DU254" i="11"/>
  <c r="ED191" i="11"/>
  <c r="EF191" i="11"/>
  <c r="EQ181" i="11"/>
  <c r="EM181" i="11" s="1"/>
  <c r="EM230" i="11" s="1"/>
  <c r="EH191" i="11"/>
  <c r="EG181" i="11"/>
  <c r="EG230" i="11" s="1"/>
  <c r="EI181" i="11"/>
  <c r="EI230" i="11" s="1"/>
  <c r="EE181" i="11"/>
  <c r="EE230" i="11" s="1"/>
  <c r="EQ191" i="11"/>
  <c r="EO191" i="11" s="1"/>
  <c r="ED181" i="11"/>
  <c r="ED230" i="11" s="1"/>
  <c r="ED335" i="11" s="1"/>
  <c r="DT428" i="11"/>
  <c r="EQ103" i="11"/>
  <c r="DY200" i="4"/>
  <c r="EC259" i="11"/>
  <c r="EC260" i="11" s="1"/>
  <c r="EC478" i="11"/>
  <c r="DM129" i="11"/>
  <c r="DS203" i="4" s="1"/>
  <c r="DS206" i="4" s="1"/>
  <c r="DS208" i="4" s="1"/>
  <c r="ER198" i="4"/>
  <c r="ER200" i="4" s="1"/>
  <c r="EM199" i="4"/>
  <c r="EW202" i="4"/>
  <c r="EG115" i="11"/>
  <c r="EO198" i="4"/>
  <c r="EO200" i="4" s="1"/>
  <c r="EF198" i="4"/>
  <c r="EF200" i="4" s="1"/>
  <c r="DT123" i="11"/>
  <c r="DZ201" i="4" s="1"/>
  <c r="DW201" i="4"/>
  <c r="EP234" i="243"/>
  <c r="EP29" i="2" s="1"/>
  <c r="DT242" i="243"/>
  <c r="DR242" i="243" s="1"/>
  <c r="DQ242" i="243"/>
  <c r="DO242" i="243"/>
  <c r="DS242" i="243"/>
  <c r="DP242" i="243" s="1"/>
  <c r="EB242" i="243"/>
  <c r="EN235" i="243"/>
  <c r="EL235" i="243"/>
  <c r="EJ235" i="243"/>
  <c r="EJ234" i="243" s="1"/>
  <c r="EJ29" i="2" s="1"/>
  <c r="W188" i="243"/>
  <c r="W182" i="243" s="1"/>
  <c r="V182" i="243"/>
  <c r="X182" i="243"/>
  <c r="X188" i="243" s="1"/>
  <c r="Z188" i="243"/>
  <c r="AB182" i="243"/>
  <c r="AC188" i="243"/>
  <c r="AI188" i="243"/>
  <c r="AM188" i="243"/>
  <c r="AM182" i="243" s="1"/>
  <c r="EI29" i="2"/>
  <c r="EM210" i="243"/>
  <c r="EM211" i="243" s="1"/>
  <c r="EM213" i="243" s="1"/>
  <c r="EO211" i="243"/>
  <c r="EO213" i="243" s="1"/>
  <c r="EK210" i="243"/>
  <c r="EK211" i="243" s="1"/>
  <c r="EK213" i="243" s="1"/>
  <c r="EN211" i="243"/>
  <c r="EN213" i="243" s="1"/>
  <c r="DV339" i="11"/>
  <c r="DV338" i="11"/>
  <c r="EJ468" i="11"/>
  <c r="EI266" i="11"/>
  <c r="EH173" i="11"/>
  <c r="EH222" i="11" s="1"/>
  <c r="EH246" i="11" s="1"/>
  <c r="EJ222" i="11"/>
  <c r="EJ246" i="11" s="1"/>
  <c r="EE173" i="11"/>
  <c r="EE222" i="11" s="1"/>
  <c r="EE246" i="11" s="1"/>
  <c r="EG173" i="11"/>
  <c r="EG222" i="11" s="1"/>
  <c r="EG246" i="11" s="1"/>
  <c r="EI173" i="11"/>
  <c r="EI222" i="11" s="1"/>
  <c r="EI246" i="11" s="1"/>
  <c r="DZ268" i="11"/>
  <c r="EQ173" i="11"/>
  <c r="EM173" i="11" s="1"/>
  <c r="EM222" i="11" s="1"/>
  <c r="EM246" i="11" s="1"/>
  <c r="ED173" i="11"/>
  <c r="ED222" i="11" s="1"/>
  <c r="ED246" i="11" s="1"/>
  <c r="DQ129" i="11"/>
  <c r="DW203" i="4" s="1"/>
  <c r="DW206" i="4" s="1"/>
  <c r="DW208" i="4" s="1"/>
  <c r="DS98" i="11"/>
  <c r="DX123" i="11"/>
  <c r="ED201" i="4" s="1"/>
  <c r="DZ90" i="11"/>
  <c r="EI87" i="11"/>
  <c r="EI90" i="11" s="1"/>
  <c r="DZ95" i="11"/>
  <c r="EB95" i="11" s="1"/>
  <c r="EB98" i="11" s="1"/>
  <c r="EI183" i="11"/>
  <c r="EI232" i="11" s="1"/>
  <c r="EF183" i="11"/>
  <c r="EF232" i="11" s="1"/>
  <c r="ED183" i="11"/>
  <c r="ED232" i="11" s="1"/>
  <c r="ED336" i="11" s="1"/>
  <c r="EJ232" i="11"/>
  <c r="EJ259" i="11" s="1"/>
  <c r="EG183" i="11"/>
  <c r="EG232" i="11" s="1"/>
  <c r="EQ183" i="11"/>
  <c r="EK183" i="11" s="1"/>
  <c r="EK232" i="11" s="1"/>
  <c r="EH183" i="11"/>
  <c r="EH232" i="11" s="1"/>
  <c r="EB250" i="11"/>
  <c r="EQ174" i="11"/>
  <c r="EQ223" i="11" s="1"/>
  <c r="EQ247" i="11" s="1"/>
  <c r="DY98" i="11"/>
  <c r="ED123" i="11"/>
  <c r="EJ201" i="4" s="1"/>
  <c r="DC122" i="11"/>
  <c r="DC256" i="11" s="1"/>
  <c r="DC257" i="11" s="1"/>
  <c r="DP143" i="11"/>
  <c r="CU425" i="11"/>
  <c r="CU257" i="11"/>
  <c r="DW129" i="11"/>
  <c r="EC203" i="4" s="1"/>
  <c r="EC206" i="4" s="1"/>
  <c r="EC208" i="4" s="1"/>
  <c r="EF95" i="11"/>
  <c r="EF90" i="11"/>
  <c r="DF425" i="11"/>
  <c r="EA336" i="11"/>
  <c r="EJ478" i="11"/>
  <c r="EF174" i="11"/>
  <c r="EF223" i="11" s="1"/>
  <c r="EF247" i="11" s="1"/>
  <c r="EF250" i="11" s="1"/>
  <c r="CS102" i="11"/>
  <c r="EI174" i="11"/>
  <c r="EI223" i="11" s="1"/>
  <c r="EI247" i="11" s="1"/>
  <c r="EJ482" i="11"/>
  <c r="EH188" i="11"/>
  <c r="EH236" i="11" s="1"/>
  <c r="EJ223" i="11"/>
  <c r="EJ247" i="11" s="1"/>
  <c r="EA265" i="11"/>
  <c r="EA428" i="11" s="1"/>
  <c r="EF188" i="11"/>
  <c r="EF236" i="11" s="1"/>
  <c r="EF265" i="11" s="1"/>
  <c r="EQ188" i="11"/>
  <c r="EK188" i="11" s="1"/>
  <c r="EK236" i="11" s="1"/>
  <c r="EH174" i="11"/>
  <c r="EH223" i="11" s="1"/>
  <c r="EH247" i="11" s="1"/>
  <c r="EG188" i="11"/>
  <c r="EG236" i="11" s="1"/>
  <c r="EG265" i="11" s="1"/>
  <c r="EI188" i="11"/>
  <c r="EI236" i="11" s="1"/>
  <c r="EI265" i="11" s="1"/>
  <c r="EJ236" i="11"/>
  <c r="DX428" i="11"/>
  <c r="DW337" i="11"/>
  <c r="EJ469" i="11"/>
  <c r="EG174" i="11"/>
  <c r="EG223" i="11" s="1"/>
  <c r="EG247" i="11" s="1"/>
  <c r="EH182" i="11"/>
  <c r="EH231" i="11" s="1"/>
  <c r="EE174" i="11"/>
  <c r="EE223" i="11" s="1"/>
  <c r="EE247" i="11" s="1"/>
  <c r="EE188" i="11"/>
  <c r="EE236" i="11" s="1"/>
  <c r="EE265" i="11" s="1"/>
  <c r="EB423" i="11"/>
  <c r="DZ423" i="11"/>
  <c r="EQ126" i="11"/>
  <c r="EB254" i="11"/>
  <c r="DY337" i="11"/>
  <c r="DW98" i="11"/>
  <c r="DY123" i="11"/>
  <c r="EE201" i="4" s="1"/>
  <c r="DK143" i="11"/>
  <c r="DR129" i="11"/>
  <c r="DX203" i="4" s="1"/>
  <c r="DX206" i="4" s="1"/>
  <c r="DX208" i="4" s="1"/>
  <c r="ED90" i="11"/>
  <c r="ED95" i="11"/>
  <c r="EC255" i="11"/>
  <c r="EP137" i="11"/>
  <c r="EM137" i="11" s="1"/>
  <c r="EN137" i="11" s="1"/>
  <c r="EK137" i="11"/>
  <c r="EL137" i="11" s="1"/>
  <c r="DZ252" i="11"/>
  <c r="DV244" i="11"/>
  <c r="DT421" i="11"/>
  <c r="DW424" i="11"/>
  <c r="DR244" i="11"/>
  <c r="DP426" i="11"/>
  <c r="DW428" i="11"/>
  <c r="EE180" i="11"/>
  <c r="EE229" i="11" s="1"/>
  <c r="EE255" i="11" s="1"/>
  <c r="EC268" i="11"/>
  <c r="EC250" i="11"/>
  <c r="DP421" i="11"/>
  <c r="DR426" i="11"/>
  <c r="DR421" i="11"/>
  <c r="EA423" i="11"/>
  <c r="EQ180" i="11"/>
  <c r="EO180" i="11" s="1"/>
  <c r="EO229" i="11" s="1"/>
  <c r="EH175" i="11"/>
  <c r="EH224" i="11" s="1"/>
  <c r="EH248" i="11" s="1"/>
  <c r="EP115" i="11"/>
  <c r="EV198" i="4" s="1"/>
  <c r="EV200" i="4" s="1"/>
  <c r="EN116" i="11"/>
  <c r="DS252" i="11"/>
  <c r="EH126" i="11"/>
  <c r="ED126" i="11" s="1"/>
  <c r="EE126" i="11" s="1"/>
  <c r="EE259" i="11" s="1"/>
  <c r="AO188" i="243"/>
  <c r="AH182" i="243"/>
  <c r="AG182" i="243" s="1"/>
  <c r="DW423" i="11"/>
  <c r="DX423" i="11"/>
  <c r="DY250" i="11"/>
  <c r="DW254" i="11"/>
  <c r="EH180" i="11"/>
  <c r="EH229" i="11" s="1"/>
  <c r="EH255" i="11" s="1"/>
  <c r="DX250" i="11"/>
  <c r="EJ475" i="11"/>
  <c r="EF180" i="11"/>
  <c r="EF229" i="11" s="1"/>
  <c r="EF335" i="11" s="1"/>
  <c r="EJ229" i="11"/>
  <c r="EJ224" i="11"/>
  <c r="EJ248" i="11" s="1"/>
  <c r="EG180" i="11"/>
  <c r="EG229" i="11" s="1"/>
  <c r="EG255" i="11" s="1"/>
  <c r="DT244" i="11"/>
  <c r="DY254" i="11"/>
  <c r="EI180" i="11"/>
  <c r="EI229" i="11" s="1"/>
  <c r="EI255" i="11" s="1"/>
  <c r="DW250" i="11"/>
  <c r="DY424" i="11"/>
  <c r="DW258" i="11"/>
  <c r="DW336" i="11"/>
  <c r="EA242" i="11"/>
  <c r="EA332" i="11"/>
  <c r="ED265" i="11"/>
  <c r="ED258" i="11"/>
  <c r="DY242" i="11"/>
  <c r="DY332" i="11"/>
  <c r="EJ231" i="11"/>
  <c r="EH252" i="11"/>
  <c r="EH333" i="11"/>
  <c r="EI182" i="11"/>
  <c r="EI231" i="11" s="1"/>
  <c r="EI258" i="11" s="1"/>
  <c r="DW255" i="11"/>
  <c r="DW335" i="11"/>
  <c r="DY258" i="11"/>
  <c r="DY336" i="11"/>
  <c r="EQ182" i="11"/>
  <c r="EQ477" i="11" s="1"/>
  <c r="DW242" i="11"/>
  <c r="DW332" i="11"/>
  <c r="EF182" i="11"/>
  <c r="EF231" i="11" s="1"/>
  <c r="ED255" i="11"/>
  <c r="DR260" i="11"/>
  <c r="DY255" i="11"/>
  <c r="DY335" i="11"/>
  <c r="EC336" i="11"/>
  <c r="EG175" i="11"/>
  <c r="EG224" i="11" s="1"/>
  <c r="EG248" i="11" s="1"/>
  <c r="EI175" i="11"/>
  <c r="EI224" i="11" s="1"/>
  <c r="EI248" i="11" s="1"/>
  <c r="EQ175" i="11"/>
  <c r="EQ224" i="11" s="1"/>
  <c r="EQ248" i="11" s="1"/>
  <c r="EE175" i="11"/>
  <c r="EE224" i="11" s="1"/>
  <c r="EE248" i="11" s="1"/>
  <c r="EJ470" i="11"/>
  <c r="EJ477" i="11"/>
  <c r="EG182" i="11"/>
  <c r="EG231" i="11" s="1"/>
  <c r="EG258" i="11" s="1"/>
  <c r="EE182" i="11"/>
  <c r="EE231" i="11" s="1"/>
  <c r="EE258" i="11" s="1"/>
  <c r="ED175" i="11"/>
  <c r="ED224" i="11" s="1"/>
  <c r="ED248" i="11" s="1"/>
  <c r="EA250" i="11"/>
  <c r="EC423" i="11"/>
  <c r="DZ250" i="11"/>
  <c r="DY423" i="11"/>
  <c r="DV421" i="11"/>
  <c r="EC254" i="11"/>
  <c r="EC242" i="11"/>
  <c r="EC332" i="11"/>
  <c r="DR428" i="11"/>
  <c r="DR268" i="11"/>
  <c r="DU268" i="11"/>
  <c r="DU428" i="11"/>
  <c r="DX421" i="11"/>
  <c r="DX244" i="11"/>
  <c r="EQ171" i="11"/>
  <c r="EJ220" i="11"/>
  <c r="EJ243" i="11" s="1"/>
  <c r="EF171" i="11"/>
  <c r="EF220" i="11" s="1"/>
  <c r="EF243" i="11" s="1"/>
  <c r="EI171" i="11"/>
  <c r="EI220" i="11" s="1"/>
  <c r="EI243" i="11" s="1"/>
  <c r="EE171" i="11"/>
  <c r="EE220" i="11" s="1"/>
  <c r="EE243" i="11" s="1"/>
  <c r="EH171" i="11"/>
  <c r="EH220" i="11" s="1"/>
  <c r="EH243" i="11" s="1"/>
  <c r="ED171" i="11"/>
  <c r="ED220" i="11" s="1"/>
  <c r="ED243" i="11" s="1"/>
  <c r="EG171" i="11"/>
  <c r="EG220" i="11" s="1"/>
  <c r="EG243" i="11" s="1"/>
  <c r="EQ471" i="11"/>
  <c r="EQ225" i="11"/>
  <c r="EQ249" i="11" s="1"/>
  <c r="EO176" i="11"/>
  <c r="EO225" i="11" s="1"/>
  <c r="EO249" i="11" s="1"/>
  <c r="EK176" i="11"/>
  <c r="EK225" i="11" s="1"/>
  <c r="EK249" i="11" s="1"/>
  <c r="EN176" i="11"/>
  <c r="EN225" i="11" s="1"/>
  <c r="EN249" i="11" s="1"/>
  <c r="EM176" i="11"/>
  <c r="EM225" i="11" s="1"/>
  <c r="EM249" i="11" s="1"/>
  <c r="EP176" i="11"/>
  <c r="EP225" i="11" s="1"/>
  <c r="EP249" i="11" s="1"/>
  <c r="EL176" i="11"/>
  <c r="EL225" i="11" s="1"/>
  <c r="EL249" i="11" s="1"/>
  <c r="EJ219" i="11"/>
  <c r="EH170" i="11"/>
  <c r="EH219" i="11" s="1"/>
  <c r="ED170" i="11"/>
  <c r="ED219" i="11" s="1"/>
  <c r="EG170" i="11"/>
  <c r="EG219" i="11" s="1"/>
  <c r="EG242" i="11" s="1"/>
  <c r="EF170" i="11"/>
  <c r="EF219" i="11" s="1"/>
  <c r="EI170" i="11"/>
  <c r="EI219" i="11" s="1"/>
  <c r="EI242" i="11" s="1"/>
  <c r="EE170" i="11"/>
  <c r="EE219" i="11" s="1"/>
  <c r="EE242" i="11" s="1"/>
  <c r="EQ170" i="11"/>
  <c r="EQ484" i="11"/>
  <c r="EQ238" i="11"/>
  <c r="EQ267" i="11" s="1"/>
  <c r="EO190" i="11"/>
  <c r="EO238" i="11" s="1"/>
  <c r="EK190" i="11"/>
  <c r="EK238" i="11" s="1"/>
  <c r="EM190" i="11"/>
  <c r="EM238" i="11" s="1"/>
  <c r="EN190" i="11"/>
  <c r="EN238" i="11" s="1"/>
  <c r="EL190" i="11"/>
  <c r="EL238" i="11" s="1"/>
  <c r="EP190" i="11"/>
  <c r="EP238" i="11" s="1"/>
  <c r="EL189" i="11" l="1"/>
  <c r="EL237" i="11" s="1"/>
  <c r="EF252" i="11"/>
  <c r="EF254" i="11" s="1"/>
  <c r="EK189" i="11"/>
  <c r="EK237" i="11" s="1"/>
  <c r="EJ333" i="11"/>
  <c r="EL178" i="11"/>
  <c r="EL227" i="11" s="1"/>
  <c r="EL252" i="11" s="1"/>
  <c r="EM178" i="11"/>
  <c r="EM227" i="11" s="1"/>
  <c r="EM333" i="11" s="1"/>
  <c r="EN178" i="11"/>
  <c r="EN227" i="11" s="1"/>
  <c r="EO178" i="11"/>
  <c r="EO227" i="11" s="1"/>
  <c r="EO252" i="11" s="1"/>
  <c r="EK178" i="11"/>
  <c r="EK227" i="11" s="1"/>
  <c r="EK252" i="11" s="1"/>
  <c r="EQ473" i="11"/>
  <c r="EP178" i="11"/>
  <c r="EP227" i="11" s="1"/>
  <c r="EE424" i="11"/>
  <c r="ED333" i="11"/>
  <c r="EP177" i="11"/>
  <c r="EP226" i="11" s="1"/>
  <c r="EP251" i="11" s="1"/>
  <c r="EG252" i="11"/>
  <c r="EG254" i="11" s="1"/>
  <c r="EM177" i="11"/>
  <c r="EM226" i="11" s="1"/>
  <c r="EM251" i="11" s="1"/>
  <c r="EQ226" i="11"/>
  <c r="EQ251" i="11" s="1"/>
  <c r="EO189" i="11"/>
  <c r="EO237" i="11" s="1"/>
  <c r="EO266" i="11" s="1"/>
  <c r="EJ337" i="11"/>
  <c r="EM189" i="11"/>
  <c r="EM237" i="11" s="1"/>
  <c r="EM266" i="11" s="1"/>
  <c r="EQ483" i="11"/>
  <c r="EQ237" i="11"/>
  <c r="EQ266" i="11" s="1"/>
  <c r="EN189" i="11"/>
  <c r="EN237" i="11" s="1"/>
  <c r="EN266" i="11" s="1"/>
  <c r="EI254" i="11"/>
  <c r="EK177" i="11"/>
  <c r="EK226" i="11" s="1"/>
  <c r="EK251" i="11" s="1"/>
  <c r="EO177" i="11"/>
  <c r="EO226" i="11" s="1"/>
  <c r="EO251" i="11" s="1"/>
  <c r="EQ472" i="11"/>
  <c r="EL177" i="11"/>
  <c r="EL226" i="11" s="1"/>
  <c r="EL251" i="11" s="1"/>
  <c r="ED337" i="11"/>
  <c r="DZ421" i="11"/>
  <c r="EF334" i="11"/>
  <c r="EN179" i="11"/>
  <c r="EN228" i="11" s="1"/>
  <c r="EN253" i="11" s="1"/>
  <c r="EK179" i="11"/>
  <c r="EK228" i="11" s="1"/>
  <c r="EK253" i="11" s="1"/>
  <c r="ED334" i="11"/>
  <c r="EO179" i="11"/>
  <c r="EO228" i="11" s="1"/>
  <c r="EO253" i="11" s="1"/>
  <c r="EL179" i="11"/>
  <c r="EL228" i="11" s="1"/>
  <c r="EL253" i="11" s="1"/>
  <c r="EP179" i="11"/>
  <c r="EP228" i="11" s="1"/>
  <c r="EP253" i="11" s="1"/>
  <c r="EM179" i="11"/>
  <c r="EM228" i="11" s="1"/>
  <c r="EM253" i="11" s="1"/>
  <c r="EQ228" i="11"/>
  <c r="EQ334" i="11" s="1"/>
  <c r="EJ334" i="11"/>
  <c r="EH334" i="11"/>
  <c r="EL267" i="11"/>
  <c r="EH337" i="11"/>
  <c r="EA424" i="11"/>
  <c r="DK74" i="11"/>
  <c r="DK144" i="11"/>
  <c r="DK145" i="11"/>
  <c r="DP74" i="11"/>
  <c r="DD428" i="11"/>
  <c r="EK267" i="11"/>
  <c r="EB268" i="11"/>
  <c r="EO267" i="11"/>
  <c r="DR29" i="2"/>
  <c r="EB244" i="11"/>
  <c r="DY268" i="11"/>
  <c r="EO181" i="11"/>
  <c r="EO230" i="11" s="1"/>
  <c r="EO335" i="11" s="1"/>
  <c r="EP138" i="11"/>
  <c r="EM138" i="11" s="1"/>
  <c r="EN138" i="11" s="1"/>
  <c r="EN267" i="11" s="1"/>
  <c r="DW235" i="243"/>
  <c r="DY234" i="243"/>
  <c r="DY235" i="243" s="1"/>
  <c r="EA235" i="243"/>
  <c r="EC339" i="11"/>
  <c r="EM191" i="11"/>
  <c r="EQ485" i="11"/>
  <c r="DW259" i="11"/>
  <c r="DW426" i="11" s="1"/>
  <c r="ED234" i="243"/>
  <c r="ED235" i="243" s="1"/>
  <c r="EJ335" i="11"/>
  <c r="EF267" i="11"/>
  <c r="EF268" i="11" s="1"/>
  <c r="EI267" i="11"/>
  <c r="EI428" i="11" s="1"/>
  <c r="DX260" i="11"/>
  <c r="DX426" i="11"/>
  <c r="EP103" i="11"/>
  <c r="EN103" i="11" s="1"/>
  <c r="ED267" i="11"/>
  <c r="ED268" i="11" s="1"/>
  <c r="EO126" i="11"/>
  <c r="EK126" i="11" s="1"/>
  <c r="EL126" i="11" s="1"/>
  <c r="EA259" i="11"/>
  <c r="EA260" i="11" s="1"/>
  <c r="EB126" i="11"/>
  <c r="DY126" i="11" s="1"/>
  <c r="DZ126" i="11" s="1"/>
  <c r="DZ259" i="11" s="1"/>
  <c r="DZ426" i="11" s="1"/>
  <c r="EE268" i="11"/>
  <c r="EL191" i="11"/>
  <c r="EP191" i="11"/>
  <c r="EN191" i="11"/>
  <c r="EK191" i="11"/>
  <c r="EQ230" i="11"/>
  <c r="EN234" i="243"/>
  <c r="EN29" i="2" s="1"/>
  <c r="EG29" i="2"/>
  <c r="EL181" i="11"/>
  <c r="EL230" i="11" s="1"/>
  <c r="EN181" i="11"/>
  <c r="EN230" i="11" s="1"/>
  <c r="EP181" i="11"/>
  <c r="EP230" i="11" s="1"/>
  <c r="EK181" i="11"/>
  <c r="EK230" i="11" s="1"/>
  <c r="EC338" i="11"/>
  <c r="DT129" i="11"/>
  <c r="DZ203" i="4" s="1"/>
  <c r="DZ206" i="4" s="1"/>
  <c r="DZ208" i="4" s="1"/>
  <c r="EI424" i="11"/>
  <c r="DT122" i="11"/>
  <c r="DP122" i="11" s="1"/>
  <c r="EM198" i="4"/>
  <c r="EM200" i="4" s="1"/>
  <c r="ET199" i="4"/>
  <c r="EL234" i="243"/>
  <c r="EL29" i="2" s="1"/>
  <c r="DV242" i="243"/>
  <c r="DZ242" i="243"/>
  <c r="DW242" i="243" s="1"/>
  <c r="EI242" i="243"/>
  <c r="DX242" i="243"/>
  <c r="EA242" i="243"/>
  <c r="DY242" i="243" s="1"/>
  <c r="AE182" i="243"/>
  <c r="AE188" i="243" s="1"/>
  <c r="AG188" i="243"/>
  <c r="AD188" i="243"/>
  <c r="AD182" i="243" s="1"/>
  <c r="AC182" i="243"/>
  <c r="AT188" i="243"/>
  <c r="AT182" i="243" s="1"/>
  <c r="AP188" i="243"/>
  <c r="AJ188" i="243"/>
  <c r="AI182" i="243"/>
  <c r="EH29" i="2"/>
  <c r="EF234" i="243"/>
  <c r="EH235" i="243"/>
  <c r="EG428" i="11"/>
  <c r="EO173" i="11"/>
  <c r="EO222" i="11" s="1"/>
  <c r="EO246" i="11" s="1"/>
  <c r="EL183" i="11"/>
  <c r="EL232" i="11" s="1"/>
  <c r="EQ222" i="11"/>
  <c r="EQ246" i="11" s="1"/>
  <c r="EQ250" i="11" s="1"/>
  <c r="EK174" i="11"/>
  <c r="EK223" i="11" s="1"/>
  <c r="EK247" i="11" s="1"/>
  <c r="EO183" i="11"/>
  <c r="EO232" i="11" s="1"/>
  <c r="EN173" i="11"/>
  <c r="EN222" i="11" s="1"/>
  <c r="EN246" i="11" s="1"/>
  <c r="EP173" i="11"/>
  <c r="EP222" i="11" s="1"/>
  <c r="EP246" i="11" s="1"/>
  <c r="EL174" i="11"/>
  <c r="EL223" i="11" s="1"/>
  <c r="EL247" i="11" s="1"/>
  <c r="EN183" i="11"/>
  <c r="EN232" i="11" s="1"/>
  <c r="EL173" i="11"/>
  <c r="EL222" i="11" s="1"/>
  <c r="EL246" i="11" s="1"/>
  <c r="EQ468" i="11"/>
  <c r="EQ469" i="11"/>
  <c r="EM183" i="11"/>
  <c r="EM232" i="11" s="1"/>
  <c r="EK173" i="11"/>
  <c r="EK222" i="11" s="1"/>
  <c r="EK246" i="11" s="1"/>
  <c r="EN174" i="11"/>
  <c r="EN223" i="11" s="1"/>
  <c r="EN247" i="11" s="1"/>
  <c r="EN188" i="11"/>
  <c r="EN236" i="11" s="1"/>
  <c r="EN265" i="11" s="1"/>
  <c r="EP183" i="11"/>
  <c r="EP232" i="11" s="1"/>
  <c r="EQ232" i="11"/>
  <c r="EQ259" i="11" s="1"/>
  <c r="EP174" i="11"/>
  <c r="EP223" i="11" s="1"/>
  <c r="EP247" i="11" s="1"/>
  <c r="EO174" i="11"/>
  <c r="EO223" i="11" s="1"/>
  <c r="EO247" i="11" s="1"/>
  <c r="EM174" i="11"/>
  <c r="EM223" i="11" s="1"/>
  <c r="EM247" i="11" s="1"/>
  <c r="EH265" i="11"/>
  <c r="EH428" i="11" s="1"/>
  <c r="EF423" i="11"/>
  <c r="DX129" i="11"/>
  <c r="ED203" i="4" s="1"/>
  <c r="ED206" i="4" s="1"/>
  <c r="ED208" i="4" s="1"/>
  <c r="EH336" i="11"/>
  <c r="EA123" i="11"/>
  <c r="DQ143" i="11"/>
  <c r="EG95" i="11"/>
  <c r="EI95" i="11" s="1"/>
  <c r="EI98" i="11" s="1"/>
  <c r="EG90" i="11"/>
  <c r="EP87" i="11"/>
  <c r="EP90" i="11" s="1"/>
  <c r="DZ98" i="11"/>
  <c r="EE123" i="11"/>
  <c r="EJ336" i="11"/>
  <c r="EG424" i="11"/>
  <c r="EF337" i="11"/>
  <c r="EI250" i="11"/>
  <c r="EA268" i="11"/>
  <c r="DB425" i="11"/>
  <c r="EF98" i="11"/>
  <c r="EK123" i="11"/>
  <c r="EQ201" i="4" s="1"/>
  <c r="DW143" i="11"/>
  <c r="CY426" i="11"/>
  <c r="EM95" i="11"/>
  <c r="EM90" i="11"/>
  <c r="CZ426" i="11"/>
  <c r="DM425" i="11"/>
  <c r="DM257" i="11"/>
  <c r="ED129" i="11"/>
  <c r="EJ203" i="4" s="1"/>
  <c r="EJ206" i="4" s="1"/>
  <c r="EJ208" i="4" s="1"/>
  <c r="CU259" i="11"/>
  <c r="CX126" i="11"/>
  <c r="CX259" i="11" s="1"/>
  <c r="CX260" i="11" s="1"/>
  <c r="CW259" i="11"/>
  <c r="CQ102" i="11"/>
  <c r="EE428" i="11"/>
  <c r="EG423" i="11"/>
  <c r="EO188" i="11"/>
  <c r="EO236" i="11" s="1"/>
  <c r="EO265" i="11" s="1"/>
  <c r="EQ236" i="11"/>
  <c r="EE250" i="11"/>
  <c r="EP188" i="11"/>
  <c r="EP236" i="11" s="1"/>
  <c r="EP265" i="11" s="1"/>
  <c r="EQ482" i="11"/>
  <c r="EJ265" i="11"/>
  <c r="EJ268" i="11" s="1"/>
  <c r="EM188" i="11"/>
  <c r="EM236" i="11" s="1"/>
  <c r="EH258" i="11"/>
  <c r="EJ255" i="11"/>
  <c r="EK266" i="11"/>
  <c r="EG268" i="11"/>
  <c r="EL188" i="11"/>
  <c r="EL236" i="11" s="1"/>
  <c r="EL265" i="11" s="1"/>
  <c r="EQ478" i="11"/>
  <c r="EP266" i="11"/>
  <c r="EL266" i="11"/>
  <c r="EM180" i="11"/>
  <c r="EM229" i="11" s="1"/>
  <c r="EM255" i="11" s="1"/>
  <c r="EQ229" i="11"/>
  <c r="EK95" i="11"/>
  <c r="EK90" i="11"/>
  <c r="ED98" i="11"/>
  <c r="EF123" i="11"/>
  <c r="EL201" i="4" s="1"/>
  <c r="DR143" i="11"/>
  <c r="DY129" i="11"/>
  <c r="EE203" i="4" s="1"/>
  <c r="EE206" i="4" s="1"/>
  <c r="EE208" i="4" s="1"/>
  <c r="EH335" i="11"/>
  <c r="DZ254" i="11"/>
  <c r="DZ424" i="11"/>
  <c r="EF255" i="11"/>
  <c r="EI126" i="11"/>
  <c r="EF126" i="11" s="1"/>
  <c r="EG126" i="11" s="1"/>
  <c r="EG259" i="11" s="1"/>
  <c r="EG260" i="11" s="1"/>
  <c r="EC244" i="11"/>
  <c r="EN180" i="11"/>
  <c r="EN229" i="11" s="1"/>
  <c r="EN255" i="11" s="1"/>
  <c r="EQ475" i="11"/>
  <c r="EE423" i="11"/>
  <c r="EJ250" i="11"/>
  <c r="EH250" i="11"/>
  <c r="EP252" i="11"/>
  <c r="EL180" i="11"/>
  <c r="EL229" i="11" s="1"/>
  <c r="EL255" i="11" s="1"/>
  <c r="EK180" i="11"/>
  <c r="EK229" i="11" s="1"/>
  <c r="EK255" i="11" s="1"/>
  <c r="EL182" i="11"/>
  <c r="EL231" i="11" s="1"/>
  <c r="EL258" i="11" s="1"/>
  <c r="DY244" i="11"/>
  <c r="EA244" i="11"/>
  <c r="EP180" i="11"/>
  <c r="EP229" i="11" s="1"/>
  <c r="EP255" i="11" s="1"/>
  <c r="EK182" i="11"/>
  <c r="EK231" i="11" s="1"/>
  <c r="EK258" i="11" s="1"/>
  <c r="EI423" i="11"/>
  <c r="ED250" i="11"/>
  <c r="DW421" i="11"/>
  <c r="EH259" i="11"/>
  <c r="EH423" i="11"/>
  <c r="EE260" i="11"/>
  <c r="EE426" i="11"/>
  <c r="EL175" i="11"/>
  <c r="EL224" i="11" s="1"/>
  <c r="EL248" i="11" s="1"/>
  <c r="EN115" i="11"/>
  <c r="DS254" i="11"/>
  <c r="DS424" i="11"/>
  <c r="ED259" i="11"/>
  <c r="ED426" i="11" s="1"/>
  <c r="BC188" i="243"/>
  <c r="AO182" i="243"/>
  <c r="AN182" i="243" s="1"/>
  <c r="AV188" i="243"/>
  <c r="AV182" i="243" s="1"/>
  <c r="AU182" i="243" s="1"/>
  <c r="EP182" i="11"/>
  <c r="EP231" i="11" s="1"/>
  <c r="EP258" i="11" s="1"/>
  <c r="EO182" i="11"/>
  <c r="EO231" i="11" s="1"/>
  <c r="EO258" i="11" s="1"/>
  <c r="EQ231" i="11"/>
  <c r="EQ258" i="11" s="1"/>
  <c r="EJ258" i="11"/>
  <c r="EM182" i="11"/>
  <c r="EM231" i="11" s="1"/>
  <c r="EN182" i="11"/>
  <c r="EN231" i="11" s="1"/>
  <c r="EN258" i="11" s="1"/>
  <c r="EH254" i="11"/>
  <c r="EG250" i="11"/>
  <c r="EJ423" i="11"/>
  <c r="DY421" i="11"/>
  <c r="EQ470" i="11"/>
  <c r="DW244" i="11"/>
  <c r="ED254" i="11"/>
  <c r="ED423" i="11"/>
  <c r="ED242" i="11"/>
  <c r="ED421" i="11" s="1"/>
  <c r="ED332" i="11"/>
  <c r="EH424" i="11"/>
  <c r="EO255" i="11"/>
  <c r="EF242" i="11"/>
  <c r="EF332" i="11"/>
  <c r="ED424" i="11"/>
  <c r="EA421" i="11"/>
  <c r="EH242" i="11"/>
  <c r="EH332" i="11"/>
  <c r="EK265" i="11"/>
  <c r="EK337" i="11"/>
  <c r="EF258" i="11"/>
  <c r="EF336" i="11"/>
  <c r="EK175" i="11"/>
  <c r="EK224" i="11" s="1"/>
  <c r="EK248" i="11" s="1"/>
  <c r="EM175" i="11"/>
  <c r="EM224" i="11" s="1"/>
  <c r="EM248" i="11" s="1"/>
  <c r="EN175" i="11"/>
  <c r="EN224" i="11" s="1"/>
  <c r="EN248" i="11" s="1"/>
  <c r="EP175" i="11"/>
  <c r="EP224" i="11" s="1"/>
  <c r="EP248" i="11" s="1"/>
  <c r="EO175" i="11"/>
  <c r="EO224" i="11" s="1"/>
  <c r="EO248" i="11" s="1"/>
  <c r="EC421" i="11"/>
  <c r="EJ254" i="11"/>
  <c r="EQ252" i="11"/>
  <c r="EQ333" i="11"/>
  <c r="EJ242" i="11"/>
  <c r="EJ332" i="11"/>
  <c r="EI244" i="11"/>
  <c r="EI421" i="11"/>
  <c r="EG244" i="11"/>
  <c r="EG421" i="11"/>
  <c r="EE244" i="11"/>
  <c r="EE421" i="11"/>
  <c r="EQ220" i="11"/>
  <c r="EQ243" i="11" s="1"/>
  <c r="EM171" i="11"/>
  <c r="EM220" i="11" s="1"/>
  <c r="EM243" i="11" s="1"/>
  <c r="EP171" i="11"/>
  <c r="EP220" i="11" s="1"/>
  <c r="EL171" i="11"/>
  <c r="EL220" i="11" s="1"/>
  <c r="EL243" i="11" s="1"/>
  <c r="EO171" i="11"/>
  <c r="EO220" i="11" s="1"/>
  <c r="EO243" i="11" s="1"/>
  <c r="EK171" i="11"/>
  <c r="EK220" i="11" s="1"/>
  <c r="EK243" i="11" s="1"/>
  <c r="EN171" i="11"/>
  <c r="EN220" i="11" s="1"/>
  <c r="EQ219" i="11"/>
  <c r="EO170" i="11"/>
  <c r="EO219" i="11" s="1"/>
  <c r="EK170" i="11"/>
  <c r="EK219" i="11" s="1"/>
  <c r="EN170" i="11"/>
  <c r="EN219" i="11" s="1"/>
  <c r="EN242" i="11" s="1"/>
  <c r="EM170" i="11"/>
  <c r="EM219" i="11" s="1"/>
  <c r="EL170" i="11"/>
  <c r="EL219" i="11" s="1"/>
  <c r="EL242" i="11" s="1"/>
  <c r="EP170" i="11"/>
  <c r="EP219" i="11" s="1"/>
  <c r="EP242" i="11" s="1"/>
  <c r="EF424" i="11" l="1"/>
  <c r="EM252" i="11"/>
  <c r="EK333" i="11"/>
  <c r="EO333" i="11"/>
  <c r="EM337" i="11"/>
  <c r="EQ337" i="11"/>
  <c r="EK334" i="11"/>
  <c r="EM334" i="11"/>
  <c r="EL254" i="11"/>
  <c r="EP424" i="11"/>
  <c r="EO334" i="11"/>
  <c r="EL424" i="11"/>
  <c r="EQ253" i="11"/>
  <c r="EQ254" i="11" s="1"/>
  <c r="DY259" i="11"/>
  <c r="DY260" i="11" s="1"/>
  <c r="DR145" i="11"/>
  <c r="DR144" i="11"/>
  <c r="DW74" i="11"/>
  <c r="DW144" i="11"/>
  <c r="DW145" i="11"/>
  <c r="DQ74" i="11"/>
  <c r="EQ335" i="11"/>
  <c r="EP267" i="11"/>
  <c r="EP428" i="11" s="1"/>
  <c r="EM267" i="11"/>
  <c r="EF428" i="11"/>
  <c r="DY29" i="2"/>
  <c r="EI268" i="11"/>
  <c r="ED29" i="2"/>
  <c r="EK234" i="243"/>
  <c r="EK235" i="243" s="1"/>
  <c r="DZ260" i="11"/>
  <c r="EJ339" i="11"/>
  <c r="ED428" i="11"/>
  <c r="DW260" i="11"/>
  <c r="EP243" i="11"/>
  <c r="EP421" i="11" s="1"/>
  <c r="EO234" i="243"/>
  <c r="EO29" i="2" s="1"/>
  <c r="EN243" i="11"/>
  <c r="EN421" i="11" s="1"/>
  <c r="EB259" i="11"/>
  <c r="EB260" i="11" s="1"/>
  <c r="EL259" i="11"/>
  <c r="EL260" i="11" s="1"/>
  <c r="EK259" i="11"/>
  <c r="EK260" i="11" s="1"/>
  <c r="EO259" i="11"/>
  <c r="EO260" i="11" s="1"/>
  <c r="EP126" i="11"/>
  <c r="EM126" i="11" s="1"/>
  <c r="EN126" i="11" s="1"/>
  <c r="EN259" i="11" s="1"/>
  <c r="EN260" i="11" s="1"/>
  <c r="EA426" i="11"/>
  <c r="DI256" i="11"/>
  <c r="DI425" i="11" s="1"/>
  <c r="DT143" i="11"/>
  <c r="DR74" i="11"/>
  <c r="DT256" i="11"/>
  <c r="DT425" i="11" s="1"/>
  <c r="DT430" i="11" s="1"/>
  <c r="EH123" i="11"/>
  <c r="EN201" i="4" s="1"/>
  <c r="EK201" i="4"/>
  <c r="ET198" i="4"/>
  <c r="ET200" i="4" s="1"/>
  <c r="EA129" i="11"/>
  <c r="EG203" i="4" s="1"/>
  <c r="EG206" i="4" s="1"/>
  <c r="EG208" i="4" s="1"/>
  <c r="EG201" i="4"/>
  <c r="EH242" i="243"/>
  <c r="EF242" i="243" s="1"/>
  <c r="EC242" i="243"/>
  <c r="EG242" i="243"/>
  <c r="ED242" i="243" s="1"/>
  <c r="EP242" i="243"/>
  <c r="EE242" i="243"/>
  <c r="AS182" i="243"/>
  <c r="AS188" i="243" s="1"/>
  <c r="AU188" i="243"/>
  <c r="AL182" i="243"/>
  <c r="AL188" i="243" s="1"/>
  <c r="AN188" i="243"/>
  <c r="BH188" i="243"/>
  <c r="BH182" i="243" s="1"/>
  <c r="BD188" i="243"/>
  <c r="AK188" i="243"/>
  <c r="AK182" i="243" s="1"/>
  <c r="AJ182" i="243"/>
  <c r="AQ188" i="243"/>
  <c r="AP182" i="243"/>
  <c r="EF235" i="243"/>
  <c r="EF29" i="2"/>
  <c r="EQ423" i="11"/>
  <c r="EH268" i="11"/>
  <c r="EJ338" i="11"/>
  <c r="EM336" i="11"/>
  <c r="EN250" i="11"/>
  <c r="EL250" i="11"/>
  <c r="EP250" i="11"/>
  <c r="EA122" i="11"/>
  <c r="EA256" i="11" s="1"/>
  <c r="EO337" i="11"/>
  <c r="EE129" i="11"/>
  <c r="EK203" i="4" s="1"/>
  <c r="EK206" i="4" s="1"/>
  <c r="EK208" i="4" s="1"/>
  <c r="EL123" i="11"/>
  <c r="EG98" i="11"/>
  <c r="DX143" i="11"/>
  <c r="EN95" i="11"/>
  <c r="EN98" i="11" s="1"/>
  <c r="EN90" i="11"/>
  <c r="ED260" i="11"/>
  <c r="EM265" i="11"/>
  <c r="CW260" i="11"/>
  <c r="CW426" i="11"/>
  <c r="CU426" i="11"/>
  <c r="CU260" i="11"/>
  <c r="EM98" i="11"/>
  <c r="EK129" i="11"/>
  <c r="EQ203" i="4" s="1"/>
  <c r="EQ206" i="4" s="1"/>
  <c r="EQ208" i="4" s="1"/>
  <c r="CX426" i="11"/>
  <c r="DQ122" i="11"/>
  <c r="DQ256" i="11" s="1"/>
  <c r="DP256" i="11"/>
  <c r="ED143" i="11"/>
  <c r="EQ265" i="11"/>
  <c r="EQ268" i="11" s="1"/>
  <c r="EI259" i="11"/>
  <c r="EI260" i="11" s="1"/>
  <c r="EK335" i="11"/>
  <c r="EN268" i="11"/>
  <c r="EL268" i="11"/>
  <c r="EL428" i="11"/>
  <c r="EN428" i="11"/>
  <c r="EQ255" i="11"/>
  <c r="EM335" i="11"/>
  <c r="DY143" i="11"/>
  <c r="EM123" i="11"/>
  <c r="ES201" i="4" s="1"/>
  <c r="EK98" i="11"/>
  <c r="EF129" i="11"/>
  <c r="EL203" i="4" s="1"/>
  <c r="EL206" i="4" s="1"/>
  <c r="EL208" i="4" s="1"/>
  <c r="EK336" i="11"/>
  <c r="EM258" i="11"/>
  <c r="EF259" i="11"/>
  <c r="EF426" i="11" s="1"/>
  <c r="EP254" i="11"/>
  <c r="EG426" i="11"/>
  <c r="EP423" i="11"/>
  <c r="EO336" i="11"/>
  <c r="EQ260" i="11"/>
  <c r="EM423" i="11"/>
  <c r="EH426" i="11"/>
  <c r="EH260" i="11"/>
  <c r="ED244" i="11"/>
  <c r="EL423" i="11"/>
  <c r="EQ336" i="11"/>
  <c r="EO423" i="11"/>
  <c r="EK250" i="11"/>
  <c r="EH244" i="11"/>
  <c r="EO268" i="11"/>
  <c r="EJ244" i="11"/>
  <c r="EK268" i="11"/>
  <c r="EF244" i="11"/>
  <c r="EJ260" i="11"/>
  <c r="EO424" i="11"/>
  <c r="EN252" i="11"/>
  <c r="BC182" i="243"/>
  <c r="BJ188" i="243"/>
  <c r="EO428" i="11"/>
  <c r="EF421" i="11"/>
  <c r="EO254" i="11"/>
  <c r="EM254" i="11"/>
  <c r="EK254" i="11"/>
  <c r="EM250" i="11"/>
  <c r="EK424" i="11"/>
  <c r="EH421" i="11"/>
  <c r="EK423" i="11"/>
  <c r="EK428" i="11"/>
  <c r="EO242" i="11"/>
  <c r="EO332" i="11"/>
  <c r="EM424" i="11"/>
  <c r="EM242" i="11"/>
  <c r="EM332" i="11"/>
  <c r="EN423" i="11"/>
  <c r="EK242" i="11"/>
  <c r="EK332" i="11"/>
  <c r="EO250" i="11"/>
  <c r="EJ421" i="11"/>
  <c r="EQ242" i="11"/>
  <c r="EQ332" i="11"/>
  <c r="EL244" i="11"/>
  <c r="EL421" i="11"/>
  <c r="DY426" i="11" l="1"/>
  <c r="EQ339" i="11"/>
  <c r="EP268" i="11"/>
  <c r="DY74" i="11"/>
  <c r="DY144" i="11"/>
  <c r="DY145" i="11"/>
  <c r="DX74" i="11"/>
  <c r="DX145" i="11"/>
  <c r="DX144" i="11"/>
  <c r="ED74" i="11"/>
  <c r="ED144" i="11"/>
  <c r="ED145" i="11"/>
  <c r="DT74" i="11"/>
  <c r="EM428" i="11"/>
  <c r="EP244" i="11"/>
  <c r="EL426" i="11"/>
  <c r="EK29" i="2"/>
  <c r="EM234" i="243"/>
  <c r="EM29" i="2" s="1"/>
  <c r="EN244" i="11"/>
  <c r="EO426" i="11"/>
  <c r="EK426" i="11"/>
  <c r="EO235" i="243"/>
  <c r="EP259" i="11"/>
  <c r="EP426" i="11" s="1"/>
  <c r="EB426" i="11"/>
  <c r="EM259" i="11"/>
  <c r="EM426" i="11" s="1"/>
  <c r="DI257" i="11"/>
  <c r="DT257" i="11"/>
  <c r="DT270" i="11" s="1"/>
  <c r="DT395" i="11" s="1"/>
  <c r="DT436" i="11" s="1"/>
  <c r="DT437" i="11" s="1"/>
  <c r="EA143" i="11"/>
  <c r="EH129" i="11"/>
  <c r="EN203" i="4" s="1"/>
  <c r="EN206" i="4" s="1"/>
  <c r="EN208" i="4" s="1"/>
  <c r="EH122" i="11"/>
  <c r="ED122" i="11" s="1"/>
  <c r="EO123" i="11"/>
  <c r="EU201" i="4" s="1"/>
  <c r="ER201" i="4"/>
  <c r="EL242" i="243"/>
  <c r="EJ242" i="243"/>
  <c r="EN242" i="243"/>
  <c r="EK242" i="243" s="1"/>
  <c r="EO242" i="243"/>
  <c r="EM242" i="243" s="1"/>
  <c r="AR188" i="243"/>
  <c r="AR182" i="243" s="1"/>
  <c r="AQ182" i="243"/>
  <c r="BD182" i="243"/>
  <c r="BE188" i="243"/>
  <c r="BK188" i="243"/>
  <c r="BO188" i="243"/>
  <c r="BO182" i="243" s="1"/>
  <c r="EN426" i="11"/>
  <c r="EQ338" i="11"/>
  <c r="DW122" i="11"/>
  <c r="DW256" i="11" s="1"/>
  <c r="EI426" i="11"/>
  <c r="EP95" i="11"/>
  <c r="EP98" i="11" s="1"/>
  <c r="EL129" i="11"/>
  <c r="ER203" i="4" s="1"/>
  <c r="ER206" i="4" s="1"/>
  <c r="ER208" i="4" s="1"/>
  <c r="EE143" i="11"/>
  <c r="EM268" i="11"/>
  <c r="DP257" i="11"/>
  <c r="DP270" i="11" s="1"/>
  <c r="DP395" i="11" s="1"/>
  <c r="DP436" i="11" s="1"/>
  <c r="DP425" i="11"/>
  <c r="DP430" i="11" s="1"/>
  <c r="EK143" i="11"/>
  <c r="DQ425" i="11"/>
  <c r="DQ430" i="11" s="1"/>
  <c r="DQ257" i="11"/>
  <c r="DQ270" i="11" s="1"/>
  <c r="DQ395" i="11" s="1"/>
  <c r="DQ436" i="11" s="1"/>
  <c r="EA425" i="11"/>
  <c r="EA430" i="11" s="1"/>
  <c r="EA431" i="11" s="1"/>
  <c r="EA257" i="11"/>
  <c r="EA270" i="11" s="1"/>
  <c r="EA395" i="11" s="1"/>
  <c r="EA436" i="11" s="1"/>
  <c r="EF260" i="11"/>
  <c r="EF143" i="11"/>
  <c r="EM129" i="11"/>
  <c r="ES203" i="4" s="1"/>
  <c r="ES206" i="4" s="1"/>
  <c r="ES208" i="4" s="1"/>
  <c r="EO244" i="11"/>
  <c r="EQ421" i="11"/>
  <c r="EK421" i="11"/>
  <c r="EM244" i="11"/>
  <c r="EN254" i="11"/>
  <c r="EN424" i="11"/>
  <c r="BQ188" i="243"/>
  <c r="BJ182" i="243"/>
  <c r="BI182" i="243" s="1"/>
  <c r="EQ244" i="11"/>
  <c r="EM421" i="11"/>
  <c r="EO421" i="11"/>
  <c r="EK244" i="11"/>
  <c r="BS14" i="220"/>
  <c r="BS4" i="220"/>
  <c r="EE74" i="11" l="1"/>
  <c r="EE144" i="11"/>
  <c r="EE145" i="11"/>
  <c r="EA74" i="11"/>
  <c r="EA144" i="11"/>
  <c r="EA145" i="11"/>
  <c r="EK74" i="11"/>
  <c r="EK145" i="11"/>
  <c r="EK144" i="11"/>
  <c r="EF74" i="11"/>
  <c r="EF144" i="11"/>
  <c r="EF145" i="11"/>
  <c r="EM235" i="243"/>
  <c r="EM260" i="11"/>
  <c r="EP260" i="11"/>
  <c r="EH256" i="11"/>
  <c r="EH257" i="11" s="1"/>
  <c r="EH270" i="11" s="1"/>
  <c r="EH395" i="11" s="1"/>
  <c r="EH436" i="11" s="1"/>
  <c r="EH143" i="11"/>
  <c r="EO129" i="11"/>
  <c r="EU203" i="4" s="1"/>
  <c r="EU206" i="4" s="1"/>
  <c r="EU208" i="4" s="1"/>
  <c r="DX122" i="11"/>
  <c r="DX256" i="11" s="1"/>
  <c r="DX425" i="11" s="1"/>
  <c r="DX430" i="11" s="1"/>
  <c r="EO122" i="11"/>
  <c r="EK122" i="11" s="1"/>
  <c r="BF188" i="243"/>
  <c r="BF182" i="243" s="1"/>
  <c r="BE182" i="243"/>
  <c r="BG182" i="243"/>
  <c r="BG188" i="243" s="1"/>
  <c r="BI188" i="243"/>
  <c r="BK182" i="243"/>
  <c r="BL188" i="243"/>
  <c r="BR188" i="243"/>
  <c r="BV188" i="243"/>
  <c r="BV182" i="243" s="1"/>
  <c r="BS10" i="220"/>
  <c r="BZ5" i="220"/>
  <c r="EL143" i="11"/>
  <c r="EA437" i="11"/>
  <c r="DP437" i="11"/>
  <c r="DW425" i="11"/>
  <c r="DW430" i="11" s="1"/>
  <c r="DW431" i="11" s="1"/>
  <c r="DW257" i="11"/>
  <c r="DW270" i="11" s="1"/>
  <c r="DW395" i="11" s="1"/>
  <c r="DW436" i="11" s="1"/>
  <c r="EE122" i="11"/>
  <c r="EE256" i="11" s="1"/>
  <c r="ED256" i="11"/>
  <c r="DQ437" i="11"/>
  <c r="EM143" i="11"/>
  <c r="BQ182" i="243"/>
  <c r="BP182" i="243" s="1"/>
  <c r="BX188" i="243"/>
  <c r="BS28" i="220"/>
  <c r="BS22" i="220"/>
  <c r="BS19" i="220"/>
  <c r="EM74" i="11" l="1"/>
  <c r="EM144" i="11"/>
  <c r="EM145" i="11"/>
  <c r="EL74" i="11"/>
  <c r="EL144" i="11"/>
  <c r="EL145" i="11"/>
  <c r="EH74" i="11"/>
  <c r="EH144" i="11"/>
  <c r="EH145" i="11"/>
  <c r="DX257" i="11"/>
  <c r="DX270" i="11" s="1"/>
  <c r="DX395" i="11" s="1"/>
  <c r="DX436" i="11" s="1"/>
  <c r="DX437" i="11" s="1"/>
  <c r="EH425" i="11"/>
  <c r="EH430" i="11" s="1"/>
  <c r="EH431" i="11" s="1"/>
  <c r="EO256" i="11"/>
  <c r="EO425" i="11" s="1"/>
  <c r="EO430" i="11" s="1"/>
  <c r="EO143" i="11"/>
  <c r="BN182" i="243"/>
  <c r="BN188" i="243" s="1"/>
  <c r="BP188" i="243"/>
  <c r="BL182" i="243"/>
  <c r="BM188" i="243"/>
  <c r="BM182" i="243" s="1"/>
  <c r="BY188" i="243"/>
  <c r="CC188" i="243"/>
  <c r="CC182" i="243" s="1"/>
  <c r="BS188" i="243"/>
  <c r="BR182" i="243"/>
  <c r="DW437" i="11"/>
  <c r="DX431" i="11"/>
  <c r="EE425" i="11"/>
  <c r="EE430" i="11" s="1"/>
  <c r="EE257" i="11"/>
  <c r="EE270" i="11" s="1"/>
  <c r="EE395" i="11" s="1"/>
  <c r="EE436" i="11" s="1"/>
  <c r="EL122" i="11"/>
  <c r="EL256" i="11" s="1"/>
  <c r="EK256" i="11"/>
  <c r="ED257" i="11"/>
  <c r="ED270" i="11" s="1"/>
  <c r="ED395" i="11" s="1"/>
  <c r="ED436" i="11" s="1"/>
  <c r="ED425" i="11"/>
  <c r="ED430" i="11" s="1"/>
  <c r="ED431" i="11" s="1"/>
  <c r="CE188" i="243"/>
  <c r="BX182" i="243"/>
  <c r="BW182" i="243" s="1"/>
  <c r="BS44" i="220"/>
  <c r="BR44" i="220" s="1"/>
  <c r="BS40" i="220"/>
  <c r="BR40" i="220" s="1"/>
  <c r="BS43" i="220"/>
  <c r="BR43" i="220" s="1"/>
  <c r="BS46" i="220"/>
  <c r="BR46" i="220" s="1"/>
  <c r="BS42" i="220"/>
  <c r="BR42" i="220" s="1"/>
  <c r="BS45" i="220"/>
  <c r="BR45" i="220" s="1"/>
  <c r="BS41" i="220"/>
  <c r="BR41" i="220" s="1"/>
  <c r="BS31" i="220"/>
  <c r="BS76" i="220"/>
  <c r="BS73" i="220"/>
  <c r="BS69" i="220"/>
  <c r="CE67" i="178"/>
  <c r="CE64" i="178"/>
  <c r="CE62" i="178"/>
  <c r="CM11" i="11"/>
  <c r="CL17" i="2"/>
  <c r="CK17" i="2" s="1"/>
  <c r="CI17" i="2" s="1"/>
  <c r="CS39" i="4"/>
  <c r="EO74" i="11" l="1"/>
  <c r="EO144" i="11"/>
  <c r="EO145" i="11"/>
  <c r="CS40" i="4"/>
  <c r="CR39" i="4"/>
  <c r="BR49" i="220"/>
  <c r="BP41" i="220"/>
  <c r="BP49" i="220" s="1"/>
  <c r="BR51" i="220"/>
  <c r="BP43" i="220"/>
  <c r="BP51" i="220" s="1"/>
  <c r="BR53" i="220"/>
  <c r="BP45" i="220"/>
  <c r="BP53" i="220" s="1"/>
  <c r="BR48" i="220"/>
  <c r="BP40" i="220"/>
  <c r="BP48" i="220" s="1"/>
  <c r="BR50" i="220"/>
  <c r="BP42" i="220"/>
  <c r="BP50" i="220" s="1"/>
  <c r="BR52" i="220"/>
  <c r="BP44" i="220"/>
  <c r="BP52" i="220" s="1"/>
  <c r="BZ32" i="220"/>
  <c r="BR31" i="220"/>
  <c r="BR54" i="220"/>
  <c r="BP46" i="220"/>
  <c r="BP54" i="220" s="1"/>
  <c r="EO431" i="11"/>
  <c r="EO257" i="11"/>
  <c r="EO270" i="11" s="1"/>
  <c r="EO395" i="11" s="1"/>
  <c r="EO436" i="11" s="1"/>
  <c r="EO437" i="11" s="1"/>
  <c r="EH437" i="11"/>
  <c r="CF188" i="243"/>
  <c r="CJ188" i="243"/>
  <c r="CJ182" i="243" s="1"/>
  <c r="BT188" i="243"/>
  <c r="BT182" i="243" s="1"/>
  <c r="BS182" i="243"/>
  <c r="BU182" i="243"/>
  <c r="BU188" i="243" s="1"/>
  <c r="BW188" i="243"/>
  <c r="BZ188" i="243"/>
  <c r="BY182" i="243"/>
  <c r="ED437" i="11"/>
  <c r="EL257" i="11"/>
  <c r="EL270" i="11" s="1"/>
  <c r="EL395" i="11" s="1"/>
  <c r="EL436" i="11" s="1"/>
  <c r="EL425" i="11"/>
  <c r="EL430" i="11" s="1"/>
  <c r="EE431" i="11"/>
  <c r="EE437" i="11"/>
  <c r="EK425" i="11"/>
  <c r="EK430" i="11" s="1"/>
  <c r="EK431" i="11" s="1"/>
  <c r="EK257" i="11"/>
  <c r="EK270" i="11" s="1"/>
  <c r="EK395" i="11" s="1"/>
  <c r="EK436" i="11" s="1"/>
  <c r="CL188" i="243"/>
  <c r="CQ188" i="243" s="1"/>
  <c r="CQ182" i="243" s="1"/>
  <c r="CE182" i="243"/>
  <c r="CD182" i="243" s="1"/>
  <c r="BS34" i="220"/>
  <c r="CM63" i="11"/>
  <c r="CM357" i="11"/>
  <c r="CM77" i="11"/>
  <c r="CM5" i="11"/>
  <c r="CM9" i="11"/>
  <c r="CR40" i="4" l="1"/>
  <c r="CP39" i="4"/>
  <c r="CP40" i="4" s="1"/>
  <c r="BZ35" i="220"/>
  <c r="BR34" i="220"/>
  <c r="BR37" i="220"/>
  <c r="BR38" i="220" s="1"/>
  <c r="BP31" i="220"/>
  <c r="CM307" i="11"/>
  <c r="CM313" i="11" s="1"/>
  <c r="CL9" i="11"/>
  <c r="CM391" i="11"/>
  <c r="CL5" i="11"/>
  <c r="CB182" i="243"/>
  <c r="CB188" i="243" s="1"/>
  <c r="CD188" i="243"/>
  <c r="CA188" i="243"/>
  <c r="CA182" i="243" s="1"/>
  <c r="BZ182" i="243"/>
  <c r="CF182" i="243"/>
  <c r="CG188" i="243"/>
  <c r="CL182" i="243"/>
  <c r="CK182" i="243" s="1"/>
  <c r="CM188" i="243"/>
  <c r="EK437" i="11"/>
  <c r="EL431" i="11"/>
  <c r="EL437" i="11"/>
  <c r="BY31" i="220"/>
  <c r="BS61" i="220"/>
  <c r="BY32" i="220" l="1"/>
  <c r="CF32" i="220"/>
  <c r="CM27" i="11"/>
  <c r="CM353" i="11"/>
  <c r="BP37" i="220"/>
  <c r="BP38" i="220" s="1"/>
  <c r="BP34" i="220"/>
  <c r="CJ5" i="11"/>
  <c r="CJ14" i="11" s="1"/>
  <c r="CL14" i="11"/>
  <c r="CL15" i="11"/>
  <c r="CJ9" i="11"/>
  <c r="CJ15" i="11" s="1"/>
  <c r="CI182" i="243"/>
  <c r="CI188" i="243" s="1"/>
  <c r="CK188" i="243"/>
  <c r="CG182" i="243"/>
  <c r="CH188" i="243"/>
  <c r="CH182" i="243" s="1"/>
  <c r="CM182" i="243"/>
  <c r="CN188" i="243"/>
  <c r="BW31" i="220"/>
  <c r="BY34" i="220"/>
  <c r="CF35" i="220" s="1"/>
  <c r="BZ61" i="220"/>
  <c r="BZ58" i="220" s="1"/>
  <c r="BW32" i="220" l="1"/>
  <c r="CD32" i="220"/>
  <c r="BW34" i="220"/>
  <c r="BY35" i="220"/>
  <c r="CL16" i="11"/>
  <c r="CJ16" i="11"/>
  <c r="CO188" i="243"/>
  <c r="CO182" i="243" s="1"/>
  <c r="CN182" i="243"/>
  <c r="BZ59" i="220"/>
  <c r="BY58" i="220"/>
  <c r="CG61" i="220"/>
  <c r="BY28" i="220"/>
  <c r="BY61" i="220"/>
  <c r="CU31" i="220"/>
  <c r="CT31" i="220" s="1"/>
  <c r="BZ29" i="220"/>
  <c r="BZ22" i="220"/>
  <c r="CF61" i="220" l="1"/>
  <c r="CG58" i="220"/>
  <c r="BW35" i="220"/>
  <c r="CD35" i="220"/>
  <c r="BY29" i="220"/>
  <c r="CF29" i="220"/>
  <c r="BW28" i="220"/>
  <c r="BY73" i="220"/>
  <c r="BY76" i="220"/>
  <c r="BY48" i="220"/>
  <c r="BY51" i="220"/>
  <c r="BY54" i="220"/>
  <c r="BY53" i="220"/>
  <c r="BY50" i="220"/>
  <c r="BY52" i="220"/>
  <c r="BY49" i="220"/>
  <c r="BW58" i="220"/>
  <c r="BW59" i="220" s="1"/>
  <c r="BY59" i="220"/>
  <c r="U93" i="139"/>
  <c r="BZ7" i="220"/>
  <c r="CU34" i="220"/>
  <c r="DB34" i="220" s="1"/>
  <c r="BY37" i="220"/>
  <c r="BY38" i="220" s="1"/>
  <c r="CU58" i="220"/>
  <c r="CT58" i="220" s="1"/>
  <c r="CT59" i="220" s="1"/>
  <c r="DB31" i="220"/>
  <c r="DA31" i="220" s="1"/>
  <c r="CY31" i="220" s="1"/>
  <c r="BY62" i="220"/>
  <c r="BW61" i="220"/>
  <c r="BY64" i="220"/>
  <c r="CR31" i="220"/>
  <c r="CT32" i="220"/>
  <c r="BW29" i="220" l="1"/>
  <c r="CD29" i="220"/>
  <c r="CG59" i="220"/>
  <c r="CF58" i="220"/>
  <c r="CF62" i="220"/>
  <c r="CD61" i="220"/>
  <c r="CD62" i="220" s="1"/>
  <c r="BW73" i="220"/>
  <c r="BW76" i="220"/>
  <c r="BW37" i="220"/>
  <c r="BW38" i="220" s="1"/>
  <c r="BW50" i="220"/>
  <c r="BW51" i="220"/>
  <c r="BW48" i="220"/>
  <c r="BW49" i="220"/>
  <c r="BW52" i="220"/>
  <c r="BW53" i="220"/>
  <c r="BW54" i="220"/>
  <c r="V87" i="139"/>
  <c r="C8" i="244"/>
  <c r="D8" i="244" s="1"/>
  <c r="D19" i="244" s="1"/>
  <c r="U87" i="139"/>
  <c r="U99" i="139" s="1"/>
  <c r="CT34" i="220"/>
  <c r="CT28" i="220" s="1"/>
  <c r="CT4" i="220" s="1"/>
  <c r="DT6" i="4" s="1"/>
  <c r="CU28" i="220"/>
  <c r="CU37" i="220" s="1"/>
  <c r="CU38" i="220" s="1"/>
  <c r="CU61" i="220"/>
  <c r="CT61" i="220" s="1"/>
  <c r="DB58" i="220"/>
  <c r="DA58" i="220" s="1"/>
  <c r="CY58" i="220" s="1"/>
  <c r="CR58" i="220"/>
  <c r="CR59" i="220" s="1"/>
  <c r="DI31" i="220"/>
  <c r="DH31" i="220" s="1"/>
  <c r="DH32" i="220" s="1"/>
  <c r="DA32" i="220"/>
  <c r="DB28" i="220"/>
  <c r="DB4" i="220" s="1"/>
  <c r="EB6" i="4" s="1"/>
  <c r="DA34" i="220"/>
  <c r="BW62" i="220"/>
  <c r="BW64" i="220"/>
  <c r="CR32" i="220"/>
  <c r="CY32" i="220"/>
  <c r="BY65" i="220"/>
  <c r="DB61" i="220"/>
  <c r="DI34" i="220"/>
  <c r="DH34" i="220" s="1"/>
  <c r="CF59" i="220" l="1"/>
  <c r="CD58" i="220"/>
  <c r="CF64" i="220"/>
  <c r="CF65" i="220" s="1"/>
  <c r="F8" i="244"/>
  <c r="F19" i="244" s="1"/>
  <c r="Y87" i="139"/>
  <c r="W87" i="139"/>
  <c r="CR34" i="220"/>
  <c r="CR35" i="220" s="1"/>
  <c r="CT37" i="220"/>
  <c r="CT38" i="220" s="1"/>
  <c r="CT29" i="220"/>
  <c r="CU64" i="220"/>
  <c r="CU9" i="220" s="1"/>
  <c r="CU4" i="220"/>
  <c r="DU6" i="4" s="1"/>
  <c r="CT35" i="220"/>
  <c r="CU29" i="220"/>
  <c r="DT18" i="4"/>
  <c r="DA59" i="220"/>
  <c r="DF31" i="220"/>
  <c r="DF32" i="220" s="1"/>
  <c r="DB37" i="220"/>
  <c r="DB38" i="220" s="1"/>
  <c r="DI58" i="220"/>
  <c r="DH58" i="220" s="1"/>
  <c r="DF58" i="220" s="1"/>
  <c r="DP31" i="220"/>
  <c r="DO31" i="220" s="1"/>
  <c r="DO32" i="220" s="1"/>
  <c r="DB29" i="220"/>
  <c r="CT62" i="220"/>
  <c r="CR61" i="220"/>
  <c r="CT64" i="220"/>
  <c r="CT5" i="220"/>
  <c r="CT7" i="220"/>
  <c r="DH35" i="220"/>
  <c r="DF34" i="220"/>
  <c r="BY10" i="220"/>
  <c r="BY15" i="220"/>
  <c r="CY59" i="220"/>
  <c r="BW65" i="220"/>
  <c r="DA35" i="220"/>
  <c r="CY34" i="220"/>
  <c r="DA28" i="220"/>
  <c r="DB64" i="220"/>
  <c r="DB65" i="220" s="1"/>
  <c r="DA61" i="220"/>
  <c r="DH28" i="220"/>
  <c r="DP34" i="220"/>
  <c r="DO34" i="220" s="1"/>
  <c r="DI61" i="220"/>
  <c r="DI28" i="220"/>
  <c r="C19" i="244" l="1"/>
  <c r="CD59" i="220"/>
  <c r="CD64" i="220"/>
  <c r="CD65" i="220" s="1"/>
  <c r="C20" i="244"/>
  <c r="X87" i="139"/>
  <c r="V93" i="139"/>
  <c r="V99" i="139" s="1"/>
  <c r="W93" i="139"/>
  <c r="W99" i="139" s="1"/>
  <c r="CU10" i="220"/>
  <c r="CU15" i="220"/>
  <c r="DU53" i="4" s="1"/>
  <c r="CU65" i="220"/>
  <c r="CR28" i="220"/>
  <c r="CR37" i="220" s="1"/>
  <c r="CR38" i="220" s="1"/>
  <c r="DB5" i="220"/>
  <c r="DB7" i="220"/>
  <c r="DU28" i="4"/>
  <c r="CU7" i="220"/>
  <c r="CU5" i="220"/>
  <c r="BY16" i="220"/>
  <c r="EB18" i="4"/>
  <c r="DB9" i="220"/>
  <c r="DF28" i="220"/>
  <c r="DF37" i="220" s="1"/>
  <c r="DF38" i="220" s="1"/>
  <c r="DH59" i="220"/>
  <c r="DW31" i="220"/>
  <c r="DV31" i="220" s="1"/>
  <c r="DV32" i="220" s="1"/>
  <c r="DO28" i="220"/>
  <c r="DO29" i="220" s="1"/>
  <c r="DM31" i="220"/>
  <c r="DM32" i="220" s="1"/>
  <c r="DP58" i="220"/>
  <c r="DO58" i="220" s="1"/>
  <c r="DO59" i="220" s="1"/>
  <c r="DH29" i="220"/>
  <c r="DH4" i="220"/>
  <c r="EH6" i="4" s="1"/>
  <c r="DH37" i="220"/>
  <c r="DH38" i="220" s="1"/>
  <c r="DF59" i="220"/>
  <c r="CR62" i="220"/>
  <c r="CR64" i="220"/>
  <c r="CY35" i="220"/>
  <c r="CY28" i="220"/>
  <c r="DA29" i="220"/>
  <c r="DA4" i="220"/>
  <c r="EA6" i="4" s="1"/>
  <c r="DA37" i="220"/>
  <c r="DA38" i="220" s="1"/>
  <c r="DF35" i="220"/>
  <c r="DI64" i="220"/>
  <c r="DI9" i="220" s="1"/>
  <c r="DH61" i="220"/>
  <c r="DA62" i="220"/>
  <c r="CY61" i="220"/>
  <c r="DA64" i="220"/>
  <c r="DO35" i="220"/>
  <c r="DM34" i="220"/>
  <c r="DM35" i="220" s="1"/>
  <c r="BW10" i="220"/>
  <c r="BW15" i="220"/>
  <c r="CT9" i="220"/>
  <c r="CT65" i="220"/>
  <c r="DI4" i="220"/>
  <c r="EI6" i="4" s="1"/>
  <c r="DI29" i="220"/>
  <c r="DI37" i="220"/>
  <c r="DI38" i="220" s="1"/>
  <c r="DP61" i="220"/>
  <c r="DW34" i="220"/>
  <c r="DP28" i="220"/>
  <c r="DU45" i="4" l="1"/>
  <c r="Z87" i="139"/>
  <c r="E8" i="244"/>
  <c r="E9" i="244" s="1"/>
  <c r="X93" i="139"/>
  <c r="X99" i="139" s="1"/>
  <c r="CR29" i="220"/>
  <c r="DB10" i="220"/>
  <c r="CR4" i="220"/>
  <c r="DR6" i="4" s="1"/>
  <c r="CU16" i="220"/>
  <c r="EI28" i="4"/>
  <c r="EB28" i="4"/>
  <c r="DT28" i="4"/>
  <c r="EI18" i="4"/>
  <c r="EA18" i="4"/>
  <c r="DI15" i="220"/>
  <c r="DI16" i="220" s="1"/>
  <c r="DB15" i="220"/>
  <c r="EB53" i="4" s="1"/>
  <c r="BW16" i="220"/>
  <c r="EH18" i="4"/>
  <c r="CY45" i="4"/>
  <c r="DF4" i="220"/>
  <c r="EF6" i="4" s="1"/>
  <c r="DF29" i="220"/>
  <c r="DT31" i="220"/>
  <c r="DT32" i="220" s="1"/>
  <c r="DW58" i="220"/>
  <c r="DV58" i="220" s="1"/>
  <c r="DV59" i="220" s="1"/>
  <c r="DO4" i="220"/>
  <c r="EO6" i="4" s="1"/>
  <c r="DM58" i="220"/>
  <c r="DM59" i="220" s="1"/>
  <c r="DO37" i="220"/>
  <c r="DO38" i="220" s="1"/>
  <c r="CT15" i="220"/>
  <c r="DT53" i="4" s="1"/>
  <c r="CT10" i="220"/>
  <c r="DA9" i="220"/>
  <c r="DA65" i="220"/>
  <c r="DA7" i="220"/>
  <c r="DA5" i="220"/>
  <c r="DW61" i="220"/>
  <c r="DV61" i="220" s="1"/>
  <c r="DV34" i="220"/>
  <c r="CY4" i="220"/>
  <c r="DY6" i="4" s="1"/>
  <c r="CY29" i="220"/>
  <c r="CY37" i="220"/>
  <c r="CY38" i="220" s="1"/>
  <c r="CY62" i="220"/>
  <c r="CY64" i="220"/>
  <c r="CR65" i="220"/>
  <c r="CR9" i="220"/>
  <c r="DI10" i="220"/>
  <c r="DH5" i="220"/>
  <c r="DH7" i="220"/>
  <c r="DP64" i="220"/>
  <c r="DP65" i="220" s="1"/>
  <c r="DO61" i="220"/>
  <c r="DI65" i="220"/>
  <c r="DM28" i="220"/>
  <c r="DF61" i="220"/>
  <c r="DH62" i="220"/>
  <c r="DH64" i="220"/>
  <c r="DW28" i="220"/>
  <c r="DW37" i="220" s="1"/>
  <c r="DW38" i="220" s="1"/>
  <c r="DP29" i="220"/>
  <c r="DP4" i="220"/>
  <c r="EP6" i="4" s="1"/>
  <c r="DP37" i="220"/>
  <c r="DP38" i="220" s="1"/>
  <c r="DI7" i="220"/>
  <c r="DI5" i="220"/>
  <c r="AA87" i="139" l="1"/>
  <c r="E19" i="244"/>
  <c r="E20" i="244" s="1"/>
  <c r="Y93" i="139"/>
  <c r="Y99" i="139" s="1"/>
  <c r="CR7" i="220"/>
  <c r="Z93" i="139"/>
  <c r="Z99" i="139" s="1"/>
  <c r="CR5" i="220"/>
  <c r="EI53" i="4"/>
  <c r="EI45" i="4" s="1"/>
  <c r="EA28" i="4"/>
  <c r="DR28" i="4"/>
  <c r="DR18" i="4"/>
  <c r="EP18" i="4"/>
  <c r="CW45" i="4"/>
  <c r="DO5" i="220"/>
  <c r="DY18" i="4"/>
  <c r="CT16" i="220"/>
  <c r="EF18" i="4"/>
  <c r="DB16" i="220"/>
  <c r="DV64" i="220"/>
  <c r="DV9" i="220" s="1"/>
  <c r="DT58" i="220"/>
  <c r="DT59" i="220" s="1"/>
  <c r="DW64" i="220"/>
  <c r="DW65" i="220" s="1"/>
  <c r="DO7" i="220"/>
  <c r="DW29" i="220"/>
  <c r="CY5" i="220"/>
  <c r="CY7" i="220"/>
  <c r="CY65" i="220"/>
  <c r="CY9" i="220"/>
  <c r="DH65" i="220"/>
  <c r="DH9" i="220"/>
  <c r="CR10" i="220"/>
  <c r="CR15" i="220"/>
  <c r="DR53" i="4" s="1"/>
  <c r="DO62" i="220"/>
  <c r="DM61" i="220"/>
  <c r="DO64" i="220"/>
  <c r="DV35" i="220"/>
  <c r="DT34" i="220"/>
  <c r="DV28" i="220"/>
  <c r="DA10" i="220"/>
  <c r="DA15" i="220"/>
  <c r="EA53" i="4" s="1"/>
  <c r="DP9" i="220"/>
  <c r="DF62" i="220"/>
  <c r="DF64" i="220"/>
  <c r="DF5" i="220"/>
  <c r="DV62" i="220"/>
  <c r="DT61" i="220"/>
  <c r="DM4" i="220"/>
  <c r="EM6" i="4" s="1"/>
  <c r="DM29" i="220"/>
  <c r="DM37" i="220"/>
  <c r="DM38" i="220" s="1"/>
  <c r="DF7" i="220"/>
  <c r="DW4" i="220"/>
  <c r="EW6" i="4" s="1"/>
  <c r="DP7" i="220"/>
  <c r="DP5" i="220"/>
  <c r="AB87" i="139" l="1"/>
  <c r="EV28" i="4"/>
  <c r="EP28" i="4"/>
  <c r="EH28" i="4"/>
  <c r="DY28" i="4"/>
  <c r="EO18" i="4"/>
  <c r="EM18" i="4"/>
  <c r="DP10" i="220"/>
  <c r="DA16" i="220"/>
  <c r="DW7" i="220"/>
  <c r="EB45" i="4"/>
  <c r="CR16" i="220"/>
  <c r="DT45" i="4"/>
  <c r="DV65" i="220"/>
  <c r="DW9" i="220"/>
  <c r="DP15" i="220"/>
  <c r="EP53" i="4" s="1"/>
  <c r="DT62" i="220"/>
  <c r="DV15" i="220"/>
  <c r="CY10" i="220"/>
  <c r="CY15" i="220"/>
  <c r="DY53" i="4" s="1"/>
  <c r="DO65" i="220"/>
  <c r="DO9" i="220"/>
  <c r="DV4" i="220"/>
  <c r="EV6" i="4" s="1"/>
  <c r="DV29" i="220"/>
  <c r="DV37" i="220"/>
  <c r="DV38" i="220" s="1"/>
  <c r="DM62" i="220"/>
  <c r="DM64" i="220"/>
  <c r="DH10" i="220"/>
  <c r="DH15" i="220"/>
  <c r="EH53" i="4" s="1"/>
  <c r="DT64" i="220"/>
  <c r="DM5" i="220"/>
  <c r="DM7" i="220"/>
  <c r="DF9" i="220"/>
  <c r="DF65" i="220"/>
  <c r="DT35" i="220"/>
  <c r="DT28" i="220"/>
  <c r="DW5" i="220"/>
  <c r="AA93" i="139" l="1"/>
  <c r="AA99" i="139" s="1"/>
  <c r="EW28" i="4"/>
  <c r="EV53" i="4"/>
  <c r="EO28" i="4"/>
  <c r="EF28" i="4"/>
  <c r="EV18" i="4"/>
  <c r="DR45" i="4"/>
  <c r="EW18" i="4"/>
  <c r="EA45" i="4"/>
  <c r="DH16" i="220"/>
  <c r="DW15" i="220"/>
  <c r="EW53" i="4" s="1"/>
  <c r="CY16" i="220"/>
  <c r="DP16" i="220"/>
  <c r="DW10" i="220"/>
  <c r="DT4" i="220"/>
  <c r="ET6" i="4" s="1"/>
  <c r="DT29" i="220"/>
  <c r="DT37" i="220"/>
  <c r="DT38" i="220" s="1"/>
  <c r="DM9" i="220"/>
  <c r="DM65" i="220"/>
  <c r="DV5" i="220"/>
  <c r="DV7" i="220"/>
  <c r="DT9" i="220"/>
  <c r="DT65" i="220"/>
  <c r="DO15" i="220"/>
  <c r="EO53" i="4" s="1"/>
  <c r="DO10" i="220"/>
  <c r="DV16" i="220"/>
  <c r="DF15" i="220"/>
  <c r="EF53" i="4" s="1"/>
  <c r="DF10" i="220"/>
  <c r="DV10" i="220"/>
  <c r="AB93" i="139" l="1"/>
  <c r="AB99" i="139" s="1"/>
  <c r="EV45" i="4"/>
  <c r="ET28" i="4"/>
  <c r="EM28" i="4"/>
  <c r="ET18" i="4"/>
  <c r="EH45" i="4"/>
  <c r="DW16" i="220"/>
  <c r="EP45" i="4"/>
  <c r="DO16" i="220"/>
  <c r="DF16" i="220"/>
  <c r="DY45" i="4"/>
  <c r="DT15" i="220"/>
  <c r="ET53" i="4" s="1"/>
  <c r="DT10" i="220"/>
  <c r="DM15" i="220"/>
  <c r="EM53" i="4" s="1"/>
  <c r="DM10" i="220"/>
  <c r="DT7" i="220"/>
  <c r="DT5" i="220"/>
  <c r="EF45" i="4" l="1"/>
  <c r="DT16" i="220"/>
  <c r="EO45" i="4"/>
  <c r="EW45" i="4"/>
  <c r="DM16" i="220"/>
  <c r="EM45" i="4" l="1"/>
  <c r="ET45" i="4"/>
  <c r="CS94" i="2" l="1"/>
  <c r="DN94" i="2" s="1"/>
  <c r="DU94" i="2" s="1"/>
  <c r="EB94" i="2" s="1"/>
  <c r="EI94" i="2" s="1"/>
  <c r="EP94" i="2" s="1"/>
  <c r="CF385" i="11" l="1"/>
  <c r="CF45" i="11"/>
  <c r="CF42" i="11"/>
  <c r="CF11" i="11"/>
  <c r="BL75" i="220"/>
  <c r="BL69" i="220"/>
  <c r="BL18" i="220"/>
  <c r="BL14" i="220"/>
  <c r="BL4" i="220"/>
  <c r="BS7" i="220" s="1"/>
  <c r="BX73" i="178"/>
  <c r="BX67" i="178"/>
  <c r="BX64" i="178"/>
  <c r="BX62" i="178"/>
  <c r="BX4" i="178"/>
  <c r="BL10" i="220" l="1"/>
  <c r="BL22" i="220"/>
  <c r="BX15" i="178"/>
  <c r="BX18" i="178"/>
  <c r="CF5" i="11"/>
  <c r="CF9" i="11"/>
  <c r="CF63" i="11"/>
  <c r="BL19" i="220"/>
  <c r="BX12" i="178"/>
  <c r="BX8" i="178"/>
  <c r="BL16" i="220"/>
  <c r="BX24" i="178"/>
  <c r="CF46" i="11"/>
  <c r="CF77" i="11"/>
  <c r="CF43" i="11"/>
  <c r="BX56" i="178"/>
  <c r="BL28" i="220"/>
  <c r="BL65" i="220" s="1"/>
  <c r="CF451" i="11"/>
  <c r="CF307" i="11" l="1"/>
  <c r="CF27" i="11" s="1"/>
  <c r="CE9" i="11"/>
  <c r="CF391" i="11"/>
  <c r="CE5" i="11"/>
  <c r="BX27" i="178"/>
  <c r="BX40" i="178"/>
  <c r="BW40" i="178" s="1"/>
  <c r="BX42" i="178"/>
  <c r="BW42" i="178" s="1"/>
  <c r="BL45" i="220"/>
  <c r="BK45" i="220" s="1"/>
  <c r="BL41" i="220"/>
  <c r="BK41" i="220" s="1"/>
  <c r="BL44" i="220"/>
  <c r="BK44" i="220" s="1"/>
  <c r="BL40" i="220"/>
  <c r="BK40" i="220" s="1"/>
  <c r="BL43" i="220"/>
  <c r="BK43" i="220" s="1"/>
  <c r="BL46" i="220"/>
  <c r="BK46" i="220" s="1"/>
  <c r="BL42" i="220"/>
  <c r="BK42" i="220" s="1"/>
  <c r="BS29" i="220"/>
  <c r="BL31" i="220"/>
  <c r="CF313" i="11"/>
  <c r="BX68" i="178"/>
  <c r="BL73" i="220"/>
  <c r="BX57" i="178"/>
  <c r="BL76" i="220"/>
  <c r="BX72" i="2"/>
  <c r="BW72" i="2" s="1"/>
  <c r="BU72" i="2" s="1"/>
  <c r="CE72" i="2"/>
  <c r="CD72" i="2" s="1"/>
  <c r="CB72" i="2" s="1"/>
  <c r="CE17" i="2"/>
  <c r="CL58" i="4"/>
  <c r="CL39" i="4"/>
  <c r="CL40" i="4" l="1"/>
  <c r="CK39" i="4"/>
  <c r="CD41" i="178"/>
  <c r="BU40" i="178"/>
  <c r="BW45" i="178"/>
  <c r="BU42" i="178"/>
  <c r="BW46" i="178"/>
  <c r="CD43" i="178"/>
  <c r="BX31" i="178"/>
  <c r="CE32" i="178" s="1"/>
  <c r="BW27" i="178"/>
  <c r="BK53" i="220"/>
  <c r="BI45" i="220"/>
  <c r="BI53" i="220" s="1"/>
  <c r="BL34" i="220"/>
  <c r="BK34" i="220" s="1"/>
  <c r="BK31" i="220"/>
  <c r="BK51" i="220"/>
  <c r="BI43" i="220"/>
  <c r="BI51" i="220" s="1"/>
  <c r="BK48" i="220"/>
  <c r="BI40" i="220"/>
  <c r="BI48" i="220" s="1"/>
  <c r="BK50" i="220"/>
  <c r="BI42" i="220"/>
  <c r="BI50" i="220" s="1"/>
  <c r="BK52" i="220"/>
  <c r="BI44" i="220"/>
  <c r="BI52" i="220" s="1"/>
  <c r="BK54" i="220"/>
  <c r="BI46" i="220"/>
  <c r="BI54" i="220" s="1"/>
  <c r="BK49" i="220"/>
  <c r="BI41" i="220"/>
  <c r="BI49" i="220" s="1"/>
  <c r="CE14" i="11"/>
  <c r="CC5" i="11"/>
  <c r="CC14" i="11" s="1"/>
  <c r="CC9" i="11"/>
  <c r="CC15" i="11" s="1"/>
  <c r="CE15" i="11"/>
  <c r="CD17" i="2"/>
  <c r="CB17" i="2" s="1"/>
  <c r="BX34" i="178"/>
  <c r="CE43" i="178"/>
  <c r="CE41" i="178"/>
  <c r="BS32" i="220"/>
  <c r="BL61" i="220" l="1"/>
  <c r="BL58" i="220" s="1"/>
  <c r="BL59" i="220" s="1"/>
  <c r="CK40" i="4"/>
  <c r="CI39" i="4"/>
  <c r="CI40" i="4" s="1"/>
  <c r="CE35" i="178"/>
  <c r="BW34" i="178"/>
  <c r="BW31" i="178"/>
  <c r="BU27" i="178"/>
  <c r="BW37" i="178"/>
  <c r="CD28" i="178"/>
  <c r="BU45" i="178"/>
  <c r="CB41" i="178"/>
  <c r="BU46" i="178"/>
  <c r="CB43" i="178"/>
  <c r="BK37" i="220"/>
  <c r="BK38" i="220" s="1"/>
  <c r="BI31" i="220"/>
  <c r="BR32" i="220"/>
  <c r="BS35" i="220"/>
  <c r="BI34" i="220"/>
  <c r="BR35" i="220"/>
  <c r="CC16" i="11"/>
  <c r="CE16" i="11"/>
  <c r="BU37" i="178" l="1"/>
  <c r="BU31" i="178"/>
  <c r="CB28" i="178"/>
  <c r="CD32" i="178"/>
  <c r="BU34" i="178"/>
  <c r="BW38" i="178"/>
  <c r="CD35" i="178"/>
  <c r="BI37" i="220"/>
  <c r="BI38" i="220" s="1"/>
  <c r="BP32" i="220"/>
  <c r="BP35" i="220"/>
  <c r="BX30" i="178"/>
  <c r="BU38" i="178" l="1"/>
  <c r="CB35" i="178"/>
  <c r="CB32" i="178"/>
  <c r="CF104" i="11" l="1"/>
  <c r="CL207" i="4" s="1"/>
  <c r="CK207" i="4" s="1"/>
  <c r="CI207" i="4" l="1"/>
  <c r="CC104" i="11" s="1"/>
  <c r="CC85" i="11" s="1"/>
  <c r="CE104" i="11"/>
  <c r="CF85" i="11"/>
  <c r="CF93" i="11" s="1"/>
  <c r="CC93" i="11" l="1"/>
  <c r="CE85" i="11"/>
  <c r="CE93" i="11" l="1"/>
  <c r="Q63" i="139" l="1"/>
  <c r="P63" i="139"/>
  <c r="O63" i="139"/>
  <c r="R63" i="139"/>
  <c r="DG106" i="2" l="1"/>
  <c r="BY11" i="11" l="1"/>
  <c r="BE25" i="220"/>
  <c r="BQ21" i="178"/>
  <c r="BY71" i="11"/>
  <c r="BY63" i="11" l="1"/>
  <c r="BY5" i="11"/>
  <c r="BX5" i="11" s="1"/>
  <c r="BY9" i="11"/>
  <c r="BY307" i="11" l="1"/>
  <c r="BY27" i="11" s="1"/>
  <c r="BX9" i="11"/>
  <c r="BX14" i="11"/>
  <c r="BV5" i="11"/>
  <c r="BV14" i="11" s="1"/>
  <c r="BX15" i="11" l="1"/>
  <c r="BX16" i="11" s="1"/>
  <c r="BV9" i="11"/>
  <c r="BV15" i="11" s="1"/>
  <c r="BV16" i="11" s="1"/>
  <c r="CM461" i="11" l="1"/>
  <c r="CT461" i="11"/>
  <c r="BY534" i="11"/>
  <c r="BY641" i="11"/>
  <c r="BE75" i="220"/>
  <c r="BE69" i="220"/>
  <c r="BE18" i="220"/>
  <c r="BE14" i="220"/>
  <c r="BE4" i="220"/>
  <c r="BE16" i="220" s="1"/>
  <c r="BQ64" i="178"/>
  <c r="BQ62" i="178"/>
  <c r="BQ73" i="178"/>
  <c r="BQ67" i="178"/>
  <c r="BQ30" i="178"/>
  <c r="AX25" i="220"/>
  <c r="BQ7" i="178"/>
  <c r="BQ56" i="178" s="1"/>
  <c r="BQ4" i="178"/>
  <c r="BX5" i="178" s="1"/>
  <c r="BY385" i="11"/>
  <c r="BY387" i="11" s="1"/>
  <c r="BR385" i="11"/>
  <c r="BR387" i="11" s="1"/>
  <c r="BR71" i="11"/>
  <c r="BY45" i="11"/>
  <c r="BY42" i="11"/>
  <c r="BR42" i="11"/>
  <c r="BR646" i="11" s="1"/>
  <c r="R39" i="139"/>
  <c r="BQ72" i="2"/>
  <c r="BX17" i="2"/>
  <c r="CE131" i="4"/>
  <c r="CE135" i="4" s="1"/>
  <c r="BX89" i="243" s="1"/>
  <c r="BX90" i="243" s="1"/>
  <c r="CE122" i="4"/>
  <c r="CE124" i="4" s="1"/>
  <c r="BX15" i="2" s="1"/>
  <c r="CE39" i="4"/>
  <c r="L5" i="139"/>
  <c r="M5" i="139"/>
  <c r="M6" i="139" s="1"/>
  <c r="N5" i="139"/>
  <c r="O5" i="139"/>
  <c r="P5" i="139"/>
  <c r="Q5" i="139"/>
  <c r="B6" i="139"/>
  <c r="C6" i="139"/>
  <c r="D6" i="139"/>
  <c r="E6" i="139"/>
  <c r="F6" i="139"/>
  <c r="G6" i="139"/>
  <c r="H6" i="139"/>
  <c r="I6" i="139"/>
  <c r="J6" i="139"/>
  <c r="K6" i="139"/>
  <c r="B23" i="139"/>
  <c r="B53" i="139" s="1"/>
  <c r="C23" i="139"/>
  <c r="D23" i="139"/>
  <c r="E23" i="139"/>
  <c r="E53" i="139" s="1"/>
  <c r="F23" i="139"/>
  <c r="G23" i="139"/>
  <c r="H23" i="139"/>
  <c r="H53" i="139" s="1"/>
  <c r="I23" i="139"/>
  <c r="J23" i="139"/>
  <c r="K23" i="139"/>
  <c r="L23" i="139"/>
  <c r="L53" i="139" s="1"/>
  <c r="M23" i="139"/>
  <c r="M53" i="139" s="1"/>
  <c r="N23" i="139"/>
  <c r="O23" i="139"/>
  <c r="P23" i="139"/>
  <c r="Q23" i="139"/>
  <c r="L24" i="139"/>
  <c r="M24" i="139"/>
  <c r="N24" i="139"/>
  <c r="O24" i="139"/>
  <c r="P24" i="139"/>
  <c r="Q24" i="139"/>
  <c r="B39" i="139"/>
  <c r="J39" i="139"/>
  <c r="B46" i="139"/>
  <c r="H4" i="220"/>
  <c r="H28" i="220" s="1"/>
  <c r="O4" i="220"/>
  <c r="O16" i="220" s="1"/>
  <c r="V4" i="220"/>
  <c r="V28" i="220" s="1"/>
  <c r="V65" i="220" s="1"/>
  <c r="AC4" i="220"/>
  <c r="AJ4" i="220"/>
  <c r="AQ4" i="220"/>
  <c r="AX4" i="220"/>
  <c r="AX16" i="220" s="1"/>
  <c r="O14" i="220"/>
  <c r="V14" i="220"/>
  <c r="AC14" i="220"/>
  <c r="AJ14" i="220"/>
  <c r="AQ14" i="220"/>
  <c r="AX14" i="220"/>
  <c r="H15" i="220"/>
  <c r="H18" i="220"/>
  <c r="O18" i="220"/>
  <c r="V18" i="220"/>
  <c r="AC18" i="220"/>
  <c r="AJ18" i="220"/>
  <c r="AQ18" i="220"/>
  <c r="AX18" i="220"/>
  <c r="H21" i="220"/>
  <c r="O21" i="220"/>
  <c r="V21" i="220"/>
  <c r="AC21" i="220"/>
  <c r="AJ21" i="220"/>
  <c r="AQ21" i="220"/>
  <c r="H24" i="220"/>
  <c r="O24" i="220"/>
  <c r="V24" i="220"/>
  <c r="AC24" i="220"/>
  <c r="AJ24" i="220"/>
  <c r="AQ24" i="220"/>
  <c r="O69" i="220"/>
  <c r="V69" i="220"/>
  <c r="AC69" i="220"/>
  <c r="AJ69" i="220"/>
  <c r="AQ69" i="220"/>
  <c r="AX69" i="220"/>
  <c r="H75" i="220"/>
  <c r="O75" i="220"/>
  <c r="V75" i="220"/>
  <c r="AC75" i="220"/>
  <c r="AJ75" i="220"/>
  <c r="AQ75" i="220"/>
  <c r="AX75" i="220"/>
  <c r="D4" i="178"/>
  <c r="D104" i="178" s="1"/>
  <c r="E4" i="178"/>
  <c r="E104" i="178" s="1"/>
  <c r="F4" i="178"/>
  <c r="F104" i="178" s="1"/>
  <c r="G4" i="178"/>
  <c r="H4" i="178"/>
  <c r="I4" i="178"/>
  <c r="I104" i="178" s="1"/>
  <c r="J4" i="178"/>
  <c r="J104" i="178" s="1"/>
  <c r="K4" i="178"/>
  <c r="K104" i="178" s="1"/>
  <c r="L4" i="178"/>
  <c r="L104" i="178" s="1"/>
  <c r="L102" i="178" s="1"/>
  <c r="M4" i="178"/>
  <c r="M24" i="178" s="1"/>
  <c r="T4" i="178"/>
  <c r="AA4" i="178"/>
  <c r="AH4" i="178"/>
  <c r="AH8" i="178" s="1"/>
  <c r="AO4" i="178"/>
  <c r="AO129" i="178" s="1"/>
  <c r="AV4" i="178"/>
  <c r="BC4" i="178"/>
  <c r="BC24" i="178" s="1"/>
  <c r="BJ4" i="178"/>
  <c r="BJ15" i="178" s="1"/>
  <c r="E11" i="178"/>
  <c r="E118" i="178" s="1"/>
  <c r="F11" i="178"/>
  <c r="F118" i="178" s="1"/>
  <c r="G11" i="178"/>
  <c r="H11" i="178"/>
  <c r="H118" i="178" s="1"/>
  <c r="I11" i="178"/>
  <c r="I12" i="178" s="1"/>
  <c r="J11" i="178"/>
  <c r="J118" i="178" s="1"/>
  <c r="K11" i="178"/>
  <c r="K118" i="178" s="1"/>
  <c r="L11" i="178"/>
  <c r="L118" i="178" s="1"/>
  <c r="M11" i="178"/>
  <c r="T11" i="178"/>
  <c r="AA11" i="178"/>
  <c r="AH11" i="178"/>
  <c r="AO11" i="178"/>
  <c r="AV11" i="178"/>
  <c r="AV10" i="178" s="1"/>
  <c r="BC11" i="178"/>
  <c r="BC10" i="178" s="1"/>
  <c r="BJ11" i="178"/>
  <c r="BJ10" i="178" s="1"/>
  <c r="D14" i="178"/>
  <c r="E14" i="178"/>
  <c r="F14" i="178"/>
  <c r="G14" i="178"/>
  <c r="H14" i="178"/>
  <c r="I14" i="178"/>
  <c r="J14" i="178"/>
  <c r="K14" i="178"/>
  <c r="L14" i="178"/>
  <c r="M14" i="178"/>
  <c r="T14" i="178"/>
  <c r="AA14" i="178"/>
  <c r="AH14" i="178"/>
  <c r="AO14" i="178"/>
  <c r="E17" i="178"/>
  <c r="F17" i="178"/>
  <c r="G17" i="178"/>
  <c r="H17" i="178"/>
  <c r="I17" i="178"/>
  <c r="J17" i="178"/>
  <c r="K17" i="178"/>
  <c r="L17" i="178"/>
  <c r="M17" i="178"/>
  <c r="T17" i="178"/>
  <c r="AA17" i="178"/>
  <c r="AH17" i="178"/>
  <c r="AO17" i="178"/>
  <c r="AV17" i="178"/>
  <c r="BC17" i="178"/>
  <c r="C20" i="178"/>
  <c r="D20" i="178"/>
  <c r="E20" i="178"/>
  <c r="F20" i="178"/>
  <c r="G20" i="178"/>
  <c r="H20" i="178"/>
  <c r="I20" i="178"/>
  <c r="J20" i="178"/>
  <c r="K20" i="178"/>
  <c r="L20" i="178"/>
  <c r="M20" i="178"/>
  <c r="T20" i="178"/>
  <c r="AA20" i="178"/>
  <c r="AH20" i="178"/>
  <c r="AO20" i="178"/>
  <c r="AV20" i="178"/>
  <c r="BC20" i="178"/>
  <c r="C100" i="178"/>
  <c r="D100" i="178" s="1"/>
  <c r="E100" i="178" s="1"/>
  <c r="E114" i="178" s="1"/>
  <c r="C101" i="178"/>
  <c r="D101" i="178" s="1"/>
  <c r="C102" i="178"/>
  <c r="D102" i="178" s="1"/>
  <c r="E102" i="178" s="1"/>
  <c r="F102" i="178" s="1"/>
  <c r="G102" i="178" s="1"/>
  <c r="H102" i="178" s="1"/>
  <c r="I102" i="178" s="1"/>
  <c r="B118" i="178"/>
  <c r="C118" i="178"/>
  <c r="E124" i="178"/>
  <c r="F124" i="178" s="1"/>
  <c r="AO29" i="178"/>
  <c r="BC30" i="178"/>
  <c r="BJ30" i="178"/>
  <c r="T62" i="178"/>
  <c r="AA62" i="178"/>
  <c r="AH62" i="178"/>
  <c r="AO62" i="178"/>
  <c r="AV62" i="178"/>
  <c r="BC62" i="178"/>
  <c r="BJ62" i="178"/>
  <c r="M64" i="178"/>
  <c r="T64" i="178"/>
  <c r="AA64" i="178"/>
  <c r="AH64" i="178"/>
  <c r="AO64" i="178"/>
  <c r="AV64" i="178"/>
  <c r="BC64" i="178"/>
  <c r="BJ64" i="178"/>
  <c r="T67" i="178"/>
  <c r="AA67" i="178"/>
  <c r="AH67" i="178"/>
  <c r="AO67" i="178"/>
  <c r="AV67" i="178"/>
  <c r="BC67" i="178"/>
  <c r="BJ67" i="178"/>
  <c r="AV73" i="178"/>
  <c r="BC73" i="178"/>
  <c r="BJ73" i="178"/>
  <c r="AA54" i="178"/>
  <c r="AH54" i="178" s="1"/>
  <c r="T56" i="178"/>
  <c r="AA56" i="178"/>
  <c r="AH56" i="178"/>
  <c r="AO56" i="178"/>
  <c r="AV56" i="178"/>
  <c r="BC56" i="178"/>
  <c r="BJ56" i="178"/>
  <c r="B79" i="178"/>
  <c r="C79" i="178"/>
  <c r="D79" i="178"/>
  <c r="E79" i="178"/>
  <c r="F79" i="178"/>
  <c r="G79" i="178"/>
  <c r="H79" i="178"/>
  <c r="I79" i="178"/>
  <c r="J79" i="178"/>
  <c r="K79" i="178"/>
  <c r="L79" i="178"/>
  <c r="M79" i="178"/>
  <c r="T79" i="178"/>
  <c r="AA79" i="178"/>
  <c r="AH79" i="178"/>
  <c r="B84" i="178"/>
  <c r="C84" i="178"/>
  <c r="D84" i="178"/>
  <c r="E84" i="178"/>
  <c r="F84" i="178"/>
  <c r="G84" i="178"/>
  <c r="H84" i="178"/>
  <c r="I84" i="178"/>
  <c r="J84" i="178"/>
  <c r="K84" i="178"/>
  <c r="L84" i="178"/>
  <c r="M84" i="178"/>
  <c r="T84" i="178"/>
  <c r="AA84" i="178"/>
  <c r="AH84" i="178"/>
  <c r="B87" i="178"/>
  <c r="C87" i="178"/>
  <c r="D87" i="178"/>
  <c r="E87" i="178"/>
  <c r="F87" i="178"/>
  <c r="G87" i="178"/>
  <c r="H87" i="178"/>
  <c r="I87" i="178"/>
  <c r="J87" i="178"/>
  <c r="K87" i="178"/>
  <c r="L87" i="178"/>
  <c r="M87" i="178"/>
  <c r="T87" i="178"/>
  <c r="AA87" i="178"/>
  <c r="AH87" i="178"/>
  <c r="AH91" i="178"/>
  <c r="AO91" i="178"/>
  <c r="AH93" i="178"/>
  <c r="AO93" i="178"/>
  <c r="AO95" i="178"/>
  <c r="AO96" i="178"/>
  <c r="AH139" i="178"/>
  <c r="A581" i="178"/>
  <c r="A582" i="178" s="1"/>
  <c r="A583" i="178" s="1"/>
  <c r="M7" i="11"/>
  <c r="M8" i="11"/>
  <c r="C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U11" i="11"/>
  <c r="AB11" i="11"/>
  <c r="AI11" i="11"/>
  <c r="AP11" i="11"/>
  <c r="AW11" i="11"/>
  <c r="BK11" i="11"/>
  <c r="C432" i="11"/>
  <c r="C9" i="11" s="1"/>
  <c r="D432" i="11"/>
  <c r="D9" i="11" s="1"/>
  <c r="AI461" i="11"/>
  <c r="BY461" i="11"/>
  <c r="CF461" i="11"/>
  <c r="D33" i="11"/>
  <c r="C34" i="11"/>
  <c r="E34" i="11"/>
  <c r="CF40" i="11"/>
  <c r="C42" i="11"/>
  <c r="D42" i="11"/>
  <c r="E42" i="11"/>
  <c r="F42" i="11"/>
  <c r="F39" i="11" s="1"/>
  <c r="G42" i="11"/>
  <c r="G39" i="11" s="1"/>
  <c r="H42" i="11"/>
  <c r="H39" i="11" s="1"/>
  <c r="I42" i="11"/>
  <c r="I39" i="11" s="1"/>
  <c r="J42" i="11"/>
  <c r="J39" i="11" s="1"/>
  <c r="K42" i="11"/>
  <c r="L42" i="11"/>
  <c r="L39" i="11" s="1"/>
  <c r="M42" i="11"/>
  <c r="M39" i="11" s="1"/>
  <c r="N42" i="11"/>
  <c r="N39" i="11" s="1"/>
  <c r="U42" i="11"/>
  <c r="U39" i="11" s="1"/>
  <c r="AB42" i="11"/>
  <c r="AI42" i="11"/>
  <c r="AP42" i="11"/>
  <c r="AW42" i="11"/>
  <c r="BD42" i="11"/>
  <c r="BK42" i="11"/>
  <c r="U45" i="11"/>
  <c r="AB45" i="11"/>
  <c r="AB58" i="11" s="1"/>
  <c r="AB60" i="11" s="1"/>
  <c r="AI45" i="11"/>
  <c r="AP45" i="11"/>
  <c r="AW45" i="11"/>
  <c r="AW58" i="11" s="1"/>
  <c r="BK45" i="11"/>
  <c r="BR45" i="11"/>
  <c r="K51" i="11"/>
  <c r="L51" i="11"/>
  <c r="K55" i="11"/>
  <c r="J57" i="11"/>
  <c r="J45" i="11" s="1"/>
  <c r="K57" i="11"/>
  <c r="L57" i="11"/>
  <c r="M57" i="11"/>
  <c r="M45" i="11" s="1"/>
  <c r="C58" i="11"/>
  <c r="C45" i="11" s="1"/>
  <c r="D58" i="11"/>
  <c r="F58" i="11"/>
  <c r="G58" i="11"/>
  <c r="G45" i="11" s="1"/>
  <c r="H58" i="11"/>
  <c r="H45" i="11" s="1"/>
  <c r="I58" i="11"/>
  <c r="I45" i="11" s="1"/>
  <c r="J58" i="11"/>
  <c r="K58" i="11"/>
  <c r="L58" i="11"/>
  <c r="M58" i="11"/>
  <c r="N58" i="11"/>
  <c r="N45" i="11" s="1"/>
  <c r="C62" i="11"/>
  <c r="D62" i="11"/>
  <c r="E62" i="11"/>
  <c r="F62" i="11"/>
  <c r="G62" i="11"/>
  <c r="H62" i="11"/>
  <c r="I62" i="11"/>
  <c r="J62" i="11"/>
  <c r="K62" i="11"/>
  <c r="L62" i="11"/>
  <c r="M62" i="11"/>
  <c r="N62" i="11"/>
  <c r="U62" i="11"/>
  <c r="AB62" i="11"/>
  <c r="AI62" i="11"/>
  <c r="AP62" i="11"/>
  <c r="AW62" i="11"/>
  <c r="BD62" i="11"/>
  <c r="BK62" i="11"/>
  <c r="C65" i="11"/>
  <c r="D65" i="11"/>
  <c r="E65" i="11"/>
  <c r="B70" i="11"/>
  <c r="B69" i="11" s="1"/>
  <c r="C70" i="11"/>
  <c r="D70" i="11"/>
  <c r="E70" i="11"/>
  <c r="F70" i="11"/>
  <c r="F69" i="11" s="1"/>
  <c r="G70" i="11"/>
  <c r="G69" i="11" s="1"/>
  <c r="H70" i="11"/>
  <c r="H69" i="11" s="1"/>
  <c r="I70" i="11"/>
  <c r="J70" i="11"/>
  <c r="J69" i="11" s="1"/>
  <c r="K70" i="11"/>
  <c r="K69" i="11" s="1"/>
  <c r="L70" i="11"/>
  <c r="L69" i="11" s="1"/>
  <c r="M70" i="11"/>
  <c r="M69" i="11" s="1"/>
  <c r="N70" i="11"/>
  <c r="N69" i="11" s="1"/>
  <c r="U70" i="11"/>
  <c r="AB70" i="11"/>
  <c r="AB69" i="11" s="1"/>
  <c r="AI70" i="11"/>
  <c r="AI69" i="11" s="1"/>
  <c r="AP70" i="11"/>
  <c r="AW70" i="11"/>
  <c r="BD70" i="11"/>
  <c r="BK70" i="11"/>
  <c r="E76" i="11"/>
  <c r="D211" i="4" s="1"/>
  <c r="F76" i="11"/>
  <c r="E211" i="4" s="1"/>
  <c r="BD109" i="11"/>
  <c r="BD110" i="11"/>
  <c r="AP111" i="11"/>
  <c r="BD111" i="11"/>
  <c r="B112" i="11"/>
  <c r="B119" i="11" s="1"/>
  <c r="C112" i="11"/>
  <c r="C119" i="11" s="1"/>
  <c r="D112" i="11"/>
  <c r="D119" i="11" s="1"/>
  <c r="E112" i="11"/>
  <c r="E119" i="11" s="1"/>
  <c r="F112" i="11"/>
  <c r="F119" i="11" s="1"/>
  <c r="G112" i="11"/>
  <c r="G119" i="11" s="1"/>
  <c r="H112" i="11"/>
  <c r="H119" i="11" s="1"/>
  <c r="I112" i="11"/>
  <c r="I119" i="11" s="1"/>
  <c r="J112" i="11"/>
  <c r="J119" i="11" s="1"/>
  <c r="K112" i="11"/>
  <c r="K119" i="11" s="1"/>
  <c r="L112" i="11"/>
  <c r="L119" i="11" s="1"/>
  <c r="M112" i="11"/>
  <c r="M119" i="11" s="1"/>
  <c r="N112" i="11"/>
  <c r="N119" i="11" s="1"/>
  <c r="U112" i="11"/>
  <c r="U119" i="11" s="1"/>
  <c r="AB112" i="11"/>
  <c r="AI112" i="11"/>
  <c r="AW112" i="11"/>
  <c r="BK112" i="11"/>
  <c r="BR112" i="11"/>
  <c r="BY112" i="11"/>
  <c r="CF112" i="11"/>
  <c r="CM112" i="11"/>
  <c r="BD114" i="11"/>
  <c r="BD115" i="11"/>
  <c r="BD116" i="11"/>
  <c r="AP117" i="11"/>
  <c r="AW117" i="11"/>
  <c r="BK117" i="11"/>
  <c r="BR117" i="11"/>
  <c r="BY117" i="11"/>
  <c r="AP517" i="11"/>
  <c r="L121" i="11"/>
  <c r="BD121" i="11"/>
  <c r="BD122" i="11"/>
  <c r="B123" i="11"/>
  <c r="C123" i="11"/>
  <c r="D123" i="11"/>
  <c r="D129" i="11" s="1"/>
  <c r="D518" i="11" s="1"/>
  <c r="E123" i="11"/>
  <c r="E129" i="11" s="1"/>
  <c r="E518" i="11" s="1"/>
  <c r="F123" i="11"/>
  <c r="F129" i="11" s="1"/>
  <c r="F518" i="11" s="1"/>
  <c r="G123" i="11"/>
  <c r="G129" i="11" s="1"/>
  <c r="G518" i="11" s="1"/>
  <c r="H123" i="11"/>
  <c r="I123" i="11"/>
  <c r="I129" i="11" s="1"/>
  <c r="I518" i="11" s="1"/>
  <c r="J123" i="11"/>
  <c r="K123" i="11"/>
  <c r="K129" i="11" s="1"/>
  <c r="M123" i="11"/>
  <c r="M129" i="11" s="1"/>
  <c r="N123" i="11"/>
  <c r="U123" i="11"/>
  <c r="AB123" i="11"/>
  <c r="AI123" i="11"/>
  <c r="AI129" i="11" s="1"/>
  <c r="AP123" i="11"/>
  <c r="AW123" i="11"/>
  <c r="BK123" i="11"/>
  <c r="BR123" i="11"/>
  <c r="BQ201" i="4" s="1"/>
  <c r="BP201" i="4" s="1"/>
  <c r="BY123" i="11"/>
  <c r="CF123" i="11"/>
  <c r="CL201" i="4" s="1"/>
  <c r="CK201" i="4" s="1"/>
  <c r="CM123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BD125" i="11"/>
  <c r="BD126" i="11"/>
  <c r="AW127" i="11"/>
  <c r="AW88" i="11" s="1"/>
  <c r="AW96" i="11" s="1"/>
  <c r="BK127" i="11"/>
  <c r="BR127" i="11"/>
  <c r="BY127" i="11"/>
  <c r="CE202" i="4" s="1"/>
  <c r="CD202" i="4" s="1"/>
  <c r="CF127" i="11"/>
  <c r="CL202" i="4" s="1"/>
  <c r="CK202" i="4" s="1"/>
  <c r="CM127" i="11"/>
  <c r="CS202" i="4" s="1"/>
  <c r="CR202" i="4" s="1"/>
  <c r="AB139" i="11"/>
  <c r="AI139" i="11"/>
  <c r="AP139" i="11"/>
  <c r="AW139" i="11"/>
  <c r="AW89" i="11" s="1"/>
  <c r="AW97" i="11" s="1"/>
  <c r="BD139" i="11"/>
  <c r="BK139" i="11"/>
  <c r="BR139" i="11"/>
  <c r="BQ204" i="4" s="1"/>
  <c r="BP204" i="4" s="1"/>
  <c r="BY139" i="11"/>
  <c r="CE204" i="4" s="1"/>
  <c r="CD204" i="4" s="1"/>
  <c r="CF139" i="11"/>
  <c r="CL204" i="4" s="1"/>
  <c r="CK204" i="4" s="1"/>
  <c r="CM139" i="11"/>
  <c r="CS204" i="4" s="1"/>
  <c r="CR204" i="4" s="1"/>
  <c r="BK104" i="11"/>
  <c r="BR104" i="11"/>
  <c r="BQ207" i="4" s="1"/>
  <c r="BP207" i="4" s="1"/>
  <c r="BY104" i="11"/>
  <c r="CE207" i="4" s="1"/>
  <c r="CD207" i="4" s="1"/>
  <c r="CM104" i="11"/>
  <c r="CS207" i="4" s="1"/>
  <c r="CR207" i="4" s="1"/>
  <c r="E173" i="11"/>
  <c r="G173" i="11"/>
  <c r="BD173" i="11"/>
  <c r="BR468" i="11"/>
  <c r="E174" i="11"/>
  <c r="G174" i="11"/>
  <c r="BD174" i="11"/>
  <c r="BD223" i="11" s="1"/>
  <c r="CF469" i="11"/>
  <c r="E175" i="11"/>
  <c r="G175" i="11"/>
  <c r="BD175" i="11"/>
  <c r="BD224" i="11" s="1"/>
  <c r="E176" i="11"/>
  <c r="G176" i="11"/>
  <c r="BD176" i="11"/>
  <c r="BD225" i="11" s="1"/>
  <c r="BD177" i="11"/>
  <c r="BD226" i="11" s="1"/>
  <c r="BD178" i="11"/>
  <c r="BD227" i="11" s="1"/>
  <c r="BD179" i="11"/>
  <c r="BD228" i="11" s="1"/>
  <c r="E172" i="11"/>
  <c r="D172" i="11" s="1"/>
  <c r="C172" i="11" s="1"/>
  <c r="G172" i="11"/>
  <c r="H172" i="11" s="1"/>
  <c r="I172" i="11" s="1"/>
  <c r="J172" i="11" s="1"/>
  <c r="K172" i="11" s="1"/>
  <c r="E180" i="11"/>
  <c r="G180" i="11"/>
  <c r="G229" i="11" s="1"/>
  <c r="G255" i="11" s="1"/>
  <c r="N180" i="11"/>
  <c r="U180" i="11"/>
  <c r="U229" i="11" s="1"/>
  <c r="U255" i="11" s="1"/>
  <c r="AB180" i="11"/>
  <c r="AB229" i="11" s="1"/>
  <c r="AB255" i="11" s="1"/>
  <c r="BD180" i="11"/>
  <c r="BD229" i="11" s="1"/>
  <c r="E181" i="11"/>
  <c r="G181" i="11"/>
  <c r="BD181" i="11"/>
  <c r="BD230" i="11" s="1"/>
  <c r="BD182" i="11"/>
  <c r="BD231" i="11" s="1"/>
  <c r="CT477" i="11"/>
  <c r="BD183" i="11"/>
  <c r="BD232" i="11" s="1"/>
  <c r="E184" i="11"/>
  <c r="D184" i="11" s="1"/>
  <c r="D501" i="11" s="1"/>
  <c r="D261" i="11" s="1"/>
  <c r="G184" i="11"/>
  <c r="N184" i="11"/>
  <c r="BD479" i="11"/>
  <c r="E185" i="11"/>
  <c r="G185" i="11"/>
  <c r="N185" i="11"/>
  <c r="N480" i="11" s="1"/>
  <c r="BD480" i="11"/>
  <c r="E186" i="11"/>
  <c r="G186" i="11"/>
  <c r="H186" i="11" s="1"/>
  <c r="N186" i="11"/>
  <c r="N481" i="11" s="1"/>
  <c r="BD481" i="11"/>
  <c r="L187" i="11"/>
  <c r="L504" i="11" s="1"/>
  <c r="M187" i="11"/>
  <c r="N187" i="11" s="1"/>
  <c r="BD188" i="11"/>
  <c r="BR482" i="11"/>
  <c r="BD189" i="11"/>
  <c r="BD190" i="11"/>
  <c r="BY484" i="11"/>
  <c r="K191" i="11"/>
  <c r="BD191" i="11"/>
  <c r="BY485" i="11"/>
  <c r="F468" i="11"/>
  <c r="L468" i="11"/>
  <c r="M468" i="11"/>
  <c r="N468" i="11"/>
  <c r="U468" i="11"/>
  <c r="AB468" i="11"/>
  <c r="AI468" i="11"/>
  <c r="AP468" i="11"/>
  <c r="AW468" i="11"/>
  <c r="BK468" i="11"/>
  <c r="F469" i="11"/>
  <c r="L469" i="11"/>
  <c r="M469" i="11"/>
  <c r="N469" i="11"/>
  <c r="U469" i="11"/>
  <c r="AB469" i="11"/>
  <c r="AI469" i="11"/>
  <c r="AP469" i="11"/>
  <c r="AW469" i="11"/>
  <c r="BK469" i="11"/>
  <c r="F470" i="11"/>
  <c r="L470" i="11"/>
  <c r="M470" i="11"/>
  <c r="N470" i="11"/>
  <c r="U470" i="11"/>
  <c r="AB470" i="11"/>
  <c r="AI470" i="11"/>
  <c r="AP470" i="11"/>
  <c r="AW470" i="11"/>
  <c r="BK470" i="11"/>
  <c r="F471" i="11"/>
  <c r="L471" i="11"/>
  <c r="M471" i="11"/>
  <c r="N471" i="11"/>
  <c r="U471" i="11"/>
  <c r="AB471" i="11"/>
  <c r="AI471" i="11"/>
  <c r="AW471" i="11"/>
  <c r="BK471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U472" i="11"/>
  <c r="AB472" i="11"/>
  <c r="AI472" i="11"/>
  <c r="AP472" i="11"/>
  <c r="AW472" i="11"/>
  <c r="BK472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U473" i="11"/>
  <c r="AB473" i="11"/>
  <c r="AI473" i="11"/>
  <c r="AP473" i="11"/>
  <c r="AW473" i="11"/>
  <c r="BK473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U474" i="11"/>
  <c r="AB474" i="11"/>
  <c r="AI474" i="11"/>
  <c r="AP474" i="11"/>
  <c r="AW474" i="11"/>
  <c r="BK474" i="11"/>
  <c r="F475" i="11"/>
  <c r="M475" i="11"/>
  <c r="AI475" i="11"/>
  <c r="AP475" i="11"/>
  <c r="AW475" i="11"/>
  <c r="BK475" i="11"/>
  <c r="F476" i="11"/>
  <c r="L476" i="11"/>
  <c r="M476" i="11"/>
  <c r="N476" i="11"/>
  <c r="U476" i="11"/>
  <c r="AB476" i="11"/>
  <c r="AI476" i="11"/>
  <c r="AP476" i="11"/>
  <c r="AW476" i="11"/>
  <c r="BK476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U477" i="11"/>
  <c r="AB477" i="11"/>
  <c r="AI477" i="11"/>
  <c r="AP477" i="11"/>
  <c r="AW477" i="11"/>
  <c r="BK477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U478" i="11"/>
  <c r="AB478" i="11"/>
  <c r="AI478" i="11"/>
  <c r="AP478" i="11"/>
  <c r="AW478" i="11"/>
  <c r="BK478" i="11"/>
  <c r="A479" i="11"/>
  <c r="F479" i="11"/>
  <c r="L479" i="11"/>
  <c r="M479" i="11"/>
  <c r="U479" i="11"/>
  <c r="AB479" i="11"/>
  <c r="AI479" i="11"/>
  <c r="AP479" i="11"/>
  <c r="AW479" i="11"/>
  <c r="A480" i="11"/>
  <c r="F480" i="11"/>
  <c r="L480" i="11"/>
  <c r="M480" i="11"/>
  <c r="U480" i="11"/>
  <c r="AB480" i="11"/>
  <c r="AI480" i="11"/>
  <c r="AP480" i="11"/>
  <c r="AW480" i="11"/>
  <c r="A481" i="11"/>
  <c r="F481" i="11"/>
  <c r="L481" i="11"/>
  <c r="M481" i="11"/>
  <c r="U481" i="11"/>
  <c r="AB481" i="11"/>
  <c r="AI481" i="11"/>
  <c r="AP481" i="11"/>
  <c r="AW481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U482" i="11"/>
  <c r="AB482" i="11"/>
  <c r="AI482" i="11"/>
  <c r="AP482" i="11"/>
  <c r="AW482" i="11"/>
  <c r="BK482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U483" i="11"/>
  <c r="AB483" i="11"/>
  <c r="AI483" i="11"/>
  <c r="AP483" i="11"/>
  <c r="AW483" i="11"/>
  <c r="BK483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U484" i="11"/>
  <c r="AB484" i="11"/>
  <c r="AI484" i="11"/>
  <c r="AP484" i="11"/>
  <c r="AW484" i="11"/>
  <c r="BK484" i="11"/>
  <c r="C485" i="11"/>
  <c r="D485" i="11"/>
  <c r="E485" i="11"/>
  <c r="F485" i="11"/>
  <c r="G485" i="11"/>
  <c r="H485" i="11"/>
  <c r="I485" i="11"/>
  <c r="J485" i="11"/>
  <c r="L485" i="11"/>
  <c r="M485" i="11"/>
  <c r="N485" i="11"/>
  <c r="U485" i="11"/>
  <c r="AB485" i="11"/>
  <c r="AI485" i="11"/>
  <c r="AP485" i="11"/>
  <c r="AW485" i="11"/>
  <c r="BK485" i="11"/>
  <c r="M501" i="11"/>
  <c r="M261" i="11" s="1"/>
  <c r="N512" i="11"/>
  <c r="N429" i="11" s="1"/>
  <c r="U501" i="11"/>
  <c r="U261" i="11" s="1"/>
  <c r="I216" i="11"/>
  <c r="I239" i="11" s="1"/>
  <c r="I269" i="11" s="1"/>
  <c r="A488" i="11"/>
  <c r="F488" i="11"/>
  <c r="L488" i="11"/>
  <c r="M488" i="11"/>
  <c r="N488" i="11"/>
  <c r="U488" i="11"/>
  <c r="AB488" i="11"/>
  <c r="AI488" i="11"/>
  <c r="AP488" i="11"/>
  <c r="A489" i="11"/>
  <c r="F489" i="11"/>
  <c r="L489" i="11"/>
  <c r="M489" i="11"/>
  <c r="N489" i="11"/>
  <c r="U489" i="11"/>
  <c r="AB489" i="11"/>
  <c r="AI489" i="11"/>
  <c r="AI575" i="11" s="1"/>
  <c r="AI553" i="11" s="1"/>
  <c r="AI524" i="11" s="1"/>
  <c r="AP524" i="11" s="1"/>
  <c r="AP553" i="11" s="1"/>
  <c r="AP489" i="11"/>
  <c r="A490" i="11"/>
  <c r="F490" i="11"/>
  <c r="L490" i="11"/>
  <c r="M490" i="11"/>
  <c r="N490" i="11"/>
  <c r="U490" i="11"/>
  <c r="AB490" i="11"/>
  <c r="AI490" i="11"/>
  <c r="AI576" i="11" s="1"/>
  <c r="AI554" i="11" s="1"/>
  <c r="AI525" i="11" s="1"/>
  <c r="AP525" i="11" s="1"/>
  <c r="AP490" i="11"/>
  <c r="AW490" i="11" s="1"/>
  <c r="A491" i="11"/>
  <c r="F491" i="11"/>
  <c r="L491" i="11"/>
  <c r="M491" i="11"/>
  <c r="N491" i="11"/>
  <c r="U491" i="11"/>
  <c r="AB491" i="11"/>
  <c r="AI491" i="11"/>
  <c r="AP491" i="11"/>
  <c r="AW491" i="11" s="1"/>
  <c r="A493" i="11"/>
  <c r="AP493" i="11"/>
  <c r="A494" i="11"/>
  <c r="AP494" i="11"/>
  <c r="AW494" i="11" s="1"/>
  <c r="A495" i="11"/>
  <c r="AP495" i="11"/>
  <c r="F498" i="11"/>
  <c r="L498" i="11"/>
  <c r="AI498" i="11"/>
  <c r="AP498" i="11"/>
  <c r="F499" i="11"/>
  <c r="L499" i="11"/>
  <c r="AB499" i="11"/>
  <c r="AI499" i="11"/>
  <c r="AP499" i="11"/>
  <c r="F501" i="11"/>
  <c r="F261" i="11" s="1"/>
  <c r="L501" i="11"/>
  <c r="L261" i="11" s="1"/>
  <c r="AB501" i="11"/>
  <c r="AB261" i="11" s="1"/>
  <c r="AI501" i="11"/>
  <c r="AI261" i="11" s="1"/>
  <c r="AP501" i="11"/>
  <c r="AP261" i="11" s="1"/>
  <c r="F502" i="11"/>
  <c r="F262" i="11" s="1"/>
  <c r="L502" i="11"/>
  <c r="L262" i="11" s="1"/>
  <c r="AB502" i="11"/>
  <c r="AB262" i="11" s="1"/>
  <c r="AI502" i="11"/>
  <c r="AI262" i="11" s="1"/>
  <c r="AP502" i="11"/>
  <c r="AP262" i="11" s="1"/>
  <c r="F503" i="11"/>
  <c r="F263" i="11" s="1"/>
  <c r="L503" i="11"/>
  <c r="L263" i="11" s="1"/>
  <c r="AB503" i="11"/>
  <c r="AB263" i="11" s="1"/>
  <c r="AI503" i="11"/>
  <c r="AI263" i="11" s="1"/>
  <c r="AP503" i="11"/>
  <c r="AP263" i="11" s="1"/>
  <c r="AB504" i="11"/>
  <c r="AI504" i="11"/>
  <c r="AP504" i="11"/>
  <c r="AW505" i="11"/>
  <c r="BD505" i="11" s="1"/>
  <c r="BK505" i="11" s="1"/>
  <c r="AW506" i="11"/>
  <c r="AI508" i="11"/>
  <c r="AP508" i="11"/>
  <c r="AW508" i="11" s="1"/>
  <c r="BD508" i="11" s="1"/>
  <c r="AB509" i="11"/>
  <c r="AI509" i="11"/>
  <c r="AP509" i="11"/>
  <c r="AW509" i="11" s="1"/>
  <c r="BD509" i="11" s="1"/>
  <c r="AI510" i="11"/>
  <c r="AP510" i="11"/>
  <c r="AW510" i="11" s="1"/>
  <c r="BD510" i="11" s="1"/>
  <c r="G512" i="11"/>
  <c r="H512" i="11"/>
  <c r="H429" i="11" s="1"/>
  <c r="L512" i="11"/>
  <c r="L429" i="11" s="1"/>
  <c r="M512" i="11"/>
  <c r="M429" i="11" s="1"/>
  <c r="U512" i="11"/>
  <c r="U429" i="11" s="1"/>
  <c r="AB512" i="11"/>
  <c r="AB429" i="11" s="1"/>
  <c r="AI512" i="11"/>
  <c r="AP512" i="11"/>
  <c r="AW512" i="11" s="1"/>
  <c r="BD261" i="11"/>
  <c r="BD262" i="11"/>
  <c r="BD263" i="11"/>
  <c r="E271" i="11"/>
  <c r="BR529" i="11"/>
  <c r="BY529" i="11" s="1"/>
  <c r="BY557" i="11" s="1"/>
  <c r="CM641" i="11"/>
  <c r="CT641" i="11" s="1"/>
  <c r="DA641" i="11" s="1"/>
  <c r="DH641" i="11" s="1"/>
  <c r="DO641" i="11" s="1"/>
  <c r="DV641" i="11" s="1"/>
  <c r="EC641" i="11" s="1"/>
  <c r="EJ641" i="11" s="1"/>
  <c r="EQ641" i="11" s="1"/>
  <c r="BY642" i="11"/>
  <c r="CF642" i="11" s="1"/>
  <c r="CM642" i="11" s="1"/>
  <c r="CT642" i="11" s="1"/>
  <c r="DA642" i="11" s="1"/>
  <c r="DH642" i="11" s="1"/>
  <c r="DO642" i="11" s="1"/>
  <c r="DV642" i="11" s="1"/>
  <c r="EC642" i="11" s="1"/>
  <c r="EJ642" i="11" s="1"/>
  <c r="EQ642" i="11" s="1"/>
  <c r="U646" i="11"/>
  <c r="AB646" i="11"/>
  <c r="AI646" i="11"/>
  <c r="AP646" i="11"/>
  <c r="AW646" i="11"/>
  <c r="BD646" i="11"/>
  <c r="U647" i="11"/>
  <c r="AB647" i="11"/>
  <c r="AI647" i="11"/>
  <c r="AP647" i="11"/>
  <c r="C383" i="11"/>
  <c r="D383" i="11"/>
  <c r="E383" i="11"/>
  <c r="F383" i="11"/>
  <c r="G383" i="11"/>
  <c r="H383" i="11"/>
  <c r="I383" i="11"/>
  <c r="J383" i="11"/>
  <c r="K383" i="11"/>
  <c r="L383" i="11"/>
  <c r="M383" i="11"/>
  <c r="U385" i="11"/>
  <c r="U387" i="11" s="1"/>
  <c r="U400" i="11" s="1"/>
  <c r="U389" i="11" s="1"/>
  <c r="U393" i="11" s="1"/>
  <c r="AB385" i="11"/>
  <c r="AB387" i="11" s="1"/>
  <c r="AB400" i="11" s="1"/>
  <c r="AB389" i="11" s="1"/>
  <c r="AB393" i="11" s="1"/>
  <c r="AI385" i="11"/>
  <c r="AI387" i="11" s="1"/>
  <c r="AP385" i="11"/>
  <c r="AP387" i="11" s="1"/>
  <c r="AW385" i="11"/>
  <c r="AW387" i="11" s="1"/>
  <c r="AW400" i="11" s="1"/>
  <c r="BK385" i="11"/>
  <c r="BK387" i="11" s="1"/>
  <c r="BK400" i="11" s="1"/>
  <c r="BD386" i="11"/>
  <c r="BD398" i="11"/>
  <c r="BD399" i="11"/>
  <c r="BC152" i="243"/>
  <c r="BX4" i="4"/>
  <c r="BW4" i="4" s="1"/>
  <c r="BX6" i="4"/>
  <c r="B5" i="4"/>
  <c r="C5" i="4"/>
  <c r="BC17" i="4"/>
  <c r="BX5" i="4"/>
  <c r="B10" i="4"/>
  <c r="C10" i="4"/>
  <c r="D11" i="4"/>
  <c r="D154" i="243" s="1"/>
  <c r="E11" i="4"/>
  <c r="F11" i="4"/>
  <c r="G11" i="4"/>
  <c r="G13" i="4" s="1"/>
  <c r="G154" i="243" s="1"/>
  <c r="H11" i="4"/>
  <c r="H13" i="4" s="1"/>
  <c r="H154" i="243" s="1"/>
  <c r="I11" i="4"/>
  <c r="I13" i="4" s="1"/>
  <c r="J11" i="4"/>
  <c r="K11" i="4"/>
  <c r="L11" i="4"/>
  <c r="L13" i="4" s="1"/>
  <c r="L154" i="243" s="1"/>
  <c r="M11" i="4"/>
  <c r="M13" i="4" s="1"/>
  <c r="M8" i="2" s="1"/>
  <c r="T11" i="4"/>
  <c r="AA11" i="4"/>
  <c r="AH11" i="4"/>
  <c r="AO11" i="4"/>
  <c r="AV11" i="4"/>
  <c r="BJ11" i="4"/>
  <c r="BQ11" i="4"/>
  <c r="J12" i="4"/>
  <c r="G88" i="139" s="1"/>
  <c r="K12" i="4"/>
  <c r="H88" i="139" s="1"/>
  <c r="AA12" i="4"/>
  <c r="Z12" i="4" s="1"/>
  <c r="AH12" i="4"/>
  <c r="AO12" i="4"/>
  <c r="AN12" i="4" s="1"/>
  <c r="A16" i="4"/>
  <c r="A102" i="4" s="1"/>
  <c r="A63" i="4" s="1"/>
  <c r="C16" i="4"/>
  <c r="D16" i="4"/>
  <c r="E16" i="4"/>
  <c r="F16" i="4"/>
  <c r="G16" i="4"/>
  <c r="H16" i="4"/>
  <c r="I16" i="4"/>
  <c r="J16" i="4"/>
  <c r="K16" i="4"/>
  <c r="L16" i="4"/>
  <c r="M16" i="4"/>
  <c r="T16" i="4"/>
  <c r="AA16" i="4"/>
  <c r="AH16" i="4"/>
  <c r="AO16" i="4"/>
  <c r="AV16" i="4"/>
  <c r="BQ16" i="4"/>
  <c r="AA18" i="4"/>
  <c r="AH18" i="4"/>
  <c r="AO18" i="4"/>
  <c r="AV18" i="4"/>
  <c r="BQ18" i="4"/>
  <c r="A19" i="4"/>
  <c r="A105" i="4" s="1"/>
  <c r="A66" i="4" s="1"/>
  <c r="A78" i="4" s="1"/>
  <c r="C19" i="4"/>
  <c r="D19" i="4"/>
  <c r="E19" i="4"/>
  <c r="F19" i="4"/>
  <c r="G19" i="4"/>
  <c r="H19" i="4"/>
  <c r="I19" i="4"/>
  <c r="J19" i="4"/>
  <c r="K19" i="4"/>
  <c r="L19" i="4"/>
  <c r="M19" i="4"/>
  <c r="E17" i="4"/>
  <c r="F17" i="4"/>
  <c r="G17" i="4"/>
  <c r="H17" i="4"/>
  <c r="I17" i="4"/>
  <c r="J17" i="4"/>
  <c r="K17" i="4"/>
  <c r="L17" i="4"/>
  <c r="M17" i="4"/>
  <c r="T17" i="4"/>
  <c r="AA17" i="4"/>
  <c r="AH17" i="4"/>
  <c r="AO17" i="4"/>
  <c r="AV17" i="4"/>
  <c r="BQ17" i="4"/>
  <c r="A20" i="4"/>
  <c r="A106" i="4" s="1"/>
  <c r="A91" i="4" s="1"/>
  <c r="C20" i="4"/>
  <c r="D20" i="4"/>
  <c r="E20" i="4"/>
  <c r="F20" i="4"/>
  <c r="G20" i="4"/>
  <c r="H20" i="4"/>
  <c r="I20" i="4"/>
  <c r="J20" i="4"/>
  <c r="K20" i="4"/>
  <c r="L20" i="4"/>
  <c r="M20" i="4"/>
  <c r="A21" i="4"/>
  <c r="A107" i="4" s="1"/>
  <c r="C21" i="4"/>
  <c r="D21" i="4"/>
  <c r="E21" i="4"/>
  <c r="F21" i="4"/>
  <c r="G21" i="4"/>
  <c r="H21" i="4"/>
  <c r="I21" i="4"/>
  <c r="J21" i="4"/>
  <c r="K21" i="4"/>
  <c r="L21" i="4"/>
  <c r="M21" i="4"/>
  <c r="A22" i="4"/>
  <c r="A108" i="4" s="1"/>
  <c r="A93" i="4" s="1"/>
  <c r="E22" i="4"/>
  <c r="F22" i="4"/>
  <c r="G22" i="4"/>
  <c r="H22" i="4"/>
  <c r="I22" i="4"/>
  <c r="J22" i="4"/>
  <c r="K22" i="4"/>
  <c r="L22" i="4"/>
  <c r="M22" i="4"/>
  <c r="BD45" i="11"/>
  <c r="BX26" i="4"/>
  <c r="BW26" i="4" s="1"/>
  <c r="BX28" i="4"/>
  <c r="T29" i="4"/>
  <c r="AA29" i="4"/>
  <c r="AH29" i="4"/>
  <c r="AH31" i="4" s="1"/>
  <c r="M17" i="139" s="1"/>
  <c r="AO29" i="4"/>
  <c r="AV29" i="4"/>
  <c r="BJ29" i="4"/>
  <c r="BQ29" i="4"/>
  <c r="BQ31" i="4" s="1"/>
  <c r="BX30" i="4"/>
  <c r="AA37" i="4"/>
  <c r="AA40" i="4" s="1"/>
  <c r="M39" i="4"/>
  <c r="M40" i="4" s="1"/>
  <c r="AH39" i="4"/>
  <c r="AO39" i="4"/>
  <c r="AV39" i="4"/>
  <c r="BJ39" i="4"/>
  <c r="BQ39" i="4"/>
  <c r="BX39" i="4"/>
  <c r="T40" i="4"/>
  <c r="T43" i="4"/>
  <c r="AA43" i="4"/>
  <c r="AH43" i="4"/>
  <c r="AO43" i="4"/>
  <c r="AV43" i="4"/>
  <c r="BJ43" i="4"/>
  <c r="BQ43" i="4"/>
  <c r="BR56" i="11" s="1"/>
  <c r="T45" i="4"/>
  <c r="AA45" i="4"/>
  <c r="AH45" i="4"/>
  <c r="AO45" i="4"/>
  <c r="AV45" i="4"/>
  <c r="BJ45" i="4"/>
  <c r="BQ45" i="4"/>
  <c r="T44" i="4"/>
  <c r="AA44" i="4"/>
  <c r="AH44" i="4"/>
  <c r="AO44" i="4"/>
  <c r="AV44" i="4"/>
  <c r="BJ44" i="4"/>
  <c r="BQ44" i="4"/>
  <c r="BX44" i="4"/>
  <c r="T47" i="4"/>
  <c r="S47" i="4" s="1"/>
  <c r="AA47" i="4"/>
  <c r="Z47" i="4" s="1"/>
  <c r="AH47" i="4"/>
  <c r="AG47" i="4" s="1"/>
  <c r="AO47" i="4"/>
  <c r="AN47" i="4" s="1"/>
  <c r="AV47" i="4"/>
  <c r="AU47" i="4" s="1"/>
  <c r="BJ47" i="4"/>
  <c r="BI47" i="4" s="1"/>
  <c r="BQ47" i="4"/>
  <c r="BP47" i="4" s="1"/>
  <c r="A51" i="4"/>
  <c r="D51" i="4"/>
  <c r="E58" i="11" s="1"/>
  <c r="E45" i="11" s="1"/>
  <c r="BX51" i="4"/>
  <c r="BW51" i="4" s="1"/>
  <c r="A54" i="4"/>
  <c r="A55" i="4"/>
  <c r="D55" i="4"/>
  <c r="A56" i="4"/>
  <c r="C56" i="4"/>
  <c r="B52" i="4"/>
  <c r="C52" i="4"/>
  <c r="D52" i="4"/>
  <c r="D11" i="178" s="1"/>
  <c r="A57" i="4"/>
  <c r="B57" i="4"/>
  <c r="C57" i="4"/>
  <c r="D57" i="4"/>
  <c r="E58" i="4"/>
  <c r="E60" i="4" s="1"/>
  <c r="E31" i="4" s="1"/>
  <c r="F58" i="4"/>
  <c r="F60" i="4" s="1"/>
  <c r="F31" i="4" s="1"/>
  <c r="G58" i="4"/>
  <c r="G60" i="4" s="1"/>
  <c r="G31" i="4" s="1"/>
  <c r="H58" i="4"/>
  <c r="H60" i="4" s="1"/>
  <c r="H31" i="4" s="1"/>
  <c r="I58" i="4"/>
  <c r="I60" i="4" s="1"/>
  <c r="I31" i="4" s="1"/>
  <c r="J58" i="4"/>
  <c r="J60" i="4" s="1"/>
  <c r="J31" i="4" s="1"/>
  <c r="K58" i="4"/>
  <c r="K60" i="4" s="1"/>
  <c r="K31" i="4" s="1"/>
  <c r="L58" i="4"/>
  <c r="L60" i="4" s="1"/>
  <c r="L31" i="4" s="1"/>
  <c r="M58" i="4"/>
  <c r="M60" i="4" s="1"/>
  <c r="T58" i="4"/>
  <c r="T60" i="4" s="1"/>
  <c r="T31" i="4" s="1"/>
  <c r="AA58" i="4"/>
  <c r="AA60" i="4" s="1"/>
  <c r="AH58" i="4"/>
  <c r="AH60" i="4" s="1"/>
  <c r="AO58" i="4"/>
  <c r="AO60" i="4" s="1"/>
  <c r="AV58" i="4"/>
  <c r="AV60" i="4" s="1"/>
  <c r="BJ58" i="4"/>
  <c r="BJ60" i="4" s="1"/>
  <c r="BJ22" i="2" s="1"/>
  <c r="BQ58" i="4"/>
  <c r="BQ60" i="4" s="1"/>
  <c r="BQ22" i="2" s="1"/>
  <c r="BX59" i="4"/>
  <c r="C64" i="4"/>
  <c r="C17" i="178" s="1"/>
  <c r="D64" i="4"/>
  <c r="D17" i="178" s="1"/>
  <c r="C69" i="4"/>
  <c r="C93" i="4" s="1"/>
  <c r="D69" i="4"/>
  <c r="D93" i="4" s="1"/>
  <c r="B70" i="4"/>
  <c r="B72" i="4" s="1"/>
  <c r="E70" i="4"/>
  <c r="E72" i="4" s="1"/>
  <c r="F70" i="4"/>
  <c r="F72" i="4" s="1"/>
  <c r="G70" i="4"/>
  <c r="G72" i="4" s="1"/>
  <c r="H70" i="4"/>
  <c r="H72" i="4" s="1"/>
  <c r="I70" i="4"/>
  <c r="I72" i="4" s="1"/>
  <c r="J70" i="4"/>
  <c r="J72" i="4" s="1"/>
  <c r="K70" i="4"/>
  <c r="K72" i="4" s="1"/>
  <c r="L70" i="4"/>
  <c r="L72" i="4" s="1"/>
  <c r="M70" i="4"/>
  <c r="M72" i="4" s="1"/>
  <c r="T70" i="4"/>
  <c r="T72" i="4" s="1"/>
  <c r="S72" i="4" s="1"/>
  <c r="AA70" i="4"/>
  <c r="AA72" i="4" s="1"/>
  <c r="Z72" i="4" s="1"/>
  <c r="AH70" i="4"/>
  <c r="AH72" i="4" s="1"/>
  <c r="AG72" i="4" s="1"/>
  <c r="AO70" i="4"/>
  <c r="AO72" i="4" s="1"/>
  <c r="AN72" i="4" s="1"/>
  <c r="AV70" i="4"/>
  <c r="AV72" i="4" s="1"/>
  <c r="AU72" i="4" s="1"/>
  <c r="BC70" i="4"/>
  <c r="BC72" i="4" s="1"/>
  <c r="BB72" i="4" s="1"/>
  <c r="BJ70" i="4"/>
  <c r="BJ72" i="4" s="1"/>
  <c r="BI72" i="4" s="1"/>
  <c r="C71" i="4"/>
  <c r="C95" i="4" s="1"/>
  <c r="C110" i="4" s="1"/>
  <c r="T77" i="4"/>
  <c r="T89" i="4" s="1"/>
  <c r="T104" i="4" s="1"/>
  <c r="A76" i="4"/>
  <c r="A81" i="4"/>
  <c r="K81" i="4"/>
  <c r="K93" i="4" s="1"/>
  <c r="K108" i="4" s="1"/>
  <c r="AA81" i="4"/>
  <c r="AA82" i="4" s="1"/>
  <c r="AA84" i="4" s="1"/>
  <c r="AA24" i="2" s="1"/>
  <c r="A82" i="4"/>
  <c r="B82" i="4"/>
  <c r="B84" i="4" s="1"/>
  <c r="C82" i="4"/>
  <c r="C84" i="4" s="1"/>
  <c r="C24" i="2" s="1"/>
  <c r="C268" i="243" s="1"/>
  <c r="D82" i="4"/>
  <c r="D84" i="4" s="1"/>
  <c r="D24" i="2" s="1"/>
  <c r="D268" i="243" s="1"/>
  <c r="E82" i="4"/>
  <c r="E83" i="4" s="1"/>
  <c r="E95" i="4" s="1"/>
  <c r="E110" i="4" s="1"/>
  <c r="F82" i="4"/>
  <c r="F83" i="4" s="1"/>
  <c r="F95" i="4" s="1"/>
  <c r="F110" i="4" s="1"/>
  <c r="G82" i="4"/>
  <c r="G84" i="4" s="1"/>
  <c r="G24" i="2" s="1"/>
  <c r="G268" i="243" s="1"/>
  <c r="H82" i="4"/>
  <c r="H84" i="4" s="1"/>
  <c r="H24" i="2" s="1"/>
  <c r="H268" i="243" s="1"/>
  <c r="I82" i="4"/>
  <c r="I84" i="4" s="1"/>
  <c r="I24" i="2" s="1"/>
  <c r="I268" i="243" s="1"/>
  <c r="J82" i="4"/>
  <c r="J84" i="4" s="1"/>
  <c r="J24" i="2" s="1"/>
  <c r="J268" i="243" s="1"/>
  <c r="L82" i="4"/>
  <c r="L84" i="4" s="1"/>
  <c r="L24" i="2" s="1"/>
  <c r="L268" i="243" s="1"/>
  <c r="M82" i="4"/>
  <c r="M84" i="4" s="1"/>
  <c r="M24" i="2" s="1"/>
  <c r="M268" i="243" s="1"/>
  <c r="T83" i="4"/>
  <c r="T95" i="4" s="1"/>
  <c r="T110" i="4" s="1"/>
  <c r="B87" i="4"/>
  <c r="B102" i="4" s="1"/>
  <c r="B161" i="4" s="1"/>
  <c r="C87" i="4"/>
  <c r="D87" i="4"/>
  <c r="E87" i="4"/>
  <c r="F87" i="4"/>
  <c r="F102" i="4" s="1"/>
  <c r="F161" i="4" s="1"/>
  <c r="G87" i="4"/>
  <c r="H87" i="4"/>
  <c r="H102" i="4" s="1"/>
  <c r="H161" i="4" s="1"/>
  <c r="I87" i="4"/>
  <c r="I102" i="4" s="1"/>
  <c r="I161" i="4" s="1"/>
  <c r="J87" i="4"/>
  <c r="J102" i="4" s="1"/>
  <c r="J161" i="4" s="1"/>
  <c r="K87" i="4"/>
  <c r="K102" i="4" s="1"/>
  <c r="K161" i="4" s="1"/>
  <c r="L87" i="4"/>
  <c r="L102" i="4" s="1"/>
  <c r="L161" i="4" s="1"/>
  <c r="M87" i="4"/>
  <c r="M230" i="4" s="1"/>
  <c r="T87" i="4"/>
  <c r="T230" i="4" s="1"/>
  <c r="AA87" i="4"/>
  <c r="AH87" i="4"/>
  <c r="AO87" i="4"/>
  <c r="AO102" i="4" s="1"/>
  <c r="AO161" i="4" s="1"/>
  <c r="AV87" i="4"/>
  <c r="AV102" i="4" s="1"/>
  <c r="AV161" i="4" s="1"/>
  <c r="BC87" i="4"/>
  <c r="BJ87" i="4"/>
  <c r="BJ102" i="4" s="1"/>
  <c r="BJ161" i="4" s="1"/>
  <c r="AA89" i="4"/>
  <c r="AA104" i="4" s="1"/>
  <c r="AH89" i="4"/>
  <c r="AH104" i="4" s="1"/>
  <c r="AO89" i="4"/>
  <c r="AO104" i="4" s="1"/>
  <c r="AV89" i="4"/>
  <c r="AV104" i="4" s="1"/>
  <c r="BC89" i="4"/>
  <c r="BJ89" i="4"/>
  <c r="BJ104" i="4" s="1"/>
  <c r="B90" i="4"/>
  <c r="B105" i="4" s="1"/>
  <c r="C90" i="4"/>
  <c r="C105" i="4" s="1"/>
  <c r="D90" i="4"/>
  <c r="D105" i="4" s="1"/>
  <c r="E90" i="4"/>
  <c r="E105" i="4" s="1"/>
  <c r="F90" i="4"/>
  <c r="F105" i="4" s="1"/>
  <c r="G90" i="4"/>
  <c r="G105" i="4" s="1"/>
  <c r="H90" i="4"/>
  <c r="H105" i="4" s="1"/>
  <c r="I90" i="4"/>
  <c r="I105" i="4" s="1"/>
  <c r="J90" i="4"/>
  <c r="J105" i="4" s="1"/>
  <c r="K90" i="4"/>
  <c r="K105" i="4" s="1"/>
  <c r="L90" i="4"/>
  <c r="L105" i="4" s="1"/>
  <c r="M90" i="4"/>
  <c r="B91" i="4"/>
  <c r="B106" i="4" s="1"/>
  <c r="C91" i="4"/>
  <c r="C106" i="4" s="1"/>
  <c r="D91" i="4"/>
  <c r="E91" i="4"/>
  <c r="E106" i="4" s="1"/>
  <c r="F91" i="4"/>
  <c r="F106" i="4" s="1"/>
  <c r="G91" i="4"/>
  <c r="G106" i="4" s="1"/>
  <c r="H91" i="4"/>
  <c r="H106" i="4" s="1"/>
  <c r="I91" i="4"/>
  <c r="I106" i="4" s="1"/>
  <c r="J91" i="4"/>
  <c r="J106" i="4" s="1"/>
  <c r="K91" i="4"/>
  <c r="K106" i="4" s="1"/>
  <c r="L91" i="4"/>
  <c r="L106" i="4" s="1"/>
  <c r="M91" i="4"/>
  <c r="M106" i="4" s="1"/>
  <c r="B92" i="4"/>
  <c r="B107" i="4" s="1"/>
  <c r="C92" i="4"/>
  <c r="D92" i="4"/>
  <c r="E92" i="4"/>
  <c r="F92" i="4"/>
  <c r="G92" i="4"/>
  <c r="G107" i="4" s="1"/>
  <c r="H92" i="4"/>
  <c r="H107" i="4" s="1"/>
  <c r="I92" i="4"/>
  <c r="J92" i="4"/>
  <c r="K92" i="4"/>
  <c r="L92" i="4"/>
  <c r="M92" i="4"/>
  <c r="B88" i="4"/>
  <c r="E88" i="4"/>
  <c r="E103" i="4" s="1"/>
  <c r="F88" i="4"/>
  <c r="F103" i="4" s="1"/>
  <c r="G88" i="4"/>
  <c r="G103" i="4" s="1"/>
  <c r="H88" i="4"/>
  <c r="H103" i="4" s="1"/>
  <c r="I88" i="4"/>
  <c r="J88" i="4"/>
  <c r="J103" i="4" s="1"/>
  <c r="K88" i="4"/>
  <c r="K103" i="4" s="1"/>
  <c r="L88" i="4"/>
  <c r="M88" i="4"/>
  <c r="M103" i="4" s="1"/>
  <c r="T88" i="4"/>
  <c r="T103" i="4" s="1"/>
  <c r="AA88" i="4"/>
  <c r="AA103" i="4" s="1"/>
  <c r="AH88" i="4"/>
  <c r="AH103" i="4" s="1"/>
  <c r="AO88" i="4"/>
  <c r="AO103" i="4" s="1"/>
  <c r="AV88" i="4"/>
  <c r="AV103" i="4" s="1"/>
  <c r="BC88" i="4"/>
  <c r="BJ88" i="4"/>
  <c r="B93" i="4"/>
  <c r="E93" i="4"/>
  <c r="E108" i="4" s="1"/>
  <c r="F93" i="4"/>
  <c r="F108" i="4" s="1"/>
  <c r="G93" i="4"/>
  <c r="G108" i="4" s="1"/>
  <c r="H93" i="4"/>
  <c r="H108" i="4" s="1"/>
  <c r="I93" i="4"/>
  <c r="I108" i="4" s="1"/>
  <c r="J93" i="4"/>
  <c r="J108" i="4" s="1"/>
  <c r="L93" i="4"/>
  <c r="L108" i="4" s="1"/>
  <c r="M93" i="4"/>
  <c r="M108" i="4" s="1"/>
  <c r="T93" i="4"/>
  <c r="AV93" i="4"/>
  <c r="BC93" i="4"/>
  <c r="BJ93" i="4"/>
  <c r="BQ93" i="4"/>
  <c r="CE93" i="4"/>
  <c r="CL93" i="4"/>
  <c r="CS93" i="4"/>
  <c r="A94" i="4"/>
  <c r="B95" i="4"/>
  <c r="B110" i="4" s="1"/>
  <c r="D95" i="4"/>
  <c r="D110" i="4" s="1"/>
  <c r="G95" i="4"/>
  <c r="G110" i="4" s="1"/>
  <c r="H95" i="4"/>
  <c r="H110" i="4" s="1"/>
  <c r="I95" i="4"/>
  <c r="I110" i="4" s="1"/>
  <c r="J95" i="4"/>
  <c r="J110" i="4" s="1"/>
  <c r="K95" i="4"/>
  <c r="K110" i="4" s="1"/>
  <c r="L95" i="4"/>
  <c r="L110" i="4" s="1"/>
  <c r="M95" i="4"/>
  <c r="M110" i="4" s="1"/>
  <c r="AA95" i="4"/>
  <c r="AA110" i="4" s="1"/>
  <c r="AH95" i="4"/>
  <c r="AH110" i="4" s="1"/>
  <c r="AO95" i="4"/>
  <c r="AO110" i="4" s="1"/>
  <c r="AV95" i="4"/>
  <c r="AV110" i="4" s="1"/>
  <c r="BC95" i="4"/>
  <c r="BJ95" i="4"/>
  <c r="BJ110" i="4" s="1"/>
  <c r="B116" i="4"/>
  <c r="C116" i="4"/>
  <c r="B121" i="4"/>
  <c r="C121" i="4"/>
  <c r="D122" i="4"/>
  <c r="D124" i="4" s="1"/>
  <c r="D15" i="2" s="1"/>
  <c r="E122" i="4"/>
  <c r="E123" i="4" s="1"/>
  <c r="F122" i="4"/>
  <c r="F123" i="4" s="1"/>
  <c r="G122" i="4"/>
  <c r="G123" i="4" s="1"/>
  <c r="H122" i="4"/>
  <c r="H123" i="4" s="1"/>
  <c r="I122" i="4"/>
  <c r="I124" i="4" s="1"/>
  <c r="I15" i="2" s="1"/>
  <c r="J122" i="4"/>
  <c r="J124" i="4" s="1"/>
  <c r="J15" i="2" s="1"/>
  <c r="K122" i="4"/>
  <c r="K124" i="4" s="1"/>
  <c r="K15" i="2" s="1"/>
  <c r="L122" i="4"/>
  <c r="L124" i="4" s="1"/>
  <c r="M122" i="4"/>
  <c r="M124" i="4" s="1"/>
  <c r="M15" i="2" s="1"/>
  <c r="T122" i="4"/>
  <c r="T124" i="4" s="1"/>
  <c r="AA122" i="4"/>
  <c r="AA124" i="4" s="1"/>
  <c r="AA15" i="2" s="1"/>
  <c r="AH122" i="4"/>
  <c r="AH124" i="4" s="1"/>
  <c r="AO122" i="4"/>
  <c r="AO124" i="4" s="1"/>
  <c r="AO15" i="2" s="1"/>
  <c r="AV122" i="4"/>
  <c r="BC122" i="4"/>
  <c r="BC124" i="4" s="1"/>
  <c r="BC15" i="2" s="1"/>
  <c r="BJ122" i="4"/>
  <c r="BJ124" i="4" s="1"/>
  <c r="BJ15" i="2" s="1"/>
  <c r="BQ122" i="4"/>
  <c r="BQ124" i="4" s="1"/>
  <c r="AV130" i="4"/>
  <c r="AU130" i="4" s="1"/>
  <c r="T131" i="4"/>
  <c r="S130" i="4" s="1"/>
  <c r="AA131" i="4"/>
  <c r="AA130" i="4" s="1"/>
  <c r="AH131" i="4"/>
  <c r="AO131" i="4"/>
  <c r="AO130" i="4" s="1"/>
  <c r="AN130" i="4" s="1"/>
  <c r="BC131" i="4"/>
  <c r="BC135" i="4" s="1"/>
  <c r="BJ131" i="4"/>
  <c r="BQ131" i="4"/>
  <c r="AA134" i="4"/>
  <c r="AA137" i="4" s="1"/>
  <c r="AH134" i="4"/>
  <c r="AH137" i="4" s="1"/>
  <c r="AO134" i="4"/>
  <c r="AO137" i="4" s="1"/>
  <c r="AV134" i="4"/>
  <c r="AV137" i="4" s="1"/>
  <c r="BC134" i="4"/>
  <c r="BJ134" i="4"/>
  <c r="BJ137" i="4" s="1"/>
  <c r="BQ134" i="4"/>
  <c r="BQ137" i="4" s="1"/>
  <c r="BC136" i="4"/>
  <c r="M137" i="4"/>
  <c r="T137" i="4"/>
  <c r="A142" i="4"/>
  <c r="A147" i="4"/>
  <c r="AA147" i="4"/>
  <c r="B149" i="4"/>
  <c r="C149" i="4"/>
  <c r="D149" i="4"/>
  <c r="E149" i="4"/>
  <c r="F149" i="4"/>
  <c r="G149" i="4"/>
  <c r="G108" i="243" s="1"/>
  <c r="H149" i="4"/>
  <c r="H108" i="243" s="1"/>
  <c r="I149" i="4"/>
  <c r="I108" i="243" s="1"/>
  <c r="J149" i="4"/>
  <c r="J108" i="243" s="1"/>
  <c r="K149" i="4"/>
  <c r="K108" i="243" s="1"/>
  <c r="L149" i="4"/>
  <c r="L108" i="243" s="1"/>
  <c r="M149" i="4"/>
  <c r="T149" i="4"/>
  <c r="BC149" i="4"/>
  <c r="AA152" i="4"/>
  <c r="AA155" i="4" s="1"/>
  <c r="AH152" i="4"/>
  <c r="AH155" i="4" s="1"/>
  <c r="AO152" i="4"/>
  <c r="AO155" i="4" s="1"/>
  <c r="AV152" i="4"/>
  <c r="BC152" i="4" s="1"/>
  <c r="BJ152" i="4"/>
  <c r="BJ155" i="4" s="1"/>
  <c r="BQ152" i="4"/>
  <c r="BQ155" i="4" s="1"/>
  <c r="BC153" i="4"/>
  <c r="BC154" i="4"/>
  <c r="T155" i="4"/>
  <c r="BC156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T162" i="4"/>
  <c r="AA162" i="4"/>
  <c r="AH162" i="4"/>
  <c r="AO162" i="4"/>
  <c r="AV162" i="4"/>
  <c r="BC162" i="4"/>
  <c r="BJ162" i="4"/>
  <c r="C163" i="4"/>
  <c r="D163" i="4"/>
  <c r="E163" i="4"/>
  <c r="BC163" i="4"/>
  <c r="C164" i="4"/>
  <c r="D164" i="4"/>
  <c r="F164" i="4"/>
  <c r="G164" i="4"/>
  <c r="H164" i="4"/>
  <c r="I164" i="4"/>
  <c r="J164" i="4"/>
  <c r="AH164" i="4"/>
  <c r="BC164" i="4"/>
  <c r="M166" i="4"/>
  <c r="T166" i="4"/>
  <c r="AA166" i="4"/>
  <c r="AH166" i="4"/>
  <c r="AO166" i="4"/>
  <c r="AV166" i="4"/>
  <c r="B211" i="4"/>
  <c r="C211" i="4"/>
  <c r="F211" i="4"/>
  <c r="G211" i="4"/>
  <c r="H211" i="4"/>
  <c r="I211" i="4"/>
  <c r="J211" i="4"/>
  <c r="K211" i="4"/>
  <c r="L211" i="4"/>
  <c r="M211" i="4"/>
  <c r="T211" i="4"/>
  <c r="AA211" i="4"/>
  <c r="AH211" i="4"/>
  <c r="AO211" i="4"/>
  <c r="AV211" i="4"/>
  <c r="BJ211" i="4"/>
  <c r="BQ211" i="4"/>
  <c r="F217" i="4"/>
  <c r="G217" i="4"/>
  <c r="H217" i="4"/>
  <c r="I217" i="4"/>
  <c r="T217" i="4"/>
  <c r="AA217" i="4"/>
  <c r="AH217" i="4"/>
  <c r="AO217" i="4"/>
  <c r="AV217" i="4"/>
  <c r="F218" i="4"/>
  <c r="G218" i="4"/>
  <c r="H218" i="4"/>
  <c r="H219" i="4" s="1"/>
  <c r="I218" i="4"/>
  <c r="J218" i="4"/>
  <c r="J219" i="4" s="1"/>
  <c r="K218" i="4"/>
  <c r="K219" i="4" s="1"/>
  <c r="L218" i="4"/>
  <c r="L219" i="4" s="1"/>
  <c r="M218" i="4"/>
  <c r="M219" i="4" s="1"/>
  <c r="T218" i="4"/>
  <c r="T219" i="4" s="1"/>
  <c r="AA218" i="4"/>
  <c r="AA219" i="4" s="1"/>
  <c r="AH218" i="4"/>
  <c r="AH219" i="4" s="1"/>
  <c r="AO218" i="4"/>
  <c r="AO219" i="4" s="1"/>
  <c r="AV218" i="4"/>
  <c r="AV219" i="4" s="1"/>
  <c r="I220" i="4"/>
  <c r="J220" i="4"/>
  <c r="K220" i="4"/>
  <c r="L220" i="4"/>
  <c r="M220" i="4"/>
  <c r="T220" i="4"/>
  <c r="F224" i="4"/>
  <c r="F163" i="4" s="1"/>
  <c r="G224" i="4"/>
  <c r="G163" i="4" s="1"/>
  <c r="H224" i="4"/>
  <c r="H163" i="4" s="1"/>
  <c r="I224" i="4"/>
  <c r="I163" i="4" s="1"/>
  <c r="J224" i="4"/>
  <c r="J163" i="4" s="1"/>
  <c r="K224" i="4"/>
  <c r="K163" i="4" s="1"/>
  <c r="L224" i="4"/>
  <c r="L163" i="4" s="1"/>
  <c r="M224" i="4"/>
  <c r="M163" i="4" s="1"/>
  <c r="T224" i="4"/>
  <c r="T163" i="4" s="1"/>
  <c r="AA224" i="4"/>
  <c r="AA163" i="4" s="1"/>
  <c r="AH224" i="4"/>
  <c r="AO224" i="4"/>
  <c r="AO163" i="4" s="1"/>
  <c r="AV224" i="4"/>
  <c r="AH226" i="4"/>
  <c r="AO226" i="4"/>
  <c r="AV226" i="4"/>
  <c r="T227" i="4"/>
  <c r="AA227" i="4"/>
  <c r="AH227" i="4"/>
  <c r="AO227" i="4"/>
  <c r="AV227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T231" i="4"/>
  <c r="AA231" i="4"/>
  <c r="AH231" i="4"/>
  <c r="AO231" i="4"/>
  <c r="AV231" i="4"/>
  <c r="K232" i="4"/>
  <c r="K164" i="4" s="1"/>
  <c r="L232" i="4"/>
  <c r="L164" i="4" s="1"/>
  <c r="T232" i="4"/>
  <c r="T164" i="4" s="1"/>
  <c r="B235" i="4"/>
  <c r="B240" i="4" s="1"/>
  <c r="C235" i="4"/>
  <c r="C240" i="4" s="1"/>
  <c r="D235" i="4"/>
  <c r="D240" i="4" s="1"/>
  <c r="E235" i="4"/>
  <c r="E240" i="4" s="1"/>
  <c r="F235" i="4"/>
  <c r="F240" i="4" s="1"/>
  <c r="G235" i="4"/>
  <c r="G240" i="4" s="1"/>
  <c r="H235" i="4"/>
  <c r="H240" i="4" s="1"/>
  <c r="I235" i="4"/>
  <c r="I240" i="4" s="1"/>
  <c r="J235" i="4"/>
  <c r="J240" i="4" s="1"/>
  <c r="K235" i="4"/>
  <c r="K240" i="4" s="1"/>
  <c r="L235" i="4"/>
  <c r="L240" i="4" s="1"/>
  <c r="M235" i="4"/>
  <c r="M240" i="4" s="1"/>
  <c r="T235" i="4"/>
  <c r="T240" i="4" s="1"/>
  <c r="AA235" i="4"/>
  <c r="AA240" i="4" s="1"/>
  <c r="AH235" i="4"/>
  <c r="AH240" i="4" s="1"/>
  <c r="AO235" i="4"/>
  <c r="AO240" i="4" s="1"/>
  <c r="AV235" i="4"/>
  <c r="AV240" i="4" s="1"/>
  <c r="C243" i="4"/>
  <c r="D243" i="4"/>
  <c r="E243" i="4"/>
  <c r="F243" i="4"/>
  <c r="G243" i="4"/>
  <c r="H243" i="4"/>
  <c r="I243" i="4"/>
  <c r="J243" i="4"/>
  <c r="K243" i="4"/>
  <c r="L243" i="4"/>
  <c r="M243" i="4"/>
  <c r="T243" i="4"/>
  <c r="AA243" i="4"/>
  <c r="AA232" i="4" s="1"/>
  <c r="AA164" i="4" s="1"/>
  <c r="AH243" i="4"/>
  <c r="AO243" i="4"/>
  <c r="AV243" i="4"/>
  <c r="C244" i="4"/>
  <c r="D244" i="4"/>
  <c r="E244" i="4"/>
  <c r="F244" i="4"/>
  <c r="G244" i="4"/>
  <c r="H244" i="4"/>
  <c r="I244" i="4"/>
  <c r="J244" i="4"/>
  <c r="K244" i="4"/>
  <c r="L244" i="4"/>
  <c r="M244" i="4"/>
  <c r="M232" i="4" s="1"/>
  <c r="M164" i="4" s="1"/>
  <c r="T244" i="4"/>
  <c r="AA244" i="4"/>
  <c r="AH244" i="4"/>
  <c r="AO244" i="4"/>
  <c r="AV244" i="4"/>
  <c r="C245" i="4"/>
  <c r="D245" i="4"/>
  <c r="E245" i="4"/>
  <c r="F245" i="4"/>
  <c r="G245" i="4"/>
  <c r="H245" i="4"/>
  <c r="I245" i="4"/>
  <c r="J245" i="4"/>
  <c r="K245" i="4"/>
  <c r="L245" i="4"/>
  <c r="M245" i="4"/>
  <c r="T245" i="4"/>
  <c r="AA245" i="4"/>
  <c r="AH245" i="4"/>
  <c r="AO245" i="4"/>
  <c r="AV245" i="4"/>
  <c r="C246" i="4"/>
  <c r="D246" i="4"/>
  <c r="E246" i="4"/>
  <c r="F246" i="4"/>
  <c r="G246" i="4"/>
  <c r="H246" i="4"/>
  <c r="I246" i="4"/>
  <c r="J246" i="4"/>
  <c r="K246" i="4"/>
  <c r="L246" i="4"/>
  <c r="M246" i="4"/>
  <c r="T246" i="4"/>
  <c r="AA246" i="4"/>
  <c r="AH246" i="4"/>
  <c r="AO246" i="4"/>
  <c r="AV246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T248" i="4"/>
  <c r="AA248" i="4"/>
  <c r="AH248" i="4"/>
  <c r="AO248" i="4"/>
  <c r="AV248" i="4"/>
  <c r="E15" i="2"/>
  <c r="F15" i="2"/>
  <c r="G15" i="2"/>
  <c r="H15" i="2"/>
  <c r="AV17" i="2"/>
  <c r="BC17" i="2"/>
  <c r="BB17" i="2" s="1"/>
  <c r="AZ17" i="2" s="1"/>
  <c r="BJ17" i="2"/>
  <c r="BI17" i="2" s="1"/>
  <c r="BG17" i="2" s="1"/>
  <c r="BQ17" i="2"/>
  <c r="BP17" i="2" s="1"/>
  <c r="BN17" i="2" s="1"/>
  <c r="E24" i="2"/>
  <c r="E268" i="243" s="1"/>
  <c r="F24" i="2"/>
  <c r="F268" i="243" s="1"/>
  <c r="C31" i="2"/>
  <c r="C36" i="2" s="1"/>
  <c r="D31" i="2"/>
  <c r="D36" i="2" s="1"/>
  <c r="E31" i="2"/>
  <c r="E36" i="2" s="1"/>
  <c r="F31" i="2"/>
  <c r="F36" i="2" s="1"/>
  <c r="G31" i="2"/>
  <c r="G36" i="2" s="1"/>
  <c r="H31" i="2"/>
  <c r="H36" i="2" s="1"/>
  <c r="I31" i="2"/>
  <c r="I36" i="2" s="1"/>
  <c r="J31" i="2"/>
  <c r="J36" i="2" s="1"/>
  <c r="K31" i="2"/>
  <c r="K36" i="2" s="1"/>
  <c r="L31" i="2"/>
  <c r="L36" i="2" s="1"/>
  <c r="M31" i="2"/>
  <c r="M36" i="2" s="1"/>
  <c r="T31" i="2"/>
  <c r="T36" i="2" s="1"/>
  <c r="AA31" i="2"/>
  <c r="AA36" i="2" s="1"/>
  <c r="AH31" i="2"/>
  <c r="AO31" i="2"/>
  <c r="AV31" i="2"/>
  <c r="AV36" i="2" s="1"/>
  <c r="BC31" i="2"/>
  <c r="BC36" i="2" s="1"/>
  <c r="BJ31" i="2"/>
  <c r="BQ31" i="2"/>
  <c r="AO50" i="2"/>
  <c r="N38" i="139" s="1"/>
  <c r="AV50" i="2"/>
  <c r="O38" i="139" s="1"/>
  <c r="BC50" i="2"/>
  <c r="BJ50" i="2"/>
  <c r="BQ50" i="2"/>
  <c r="BX50" i="2"/>
  <c r="CE50" i="2"/>
  <c r="T54" i="2"/>
  <c r="AA54" i="2"/>
  <c r="BC54" i="2"/>
  <c r="G56" i="2"/>
  <c r="G102" i="2" s="1"/>
  <c r="T56" i="2"/>
  <c r="AA56" i="2"/>
  <c r="AA102" i="2" s="1"/>
  <c r="AH56" i="2"/>
  <c r="BC56" i="2"/>
  <c r="BB56" i="2" s="1"/>
  <c r="AZ56" i="2" s="1"/>
  <c r="AO69" i="2"/>
  <c r="AH72" i="2"/>
  <c r="AG72" i="2" s="1"/>
  <c r="AE72" i="2" s="1"/>
  <c r="AV72" i="2"/>
  <c r="BC72" i="2"/>
  <c r="BB72" i="2" s="1"/>
  <c r="AZ72" i="2" s="1"/>
  <c r="BJ72" i="2"/>
  <c r="C39" i="139"/>
  <c r="D39" i="139"/>
  <c r="E39" i="139"/>
  <c r="F39" i="139"/>
  <c r="G39" i="139"/>
  <c r="H39" i="139"/>
  <c r="I39" i="139"/>
  <c r="BC166" i="4"/>
  <c r="BC83" i="242"/>
  <c r="E95" i="2"/>
  <c r="E96" i="2" s="1"/>
  <c r="F95" i="2"/>
  <c r="G95" i="2"/>
  <c r="G96" i="2" s="1"/>
  <c r="H95" i="2"/>
  <c r="H96" i="2" s="1"/>
  <c r="I95" i="2"/>
  <c r="I96" i="2" s="1"/>
  <c r="J95" i="2"/>
  <c r="J96" i="2" s="1"/>
  <c r="K95" i="2"/>
  <c r="K96" i="2" s="1"/>
  <c r="L95" i="2"/>
  <c r="L96" i="2" s="1"/>
  <c r="M95" i="2"/>
  <c r="M96" i="2" s="1"/>
  <c r="T95" i="2"/>
  <c r="T96" i="2" s="1"/>
  <c r="AA95" i="2"/>
  <c r="C101" i="2"/>
  <c r="D101" i="2"/>
  <c r="E101" i="2"/>
  <c r="F101" i="2"/>
  <c r="G101" i="2"/>
  <c r="H101" i="2"/>
  <c r="I101" i="2"/>
  <c r="J101" i="2"/>
  <c r="K101" i="2"/>
  <c r="L101" i="2"/>
  <c r="M101" i="2"/>
  <c r="T101" i="2"/>
  <c r="AA101" i="2"/>
  <c r="AH101" i="2"/>
  <c r="AO101" i="2"/>
  <c r="AV101" i="2"/>
  <c r="BJ101" i="2"/>
  <c r="BQ101" i="2"/>
  <c r="J102" i="2"/>
  <c r="K102" i="2"/>
  <c r="L102" i="2"/>
  <c r="M102" i="2"/>
  <c r="AO102" i="2"/>
  <c r="AV102" i="2"/>
  <c r="BJ102" i="2"/>
  <c r="BQ102" i="2"/>
  <c r="C105" i="2"/>
  <c r="D105" i="2"/>
  <c r="E105" i="2"/>
  <c r="F105" i="2"/>
  <c r="G105" i="2"/>
  <c r="H105" i="2"/>
  <c r="I105" i="2"/>
  <c r="J105" i="2"/>
  <c r="K105" i="2"/>
  <c r="L105" i="2"/>
  <c r="M105" i="2"/>
  <c r="T105" i="2"/>
  <c r="AA105" i="2"/>
  <c r="AO106" i="2"/>
  <c r="AV106" i="2"/>
  <c r="BJ106" i="2"/>
  <c r="BQ106" i="2"/>
  <c r="BX106" i="2"/>
  <c r="CE106" i="2"/>
  <c r="CL106" i="2"/>
  <c r="CS106" i="2"/>
  <c r="CF117" i="11"/>
  <c r="BX105" i="2"/>
  <c r="CE18" i="4"/>
  <c r="CE17" i="4"/>
  <c r="CE16" i="4"/>
  <c r="CE11" i="4"/>
  <c r="BX95" i="2"/>
  <c r="BX96" i="2" s="1"/>
  <c r="R5" i="139"/>
  <c r="BQ64" i="4"/>
  <c r="BQ88" i="4" s="1"/>
  <c r="BQ103" i="4" s="1"/>
  <c r="BX101" i="2"/>
  <c r="BX31" i="2"/>
  <c r="BX36" i="2" s="1"/>
  <c r="CE152" i="4"/>
  <c r="CE155" i="4" s="1"/>
  <c r="CE134" i="4"/>
  <c r="BQ143" i="4"/>
  <c r="BQ65" i="4"/>
  <c r="BQ89" i="4" s="1"/>
  <c r="BQ104" i="4" s="1"/>
  <c r="CS84" i="242"/>
  <c r="CE211" i="4"/>
  <c r="CE29" i="4"/>
  <c r="CE31" i="4" s="1"/>
  <c r="R17" i="139" s="1"/>
  <c r="CE64" i="4"/>
  <c r="CE88" i="4" s="1"/>
  <c r="CL134" i="4"/>
  <c r="BX102" i="2"/>
  <c r="R23" i="139"/>
  <c r="BQ141" i="4"/>
  <c r="BQ63" i="4"/>
  <c r="BQ87" i="4" s="1"/>
  <c r="BQ142" i="4"/>
  <c r="BJ21" i="178"/>
  <c r="CE142" i="4"/>
  <c r="CE143" i="4"/>
  <c r="CE65" i="4"/>
  <c r="CE89" i="4" s="1"/>
  <c r="T12" i="178" l="1"/>
  <c r="BQ40" i="4"/>
  <c r="BP39" i="4"/>
  <c r="AH40" i="4"/>
  <c r="AG39" i="4"/>
  <c r="AV40" i="4"/>
  <c r="AU39" i="4"/>
  <c r="BJ40" i="4"/>
  <c r="BI39" i="4"/>
  <c r="BX40" i="4"/>
  <c r="BW39" i="4"/>
  <c r="AO40" i="4"/>
  <c r="AN39" i="4"/>
  <c r="CE40" i="4"/>
  <c r="CD39" i="4"/>
  <c r="AV30" i="178"/>
  <c r="AN29" i="178"/>
  <c r="AS130" i="4"/>
  <c r="AS131" i="4" s="1"/>
  <c r="AU131" i="4"/>
  <c r="BW16" i="4"/>
  <c r="BQ11" i="11"/>
  <c r="BR58" i="11"/>
  <c r="H65" i="220"/>
  <c r="H73" i="220"/>
  <c r="AW87" i="11"/>
  <c r="AW95" i="11" s="1"/>
  <c r="AW86" i="11"/>
  <c r="BD519" i="11"/>
  <c r="BD89" i="11"/>
  <c r="BD97" i="11" s="1"/>
  <c r="CB204" i="4"/>
  <c r="BX139" i="11"/>
  <c r="CP202" i="4"/>
  <c r="CJ127" i="11" s="1"/>
  <c r="CJ88" i="11" s="1"/>
  <c r="CL127" i="11"/>
  <c r="CP207" i="4"/>
  <c r="CJ104" i="11" s="1"/>
  <c r="CJ85" i="11" s="1"/>
  <c r="CL104" i="11"/>
  <c r="BN204" i="4"/>
  <c r="BO139" i="11" s="1"/>
  <c r="BO89" i="11" s="1"/>
  <c r="BQ139" i="11"/>
  <c r="CI202" i="4"/>
  <c r="CC127" i="11" s="1"/>
  <c r="CC88" i="11" s="1"/>
  <c r="CE127" i="11"/>
  <c r="CI201" i="4"/>
  <c r="CC123" i="11" s="1"/>
  <c r="CE123" i="11"/>
  <c r="CB207" i="4"/>
  <c r="BX104" i="11"/>
  <c r="CP204" i="4"/>
  <c r="CJ139" i="11" s="1"/>
  <c r="CJ89" i="11" s="1"/>
  <c r="CL139" i="11"/>
  <c r="CB202" i="4"/>
  <c r="BV127" i="11" s="1"/>
  <c r="BV88" i="11" s="1"/>
  <c r="BX127" i="11"/>
  <c r="BN207" i="4"/>
  <c r="BO104" i="11" s="1"/>
  <c r="BO85" i="11" s="1"/>
  <c r="BQ104" i="11"/>
  <c r="CI204" i="4"/>
  <c r="CC139" i="11" s="1"/>
  <c r="CC89" i="11" s="1"/>
  <c r="CE139" i="11"/>
  <c r="BN201" i="4"/>
  <c r="BO123" i="11" s="1"/>
  <c r="BO87" i="11" s="1"/>
  <c r="BQ123" i="11"/>
  <c r="CM87" i="11"/>
  <c r="CM95" i="11" s="1"/>
  <c r="CS201" i="4"/>
  <c r="CR201" i="4" s="1"/>
  <c r="BY87" i="11"/>
  <c r="BY95" i="11" s="1"/>
  <c r="CE201" i="4"/>
  <c r="CD201" i="4" s="1"/>
  <c r="BR88" i="11"/>
  <c r="BR96" i="11" s="1"/>
  <c r="BQ202" i="4"/>
  <c r="BP202" i="4" s="1"/>
  <c r="AH102" i="2"/>
  <c r="AG56" i="2"/>
  <c r="AE56" i="2" s="1"/>
  <c r="AU17" i="2"/>
  <c r="AS17" i="2" s="1"/>
  <c r="BW17" i="2"/>
  <c r="BU17" i="2" s="1"/>
  <c r="AO72" i="2"/>
  <c r="AN72" i="2" s="1"/>
  <c r="AL72" i="2" s="1"/>
  <c r="AN69" i="2"/>
  <c r="AL69" i="2" s="1"/>
  <c r="T102" i="2"/>
  <c r="S56" i="2"/>
  <c r="Q56" i="2" s="1"/>
  <c r="CD16" i="4"/>
  <c r="BP152" i="243"/>
  <c r="AV105" i="2"/>
  <c r="AU72" i="2"/>
  <c r="AS72" i="2" s="1"/>
  <c r="BJ95" i="2"/>
  <c r="BJ96" i="2" s="1"/>
  <c r="BI72" i="2"/>
  <c r="BG72" i="2" s="1"/>
  <c r="AS72" i="4"/>
  <c r="AS98" i="4" s="1"/>
  <c r="AU98" i="4"/>
  <c r="AA268" i="243"/>
  <c r="Z24" i="2"/>
  <c r="BQ95" i="2"/>
  <c r="BQ96" i="2" s="1"/>
  <c r="BP72" i="2"/>
  <c r="BN72" i="2" s="1"/>
  <c r="AL130" i="4"/>
  <c r="AL131" i="4" s="1"/>
  <c r="AL132" i="4" s="1"/>
  <c r="AN131" i="4"/>
  <c r="AN132" i="4" s="1"/>
  <c r="BN47" i="4"/>
  <c r="BN48" i="4" s="1"/>
  <c r="BP48" i="4"/>
  <c r="Z130" i="4"/>
  <c r="AS47" i="4"/>
  <c r="AS48" i="4" s="1"/>
  <c r="AS54" i="2" s="1"/>
  <c r="AU48" i="4"/>
  <c r="AU54" i="2" s="1"/>
  <c r="Q130" i="4"/>
  <c r="Q131" i="4" s="1"/>
  <c r="Q132" i="4" s="1"/>
  <c r="S131" i="4"/>
  <c r="S132" i="4" s="1"/>
  <c r="BB98" i="4"/>
  <c r="BB20" i="2" s="1"/>
  <c r="AZ72" i="4"/>
  <c r="AZ98" i="4" s="1"/>
  <c r="AZ20" i="2" s="1"/>
  <c r="Z98" i="4"/>
  <c r="Z20" i="2" s="1"/>
  <c r="X72" i="4"/>
  <c r="X98" i="4" s="1"/>
  <c r="X20" i="2" s="1"/>
  <c r="BW59" i="4"/>
  <c r="BU59" i="4" s="1"/>
  <c r="AE47" i="4"/>
  <c r="AE48" i="4" s="1"/>
  <c r="AE54" i="2" s="1"/>
  <c r="AG48" i="4"/>
  <c r="AG54" i="2" s="1"/>
  <c r="BU26" i="4"/>
  <c r="X12" i="4"/>
  <c r="X13" i="4" s="1"/>
  <c r="X154" i="243" s="1"/>
  <c r="Z13" i="4"/>
  <c r="Z154" i="243" s="1"/>
  <c r="S98" i="4"/>
  <c r="S20" i="2" s="1"/>
  <c r="Q72" i="4"/>
  <c r="Q98" i="4" s="1"/>
  <c r="Q20" i="2" s="1"/>
  <c r="BW43" i="4"/>
  <c r="BW58" i="4"/>
  <c r="BU51" i="4"/>
  <c r="BG47" i="4"/>
  <c r="BG48" i="4" s="1"/>
  <c r="BG54" i="2" s="1"/>
  <c r="BI48" i="4"/>
  <c r="BI54" i="2" s="1"/>
  <c r="X47" i="4"/>
  <c r="X48" i="4" s="1"/>
  <c r="X54" i="2" s="1"/>
  <c r="Z48" i="4"/>
  <c r="Z54" i="2" s="1"/>
  <c r="AL72" i="4"/>
  <c r="AL98" i="4" s="1"/>
  <c r="AL20" i="2" s="1"/>
  <c r="AN98" i="4"/>
  <c r="AN20" i="2" s="1"/>
  <c r="Q47" i="4"/>
  <c r="Q48" i="4" s="1"/>
  <c r="Q54" i="2" s="1"/>
  <c r="S48" i="4"/>
  <c r="S54" i="2" s="1"/>
  <c r="AN13" i="4"/>
  <c r="AL12" i="4"/>
  <c r="AL13" i="4" s="1"/>
  <c r="BG72" i="4"/>
  <c r="BG98" i="4" s="1"/>
  <c r="BG20" i="2" s="1"/>
  <c r="BG18" i="2" s="1"/>
  <c r="BI98" i="4"/>
  <c r="BI20" i="2" s="1"/>
  <c r="BI18" i="2" s="1"/>
  <c r="AG98" i="4"/>
  <c r="AG20" i="2" s="1"/>
  <c r="AE72" i="4"/>
  <c r="AE98" i="4" s="1"/>
  <c r="AE20" i="2" s="1"/>
  <c r="AL47" i="4"/>
  <c r="AL48" i="4" s="1"/>
  <c r="AL54" i="2" s="1"/>
  <c r="AN48" i="4"/>
  <c r="AN54" i="2" s="1"/>
  <c r="BW30" i="4"/>
  <c r="BU30" i="4" s="1"/>
  <c r="BX45" i="4"/>
  <c r="BW28" i="4"/>
  <c r="M88" i="139"/>
  <c r="AG12" i="4"/>
  <c r="J53" i="139"/>
  <c r="BX17" i="4"/>
  <c r="BW5" i="4"/>
  <c r="BW17" i="4" s="1"/>
  <c r="BW6" i="4"/>
  <c r="BW18" i="4" s="1"/>
  <c r="BU4" i="4"/>
  <c r="M31" i="4"/>
  <c r="BQ105" i="2"/>
  <c r="E126" i="178"/>
  <c r="BR86" i="11"/>
  <c r="BR94" i="11" s="1"/>
  <c r="N229" i="11"/>
  <c r="N255" i="11" s="1"/>
  <c r="N257" i="11" s="1"/>
  <c r="N193" i="11"/>
  <c r="I19" i="139"/>
  <c r="L88" i="139"/>
  <c r="L98" i="2"/>
  <c r="H98" i="2"/>
  <c r="K98" i="2"/>
  <c r="G98" i="2"/>
  <c r="N88" i="139"/>
  <c r="AV98" i="2"/>
  <c r="J98" i="2"/>
  <c r="F98" i="2"/>
  <c r="I98" i="2"/>
  <c r="E98" i="2"/>
  <c r="F46" i="139"/>
  <c r="C43" i="139"/>
  <c r="BR85" i="11"/>
  <c r="BR93" i="11" s="1"/>
  <c r="BK85" i="11"/>
  <c r="BK93" i="11" s="1"/>
  <c r="BY89" i="11"/>
  <c r="BY97" i="11" s="1"/>
  <c r="AP519" i="11"/>
  <c r="BY85" i="11"/>
  <c r="BY93" i="11" s="1"/>
  <c r="CQ53" i="178"/>
  <c r="CO53" i="178"/>
  <c r="CO50" i="178" s="1"/>
  <c r="CO51" i="178" s="1"/>
  <c r="CM53" i="178"/>
  <c r="CM50" i="178" s="1"/>
  <c r="CM51" i="178" s="1"/>
  <c r="J77" i="139"/>
  <c r="J75" i="139"/>
  <c r="F77" i="139"/>
  <c r="F75" i="139"/>
  <c r="B77" i="139"/>
  <c r="B75" i="139"/>
  <c r="R77" i="139"/>
  <c r="R75" i="139"/>
  <c r="D58" i="139"/>
  <c r="N53" i="139"/>
  <c r="G52" i="139"/>
  <c r="I77" i="139"/>
  <c r="I75" i="139"/>
  <c r="E75" i="139"/>
  <c r="E77" i="139"/>
  <c r="D43" i="139"/>
  <c r="BC86" i="242"/>
  <c r="BB86" i="242" s="1"/>
  <c r="AZ86" i="242" s="1"/>
  <c r="O65" i="139"/>
  <c r="H75" i="139"/>
  <c r="H77" i="139"/>
  <c r="D77" i="139"/>
  <c r="D75" i="139"/>
  <c r="M75" i="139"/>
  <c r="M77" i="139"/>
  <c r="K75" i="139"/>
  <c r="K77" i="139"/>
  <c r="G75" i="139"/>
  <c r="G77" i="139"/>
  <c r="C77" i="139"/>
  <c r="C75" i="139"/>
  <c r="CM85" i="11"/>
  <c r="CM93" i="11" s="1"/>
  <c r="AH15" i="2"/>
  <c r="M12" i="178"/>
  <c r="M102" i="4"/>
  <c r="M161" i="4" s="1"/>
  <c r="M167" i="4" s="1"/>
  <c r="L226" i="4"/>
  <c r="AO13" i="4"/>
  <c r="AO125" i="4" s="1"/>
  <c r="AO86" i="2" s="1"/>
  <c r="M125" i="4"/>
  <c r="M86" i="2" s="1"/>
  <c r="BX18" i="4"/>
  <c r="I230" i="4"/>
  <c r="I32" i="4"/>
  <c r="D13" i="4"/>
  <c r="D150" i="4" s="1"/>
  <c r="BJ17" i="4"/>
  <c r="T102" i="4"/>
  <c r="T161" i="4" s="1"/>
  <c r="T167" i="4" s="1"/>
  <c r="L125" i="4"/>
  <c r="AH46" i="4"/>
  <c r="AH48" i="4" s="1"/>
  <c r="J221" i="4"/>
  <c r="K82" i="4"/>
  <c r="K84" i="4" s="1"/>
  <c r="K24" i="2" s="1"/>
  <c r="K268" i="243" s="1"/>
  <c r="BC89" i="243"/>
  <c r="BC90" i="243" s="1"/>
  <c r="A141" i="4"/>
  <c r="A75" i="4"/>
  <c r="L171" i="243"/>
  <c r="L168" i="243"/>
  <c r="L153" i="243"/>
  <c r="L179" i="243"/>
  <c r="L165" i="243"/>
  <c r="L159" i="243"/>
  <c r="L162" i="243"/>
  <c r="L176" i="243"/>
  <c r="H171" i="243"/>
  <c r="H162" i="243"/>
  <c r="H165" i="243"/>
  <c r="H179" i="243"/>
  <c r="H153" i="243"/>
  <c r="H159" i="243"/>
  <c r="H176" i="243"/>
  <c r="H168" i="243"/>
  <c r="D159" i="243"/>
  <c r="D153" i="243"/>
  <c r="D165" i="243"/>
  <c r="D179" i="243"/>
  <c r="D162" i="243"/>
  <c r="D176" i="243"/>
  <c r="D168" i="243"/>
  <c r="D171" i="243"/>
  <c r="I125" i="4"/>
  <c r="AV155" i="4"/>
  <c r="BC155" i="4" s="1"/>
  <c r="A87" i="4"/>
  <c r="AH13" i="4"/>
  <c r="AH125" i="4" s="1"/>
  <c r="AH86" i="2" s="1"/>
  <c r="L8" i="2"/>
  <c r="I12" i="139" s="1"/>
  <c r="G168" i="243"/>
  <c r="G171" i="243"/>
  <c r="G162" i="243"/>
  <c r="G165" i="243"/>
  <c r="G179" i="243"/>
  <c r="G176" i="243"/>
  <c r="G159" i="243"/>
  <c r="G153" i="243"/>
  <c r="H8" i="2"/>
  <c r="H274" i="243" s="1"/>
  <c r="L15" i="2"/>
  <c r="T82" i="4"/>
  <c r="T84" i="4" s="1"/>
  <c r="T24" i="2" s="1"/>
  <c r="S24" i="2" s="1"/>
  <c r="L32" i="4"/>
  <c r="H32" i="4"/>
  <c r="F13" i="4"/>
  <c r="F125" i="4" s="1"/>
  <c r="F154" i="243"/>
  <c r="H125" i="4"/>
  <c r="D88" i="4"/>
  <c r="D94" i="4" s="1"/>
  <c r="D96" i="4" s="1"/>
  <c r="D98" i="4" s="1"/>
  <c r="D20" i="2" s="1"/>
  <c r="J107" i="4"/>
  <c r="BQ13" i="4"/>
  <c r="BQ154" i="243" s="1"/>
  <c r="F167" i="4"/>
  <c r="BC96" i="243"/>
  <c r="BC97" i="243" s="1"/>
  <c r="M154" i="243"/>
  <c r="I8" i="2"/>
  <c r="I274" i="243" s="1"/>
  <c r="I154" i="243"/>
  <c r="E13" i="4"/>
  <c r="E8" i="2" s="1"/>
  <c r="E154" i="243"/>
  <c r="CE132" i="4"/>
  <c r="M27" i="178"/>
  <c r="M42" i="178"/>
  <c r="M40" i="178"/>
  <c r="BC27" i="178"/>
  <c r="BB27" i="178" s="1"/>
  <c r="BC42" i="178"/>
  <c r="BB42" i="178" s="1"/>
  <c r="BC40" i="178"/>
  <c r="BB40" i="178" s="1"/>
  <c r="J12" i="139"/>
  <c r="M274" i="243"/>
  <c r="G106" i="2"/>
  <c r="H106" i="2"/>
  <c r="CS83" i="242"/>
  <c r="G38" i="139"/>
  <c r="I106" i="2"/>
  <c r="K46" i="139"/>
  <c r="AV46" i="4"/>
  <c r="AV48" i="4" s="1"/>
  <c r="T46" i="4"/>
  <c r="T48" i="4" s="1"/>
  <c r="L221" i="4"/>
  <c r="M227" i="4" s="1"/>
  <c r="BQ162" i="4"/>
  <c r="AA249" i="4"/>
  <c r="AV94" i="4"/>
  <c r="AV96" i="4" s="1"/>
  <c r="AV98" i="4" s="1"/>
  <c r="BJ132" i="4"/>
  <c r="BJ46" i="4"/>
  <c r="BJ48" i="4" s="1"/>
  <c r="C249" i="4"/>
  <c r="BJ105" i="2"/>
  <c r="F106" i="2"/>
  <c r="E106" i="2"/>
  <c r="H249" i="4"/>
  <c r="K167" i="4"/>
  <c r="T13" i="4"/>
  <c r="T32" i="4" s="1"/>
  <c r="T87" i="2" s="1"/>
  <c r="AV230" i="4"/>
  <c r="AO8" i="178"/>
  <c r="L107" i="4"/>
  <c r="AO225" i="4"/>
  <c r="A67" i="4"/>
  <c r="A119" i="4" s="1"/>
  <c r="B230" i="4"/>
  <c r="F230" i="4"/>
  <c r="M150" i="4"/>
  <c r="AO230" i="4"/>
  <c r="AV13" i="4"/>
  <c r="AV154" i="243" s="1"/>
  <c r="J230" i="4"/>
  <c r="AO109" i="4"/>
  <c r="E12" i="178"/>
  <c r="C88" i="4"/>
  <c r="C103" i="4" s="1"/>
  <c r="BJ31" i="4"/>
  <c r="A121" i="4"/>
  <c r="AO10" i="178"/>
  <c r="M23" i="4"/>
  <c r="D18" i="178"/>
  <c r="M107" i="4"/>
  <c r="E107" i="4"/>
  <c r="I107" i="4"/>
  <c r="T249" i="4"/>
  <c r="J249" i="4"/>
  <c r="N80" i="139"/>
  <c r="N82" i="139" s="1"/>
  <c r="BQ27" i="2"/>
  <c r="Q16" i="139"/>
  <c r="BJ27" i="2"/>
  <c r="P16" i="139"/>
  <c r="I30" i="139"/>
  <c r="F30" i="139"/>
  <c r="J30" i="139"/>
  <c r="E30" i="139"/>
  <c r="H30" i="139"/>
  <c r="D30" i="139"/>
  <c r="K30" i="139"/>
  <c r="G30" i="139"/>
  <c r="C30" i="139"/>
  <c r="I46" i="139"/>
  <c r="E46" i="139"/>
  <c r="I52" i="139"/>
  <c r="H15" i="178"/>
  <c r="H104" i="178"/>
  <c r="I111" i="178" s="1"/>
  <c r="L12" i="178"/>
  <c r="AO5" i="178"/>
  <c r="AH12" i="178"/>
  <c r="BQ5" i="178"/>
  <c r="I5" i="178"/>
  <c r="E5" i="178"/>
  <c r="D114" i="178"/>
  <c r="D15" i="178"/>
  <c r="M5" i="178"/>
  <c r="H44" i="220"/>
  <c r="H41" i="220"/>
  <c r="H45" i="220"/>
  <c r="H42" i="220"/>
  <c r="H46" i="220"/>
  <c r="H43" i="220"/>
  <c r="H40" i="220"/>
  <c r="V43" i="220"/>
  <c r="U43" i="220" s="1"/>
  <c r="V46" i="220"/>
  <c r="U46" i="220" s="1"/>
  <c r="V42" i="220"/>
  <c r="U42" i="220" s="1"/>
  <c r="V45" i="220"/>
  <c r="U45" i="220" s="1"/>
  <c r="V41" i="220"/>
  <c r="U41" i="220" s="1"/>
  <c r="V44" i="220"/>
  <c r="U44" i="220" s="1"/>
  <c r="V40" i="220"/>
  <c r="U40" i="220" s="1"/>
  <c r="AC12" i="220"/>
  <c r="AC16" i="220"/>
  <c r="AC19" i="220"/>
  <c r="H31" i="220"/>
  <c r="H34" i="220" s="1"/>
  <c r="H61" i="220" s="1"/>
  <c r="H58" i="220" s="1"/>
  <c r="H59" i="220" s="1"/>
  <c r="V31" i="220"/>
  <c r="AJ5" i="220"/>
  <c r="AJ25" i="220"/>
  <c r="V19" i="220"/>
  <c r="V16" i="220"/>
  <c r="O28" i="220"/>
  <c r="O65" i="220" s="1"/>
  <c r="H25" i="220"/>
  <c r="AQ19" i="220"/>
  <c r="H10" i="220"/>
  <c r="H16" i="220"/>
  <c r="H19" i="220"/>
  <c r="O10" i="220"/>
  <c r="O5" i="220"/>
  <c r="H22" i="220"/>
  <c r="AQ5" i="220"/>
  <c r="O19" i="220"/>
  <c r="AO24" i="178"/>
  <c r="I118" i="178"/>
  <c r="I126" i="178" s="1"/>
  <c r="AO12" i="178"/>
  <c r="D21" i="178"/>
  <c r="AH89" i="178"/>
  <c r="AH95" i="178" s="1"/>
  <c r="G21" i="178"/>
  <c r="G18" i="178"/>
  <c r="AV21" i="178"/>
  <c r="T21" i="178"/>
  <c r="F21" i="178"/>
  <c r="AH18" i="178"/>
  <c r="L18" i="178"/>
  <c r="H18" i="178"/>
  <c r="G5" i="178"/>
  <c r="AO15" i="178"/>
  <c r="M15" i="178"/>
  <c r="T18" i="178"/>
  <c r="F111" i="178"/>
  <c r="BC8" i="178"/>
  <c r="H5" i="178"/>
  <c r="F18" i="178"/>
  <c r="J18" i="178"/>
  <c r="L5" i="178"/>
  <c r="AO57" i="178"/>
  <c r="F12" i="178"/>
  <c r="F15" i="178"/>
  <c r="AA5" i="178"/>
  <c r="T8" i="178"/>
  <c r="T24" i="178"/>
  <c r="BC15" i="178"/>
  <c r="G104" i="178"/>
  <c r="BC12" i="178"/>
  <c r="F5" i="178"/>
  <c r="K5" i="178"/>
  <c r="K15" i="178"/>
  <c r="AO73" i="178"/>
  <c r="AH15" i="178"/>
  <c r="BQ8" i="178"/>
  <c r="K12" i="178"/>
  <c r="BC5" i="178"/>
  <c r="BC18" i="178"/>
  <c r="BC21" i="178"/>
  <c r="F100" i="178"/>
  <c r="G100" i="178" s="1"/>
  <c r="BD247" i="11"/>
  <c r="AP5" i="11"/>
  <c r="AO5" i="11" s="1"/>
  <c r="AP9" i="11"/>
  <c r="N5" i="11"/>
  <c r="N9" i="11"/>
  <c r="N307" i="11" s="1"/>
  <c r="AI5" i="11"/>
  <c r="AH5" i="11" s="1"/>
  <c r="AI9" i="11"/>
  <c r="BK5" i="11"/>
  <c r="BJ5" i="11" s="1"/>
  <c r="BK9" i="11"/>
  <c r="AB5" i="11"/>
  <c r="AA5" i="11" s="1"/>
  <c r="AB9" i="11"/>
  <c r="AW5" i="11"/>
  <c r="AV5" i="11" s="1"/>
  <c r="AW9" i="11"/>
  <c r="U5" i="11"/>
  <c r="T5" i="11" s="1"/>
  <c r="U9" i="11"/>
  <c r="BY88" i="11"/>
  <c r="BY96" i="11" s="1"/>
  <c r="CF87" i="11"/>
  <c r="CF95" i="11" s="1"/>
  <c r="BR519" i="11"/>
  <c r="BR89" i="11"/>
  <c r="BR97" i="11" s="1"/>
  <c r="BY86" i="11"/>
  <c r="BY94" i="11" s="1"/>
  <c r="CF86" i="11"/>
  <c r="CF94" i="11" s="1"/>
  <c r="CM89" i="11"/>
  <c r="CM97" i="11" s="1"/>
  <c r="BK519" i="11"/>
  <c r="BK89" i="11"/>
  <c r="BK97" i="11" s="1"/>
  <c r="CM88" i="11"/>
  <c r="CM96" i="11" s="1"/>
  <c r="BK88" i="11"/>
  <c r="BK96" i="11" s="1"/>
  <c r="BR87" i="11"/>
  <c r="BR95" i="11" s="1"/>
  <c r="CF519" i="11"/>
  <c r="CF89" i="11"/>
  <c r="CF97" i="11" s="1"/>
  <c r="CF88" i="11"/>
  <c r="CF96" i="11" s="1"/>
  <c r="BK87" i="11"/>
  <c r="BK95" i="11" s="1"/>
  <c r="BK86" i="11"/>
  <c r="BK94" i="11" s="1"/>
  <c r="BD249" i="11"/>
  <c r="BD258" i="11"/>
  <c r="BD586" i="11" s="1"/>
  <c r="F271" i="11"/>
  <c r="F432" i="11" s="1"/>
  <c r="F9" i="11" s="1"/>
  <c r="U257" i="11"/>
  <c r="AB257" i="11"/>
  <c r="BD256" i="11"/>
  <c r="BD252" i="11"/>
  <c r="BD259" i="11"/>
  <c r="BD253" i="11"/>
  <c r="E475" i="11"/>
  <c r="E229" i="11"/>
  <c r="E255" i="11" s="1"/>
  <c r="K485" i="11"/>
  <c r="K239" i="11"/>
  <c r="K269" i="11" s="1"/>
  <c r="G499" i="11"/>
  <c r="G230" i="11"/>
  <c r="G256" i="11" s="1"/>
  <c r="BD251" i="11"/>
  <c r="BD248" i="11"/>
  <c r="BD468" i="11"/>
  <c r="BD222" i="11"/>
  <c r="BD246" i="11" s="1"/>
  <c r="L123" i="11"/>
  <c r="L129" i="11" s="1"/>
  <c r="L143" i="11" s="1"/>
  <c r="L255" i="11"/>
  <c r="BD485" i="11"/>
  <c r="BD239" i="11"/>
  <c r="BD269" i="11" s="1"/>
  <c r="D176" i="11"/>
  <c r="D491" i="11" s="1"/>
  <c r="E225" i="11"/>
  <c r="E249" i="11" s="1"/>
  <c r="BD482" i="11"/>
  <c r="BD236" i="11"/>
  <c r="BD265" i="11" s="1"/>
  <c r="D181" i="11"/>
  <c r="D230" i="11" s="1"/>
  <c r="D256" i="11" s="1"/>
  <c r="E230" i="11"/>
  <c r="E256" i="11" s="1"/>
  <c r="G490" i="11"/>
  <c r="G224" i="11"/>
  <c r="G248" i="11" s="1"/>
  <c r="H174" i="11"/>
  <c r="H223" i="11" s="1"/>
  <c r="H247" i="11" s="1"/>
  <c r="G223" i="11"/>
  <c r="G247" i="11" s="1"/>
  <c r="G488" i="11"/>
  <c r="G222" i="11"/>
  <c r="G246" i="11" s="1"/>
  <c r="BD483" i="11"/>
  <c r="BD484" i="11"/>
  <c r="BD238" i="11"/>
  <c r="BD267" i="11" s="1"/>
  <c r="BD255" i="11"/>
  <c r="G471" i="11"/>
  <c r="G225" i="11"/>
  <c r="G249" i="11" s="1"/>
  <c r="E490" i="11"/>
  <c r="E224" i="11"/>
  <c r="E248" i="11" s="1"/>
  <c r="E469" i="11"/>
  <c r="E223" i="11"/>
  <c r="E247" i="11" s="1"/>
  <c r="D173" i="11"/>
  <c r="D488" i="11" s="1"/>
  <c r="E222" i="11"/>
  <c r="E246" i="11" s="1"/>
  <c r="AP112" i="11"/>
  <c r="AP249" i="11"/>
  <c r="AP425" i="11"/>
  <c r="U46" i="11"/>
  <c r="T85" i="2" s="1"/>
  <c r="BK46" i="11"/>
  <c r="BJ85" i="2" s="1"/>
  <c r="AB427" i="11"/>
  <c r="L427" i="11"/>
  <c r="N423" i="11"/>
  <c r="BD427" i="11"/>
  <c r="AI427" i="11"/>
  <c r="F425" i="11"/>
  <c r="AB423" i="11"/>
  <c r="L423" i="11"/>
  <c r="AI593" i="11"/>
  <c r="AI571" i="11" s="1"/>
  <c r="AI548" i="11" s="1"/>
  <c r="AP548" i="11" s="1"/>
  <c r="AP571" i="11" s="1"/>
  <c r="AI429" i="11"/>
  <c r="U423" i="11"/>
  <c r="F423" i="11"/>
  <c r="AI425" i="11"/>
  <c r="AP574" i="11"/>
  <c r="AI424" i="11"/>
  <c r="AP427" i="11"/>
  <c r="F427" i="11"/>
  <c r="AI574" i="11"/>
  <c r="AI552" i="11" s="1"/>
  <c r="AI523" i="11" s="1"/>
  <c r="AP523" i="11" s="1"/>
  <c r="AW523" i="11" s="1"/>
  <c r="BD523" i="11" s="1"/>
  <c r="BK523" i="11" s="1"/>
  <c r="BR523" i="11" s="1"/>
  <c r="BY523" i="11" s="1"/>
  <c r="CF523" i="11" s="1"/>
  <c r="CM523" i="11" s="1"/>
  <c r="AI423" i="11"/>
  <c r="M423" i="11"/>
  <c r="L264" i="11"/>
  <c r="AP264" i="11"/>
  <c r="AI264" i="11"/>
  <c r="F264" i="11"/>
  <c r="BD264" i="11"/>
  <c r="AB264" i="11"/>
  <c r="BR481" i="11"/>
  <c r="BR479" i="11"/>
  <c r="U193" i="11"/>
  <c r="BK193" i="11"/>
  <c r="N475" i="11"/>
  <c r="AB475" i="11"/>
  <c r="AB465" i="11" s="1"/>
  <c r="AB193" i="11"/>
  <c r="AI193" i="11"/>
  <c r="AP648" i="11"/>
  <c r="F187" i="11"/>
  <c r="G187" i="11" s="1"/>
  <c r="G504" i="11" s="1"/>
  <c r="N517" i="11"/>
  <c r="J517" i="11"/>
  <c r="F517" i="11"/>
  <c r="F143" i="11"/>
  <c r="B517" i="11"/>
  <c r="E517" i="11"/>
  <c r="E143" i="11"/>
  <c r="M517" i="11"/>
  <c r="M143" i="11"/>
  <c r="I517" i="11"/>
  <c r="I143" i="11"/>
  <c r="L517" i="11"/>
  <c r="H517" i="11"/>
  <c r="D517" i="11"/>
  <c r="D143" i="11"/>
  <c r="BK516" i="11"/>
  <c r="U517" i="11"/>
  <c r="K517" i="11"/>
  <c r="K143" i="11"/>
  <c r="G517" i="11"/>
  <c r="G143" i="11"/>
  <c r="C517" i="11"/>
  <c r="AP63" i="11"/>
  <c r="N63" i="11"/>
  <c r="J63" i="11"/>
  <c r="M518" i="11"/>
  <c r="K518" i="11"/>
  <c r="N129" i="11"/>
  <c r="N143" i="11" s="1"/>
  <c r="AI518" i="11"/>
  <c r="AI63" i="11"/>
  <c r="H63" i="11"/>
  <c r="D63" i="11"/>
  <c r="E470" i="11"/>
  <c r="BD123" i="11"/>
  <c r="BD87" i="11" s="1"/>
  <c r="BD95" i="11" s="1"/>
  <c r="L63" i="11"/>
  <c r="BK646" i="11"/>
  <c r="U63" i="11"/>
  <c r="G63" i="11"/>
  <c r="AP46" i="11"/>
  <c r="AO85" i="2" s="1"/>
  <c r="AP58" i="11"/>
  <c r="CF47" i="11"/>
  <c r="AI58" i="11"/>
  <c r="AI60" i="11" s="1"/>
  <c r="I43" i="11"/>
  <c r="BY469" i="11"/>
  <c r="CM40" i="11"/>
  <c r="BK481" i="11"/>
  <c r="BY468" i="11"/>
  <c r="CF529" i="11"/>
  <c r="CF557" i="11" s="1"/>
  <c r="BR557" i="11"/>
  <c r="CF475" i="11"/>
  <c r="E471" i="11"/>
  <c r="E69" i="11"/>
  <c r="K71" i="11"/>
  <c r="H173" i="11"/>
  <c r="C184" i="11"/>
  <c r="C479" i="11" s="1"/>
  <c r="CF484" i="11"/>
  <c r="AW524" i="11"/>
  <c r="BD524" i="11" s="1"/>
  <c r="BD553" i="11" s="1"/>
  <c r="AP645" i="11"/>
  <c r="AP649" i="11" s="1"/>
  <c r="AP580" i="11"/>
  <c r="AP582" i="11" s="1"/>
  <c r="BR40" i="11"/>
  <c r="BK451" i="11"/>
  <c r="M502" i="11"/>
  <c r="M262" i="11" s="1"/>
  <c r="D180" i="11"/>
  <c r="M498" i="11"/>
  <c r="CM646" i="11"/>
  <c r="AW586" i="11"/>
  <c r="AP400" i="11"/>
  <c r="J43" i="11"/>
  <c r="G71" i="11"/>
  <c r="CF474" i="11"/>
  <c r="BY472" i="11"/>
  <c r="G489" i="11"/>
  <c r="D479" i="11"/>
  <c r="N503" i="11"/>
  <c r="N263" i="11" s="1"/>
  <c r="BR484" i="11"/>
  <c r="U59" i="11"/>
  <c r="L71" i="11"/>
  <c r="AP451" i="11"/>
  <c r="BK479" i="11"/>
  <c r="H176" i="11"/>
  <c r="F43" i="11"/>
  <c r="AP43" i="11"/>
  <c r="AB129" i="11"/>
  <c r="AV109" i="4"/>
  <c r="BC104" i="4"/>
  <c r="C11" i="4"/>
  <c r="M226" i="4"/>
  <c r="B122" i="4"/>
  <c r="B124" i="4" s="1"/>
  <c r="AA46" i="4"/>
  <c r="AA48" i="4" s="1"/>
  <c r="F116" i="178"/>
  <c r="AH249" i="4"/>
  <c r="BJ36" i="2"/>
  <c r="D230" i="4"/>
  <c r="D102" i="4"/>
  <c r="D161" i="4" s="1"/>
  <c r="D167" i="4" s="1"/>
  <c r="BX29" i="4"/>
  <c r="BX31" i="4" s="1"/>
  <c r="BY400" i="11"/>
  <c r="BY389" i="11" s="1"/>
  <c r="BY393" i="11" s="1"/>
  <c r="H46" i="139"/>
  <c r="A90" i="4"/>
  <c r="AA132" i="4"/>
  <c r="L150" i="4"/>
  <c r="H150" i="4"/>
  <c r="T15" i="2"/>
  <c r="T132" i="4"/>
  <c r="K39" i="139"/>
  <c r="AA149" i="4"/>
  <c r="AH147" i="4"/>
  <c r="C107" i="4"/>
  <c r="AA13" i="4"/>
  <c r="AA154" i="243" s="1"/>
  <c r="BR11" i="11"/>
  <c r="J58" i="139"/>
  <c r="L230" i="4"/>
  <c r="D70" i="4"/>
  <c r="D72" i="4" s="1"/>
  <c r="K107" i="4"/>
  <c r="F96" i="2"/>
  <c r="AH163" i="4"/>
  <c r="AH225" i="4"/>
  <c r="AH130" i="4"/>
  <c r="AG130" i="4" s="1"/>
  <c r="AH132" i="4"/>
  <c r="B94" i="4"/>
  <c r="B96" i="4" s="1"/>
  <c r="B98" i="4" s="1"/>
  <c r="B103" i="4"/>
  <c r="F107" i="4"/>
  <c r="BC94" i="4"/>
  <c r="BC96" i="4" s="1"/>
  <c r="BC98" i="4" s="1"/>
  <c r="BC20" i="2" s="1"/>
  <c r="C102" i="4"/>
  <c r="C161" i="4" s="1"/>
  <c r="C167" i="4" s="1"/>
  <c r="C230" i="4"/>
  <c r="L103" i="178"/>
  <c r="K221" i="4"/>
  <c r="AO132" i="4"/>
  <c r="H230" i="4"/>
  <c r="AV31" i="4"/>
  <c r="AA226" i="4"/>
  <c r="AA225" i="4" s="1"/>
  <c r="T226" i="4"/>
  <c r="T225" i="4" s="1"/>
  <c r="I103" i="4"/>
  <c r="I94" i="4"/>
  <c r="D118" i="178"/>
  <c r="D126" i="178" s="1"/>
  <c r="D12" i="178"/>
  <c r="C17" i="4"/>
  <c r="D17" i="4"/>
  <c r="C4" i="178"/>
  <c r="I150" i="4"/>
  <c r="O39" i="139"/>
  <c r="K94" i="4"/>
  <c r="K109" i="4" s="1"/>
  <c r="K111" i="4" s="1"/>
  <c r="K18" i="2" s="1"/>
  <c r="M106" i="2"/>
  <c r="J94" i="4"/>
  <c r="F94" i="4"/>
  <c r="F109" i="4" s="1"/>
  <c r="F111" i="4" s="1"/>
  <c r="F18" i="2" s="1"/>
  <c r="C108" i="4"/>
  <c r="BX47" i="4"/>
  <c r="BW47" i="4" s="1"/>
  <c r="BU47" i="4" s="1"/>
  <c r="A68" i="4"/>
  <c r="A120" i="4" s="1"/>
  <c r="A92" i="4"/>
  <c r="B4" i="178"/>
  <c r="B104" i="178" s="1"/>
  <c r="B103" i="178" s="1"/>
  <c r="B11" i="4"/>
  <c r="B13" i="4" s="1"/>
  <c r="M80" i="139"/>
  <c r="G501" i="11"/>
  <c r="G261" i="11" s="1"/>
  <c r="G479" i="11"/>
  <c r="M8" i="178"/>
  <c r="M18" i="178"/>
  <c r="T5" i="178"/>
  <c r="AC10" i="220"/>
  <c r="AC22" i="220"/>
  <c r="AC28" i="220"/>
  <c r="AC65" i="220" s="1"/>
  <c r="AC7" i="220"/>
  <c r="C70" i="4"/>
  <c r="C72" i="4" s="1"/>
  <c r="BC137" i="4"/>
  <c r="AP554" i="11"/>
  <c r="AW525" i="11"/>
  <c r="BD525" i="11" s="1"/>
  <c r="BK525" i="11" s="1"/>
  <c r="E498" i="11"/>
  <c r="BK63" i="11"/>
  <c r="F89" i="178"/>
  <c r="F29" i="178" s="1"/>
  <c r="E15" i="178"/>
  <c r="BD214" i="11"/>
  <c r="BD237" i="11" s="1"/>
  <c r="BD266" i="11" s="1"/>
  <c r="G124" i="178"/>
  <c r="H124" i="178" s="1"/>
  <c r="I124" i="178" s="1"/>
  <c r="I116" i="178" s="1"/>
  <c r="AB645" i="11"/>
  <c r="AB649" i="11" s="1"/>
  <c r="AA89" i="178"/>
  <c r="AA29" i="178" s="1"/>
  <c r="C89" i="178"/>
  <c r="C29" i="178" s="1"/>
  <c r="L21" i="178"/>
  <c r="H21" i="178"/>
  <c r="N479" i="11"/>
  <c r="N501" i="11"/>
  <c r="N261" i="11" s="1"/>
  <c r="BY471" i="11"/>
  <c r="CF471" i="11"/>
  <c r="AB519" i="11"/>
  <c r="AP129" i="11"/>
  <c r="BR119" i="11"/>
  <c r="AB39" i="11"/>
  <c r="AH143" i="178"/>
  <c r="AH161" i="178" s="1"/>
  <c r="AV134" i="178"/>
  <c r="AV8" i="178"/>
  <c r="AV24" i="178"/>
  <c r="AV18" i="178"/>
  <c r="AV5" i="178"/>
  <c r="AV15" i="178"/>
  <c r="AJ28" i="220"/>
  <c r="AJ65" i="220" s="1"/>
  <c r="AJ12" i="220"/>
  <c r="AJ16" i="220"/>
  <c r="AJ10" i="220"/>
  <c r="AJ7" i="220"/>
  <c r="O53" i="139"/>
  <c r="G53" i="139"/>
  <c r="C53" i="139"/>
  <c r="L126" i="178"/>
  <c r="A115" i="4"/>
  <c r="BK71" i="11"/>
  <c r="AH102" i="4"/>
  <c r="AH161" i="4" s="1"/>
  <c r="AH230" i="4"/>
  <c r="AH81" i="4"/>
  <c r="AA93" i="4"/>
  <c r="AA94" i="4" s="1"/>
  <c r="AA96" i="4" s="1"/>
  <c r="AA98" i="4" s="1"/>
  <c r="D22" i="4"/>
  <c r="C22" i="4"/>
  <c r="P38" i="139"/>
  <c r="AV123" i="4"/>
  <c r="D103" i="178"/>
  <c r="R6" i="139"/>
  <c r="D116" i="178"/>
  <c r="BE19" i="220"/>
  <c r="T15" i="178"/>
  <c r="J15" i="178"/>
  <c r="L101" i="178"/>
  <c r="E111" i="178"/>
  <c r="J89" i="178"/>
  <c r="J29" i="178" s="1"/>
  <c r="B89" i="178"/>
  <c r="B29" i="178" s="1"/>
  <c r="M21" i="178"/>
  <c r="V25" i="220"/>
  <c r="D108" i="4"/>
  <c r="J21" i="178"/>
  <c r="BQ15" i="2"/>
  <c r="BQ132" i="4"/>
  <c r="G32" i="4"/>
  <c r="G150" i="4"/>
  <c r="H23" i="4"/>
  <c r="AP71" i="11"/>
  <c r="C122" i="4"/>
  <c r="C124" i="4" s="1"/>
  <c r="C15" i="2" s="1"/>
  <c r="BX11" i="4"/>
  <c r="I89" i="178"/>
  <c r="I29" i="178" s="1"/>
  <c r="E116" i="178"/>
  <c r="BD472" i="11"/>
  <c r="AH21" i="178"/>
  <c r="K52" i="139"/>
  <c r="A144" i="4"/>
  <c r="A118" i="4"/>
  <c r="H76" i="220"/>
  <c r="D186" i="11"/>
  <c r="C186" i="11" s="1"/>
  <c r="E503" i="11"/>
  <c r="E263" i="11" s="1"/>
  <c r="BY470" i="11"/>
  <c r="BD476" i="11"/>
  <c r="CE13" i="4"/>
  <c r="CE32" i="4" s="1"/>
  <c r="CE73" i="178"/>
  <c r="N39" i="139"/>
  <c r="Q39" i="139"/>
  <c r="AV95" i="2"/>
  <c r="AV96" i="2" s="1"/>
  <c r="BR469" i="11"/>
  <c r="BR472" i="11"/>
  <c r="E89" i="178"/>
  <c r="E29" i="178" s="1"/>
  <c r="D89" i="178"/>
  <c r="D29" i="178" s="1"/>
  <c r="G15" i="178"/>
  <c r="AC25" i="220"/>
  <c r="O22" i="220"/>
  <c r="P53" i="139"/>
  <c r="D52" i="139"/>
  <c r="B58" i="4"/>
  <c r="C58" i="4"/>
  <c r="C60" i="4" s="1"/>
  <c r="C31" i="4" s="1"/>
  <c r="BD451" i="11"/>
  <c r="E501" i="11"/>
  <c r="E261" i="11" s="1"/>
  <c r="BD471" i="11"/>
  <c r="T89" i="178"/>
  <c r="T29" i="178" s="1"/>
  <c r="H89" i="178"/>
  <c r="H29" i="178" s="1"/>
  <c r="D71" i="11"/>
  <c r="E479" i="11"/>
  <c r="M12" i="11"/>
  <c r="I59" i="11"/>
  <c r="AI577" i="11"/>
  <c r="AI555" i="11" s="1"/>
  <c r="AI526" i="11" s="1"/>
  <c r="AP526" i="11" s="1"/>
  <c r="AW526" i="11" s="1"/>
  <c r="AI46" i="11"/>
  <c r="AH85" i="2" s="1"/>
  <c r="AA31" i="4"/>
  <c r="H184" i="11"/>
  <c r="H501" i="11" s="1"/>
  <c r="H261" i="11" s="1"/>
  <c r="BR129" i="11"/>
  <c r="BQ203" i="4" s="1"/>
  <c r="H181" i="11"/>
  <c r="AB498" i="11"/>
  <c r="BD385" i="11"/>
  <c r="BD387" i="11" s="1"/>
  <c r="CT423" i="11"/>
  <c r="BK480" i="11"/>
  <c r="AP47" i="11"/>
  <c r="BK129" i="11"/>
  <c r="CF477" i="11"/>
  <c r="G476" i="11"/>
  <c r="AP429" i="11"/>
  <c r="C71" i="11"/>
  <c r="G12" i="11"/>
  <c r="J12" i="11"/>
  <c r="AW498" i="11"/>
  <c r="BD498" i="11" s="1"/>
  <c r="BD475" i="11"/>
  <c r="BK40" i="11"/>
  <c r="BR400" i="11"/>
  <c r="BR389" i="11" s="1"/>
  <c r="CM475" i="11"/>
  <c r="AW59" i="11"/>
  <c r="AI400" i="11"/>
  <c r="AI402" i="11" s="1"/>
  <c r="N43" i="11"/>
  <c r="AW47" i="11"/>
  <c r="BY129" i="11"/>
  <c r="CE203" i="4" s="1"/>
  <c r="CF485" i="11"/>
  <c r="BD117" i="11"/>
  <c r="BD86" i="11" s="1"/>
  <c r="B129" i="11"/>
  <c r="B518" i="11" s="1"/>
  <c r="AW493" i="11"/>
  <c r="BD490" i="11"/>
  <c r="AB428" i="11"/>
  <c r="BR475" i="11"/>
  <c r="I71" i="11"/>
  <c r="E71" i="11"/>
  <c r="G46" i="11"/>
  <c r="AI47" i="11"/>
  <c r="C39" i="11"/>
  <c r="BR451" i="11"/>
  <c r="U648" i="11"/>
  <c r="D175" i="11"/>
  <c r="BK508" i="11"/>
  <c r="BR508" i="11" s="1"/>
  <c r="BY508" i="11" s="1"/>
  <c r="CM477" i="11"/>
  <c r="AW129" i="11"/>
  <c r="AI519" i="11"/>
  <c r="E432" i="11"/>
  <c r="E9" i="11" s="1"/>
  <c r="E489" i="11"/>
  <c r="BR485" i="11"/>
  <c r="BD478" i="11"/>
  <c r="AW119" i="11"/>
  <c r="AI428" i="11"/>
  <c r="E491" i="11"/>
  <c r="E481" i="11"/>
  <c r="BR471" i="11"/>
  <c r="BR470" i="11"/>
  <c r="BD470" i="11"/>
  <c r="J46" i="11"/>
  <c r="D39" i="11"/>
  <c r="M465" i="11"/>
  <c r="J212" i="4" s="1"/>
  <c r="F465" i="11"/>
  <c r="F77" i="11" s="1"/>
  <c r="AI119" i="11"/>
  <c r="AB71" i="11"/>
  <c r="BK43" i="11"/>
  <c r="L43" i="11"/>
  <c r="H59" i="11"/>
  <c r="D43" i="11"/>
  <c r="BY40" i="11"/>
  <c r="CM425" i="11"/>
  <c r="N504" i="11"/>
  <c r="E187" i="11"/>
  <c r="E504" i="11" s="1"/>
  <c r="CM129" i="11"/>
  <c r="CS203" i="4" s="1"/>
  <c r="CM474" i="11"/>
  <c r="AI71" i="11"/>
  <c r="G59" i="11"/>
  <c r="I69" i="11"/>
  <c r="BK509" i="11"/>
  <c r="G468" i="11"/>
  <c r="H175" i="11"/>
  <c r="G481" i="11"/>
  <c r="N502" i="11"/>
  <c r="N262" i="11" s="1"/>
  <c r="N498" i="11"/>
  <c r="G503" i="11"/>
  <c r="G263" i="11" s="1"/>
  <c r="G491" i="11"/>
  <c r="BR476" i="11"/>
  <c r="E476" i="11"/>
  <c r="L475" i="11"/>
  <c r="L465" i="11" s="1"/>
  <c r="U60" i="11"/>
  <c r="AW237" i="11"/>
  <c r="AW266" i="11" s="1"/>
  <c r="BY474" i="11"/>
  <c r="G469" i="11"/>
  <c r="G470" i="11"/>
  <c r="BD112" i="11"/>
  <c r="N499" i="11"/>
  <c r="E499" i="11"/>
  <c r="BY475" i="11"/>
  <c r="BK77" i="11"/>
  <c r="G43" i="11"/>
  <c r="M71" i="11"/>
  <c r="U43" i="11"/>
  <c r="BY119" i="11"/>
  <c r="AP428" i="11"/>
  <c r="BR474" i="11"/>
  <c r="AP471" i="11"/>
  <c r="AP465" i="11" s="1"/>
  <c r="L59" i="11"/>
  <c r="H46" i="11"/>
  <c r="H503" i="11"/>
  <c r="H263" i="11" s="1"/>
  <c r="I186" i="11"/>
  <c r="H481" i="11"/>
  <c r="BK404" i="11"/>
  <c r="BK10" i="11" s="1"/>
  <c r="AW389" i="11"/>
  <c r="AW393" i="11" s="1"/>
  <c r="BD400" i="11"/>
  <c r="BD491" i="11"/>
  <c r="BK510" i="11"/>
  <c r="U504" i="11"/>
  <c r="AB404" i="11"/>
  <c r="AB10" i="11" s="1"/>
  <c r="AB402" i="11"/>
  <c r="U645" i="11"/>
  <c r="U649" i="11" s="1"/>
  <c r="AI465" i="11"/>
  <c r="AH213" i="4" s="1"/>
  <c r="AW465" i="11"/>
  <c r="AH212" i="4" s="1"/>
  <c r="BD474" i="11"/>
  <c r="AP12" i="11"/>
  <c r="BC57" i="178"/>
  <c r="BC68" i="178"/>
  <c r="AO46" i="4"/>
  <c r="AO48" i="4" s="1"/>
  <c r="BQ46" i="4"/>
  <c r="BQ48" i="4" s="1"/>
  <c r="I63" i="11"/>
  <c r="J167" i="4"/>
  <c r="E94" i="4"/>
  <c r="G94" i="4"/>
  <c r="G109" i="4" s="1"/>
  <c r="G111" i="4" s="1"/>
  <c r="G18" i="2" s="1"/>
  <c r="K13" i="4"/>
  <c r="K154" i="243" s="1"/>
  <c r="I249" i="4"/>
  <c r="D249" i="4"/>
  <c r="T94" i="4"/>
  <c r="T96" i="4" s="1"/>
  <c r="T98" i="4" s="1"/>
  <c r="K19" i="139"/>
  <c r="D106" i="4"/>
  <c r="D58" i="4"/>
  <c r="BX58" i="4"/>
  <c r="BX60" i="4" s="1"/>
  <c r="BX43" i="4"/>
  <c r="BR47" i="11"/>
  <c r="AW451" i="11"/>
  <c r="M63" i="11"/>
  <c r="M46" i="11"/>
  <c r="G118" i="178"/>
  <c r="G12" i="178"/>
  <c r="AH24" i="178"/>
  <c r="AH129" i="178"/>
  <c r="AV129" i="178" s="1"/>
  <c r="AX22" i="220"/>
  <c r="AX28" i="220"/>
  <c r="AX65" i="220" s="1"/>
  <c r="AX19" i="220"/>
  <c r="AX10" i="220"/>
  <c r="AC5" i="220"/>
  <c r="V10" i="220"/>
  <c r="V5" i="220"/>
  <c r="I219" i="4"/>
  <c r="I221" i="4" s="1"/>
  <c r="BC132" i="4"/>
  <c r="H94" i="4"/>
  <c r="D107" i="4"/>
  <c r="M105" i="4"/>
  <c r="M94" i="4"/>
  <c r="M96" i="4" s="1"/>
  <c r="M98" i="4" s="1"/>
  <c r="M20" i="2" s="1"/>
  <c r="I15" i="139" s="1"/>
  <c r="AA230" i="4"/>
  <c r="AA102" i="4"/>
  <c r="C106" i="2"/>
  <c r="BJ13" i="4"/>
  <c r="BJ154" i="243" s="1"/>
  <c r="G8" i="2"/>
  <c r="G274" i="243" s="1"/>
  <c r="G125" i="4"/>
  <c r="BJ16" i="4"/>
  <c r="BC16" i="4"/>
  <c r="BD11" i="11"/>
  <c r="U69" i="11"/>
  <c r="U71" i="11"/>
  <c r="F63" i="11"/>
  <c r="F71" i="11"/>
  <c r="M59" i="11"/>
  <c r="D45" i="11"/>
  <c r="D59" i="11"/>
  <c r="E232" i="4"/>
  <c r="E164" i="4" s="1"/>
  <c r="K226" i="4"/>
  <c r="J226" i="4"/>
  <c r="BJ103" i="4"/>
  <c r="BJ109" i="4" s="1"/>
  <c r="BJ111" i="4" s="1"/>
  <c r="BJ94" i="4"/>
  <c r="BJ96" i="4" s="1"/>
  <c r="BJ98" i="4" s="1"/>
  <c r="BJ20" i="2" s="1"/>
  <c r="P15" i="139" s="1"/>
  <c r="P57" i="139" s="1"/>
  <c r="L103" i="4"/>
  <c r="L94" i="4"/>
  <c r="L96" i="4" s="1"/>
  <c r="L98" i="4" s="1"/>
  <c r="L249" i="4"/>
  <c r="J71" i="11"/>
  <c r="BK12" i="11"/>
  <c r="J12" i="178"/>
  <c r="AI645" i="11"/>
  <c r="AI649" i="11" s="1"/>
  <c r="AQ25" i="220"/>
  <c r="O25" i="220"/>
  <c r="AV249" i="4"/>
  <c r="AV232" i="4" s="1"/>
  <c r="AV164" i="4" s="1"/>
  <c r="E249" i="4"/>
  <c r="D106" i="2"/>
  <c r="K249" i="4"/>
  <c r="AO249" i="4"/>
  <c r="AO232" i="4" s="1"/>
  <c r="AO164" i="4" s="1"/>
  <c r="AO167" i="4" s="1"/>
  <c r="N6" i="139"/>
  <c r="F53" i="139"/>
  <c r="R38" i="139"/>
  <c r="H167" i="4"/>
  <c r="M39" i="139"/>
  <c r="L80" i="139"/>
  <c r="L82" i="139" s="1"/>
  <c r="J106" i="2"/>
  <c r="O6" i="139"/>
  <c r="P6" i="139"/>
  <c r="B19" i="139"/>
  <c r="B41" i="139" s="1"/>
  <c r="AA106" i="2"/>
  <c r="L38" i="139"/>
  <c r="M68" i="178"/>
  <c r="U129" i="11"/>
  <c r="U143" i="11" s="1"/>
  <c r="C46" i="139"/>
  <c r="J126" i="178"/>
  <c r="BD494" i="11"/>
  <c r="BY476" i="11"/>
  <c r="BD512" i="11"/>
  <c r="AH105" i="2"/>
  <c r="AH95" i="2"/>
  <c r="AH96" i="2" s="1"/>
  <c r="E230" i="4"/>
  <c r="E102" i="4"/>
  <c r="E161" i="4" s="1"/>
  <c r="M499" i="11"/>
  <c r="M504" i="11"/>
  <c r="M503" i="11"/>
  <c r="M263" i="11" s="1"/>
  <c r="U475" i="11"/>
  <c r="U465" i="11" s="1"/>
  <c r="U498" i="11"/>
  <c r="AW519" i="11"/>
  <c r="AW489" i="11"/>
  <c r="AW495" i="11"/>
  <c r="BD495" i="11" s="1"/>
  <c r="AH36" i="2"/>
  <c r="C43" i="11"/>
  <c r="I15" i="178"/>
  <c r="H12" i="178"/>
  <c r="AW488" i="11"/>
  <c r="L15" i="178"/>
  <c r="D38" i="139"/>
  <c r="BC110" i="4"/>
  <c r="BD477" i="11"/>
  <c r="CE137" i="4"/>
  <c r="BK409" i="11"/>
  <c r="BK389" i="11"/>
  <c r="BK393" i="11" s="1"/>
  <c r="BK402" i="11"/>
  <c r="BR505" i="11"/>
  <c r="BY505" i="11" s="1"/>
  <c r="CF505" i="11" s="1"/>
  <c r="Q38" i="139"/>
  <c r="AO31" i="4"/>
  <c r="N17" i="139" s="1"/>
  <c r="P39" i="139"/>
  <c r="L39" i="139"/>
  <c r="AA96" i="2"/>
  <c r="C19" i="139"/>
  <c r="I167" i="4"/>
  <c r="K230" i="4"/>
  <c r="BC102" i="4"/>
  <c r="BC161" i="4" s="1"/>
  <c r="BC167" i="4" s="1"/>
  <c r="G19" i="139"/>
  <c r="G41" i="139" s="1"/>
  <c r="M249" i="4"/>
  <c r="L167" i="4"/>
  <c r="J13" i="4"/>
  <c r="J154" i="243" s="1"/>
  <c r="B108" i="4"/>
  <c r="CM516" i="11"/>
  <c r="BY519" i="11"/>
  <c r="BK119" i="11"/>
  <c r="C69" i="11"/>
  <c r="L45" i="11"/>
  <c r="L46" i="11" s="1"/>
  <c r="K12" i="11"/>
  <c r="E63" i="11"/>
  <c r="K43" i="139"/>
  <c r="BD506" i="11"/>
  <c r="AW499" i="11"/>
  <c r="D174" i="11"/>
  <c r="D223" i="11" s="1"/>
  <c r="D247" i="11" s="1"/>
  <c r="BY516" i="11"/>
  <c r="J129" i="11"/>
  <c r="J518" i="11" s="1"/>
  <c r="BR516" i="11"/>
  <c r="BD473" i="11"/>
  <c r="M89" i="178"/>
  <c r="M29" i="178" s="1"/>
  <c r="I46" i="11"/>
  <c r="AW46" i="11"/>
  <c r="AV85" i="2" s="1"/>
  <c r="AJ22" i="220"/>
  <c r="M52" i="139"/>
  <c r="BQ24" i="178"/>
  <c r="BL5" i="220"/>
  <c r="BL7" i="220"/>
  <c r="BD469" i="11"/>
  <c r="D69" i="11"/>
  <c r="K89" i="178"/>
  <c r="K29" i="178" s="1"/>
  <c r="AA21" i="178"/>
  <c r="I21" i="178"/>
  <c r="C21" i="178"/>
  <c r="AJ19" i="220"/>
  <c r="BD47" i="11"/>
  <c r="BK47" i="11"/>
  <c r="CM519" i="11"/>
  <c r="CM472" i="11"/>
  <c r="V94" i="139"/>
  <c r="J102" i="178"/>
  <c r="F12" i="11"/>
  <c r="AB451" i="11"/>
  <c r="AB46" i="11"/>
  <c r="AA85" i="2" s="1"/>
  <c r="AI39" i="11"/>
  <c r="AI451" i="11"/>
  <c r="K39" i="11"/>
  <c r="K43" i="11"/>
  <c r="E43" i="11"/>
  <c r="AX5" i="220"/>
  <c r="AQ22" i="220"/>
  <c r="AQ10" i="220"/>
  <c r="AQ7" i="220"/>
  <c r="AQ28" i="220"/>
  <c r="AQ65" i="220" s="1"/>
  <c r="AQ16" i="220"/>
  <c r="H52" i="139"/>
  <c r="Q53" i="139"/>
  <c r="K53" i="139"/>
  <c r="AO21" i="178"/>
  <c r="AO18" i="178"/>
  <c r="E21" i="178"/>
  <c r="E18" i="178"/>
  <c r="E59" i="11"/>
  <c r="K63" i="11"/>
  <c r="K59" i="11"/>
  <c r="F45" i="11"/>
  <c r="F46" i="11" s="1"/>
  <c r="F59" i="11"/>
  <c r="AB648" i="11"/>
  <c r="AB43" i="11"/>
  <c r="AI12" i="11"/>
  <c r="AB12" i="11"/>
  <c r="AB59" i="11"/>
  <c r="K18" i="178"/>
  <c r="K21" i="178"/>
  <c r="R19" i="139"/>
  <c r="E12" i="11"/>
  <c r="L12" i="11"/>
  <c r="BJ18" i="178"/>
  <c r="BJ24" i="178"/>
  <c r="BJ5" i="178"/>
  <c r="BJ12" i="178"/>
  <c r="AA8" i="178"/>
  <c r="AH5" i="178"/>
  <c r="AA24" i="178"/>
  <c r="F126" i="178"/>
  <c r="V73" i="220"/>
  <c r="V76" i="220"/>
  <c r="J101" i="178"/>
  <c r="J115" i="178" s="1"/>
  <c r="J111" i="178"/>
  <c r="J100" i="178"/>
  <c r="AB63" i="11"/>
  <c r="CL18" i="4"/>
  <c r="P80" i="139"/>
  <c r="P82" i="139" s="1"/>
  <c r="G249" i="4"/>
  <c r="F249" i="4"/>
  <c r="AV12" i="178"/>
  <c r="D46" i="139"/>
  <c r="Q6" i="139"/>
  <c r="L6" i="139"/>
  <c r="AB47" i="11"/>
  <c r="I18" i="178"/>
  <c r="AA15" i="178"/>
  <c r="AW43" i="11"/>
  <c r="AO131" i="178"/>
  <c r="K101" i="178"/>
  <c r="K111" i="178"/>
  <c r="L111" i="178"/>
  <c r="K103" i="178"/>
  <c r="K102" i="178"/>
  <c r="K126" i="178"/>
  <c r="BD71" i="11"/>
  <c r="AA12" i="178"/>
  <c r="BJ8" i="178"/>
  <c r="BE7" i="220"/>
  <c r="AA18" i="178"/>
  <c r="C63" i="11"/>
  <c r="I12" i="11"/>
  <c r="BQ15" i="178"/>
  <c r="BQ18" i="178"/>
  <c r="BE28" i="220"/>
  <c r="BE65" i="220" s="1"/>
  <c r="BE22" i="220"/>
  <c r="K45" i="11"/>
  <c r="K46" i="11" s="1"/>
  <c r="CT472" i="11"/>
  <c r="CM117" i="11"/>
  <c r="CF119" i="11"/>
  <c r="CF129" i="11"/>
  <c r="CL203" i="4" s="1"/>
  <c r="L106" i="2"/>
  <c r="I38" i="139"/>
  <c r="AV225" i="4"/>
  <c r="AV163" i="4"/>
  <c r="CS81" i="242"/>
  <c r="J38" i="139"/>
  <c r="BQ36" i="2"/>
  <c r="AO36" i="2"/>
  <c r="I53" i="139"/>
  <c r="B58" i="139"/>
  <c r="F19" i="139"/>
  <c r="I43" i="139"/>
  <c r="H19" i="139"/>
  <c r="D19" i="139"/>
  <c r="CL152" i="4"/>
  <c r="CF516" i="11"/>
  <c r="U47" i="11"/>
  <c r="N46" i="11"/>
  <c r="M85" i="2" s="1"/>
  <c r="N451" i="11"/>
  <c r="BQ94" i="4"/>
  <c r="BQ102" i="4"/>
  <c r="N71" i="11"/>
  <c r="H12" i="11"/>
  <c r="U12" i="11"/>
  <c r="N12" i="11"/>
  <c r="U451" i="11"/>
  <c r="H43" i="11"/>
  <c r="M43" i="11"/>
  <c r="AW12" i="11"/>
  <c r="C59" i="11"/>
  <c r="BQ70" i="4"/>
  <c r="H71" i="11"/>
  <c r="AI43" i="11"/>
  <c r="D12" i="11"/>
  <c r="AI648" i="11"/>
  <c r="N59" i="11"/>
  <c r="E39" i="11"/>
  <c r="C5" i="11"/>
  <c r="C391" i="11" s="1"/>
  <c r="AH131" i="178"/>
  <c r="BC44" i="4"/>
  <c r="BC43" i="4"/>
  <c r="BD51" i="11" s="1"/>
  <c r="BD58" i="11" s="1"/>
  <c r="BC45" i="4"/>
  <c r="AO135" i="178"/>
  <c r="AO133" i="178"/>
  <c r="AO143" i="178"/>
  <c r="AO152" i="178" s="1"/>
  <c r="BC103" i="4"/>
  <c r="AO141" i="178"/>
  <c r="AO136" i="178"/>
  <c r="BC29" i="4"/>
  <c r="BC31" i="4" s="1"/>
  <c r="O17" i="139" s="1"/>
  <c r="BC58" i="4"/>
  <c r="BC60" i="4" s="1"/>
  <c r="AV132" i="178"/>
  <c r="AO139" i="178"/>
  <c r="AO157" i="178" s="1"/>
  <c r="AV130" i="178"/>
  <c r="BC18" i="4"/>
  <c r="BC11" i="4"/>
  <c r="BC13" i="4" s="1"/>
  <c r="BC154" i="243" s="1"/>
  <c r="BJ18" i="4"/>
  <c r="AH148" i="178"/>
  <c r="AH157" i="178"/>
  <c r="BC47" i="4"/>
  <c r="BB47" i="4" s="1"/>
  <c r="R53" i="139"/>
  <c r="CF472" i="11"/>
  <c r="AI584" i="11"/>
  <c r="O80" i="139"/>
  <c r="G475" i="11"/>
  <c r="G498" i="11"/>
  <c r="H180" i="11"/>
  <c r="H229" i="11" s="1"/>
  <c r="H255" i="11" s="1"/>
  <c r="AB119" i="11"/>
  <c r="G230" i="4"/>
  <c r="G102" i="4"/>
  <c r="G161" i="4" s="1"/>
  <c r="G167" i="4" s="1"/>
  <c r="BR478" i="11"/>
  <c r="H129" i="11"/>
  <c r="H518" i="11" s="1"/>
  <c r="BR483" i="11"/>
  <c r="BX16" i="4"/>
  <c r="G46" i="139"/>
  <c r="E19" i="139"/>
  <c r="I23" i="4"/>
  <c r="D115" i="178"/>
  <c r="E101" i="178"/>
  <c r="BR473" i="11"/>
  <c r="E468" i="11"/>
  <c r="E488" i="11"/>
  <c r="AI583" i="11"/>
  <c r="I512" i="11"/>
  <c r="I429" i="11" s="1"/>
  <c r="H185" i="11"/>
  <c r="G502" i="11"/>
  <c r="G262" i="11" s="1"/>
  <c r="G480" i="11"/>
  <c r="J59" i="11"/>
  <c r="AH141" i="178"/>
  <c r="AH159" i="178" s="1"/>
  <c r="AH133" i="178"/>
  <c r="U499" i="11"/>
  <c r="U502" i="11"/>
  <c r="U262" i="11" s="1"/>
  <c r="U503" i="11"/>
  <c r="U263" i="11" s="1"/>
  <c r="D185" i="11"/>
  <c r="E480" i="11"/>
  <c r="E502" i="11"/>
  <c r="E262" i="11" s="1"/>
  <c r="C129" i="11"/>
  <c r="C518" i="11" s="1"/>
  <c r="BY477" i="11"/>
  <c r="BD127" i="11"/>
  <c r="BD88" i="11" s="1"/>
  <c r="BD96" i="11" s="1"/>
  <c r="D53" i="139"/>
  <c r="AW409" i="11"/>
  <c r="BR477" i="11"/>
  <c r="AW63" i="11"/>
  <c r="AW71" i="11"/>
  <c r="J5" i="178"/>
  <c r="AX7" i="220"/>
  <c r="G89" i="178"/>
  <c r="G29" i="178" s="1"/>
  <c r="L89" i="178"/>
  <c r="L29" i="178" s="1"/>
  <c r="V22" i="220"/>
  <c r="J46" i="139"/>
  <c r="J52" i="139"/>
  <c r="J43" i="139"/>
  <c r="BY47" i="11"/>
  <c r="BY451" i="11"/>
  <c r="BY646" i="11"/>
  <c r="BE5" i="220"/>
  <c r="BE10" i="220"/>
  <c r="BX46" i="4" l="1"/>
  <c r="AO105" i="2"/>
  <c r="AO95" i="2"/>
  <c r="AO96" i="2" s="1"/>
  <c r="AN40" i="4"/>
  <c r="AL39" i="4"/>
  <c r="AL40" i="4" s="1"/>
  <c r="BI40" i="4"/>
  <c r="BG39" i="4"/>
  <c r="BG40" i="4" s="1"/>
  <c r="AE39" i="4"/>
  <c r="AE40" i="4" s="1"/>
  <c r="AG40" i="4"/>
  <c r="CB39" i="4"/>
  <c r="CB40" i="4" s="1"/>
  <c r="CD40" i="4"/>
  <c r="BW40" i="4"/>
  <c r="BU39" i="4"/>
  <c r="BU40" i="4" s="1"/>
  <c r="AU40" i="4"/>
  <c r="AS39" i="4"/>
  <c r="AS40" i="4" s="1"/>
  <c r="BN39" i="4"/>
  <c r="BN40" i="4" s="1"/>
  <c r="BP40" i="4"/>
  <c r="AA73" i="178"/>
  <c r="Z29" i="178"/>
  <c r="AL29" i="178"/>
  <c r="AN73" i="178"/>
  <c r="AU30" i="178"/>
  <c r="T73" i="178"/>
  <c r="S29" i="178"/>
  <c r="BB31" i="178"/>
  <c r="AZ27" i="178"/>
  <c r="BB37" i="178"/>
  <c r="BO11" i="11"/>
  <c r="BU16" i="4"/>
  <c r="BI13" i="2"/>
  <c r="BI156" i="243" s="1"/>
  <c r="BG13" i="2"/>
  <c r="BG156" i="243" s="1"/>
  <c r="BB45" i="178"/>
  <c r="AZ40" i="178"/>
  <c r="AL154" i="243"/>
  <c r="AL171" i="243" s="1"/>
  <c r="AZ23" i="4"/>
  <c r="AS23" i="4"/>
  <c r="AZ42" i="178"/>
  <c r="BB46" i="178"/>
  <c r="AN154" i="243"/>
  <c r="AN176" i="243" s="1"/>
  <c r="BB23" i="4"/>
  <c r="AU23" i="4"/>
  <c r="BQ12" i="11"/>
  <c r="BQ43" i="11"/>
  <c r="BX12" i="11"/>
  <c r="BQ46" i="11"/>
  <c r="BQ59" i="11"/>
  <c r="D13" i="139"/>
  <c r="G13" i="2"/>
  <c r="G156" i="243" s="1"/>
  <c r="C13" i="139"/>
  <c r="H13" i="139"/>
  <c r="U52" i="220"/>
  <c r="S44" i="220"/>
  <c r="S52" i="220" s="1"/>
  <c r="V34" i="220"/>
  <c r="U31" i="220"/>
  <c r="U49" i="220"/>
  <c r="S41" i="220"/>
  <c r="S49" i="220" s="1"/>
  <c r="U51" i="220"/>
  <c r="S43" i="220"/>
  <c r="S51" i="220" s="1"/>
  <c r="U54" i="220"/>
  <c r="S46" i="220"/>
  <c r="S54" i="220" s="1"/>
  <c r="U53" i="220"/>
  <c r="S45" i="220"/>
  <c r="S53" i="220" s="1"/>
  <c r="U48" i="220"/>
  <c r="S40" i="220"/>
  <c r="S48" i="220" s="1"/>
  <c r="U50" i="220"/>
  <c r="S42" i="220"/>
  <c r="S50" i="220" s="1"/>
  <c r="AT5" i="11"/>
  <c r="AT14" i="11" s="1"/>
  <c r="AV14" i="11"/>
  <c r="BJ14" i="11"/>
  <c r="BH5" i="11"/>
  <c r="BH14" i="11" s="1"/>
  <c r="CC97" i="11"/>
  <c r="CE97" i="11" s="1"/>
  <c r="CE89" i="11"/>
  <c r="BV96" i="11"/>
  <c r="BX96" i="11" s="1"/>
  <c r="BX88" i="11"/>
  <c r="CC96" i="11"/>
  <c r="CE96" i="11" s="1"/>
  <c r="CE88" i="11"/>
  <c r="CJ93" i="11"/>
  <c r="CL85" i="11"/>
  <c r="AW307" i="11"/>
  <c r="AV9" i="11"/>
  <c r="BK307" i="11"/>
  <c r="BK27" i="11" s="1"/>
  <c r="BJ9" i="11"/>
  <c r="AW94" i="11"/>
  <c r="AW98" i="11" s="1"/>
  <c r="AW90" i="11"/>
  <c r="U307" i="11"/>
  <c r="T9" i="11"/>
  <c r="AB307" i="11"/>
  <c r="AA9" i="11"/>
  <c r="AI307" i="11"/>
  <c r="AH9" i="11"/>
  <c r="AP307" i="11"/>
  <c r="AO9" i="11"/>
  <c r="T143" i="11"/>
  <c r="U74" i="11"/>
  <c r="BD94" i="11"/>
  <c r="BD98" i="11" s="1"/>
  <c r="BD90" i="11"/>
  <c r="T14" i="11"/>
  <c r="R5" i="11"/>
  <c r="R14" i="11" s="1"/>
  <c r="AA14" i="11"/>
  <c r="Y5" i="11"/>
  <c r="Y14" i="11" s="1"/>
  <c r="AH14" i="11"/>
  <c r="AF5" i="11"/>
  <c r="AF14" i="11" s="1"/>
  <c r="AO14" i="11"/>
  <c r="AM5" i="11"/>
  <c r="AM14" i="11" s="1"/>
  <c r="BO95" i="11"/>
  <c r="BQ95" i="11" s="1"/>
  <c r="BQ87" i="11"/>
  <c r="BO93" i="11"/>
  <c r="BQ85" i="11"/>
  <c r="CJ97" i="11"/>
  <c r="CL97" i="11" s="1"/>
  <c r="CL89" i="11"/>
  <c r="CC129" i="11"/>
  <c r="CC143" i="11" s="1"/>
  <c r="CC74" i="11" s="1"/>
  <c r="CC87" i="11"/>
  <c r="BO97" i="11"/>
  <c r="BQ97" i="11" s="1"/>
  <c r="BQ89" i="11"/>
  <c r="CJ96" i="11"/>
  <c r="CL96" i="11" s="1"/>
  <c r="CL88" i="11"/>
  <c r="CB201" i="4"/>
  <c r="BV123" i="11" s="1"/>
  <c r="BX123" i="11"/>
  <c r="BX129" i="11" s="1"/>
  <c r="BX143" i="11" s="1"/>
  <c r="BX74" i="11" s="1"/>
  <c r="CE129" i="11"/>
  <c r="CE143" i="11" s="1"/>
  <c r="CE74" i="11" s="1"/>
  <c r="BN202" i="4"/>
  <c r="BO127" i="11" s="1"/>
  <c r="BQ127" i="11"/>
  <c r="BQ129" i="11" s="1"/>
  <c r="BQ143" i="11" s="1"/>
  <c r="BQ74" i="11" s="1"/>
  <c r="CP201" i="4"/>
  <c r="CJ123" i="11" s="1"/>
  <c r="CL123" i="11"/>
  <c r="CL129" i="11" s="1"/>
  <c r="CL143" i="11" s="1"/>
  <c r="CL74" i="11" s="1"/>
  <c r="BV104" i="11"/>
  <c r="BV85" i="11" s="1"/>
  <c r="BV139" i="11"/>
  <c r="BV89" i="11" s="1"/>
  <c r="CS206" i="4"/>
  <c r="CS208" i="4" s="1"/>
  <c r="CR203" i="4"/>
  <c r="BP203" i="4"/>
  <c r="BQ206" i="4"/>
  <c r="BQ208" i="4" s="1"/>
  <c r="CE206" i="4"/>
  <c r="CE208" i="4" s="1"/>
  <c r="CD203" i="4"/>
  <c r="CL206" i="4"/>
  <c r="CL208" i="4" s="1"/>
  <c r="CK203" i="4"/>
  <c r="X153" i="243"/>
  <c r="X171" i="243"/>
  <c r="X159" i="243"/>
  <c r="X162" i="243"/>
  <c r="X165" i="243"/>
  <c r="X176" i="243"/>
  <c r="X168" i="243"/>
  <c r="X179" i="243"/>
  <c r="Z153" i="243"/>
  <c r="Z171" i="243"/>
  <c r="Z159" i="243"/>
  <c r="Z165" i="243"/>
  <c r="Z162" i="243"/>
  <c r="Z176" i="243"/>
  <c r="Z168" i="243"/>
  <c r="Z179" i="243"/>
  <c r="CB16" i="4"/>
  <c r="BN152" i="243"/>
  <c r="J19" i="139"/>
  <c r="AN57" i="2"/>
  <c r="AN59" i="2"/>
  <c r="X24" i="2"/>
  <c r="X27" i="2" s="1"/>
  <c r="X38" i="2" s="1"/>
  <c r="Z27" i="2"/>
  <c r="Z38" i="2" s="1"/>
  <c r="AV124" i="4"/>
  <c r="AV132" i="4" s="1"/>
  <c r="AU123" i="4"/>
  <c r="AL59" i="2"/>
  <c r="AL57" i="2"/>
  <c r="BI57" i="2"/>
  <c r="BI59" i="2"/>
  <c r="AU57" i="2"/>
  <c r="AU59" i="2"/>
  <c r="AU99" i="4"/>
  <c r="AU20" i="2"/>
  <c r="AU111" i="4"/>
  <c r="Q24" i="2"/>
  <c r="Q27" i="2" s="1"/>
  <c r="Q38" i="2" s="1"/>
  <c r="S27" i="2"/>
  <c r="S38" i="2" s="1"/>
  <c r="BG57" i="2"/>
  <c r="BG59" i="2"/>
  <c r="AS57" i="2"/>
  <c r="AS59" i="2"/>
  <c r="AS20" i="2"/>
  <c r="AS99" i="4"/>
  <c r="AS111" i="4"/>
  <c r="AL8" i="2"/>
  <c r="AL125" i="4"/>
  <c r="X8" i="2"/>
  <c r="X125" i="4"/>
  <c r="AE130" i="4"/>
  <c r="AE131" i="4" s="1"/>
  <c r="AE132" i="4" s="1"/>
  <c r="AG131" i="4"/>
  <c r="AG132" i="4" s="1"/>
  <c r="AN8" i="2"/>
  <c r="AN125" i="4"/>
  <c r="X130" i="4"/>
  <c r="X131" i="4" s="1"/>
  <c r="X132" i="4" s="1"/>
  <c r="Z131" i="4"/>
  <c r="Z132" i="4" s="1"/>
  <c r="Z8" i="2"/>
  <c r="Z125" i="4"/>
  <c r="BW60" i="4"/>
  <c r="BP22" i="2" s="1"/>
  <c r="BU6" i="4"/>
  <c r="CD18" i="4"/>
  <c r="BG99" i="4"/>
  <c r="BG111" i="4"/>
  <c r="Z23" i="4"/>
  <c r="Z32" i="4"/>
  <c r="X99" i="4"/>
  <c r="X111" i="4"/>
  <c r="X18" i="2" s="1"/>
  <c r="AZ47" i="4"/>
  <c r="AZ48" i="4" s="1"/>
  <c r="AZ54" i="2" s="1"/>
  <c r="BB48" i="4"/>
  <c r="BB54" i="2" s="1"/>
  <c r="M32" i="4"/>
  <c r="M87" i="2" s="1"/>
  <c r="AE12" i="4"/>
  <c r="AE13" i="4" s="1"/>
  <c r="AE154" i="243" s="1"/>
  <c r="AG13" i="4"/>
  <c r="AG154" i="243" s="1"/>
  <c r="AE111" i="4"/>
  <c r="AL32" i="4"/>
  <c r="AN99" i="4"/>
  <c r="AN111" i="4"/>
  <c r="AN18" i="2" s="1"/>
  <c r="X23" i="4"/>
  <c r="X32" i="4"/>
  <c r="Z99" i="4"/>
  <c r="Z111" i="4"/>
  <c r="Z18" i="2" s="1"/>
  <c r="BW11" i="4"/>
  <c r="BW13" i="4" s="1"/>
  <c r="BU5" i="4"/>
  <c r="CD17" i="4"/>
  <c r="AG111" i="4"/>
  <c r="AN32" i="4"/>
  <c r="AL99" i="4"/>
  <c r="AL111" i="4"/>
  <c r="AL18" i="2" s="1"/>
  <c r="Q99" i="4"/>
  <c r="Q111" i="4"/>
  <c r="Q18" i="2" s="1"/>
  <c r="Q13" i="2" s="1"/>
  <c r="AZ99" i="4"/>
  <c r="AZ111" i="4"/>
  <c r="BU28" i="4"/>
  <c r="BU45" i="4" s="1"/>
  <c r="BW45" i="4"/>
  <c r="BW46" i="4" s="1"/>
  <c r="BW48" i="4" s="1"/>
  <c r="BP54" i="2" s="1"/>
  <c r="BI99" i="4"/>
  <c r="BI111" i="4"/>
  <c r="BU43" i="4"/>
  <c r="BU58" i="4"/>
  <c r="BU60" i="4" s="1"/>
  <c r="BN22" i="2" s="1"/>
  <c r="S99" i="4"/>
  <c r="S111" i="4"/>
  <c r="S18" i="2" s="1"/>
  <c r="S13" i="2" s="1"/>
  <c r="BW29" i="4"/>
  <c r="BW31" i="4" s="1"/>
  <c r="BB99" i="4"/>
  <c r="BB111" i="4"/>
  <c r="I41" i="139"/>
  <c r="C52" i="139"/>
  <c r="CN53" i="178"/>
  <c r="CQ50" i="178"/>
  <c r="I57" i="139"/>
  <c r="AO98" i="2"/>
  <c r="AA98" i="2"/>
  <c r="AH98" i="2"/>
  <c r="M98" i="2"/>
  <c r="T98" i="2"/>
  <c r="G58" i="139"/>
  <c r="G23" i="4"/>
  <c r="BR517" i="11"/>
  <c r="BK517" i="11"/>
  <c r="BY517" i="11"/>
  <c r="O77" i="139"/>
  <c r="O75" i="139"/>
  <c r="P52" i="139"/>
  <c r="N52" i="139"/>
  <c r="B52" i="139"/>
  <c r="B43" i="139"/>
  <c r="O52" i="139"/>
  <c r="CI29" i="178"/>
  <c r="CP30" i="178" s="1"/>
  <c r="E52" i="139"/>
  <c r="E43" i="139"/>
  <c r="CV53" i="178"/>
  <c r="CT53" i="178"/>
  <c r="Q52" i="139"/>
  <c r="N30" i="139"/>
  <c r="N77" i="139"/>
  <c r="N75" i="139"/>
  <c r="U65" i="139"/>
  <c r="I34" i="139"/>
  <c r="J81" i="139"/>
  <c r="CY123" i="4"/>
  <c r="L227" i="4"/>
  <c r="L225" i="4" s="1"/>
  <c r="D103" i="4"/>
  <c r="BQ125" i="4"/>
  <c r="BQ86" i="2" s="1"/>
  <c r="AH32" i="4"/>
  <c r="AH87" i="2" s="1"/>
  <c r="AO154" i="243"/>
  <c r="AO162" i="243" s="1"/>
  <c r="F12" i="139"/>
  <c r="C94" i="4"/>
  <c r="C109" i="4" s="1"/>
  <c r="C111" i="4" s="1"/>
  <c r="AO23" i="4"/>
  <c r="M109" i="4"/>
  <c r="M111" i="4" s="1"/>
  <c r="AO8" i="2"/>
  <c r="AO274" i="243" s="1"/>
  <c r="T109" i="4"/>
  <c r="T111" i="4" s="1"/>
  <c r="T18" i="2" s="1"/>
  <c r="A146" i="4"/>
  <c r="E12" i="139"/>
  <c r="F8" i="2"/>
  <c r="F274" i="243" s="1"/>
  <c r="F150" i="4"/>
  <c r="H38" i="139"/>
  <c r="BJ99" i="4"/>
  <c r="BQ8" i="2"/>
  <c r="K106" i="2"/>
  <c r="M225" i="4"/>
  <c r="BQ32" i="4"/>
  <c r="A79" i="4"/>
  <c r="T268" i="243"/>
  <c r="T106" i="2"/>
  <c r="E167" i="4"/>
  <c r="BQ23" i="4"/>
  <c r="J227" i="4"/>
  <c r="J225" i="4" s="1"/>
  <c r="D8" i="2"/>
  <c r="D274" i="243" s="1"/>
  <c r="D125" i="4"/>
  <c r="E150" i="4"/>
  <c r="J35" i="139"/>
  <c r="J42" i="139"/>
  <c r="AV23" i="4"/>
  <c r="L109" i="4"/>
  <c r="L111" i="4" s="1"/>
  <c r="L18" i="2" s="1"/>
  <c r="AV32" i="4"/>
  <c r="F32" i="4"/>
  <c r="L274" i="243"/>
  <c r="E274" i="243"/>
  <c r="B12" i="139"/>
  <c r="E23" i="4"/>
  <c r="E125" i="4"/>
  <c r="H14" i="139"/>
  <c r="E32" i="4"/>
  <c r="K38" i="139"/>
  <c r="F23" i="4"/>
  <c r="J28" i="139"/>
  <c r="I35" i="139"/>
  <c r="I42" i="139"/>
  <c r="I81" i="139"/>
  <c r="BC159" i="243"/>
  <c r="BC176" i="243"/>
  <c r="BC168" i="243"/>
  <c r="BC153" i="243"/>
  <c r="BC171" i="243"/>
  <c r="BC162" i="243"/>
  <c r="BC165" i="243"/>
  <c r="BC179" i="243"/>
  <c r="C13" i="4"/>
  <c r="C32" i="4" s="1"/>
  <c r="C154" i="243"/>
  <c r="F153" i="243"/>
  <c r="F176" i="243"/>
  <c r="F165" i="243"/>
  <c r="F171" i="243"/>
  <c r="F159" i="243"/>
  <c r="F179" i="243"/>
  <c r="F162" i="243"/>
  <c r="F168" i="243"/>
  <c r="L20" i="2"/>
  <c r="H15" i="139" s="1"/>
  <c r="L116" i="243"/>
  <c r="BX8" i="2"/>
  <c r="BX274" i="243" s="1"/>
  <c r="BX154" i="243"/>
  <c r="AA171" i="243"/>
  <c r="AA168" i="243"/>
  <c r="AA159" i="243"/>
  <c r="AA162" i="243"/>
  <c r="AA165" i="243"/>
  <c r="AA179" i="243"/>
  <c r="AA153" i="243"/>
  <c r="AA176" i="243"/>
  <c r="I162" i="243"/>
  <c r="I153" i="243"/>
  <c r="I168" i="243"/>
  <c r="I179" i="243"/>
  <c r="I165" i="243"/>
  <c r="I159" i="243"/>
  <c r="I171" i="243"/>
  <c r="I176" i="243"/>
  <c r="AH154" i="243"/>
  <c r="AH8" i="2"/>
  <c r="J179" i="243"/>
  <c r="J168" i="243"/>
  <c r="J159" i="243"/>
  <c r="J162" i="243"/>
  <c r="J176" i="243"/>
  <c r="J153" i="243"/>
  <c r="J165" i="243"/>
  <c r="J171" i="243"/>
  <c r="BJ171" i="243"/>
  <c r="BJ153" i="243"/>
  <c r="BJ165" i="243"/>
  <c r="BJ179" i="243"/>
  <c r="BJ159" i="243"/>
  <c r="BJ176" i="243"/>
  <c r="BJ162" i="243"/>
  <c r="BJ168" i="243"/>
  <c r="K159" i="243"/>
  <c r="K168" i="243"/>
  <c r="K153" i="243"/>
  <c r="K162" i="243"/>
  <c r="K165" i="243"/>
  <c r="K179" i="243"/>
  <c r="K171" i="243"/>
  <c r="K176" i="243"/>
  <c r="AV159" i="243"/>
  <c r="AV165" i="243"/>
  <c r="AV171" i="243"/>
  <c r="AV162" i="243"/>
  <c r="AV153" i="243"/>
  <c r="AV176" i="243"/>
  <c r="AV168" i="243"/>
  <c r="AV179" i="243"/>
  <c r="T23" i="4"/>
  <c r="T154" i="243"/>
  <c r="E162" i="243"/>
  <c r="E171" i="243"/>
  <c r="E179" i="243"/>
  <c r="E176" i="243"/>
  <c r="E153" i="243"/>
  <c r="E168" i="243"/>
  <c r="E165" i="243"/>
  <c r="E159" i="243"/>
  <c r="M162" i="243"/>
  <c r="M176" i="243"/>
  <c r="M153" i="243"/>
  <c r="M168" i="243"/>
  <c r="M165" i="243"/>
  <c r="M171" i="243"/>
  <c r="M159" i="243"/>
  <c r="M179" i="243"/>
  <c r="BQ162" i="243"/>
  <c r="BQ165" i="243"/>
  <c r="BQ159" i="243"/>
  <c r="BQ171" i="243"/>
  <c r="BQ179" i="243"/>
  <c r="BQ176" i="243"/>
  <c r="BQ153" i="243"/>
  <c r="BQ168" i="243"/>
  <c r="AA27" i="178"/>
  <c r="Z27" i="178" s="1"/>
  <c r="AA42" i="178"/>
  <c r="Z42" i="178" s="1"/>
  <c r="AA40" i="178"/>
  <c r="Z40" i="178" s="1"/>
  <c r="BQ27" i="178"/>
  <c r="BQ42" i="178"/>
  <c r="BP42" i="178" s="1"/>
  <c r="BQ40" i="178"/>
  <c r="BP40" i="178" s="1"/>
  <c r="AV27" i="178"/>
  <c r="AV40" i="178"/>
  <c r="AV42" i="178"/>
  <c r="AU42" i="178" s="1"/>
  <c r="BB43" i="178" s="1"/>
  <c r="AO42" i="178"/>
  <c r="AN42" i="178" s="1"/>
  <c r="AO40" i="178"/>
  <c r="AN40" i="178" s="1"/>
  <c r="BJ27" i="178"/>
  <c r="BI27" i="178" s="1"/>
  <c r="BJ40" i="178"/>
  <c r="BJ42" i="178"/>
  <c r="AH27" i="178"/>
  <c r="AG27" i="178" s="1"/>
  <c r="AH40" i="178"/>
  <c r="AG40" i="178" s="1"/>
  <c r="AH42" i="178"/>
  <c r="AG42" i="178" s="1"/>
  <c r="T27" i="178"/>
  <c r="T42" i="178"/>
  <c r="T40" i="178"/>
  <c r="H126" i="178"/>
  <c r="M5" i="242"/>
  <c r="I58" i="139"/>
  <c r="F58" i="139"/>
  <c r="AV99" i="4"/>
  <c r="AV20" i="2"/>
  <c r="AV111" i="4"/>
  <c r="AV18" i="2" s="1"/>
  <c r="H43" i="139"/>
  <c r="K41" i="139"/>
  <c r="A145" i="4"/>
  <c r="P17" i="139"/>
  <c r="T150" i="4"/>
  <c r="AV8" i="2"/>
  <c r="AV274" i="243" s="1"/>
  <c r="T8" i="2"/>
  <c r="T274" i="243" s="1"/>
  <c r="O15" i="139"/>
  <c r="BX48" i="4"/>
  <c r="T125" i="4"/>
  <c r="T86" i="2" s="1"/>
  <c r="Q17" i="139"/>
  <c r="O30" i="139"/>
  <c r="L17" i="139"/>
  <c r="C41" i="139"/>
  <c r="M82" i="139"/>
  <c r="H111" i="178"/>
  <c r="AO68" i="178"/>
  <c r="AO27" i="178"/>
  <c r="BE46" i="220"/>
  <c r="BD46" i="220" s="1"/>
  <c r="BE42" i="220"/>
  <c r="BD42" i="220" s="1"/>
  <c r="BE45" i="220"/>
  <c r="BD45" i="220" s="1"/>
  <c r="BE41" i="220"/>
  <c r="BD41" i="220" s="1"/>
  <c r="BE44" i="220"/>
  <c r="BD44" i="220" s="1"/>
  <c r="BE40" i="220"/>
  <c r="BD40" i="220" s="1"/>
  <c r="BE43" i="220"/>
  <c r="BD43" i="220" s="1"/>
  <c r="AQ44" i="220"/>
  <c r="AP44" i="220" s="1"/>
  <c r="AQ40" i="220"/>
  <c r="AP40" i="220" s="1"/>
  <c r="AQ43" i="220"/>
  <c r="AP43" i="220" s="1"/>
  <c r="AQ46" i="220"/>
  <c r="AP46" i="220" s="1"/>
  <c r="AQ42" i="220"/>
  <c r="AP42" i="220" s="1"/>
  <c r="AQ45" i="220"/>
  <c r="AP45" i="220" s="1"/>
  <c r="AQ41" i="220"/>
  <c r="AP41" i="220" s="1"/>
  <c r="AJ45" i="220"/>
  <c r="AI45" i="220" s="1"/>
  <c r="AJ41" i="220"/>
  <c r="AI41" i="220" s="1"/>
  <c r="AJ44" i="220"/>
  <c r="AI44" i="220" s="1"/>
  <c r="AJ40" i="220"/>
  <c r="AI40" i="220" s="1"/>
  <c r="AJ43" i="220"/>
  <c r="AI43" i="220" s="1"/>
  <c r="AJ46" i="220"/>
  <c r="AI46" i="220" s="1"/>
  <c r="AJ42" i="220"/>
  <c r="AI42" i="220" s="1"/>
  <c r="AX43" i="220"/>
  <c r="AW43" i="220" s="1"/>
  <c r="AX46" i="220"/>
  <c r="AW46" i="220" s="1"/>
  <c r="AX42" i="220"/>
  <c r="AW42" i="220" s="1"/>
  <c r="AX45" i="220"/>
  <c r="AW45" i="220" s="1"/>
  <c r="AX41" i="220"/>
  <c r="AW41" i="220" s="1"/>
  <c r="AX44" i="220"/>
  <c r="AW44" i="220" s="1"/>
  <c r="AX40" i="220"/>
  <c r="AW40" i="220" s="1"/>
  <c r="AC46" i="220"/>
  <c r="AB46" i="220" s="1"/>
  <c r="AC42" i="220"/>
  <c r="AB42" i="220" s="1"/>
  <c r="AC45" i="220"/>
  <c r="AB45" i="220" s="1"/>
  <c r="AC41" i="220"/>
  <c r="AB41" i="220" s="1"/>
  <c r="AC44" i="220"/>
  <c r="AB44" i="220" s="1"/>
  <c r="AC40" i="220"/>
  <c r="AB40" i="220" s="1"/>
  <c r="AC43" i="220"/>
  <c r="AB43" i="220" s="1"/>
  <c r="O76" i="220"/>
  <c r="O44" i="220"/>
  <c r="N44" i="220" s="1"/>
  <c r="O40" i="220"/>
  <c r="N40" i="220" s="1"/>
  <c r="O43" i="220"/>
  <c r="N43" i="220" s="1"/>
  <c r="O46" i="220"/>
  <c r="N46" i="220" s="1"/>
  <c r="O42" i="220"/>
  <c r="N42" i="220" s="1"/>
  <c r="O45" i="220"/>
  <c r="N45" i="220" s="1"/>
  <c r="O41" i="220"/>
  <c r="N41" i="220" s="1"/>
  <c r="V29" i="220"/>
  <c r="BE31" i="220"/>
  <c r="AQ31" i="220"/>
  <c r="AJ31" i="220"/>
  <c r="O73" i="220"/>
  <c r="O31" i="220"/>
  <c r="AX73" i="220"/>
  <c r="AX31" i="220"/>
  <c r="AC76" i="220"/>
  <c r="AC31" i="220"/>
  <c r="O29" i="220"/>
  <c r="AC29" i="220"/>
  <c r="BE29" i="220"/>
  <c r="AO25" i="178"/>
  <c r="M34" i="178"/>
  <c r="BC31" i="178"/>
  <c r="AH29" i="178"/>
  <c r="AH96" i="178"/>
  <c r="G111" i="178"/>
  <c r="L100" i="178"/>
  <c r="L114" i="178" s="1"/>
  <c r="G126" i="178"/>
  <c r="T57" i="178"/>
  <c r="AV25" i="178"/>
  <c r="T68" i="178"/>
  <c r="T25" i="178"/>
  <c r="G116" i="178"/>
  <c r="AH152" i="178"/>
  <c r="AV152" i="178" s="1"/>
  <c r="AH68" i="178"/>
  <c r="D117" i="178"/>
  <c r="D125" i="178" s="1"/>
  <c r="H100" i="178"/>
  <c r="H114" i="178" s="1"/>
  <c r="G114" i="178"/>
  <c r="F114" i="178"/>
  <c r="AV68" i="178"/>
  <c r="B126" i="178"/>
  <c r="C5" i="178"/>
  <c r="AP271" i="11"/>
  <c r="G271" i="11"/>
  <c r="H271" i="11" s="1"/>
  <c r="BR98" i="11"/>
  <c r="BK98" i="11"/>
  <c r="BY98" i="11"/>
  <c r="AB271" i="11"/>
  <c r="BR12" i="11"/>
  <c r="BR5" i="11"/>
  <c r="BQ5" i="11" s="1"/>
  <c r="BR9" i="11"/>
  <c r="AI271" i="11"/>
  <c r="N271" i="11"/>
  <c r="N432" i="11" s="1"/>
  <c r="BD12" i="11"/>
  <c r="BD5" i="11"/>
  <c r="BC5" i="11" s="1"/>
  <c r="BD9" i="11"/>
  <c r="CF98" i="11"/>
  <c r="U271" i="11"/>
  <c r="U432" i="11" s="1"/>
  <c r="C176" i="11"/>
  <c r="C491" i="11" s="1"/>
  <c r="L518" i="11"/>
  <c r="D499" i="11"/>
  <c r="BK90" i="11"/>
  <c r="BR90" i="11"/>
  <c r="BY90" i="11"/>
  <c r="CF90" i="11"/>
  <c r="CM119" i="11"/>
  <c r="CM86" i="11"/>
  <c r="H489" i="11"/>
  <c r="H469" i="11"/>
  <c r="C181" i="11"/>
  <c r="C476" i="11" s="1"/>
  <c r="I174" i="11"/>
  <c r="I469" i="11" s="1"/>
  <c r="D476" i="11"/>
  <c r="F270" i="11"/>
  <c r="AP250" i="11"/>
  <c r="L257" i="11"/>
  <c r="BD260" i="11"/>
  <c r="BD257" i="11"/>
  <c r="G257" i="11"/>
  <c r="BD254" i="11"/>
  <c r="I181" i="11"/>
  <c r="I476" i="11" s="1"/>
  <c r="H230" i="11"/>
  <c r="H256" i="11" s="1"/>
  <c r="H471" i="11"/>
  <c r="H225" i="11"/>
  <c r="H249" i="11" s="1"/>
  <c r="I173" i="11"/>
  <c r="J173" i="11" s="1"/>
  <c r="H222" i="11"/>
  <c r="H246" i="11" s="1"/>
  <c r="D471" i="11"/>
  <c r="D225" i="11"/>
  <c r="D249" i="11" s="1"/>
  <c r="C173" i="11"/>
  <c r="D222" i="11"/>
  <c r="D246" i="11" s="1"/>
  <c r="L425" i="11"/>
  <c r="L430" i="11" s="1"/>
  <c r="C175" i="11"/>
  <c r="C490" i="11" s="1"/>
  <c r="D224" i="11"/>
  <c r="D248" i="11" s="1"/>
  <c r="D468" i="11"/>
  <c r="G250" i="11"/>
  <c r="BD250" i="11"/>
  <c r="E257" i="11"/>
  <c r="H470" i="11"/>
  <c r="H224" i="11"/>
  <c r="H248" i="11" s="1"/>
  <c r="D498" i="11"/>
  <c r="D229" i="11"/>
  <c r="D255" i="11" s="1"/>
  <c r="E250" i="11"/>
  <c r="AW548" i="11"/>
  <c r="AW571" i="11" s="1"/>
  <c r="AW593" i="11" s="1"/>
  <c r="AW616" i="11" s="1"/>
  <c r="AW461" i="11" s="1"/>
  <c r="U427" i="11"/>
  <c r="AP423" i="11"/>
  <c r="M427" i="11"/>
  <c r="G423" i="11"/>
  <c r="E423" i="11"/>
  <c r="G425" i="11"/>
  <c r="U425" i="11"/>
  <c r="AW429" i="11"/>
  <c r="N427" i="11"/>
  <c r="F430" i="11"/>
  <c r="F385" i="11" s="1"/>
  <c r="F387" i="11" s="1"/>
  <c r="F400" i="11" s="1"/>
  <c r="G427" i="11"/>
  <c r="AI430" i="11"/>
  <c r="N425" i="11"/>
  <c r="BD428" i="11"/>
  <c r="E427" i="11"/>
  <c r="E425" i="11"/>
  <c r="AP424" i="11"/>
  <c r="AW587" i="11"/>
  <c r="AW565" i="11" s="1"/>
  <c r="AW566" i="11" s="1"/>
  <c r="AW426" i="11"/>
  <c r="AW428" i="11"/>
  <c r="AB425" i="11"/>
  <c r="AB430" i="11" s="1"/>
  <c r="M425" i="11"/>
  <c r="M264" i="11"/>
  <c r="U264" i="11"/>
  <c r="U270" i="11" s="1"/>
  <c r="N264" i="11"/>
  <c r="N270" i="11" s="1"/>
  <c r="E264" i="11"/>
  <c r="G264" i="11"/>
  <c r="BY501" i="11"/>
  <c r="BY261" i="11" s="1"/>
  <c r="BY480" i="11"/>
  <c r="BY504" i="11"/>
  <c r="N465" i="11"/>
  <c r="N77" i="11" s="1"/>
  <c r="AW60" i="11"/>
  <c r="BR480" i="11"/>
  <c r="BR465" i="11" s="1"/>
  <c r="BY502" i="11"/>
  <c r="BY262" i="11" s="1"/>
  <c r="F504" i="11"/>
  <c r="CF143" i="11"/>
  <c r="AP143" i="11"/>
  <c r="AB517" i="11"/>
  <c r="AB143" i="11"/>
  <c r="AI517" i="11"/>
  <c r="AI143" i="11"/>
  <c r="C143" i="11"/>
  <c r="BK143" i="11"/>
  <c r="H143" i="11"/>
  <c r="BR143" i="11"/>
  <c r="BY143" i="11"/>
  <c r="AW143" i="11"/>
  <c r="AW74" i="11" s="1"/>
  <c r="B143" i="11"/>
  <c r="J143" i="11"/>
  <c r="AI59" i="11"/>
  <c r="AP59" i="11"/>
  <c r="N518" i="11"/>
  <c r="U518" i="11"/>
  <c r="BK518" i="11"/>
  <c r="AB518" i="11"/>
  <c r="BY518" i="11"/>
  <c r="AP518" i="11"/>
  <c r="AP60" i="11"/>
  <c r="BK524" i="11"/>
  <c r="BR524" i="11" s="1"/>
  <c r="H488" i="11"/>
  <c r="H468" i="11"/>
  <c r="U452" i="11"/>
  <c r="AB452" i="11"/>
  <c r="AP452" i="11"/>
  <c r="BK452" i="11"/>
  <c r="N452" i="11"/>
  <c r="AI452" i="11"/>
  <c r="CM529" i="11"/>
  <c r="CT529" i="11" s="1"/>
  <c r="AW452" i="11"/>
  <c r="AW402" i="11"/>
  <c r="AW404" i="11"/>
  <c r="AW10" i="11" s="1"/>
  <c r="H491" i="11"/>
  <c r="AW553" i="11"/>
  <c r="AP558" i="11"/>
  <c r="AP530" i="11" s="1"/>
  <c r="AW530" i="11" s="1"/>
  <c r="C501" i="11"/>
  <c r="C261" i="11" s="1"/>
  <c r="D503" i="11"/>
  <c r="D263" i="11" s="1"/>
  <c r="AP409" i="11"/>
  <c r="BD411" i="11" s="1"/>
  <c r="AB441" i="11"/>
  <c r="BD554" i="11"/>
  <c r="U441" i="11"/>
  <c r="H476" i="11"/>
  <c r="D481" i="11"/>
  <c r="AP389" i="11"/>
  <c r="AP393" i="11" s="1"/>
  <c r="C180" i="11"/>
  <c r="D475" i="11"/>
  <c r="BR59" i="11"/>
  <c r="BR77" i="11"/>
  <c r="BR43" i="11"/>
  <c r="BR63" i="11"/>
  <c r="BR452" i="11"/>
  <c r="BK465" i="11"/>
  <c r="AO212" i="4" s="1"/>
  <c r="I176" i="11"/>
  <c r="D490" i="11"/>
  <c r="BR46" i="11"/>
  <c r="BQ85" i="2" s="1"/>
  <c r="AA150" i="4"/>
  <c r="AH109" i="4"/>
  <c r="AH111" i="4" s="1"/>
  <c r="AH18" i="2" s="1"/>
  <c r="E213" i="4"/>
  <c r="AI578" i="11"/>
  <c r="AI601" i="11" s="1"/>
  <c r="AI456" i="11" s="1"/>
  <c r="BD268" i="11"/>
  <c r="AC73" i="220"/>
  <c r="O19" i="139"/>
  <c r="L115" i="178"/>
  <c r="AW554" i="11"/>
  <c r="AW576" i="11" s="1"/>
  <c r="AW599" i="11" s="1"/>
  <c r="AP576" i="11"/>
  <c r="AP599" i="11" s="1"/>
  <c r="B125" i="4"/>
  <c r="I96" i="4"/>
  <c r="I98" i="4" s="1"/>
  <c r="I116" i="243" s="1"/>
  <c r="I109" i="4"/>
  <c r="I111" i="4" s="1"/>
  <c r="I18" i="2" s="1"/>
  <c r="I13" i="2" s="1"/>
  <c r="D14" i="139"/>
  <c r="G96" i="4"/>
  <c r="G98" i="4" s="1"/>
  <c r="G116" i="243" s="1"/>
  <c r="BY409" i="11"/>
  <c r="CM471" i="11"/>
  <c r="P19" i="139"/>
  <c r="A80" i="4"/>
  <c r="H116" i="178"/>
  <c r="AH167" i="4"/>
  <c r="K227" i="4"/>
  <c r="K225" i="4" s="1"/>
  <c r="J109" i="4"/>
  <c r="J111" i="4" s="1"/>
  <c r="J96" i="4"/>
  <c r="J98" i="4" s="1"/>
  <c r="J116" i="243" s="1"/>
  <c r="BJ38" i="2"/>
  <c r="AA125" i="4"/>
  <c r="AA86" i="2" s="1"/>
  <c r="AH149" i="4"/>
  <c r="AH150" i="4" s="1"/>
  <c r="AO147" i="4"/>
  <c r="AH23" i="4"/>
  <c r="F96" i="4"/>
  <c r="F98" i="4" s="1"/>
  <c r="F20" i="2" s="1"/>
  <c r="F5" i="242" s="1"/>
  <c r="B150" i="4"/>
  <c r="AH25" i="178"/>
  <c r="AH57" i="178"/>
  <c r="BC111" i="4"/>
  <c r="AA32" i="4"/>
  <c r="AV167" i="4"/>
  <c r="J124" i="178"/>
  <c r="K124" i="178" s="1"/>
  <c r="L124" i="178" s="1"/>
  <c r="L116" i="178" s="1"/>
  <c r="G112" i="4"/>
  <c r="K96" i="4"/>
  <c r="K98" i="4" s="1"/>
  <c r="K116" i="243" s="1"/>
  <c r="BY402" i="11"/>
  <c r="BY401" i="11" s="1"/>
  <c r="AA23" i="4"/>
  <c r="AA8" i="2"/>
  <c r="C12" i="178"/>
  <c r="D5" i="178"/>
  <c r="C104" i="178"/>
  <c r="C18" i="178"/>
  <c r="AA20" i="2"/>
  <c r="AA99" i="4"/>
  <c r="L19" i="139"/>
  <c r="L41" i="139" s="1"/>
  <c r="BC25" i="178"/>
  <c r="BK498" i="11"/>
  <c r="BR498" i="11" s="1"/>
  <c r="M99" i="4"/>
  <c r="AV57" i="178"/>
  <c r="L99" i="4"/>
  <c r="AH136" i="178"/>
  <c r="AV136" i="178" s="1"/>
  <c r="AJ73" i="220"/>
  <c r="AJ29" i="220"/>
  <c r="AJ76" i="220"/>
  <c r="AH93" i="4"/>
  <c r="AH94" i="4" s="1"/>
  <c r="AH96" i="4" s="1"/>
  <c r="AH98" i="4" s="1"/>
  <c r="AH20" i="2" s="1"/>
  <c r="L15" i="139" s="1"/>
  <c r="L57" i="139" s="1"/>
  <c r="AO81" i="4"/>
  <c r="AH82" i="4"/>
  <c r="AH84" i="4" s="1"/>
  <c r="AH24" i="2" s="1"/>
  <c r="AX76" i="220"/>
  <c r="AP555" i="11"/>
  <c r="AP556" i="11" s="1"/>
  <c r="AP527" i="11" s="1"/>
  <c r="AI556" i="11"/>
  <c r="AI527" i="11" s="1"/>
  <c r="AV15" i="2"/>
  <c r="CM518" i="11"/>
  <c r="BD63" i="11"/>
  <c r="G40" i="139"/>
  <c r="H490" i="11"/>
  <c r="BR518" i="11"/>
  <c r="AA30" i="178"/>
  <c r="BD402" i="11"/>
  <c r="BD401" i="11" s="1"/>
  <c r="BX13" i="4"/>
  <c r="BX125" i="4" s="1"/>
  <c r="BQ54" i="2"/>
  <c r="AI389" i="11"/>
  <c r="AI393" i="11" s="1"/>
  <c r="BR409" i="11"/>
  <c r="BY411" i="11" s="1"/>
  <c r="C212" i="4"/>
  <c r="AP402" i="11"/>
  <c r="CE125" i="4"/>
  <c r="BX86" i="2" s="1"/>
  <c r="CE23" i="4"/>
  <c r="B60" i="4"/>
  <c r="B31" i="4" s="1"/>
  <c r="B32" i="4" s="1"/>
  <c r="B109" i="4"/>
  <c r="B111" i="4" s="1"/>
  <c r="AH135" i="178"/>
  <c r="AV135" i="178" s="1"/>
  <c r="BD409" i="11"/>
  <c r="BK411" i="11" s="1"/>
  <c r="BR404" i="11"/>
  <c r="BR10" i="11" s="1"/>
  <c r="AP404" i="11"/>
  <c r="AP10" i="11" s="1"/>
  <c r="AP391" i="11" s="1"/>
  <c r="BD404" i="11"/>
  <c r="BD10" i="11" s="1"/>
  <c r="H499" i="11"/>
  <c r="BD493" i="11"/>
  <c r="BK493" i="11" s="1"/>
  <c r="BR402" i="11"/>
  <c r="CF470" i="11"/>
  <c r="BC109" i="4"/>
  <c r="BD46" i="11"/>
  <c r="BC85" i="2" s="1"/>
  <c r="BD452" i="11"/>
  <c r="BD43" i="11"/>
  <c r="AO161" i="178"/>
  <c r="AV161" i="178" s="1"/>
  <c r="AV131" i="178"/>
  <c r="BD59" i="11"/>
  <c r="AO142" i="178"/>
  <c r="AO151" i="178" s="1"/>
  <c r="AV143" i="178"/>
  <c r="AW77" i="11"/>
  <c r="M77" i="11"/>
  <c r="AV213" i="4"/>
  <c r="L213" i="4"/>
  <c r="D470" i="11"/>
  <c r="AP593" i="11"/>
  <c r="AP616" i="11" s="1"/>
  <c r="AP461" i="11" s="1"/>
  <c r="AW424" i="11"/>
  <c r="H479" i="11"/>
  <c r="I184" i="11"/>
  <c r="AW555" i="11"/>
  <c r="AW577" i="11" s="1"/>
  <c r="BD526" i="11"/>
  <c r="CF508" i="11"/>
  <c r="CM508" i="11" s="1"/>
  <c r="AB268" i="11"/>
  <c r="AB270" i="11" s="1"/>
  <c r="T212" i="4"/>
  <c r="AI268" i="11"/>
  <c r="AI270" i="11" s="1"/>
  <c r="AI590" i="11"/>
  <c r="CT475" i="11"/>
  <c r="BD60" i="11"/>
  <c r="BD465" i="11"/>
  <c r="AI404" i="11"/>
  <c r="AI10" i="11" s="1"/>
  <c r="AI391" i="11" s="1"/>
  <c r="AW518" i="11"/>
  <c r="AW517" i="11"/>
  <c r="AI77" i="11"/>
  <c r="BK490" i="11"/>
  <c r="AB391" i="11"/>
  <c r="AB390" i="11" s="1"/>
  <c r="AB394" i="11" s="1"/>
  <c r="AB395" i="11" s="1"/>
  <c r="BD119" i="11"/>
  <c r="I175" i="11"/>
  <c r="BY404" i="11"/>
  <c r="BY10" i="11" s="1"/>
  <c r="CM485" i="11"/>
  <c r="AH214" i="4"/>
  <c r="AP268" i="11"/>
  <c r="BR509" i="11"/>
  <c r="H187" i="11"/>
  <c r="I187" i="11" s="1"/>
  <c r="BD389" i="11"/>
  <c r="BD393" i="11" s="1"/>
  <c r="K213" i="4"/>
  <c r="L77" i="11"/>
  <c r="I212" i="4"/>
  <c r="BR586" i="11"/>
  <c r="AB405" i="11"/>
  <c r="AB401" i="11"/>
  <c r="BR510" i="11"/>
  <c r="CM469" i="11"/>
  <c r="BK491" i="11"/>
  <c r="J186" i="11"/>
  <c r="I503" i="11"/>
  <c r="I263" i="11" s="1"/>
  <c r="I481" i="11"/>
  <c r="BC34" i="178"/>
  <c r="BB34" i="178" s="1"/>
  <c r="E96" i="4"/>
  <c r="E98" i="4" s="1"/>
  <c r="E20" i="2" s="1"/>
  <c r="E5" i="242" s="1"/>
  <c r="E21" i="242" s="1"/>
  <c r="E42" i="242" s="1"/>
  <c r="E109" i="4"/>
  <c r="E111" i="4" s="1"/>
  <c r="R40" i="139"/>
  <c r="K8" i="2"/>
  <c r="K274" i="243" s="1"/>
  <c r="K125" i="4"/>
  <c r="K150" i="4"/>
  <c r="L23" i="4"/>
  <c r="K32" i="4"/>
  <c r="D12" i="139"/>
  <c r="AA161" i="4"/>
  <c r="AA167" i="4" s="1"/>
  <c r="AA109" i="4"/>
  <c r="AA111" i="4" s="1"/>
  <c r="D60" i="4"/>
  <c r="D31" i="4" s="1"/>
  <c r="D32" i="4" s="1"/>
  <c r="D109" i="4"/>
  <c r="D111" i="4" s="1"/>
  <c r="BJ8" i="2"/>
  <c r="BJ274" i="243" s="1"/>
  <c r="BJ125" i="4"/>
  <c r="BJ86" i="2" s="1"/>
  <c r="BJ32" i="4"/>
  <c r="H109" i="4"/>
  <c r="H111" i="4" s="1"/>
  <c r="H96" i="4"/>
  <c r="H98" i="4" s="1"/>
  <c r="H116" i="243" s="1"/>
  <c r="T20" i="2"/>
  <c r="T99" i="4"/>
  <c r="R41" i="139"/>
  <c r="AA213" i="4"/>
  <c r="AB77" i="11"/>
  <c r="M212" i="4"/>
  <c r="BQ57" i="178"/>
  <c r="BD489" i="11"/>
  <c r="AP77" i="11"/>
  <c r="AA212" i="4"/>
  <c r="AO213" i="4"/>
  <c r="BD488" i="11"/>
  <c r="AP605" i="11"/>
  <c r="AP457" i="11" s="1"/>
  <c r="BK512" i="11"/>
  <c r="BD429" i="11"/>
  <c r="M19" i="139"/>
  <c r="CF476" i="11"/>
  <c r="BK494" i="11"/>
  <c r="AP575" i="11"/>
  <c r="BC32" i="4"/>
  <c r="BC87" i="2" s="1"/>
  <c r="BY482" i="11"/>
  <c r="U77" i="11"/>
  <c r="L212" i="4"/>
  <c r="T213" i="4"/>
  <c r="G465" i="11"/>
  <c r="F213" i="4" s="1"/>
  <c r="BE76" i="220"/>
  <c r="BL29" i="220"/>
  <c r="T30" i="178"/>
  <c r="M73" i="178"/>
  <c r="BK586" i="11"/>
  <c r="BK495" i="11"/>
  <c r="AW268" i="11"/>
  <c r="J125" i="4"/>
  <c r="J8" i="2"/>
  <c r="J274" i="243" s="1"/>
  <c r="K23" i="4"/>
  <c r="J150" i="4"/>
  <c r="J32" i="4"/>
  <c r="J23" i="4"/>
  <c r="BK401" i="11"/>
  <c r="BK405" i="11"/>
  <c r="C14" i="139"/>
  <c r="K100" i="178"/>
  <c r="D489" i="11"/>
  <c r="C174" i="11"/>
  <c r="C223" i="11" s="1"/>
  <c r="C247" i="11" s="1"/>
  <c r="D469" i="11"/>
  <c r="BK554" i="11"/>
  <c r="BR525" i="11"/>
  <c r="BQ68" i="178"/>
  <c r="BX25" i="178"/>
  <c r="BD499" i="11"/>
  <c r="BR411" i="11"/>
  <c r="M31" i="178"/>
  <c r="E465" i="11"/>
  <c r="D213" i="4" s="1"/>
  <c r="BD426" i="11"/>
  <c r="BK506" i="11"/>
  <c r="AI401" i="11"/>
  <c r="AO32" i="4"/>
  <c r="CF518" i="11"/>
  <c r="BS5" i="220"/>
  <c r="CL45" i="4"/>
  <c r="CM505" i="11"/>
  <c r="J103" i="178"/>
  <c r="K110" i="178" s="1"/>
  <c r="C58" i="139"/>
  <c r="L52" i="139"/>
  <c r="BJ68" i="178"/>
  <c r="BJ57" i="178"/>
  <c r="BJ25" i="178"/>
  <c r="BQ25" i="178"/>
  <c r="AQ76" i="220"/>
  <c r="AQ73" i="220"/>
  <c r="AQ29" i="220"/>
  <c r="AX29" i="220"/>
  <c r="AA57" i="178"/>
  <c r="AA68" i="178"/>
  <c r="AA25" i="178"/>
  <c r="J109" i="178"/>
  <c r="J114" i="178"/>
  <c r="K115" i="178"/>
  <c r="L108" i="178"/>
  <c r="K108" i="178"/>
  <c r="BE73" i="220"/>
  <c r="K109" i="178"/>
  <c r="L109" i="178"/>
  <c r="BL25" i="220"/>
  <c r="H41" i="139"/>
  <c r="L110" i="178"/>
  <c r="BX87" i="2"/>
  <c r="CF517" i="11"/>
  <c r="N19" i="139"/>
  <c r="D40" i="139"/>
  <c r="D41" i="139"/>
  <c r="O46" i="139"/>
  <c r="F41" i="139"/>
  <c r="BQ38" i="2"/>
  <c r="Q19" i="139"/>
  <c r="I40" i="139"/>
  <c r="H58" i="139"/>
  <c r="BQ161" i="4"/>
  <c r="BQ109" i="4"/>
  <c r="BC8" i="2"/>
  <c r="BC274" i="243" s="1"/>
  <c r="BC150" i="4"/>
  <c r="BC99" i="4"/>
  <c r="BC125" i="4"/>
  <c r="BC86" i="2" s="1"/>
  <c r="BJ23" i="4"/>
  <c r="BC23" i="4"/>
  <c r="BC46" i="4"/>
  <c r="BC48" i="4" s="1"/>
  <c r="AO159" i="178"/>
  <c r="AV159" i="178" s="1"/>
  <c r="AO150" i="178"/>
  <c r="AV157" i="178"/>
  <c r="AO148" i="178"/>
  <c r="AV148" i="178" s="1"/>
  <c r="AV139" i="178"/>
  <c r="AO140" i="178"/>
  <c r="BJ98" i="2"/>
  <c r="F52" i="139"/>
  <c r="F43" i="139"/>
  <c r="AV133" i="178"/>
  <c r="H480" i="11"/>
  <c r="I185" i="11"/>
  <c r="H502" i="11"/>
  <c r="H262" i="11" s="1"/>
  <c r="AI585" i="11"/>
  <c r="AI561" i="11"/>
  <c r="K58" i="139"/>
  <c r="S5" i="139"/>
  <c r="BD129" i="11"/>
  <c r="BY77" i="11"/>
  <c r="BY46" i="11"/>
  <c r="BX85" i="2" s="1"/>
  <c r="BY12" i="11"/>
  <c r="I180" i="11"/>
  <c r="I229" i="11" s="1"/>
  <c r="I255" i="11" s="1"/>
  <c r="H475" i="11"/>
  <c r="H498" i="11"/>
  <c r="E58" i="139"/>
  <c r="BY478" i="11"/>
  <c r="BY452" i="11"/>
  <c r="AH150" i="178"/>
  <c r="AH140" i="178"/>
  <c r="AV141" i="178"/>
  <c r="AH142" i="178"/>
  <c r="AH160" i="178" s="1"/>
  <c r="BY473" i="11"/>
  <c r="E115" i="178"/>
  <c r="E117" i="178" s="1"/>
  <c r="F101" i="178"/>
  <c r="E103" i="178"/>
  <c r="E110" i="178" s="1"/>
  <c r="E41" i="139"/>
  <c r="O82" i="139"/>
  <c r="CE95" i="2"/>
  <c r="CE105" i="2"/>
  <c r="K512" i="11"/>
  <c r="K429" i="11" s="1"/>
  <c r="J512" i="11"/>
  <c r="J429" i="11" s="1"/>
  <c r="D502" i="11"/>
  <c r="D262" i="11" s="1"/>
  <c r="D187" i="11"/>
  <c r="D504" i="11" s="1"/>
  <c r="C185" i="11"/>
  <c r="D480" i="11"/>
  <c r="BY483" i="11"/>
  <c r="AI562" i="11"/>
  <c r="AI536" i="11" s="1"/>
  <c r="AP536" i="11" s="1"/>
  <c r="BY43" i="11"/>
  <c r="C481" i="11"/>
  <c r="C503" i="11"/>
  <c r="C263" i="11" s="1"/>
  <c r="BJ18" i="2"/>
  <c r="J40" i="139" l="1"/>
  <c r="CV50" i="178"/>
  <c r="CW53" i="178"/>
  <c r="CT50" i="178"/>
  <c r="CU53" i="178"/>
  <c r="AV125" i="4"/>
  <c r="AV86" i="2" s="1"/>
  <c r="AN165" i="243"/>
  <c r="J41" i="139"/>
  <c r="AN159" i="243"/>
  <c r="AN162" i="243"/>
  <c r="AN153" i="243"/>
  <c r="AN179" i="243"/>
  <c r="AL13" i="2"/>
  <c r="AL156" i="243" s="1"/>
  <c r="AN168" i="243"/>
  <c r="AL162" i="243"/>
  <c r="AL159" i="243"/>
  <c r="BJ13" i="2"/>
  <c r="BJ156" i="243" s="1"/>
  <c r="AN171" i="243"/>
  <c r="BU46" i="4"/>
  <c r="BU48" i="4" s="1"/>
  <c r="BN54" i="2" s="1"/>
  <c r="Z13" i="2"/>
  <c r="Z156" i="243" s="1"/>
  <c r="X13" i="2"/>
  <c r="X156" i="243" s="1"/>
  <c r="AL165" i="243"/>
  <c r="AL153" i="243"/>
  <c r="BI112" i="4"/>
  <c r="AL168" i="243"/>
  <c r="AL179" i="243"/>
  <c r="AL176" i="243"/>
  <c r="AN13" i="2"/>
  <c r="AN156" i="243" s="1"/>
  <c r="CI73" i="178"/>
  <c r="CI30" i="178"/>
  <c r="Q29" i="178"/>
  <c r="Q73" i="178" s="1"/>
  <c r="S73" i="178"/>
  <c r="AS30" i="178"/>
  <c r="AL73" i="178"/>
  <c r="Z30" i="178"/>
  <c r="Z73" i="178"/>
  <c r="X29" i="178"/>
  <c r="AH73" i="178"/>
  <c r="AG29" i="178"/>
  <c r="T43" i="178"/>
  <c r="S42" i="178"/>
  <c r="Z43" i="178" s="1"/>
  <c r="AG37" i="178"/>
  <c r="AG28" i="178"/>
  <c r="AE27" i="178"/>
  <c r="AL40" i="178"/>
  <c r="AN45" i="178"/>
  <c r="AN41" i="178"/>
  <c r="BC28" i="178"/>
  <c r="AU27" i="178"/>
  <c r="X40" i="178"/>
  <c r="Z45" i="178"/>
  <c r="BB18" i="2"/>
  <c r="BB13" i="2" s="1"/>
  <c r="BB112" i="4"/>
  <c r="CB17" i="4"/>
  <c r="BU17" i="4"/>
  <c r="CB18" i="4"/>
  <c r="BU18" i="4"/>
  <c r="AZ34" i="178"/>
  <c r="BB38" i="178"/>
  <c r="AO34" i="178"/>
  <c r="AN34" i="178" s="1"/>
  <c r="AN27" i="178"/>
  <c r="T28" i="178"/>
  <c r="S27" i="178"/>
  <c r="Z28" i="178" s="1"/>
  <c r="BJ43" i="178"/>
  <c r="BI42" i="178"/>
  <c r="BP43" i="178" s="1"/>
  <c r="AL42" i="178"/>
  <c r="AN43" i="178"/>
  <c r="AN46" i="178"/>
  <c r="BN40" i="178"/>
  <c r="BP45" i="178"/>
  <c r="BW41" i="178"/>
  <c r="X42" i="178"/>
  <c r="Z46" i="178"/>
  <c r="BP154" i="243"/>
  <c r="BP176" i="243" s="1"/>
  <c r="BW23" i="4"/>
  <c r="K13" i="2"/>
  <c r="K156" i="243" s="1"/>
  <c r="AZ37" i="178"/>
  <c r="AZ31" i="178"/>
  <c r="AE42" i="178"/>
  <c r="AG46" i="178"/>
  <c r="AG43" i="178"/>
  <c r="BJ41" i="178"/>
  <c r="BI40" i="178"/>
  <c r="AS42" i="178"/>
  <c r="AZ43" i="178" s="1"/>
  <c r="AU46" i="178"/>
  <c r="AU43" i="178"/>
  <c r="BN42" i="178"/>
  <c r="BP46" i="178"/>
  <c r="BW43" i="178"/>
  <c r="Z37" i="178"/>
  <c r="Z31" i="178"/>
  <c r="X27" i="178"/>
  <c r="AZ46" i="178"/>
  <c r="T41" i="178"/>
  <c r="S40" i="178"/>
  <c r="AG45" i="178"/>
  <c r="AE40" i="178"/>
  <c r="AG41" i="178"/>
  <c r="BI31" i="178"/>
  <c r="BI32" i="178" s="1"/>
  <c r="BI28" i="178"/>
  <c r="BI37" i="178"/>
  <c r="BG27" i="178"/>
  <c r="BC41" i="178"/>
  <c r="AU40" i="178"/>
  <c r="BQ34" i="178"/>
  <c r="BP34" i="178" s="1"/>
  <c r="BP27" i="178"/>
  <c r="AZ18" i="2"/>
  <c r="AZ13" i="2" s="1"/>
  <c r="AZ112" i="4"/>
  <c r="F13" i="2"/>
  <c r="F156" i="243" s="1"/>
  <c r="AZ45" i="178"/>
  <c r="BO12" i="11"/>
  <c r="BO43" i="11"/>
  <c r="BV12" i="11"/>
  <c r="BO46" i="11"/>
  <c r="BO59" i="11"/>
  <c r="BC18" i="2"/>
  <c r="BC13" i="2" s="1"/>
  <c r="BC156" i="243" s="1"/>
  <c r="AV13" i="2"/>
  <c r="AV156" i="243" s="1"/>
  <c r="I14" i="139"/>
  <c r="L13" i="2"/>
  <c r="M13" i="139"/>
  <c r="AH13" i="2"/>
  <c r="AH156" i="243" s="1"/>
  <c r="K13" i="139"/>
  <c r="T13" i="2"/>
  <c r="T156" i="243" s="1"/>
  <c r="N54" i="220"/>
  <c r="L46" i="220"/>
  <c r="L54" i="220" s="1"/>
  <c r="AB49" i="220"/>
  <c r="Z41" i="220"/>
  <c r="Z49" i="220" s="1"/>
  <c r="AW48" i="220"/>
  <c r="AU40" i="220"/>
  <c r="AU48" i="220" s="1"/>
  <c r="AW50" i="220"/>
  <c r="AU42" i="220"/>
  <c r="AU50" i="220" s="1"/>
  <c r="AI54" i="220"/>
  <c r="AG46" i="220"/>
  <c r="AG54" i="220" s="1"/>
  <c r="AI49" i="220"/>
  <c r="AG41" i="220"/>
  <c r="AG49" i="220" s="1"/>
  <c r="AP50" i="220"/>
  <c r="AN42" i="220"/>
  <c r="AN50" i="220" s="1"/>
  <c r="AN44" i="220"/>
  <c r="AN52" i="220" s="1"/>
  <c r="AP52" i="220"/>
  <c r="BD49" i="220"/>
  <c r="BB41" i="220"/>
  <c r="BB49" i="220" s="1"/>
  <c r="U37" i="220"/>
  <c r="U38" i="220" s="1"/>
  <c r="S31" i="220"/>
  <c r="AX34" i="220"/>
  <c r="AW31" i="220"/>
  <c r="AJ34" i="220"/>
  <c r="AI31" i="220"/>
  <c r="N49" i="220"/>
  <c r="L41" i="220"/>
  <c r="L49" i="220" s="1"/>
  <c r="N51" i="220"/>
  <c r="L43" i="220"/>
  <c r="L51" i="220" s="1"/>
  <c r="AB51" i="220"/>
  <c r="Z43" i="220"/>
  <c r="Z51" i="220" s="1"/>
  <c r="AB53" i="220"/>
  <c r="Z45" i="220"/>
  <c r="Z53" i="220" s="1"/>
  <c r="AW52" i="220"/>
  <c r="AU44" i="220"/>
  <c r="AU52" i="220" s="1"/>
  <c r="AW54" i="220"/>
  <c r="AU46" i="220"/>
  <c r="AU54" i="220" s="1"/>
  <c r="AI51" i="220"/>
  <c r="AG43" i="220"/>
  <c r="AG51" i="220" s="1"/>
  <c r="AI53" i="220"/>
  <c r="AG45" i="220"/>
  <c r="AG53" i="220" s="1"/>
  <c r="AP54" i="220"/>
  <c r="AN46" i="220"/>
  <c r="AN54" i="220" s="1"/>
  <c r="BD51" i="220"/>
  <c r="BB43" i="220"/>
  <c r="BB51" i="220" s="1"/>
  <c r="BD53" i="220"/>
  <c r="BB45" i="220"/>
  <c r="BB53" i="220" s="1"/>
  <c r="V61" i="220"/>
  <c r="V58" i="220" s="1"/>
  <c r="V59" i="220" s="1"/>
  <c r="U34" i="220"/>
  <c r="AQ34" i="220"/>
  <c r="AP31" i="220"/>
  <c r="N53" i="220"/>
  <c r="L45" i="220"/>
  <c r="L53" i="220" s="1"/>
  <c r="N48" i="220"/>
  <c r="L40" i="220"/>
  <c r="L48" i="220" s="1"/>
  <c r="AB48" i="220"/>
  <c r="Z40" i="220"/>
  <c r="Z48" i="220" s="1"/>
  <c r="AB50" i="220"/>
  <c r="Z42" i="220"/>
  <c r="Z50" i="220" s="1"/>
  <c r="AW49" i="220"/>
  <c r="AU41" i="220"/>
  <c r="AU49" i="220" s="1"/>
  <c r="AW51" i="220"/>
  <c r="AU43" i="220"/>
  <c r="AU51" i="220" s="1"/>
  <c r="AI48" i="220"/>
  <c r="AG40" i="220"/>
  <c r="AG48" i="220" s="1"/>
  <c r="AP49" i="220"/>
  <c r="AN41" i="220"/>
  <c r="AN49" i="220" s="1"/>
  <c r="AP51" i="220"/>
  <c r="AN43" i="220"/>
  <c r="AN51" i="220" s="1"/>
  <c r="BD48" i="220"/>
  <c r="BB40" i="220"/>
  <c r="BB48" i="220" s="1"/>
  <c r="BD50" i="220"/>
  <c r="BB42" i="220"/>
  <c r="BB50" i="220" s="1"/>
  <c r="AC34" i="220"/>
  <c r="AB34" i="220" s="1"/>
  <c r="AB31" i="220"/>
  <c r="O32" i="220"/>
  <c r="N31" i="220"/>
  <c r="U32" i="220" s="1"/>
  <c r="BE34" i="220"/>
  <c r="BL35" i="220" s="1"/>
  <c r="BD31" i="220"/>
  <c r="N50" i="220"/>
  <c r="L42" i="220"/>
  <c r="L50" i="220" s="1"/>
  <c r="N52" i="220"/>
  <c r="L44" i="220"/>
  <c r="L52" i="220" s="1"/>
  <c r="AB52" i="220"/>
  <c r="Z44" i="220"/>
  <c r="Z52" i="220" s="1"/>
  <c r="AB54" i="220"/>
  <c r="Z46" i="220"/>
  <c r="Z54" i="220" s="1"/>
  <c r="AW53" i="220"/>
  <c r="AU45" i="220"/>
  <c r="AU53" i="220" s="1"/>
  <c r="AI50" i="220"/>
  <c r="AG42" i="220"/>
  <c r="AG50" i="220" s="1"/>
  <c r="AI52" i="220"/>
  <c r="AG44" i="220"/>
  <c r="AG52" i="220" s="1"/>
  <c r="AP53" i="220"/>
  <c r="AN45" i="220"/>
  <c r="AN53" i="220" s="1"/>
  <c r="AP48" i="220"/>
  <c r="AN40" i="220"/>
  <c r="AN48" i="220" s="1"/>
  <c r="BD52" i="220"/>
  <c r="BB44" i="220"/>
  <c r="BB52" i="220" s="1"/>
  <c r="BD54" i="220"/>
  <c r="BB46" i="220"/>
  <c r="BB54" i="220" s="1"/>
  <c r="AI74" i="11"/>
  <c r="AH143" i="11"/>
  <c r="AO143" i="11"/>
  <c r="AP74" i="11"/>
  <c r="BD307" i="11"/>
  <c r="BC9" i="11"/>
  <c r="BV97" i="11"/>
  <c r="BX97" i="11" s="1"/>
  <c r="BX89" i="11"/>
  <c r="BO129" i="11"/>
  <c r="BO143" i="11" s="1"/>
  <c r="BO74" i="11" s="1"/>
  <c r="BO88" i="11"/>
  <c r="CC95" i="11"/>
  <c r="CE87" i="11"/>
  <c r="CE90" i="11" s="1"/>
  <c r="CC90" i="11"/>
  <c r="T74" i="11"/>
  <c r="R143" i="11"/>
  <c r="R74" i="11" s="1"/>
  <c r="BC14" i="11"/>
  <c r="BA5" i="11"/>
  <c r="BA14" i="11" s="1"/>
  <c r="AO15" i="11"/>
  <c r="AM9" i="11"/>
  <c r="AM15" i="11" s="1"/>
  <c r="AM16" i="11" s="1"/>
  <c r="AA15" i="11"/>
  <c r="AA16" i="11" s="1"/>
  <c r="Y9" i="11"/>
  <c r="Y15" i="11" s="1"/>
  <c r="Y16" i="11" s="1"/>
  <c r="AT9" i="11"/>
  <c r="AT15" i="11" s="1"/>
  <c r="AT16" i="11" s="1"/>
  <c r="AV15" i="11"/>
  <c r="AV16" i="11" s="1"/>
  <c r="CL93" i="11"/>
  <c r="AA143" i="11"/>
  <c r="AB74" i="11"/>
  <c r="BR307" i="11"/>
  <c r="BR27" i="11" s="1"/>
  <c r="BQ9" i="11"/>
  <c r="BV93" i="11"/>
  <c r="BX85" i="11"/>
  <c r="CJ129" i="11"/>
  <c r="CJ143" i="11" s="1"/>
  <c r="CJ74" i="11" s="1"/>
  <c r="CJ87" i="11"/>
  <c r="BQ93" i="11"/>
  <c r="AO16" i="11"/>
  <c r="BQ14" i="11"/>
  <c r="BO5" i="11"/>
  <c r="BO14" i="11" s="1"/>
  <c r="BV129" i="11"/>
  <c r="BV143" i="11" s="1"/>
  <c r="BV74" i="11" s="1"/>
  <c r="BV87" i="11"/>
  <c r="BV90" i="11" s="1"/>
  <c r="AH15" i="11"/>
  <c r="AH16" i="11" s="1"/>
  <c r="AF9" i="11"/>
  <c r="AF15" i="11" s="1"/>
  <c r="AF16" i="11" s="1"/>
  <c r="T15" i="11"/>
  <c r="T16" i="11" s="1"/>
  <c r="R9" i="11"/>
  <c r="R15" i="11" s="1"/>
  <c r="R16" i="11" s="1"/>
  <c r="BJ15" i="11"/>
  <c r="BJ16" i="11" s="1"/>
  <c r="BH9" i="11"/>
  <c r="BH15" i="11" s="1"/>
  <c r="BH16" i="11" s="1"/>
  <c r="CI203" i="4"/>
  <c r="CI206" i="4" s="1"/>
  <c r="CI208" i="4" s="1"/>
  <c r="CK206" i="4"/>
  <c r="CK208" i="4" s="1"/>
  <c r="BN203" i="4"/>
  <c r="BN206" i="4" s="1"/>
  <c r="BN208" i="4" s="1"/>
  <c r="BP206" i="4"/>
  <c r="BP208" i="4" s="1"/>
  <c r="CB203" i="4"/>
  <c r="CD206" i="4"/>
  <c r="CD208" i="4" s="1"/>
  <c r="CP203" i="4"/>
  <c r="CP206" i="4" s="1"/>
  <c r="CP208" i="4" s="1"/>
  <c r="CR206" i="4"/>
  <c r="CR208" i="4" s="1"/>
  <c r="BG112" i="4"/>
  <c r="AU18" i="2"/>
  <c r="AU112" i="4"/>
  <c r="AS18" i="2"/>
  <c r="AS112" i="4"/>
  <c r="AE153" i="243"/>
  <c r="AE171" i="243"/>
  <c r="AE159" i="243"/>
  <c r="AE162" i="243"/>
  <c r="AE176" i="243"/>
  <c r="AE165" i="243"/>
  <c r="AE168" i="243"/>
  <c r="AE179" i="243"/>
  <c r="Z10" i="2"/>
  <c r="Z11" i="2" s="1"/>
  <c r="Z274" i="243"/>
  <c r="AN10" i="2"/>
  <c r="AN11" i="2" s="1"/>
  <c r="AN274" i="243"/>
  <c r="X10" i="2"/>
  <c r="X11" i="2" s="1"/>
  <c r="X274" i="243"/>
  <c r="AL10" i="2"/>
  <c r="AL11" i="2" s="1"/>
  <c r="AL274" i="243"/>
  <c r="AG153" i="243"/>
  <c r="AG171" i="243"/>
  <c r="AG162" i="243"/>
  <c r="AG165" i="243"/>
  <c r="AG159" i="243"/>
  <c r="AG176" i="243"/>
  <c r="AG168" i="243"/>
  <c r="AG179" i="243"/>
  <c r="AS62" i="2"/>
  <c r="AS61" i="2"/>
  <c r="Q42" i="2"/>
  <c r="Q46" i="2" s="1"/>
  <c r="Q3" i="242" s="1"/>
  <c r="Q41" i="2"/>
  <c r="AU66" i="2"/>
  <c r="AU65" i="2"/>
  <c r="AL61" i="2"/>
  <c r="AL62" i="2"/>
  <c r="Z41" i="2"/>
  <c r="Z42" i="2"/>
  <c r="Z46" i="2" s="1"/>
  <c r="Z3" i="242" s="1"/>
  <c r="J15" i="139"/>
  <c r="J29" i="139" s="1"/>
  <c r="T9" i="2"/>
  <c r="S9" i="2" s="1"/>
  <c r="BB57" i="2"/>
  <c r="BB59" i="2"/>
  <c r="BG65" i="2"/>
  <c r="BG66" i="2"/>
  <c r="AU61" i="2"/>
  <c r="AU62" i="2"/>
  <c r="AL66" i="2"/>
  <c r="AL65" i="2"/>
  <c r="X41" i="2"/>
  <c r="X42" i="2"/>
  <c r="X46" i="2" s="1"/>
  <c r="X3" i="242" s="1"/>
  <c r="AH268" i="243"/>
  <c r="AG24" i="2"/>
  <c r="AZ57" i="2"/>
  <c r="AZ59" i="2"/>
  <c r="BG61" i="2"/>
  <c r="BG62" i="2"/>
  <c r="BI66" i="2"/>
  <c r="BI65" i="2"/>
  <c r="AS123" i="4"/>
  <c r="AS124" i="4" s="1"/>
  <c r="AS132" i="4" s="1"/>
  <c r="AU124" i="4"/>
  <c r="AU132" i="4" s="1"/>
  <c r="AN65" i="2"/>
  <c r="AN66" i="2"/>
  <c r="AS65" i="2"/>
  <c r="AS66" i="2"/>
  <c r="S42" i="2"/>
  <c r="S46" i="2" s="1"/>
  <c r="S3" i="242" s="1"/>
  <c r="S41" i="2"/>
  <c r="BI62" i="2"/>
  <c r="BI61" i="2"/>
  <c r="AN61" i="2"/>
  <c r="AN62" i="2"/>
  <c r="AG112" i="4"/>
  <c r="AG18" i="2"/>
  <c r="AE112" i="4"/>
  <c r="AE18" i="2"/>
  <c r="AG8" i="2"/>
  <c r="AG125" i="4"/>
  <c r="AL23" i="4"/>
  <c r="AE8" i="2"/>
  <c r="AE125" i="4"/>
  <c r="BN27" i="2"/>
  <c r="BN38" i="2" s="1"/>
  <c r="CD23" i="4"/>
  <c r="BW125" i="4"/>
  <c r="BP27" i="2"/>
  <c r="BP38" i="2" s="1"/>
  <c r="BU11" i="4"/>
  <c r="BU13" i="4" s="1"/>
  <c r="Z112" i="4"/>
  <c r="AL112" i="4"/>
  <c r="BU29" i="4"/>
  <c r="BU31" i="4" s="1"/>
  <c r="AG23" i="4"/>
  <c r="AG32" i="4"/>
  <c r="AG99" i="4"/>
  <c r="AE23" i="4"/>
  <c r="AE32" i="4"/>
  <c r="BW32" i="4"/>
  <c r="AN112" i="4"/>
  <c r="AN23" i="4"/>
  <c r="AE99" i="4"/>
  <c r="X112" i="4"/>
  <c r="C96" i="4"/>
  <c r="C98" i="4" s="1"/>
  <c r="CQ51" i="178"/>
  <c r="CN50" i="178"/>
  <c r="CN51" i="178" s="1"/>
  <c r="CN54" i="178"/>
  <c r="BR145" i="11"/>
  <c r="AI145" i="11"/>
  <c r="AW145" i="11"/>
  <c r="BY145" i="11"/>
  <c r="CF145" i="11"/>
  <c r="AP145" i="11"/>
  <c r="CF144" i="11"/>
  <c r="AW144" i="11"/>
  <c r="BR144" i="11"/>
  <c r="AI144" i="11"/>
  <c r="BY144" i="11"/>
  <c r="AP144" i="11"/>
  <c r="K14" i="139"/>
  <c r="AI432" i="11"/>
  <c r="AI433" i="11" s="1"/>
  <c r="AI272" i="11"/>
  <c r="AB432" i="11"/>
  <c r="AB272" i="11"/>
  <c r="AP432" i="11"/>
  <c r="AP272" i="11"/>
  <c r="W94" i="139"/>
  <c r="AW271" i="11"/>
  <c r="BD271" i="11" s="1"/>
  <c r="BD272" i="11" s="1"/>
  <c r="AO168" i="243"/>
  <c r="AO153" i="243"/>
  <c r="AO179" i="243"/>
  <c r="AO171" i="243"/>
  <c r="G432" i="11"/>
  <c r="G9" i="11" s="1"/>
  <c r="CM143" i="11"/>
  <c r="CM145" i="11" s="1"/>
  <c r="BK74" i="11"/>
  <c r="Q75" i="139"/>
  <c r="Q77" i="139"/>
  <c r="P77" i="139"/>
  <c r="P75" i="139"/>
  <c r="V65" i="139"/>
  <c r="CR73" i="178"/>
  <c r="DC53" i="178"/>
  <c r="DA53" i="178"/>
  <c r="DA50" i="178" s="1"/>
  <c r="DA51" i="178" s="1"/>
  <c r="C471" i="11"/>
  <c r="P29" i="139"/>
  <c r="O57" i="139"/>
  <c r="L75" i="139"/>
  <c r="L77" i="139"/>
  <c r="I29" i="139"/>
  <c r="H57" i="139"/>
  <c r="B81" i="139"/>
  <c r="B42" i="139"/>
  <c r="E42" i="139"/>
  <c r="D42" i="139"/>
  <c r="F35" i="139"/>
  <c r="DN266" i="243"/>
  <c r="Y4" i="139"/>
  <c r="E35" i="139"/>
  <c r="BQ10" i="2"/>
  <c r="BQ11" i="2" s="1"/>
  <c r="AO165" i="243"/>
  <c r="AO176" i="243"/>
  <c r="BQ87" i="2"/>
  <c r="AO159" i="243"/>
  <c r="BQ31" i="178"/>
  <c r="BX32" i="178" s="1"/>
  <c r="F81" i="139"/>
  <c r="T112" i="4"/>
  <c r="B35" i="139"/>
  <c r="AO10" i="2"/>
  <c r="AO11" i="2" s="1"/>
  <c r="F42" i="139"/>
  <c r="C12" i="139"/>
  <c r="N12" i="139"/>
  <c r="E81" i="139"/>
  <c r="H40" i="139"/>
  <c r="M18" i="2"/>
  <c r="K12" i="139"/>
  <c r="F28" i="139"/>
  <c r="K40" i="139"/>
  <c r="G100" i="2"/>
  <c r="I13" i="139"/>
  <c r="L112" i="4"/>
  <c r="BQ274" i="243"/>
  <c r="O14" i="139"/>
  <c r="L22" i="2"/>
  <c r="L27" i="2" s="1"/>
  <c r="L38" i="2" s="1"/>
  <c r="L41" i="2" s="1"/>
  <c r="Q12" i="139"/>
  <c r="N15" i="139"/>
  <c r="M112" i="4"/>
  <c r="V32" i="220"/>
  <c r="AV87" i="2"/>
  <c r="BX10" i="2"/>
  <c r="BX11" i="2" s="1"/>
  <c r="L5" i="242"/>
  <c r="O13" i="139"/>
  <c r="R12" i="139"/>
  <c r="M14" i="139"/>
  <c r="AV31" i="178"/>
  <c r="BC32" i="178" s="1"/>
  <c r="G20" i="2"/>
  <c r="G22" i="2" s="1"/>
  <c r="K20" i="2"/>
  <c r="G15" i="139" s="1"/>
  <c r="AV22" i="2"/>
  <c r="AV27" i="2" s="1"/>
  <c r="BJ112" i="4"/>
  <c r="C125" i="4"/>
  <c r="AV34" i="178"/>
  <c r="C23" i="4"/>
  <c r="K99" i="4"/>
  <c r="K123" i="243"/>
  <c r="K118" i="243"/>
  <c r="G118" i="243"/>
  <c r="G119" i="243" s="1"/>
  <c r="G123" i="243"/>
  <c r="M12" i="139"/>
  <c r="AH274" i="243"/>
  <c r="AH10" i="2"/>
  <c r="AH11" i="2" s="1"/>
  <c r="C8" i="2"/>
  <c r="C274" i="243" s="1"/>
  <c r="D23" i="4"/>
  <c r="C150" i="4"/>
  <c r="H123" i="243"/>
  <c r="H118" i="243"/>
  <c r="T153" i="243"/>
  <c r="T162" i="243"/>
  <c r="T165" i="243"/>
  <c r="T171" i="243"/>
  <c r="T179" i="243"/>
  <c r="T168" i="243"/>
  <c r="T159" i="243"/>
  <c r="T176" i="243"/>
  <c r="AH171" i="243"/>
  <c r="AH159" i="243"/>
  <c r="AH176" i="243"/>
  <c r="AH153" i="243"/>
  <c r="AH179" i="243"/>
  <c r="AH165" i="243"/>
  <c r="AH162" i="243"/>
  <c r="AH168" i="243"/>
  <c r="L123" i="243"/>
  <c r="L118" i="243"/>
  <c r="I123" i="243"/>
  <c r="I118" i="243"/>
  <c r="J123" i="243"/>
  <c r="J118" i="243"/>
  <c r="BX179" i="243"/>
  <c r="BX153" i="243"/>
  <c r="BX176" i="243"/>
  <c r="BX171" i="243"/>
  <c r="BX162" i="243"/>
  <c r="BX165" i="243"/>
  <c r="BX159" i="243"/>
  <c r="BX168" i="243"/>
  <c r="C153" i="243"/>
  <c r="C176" i="243"/>
  <c r="C162" i="243"/>
  <c r="C179" i="243"/>
  <c r="C171" i="243"/>
  <c r="C159" i="243"/>
  <c r="C165" i="243"/>
  <c r="C168" i="243"/>
  <c r="T34" i="178"/>
  <c r="AV43" i="178"/>
  <c r="AH41" i="178"/>
  <c r="T31" i="178"/>
  <c r="T32" i="178" s="1"/>
  <c r="AH43" i="178"/>
  <c r="AO41" i="178"/>
  <c r="AV41" i="178"/>
  <c r="BQ41" i="178"/>
  <c r="BX41" i="178"/>
  <c r="AA43" i="178"/>
  <c r="BQ43" i="178"/>
  <c r="BX43" i="178"/>
  <c r="BC43" i="178"/>
  <c r="AO43" i="178"/>
  <c r="AA41" i="178"/>
  <c r="AV28" i="178"/>
  <c r="AO31" i="178"/>
  <c r="AO138" i="178"/>
  <c r="AO145" i="178" s="1"/>
  <c r="AO154" i="178" s="1"/>
  <c r="AO30" i="178"/>
  <c r="AA10" i="2"/>
  <c r="AA11" i="2" s="1"/>
  <c r="AA274" i="243"/>
  <c r="DN83" i="242"/>
  <c r="K15" i="139"/>
  <c r="AA5" i="242"/>
  <c r="T5" i="242"/>
  <c r="S5" i="242" s="1"/>
  <c r="Q5" i="242" s="1"/>
  <c r="AH5" i="242"/>
  <c r="T22" i="2"/>
  <c r="K16" i="139" s="1"/>
  <c r="P30" i="139"/>
  <c r="AV10" i="2"/>
  <c r="AV11" i="2" s="1"/>
  <c r="O12" i="139"/>
  <c r="O41" i="139"/>
  <c r="Q30" i="139"/>
  <c r="R30" i="139"/>
  <c r="M30" i="139"/>
  <c r="L30" i="139"/>
  <c r="B15" i="139"/>
  <c r="B57" i="139" s="1"/>
  <c r="AH22" i="2"/>
  <c r="E28" i="139"/>
  <c r="O40" i="139"/>
  <c r="P40" i="139"/>
  <c r="P41" i="139"/>
  <c r="O34" i="220"/>
  <c r="AJ32" i="220"/>
  <c r="AA34" i="178"/>
  <c r="BQ28" i="178"/>
  <c r="AO28" i="178"/>
  <c r="BC53" i="178"/>
  <c r="BC50" i="178" s="1"/>
  <c r="BC51" i="178" s="1"/>
  <c r="L107" i="178"/>
  <c r="AH30" i="178"/>
  <c r="I100" i="178"/>
  <c r="I114" i="178" s="1"/>
  <c r="AH34" i="178"/>
  <c r="AG34" i="178" s="1"/>
  <c r="AH31" i="178"/>
  <c r="AH138" i="178"/>
  <c r="AH145" i="178" s="1"/>
  <c r="AH154" i="178" s="1"/>
  <c r="L117" i="178"/>
  <c r="L125" i="178" s="1"/>
  <c r="K107" i="178"/>
  <c r="AH28" i="178"/>
  <c r="CF74" i="11"/>
  <c r="BX84" i="2"/>
  <c r="BY74" i="11"/>
  <c r="BR74" i="11"/>
  <c r="H432" i="11"/>
  <c r="H9" i="11" s="1"/>
  <c r="I271" i="11"/>
  <c r="J271" i="11" s="1"/>
  <c r="J174" i="11"/>
  <c r="J223" i="11" s="1"/>
  <c r="J247" i="11" s="1"/>
  <c r="C225" i="11"/>
  <c r="C249" i="11" s="1"/>
  <c r="CM90" i="11"/>
  <c r="CM94" i="11"/>
  <c r="CM98" i="11" s="1"/>
  <c r="CM517" i="11"/>
  <c r="J181" i="11"/>
  <c r="J230" i="11" s="1"/>
  <c r="J256" i="11" s="1"/>
  <c r="I489" i="11"/>
  <c r="C499" i="11"/>
  <c r="I223" i="11"/>
  <c r="I247" i="11" s="1"/>
  <c r="C230" i="11"/>
  <c r="C256" i="11" s="1"/>
  <c r="CT557" i="11"/>
  <c r="DA529" i="11"/>
  <c r="I488" i="11"/>
  <c r="BD548" i="11"/>
  <c r="BK548" i="11" s="1"/>
  <c r="BK571" i="11" s="1"/>
  <c r="AI273" i="11"/>
  <c r="N273" i="11"/>
  <c r="U273" i="11"/>
  <c r="M270" i="11"/>
  <c r="E270" i="11"/>
  <c r="L270" i="11"/>
  <c r="D257" i="11"/>
  <c r="H264" i="11"/>
  <c r="BD270" i="11"/>
  <c r="H257" i="11"/>
  <c r="F273" i="11"/>
  <c r="G270" i="11"/>
  <c r="AP270" i="11"/>
  <c r="D425" i="11"/>
  <c r="C222" i="11"/>
  <c r="C246" i="11" s="1"/>
  <c r="C468" i="11"/>
  <c r="C488" i="11"/>
  <c r="I471" i="11"/>
  <c r="I225" i="11"/>
  <c r="I249" i="11" s="1"/>
  <c r="C470" i="11"/>
  <c r="C224" i="11"/>
  <c r="C248" i="11" s="1"/>
  <c r="J175" i="11"/>
  <c r="J224" i="11" s="1"/>
  <c r="J248" i="11" s="1"/>
  <c r="I224" i="11"/>
  <c r="I248" i="11" s="1"/>
  <c r="C475" i="11"/>
  <c r="C229" i="11"/>
  <c r="C255" i="11" s="1"/>
  <c r="H250" i="11"/>
  <c r="J468" i="11"/>
  <c r="J222" i="11"/>
  <c r="J246" i="11" s="1"/>
  <c r="U430" i="11"/>
  <c r="U433" i="11" s="1"/>
  <c r="D250" i="11"/>
  <c r="I468" i="11"/>
  <c r="I222" i="11"/>
  <c r="I246" i="11" s="1"/>
  <c r="I499" i="11"/>
  <c r="I230" i="11"/>
  <c r="I256" i="11" s="1"/>
  <c r="AP430" i="11"/>
  <c r="M430" i="11"/>
  <c r="M385" i="11" s="1"/>
  <c r="AW588" i="11"/>
  <c r="AB443" i="11"/>
  <c r="H425" i="11"/>
  <c r="D427" i="11"/>
  <c r="L385" i="11"/>
  <c r="G430" i="11"/>
  <c r="G385" i="11" s="1"/>
  <c r="AW423" i="11"/>
  <c r="H427" i="11"/>
  <c r="E430" i="11"/>
  <c r="F431" i="11" s="1"/>
  <c r="AW425" i="11"/>
  <c r="D423" i="11"/>
  <c r="N430" i="11"/>
  <c r="H423" i="11"/>
  <c r="D264" i="11"/>
  <c r="K212" i="4"/>
  <c r="K214" i="4" s="1"/>
  <c r="M213" i="4"/>
  <c r="M214" i="4" s="1"/>
  <c r="BK214" i="11"/>
  <c r="BK236" i="11"/>
  <c r="BK265" i="11" s="1"/>
  <c r="CF479" i="11"/>
  <c r="BY479" i="11"/>
  <c r="BY481" i="11"/>
  <c r="BY503" i="11"/>
  <c r="BY263" i="11" s="1"/>
  <c r="BK553" i="11"/>
  <c r="CF468" i="11"/>
  <c r="AW401" i="11"/>
  <c r="BQ84" i="2"/>
  <c r="BD517" i="11"/>
  <c r="BD143" i="11"/>
  <c r="BD74" i="11" s="1"/>
  <c r="CE84" i="2"/>
  <c r="CM557" i="11"/>
  <c r="J488" i="11"/>
  <c r="BJ84" i="2"/>
  <c r="BD518" i="11"/>
  <c r="AW391" i="11"/>
  <c r="AW390" i="11" s="1"/>
  <c r="AW394" i="11" s="1"/>
  <c r="AW395" i="11" s="1"/>
  <c r="K173" i="11"/>
  <c r="BJ213" i="4"/>
  <c r="AW405" i="11"/>
  <c r="BD576" i="11"/>
  <c r="BD599" i="11" s="1"/>
  <c r="AP560" i="11"/>
  <c r="AP532" i="11" s="1"/>
  <c r="AW575" i="11"/>
  <c r="AW598" i="11" s="1"/>
  <c r="AB436" i="11"/>
  <c r="AB466" i="11" s="1"/>
  <c r="AB467" i="11" s="1"/>
  <c r="AB384" i="11"/>
  <c r="AB383" i="11" s="1"/>
  <c r="AB406" i="11" s="1"/>
  <c r="AB275" i="11" s="1"/>
  <c r="AB304" i="11" s="1"/>
  <c r="BD424" i="11"/>
  <c r="L214" i="4"/>
  <c r="C498" i="11"/>
  <c r="BR410" i="11"/>
  <c r="BR412" i="11" s="1"/>
  <c r="BR414" i="11" s="1"/>
  <c r="AW411" i="11"/>
  <c r="AI405" i="11"/>
  <c r="AW410" i="11"/>
  <c r="CM484" i="11"/>
  <c r="AP390" i="11"/>
  <c r="AP394" i="11" s="1"/>
  <c r="AP395" i="11" s="1"/>
  <c r="AP577" i="11"/>
  <c r="AP600" i="11" s="1"/>
  <c r="CF455" i="11"/>
  <c r="BK410" i="11"/>
  <c r="BK412" i="11" s="1"/>
  <c r="BK414" i="11" s="1"/>
  <c r="BD410" i="11"/>
  <c r="BD412" i="11" s="1"/>
  <c r="BD413" i="11" s="1"/>
  <c r="BD651" i="11" s="1"/>
  <c r="BD647" i="11" s="1"/>
  <c r="BR391" i="11"/>
  <c r="AA87" i="2"/>
  <c r="L40" i="139"/>
  <c r="AO214" i="4"/>
  <c r="I491" i="11"/>
  <c r="J176" i="11"/>
  <c r="J225" i="11" s="1"/>
  <c r="J249" i="11" s="1"/>
  <c r="BR401" i="11"/>
  <c r="L46" i="139"/>
  <c r="J112" i="4"/>
  <c r="K112" i="4"/>
  <c r="J18" i="2"/>
  <c r="D465" i="11"/>
  <c r="C213" i="4" s="1"/>
  <c r="C214" i="4" s="1"/>
  <c r="K116" i="178"/>
  <c r="F22" i="2"/>
  <c r="C111" i="178"/>
  <c r="C126" i="178"/>
  <c r="C103" i="178"/>
  <c r="D111" i="178"/>
  <c r="AH99" i="4"/>
  <c r="L12" i="139"/>
  <c r="L34" i="139" s="1"/>
  <c r="AO149" i="4"/>
  <c r="AO150" i="4" s="1"/>
  <c r="AV147" i="4"/>
  <c r="BJ41" i="2"/>
  <c r="BJ42" i="2"/>
  <c r="BJ46" i="2" s="1"/>
  <c r="BJ3" i="242" s="1"/>
  <c r="BJ21" i="242" s="1"/>
  <c r="BJ45" i="242" s="1"/>
  <c r="BJ49" i="242" s="1"/>
  <c r="F14" i="139"/>
  <c r="F13" i="139"/>
  <c r="I156" i="243"/>
  <c r="J116" i="178"/>
  <c r="J117" i="178" s="1"/>
  <c r="J125" i="178" s="1"/>
  <c r="J99" i="4"/>
  <c r="J20" i="2"/>
  <c r="J5" i="242" s="1"/>
  <c r="I20" i="2"/>
  <c r="I490" i="11"/>
  <c r="BK455" i="11"/>
  <c r="AH106" i="2"/>
  <c r="M38" i="139"/>
  <c r="AO82" i="4"/>
  <c r="AO84" i="4" s="1"/>
  <c r="AO98" i="4" s="1"/>
  <c r="AO20" i="2" s="1"/>
  <c r="AO93" i="4"/>
  <c r="AO94" i="4" s="1"/>
  <c r="AO96" i="4" s="1"/>
  <c r="AP401" i="11"/>
  <c r="BX32" i="4"/>
  <c r="BX23" i="4"/>
  <c r="BY410" i="11"/>
  <c r="BY412" i="11" s="1"/>
  <c r="BY414" i="11" s="1"/>
  <c r="AP405" i="11"/>
  <c r="BD405" i="11"/>
  <c r="BY405" i="11"/>
  <c r="CM470" i="11"/>
  <c r="E77" i="11"/>
  <c r="Q46" i="139"/>
  <c r="AW556" i="11"/>
  <c r="AW527" i="11" s="1"/>
  <c r="I470" i="11"/>
  <c r="AC32" i="220"/>
  <c r="L58" i="139"/>
  <c r="K114" i="178"/>
  <c r="AI390" i="11"/>
  <c r="AI394" i="11" s="1"/>
  <c r="AI395" i="11" s="1"/>
  <c r="AI396" i="11" s="1"/>
  <c r="BR405" i="11"/>
  <c r="AV150" i="178"/>
  <c r="AO160" i="178"/>
  <c r="AV160" i="178" s="1"/>
  <c r="AW600" i="11"/>
  <c r="BK526" i="11"/>
  <c r="BD555" i="11"/>
  <c r="BD556" i="11" s="1"/>
  <c r="BD527" i="11" s="1"/>
  <c r="J184" i="11"/>
  <c r="I501" i="11"/>
  <c r="I261" i="11" s="1"/>
  <c r="I479" i="11"/>
  <c r="H465" i="11"/>
  <c r="E212" i="4" s="1"/>
  <c r="E214" i="4" s="1"/>
  <c r="AA214" i="4"/>
  <c r="BY391" i="11"/>
  <c r="T214" i="4"/>
  <c r="AI592" i="11"/>
  <c r="AI568" i="11"/>
  <c r="B212" i="4"/>
  <c r="BR490" i="11"/>
  <c r="BK576" i="11"/>
  <c r="BK599" i="11" s="1"/>
  <c r="F389" i="11"/>
  <c r="F393" i="11" s="1"/>
  <c r="F406" i="11"/>
  <c r="F275" i="11" s="1"/>
  <c r="BY509" i="11"/>
  <c r="H504" i="11"/>
  <c r="J481" i="11"/>
  <c r="K186" i="11"/>
  <c r="J503" i="11"/>
  <c r="J263" i="11" s="1"/>
  <c r="BK391" i="11"/>
  <c r="BK390" i="11" s="1"/>
  <c r="BY510" i="11"/>
  <c r="BR491" i="11"/>
  <c r="CT469" i="11"/>
  <c r="H12" i="139"/>
  <c r="H34" i="139" s="1"/>
  <c r="F112" i="4"/>
  <c r="E18" i="2"/>
  <c r="E13" i="2" s="1"/>
  <c r="H20" i="2"/>
  <c r="H5" i="242" s="1"/>
  <c r="I112" i="4"/>
  <c r="H112" i="4"/>
  <c r="H18" i="2"/>
  <c r="H13" i="2" s="1"/>
  <c r="D18" i="2"/>
  <c r="D13" i="2" s="1"/>
  <c r="E112" i="4"/>
  <c r="D81" i="139"/>
  <c r="D35" i="139"/>
  <c r="BJ10" i="2"/>
  <c r="BJ11" i="2" s="1"/>
  <c r="P12" i="139"/>
  <c r="BJ87" i="2"/>
  <c r="AA18" i="2"/>
  <c r="AA13" i="2" s="1"/>
  <c r="AH112" i="4"/>
  <c r="AA112" i="4"/>
  <c r="BK227" i="11"/>
  <c r="BK252" i="11" s="1"/>
  <c r="BR494" i="11"/>
  <c r="CM468" i="11"/>
  <c r="CM476" i="11"/>
  <c r="AW574" i="11"/>
  <c r="BD575" i="11"/>
  <c r="BK489" i="11"/>
  <c r="M41" i="139"/>
  <c r="BR512" i="11"/>
  <c r="BK488" i="11"/>
  <c r="D212" i="4"/>
  <c r="D214" i="4" s="1"/>
  <c r="BR493" i="11"/>
  <c r="CF482" i="11"/>
  <c r="AP598" i="11"/>
  <c r="G77" i="11"/>
  <c r="BD530" i="11"/>
  <c r="AW558" i="11"/>
  <c r="BY498" i="11"/>
  <c r="Q58" i="139"/>
  <c r="C112" i="4"/>
  <c r="D112" i="4"/>
  <c r="C18" i="2"/>
  <c r="BY524" i="11"/>
  <c r="BR553" i="11"/>
  <c r="BD587" i="11"/>
  <c r="AW503" i="11"/>
  <c r="AW263" i="11" s="1"/>
  <c r="AW504" i="11"/>
  <c r="AW501" i="11"/>
  <c r="AW261" i="11" s="1"/>
  <c r="AW502" i="11"/>
  <c r="AW262" i="11" s="1"/>
  <c r="C489" i="11"/>
  <c r="C469" i="11"/>
  <c r="BR495" i="11"/>
  <c r="N58" i="139"/>
  <c r="N46" i="139"/>
  <c r="P46" i="139"/>
  <c r="BY525" i="11"/>
  <c r="BR554" i="11"/>
  <c r="I504" i="11"/>
  <c r="J187" i="11"/>
  <c r="BQ41" i="2"/>
  <c r="E125" i="178"/>
  <c r="BD425" i="11"/>
  <c r="BK499" i="11"/>
  <c r="G12" i="139"/>
  <c r="BE32" i="220"/>
  <c r="BL32" i="220"/>
  <c r="AO87" i="2"/>
  <c r="BR506" i="11"/>
  <c r="CT505" i="11"/>
  <c r="DA505" i="11" s="1"/>
  <c r="CT508" i="11"/>
  <c r="DA508" i="11" s="1"/>
  <c r="CM495" i="11"/>
  <c r="CM494" i="11"/>
  <c r="CM493" i="11"/>
  <c r="AX32" i="220"/>
  <c r="AQ32" i="220"/>
  <c r="BJ31" i="178"/>
  <c r="BJ32" i="178" s="1"/>
  <c r="BJ28" i="178"/>
  <c r="BJ34" i="178"/>
  <c r="BI34" i="178" s="1"/>
  <c r="BC10" i="2"/>
  <c r="BC11" i="2" s="1"/>
  <c r="AA28" i="178"/>
  <c r="AA31" i="178"/>
  <c r="CL143" i="4"/>
  <c r="CL65" i="4"/>
  <c r="CL89" i="4" s="1"/>
  <c r="CL104" i="4" s="1"/>
  <c r="BS25" i="220"/>
  <c r="Q41" i="139"/>
  <c r="Q40" i="139"/>
  <c r="N41" i="139"/>
  <c r="N40" i="139"/>
  <c r="O58" i="139"/>
  <c r="M46" i="139"/>
  <c r="M58" i="139"/>
  <c r="BQ42" i="2"/>
  <c r="BQ46" i="2" s="1"/>
  <c r="BQ3" i="242" s="1"/>
  <c r="BQ21" i="242" s="1"/>
  <c r="BQ45" i="242" s="1"/>
  <c r="BQ49" i="242" s="1"/>
  <c r="P58" i="139"/>
  <c r="BY455" i="11"/>
  <c r="AO158" i="178"/>
  <c r="AO149" i="178"/>
  <c r="T5" i="139"/>
  <c r="R58" i="139"/>
  <c r="AH149" i="178"/>
  <c r="AH158" i="178"/>
  <c r="AV140" i="178"/>
  <c r="R46" i="139"/>
  <c r="S6" i="139"/>
  <c r="AV212" i="4"/>
  <c r="AV214" i="4" s="1"/>
  <c r="BQ213" i="4"/>
  <c r="CF483" i="11"/>
  <c r="CF473" i="11"/>
  <c r="CF227" i="11"/>
  <c r="CF252" i="11" s="1"/>
  <c r="I502" i="11"/>
  <c r="I262" i="11" s="1"/>
  <c r="I480" i="11"/>
  <c r="J185" i="11"/>
  <c r="CE141" i="4"/>
  <c r="CE63" i="4"/>
  <c r="BQ98" i="2"/>
  <c r="C480" i="11"/>
  <c r="C502" i="11"/>
  <c r="C262" i="11" s="1"/>
  <c r="C187" i="11"/>
  <c r="C504" i="11" s="1"/>
  <c r="I475" i="11"/>
  <c r="J180" i="11"/>
  <c r="J229" i="11" s="1"/>
  <c r="J255" i="11" s="1"/>
  <c r="I498" i="11"/>
  <c r="AI535" i="11"/>
  <c r="AP535" i="11" s="1"/>
  <c r="AI563" i="11"/>
  <c r="AI537" i="11" s="1"/>
  <c r="E70" i="139"/>
  <c r="CF478" i="11"/>
  <c r="P13" i="139"/>
  <c r="P14" i="139"/>
  <c r="AP562" i="11"/>
  <c r="AP584" i="11" s="1"/>
  <c r="AW536" i="11"/>
  <c r="G101" i="178"/>
  <c r="F115" i="178"/>
  <c r="F117" i="178" s="1"/>
  <c r="F103" i="178"/>
  <c r="F110" i="178" s="1"/>
  <c r="AH151" i="178"/>
  <c r="AV151" i="178" s="1"/>
  <c r="AV142" i="178"/>
  <c r="AI608" i="11"/>
  <c r="AI458" i="11" s="1"/>
  <c r="E7" i="139"/>
  <c r="CW54" i="178" l="1"/>
  <c r="CV51" i="178"/>
  <c r="CW50" i="178"/>
  <c r="CW51" i="178" s="1"/>
  <c r="BQ53" i="178"/>
  <c r="BQ50" i="178" s="1"/>
  <c r="BQ51" i="178" s="1"/>
  <c r="BC22" i="2"/>
  <c r="BC27" i="2" s="1"/>
  <c r="BC38" i="2" s="1"/>
  <c r="BC41" i="2" s="1"/>
  <c r="CU54" i="178"/>
  <c r="CT51" i="178"/>
  <c r="CU50" i="178"/>
  <c r="CU51" i="178" s="1"/>
  <c r="C20" i="2"/>
  <c r="C22" i="2" s="1"/>
  <c r="C27" i="2" s="1"/>
  <c r="C38" i="2" s="1"/>
  <c r="BX35" i="178"/>
  <c r="BE35" i="220"/>
  <c r="AX35" i="220"/>
  <c r="AC61" i="220"/>
  <c r="AC58" i="220" s="1"/>
  <c r="AC59" i="220" s="1"/>
  <c r="BP171" i="243"/>
  <c r="BP165" i="243"/>
  <c r="AO53" i="178"/>
  <c r="AO50" i="178" s="1"/>
  <c r="AO51" i="178" s="1"/>
  <c r="BP159" i="243"/>
  <c r="BP153" i="243"/>
  <c r="BP179" i="243"/>
  <c r="BP168" i="243"/>
  <c r="BP162" i="243"/>
  <c r="AE29" i="178"/>
  <c r="AE31" i="178" s="1"/>
  <c r="AG73" i="178"/>
  <c r="AG30" i="178"/>
  <c r="AN30" i="178"/>
  <c r="X30" i="178"/>
  <c r="X73" i="178"/>
  <c r="AG31" i="178"/>
  <c r="AG32" i="178" s="1"/>
  <c r="AV53" i="178"/>
  <c r="AV50" i="178" s="1"/>
  <c r="AV51" i="178" s="1"/>
  <c r="AU34" i="178"/>
  <c r="BP31" i="178"/>
  <c r="BN27" i="178"/>
  <c r="BP28" i="178"/>
  <c r="BP37" i="178"/>
  <c r="BW28" i="178"/>
  <c r="BG28" i="178"/>
  <c r="BG31" i="178"/>
  <c r="BG32" i="178" s="1"/>
  <c r="BG37" i="178"/>
  <c r="AN38" i="178"/>
  <c r="AN35" i="178"/>
  <c r="AL34" i="178"/>
  <c r="X45" i="178"/>
  <c r="C13" i="2"/>
  <c r="C156" i="243" s="1"/>
  <c r="AG38" i="178"/>
  <c r="AE34" i="178"/>
  <c r="AE13" i="2"/>
  <c r="AE156" i="243" s="1"/>
  <c r="BN34" i="178"/>
  <c r="BP35" i="178"/>
  <c r="BP38" i="178"/>
  <c r="BW35" i="178"/>
  <c r="AE45" i="178"/>
  <c r="AE41" i="178"/>
  <c r="AS43" i="178"/>
  <c r="AS46" i="178"/>
  <c r="S31" i="178"/>
  <c r="Z32" i="178" s="1"/>
  <c r="Q27" i="178"/>
  <c r="X28" i="178" s="1"/>
  <c r="S37" i="178"/>
  <c r="AU31" i="178"/>
  <c r="AU28" i="178"/>
  <c r="AU37" i="178"/>
  <c r="AS27" i="178"/>
  <c r="BB28" i="178"/>
  <c r="AL41" i="178"/>
  <c r="AL45" i="178"/>
  <c r="AA53" i="178"/>
  <c r="AA50" i="178" s="1"/>
  <c r="AA51" i="178" s="1"/>
  <c r="Z34" i="178"/>
  <c r="AG35" i="178" s="1"/>
  <c r="AU45" i="178"/>
  <c r="AS40" i="178"/>
  <c r="AU41" i="178"/>
  <c r="BB41" i="178"/>
  <c r="BN46" i="178"/>
  <c r="BU43" i="178"/>
  <c r="BG40" i="178"/>
  <c r="BI45" i="178"/>
  <c r="BI41" i="178"/>
  <c r="AE43" i="178"/>
  <c r="AE46" i="178"/>
  <c r="BP41" i="178"/>
  <c r="AL43" i="178"/>
  <c r="AL46" i="178"/>
  <c r="AE28" i="178"/>
  <c r="AE37" i="178"/>
  <c r="Q42" i="178"/>
  <c r="Q46" i="178" s="1"/>
  <c r="S46" i="178"/>
  <c r="BI35" i="178"/>
  <c r="BG34" i="178"/>
  <c r="BI38" i="178"/>
  <c r="T53" i="178"/>
  <c r="T50" i="178" s="1"/>
  <c r="T51" i="178" s="1"/>
  <c r="S34" i="178"/>
  <c r="BN154" i="243"/>
  <c r="BN153" i="243" s="1"/>
  <c r="BU23" i="4"/>
  <c r="AG13" i="2"/>
  <c r="AG156" i="243" s="1"/>
  <c r="Q40" i="178"/>
  <c r="Q45" i="178" s="1"/>
  <c r="S45" i="178"/>
  <c r="X37" i="178"/>
  <c r="X31" i="178"/>
  <c r="X46" i="178"/>
  <c r="BN45" i="178"/>
  <c r="BU41" i="178"/>
  <c r="BG42" i="178"/>
  <c r="BN43" i="178" s="1"/>
  <c r="BI46" i="178"/>
  <c r="BI43" i="178"/>
  <c r="AN37" i="178"/>
  <c r="AN28" i="178"/>
  <c r="AN31" i="178"/>
  <c r="AL27" i="178"/>
  <c r="AZ38" i="178"/>
  <c r="Z41" i="178"/>
  <c r="J13" i="2"/>
  <c r="J156" i="243" s="1"/>
  <c r="J13" i="139"/>
  <c r="M13" i="2"/>
  <c r="AJ61" i="220"/>
  <c r="AJ58" i="220" s="1"/>
  <c r="AJ59" i="220" s="1"/>
  <c r="AI34" i="220"/>
  <c r="AJ35" i="220"/>
  <c r="AC35" i="220"/>
  <c r="BD37" i="220"/>
  <c r="BD38" i="220" s="1"/>
  <c r="BD32" i="220"/>
  <c r="BB31" i="220"/>
  <c r="BK32" i="220"/>
  <c r="AB37" i="220"/>
  <c r="AB38" i="220" s="1"/>
  <c r="Z31" i="220"/>
  <c r="AB32" i="220"/>
  <c r="AP37" i="220"/>
  <c r="AP38" i="220" s="1"/>
  <c r="AN31" i="220"/>
  <c r="AP32" i="220"/>
  <c r="AW37" i="220"/>
  <c r="AW38" i="220" s="1"/>
  <c r="AW32" i="220"/>
  <c r="AU31" i="220"/>
  <c r="BE61" i="220"/>
  <c r="BE58" i="220" s="1"/>
  <c r="BE59" i="220" s="1"/>
  <c r="BD34" i="220"/>
  <c r="AB35" i="220"/>
  <c r="Z34" i="220"/>
  <c r="AQ61" i="220"/>
  <c r="AQ58" i="220" s="1"/>
  <c r="AQ59" i="220" s="1"/>
  <c r="AP34" i="220"/>
  <c r="AX61" i="220"/>
  <c r="AX58" i="220" s="1"/>
  <c r="AX59" i="220" s="1"/>
  <c r="AW34" i="220"/>
  <c r="AQ35" i="220"/>
  <c r="O61" i="220"/>
  <c r="O58" i="220" s="1"/>
  <c r="O59" i="220" s="1"/>
  <c r="N34" i="220"/>
  <c r="L34" i="220" s="1"/>
  <c r="N37" i="220"/>
  <c r="N38" i="220" s="1"/>
  <c r="L31" i="220"/>
  <c r="L37" i="220" s="1"/>
  <c r="L38" i="220" s="1"/>
  <c r="S34" i="220"/>
  <c r="AG31" i="220"/>
  <c r="AI37" i="220"/>
  <c r="AI38" i="220" s="1"/>
  <c r="AI32" i="220"/>
  <c r="S37" i="220"/>
  <c r="S38" i="220" s="1"/>
  <c r="BQ15" i="11"/>
  <c r="BQ16" i="11" s="1"/>
  <c r="BO9" i="11"/>
  <c r="BO15" i="11" s="1"/>
  <c r="BO16" i="11" s="1"/>
  <c r="CE95" i="11"/>
  <c r="CE98" i="11" s="1"/>
  <c r="CC98" i="11"/>
  <c r="AO74" i="11"/>
  <c r="AM143" i="11"/>
  <c r="AM74" i="11" s="1"/>
  <c r="BV95" i="11"/>
  <c r="BX95" i="11" s="1"/>
  <c r="BX87" i="11"/>
  <c r="BX90" i="11" s="1"/>
  <c r="BO96" i="11"/>
  <c r="BQ88" i="11"/>
  <c r="BQ90" i="11" s="1"/>
  <c r="BO90" i="11"/>
  <c r="BC15" i="11"/>
  <c r="BC16" i="11" s="1"/>
  <c r="BA9" i="11"/>
  <c r="BA15" i="11" s="1"/>
  <c r="BA16" i="11" s="1"/>
  <c r="AH74" i="11"/>
  <c r="AF143" i="11"/>
  <c r="AF74" i="11" s="1"/>
  <c r="CJ95" i="11"/>
  <c r="CL87" i="11"/>
  <c r="CL90" i="11" s="1"/>
  <c r="CJ90" i="11"/>
  <c r="BX93" i="11"/>
  <c r="AA74" i="11"/>
  <c r="Y143" i="11"/>
  <c r="Y74" i="11" s="1"/>
  <c r="J57" i="139"/>
  <c r="J34" i="139"/>
  <c r="CB206" i="4"/>
  <c r="CB208" i="4" s="1"/>
  <c r="S21" i="242"/>
  <c r="Q21" i="242"/>
  <c r="AG10" i="2"/>
  <c r="AG11" i="2" s="1"/>
  <c r="AG274" i="243"/>
  <c r="AE10" i="2"/>
  <c r="AE11" i="2" s="1"/>
  <c r="AE274" i="243"/>
  <c r="AG5" i="242"/>
  <c r="AE5" i="242" s="1"/>
  <c r="Z5" i="242"/>
  <c r="X5" i="242" s="1"/>
  <c r="X21" i="242" s="1"/>
  <c r="BQ56" i="242"/>
  <c r="BQ58" i="242"/>
  <c r="BQ60" i="242" s="1"/>
  <c r="BJ58" i="242"/>
  <c r="BJ60" i="242" s="1"/>
  <c r="BJ56" i="242"/>
  <c r="T10" i="2"/>
  <c r="T11" i="2" s="1"/>
  <c r="AS63" i="2"/>
  <c r="AZ66" i="2"/>
  <c r="AZ65" i="2"/>
  <c r="X48" i="2"/>
  <c r="X51" i="2"/>
  <c r="X47" i="2"/>
  <c r="AU63" i="2"/>
  <c r="Q51" i="2"/>
  <c r="Q59" i="2" s="1"/>
  <c r="Q47" i="2"/>
  <c r="Q48" i="2"/>
  <c r="Q57" i="2"/>
  <c r="S51" i="2"/>
  <c r="S59" i="2" s="1"/>
  <c r="S48" i="2"/>
  <c r="S47" i="2"/>
  <c r="S57" i="2"/>
  <c r="AZ61" i="2"/>
  <c r="AZ62" i="2"/>
  <c r="BB66" i="2"/>
  <c r="BB65" i="2"/>
  <c r="Z48" i="2"/>
  <c r="Z47" i="2"/>
  <c r="Z51" i="2"/>
  <c r="AU15" i="2"/>
  <c r="AU125" i="4"/>
  <c r="AE24" i="2"/>
  <c r="AE27" i="2" s="1"/>
  <c r="AE38" i="2" s="1"/>
  <c r="AG27" i="2"/>
  <c r="AG38" i="2" s="1"/>
  <c r="BB62" i="2"/>
  <c r="BB63" i="2" s="1"/>
  <c r="BB61" i="2"/>
  <c r="AS125" i="4"/>
  <c r="AS15" i="2"/>
  <c r="AS13" i="2" s="1"/>
  <c r="Q9" i="2"/>
  <c r="Q10" i="2" s="1"/>
  <c r="Q11" i="2" s="1"/>
  <c r="S10" i="2"/>
  <c r="S11" i="2" s="1"/>
  <c r="BU32" i="4"/>
  <c r="CB23" i="4"/>
  <c r="BU125" i="4"/>
  <c r="BN42" i="2"/>
  <c r="BN46" i="2" s="1"/>
  <c r="BN3" i="242" s="1"/>
  <c r="BN21" i="242" s="1"/>
  <c r="BN41" i="2"/>
  <c r="BP41" i="2"/>
  <c r="BP42" i="2"/>
  <c r="BP46" i="2" s="1"/>
  <c r="BP3" i="242" s="1"/>
  <c r="BP21" i="242" s="1"/>
  <c r="DN32" i="2"/>
  <c r="CN56" i="178"/>
  <c r="CN57" i="178" s="1"/>
  <c r="BD144" i="11"/>
  <c r="BD145" i="11"/>
  <c r="BK145" i="11"/>
  <c r="CM74" i="11"/>
  <c r="CM144" i="11"/>
  <c r="BK144" i="11"/>
  <c r="AP433" i="11"/>
  <c r="AW432" i="11"/>
  <c r="AW272" i="11"/>
  <c r="X94" i="139"/>
  <c r="Y8" i="139"/>
  <c r="CL84" i="2"/>
  <c r="DJ54" i="178"/>
  <c r="DJ53" i="178" s="1"/>
  <c r="DH54" i="178"/>
  <c r="DH53" i="178" s="1"/>
  <c r="DL54" i="178"/>
  <c r="W65" i="139"/>
  <c r="DG29" i="178"/>
  <c r="DC15" i="178"/>
  <c r="DN15" i="178"/>
  <c r="O29" i="139"/>
  <c r="N57" i="139"/>
  <c r="K29" i="139"/>
  <c r="K57" i="139"/>
  <c r="H29" i="139"/>
  <c r="G57" i="139"/>
  <c r="B34" i="139"/>
  <c r="Q35" i="139"/>
  <c r="Q42" i="139"/>
  <c r="K28" i="139"/>
  <c r="K34" i="139"/>
  <c r="P42" i="139"/>
  <c r="P34" i="139"/>
  <c r="R35" i="139"/>
  <c r="C28" i="139"/>
  <c r="C42" i="139"/>
  <c r="G28" i="139"/>
  <c r="G34" i="139"/>
  <c r="O34" i="139"/>
  <c r="O42" i="139"/>
  <c r="N42" i="139"/>
  <c r="N34" i="139"/>
  <c r="DU266" i="243"/>
  <c r="Z4" i="139"/>
  <c r="T100" i="2"/>
  <c r="DU59" i="4"/>
  <c r="CW123" i="4"/>
  <c r="AH100" i="2"/>
  <c r="K35" i="139"/>
  <c r="K42" i="139"/>
  <c r="K81" i="139"/>
  <c r="F100" i="2"/>
  <c r="C35" i="139"/>
  <c r="D28" i="139"/>
  <c r="T35" i="178"/>
  <c r="AV38" i="2"/>
  <c r="AV41" i="2" s="1"/>
  <c r="M22" i="2"/>
  <c r="C81" i="139"/>
  <c r="J14" i="139"/>
  <c r="I16" i="139"/>
  <c r="N81" i="139"/>
  <c r="AV100" i="2"/>
  <c r="L156" i="243"/>
  <c r="L100" i="2"/>
  <c r="K22" i="2"/>
  <c r="H16" i="139" s="1"/>
  <c r="AV32" i="178"/>
  <c r="L29" i="139"/>
  <c r="P28" i="139"/>
  <c r="K5" i="242"/>
  <c r="BC35" i="178"/>
  <c r="AV35" i="178"/>
  <c r="R28" i="139"/>
  <c r="G5" i="242"/>
  <c r="C15" i="139"/>
  <c r="M42" i="139"/>
  <c r="N28" i="139"/>
  <c r="M35" i="139"/>
  <c r="M81" i="139"/>
  <c r="H115" i="243"/>
  <c r="H119" i="243" s="1"/>
  <c r="G103" i="243"/>
  <c r="G102" i="243" s="1"/>
  <c r="G111" i="243" s="1"/>
  <c r="BY18" i="220"/>
  <c r="AO147" i="178"/>
  <c r="AA32" i="178"/>
  <c r="AO156" i="178"/>
  <c r="AO163" i="178"/>
  <c r="AO32" i="178"/>
  <c r="AO144" i="178"/>
  <c r="AO153" i="178" s="1"/>
  <c r="L42" i="2"/>
  <c r="L46" i="2" s="1"/>
  <c r="L48" i="2" s="1"/>
  <c r="T27" i="2"/>
  <c r="T38" i="2" s="1"/>
  <c r="DU33" i="242"/>
  <c r="DU83" i="242"/>
  <c r="BQ68" i="242"/>
  <c r="BQ73" i="242" s="1"/>
  <c r="BQ42" i="242"/>
  <c r="DN84" i="242"/>
  <c r="DN33" i="242"/>
  <c r="BJ42" i="242"/>
  <c r="BJ68" i="242"/>
  <c r="BJ73" i="242" s="1"/>
  <c r="E15" i="139"/>
  <c r="I5" i="242"/>
  <c r="T6" i="139"/>
  <c r="O28" i="139"/>
  <c r="O81" i="139"/>
  <c r="D15" i="139"/>
  <c r="F15" i="139"/>
  <c r="F27" i="2"/>
  <c r="F38" i="2" s="1"/>
  <c r="C16" i="139"/>
  <c r="G27" i="2"/>
  <c r="G38" i="2" s="1"/>
  <c r="G42" i="2" s="1"/>
  <c r="G46" i="2" s="1"/>
  <c r="G3" i="242" s="1"/>
  <c r="D16" i="139"/>
  <c r="AH27" i="2"/>
  <c r="M16" i="139"/>
  <c r="H28" i="139"/>
  <c r="I28" i="139"/>
  <c r="Q28" i="139"/>
  <c r="L28" i="139"/>
  <c r="M28" i="139"/>
  <c r="O35" i="220"/>
  <c r="V35" i="220"/>
  <c r="AA35" i="178"/>
  <c r="BQ35" i="178"/>
  <c r="AH53" i="178"/>
  <c r="AH50" i="178" s="1"/>
  <c r="AH51" i="178" s="1"/>
  <c r="AH156" i="178"/>
  <c r="AO35" i="178"/>
  <c r="AH35" i="178"/>
  <c r="J107" i="178"/>
  <c r="AH163" i="178"/>
  <c r="AV145" i="178"/>
  <c r="AH147" i="178"/>
  <c r="AH144" i="178"/>
  <c r="AV138" i="178"/>
  <c r="BQ32" i="178"/>
  <c r="I432" i="11"/>
  <c r="I9" i="11" s="1"/>
  <c r="U434" i="11"/>
  <c r="K174" i="11"/>
  <c r="K223" i="11" s="1"/>
  <c r="K247" i="11" s="1"/>
  <c r="AI434" i="11"/>
  <c r="J469" i="11"/>
  <c r="J489" i="11"/>
  <c r="K181" i="11"/>
  <c r="K230" i="11" s="1"/>
  <c r="K256" i="11" s="1"/>
  <c r="J499" i="11"/>
  <c r="J476" i="11"/>
  <c r="DA557" i="11"/>
  <c r="DH529" i="11"/>
  <c r="DH505" i="11"/>
  <c r="DH508" i="11"/>
  <c r="M431" i="11"/>
  <c r="BR548" i="11"/>
  <c r="BY548" i="11" s="1"/>
  <c r="CF548" i="11" s="1"/>
  <c r="CM548" i="11" s="1"/>
  <c r="CT548" i="11" s="1"/>
  <c r="DA548" i="11" s="1"/>
  <c r="DH548" i="11" s="1"/>
  <c r="DO548" i="11" s="1"/>
  <c r="DV548" i="11" s="1"/>
  <c r="EC548" i="11" s="1"/>
  <c r="EJ548" i="11" s="1"/>
  <c r="EQ548" i="11" s="1"/>
  <c r="BD571" i="11"/>
  <c r="BD593" i="11" s="1"/>
  <c r="BD616" i="11" s="1"/>
  <c r="J257" i="11"/>
  <c r="C264" i="11"/>
  <c r="F278" i="11"/>
  <c r="F279" i="11"/>
  <c r="F288" i="11"/>
  <c r="F290" i="11"/>
  <c r="F280" i="11"/>
  <c r="F287" i="11"/>
  <c r="F289" i="11"/>
  <c r="F301" i="11"/>
  <c r="F296" i="11"/>
  <c r="F294" i="11"/>
  <c r="F295" i="11"/>
  <c r="F303" i="11"/>
  <c r="F302" i="11"/>
  <c r="F304" i="11"/>
  <c r="F305" i="11"/>
  <c r="F284" i="11"/>
  <c r="F285" i="11"/>
  <c r="F281" i="11"/>
  <c r="F291" i="11"/>
  <c r="F282" i="11"/>
  <c r="F283" i="11"/>
  <c r="F292" i="11"/>
  <c r="F286" i="11"/>
  <c r="F293" i="11"/>
  <c r="F298" i="11"/>
  <c r="F299" i="11"/>
  <c r="F297" i="11"/>
  <c r="F300" i="11"/>
  <c r="F307" i="11"/>
  <c r="F313" i="11" s="1"/>
  <c r="BY264" i="11"/>
  <c r="AP273" i="11"/>
  <c r="F306" i="11"/>
  <c r="BK271" i="11"/>
  <c r="I257" i="11"/>
  <c r="D270" i="11"/>
  <c r="H270" i="11"/>
  <c r="AB278" i="11"/>
  <c r="AB279" i="11"/>
  <c r="AB280" i="11"/>
  <c r="AB294" i="11"/>
  <c r="AB296" i="11"/>
  <c r="AB295" i="11"/>
  <c r="AB301" i="11"/>
  <c r="AB288" i="11"/>
  <c r="AB282" i="11"/>
  <c r="AB285" i="11"/>
  <c r="AB284" i="11"/>
  <c r="AB305" i="11"/>
  <c r="AB287" i="11"/>
  <c r="AB281" i="11"/>
  <c r="AB283" i="11"/>
  <c r="AB303" i="11"/>
  <c r="AB289" i="11"/>
  <c r="AB302" i="11"/>
  <c r="AB290" i="11"/>
  <c r="AB292" i="11"/>
  <c r="AB286" i="11"/>
  <c r="AB298" i="11"/>
  <c r="AB299" i="11"/>
  <c r="AB291" i="11"/>
  <c r="AB297" i="11"/>
  <c r="AB300" i="11"/>
  <c r="AB313" i="11"/>
  <c r="AB293" i="11"/>
  <c r="C257" i="11"/>
  <c r="AB306" i="11"/>
  <c r="AB273" i="11"/>
  <c r="AB308" i="11" s="1"/>
  <c r="AB309" i="11" s="1"/>
  <c r="AB217" i="11" s="1"/>
  <c r="G273" i="11"/>
  <c r="F308" i="11"/>
  <c r="F309" i="11" s="1"/>
  <c r="BD273" i="11"/>
  <c r="E273" i="11"/>
  <c r="C423" i="11"/>
  <c r="K175" i="11"/>
  <c r="K224" i="11" s="1"/>
  <c r="K248" i="11" s="1"/>
  <c r="J470" i="11"/>
  <c r="J490" i="11"/>
  <c r="K488" i="11"/>
  <c r="K222" i="11"/>
  <c r="K246" i="11" s="1"/>
  <c r="I250" i="11"/>
  <c r="J250" i="11"/>
  <c r="C250" i="11"/>
  <c r="I423" i="11"/>
  <c r="D430" i="11"/>
  <c r="E431" i="11" s="1"/>
  <c r="I427" i="11"/>
  <c r="AB447" i="11"/>
  <c r="AB462" i="11" s="1"/>
  <c r="AB448" i="11"/>
  <c r="AB449" i="11" s="1"/>
  <c r="H430" i="11"/>
  <c r="H431" i="11" s="1"/>
  <c r="I425" i="11"/>
  <c r="BD423" i="11"/>
  <c r="BD430" i="11" s="1"/>
  <c r="C427" i="11"/>
  <c r="AW427" i="11"/>
  <c r="AW430" i="11" s="1"/>
  <c r="BY427" i="11"/>
  <c r="C425" i="11"/>
  <c r="BY465" i="11"/>
  <c r="BJ212" i="4" s="1"/>
  <c r="BJ214" i="4" s="1"/>
  <c r="BJ163" i="4" s="1"/>
  <c r="BJ167" i="4" s="1"/>
  <c r="AW264" i="11"/>
  <c r="I264" i="11"/>
  <c r="CF504" i="11"/>
  <c r="CF481" i="11"/>
  <c r="CF503" i="11"/>
  <c r="CF263" i="11" s="1"/>
  <c r="BR214" i="11"/>
  <c r="BR236" i="11"/>
  <c r="BR265" i="11" s="1"/>
  <c r="CF502" i="11"/>
  <c r="CF262" i="11" s="1"/>
  <c r="CF480" i="11"/>
  <c r="CF501" i="11"/>
  <c r="CF261" i="11" s="1"/>
  <c r="BK238" i="11"/>
  <c r="BK267" i="11" s="1"/>
  <c r="BK237" i="11"/>
  <c r="BK266" i="11" s="1"/>
  <c r="BK228" i="11"/>
  <c r="BK253" i="11" s="1"/>
  <c r="BK203" i="11"/>
  <c r="BK226" i="11" s="1"/>
  <c r="BK251" i="11" s="1"/>
  <c r="CF205" i="11"/>
  <c r="CF228" i="11" s="1"/>
  <c r="CF253" i="11" s="1"/>
  <c r="CF203" i="11"/>
  <c r="CF226" i="11" s="1"/>
  <c r="CF251" i="11" s="1"/>
  <c r="BD577" i="11"/>
  <c r="BD600" i="11" s="1"/>
  <c r="K468" i="11"/>
  <c r="L35" i="139"/>
  <c r="AP396" i="11"/>
  <c r="G431" i="11"/>
  <c r="AW578" i="11"/>
  <c r="AW601" i="11" s="1"/>
  <c r="AW456" i="11" s="1"/>
  <c r="BK394" i="11"/>
  <c r="BK395" i="11" s="1"/>
  <c r="BD391" i="11"/>
  <c r="BD390" i="11" s="1"/>
  <c r="BD394" i="11" s="1"/>
  <c r="BD395" i="11" s="1"/>
  <c r="BD384" i="11" s="1"/>
  <c r="BD383" i="11" s="1"/>
  <c r="BD406" i="11" s="1"/>
  <c r="BD462" i="11"/>
  <c r="AI628" i="11"/>
  <c r="AI629" i="11"/>
  <c r="AI671" i="11" s="1"/>
  <c r="AI630" i="11"/>
  <c r="AI672" i="11" s="1"/>
  <c r="AI636" i="11"/>
  <c r="AI678" i="11" s="1"/>
  <c r="AI631" i="11"/>
  <c r="AI443" i="11" s="1"/>
  <c r="AI633" i="11"/>
  <c r="AI622" i="11"/>
  <c r="AI664" i="11" s="1"/>
  <c r="AI634" i="11"/>
  <c r="AI639" i="11"/>
  <c r="AI681" i="11" s="1"/>
  <c r="AI637" i="11"/>
  <c r="AI632" i="11"/>
  <c r="AI621" i="11"/>
  <c r="AI663" i="11" s="1"/>
  <c r="AI635" i="11"/>
  <c r="AI624" i="11"/>
  <c r="AI441" i="11" s="1"/>
  <c r="AI625" i="11"/>
  <c r="AP436" i="11"/>
  <c r="AP466" i="11" s="1"/>
  <c r="AP467" i="11" s="1"/>
  <c r="AP384" i="11"/>
  <c r="AP383" i="11" s="1"/>
  <c r="AP406" i="11" s="1"/>
  <c r="AI436" i="11"/>
  <c r="AI466" i="11" s="1"/>
  <c r="AI467" i="11" s="1"/>
  <c r="AI384" i="11"/>
  <c r="AI383" i="11" s="1"/>
  <c r="AI406" i="11" s="1"/>
  <c r="AI627" i="11"/>
  <c r="AI626" i="11"/>
  <c r="AI623" i="11"/>
  <c r="AI665" i="11" s="1"/>
  <c r="AI446" i="11"/>
  <c r="AB437" i="11"/>
  <c r="AB433" i="11"/>
  <c r="CT471" i="11"/>
  <c r="E385" i="11"/>
  <c r="E387" i="11" s="1"/>
  <c r="E400" i="11" s="1"/>
  <c r="AW412" i="11"/>
  <c r="D77" i="11"/>
  <c r="CM501" i="11"/>
  <c r="CM261" i="11" s="1"/>
  <c r="U443" i="11"/>
  <c r="AP578" i="11"/>
  <c r="AP601" i="11" s="1"/>
  <c r="AP456" i="11" s="1"/>
  <c r="BR455" i="11"/>
  <c r="CT485" i="11"/>
  <c r="AI431" i="11"/>
  <c r="AP431" i="11"/>
  <c r="J471" i="11"/>
  <c r="K176" i="11"/>
  <c r="K225" i="11" s="1"/>
  <c r="K249" i="11" s="1"/>
  <c r="J491" i="11"/>
  <c r="J423" i="11" s="1"/>
  <c r="K117" i="178"/>
  <c r="K125" i="178" s="1"/>
  <c r="BK413" i="11"/>
  <c r="BK651" i="11" s="1"/>
  <c r="O35" i="139"/>
  <c r="I22" i="2"/>
  <c r="AV149" i="4"/>
  <c r="AV150" i="4" s="1"/>
  <c r="BJ147" i="4"/>
  <c r="C110" i="178"/>
  <c r="D110" i="178"/>
  <c r="J22" i="2"/>
  <c r="G14" i="139"/>
  <c r="G13" i="139"/>
  <c r="I100" i="2"/>
  <c r="L81" i="139"/>
  <c r="L42" i="139"/>
  <c r="BJ51" i="2"/>
  <c r="BJ59" i="2" s="1"/>
  <c r="BJ47" i="2"/>
  <c r="BJ263" i="243" s="1"/>
  <c r="BJ48" i="2"/>
  <c r="BJ57" i="2"/>
  <c r="AO99" i="4"/>
  <c r="AO111" i="4"/>
  <c r="BC112" i="4" s="1"/>
  <c r="M40" i="139"/>
  <c r="H77" i="11"/>
  <c r="G213" i="4"/>
  <c r="BD414" i="11"/>
  <c r="BD598" i="11"/>
  <c r="CT470" i="11"/>
  <c r="C465" i="11"/>
  <c r="B213" i="4" s="1"/>
  <c r="B214" i="4" s="1"/>
  <c r="B163" i="4" s="1"/>
  <c r="B167" i="4" s="1"/>
  <c r="K184" i="11"/>
  <c r="J479" i="11"/>
  <c r="J501" i="11"/>
  <c r="J261" i="11" s="1"/>
  <c r="BK555" i="11"/>
  <c r="BK556" i="11" s="1"/>
  <c r="BK527" i="11" s="1"/>
  <c r="BR526" i="11"/>
  <c r="BY490" i="11"/>
  <c r="BR576" i="11"/>
  <c r="AI544" i="11"/>
  <c r="AP544" i="11" s="1"/>
  <c r="AI570" i="11"/>
  <c r="AI546" i="11" s="1"/>
  <c r="AI615" i="11"/>
  <c r="AI460" i="11" s="1"/>
  <c r="AI638" i="11"/>
  <c r="AI680" i="11" s="1"/>
  <c r="AI445" i="11"/>
  <c r="BK593" i="11"/>
  <c r="BK616" i="11" s="1"/>
  <c r="BK461" i="11" s="1"/>
  <c r="CF509" i="11"/>
  <c r="CF510" i="11"/>
  <c r="BY491" i="11"/>
  <c r="K503" i="11"/>
  <c r="K263" i="11" s="1"/>
  <c r="K481" i="11"/>
  <c r="CM455" i="11"/>
  <c r="K100" i="2"/>
  <c r="B13" i="139"/>
  <c r="B14" i="139"/>
  <c r="E22" i="2"/>
  <c r="E156" i="243"/>
  <c r="H42" i="139"/>
  <c r="H35" i="139"/>
  <c r="H81" i="139"/>
  <c r="AA156" i="243"/>
  <c r="L14" i="139"/>
  <c r="L13" i="139"/>
  <c r="AA22" i="2"/>
  <c r="P81" i="139"/>
  <c r="P35" i="139"/>
  <c r="D22" i="2"/>
  <c r="D27" i="2" s="1"/>
  <c r="D38" i="2" s="1"/>
  <c r="D156" i="243"/>
  <c r="E14" i="139"/>
  <c r="E13" i="139"/>
  <c r="H156" i="243"/>
  <c r="H22" i="2"/>
  <c r="BD558" i="11"/>
  <c r="BD580" i="11" s="1"/>
  <c r="BK530" i="11"/>
  <c r="CM482" i="11"/>
  <c r="BR489" i="11"/>
  <c r="BK575" i="11"/>
  <c r="BK598" i="11" s="1"/>
  <c r="BR227" i="11"/>
  <c r="BR252" i="11" s="1"/>
  <c r="BY494" i="11"/>
  <c r="BR488" i="11"/>
  <c r="AW580" i="11"/>
  <c r="I465" i="11"/>
  <c r="F212" i="4" s="1"/>
  <c r="F214" i="4" s="1"/>
  <c r="BY512" i="11"/>
  <c r="BY493" i="11"/>
  <c r="BD574" i="11"/>
  <c r="CT468" i="11"/>
  <c r="BR499" i="11"/>
  <c r="BY553" i="11"/>
  <c r="CF524" i="11"/>
  <c r="G35" i="139"/>
  <c r="G42" i="139"/>
  <c r="G81" i="139"/>
  <c r="AW384" i="11"/>
  <c r="AW383" i="11" s="1"/>
  <c r="AW406" i="11" s="1"/>
  <c r="AW275" i="11" s="1"/>
  <c r="AW436" i="11"/>
  <c r="AW466" i="11" s="1"/>
  <c r="AW467" i="11" s="1"/>
  <c r="AW396" i="11"/>
  <c r="J504" i="11"/>
  <c r="K187" i="11"/>
  <c r="K504" i="11" s="1"/>
  <c r="BY554" i="11"/>
  <c r="CF525" i="11"/>
  <c r="J432" i="11"/>
  <c r="J9" i="11" s="1"/>
  <c r="K271" i="11"/>
  <c r="BK587" i="11"/>
  <c r="BY495" i="11"/>
  <c r="BD565" i="11"/>
  <c r="BD566" i="11" s="1"/>
  <c r="BD588" i="11"/>
  <c r="BY506" i="11"/>
  <c r="N35" i="139"/>
  <c r="BS16" i="220"/>
  <c r="CZ18" i="4"/>
  <c r="CT495" i="11"/>
  <c r="DA495" i="11" s="1"/>
  <c r="CT494" i="11"/>
  <c r="CT493" i="11"/>
  <c r="DA493" i="11" s="1"/>
  <c r="BJ35" i="178"/>
  <c r="BJ53" i="178"/>
  <c r="BJ50" i="178" s="1"/>
  <c r="BJ51" i="178" s="1"/>
  <c r="AH32" i="178"/>
  <c r="G70" i="139"/>
  <c r="CS65" i="4"/>
  <c r="CS89" i="4" s="1"/>
  <c r="CS143" i="4"/>
  <c r="BQ47" i="2"/>
  <c r="BQ263" i="243" s="1"/>
  <c r="BQ57" i="2"/>
  <c r="BQ48" i="2"/>
  <c r="BQ51" i="2"/>
  <c r="BQ59" i="2" s="1"/>
  <c r="BD432" i="11"/>
  <c r="AV154" i="178"/>
  <c r="AV158" i="178"/>
  <c r="AV149" i="178"/>
  <c r="CM478" i="11"/>
  <c r="AW535" i="11"/>
  <c r="AP561" i="11"/>
  <c r="BX53" i="178"/>
  <c r="BX50" i="178" s="1"/>
  <c r="BX51" i="178" s="1"/>
  <c r="BJ100" i="2"/>
  <c r="BD645" i="11"/>
  <c r="BD648" i="11"/>
  <c r="F125" i="178"/>
  <c r="G387" i="11"/>
  <c r="G400" i="11" s="1"/>
  <c r="G404" i="11" s="1"/>
  <c r="G10" i="11" s="1"/>
  <c r="G5" i="11" s="1"/>
  <c r="G391" i="11" s="1"/>
  <c r="CM473" i="11"/>
  <c r="CM227" i="11"/>
  <c r="CM483" i="11"/>
  <c r="U5" i="139"/>
  <c r="CE162" i="4"/>
  <c r="CE101" i="2"/>
  <c r="E9" i="139"/>
  <c r="H101" i="178"/>
  <c r="G115" i="178"/>
  <c r="G117" i="178" s="1"/>
  <c r="G103" i="178"/>
  <c r="G110" i="178" s="1"/>
  <c r="BD536" i="11"/>
  <c r="AW562" i="11"/>
  <c r="AW584" i="11" s="1"/>
  <c r="J502" i="11"/>
  <c r="J262" i="11" s="1"/>
  <c r="K185" i="11"/>
  <c r="J480" i="11"/>
  <c r="D466" i="11"/>
  <c r="D467" i="11" s="1"/>
  <c r="BX98" i="2"/>
  <c r="CE87" i="4"/>
  <c r="CE70" i="4"/>
  <c r="AP607" i="11"/>
  <c r="L70" i="139"/>
  <c r="L7" i="139"/>
  <c r="J498" i="11"/>
  <c r="J475" i="11"/>
  <c r="K180" i="11"/>
  <c r="K229" i="11" s="1"/>
  <c r="K255" i="11" s="1"/>
  <c r="AB431" i="11"/>
  <c r="CW56" i="178" l="1"/>
  <c r="CW57" i="178" s="1"/>
  <c r="O16" i="139"/>
  <c r="CU56" i="178"/>
  <c r="CU57" i="178" s="1"/>
  <c r="BN171" i="243"/>
  <c r="CP73" i="178"/>
  <c r="BN165" i="243"/>
  <c r="J100" i="2"/>
  <c r="BN159" i="243"/>
  <c r="BN179" i="243"/>
  <c r="BN176" i="243"/>
  <c r="BN162" i="243"/>
  <c r="BN168" i="243"/>
  <c r="AN32" i="178"/>
  <c r="DU32" i="2"/>
  <c r="DU35" i="2" s="1"/>
  <c r="S35" i="220"/>
  <c r="X43" i="178"/>
  <c r="AE30" i="178"/>
  <c r="AE73" i="178"/>
  <c r="AL30" i="178"/>
  <c r="S32" i="220"/>
  <c r="BG35" i="178"/>
  <c r="BG38" i="178"/>
  <c r="AE32" i="178"/>
  <c r="AS45" i="178"/>
  <c r="AS41" i="178"/>
  <c r="AZ41" i="178"/>
  <c r="Q31" i="178"/>
  <c r="X32" i="178" s="1"/>
  <c r="Q37" i="178"/>
  <c r="BN31" i="178"/>
  <c r="BN37" i="178"/>
  <c r="BN28" i="178"/>
  <c r="BU28" i="178"/>
  <c r="BG46" i="178"/>
  <c r="BG43" i="178"/>
  <c r="Q34" i="178"/>
  <c r="Q38" i="178" s="1"/>
  <c r="S38" i="178"/>
  <c r="BP32" i="178"/>
  <c r="BW32" i="178"/>
  <c r="AS156" i="243"/>
  <c r="BG41" i="178"/>
  <c r="BG45" i="178"/>
  <c r="Z38" i="178"/>
  <c r="Z35" i="178"/>
  <c r="X34" i="178"/>
  <c r="AU32" i="178"/>
  <c r="BB32" i="178"/>
  <c r="BN38" i="178"/>
  <c r="BN35" i="178"/>
  <c r="BU35" i="178"/>
  <c r="AE38" i="178"/>
  <c r="X41" i="178"/>
  <c r="AU38" i="178"/>
  <c r="AU35" i="178"/>
  <c r="AS34" i="178"/>
  <c r="BB35" i="178"/>
  <c r="BX98" i="11"/>
  <c r="AL37" i="178"/>
  <c r="AL31" i="178"/>
  <c r="AL32" i="178" s="1"/>
  <c r="AL28" i="178"/>
  <c r="BN41" i="178"/>
  <c r="AS37" i="178"/>
  <c r="AS31" i="178"/>
  <c r="AS28" i="178"/>
  <c r="AZ28" i="178"/>
  <c r="AU13" i="2"/>
  <c r="AU156" i="243" s="1"/>
  <c r="AL35" i="178"/>
  <c r="AL38" i="178"/>
  <c r="DN35" i="2"/>
  <c r="BQ62" i="242"/>
  <c r="BJ62" i="242"/>
  <c r="U35" i="220"/>
  <c r="AP35" i="220"/>
  <c r="AN34" i="220"/>
  <c r="BD35" i="220"/>
  <c r="BB34" i="220"/>
  <c r="BK35" i="220"/>
  <c r="BI32" i="220"/>
  <c r="BB32" i="220"/>
  <c r="BB37" i="220"/>
  <c r="BB38" i="220" s="1"/>
  <c r="Z37" i="220"/>
  <c r="Z38" i="220" s="1"/>
  <c r="Z32" i="220"/>
  <c r="AI35" i="220"/>
  <c r="AG34" i="220"/>
  <c r="AG35" i="220" s="1"/>
  <c r="AG32" i="220"/>
  <c r="AG37" i="220"/>
  <c r="AG38" i="220" s="1"/>
  <c r="AW35" i="220"/>
  <c r="AU34" i="220"/>
  <c r="Z35" i="220"/>
  <c r="AU37" i="220"/>
  <c r="AU38" i="220" s="1"/>
  <c r="AU32" i="220"/>
  <c r="AN32" i="220"/>
  <c r="AN37" i="220"/>
  <c r="AN38" i="220" s="1"/>
  <c r="BQ96" i="11"/>
  <c r="BQ98" i="11" s="1"/>
  <c r="BO98" i="11"/>
  <c r="CL95" i="11"/>
  <c r="CL98" i="11" s="1"/>
  <c r="CJ98" i="11"/>
  <c r="BV98" i="11"/>
  <c r="BJ61" i="242"/>
  <c r="BQ61" i="242"/>
  <c r="Q45" i="242"/>
  <c r="Q49" i="242" s="1"/>
  <c r="Q42" i="242"/>
  <c r="S45" i="242"/>
  <c r="S49" i="242" s="1"/>
  <c r="S42" i="242"/>
  <c r="X42" i="242"/>
  <c r="X45" i="242"/>
  <c r="Z21" i="242"/>
  <c r="BP42" i="242"/>
  <c r="BP45" i="242"/>
  <c r="BP49" i="242" s="1"/>
  <c r="BN45" i="242"/>
  <c r="BN49" i="242" s="1"/>
  <c r="BN42" i="242"/>
  <c r="BI63" i="2"/>
  <c r="S65" i="2"/>
  <c r="S66" i="2"/>
  <c r="Q65" i="2"/>
  <c r="Q66" i="2"/>
  <c r="S62" i="2"/>
  <c r="S61" i="2"/>
  <c r="Q61" i="2"/>
  <c r="Q62" i="2"/>
  <c r="AG42" i="2"/>
  <c r="AG46" i="2" s="1"/>
  <c r="AG3" i="242" s="1"/>
  <c r="AG21" i="242" s="1"/>
  <c r="AG41" i="2"/>
  <c r="AE41" i="2"/>
  <c r="AE42" i="2"/>
  <c r="AE46" i="2" s="1"/>
  <c r="AE3" i="242" s="1"/>
  <c r="AE21" i="242" s="1"/>
  <c r="BG63" i="2"/>
  <c r="AZ63" i="2"/>
  <c r="BN51" i="2"/>
  <c r="BN59" i="2" s="1"/>
  <c r="BN48" i="2"/>
  <c r="BN47" i="2"/>
  <c r="BN57" i="2"/>
  <c r="BP47" i="2"/>
  <c r="BP51" i="2"/>
  <c r="BP59" i="2" s="1"/>
  <c r="BP48" i="2"/>
  <c r="BP57" i="2"/>
  <c r="DM33" i="242"/>
  <c r="DK33" i="242" s="1"/>
  <c r="DT33" i="242"/>
  <c r="DR33" i="242" s="1"/>
  <c r="DM32" i="2"/>
  <c r="AP434" i="11"/>
  <c r="BK432" i="11"/>
  <c r="BK272" i="11"/>
  <c r="Y94" i="139"/>
  <c r="Z8" i="139"/>
  <c r="BJ78" i="242"/>
  <c r="BQ78" i="242"/>
  <c r="EB54" i="178"/>
  <c r="DQ54" i="178"/>
  <c r="DQ53" i="178" s="1"/>
  <c r="DO54" i="178"/>
  <c r="DO53" i="178" s="1"/>
  <c r="DS54" i="178"/>
  <c r="DC65" i="4"/>
  <c r="DC89" i="4" s="1"/>
  <c r="DC104" i="4" s="1"/>
  <c r="CA21" i="220"/>
  <c r="CE21" i="220"/>
  <c r="CF21" i="220" s="1"/>
  <c r="BY21" i="220"/>
  <c r="BW21" i="220" s="1"/>
  <c r="CW65" i="4" s="1"/>
  <c r="CZ65" i="4"/>
  <c r="CZ89" i="4" s="1"/>
  <c r="CZ104" i="4" s="1"/>
  <c r="DL15" i="178"/>
  <c r="DJ15" i="178"/>
  <c r="DH15" i="178"/>
  <c r="DH14" i="178" s="1"/>
  <c r="DV116" i="4" s="1"/>
  <c r="DU15" i="178"/>
  <c r="DF29" i="178"/>
  <c r="DN29" i="178"/>
  <c r="X65" i="139"/>
  <c r="F57" i="139"/>
  <c r="F34" i="139"/>
  <c r="D57" i="139"/>
  <c r="D34" i="139"/>
  <c r="E57" i="139"/>
  <c r="E34" i="139"/>
  <c r="C29" i="139"/>
  <c r="C57" i="139"/>
  <c r="C34" i="139"/>
  <c r="EB266" i="243"/>
  <c r="AA4" i="139"/>
  <c r="K27" i="2"/>
  <c r="K38" i="2" s="1"/>
  <c r="K41" i="2" s="1"/>
  <c r="EB59" i="4"/>
  <c r="DZ30" i="4"/>
  <c r="EI30" i="4"/>
  <c r="DT123" i="4"/>
  <c r="DT30" i="4"/>
  <c r="DZ123" i="4"/>
  <c r="G21" i="242"/>
  <c r="G42" i="242" s="1"/>
  <c r="G41" i="242" s="1"/>
  <c r="AV42" i="2"/>
  <c r="AV46" i="2" s="1"/>
  <c r="AV51" i="2" s="1"/>
  <c r="AV59" i="2" s="1"/>
  <c r="M156" i="243"/>
  <c r="M100" i="2"/>
  <c r="J16" i="139"/>
  <c r="M27" i="2"/>
  <c r="BC42" i="2"/>
  <c r="BC46" i="2" s="1"/>
  <c r="BC3" i="242" s="1"/>
  <c r="BC21" i="242" s="1"/>
  <c r="AV156" i="178"/>
  <c r="D29" i="139"/>
  <c r="L47" i="2"/>
  <c r="L3" i="242"/>
  <c r="L21" i="242" s="1"/>
  <c r="AV147" i="178"/>
  <c r="L57" i="2"/>
  <c r="G112" i="243"/>
  <c r="G110" i="243"/>
  <c r="I115" i="243"/>
  <c r="I119" i="243" s="1"/>
  <c r="H103" i="243"/>
  <c r="H102" i="243" s="1"/>
  <c r="H111" i="243" s="1"/>
  <c r="L51" i="2"/>
  <c r="L59" i="2" s="1"/>
  <c r="BY19" i="220"/>
  <c r="BW18" i="220"/>
  <c r="AO162" i="178"/>
  <c r="AV163" i="178"/>
  <c r="AV144" i="178"/>
  <c r="T42" i="2"/>
  <c r="T46" i="2" s="1"/>
  <c r="T41" i="2"/>
  <c r="DU81" i="242"/>
  <c r="DU84" i="242"/>
  <c r="DN81" i="242"/>
  <c r="EB83" i="242"/>
  <c r="EB33" i="242"/>
  <c r="U6" i="139"/>
  <c r="E29" i="139"/>
  <c r="H27" i="2"/>
  <c r="H38" i="2" s="1"/>
  <c r="H42" i="2" s="1"/>
  <c r="H46" i="2" s="1"/>
  <c r="H3" i="242" s="1"/>
  <c r="H21" i="242" s="1"/>
  <c r="H56" i="242" s="1"/>
  <c r="E16" i="139"/>
  <c r="J27" i="2"/>
  <c r="J38" i="2" s="1"/>
  <c r="G16" i="139"/>
  <c r="I27" i="2"/>
  <c r="I38" i="2" s="1"/>
  <c r="F16" i="139"/>
  <c r="E27" i="2"/>
  <c r="E38" i="2" s="1"/>
  <c r="E42" i="2" s="1"/>
  <c r="E46" i="2" s="1"/>
  <c r="B16" i="139"/>
  <c r="F41" i="2"/>
  <c r="F56" i="2" s="1"/>
  <c r="F42" i="2"/>
  <c r="F46" i="2" s="1"/>
  <c r="F3" i="242" s="1"/>
  <c r="F21" i="242" s="1"/>
  <c r="F42" i="242" s="1"/>
  <c r="F41" i="242" s="1"/>
  <c r="F29" i="139"/>
  <c r="G29" i="139"/>
  <c r="AA27" i="2"/>
  <c r="AA38" i="2" s="1"/>
  <c r="L16" i="139"/>
  <c r="M15" i="139"/>
  <c r="AH38" i="2"/>
  <c r="E51" i="139"/>
  <c r="E50" i="139"/>
  <c r="AH153" i="178"/>
  <c r="AV153" i="178" s="1"/>
  <c r="AH162" i="178"/>
  <c r="K489" i="11"/>
  <c r="CM252" i="11"/>
  <c r="CM333" i="11"/>
  <c r="K469" i="11"/>
  <c r="K499" i="11"/>
  <c r="K476" i="11"/>
  <c r="BK647" i="11"/>
  <c r="BK645" i="11" s="1"/>
  <c r="BK649" i="11" s="1"/>
  <c r="BY413" i="11"/>
  <c r="BY651" i="11" s="1"/>
  <c r="DO505" i="11"/>
  <c r="DH495" i="11"/>
  <c r="DH493" i="11"/>
  <c r="DA579" i="11"/>
  <c r="DO508" i="11"/>
  <c r="DO529" i="11"/>
  <c r="DH557" i="11"/>
  <c r="DA494" i="11"/>
  <c r="K470" i="11"/>
  <c r="AB434" i="11"/>
  <c r="AB311" i="11"/>
  <c r="AB315" i="11" s="1"/>
  <c r="AB312" i="11"/>
  <c r="AB316" i="11" s="1"/>
  <c r="F317" i="11"/>
  <c r="F311" i="11"/>
  <c r="F315" i="11" s="1"/>
  <c r="AB317" i="11"/>
  <c r="F312" i="11"/>
  <c r="F316" i="11" s="1"/>
  <c r="K490" i="11"/>
  <c r="AP630" i="11"/>
  <c r="AP672" i="11" s="1"/>
  <c r="AI275" i="11"/>
  <c r="BD639" i="11"/>
  <c r="BD681" i="11" s="1"/>
  <c r="BD275" i="11"/>
  <c r="BD308" i="11" s="1"/>
  <c r="I270" i="11"/>
  <c r="D273" i="11"/>
  <c r="BR271" i="11"/>
  <c r="AW278" i="11"/>
  <c r="AW279" i="11"/>
  <c r="AW280" i="11"/>
  <c r="AW301" i="11"/>
  <c r="AW283" i="11"/>
  <c r="AW294" i="11"/>
  <c r="AW289" i="11"/>
  <c r="AW305" i="11"/>
  <c r="AW287" i="11"/>
  <c r="AW288" i="11"/>
  <c r="AW282" i="11"/>
  <c r="AW291" i="11"/>
  <c r="AW281" i="11"/>
  <c r="AW285" i="11"/>
  <c r="AW284" i="11"/>
  <c r="AW303" i="11"/>
  <c r="AW290" i="11"/>
  <c r="AW292" i="11"/>
  <c r="AW286" i="11"/>
  <c r="AW295" i="11"/>
  <c r="AW296" i="11"/>
  <c r="AW293" i="11"/>
  <c r="AW302" i="11"/>
  <c r="AW313" i="11"/>
  <c r="AW304" i="11"/>
  <c r="AW297" i="11"/>
  <c r="K257" i="11"/>
  <c r="AW634" i="11"/>
  <c r="AP275" i="11"/>
  <c r="C270" i="11"/>
  <c r="H273" i="11"/>
  <c r="AW300" i="11"/>
  <c r="AW270" i="11"/>
  <c r="AW299" i="11"/>
  <c r="AW298" i="11"/>
  <c r="BK254" i="11"/>
  <c r="CF254" i="11"/>
  <c r="K250" i="11"/>
  <c r="CF264" i="11"/>
  <c r="D385" i="11"/>
  <c r="D387" i="11" s="1"/>
  <c r="D400" i="11" s="1"/>
  <c r="C430" i="11"/>
  <c r="D431" i="11" s="1"/>
  <c r="I430" i="11"/>
  <c r="I431" i="11" s="1"/>
  <c r="BK428" i="11"/>
  <c r="CF579" i="11"/>
  <c r="CF427" i="11"/>
  <c r="BK268" i="11"/>
  <c r="J425" i="11"/>
  <c r="CF424" i="11"/>
  <c r="J427" i="11"/>
  <c r="CE213" i="4"/>
  <c r="BK424" i="11"/>
  <c r="J264" i="11"/>
  <c r="CF465" i="11"/>
  <c r="CL213" i="4" s="1"/>
  <c r="CM504" i="11"/>
  <c r="BY214" i="11"/>
  <c r="BY236" i="11"/>
  <c r="BY265" i="11" s="1"/>
  <c r="CM479" i="11"/>
  <c r="CM502" i="11"/>
  <c r="CM262" i="11" s="1"/>
  <c r="CM480" i="11"/>
  <c r="BR238" i="11"/>
  <c r="BR267" i="11" s="1"/>
  <c r="BR237" i="11"/>
  <c r="BR266" i="11" s="1"/>
  <c r="CM481" i="11"/>
  <c r="CM503" i="11"/>
  <c r="CM263" i="11" s="1"/>
  <c r="BD396" i="11"/>
  <c r="BR203" i="11"/>
  <c r="BR226" i="11" s="1"/>
  <c r="BR251" i="11" s="1"/>
  <c r="BR228" i="11"/>
  <c r="BR253" i="11" s="1"/>
  <c r="CM205" i="11"/>
  <c r="CM228" i="11" s="1"/>
  <c r="CM203" i="11"/>
  <c r="CM226" i="11" s="1"/>
  <c r="CM251" i="11" s="1"/>
  <c r="H385" i="11"/>
  <c r="H387" i="11" s="1"/>
  <c r="H400" i="11" s="1"/>
  <c r="BD578" i="11"/>
  <c r="BD624" i="11" s="1"/>
  <c r="BD666" i="11" s="1"/>
  <c r="AP623" i="11"/>
  <c r="AP665" i="11" s="1"/>
  <c r="BD632" i="11"/>
  <c r="BD436" i="11"/>
  <c r="BD466" i="11" s="1"/>
  <c r="BD467" i="11" s="1"/>
  <c r="BD633" i="11"/>
  <c r="BD634" i="11"/>
  <c r="BD621" i="11"/>
  <c r="BD663" i="11" s="1"/>
  <c r="BD622" i="11"/>
  <c r="BD664" i="11" s="1"/>
  <c r="BD623" i="11"/>
  <c r="BD665" i="11" s="1"/>
  <c r="BD635" i="11"/>
  <c r="BD625" i="11"/>
  <c r="AI447" i="11"/>
  <c r="AI462" i="11" s="1"/>
  <c r="AI673" i="11"/>
  <c r="BK436" i="11"/>
  <c r="BK466" i="11" s="1"/>
  <c r="BK467" i="11" s="1"/>
  <c r="BK384" i="11"/>
  <c r="BK383" i="11" s="1"/>
  <c r="BK406" i="11" s="1"/>
  <c r="BK396" i="11"/>
  <c r="AW621" i="11"/>
  <c r="AW663" i="11" s="1"/>
  <c r="AI666" i="11"/>
  <c r="AP437" i="11"/>
  <c r="AI437" i="11"/>
  <c r="AI620" i="11"/>
  <c r="AI662" i="11" s="1"/>
  <c r="AP637" i="11"/>
  <c r="AP632" i="11"/>
  <c r="AP635" i="11"/>
  <c r="AP622" i="11"/>
  <c r="AP664" i="11" s="1"/>
  <c r="AP446" i="11"/>
  <c r="AP625" i="11"/>
  <c r="AP633" i="11"/>
  <c r="AI407" i="11"/>
  <c r="AP639" i="11"/>
  <c r="AP681" i="11" s="1"/>
  <c r="AP634" i="11"/>
  <c r="AP626" i="11"/>
  <c r="AP668" i="11" s="1"/>
  <c r="AP621" i="11"/>
  <c r="AP663" i="11" s="1"/>
  <c r="AP628" i="11"/>
  <c r="AP627" i="11"/>
  <c r="U431" i="11"/>
  <c r="N433" i="11"/>
  <c r="N434" i="11" s="1"/>
  <c r="AW431" i="11"/>
  <c r="AW433" i="11"/>
  <c r="U448" i="11"/>
  <c r="U449" i="11" s="1"/>
  <c r="U447" i="11"/>
  <c r="BR413" i="11"/>
  <c r="BR651" i="11" s="1"/>
  <c r="AW413" i="11"/>
  <c r="AW651" i="11" s="1"/>
  <c r="AW624" i="11"/>
  <c r="AW666" i="11" s="1"/>
  <c r="AW414" i="11"/>
  <c r="AP624" i="11"/>
  <c r="AP441" i="11" s="1"/>
  <c r="AW623" i="11"/>
  <c r="AW665" i="11" s="1"/>
  <c r="AW625" i="11"/>
  <c r="AP620" i="11"/>
  <c r="AW622" i="11"/>
  <c r="AW664" i="11" s="1"/>
  <c r="AW635" i="11"/>
  <c r="C77" i="11"/>
  <c r="AW632" i="11"/>
  <c r="AW639" i="11"/>
  <c r="AW681" i="11" s="1"/>
  <c r="AW633" i="11"/>
  <c r="AP407" i="11"/>
  <c r="N431" i="11"/>
  <c r="I77" i="11"/>
  <c r="K471" i="11"/>
  <c r="K491" i="11"/>
  <c r="K423" i="11" s="1"/>
  <c r="O70" i="139"/>
  <c r="BJ149" i="4"/>
  <c r="BJ150" i="4" s="1"/>
  <c r="BQ147" i="4"/>
  <c r="BJ62" i="2"/>
  <c r="P20" i="139"/>
  <c r="P43" i="139" s="1"/>
  <c r="BJ61" i="2"/>
  <c r="BJ65" i="2"/>
  <c r="BJ262" i="243" s="1"/>
  <c r="BJ66" i="2"/>
  <c r="AO112" i="4"/>
  <c r="AO18" i="2"/>
  <c r="AO13" i="2" s="1"/>
  <c r="AV112" i="4"/>
  <c r="AI641" i="11"/>
  <c r="AI642" i="11" s="1"/>
  <c r="BK577" i="11"/>
  <c r="BK600" i="11" s="1"/>
  <c r="BR599" i="11"/>
  <c r="BY526" i="11"/>
  <c r="BR555" i="11"/>
  <c r="BR556" i="11" s="1"/>
  <c r="BR527" i="11" s="1"/>
  <c r="BD655" i="11"/>
  <c r="K501" i="11"/>
  <c r="K261" i="11" s="1"/>
  <c r="K479" i="11"/>
  <c r="J465" i="11"/>
  <c r="I213" i="4" s="1"/>
  <c r="I214" i="4" s="1"/>
  <c r="AW544" i="11"/>
  <c r="AP568" i="11"/>
  <c r="BY576" i="11"/>
  <c r="BY599" i="11" s="1"/>
  <c r="CF490" i="11"/>
  <c r="H213" i="4"/>
  <c r="CM509" i="11"/>
  <c r="CM510" i="11"/>
  <c r="BK621" i="11"/>
  <c r="BK663" i="11" s="1"/>
  <c r="CF491" i="11"/>
  <c r="E100" i="2"/>
  <c r="AW437" i="11"/>
  <c r="D41" i="2"/>
  <c r="D56" i="2" s="1"/>
  <c r="D102" i="2" s="1"/>
  <c r="D42" i="2"/>
  <c r="D46" i="2" s="1"/>
  <c r="CS104" i="4"/>
  <c r="H100" i="2"/>
  <c r="AA100" i="2"/>
  <c r="D100" i="2"/>
  <c r="G7" i="139"/>
  <c r="BY489" i="11"/>
  <c r="BR575" i="11"/>
  <c r="BR571" i="11"/>
  <c r="BR593" i="11" s="1"/>
  <c r="BR616" i="11" s="1"/>
  <c r="BR461" i="11" s="1"/>
  <c r="BY227" i="11"/>
  <c r="BY252" i="11" s="1"/>
  <c r="C42" i="2"/>
  <c r="C41" i="2"/>
  <c r="C56" i="2" s="1"/>
  <c r="C102" i="2" s="1"/>
  <c r="CF512" i="11"/>
  <c r="C100" i="2"/>
  <c r="G57" i="2"/>
  <c r="G48" i="2"/>
  <c r="G47" i="2"/>
  <c r="G402" i="11"/>
  <c r="G405" i="11" s="1"/>
  <c r="BK574" i="11"/>
  <c r="CT482" i="11"/>
  <c r="BD529" i="11"/>
  <c r="BR530" i="11"/>
  <c r="BK558" i="11"/>
  <c r="BK580" i="11" s="1"/>
  <c r="BK603" i="11" s="1"/>
  <c r="BK602" i="11" s="1"/>
  <c r="BK579" i="11" s="1"/>
  <c r="AW603" i="11"/>
  <c r="AW604" i="11" s="1"/>
  <c r="AW581" i="11" s="1"/>
  <c r="AW582" i="11" s="1"/>
  <c r="AW626" i="11"/>
  <c r="AW668" i="11" s="1"/>
  <c r="BY488" i="11"/>
  <c r="BD603" i="11"/>
  <c r="BD626" i="11"/>
  <c r="BD668" i="11" s="1"/>
  <c r="CF506" i="11"/>
  <c r="BK622" i="11"/>
  <c r="BK664" i="11" s="1"/>
  <c r="BK640" i="11"/>
  <c r="BK440" i="11" s="1"/>
  <c r="BK632" i="11"/>
  <c r="AW620" i="11"/>
  <c r="AW407" i="11"/>
  <c r="BK635" i="11"/>
  <c r="BD407" i="11"/>
  <c r="BK588" i="11"/>
  <c r="BK565" i="11"/>
  <c r="BK633" i="11"/>
  <c r="BK675" i="11" s="1"/>
  <c r="L271" i="11"/>
  <c r="K432" i="11"/>
  <c r="K9" i="11" s="1"/>
  <c r="CM524" i="11"/>
  <c r="CM553" i="11" s="1"/>
  <c r="CF553" i="11"/>
  <c r="BK504" i="11"/>
  <c r="BK501" i="11"/>
  <c r="BK261" i="11" s="1"/>
  <c r="BK502" i="11"/>
  <c r="BK262" i="11" s="1"/>
  <c r="BK503" i="11"/>
  <c r="BK263" i="11" s="1"/>
  <c r="CM525" i="11"/>
  <c r="CM554" i="11" s="1"/>
  <c r="CF554" i="11"/>
  <c r="BY499" i="11"/>
  <c r="DU18" i="4"/>
  <c r="CS45" i="4"/>
  <c r="D70" i="139"/>
  <c r="CZ143" i="4"/>
  <c r="BQ61" i="2"/>
  <c r="Q20" i="139"/>
  <c r="Q43" i="139" s="1"/>
  <c r="BQ62" i="2"/>
  <c r="BQ66" i="2"/>
  <c r="BQ65" i="2"/>
  <c r="BQ262" i="243" s="1"/>
  <c r="K70" i="139"/>
  <c r="K7" i="139"/>
  <c r="CE53" i="178"/>
  <c r="CE50" i="178" s="1"/>
  <c r="CE51" i="178" s="1"/>
  <c r="CK34" i="178"/>
  <c r="AP563" i="11"/>
  <c r="AP537" i="11" s="1"/>
  <c r="AP583" i="11"/>
  <c r="E47" i="139"/>
  <c r="H97" i="2"/>
  <c r="E49" i="139"/>
  <c r="BD535" i="11"/>
  <c r="AW561" i="11"/>
  <c r="BD562" i="11"/>
  <c r="BD584" i="11" s="1"/>
  <c r="BK536" i="11"/>
  <c r="H115" i="178"/>
  <c r="H117" i="178" s="1"/>
  <c r="I101" i="178"/>
  <c r="H103" i="178"/>
  <c r="H110" i="178" s="1"/>
  <c r="AI448" i="11"/>
  <c r="CE94" i="4"/>
  <c r="E389" i="11"/>
  <c r="E393" i="11" s="1"/>
  <c r="E406" i="11"/>
  <c r="F402" i="11"/>
  <c r="F404" i="11"/>
  <c r="F10" i="11" s="1"/>
  <c r="F5" i="11" s="1"/>
  <c r="F391" i="11" s="1"/>
  <c r="F390" i="11" s="1"/>
  <c r="F394" i="11" s="1"/>
  <c r="F395" i="11" s="1"/>
  <c r="F436" i="11" s="1"/>
  <c r="CE98" i="2"/>
  <c r="BX28" i="178"/>
  <c r="G389" i="11"/>
  <c r="G393" i="11" s="1"/>
  <c r="G406" i="11"/>
  <c r="G275" i="11" s="1"/>
  <c r="G308" i="11" s="1"/>
  <c r="G309" i="11" s="1"/>
  <c r="M70" i="139"/>
  <c r="M7" i="139"/>
  <c r="I70" i="139"/>
  <c r="I7" i="139"/>
  <c r="K475" i="11"/>
  <c r="K498" i="11"/>
  <c r="L9" i="139"/>
  <c r="K480" i="11"/>
  <c r="K502" i="11"/>
  <c r="K262" i="11" s="1"/>
  <c r="AW607" i="11"/>
  <c r="AW630" i="11"/>
  <c r="AW672" i="11" s="1"/>
  <c r="G125" i="178"/>
  <c r="C466" i="11"/>
  <c r="C467" i="11" s="1"/>
  <c r="E73" i="139"/>
  <c r="BD649" i="11"/>
  <c r="E21" i="244" l="1"/>
  <c r="D21" i="244" s="1"/>
  <c r="DS32" i="2"/>
  <c r="DT32" i="2" s="1"/>
  <c r="DQ32" i="2" s="1"/>
  <c r="DQ35" i="2" s="1"/>
  <c r="DQ6" i="242" s="1"/>
  <c r="DN6" i="242"/>
  <c r="DM6" i="242" s="1"/>
  <c r="CK35" i="178"/>
  <c r="CR35" i="178"/>
  <c r="CF22" i="220"/>
  <c r="CD21" i="220"/>
  <c r="CD22" i="220" s="1"/>
  <c r="EB32" i="2"/>
  <c r="EB35" i="2" s="1"/>
  <c r="AU35" i="220"/>
  <c r="X35" i="178"/>
  <c r="X38" i="178"/>
  <c r="BN32" i="178"/>
  <c r="BU32" i="178"/>
  <c r="AS32" i="178"/>
  <c r="AZ32" i="178"/>
  <c r="AS38" i="178"/>
  <c r="AS35" i="178"/>
  <c r="AZ35" i="178"/>
  <c r="AE35" i="178"/>
  <c r="AN35" i="220"/>
  <c r="BB35" i="220"/>
  <c r="BI35" i="220"/>
  <c r="S58" i="242"/>
  <c r="S60" i="242" s="1"/>
  <c r="S56" i="242"/>
  <c r="S61" i="242" s="1"/>
  <c r="Q56" i="242"/>
  <c r="Q61" i="242" s="1"/>
  <c r="Q58" i="242"/>
  <c r="Q60" i="242" s="1"/>
  <c r="Z45" i="242"/>
  <c r="Z42" i="242"/>
  <c r="AE42" i="242"/>
  <c r="AE45" i="242"/>
  <c r="AE49" i="242" s="1"/>
  <c r="AG42" i="242"/>
  <c r="AG45" i="242"/>
  <c r="AG49" i="242" s="1"/>
  <c r="BP56" i="242"/>
  <c r="BP61" i="242" s="1"/>
  <c r="BP58" i="242"/>
  <c r="BP60" i="242" s="1"/>
  <c r="BN58" i="242"/>
  <c r="BN60" i="242" s="1"/>
  <c r="BN56" i="242"/>
  <c r="BN61" i="242" s="1"/>
  <c r="L42" i="242"/>
  <c r="L56" i="242"/>
  <c r="BC68" i="242"/>
  <c r="BC73" i="242" s="1"/>
  <c r="BC45" i="242"/>
  <c r="BC49" i="242" s="1"/>
  <c r="AE47" i="2"/>
  <c r="AE51" i="2"/>
  <c r="AE59" i="2" s="1"/>
  <c r="AE48" i="2"/>
  <c r="AE57" i="2"/>
  <c r="AG51" i="2"/>
  <c r="AG59" i="2" s="1"/>
  <c r="AG47" i="2"/>
  <c r="AG48" i="2"/>
  <c r="AG57" i="2"/>
  <c r="BP61" i="2"/>
  <c r="BP62" i="2"/>
  <c r="BN62" i="2"/>
  <c r="BN61" i="2"/>
  <c r="BP65" i="2"/>
  <c r="BP66" i="2"/>
  <c r="BN66" i="2"/>
  <c r="BN65" i="2"/>
  <c r="EA33" i="242"/>
  <c r="DY33" i="242" s="1"/>
  <c r="DM35" i="2"/>
  <c r="DJ32" i="2"/>
  <c r="DJ35" i="2" s="1"/>
  <c r="DJ6" i="242" s="1"/>
  <c r="DE65" i="4"/>
  <c r="DE89" i="4" s="1"/>
  <c r="DE104" i="4" s="1"/>
  <c r="CB21" i="220"/>
  <c r="CB22" i="220" s="1"/>
  <c r="BD309" i="11"/>
  <c r="BD217" i="11" s="1"/>
  <c r="V5" i="139"/>
  <c r="BR432" i="11"/>
  <c r="BR272" i="11"/>
  <c r="Z94" i="139"/>
  <c r="AA8" i="139"/>
  <c r="BY22" i="220"/>
  <c r="BK648" i="11"/>
  <c r="Q22" i="139"/>
  <c r="Q37" i="139" s="1"/>
  <c r="P22" i="139"/>
  <c r="AV78" i="242"/>
  <c r="CQ19" i="220"/>
  <c r="CQ18" i="220" s="1"/>
  <c r="DQ117" i="4" s="1"/>
  <c r="CA24" i="220"/>
  <c r="DA143" i="4" s="1"/>
  <c r="DA65" i="4"/>
  <c r="DA89" i="4" s="1"/>
  <c r="DA104" i="4" s="1"/>
  <c r="AV66" i="2"/>
  <c r="DM29" i="178"/>
  <c r="DU29" i="178"/>
  <c r="CL21" i="220"/>
  <c r="CM21" i="220" s="1"/>
  <c r="CJ21" i="220"/>
  <c r="CJ24" i="220" s="1"/>
  <c r="CU18" i="220"/>
  <c r="DU117" i="4" s="1"/>
  <c r="DF30" i="178"/>
  <c r="DD29" i="178"/>
  <c r="DD30" i="178" s="1"/>
  <c r="Y65" i="139"/>
  <c r="CY65" i="4"/>
  <c r="CY89" i="4" s="1"/>
  <c r="CY104" i="4" s="1"/>
  <c r="DC143" i="4"/>
  <c r="EI54" i="178"/>
  <c r="DV54" i="178"/>
  <c r="DV53" i="178" s="1"/>
  <c r="DZ54" i="178"/>
  <c r="DX54" i="178"/>
  <c r="DX53" i="178" s="1"/>
  <c r="DG65" i="4"/>
  <c r="DG89" i="4" s="1"/>
  <c r="DG104" i="4" s="1"/>
  <c r="DS15" i="178"/>
  <c r="DQ15" i="178"/>
  <c r="DO15" i="178"/>
  <c r="DO14" i="178" s="1"/>
  <c r="EC116" i="4" s="1"/>
  <c r="EB15" i="178"/>
  <c r="CE24" i="220"/>
  <c r="CF24" i="220" s="1"/>
  <c r="M57" i="139"/>
  <c r="M34" i="139"/>
  <c r="DU6" i="242"/>
  <c r="EI266" i="243"/>
  <c r="AB4" i="139"/>
  <c r="EA123" i="4"/>
  <c r="EA30" i="4"/>
  <c r="K42" i="2"/>
  <c r="K46" i="2" s="1"/>
  <c r="K57" i="2" s="1"/>
  <c r="K61" i="2" s="1"/>
  <c r="EG123" i="4"/>
  <c r="DQ123" i="4"/>
  <c r="BW22" i="220"/>
  <c r="CW89" i="4"/>
  <c r="CW104" i="4" s="1"/>
  <c r="DT59" i="4"/>
  <c r="DQ30" i="4"/>
  <c r="EP30" i="4"/>
  <c r="EI59" i="4"/>
  <c r="EG30" i="4"/>
  <c r="BW19" i="220"/>
  <c r="DV123" i="4"/>
  <c r="DV30" i="4"/>
  <c r="DZ59" i="4"/>
  <c r="AV65" i="2"/>
  <c r="AV262" i="243" s="1"/>
  <c r="BC57" i="2"/>
  <c r="BC62" i="2" s="1"/>
  <c r="AV57" i="2"/>
  <c r="AV47" i="2"/>
  <c r="AV263" i="243" s="1"/>
  <c r="AV48" i="2"/>
  <c r="AV3" i="242"/>
  <c r="AV21" i="242" s="1"/>
  <c r="BC42" i="242"/>
  <c r="BC81" i="2" s="1"/>
  <c r="BC51" i="2"/>
  <c r="BC59" i="2" s="1"/>
  <c r="BC78" i="242" s="1"/>
  <c r="BC47" i="2"/>
  <c r="BC263" i="243" s="1"/>
  <c r="BC48" i="2"/>
  <c r="M38" i="2"/>
  <c r="AV162" i="178"/>
  <c r="L68" i="242"/>
  <c r="I103" i="243"/>
  <c r="I102" i="243" s="1"/>
  <c r="I111" i="243" s="1"/>
  <c r="J115" i="243"/>
  <c r="J119" i="243" s="1"/>
  <c r="G125" i="243"/>
  <c r="G121" i="243"/>
  <c r="CI34" i="178"/>
  <c r="L61" i="2"/>
  <c r="L62" i="2"/>
  <c r="L263" i="243" s="1"/>
  <c r="BY24" i="220"/>
  <c r="CY143" i="4" s="1"/>
  <c r="L66" i="2"/>
  <c r="I22" i="139" s="1"/>
  <c r="L65" i="2"/>
  <c r="I21" i="139" s="1"/>
  <c r="H110" i="243"/>
  <c r="H112" i="243"/>
  <c r="E41" i="2"/>
  <c r="E56" i="2" s="1"/>
  <c r="B38" i="139" s="1"/>
  <c r="B40" i="139" s="1"/>
  <c r="J41" i="2"/>
  <c r="J42" i="2"/>
  <c r="J46" i="2" s="1"/>
  <c r="J3" i="242" s="1"/>
  <c r="J21" i="242" s="1"/>
  <c r="T3" i="242"/>
  <c r="T51" i="2"/>
  <c r="T59" i="2" s="1"/>
  <c r="T57" i="2"/>
  <c r="T47" i="2"/>
  <c r="T263" i="243" s="1"/>
  <c r="T48" i="2"/>
  <c r="H42" i="242"/>
  <c r="H68" i="242"/>
  <c r="DN70" i="2"/>
  <c r="DN12" i="242"/>
  <c r="DM12" i="242" s="1"/>
  <c r="DK12" i="242" s="1"/>
  <c r="EB81" i="242"/>
  <c r="EI83" i="242"/>
  <c r="EB84" i="242"/>
  <c r="EI33" i="242"/>
  <c r="DN25" i="242"/>
  <c r="CE147" i="4"/>
  <c r="BQ149" i="4"/>
  <c r="BQ108" i="243" s="1"/>
  <c r="I41" i="2"/>
  <c r="I56" i="2" s="1"/>
  <c r="H41" i="2"/>
  <c r="H56" i="2" s="1"/>
  <c r="E38" i="139" s="1"/>
  <c r="I42" i="2"/>
  <c r="I46" i="2" s="1"/>
  <c r="I3" i="242" s="1"/>
  <c r="I21" i="242" s="1"/>
  <c r="I56" i="242" s="1"/>
  <c r="AH41" i="2"/>
  <c r="AH42" i="2"/>
  <c r="AH46" i="2" s="1"/>
  <c r="AH3" i="242" s="1"/>
  <c r="AH21" i="242" s="1"/>
  <c r="AH45" i="242" s="1"/>
  <c r="AH49" i="242" s="1"/>
  <c r="F47" i="2"/>
  <c r="F57" i="2"/>
  <c r="F48" i="2"/>
  <c r="F102" i="2"/>
  <c r="C38" i="139"/>
  <c r="M29" i="139"/>
  <c r="N29" i="139"/>
  <c r="L51" i="139"/>
  <c r="L50" i="139"/>
  <c r="G9" i="139"/>
  <c r="G49" i="139" s="1"/>
  <c r="CM253" i="11"/>
  <c r="CM254" i="11" s="1"/>
  <c r="CM334" i="11"/>
  <c r="BR647" i="11"/>
  <c r="BR645" i="11" s="1"/>
  <c r="BR649" i="11" s="1"/>
  <c r="BY647" i="11"/>
  <c r="BY648" i="11" s="1"/>
  <c r="AW647" i="11"/>
  <c r="AW648" i="11" s="1"/>
  <c r="DH494" i="11"/>
  <c r="DV508" i="11"/>
  <c r="DO495" i="11"/>
  <c r="DO557" i="11"/>
  <c r="DV529" i="11"/>
  <c r="DO493" i="11"/>
  <c r="DV505" i="11"/>
  <c r="AW312" i="11"/>
  <c r="AW311" i="11"/>
  <c r="AW306" i="11"/>
  <c r="AW273" i="11"/>
  <c r="AW308" i="11" s="1"/>
  <c r="AW309" i="11" s="1"/>
  <c r="AW217" i="11" s="1"/>
  <c r="C273" i="11"/>
  <c r="BK275" i="11"/>
  <c r="BK298" i="11" s="1"/>
  <c r="AP279" i="11"/>
  <c r="AP294" i="11"/>
  <c r="AP280" i="11"/>
  <c r="AP278" i="11"/>
  <c r="AP296" i="11"/>
  <c r="AP295" i="11"/>
  <c r="AP301" i="11"/>
  <c r="AP284" i="11"/>
  <c r="AP281" i="11"/>
  <c r="AP305" i="11"/>
  <c r="AP289" i="11"/>
  <c r="AP283" i="11"/>
  <c r="AP291" i="11"/>
  <c r="AP288" i="11"/>
  <c r="AP303" i="11"/>
  <c r="AP282" i="11"/>
  <c r="AP287" i="11"/>
  <c r="AP290" i="11"/>
  <c r="AP292" i="11"/>
  <c r="AP302" i="11"/>
  <c r="AP293" i="11"/>
  <c r="AP299" i="11"/>
  <c r="AP297" i="11"/>
  <c r="AP298" i="11"/>
  <c r="AP313" i="11"/>
  <c r="AP285" i="11"/>
  <c r="AP300" i="11"/>
  <c r="AP304" i="11"/>
  <c r="AP286" i="11"/>
  <c r="AP306" i="11"/>
  <c r="BY271" i="11"/>
  <c r="AI278" i="11"/>
  <c r="AI279" i="11"/>
  <c r="AI280" i="11"/>
  <c r="AI294" i="11"/>
  <c r="AI296" i="11"/>
  <c r="AI295" i="11"/>
  <c r="AI287" i="11"/>
  <c r="AI283" i="11"/>
  <c r="AI303" i="11"/>
  <c r="AI284" i="11"/>
  <c r="AI291" i="11"/>
  <c r="AI281" i="11"/>
  <c r="AI305" i="11"/>
  <c r="AI285" i="11"/>
  <c r="AI301" i="11"/>
  <c r="AI289" i="11"/>
  <c r="AI282" i="11"/>
  <c r="AI288" i="11"/>
  <c r="AI302" i="11"/>
  <c r="AI286" i="11"/>
  <c r="AI290" i="11"/>
  <c r="AI292" i="11"/>
  <c r="AI293" i="11"/>
  <c r="AI298" i="11"/>
  <c r="AI299" i="11"/>
  <c r="AI313" i="11"/>
  <c r="AI297" i="11"/>
  <c r="AI300" i="11"/>
  <c r="AI306" i="11"/>
  <c r="AI304" i="11"/>
  <c r="AI308" i="11"/>
  <c r="AI309" i="11" s="1"/>
  <c r="AI217" i="11" s="1"/>
  <c r="L273" i="11"/>
  <c r="J270" i="11"/>
  <c r="I273" i="11"/>
  <c r="G278" i="11"/>
  <c r="G279" i="11"/>
  <c r="G280" i="11"/>
  <c r="G287" i="11"/>
  <c r="G288" i="11"/>
  <c r="G289" i="11"/>
  <c r="G290" i="11"/>
  <c r="G294" i="11"/>
  <c r="G295" i="11"/>
  <c r="G296" i="11"/>
  <c r="G301" i="11"/>
  <c r="G302" i="11"/>
  <c r="G303" i="11"/>
  <c r="G304" i="11"/>
  <c r="G305" i="11"/>
  <c r="G281" i="11"/>
  <c r="G291" i="11"/>
  <c r="G307" i="11"/>
  <c r="G313" i="11" s="1"/>
  <c r="G317" i="11" s="1"/>
  <c r="G283" i="11"/>
  <c r="G298" i="11"/>
  <c r="G282" i="11"/>
  <c r="G284" i="11"/>
  <c r="G299" i="11"/>
  <c r="G297" i="11"/>
  <c r="G292" i="11"/>
  <c r="G285" i="11"/>
  <c r="G300" i="11"/>
  <c r="G293" i="11"/>
  <c r="G286" i="11"/>
  <c r="G306" i="11"/>
  <c r="AP308" i="11"/>
  <c r="AP309" i="11" s="1"/>
  <c r="AP217" i="11" s="1"/>
  <c r="BD278" i="11"/>
  <c r="BD279" i="11"/>
  <c r="BD280" i="11"/>
  <c r="BD281" i="11"/>
  <c r="BD299" i="11"/>
  <c r="BD298" i="11"/>
  <c r="BD285" i="11"/>
  <c r="BD283" i="11"/>
  <c r="BD297" i="11"/>
  <c r="BD294" i="11"/>
  <c r="BD287" i="11"/>
  <c r="BD282" i="11"/>
  <c r="BD288" i="11"/>
  <c r="BD302" i="11"/>
  <c r="BD284" i="11"/>
  <c r="BD303" i="11"/>
  <c r="BD295" i="11"/>
  <c r="BD300" i="11"/>
  <c r="BD301" i="11"/>
  <c r="BD292" i="11"/>
  <c r="BD289" i="11"/>
  <c r="BD291" i="11"/>
  <c r="BD305" i="11"/>
  <c r="BD290" i="11"/>
  <c r="BD293" i="11"/>
  <c r="BD296" i="11"/>
  <c r="BD304" i="11"/>
  <c r="BD286" i="11"/>
  <c r="BD313" i="11"/>
  <c r="BD317" i="11" s="1"/>
  <c r="BD306" i="11"/>
  <c r="F407" i="11"/>
  <c r="E275" i="11"/>
  <c r="BR254" i="11"/>
  <c r="J430" i="11"/>
  <c r="J385" i="11" s="1"/>
  <c r="BR428" i="11"/>
  <c r="K427" i="11"/>
  <c r="CM427" i="11"/>
  <c r="K425" i="11"/>
  <c r="BK264" i="11"/>
  <c r="BK427" i="11"/>
  <c r="BK430" i="11" s="1"/>
  <c r="BK433" i="11" s="1"/>
  <c r="BR268" i="11"/>
  <c r="BR424" i="11"/>
  <c r="BR579" i="11"/>
  <c r="BR602" i="11" s="1"/>
  <c r="BQ212" i="4"/>
  <c r="BQ214" i="4" s="1"/>
  <c r="BQ163" i="4" s="1"/>
  <c r="BQ167" i="4" s="1"/>
  <c r="CM264" i="11"/>
  <c r="CM579" i="11"/>
  <c r="K264" i="11"/>
  <c r="K270" i="11" s="1"/>
  <c r="CM465" i="11"/>
  <c r="CT479" i="11"/>
  <c r="CT502" i="11"/>
  <c r="CT262" i="11" s="1"/>
  <c r="CT480" i="11"/>
  <c r="CT504" i="11"/>
  <c r="CF214" i="11"/>
  <c r="CF236" i="11"/>
  <c r="CF265" i="11" s="1"/>
  <c r="BY238" i="11"/>
  <c r="BY267" i="11" s="1"/>
  <c r="BY237" i="11"/>
  <c r="BY266" i="11" s="1"/>
  <c r="CT501" i="11"/>
  <c r="CT261" i="11" s="1"/>
  <c r="CT503" i="11"/>
  <c r="CT263" i="11" s="1"/>
  <c r="CT481" i="11"/>
  <c r="BY203" i="11"/>
  <c r="BY226" i="11" s="1"/>
  <c r="BY251" i="11" s="1"/>
  <c r="BY228" i="11"/>
  <c r="BY253" i="11" s="1"/>
  <c r="BD601" i="11"/>
  <c r="BK407" i="11"/>
  <c r="BR622" i="11"/>
  <c r="BR664" i="11" s="1"/>
  <c r="BR621" i="11"/>
  <c r="BR663" i="11" s="1"/>
  <c r="BR635" i="11"/>
  <c r="BR632" i="11"/>
  <c r="BR640" i="11"/>
  <c r="BR440" i="11" s="1"/>
  <c r="BR682" i="11" s="1"/>
  <c r="BK639" i="11"/>
  <c r="BK681" i="11" s="1"/>
  <c r="AP442" i="11"/>
  <c r="AP670" i="11"/>
  <c r="BD437" i="11"/>
  <c r="BD433" i="11"/>
  <c r="BD434" i="11" s="1"/>
  <c r="AP666" i="11"/>
  <c r="I385" i="11"/>
  <c r="I387" i="11" s="1"/>
  <c r="I400" i="11" s="1"/>
  <c r="I404" i="11" s="1"/>
  <c r="I10" i="11" s="1"/>
  <c r="I5" i="11" s="1"/>
  <c r="I391" i="11" s="1"/>
  <c r="BD653" i="11"/>
  <c r="BD652" i="11"/>
  <c r="J77" i="11"/>
  <c r="O7" i="139"/>
  <c r="O9" i="139" s="1"/>
  <c r="BR598" i="11"/>
  <c r="P21" i="139"/>
  <c r="BJ81" i="2"/>
  <c r="BD431" i="11"/>
  <c r="AO156" i="243"/>
  <c r="AO22" i="2"/>
  <c r="N13" i="139"/>
  <c r="N14" i="139"/>
  <c r="AI643" i="11"/>
  <c r="AI644" i="11" s="1"/>
  <c r="G212" i="4"/>
  <c r="G214" i="4" s="1"/>
  <c r="BD656" i="11"/>
  <c r="G401" i="11"/>
  <c r="BD654" i="11"/>
  <c r="BK623" i="11"/>
  <c r="BK665" i="11" s="1"/>
  <c r="BD657" i="11"/>
  <c r="BR577" i="11"/>
  <c r="CF526" i="11"/>
  <c r="BY555" i="11"/>
  <c r="BY556" i="11" s="1"/>
  <c r="BY527" i="11" s="1"/>
  <c r="BK544" i="11"/>
  <c r="AW568" i="11"/>
  <c r="AW590" i="11" s="1"/>
  <c r="BD544" i="11"/>
  <c r="BD568" i="11" s="1"/>
  <c r="BD590" i="11" s="1"/>
  <c r="CM490" i="11"/>
  <c r="AP590" i="11"/>
  <c r="AP570" i="11"/>
  <c r="AP546" i="11" s="1"/>
  <c r="BK626" i="11"/>
  <c r="BK668" i="11" s="1"/>
  <c r="CT509" i="11"/>
  <c r="DA509" i="11" s="1"/>
  <c r="CM491" i="11"/>
  <c r="CT510" i="11"/>
  <c r="DA510" i="11" s="1"/>
  <c r="E47" i="2"/>
  <c r="E48" i="2"/>
  <c r="H47" i="2"/>
  <c r="H48" i="2"/>
  <c r="AA41" i="2"/>
  <c r="AA42" i="2"/>
  <c r="AA46" i="2" s="1"/>
  <c r="AA3" i="242" s="1"/>
  <c r="AA21" i="242" s="1"/>
  <c r="AA45" i="242" s="1"/>
  <c r="AA49" i="242" s="1"/>
  <c r="D57" i="2"/>
  <c r="D47" i="2"/>
  <c r="D48" i="2"/>
  <c r="J70" i="139"/>
  <c r="J7" i="139"/>
  <c r="J9" i="139" s="1"/>
  <c r="AW628" i="11"/>
  <c r="AW605" i="11"/>
  <c r="AW457" i="11" s="1"/>
  <c r="CF488" i="11"/>
  <c r="BK557" i="11"/>
  <c r="BK625" i="11"/>
  <c r="BR558" i="11"/>
  <c r="BR580" i="11" s="1"/>
  <c r="BY530" i="11"/>
  <c r="BK620" i="11"/>
  <c r="BK578" i="11"/>
  <c r="BY571" i="11"/>
  <c r="BY593" i="11" s="1"/>
  <c r="CM512" i="11"/>
  <c r="CF489" i="11"/>
  <c r="BY575" i="11"/>
  <c r="AW559" i="11"/>
  <c r="AW627" i="11"/>
  <c r="AW669" i="11" s="1"/>
  <c r="G62" i="2"/>
  <c r="G263" i="243" s="1"/>
  <c r="G61" i="2"/>
  <c r="D21" i="139" s="1"/>
  <c r="BR574" i="11"/>
  <c r="C46" i="2"/>
  <c r="D43" i="2"/>
  <c r="CM506" i="11"/>
  <c r="BK540" i="11"/>
  <c r="BR540" i="11" s="1"/>
  <c r="BK566" i="11"/>
  <c r="BK541" i="11" s="1"/>
  <c r="BK611" i="11"/>
  <c r="BK459" i="11" s="1"/>
  <c r="BK634" i="11"/>
  <c r="BK676" i="11" s="1"/>
  <c r="H125" i="178"/>
  <c r="D7" i="139"/>
  <c r="D9" i="139" s="1"/>
  <c r="BR502" i="11"/>
  <c r="BR262" i="11" s="1"/>
  <c r="BR504" i="11"/>
  <c r="BR501" i="11"/>
  <c r="BR261" i="11" s="1"/>
  <c r="BR503" i="11"/>
  <c r="BR263" i="11" s="1"/>
  <c r="M271" i="11"/>
  <c r="L432" i="11"/>
  <c r="L9" i="11" s="1"/>
  <c r="K465" i="11"/>
  <c r="K77" i="11" s="1"/>
  <c r="CT579" i="11"/>
  <c r="DG143" i="4"/>
  <c r="K9" i="139"/>
  <c r="Q21" i="139"/>
  <c r="BQ63" i="2"/>
  <c r="G73" i="139"/>
  <c r="BQ81" i="2"/>
  <c r="D389" i="11"/>
  <c r="D393" i="11" s="1"/>
  <c r="D406" i="11"/>
  <c r="E402" i="11"/>
  <c r="E404" i="11"/>
  <c r="E10" i="11" s="1"/>
  <c r="E5" i="11" s="1"/>
  <c r="E391" i="11" s="1"/>
  <c r="E390" i="11" s="1"/>
  <c r="E394" i="11" s="1"/>
  <c r="E395" i="11" s="1"/>
  <c r="E436" i="11" s="1"/>
  <c r="CL98" i="2"/>
  <c r="AI449" i="11"/>
  <c r="CE28" i="178"/>
  <c r="F70" i="139"/>
  <c r="F7" i="139"/>
  <c r="F401" i="11"/>
  <c r="F405" i="11"/>
  <c r="AW563" i="11"/>
  <c r="AW537" i="11" s="1"/>
  <c r="AW583" i="11"/>
  <c r="N70" i="139"/>
  <c r="N7" i="139"/>
  <c r="C385" i="11"/>
  <c r="C387" i="11" s="1"/>
  <c r="C400" i="11" s="1"/>
  <c r="D404" i="11" s="1"/>
  <c r="D10" i="11" s="1"/>
  <c r="D5" i="11" s="1"/>
  <c r="D391" i="11" s="1"/>
  <c r="F437" i="11"/>
  <c r="F466" i="11"/>
  <c r="F467" i="11" s="1"/>
  <c r="BD607" i="11"/>
  <c r="BD630" i="11"/>
  <c r="BD672" i="11" s="1"/>
  <c r="C70" i="139"/>
  <c r="C7" i="139"/>
  <c r="M9" i="139"/>
  <c r="H7" i="139"/>
  <c r="H70" i="139"/>
  <c r="BK535" i="11"/>
  <c r="BD561" i="11"/>
  <c r="G390" i="11"/>
  <c r="G394" i="11" s="1"/>
  <c r="G395" i="11" s="1"/>
  <c r="G436" i="11" s="1"/>
  <c r="CL53" i="178"/>
  <c r="CK27" i="178"/>
  <c r="H389" i="11"/>
  <c r="H393" i="11" s="1"/>
  <c r="H406" i="11"/>
  <c r="B70" i="139"/>
  <c r="B73" i="139" s="1"/>
  <c r="B7" i="139"/>
  <c r="B9" i="139" s="1"/>
  <c r="I115" i="178"/>
  <c r="I117" i="178" s="1"/>
  <c r="I103" i="178"/>
  <c r="J108" i="178"/>
  <c r="AP606" i="11"/>
  <c r="AP585" i="11"/>
  <c r="AP629" i="11"/>
  <c r="AP671" i="11" s="1"/>
  <c r="CE68" i="178"/>
  <c r="I9" i="139"/>
  <c r="P70" i="139"/>
  <c r="P7" i="139"/>
  <c r="CL101" i="2"/>
  <c r="G407" i="11"/>
  <c r="H402" i="11"/>
  <c r="L47" i="139"/>
  <c r="AA97" i="2"/>
  <c r="L49" i="139"/>
  <c r="H404" i="11"/>
  <c r="H10" i="11" s="1"/>
  <c r="H5" i="11" s="1"/>
  <c r="H391" i="11" s="1"/>
  <c r="BK562" i="11"/>
  <c r="BK584" i="11" s="1"/>
  <c r="BR536" i="11"/>
  <c r="BR562" i="11" s="1"/>
  <c r="BR584" i="11" s="1"/>
  <c r="F21" i="244" l="1"/>
  <c r="CM22" i="220"/>
  <c r="CK21" i="220"/>
  <c r="CK22" i="220" s="1"/>
  <c r="DM65" i="4"/>
  <c r="DM89" i="4" s="1"/>
  <c r="DM104" i="4" s="1"/>
  <c r="DO32" i="2"/>
  <c r="DO35" i="2" s="1"/>
  <c r="DO6" i="242" s="1"/>
  <c r="E38" i="244"/>
  <c r="C38" i="244"/>
  <c r="BK300" i="11"/>
  <c r="EI32" i="2"/>
  <c r="EG32" i="2" s="1"/>
  <c r="EH32" i="2" s="1"/>
  <c r="DS35" i="2"/>
  <c r="DS6" i="242" s="1"/>
  <c r="DT6" i="242" s="1"/>
  <c r="DR6" i="242" s="1"/>
  <c r="DZ32" i="2"/>
  <c r="EA32" i="2" s="1"/>
  <c r="CM424" i="11"/>
  <c r="CK28" i="178"/>
  <c r="CR28" i="178"/>
  <c r="CI35" i="178"/>
  <c r="CP35" i="178"/>
  <c r="CD24" i="220"/>
  <c r="CD25" i="220" s="1"/>
  <c r="CF25" i="220"/>
  <c r="DK6" i="242"/>
  <c r="V6" i="139"/>
  <c r="AG58" i="242"/>
  <c r="AG60" i="242" s="1"/>
  <c r="AG56" i="242"/>
  <c r="AG61" i="242" s="1"/>
  <c r="AE58" i="242"/>
  <c r="AE60" i="242" s="1"/>
  <c r="AE56" i="242"/>
  <c r="AE61" i="242" s="1"/>
  <c r="AA58" i="242"/>
  <c r="AA60" i="242" s="1"/>
  <c r="AA56" i="242"/>
  <c r="AH58" i="242"/>
  <c r="AH60" i="242" s="1"/>
  <c r="AH56" i="242"/>
  <c r="AV42" i="242"/>
  <c r="AV81" i="2" s="1"/>
  <c r="AV45" i="242"/>
  <c r="AV49" i="242" s="1"/>
  <c r="BC56" i="242"/>
  <c r="BC61" i="242" s="1"/>
  <c r="BC58" i="242"/>
  <c r="BC60" i="242" s="1"/>
  <c r="BC62" i="242" s="1"/>
  <c r="J68" i="242"/>
  <c r="J56" i="242"/>
  <c r="DK32" i="2"/>
  <c r="AG61" i="2"/>
  <c r="AG62" i="2"/>
  <c r="AE62" i="2"/>
  <c r="AE61" i="2"/>
  <c r="AE66" i="2"/>
  <c r="AE65" i="2"/>
  <c r="AG66" i="2"/>
  <c r="AG65" i="2"/>
  <c r="BN63" i="2"/>
  <c r="BU63" i="2"/>
  <c r="BP63" i="2"/>
  <c r="BW63" i="2"/>
  <c r="DB65" i="4"/>
  <c r="DB89" i="4" s="1"/>
  <c r="DB104" i="4" s="1"/>
  <c r="DM25" i="242"/>
  <c r="DK25" i="242" s="1"/>
  <c r="EH33" i="242"/>
  <c r="EF33" i="242" s="1"/>
  <c r="DK35" i="2"/>
  <c r="DR32" i="2"/>
  <c r="DM69" i="2"/>
  <c r="DK69" i="2" s="1"/>
  <c r="DJ69" i="2"/>
  <c r="DE143" i="4"/>
  <c r="CB24" i="220"/>
  <c r="CB25" i="220" s="1"/>
  <c r="CK53" i="178"/>
  <c r="CI53" i="178" s="1"/>
  <c r="CL50" i="178"/>
  <c r="CL51" i="178" s="1"/>
  <c r="BY432" i="11"/>
  <c r="BY272" i="11"/>
  <c r="AA94" i="139"/>
  <c r="AB8" i="139"/>
  <c r="P37" i="139"/>
  <c r="DB18" i="220"/>
  <c r="EB117" i="4" s="1"/>
  <c r="DX30" i="4"/>
  <c r="DX59" i="4" s="1"/>
  <c r="CT18" i="220"/>
  <c r="DT117" i="4" s="1"/>
  <c r="O22" i="139"/>
  <c r="W5" i="139"/>
  <c r="W6" i="139" s="1"/>
  <c r="DM30" i="178"/>
  <c r="DK29" i="178"/>
  <c r="DK30" i="178" s="1"/>
  <c r="CQ22" i="220"/>
  <c r="CQ21" i="220" s="1"/>
  <c r="CO22" i="220"/>
  <c r="CS22" i="220"/>
  <c r="CS21" i="220" s="1"/>
  <c r="DX123" i="4"/>
  <c r="DY123" i="4" s="1"/>
  <c r="DF65" i="4"/>
  <c r="DF89" i="4" s="1"/>
  <c r="DF104" i="4" s="1"/>
  <c r="DC19" i="220"/>
  <c r="DG19" i="220"/>
  <c r="DG18" i="220" s="1"/>
  <c r="DE19" i="220"/>
  <c r="DE18" i="220" s="1"/>
  <c r="EE117" i="4" s="1"/>
  <c r="B76" i="139"/>
  <c r="DD65" i="4"/>
  <c r="DD89" i="4" s="1"/>
  <c r="DD104" i="4" s="1"/>
  <c r="DJ143" i="4"/>
  <c r="DJ65" i="4"/>
  <c r="DJ89" i="4" s="1"/>
  <c r="DJ104" i="4" s="1"/>
  <c r="DZ15" i="178"/>
  <c r="DX15" i="178"/>
  <c r="DV15" i="178"/>
  <c r="DV14" i="178" s="1"/>
  <c r="EJ116" i="4" s="1"/>
  <c r="EI15" i="178"/>
  <c r="CZ19" i="220"/>
  <c r="CZ18" i="220" s="1"/>
  <c r="CX19" i="220"/>
  <c r="CX18" i="220" s="1"/>
  <c r="DX117" i="4" s="1"/>
  <c r="CV19" i="220"/>
  <c r="EE54" i="178"/>
  <c r="EE53" i="178" s="1"/>
  <c r="EC54" i="178"/>
  <c r="EC53" i="178" s="1"/>
  <c r="EG54" i="178"/>
  <c r="DL65" i="4"/>
  <c r="DL89" i="4" s="1"/>
  <c r="DL104" i="4" s="1"/>
  <c r="CL24" i="220"/>
  <c r="CM24" i="220" s="1"/>
  <c r="EB29" i="178"/>
  <c r="DT29" i="178"/>
  <c r="Z65" i="139"/>
  <c r="G47" i="139"/>
  <c r="O21" i="139"/>
  <c r="O36" i="139" s="1"/>
  <c r="EB6" i="242"/>
  <c r="EP266" i="243"/>
  <c r="I47" i="2"/>
  <c r="BC61" i="2"/>
  <c r="K47" i="2"/>
  <c r="K48" i="2"/>
  <c r="EA59" i="4"/>
  <c r="DW123" i="4"/>
  <c r="DQ59" i="4"/>
  <c r="DR123" i="4"/>
  <c r="DV59" i="4"/>
  <c r="EC123" i="4"/>
  <c r="K3" i="242"/>
  <c r="K21" i="242" s="1"/>
  <c r="K56" i="242" s="1"/>
  <c r="K51" i="2"/>
  <c r="K59" i="2" s="1"/>
  <c r="K62" i="2"/>
  <c r="K263" i="243" s="1"/>
  <c r="DR30" i="4"/>
  <c r="EH123" i="4"/>
  <c r="DW30" i="4"/>
  <c r="EW30" i="4"/>
  <c r="EN30" i="4"/>
  <c r="EP59" i="4"/>
  <c r="EC30" i="4"/>
  <c r="EG59" i="4"/>
  <c r="EH30" i="4"/>
  <c r="EN123" i="4"/>
  <c r="AV62" i="2"/>
  <c r="BC63" i="2" s="1"/>
  <c r="O20" i="139"/>
  <c r="AV68" i="242"/>
  <c r="AV73" i="242" s="1"/>
  <c r="BC65" i="2"/>
  <c r="BC262" i="243" s="1"/>
  <c r="BC66" i="2"/>
  <c r="J47" i="2"/>
  <c r="AV61" i="2"/>
  <c r="H57" i="2"/>
  <c r="H62" i="2" s="1"/>
  <c r="H263" i="243" s="1"/>
  <c r="H102" i="2"/>
  <c r="M41" i="2"/>
  <c r="M42" i="2"/>
  <c r="M46" i="2" s="1"/>
  <c r="E57" i="2"/>
  <c r="E62" i="2" s="1"/>
  <c r="E263" i="243" s="1"/>
  <c r="E102" i="2"/>
  <c r="J57" i="2"/>
  <c r="J61" i="2" s="1"/>
  <c r="G21" i="139" s="1"/>
  <c r="J48" i="2"/>
  <c r="J42" i="242"/>
  <c r="CK38" i="178"/>
  <c r="DF143" i="4"/>
  <c r="H125" i="243"/>
  <c r="H121" i="243"/>
  <c r="I36" i="139"/>
  <c r="I48" i="139"/>
  <c r="BW24" i="220"/>
  <c r="CW143" i="4" s="1"/>
  <c r="BY25" i="220"/>
  <c r="J103" i="243"/>
  <c r="J102" i="243" s="1"/>
  <c r="J111" i="243" s="1"/>
  <c r="K115" i="243"/>
  <c r="K119" i="243" s="1"/>
  <c r="CK31" i="178"/>
  <c r="CK37" i="178"/>
  <c r="I37" i="139"/>
  <c r="I110" i="243"/>
  <c r="I112" i="243"/>
  <c r="DI18" i="220"/>
  <c r="EI117" i="4" s="1"/>
  <c r="DB22" i="220"/>
  <c r="CU21" i="220"/>
  <c r="T62" i="2"/>
  <c r="T61" i="2"/>
  <c r="T66" i="2"/>
  <c r="K22" i="139" s="1"/>
  <c r="T65" i="2"/>
  <c r="T21" i="242"/>
  <c r="T45" i="242" s="1"/>
  <c r="T49" i="242" s="1"/>
  <c r="AH42" i="242"/>
  <c r="AH68" i="242"/>
  <c r="AH73" i="242" s="1"/>
  <c r="I68" i="242"/>
  <c r="I42" i="242"/>
  <c r="EB25" i="242"/>
  <c r="AA68" i="242"/>
  <c r="AA73" i="242" s="1"/>
  <c r="AA42" i="242"/>
  <c r="EI84" i="242"/>
  <c r="EP84" i="242"/>
  <c r="EI81" i="242"/>
  <c r="I57" i="2"/>
  <c r="I61" i="2" s="1"/>
  <c r="F21" i="139" s="1"/>
  <c r="I48" i="2"/>
  <c r="EP83" i="242"/>
  <c r="DU12" i="242"/>
  <c r="DT12" i="242" s="1"/>
  <c r="DR12" i="242" s="1"/>
  <c r="DU25" i="242"/>
  <c r="I102" i="2"/>
  <c r="F38" i="139"/>
  <c r="F40" i="139" s="1"/>
  <c r="CL147" i="4"/>
  <c r="CS147" i="4" s="1"/>
  <c r="CE149" i="4"/>
  <c r="BX108" i="243" s="1"/>
  <c r="J97" i="2"/>
  <c r="CE212" i="4"/>
  <c r="CE214" i="4" s="1"/>
  <c r="CE163" i="4" s="1"/>
  <c r="CS213" i="4"/>
  <c r="AO27" i="2"/>
  <c r="AO38" i="2" s="1"/>
  <c r="N16" i="139"/>
  <c r="AH51" i="2"/>
  <c r="AH59" i="2" s="1"/>
  <c r="AH57" i="2"/>
  <c r="AH48" i="2"/>
  <c r="AH47" i="2"/>
  <c r="AH263" i="243" s="1"/>
  <c r="C40" i="139"/>
  <c r="F62" i="2"/>
  <c r="F61" i="2"/>
  <c r="C21" i="139" s="1"/>
  <c r="B51" i="139"/>
  <c r="B50" i="139"/>
  <c r="O51" i="139"/>
  <c r="O50" i="139"/>
  <c r="I51" i="139"/>
  <c r="I50" i="139"/>
  <c r="G51" i="139"/>
  <c r="G50" i="139"/>
  <c r="M51" i="139"/>
  <c r="M50" i="139"/>
  <c r="K51" i="139"/>
  <c r="K50" i="139"/>
  <c r="J51" i="139"/>
  <c r="J50" i="139"/>
  <c r="D51" i="139"/>
  <c r="D50" i="139"/>
  <c r="BR648" i="11"/>
  <c r="AW645" i="11"/>
  <c r="AW649" i="11" s="1"/>
  <c r="BY645" i="11"/>
  <c r="BY649" i="11" s="1"/>
  <c r="CT264" i="11"/>
  <c r="AW656" i="11"/>
  <c r="DH509" i="11"/>
  <c r="DV493" i="11"/>
  <c r="DO579" i="11"/>
  <c r="DV495" i="11"/>
  <c r="EC508" i="11"/>
  <c r="DH579" i="11"/>
  <c r="EC505" i="11"/>
  <c r="DV557" i="11"/>
  <c r="EC529" i="11"/>
  <c r="DO494" i="11"/>
  <c r="DH510" i="11"/>
  <c r="BK304" i="11"/>
  <c r="BK24" i="11" s="1"/>
  <c r="BK297" i="11"/>
  <c r="BK290" i="11"/>
  <c r="BK21" i="11" s="1"/>
  <c r="AW653" i="11"/>
  <c r="AW442" i="11" s="1"/>
  <c r="AW655" i="11"/>
  <c r="AW444" i="11" s="1"/>
  <c r="AW652" i="11"/>
  <c r="AW441" i="11" s="1"/>
  <c r="BD311" i="11"/>
  <c r="BD315" i="11" s="1"/>
  <c r="AI311" i="11"/>
  <c r="AI315" i="11" s="1"/>
  <c r="BD312" i="11"/>
  <c r="BD316" i="11" s="1"/>
  <c r="AI312" i="11"/>
  <c r="AI316" i="11" s="1"/>
  <c r="AP312" i="11"/>
  <c r="AP316" i="11" s="1"/>
  <c r="AP311" i="11"/>
  <c r="AP315" i="11" s="1"/>
  <c r="G311" i="11"/>
  <c r="G315" i="11" s="1"/>
  <c r="AI317" i="11"/>
  <c r="AW317" i="11"/>
  <c r="AW315" i="11"/>
  <c r="AW657" i="11"/>
  <c r="AW446" i="11" s="1"/>
  <c r="AW654" i="11"/>
  <c r="AP317" i="11"/>
  <c r="G312" i="11"/>
  <c r="G316" i="11" s="1"/>
  <c r="AW316" i="11"/>
  <c r="AW434" i="11"/>
  <c r="K273" i="11"/>
  <c r="E278" i="11"/>
  <c r="E279" i="11"/>
  <c r="E280" i="11"/>
  <c r="E287" i="11"/>
  <c r="E288" i="11"/>
  <c r="E289" i="11"/>
  <c r="E290" i="11"/>
  <c r="E294" i="11"/>
  <c r="E296" i="11"/>
  <c r="E295" i="11"/>
  <c r="E303" i="11"/>
  <c r="E302" i="11"/>
  <c r="E304" i="11"/>
  <c r="E305" i="11"/>
  <c r="E301" i="11"/>
  <c r="E281" i="11"/>
  <c r="E307" i="11"/>
  <c r="E313" i="11" s="1"/>
  <c r="E297" i="11"/>
  <c r="E282" i="11"/>
  <c r="E292" i="11"/>
  <c r="E298" i="11"/>
  <c r="E284" i="11"/>
  <c r="E283" i="11"/>
  <c r="E285" i="11"/>
  <c r="E299" i="11"/>
  <c r="E291" i="11"/>
  <c r="E286" i="11"/>
  <c r="E300" i="11"/>
  <c r="E293" i="11"/>
  <c r="E306" i="11"/>
  <c r="E308" i="11"/>
  <c r="E309" i="11" s="1"/>
  <c r="BK281" i="11"/>
  <c r="BK282" i="11"/>
  <c r="BK279" i="11"/>
  <c r="BK292" i="11"/>
  <c r="BK278" i="11"/>
  <c r="BK291" i="11"/>
  <c r="BK283" i="11"/>
  <c r="BK285" i="11"/>
  <c r="BK294" i="11"/>
  <c r="BK295" i="11"/>
  <c r="BK305" i="11"/>
  <c r="BK25" i="11" s="1"/>
  <c r="BK284" i="11"/>
  <c r="BK296" i="11"/>
  <c r="BK23" i="11" s="1"/>
  <c r="BK293" i="11"/>
  <c r="BK22" i="11" s="1"/>
  <c r="BK286" i="11"/>
  <c r="BK280" i="11"/>
  <c r="BK19" i="11" s="1"/>
  <c r="BK288" i="11"/>
  <c r="BK301" i="11"/>
  <c r="BK302" i="11"/>
  <c r="BK303" i="11"/>
  <c r="BK313" i="11"/>
  <c r="BK287" i="11"/>
  <c r="BK289" i="11"/>
  <c r="BK270" i="11"/>
  <c r="BK299" i="11"/>
  <c r="M273" i="11"/>
  <c r="J273" i="11"/>
  <c r="H407" i="11"/>
  <c r="H275" i="11"/>
  <c r="E407" i="11"/>
  <c r="D275" i="11"/>
  <c r="J431" i="11"/>
  <c r="BY254" i="11"/>
  <c r="K430" i="11"/>
  <c r="K385" i="11" s="1"/>
  <c r="BY428" i="11"/>
  <c r="BY268" i="11"/>
  <c r="BY579" i="11"/>
  <c r="BR264" i="11"/>
  <c r="BR270" i="11" s="1"/>
  <c r="BR427" i="11"/>
  <c r="BR430" i="11" s="1"/>
  <c r="BR625" i="11"/>
  <c r="BR667" i="11" s="1"/>
  <c r="BY424" i="11"/>
  <c r="CM214" i="11"/>
  <c r="CM236" i="11"/>
  <c r="CF238" i="11"/>
  <c r="CF267" i="11" s="1"/>
  <c r="CF237" i="11"/>
  <c r="CF266" i="11" s="1"/>
  <c r="J213" i="4"/>
  <c r="J214" i="4" s="1"/>
  <c r="P36" i="139"/>
  <c r="P48" i="139"/>
  <c r="H212" i="4"/>
  <c r="H214" i="4" s="1"/>
  <c r="BR578" i="11"/>
  <c r="BR624" i="11" s="1"/>
  <c r="BR666" i="11" s="1"/>
  <c r="AO100" i="2"/>
  <c r="D390" i="11"/>
  <c r="D394" i="11" s="1"/>
  <c r="D395" i="11" s="1"/>
  <c r="BD658" i="11"/>
  <c r="BD659" i="11" s="1"/>
  <c r="D402" i="11"/>
  <c r="D405" i="11" s="1"/>
  <c r="CM526" i="11"/>
  <c r="CM555" i="11" s="1"/>
  <c r="CM556" i="11" s="1"/>
  <c r="CM527" i="11" s="1"/>
  <c r="CF555" i="11"/>
  <c r="CF556" i="11" s="1"/>
  <c r="CF527" i="11" s="1"/>
  <c r="H390" i="11"/>
  <c r="H394" i="11" s="1"/>
  <c r="H395" i="11" s="1"/>
  <c r="H436" i="11" s="1"/>
  <c r="BY577" i="11"/>
  <c r="BY600" i="11" s="1"/>
  <c r="BR600" i="11"/>
  <c r="BR623" i="11"/>
  <c r="BR665" i="11" s="1"/>
  <c r="AP636" i="11"/>
  <c r="AP678" i="11" s="1"/>
  <c r="AP592" i="11"/>
  <c r="AP613" i="11"/>
  <c r="BD613" i="11"/>
  <c r="BD614" i="11" s="1"/>
  <c r="BD591" i="11" s="1"/>
  <c r="BD636" i="11"/>
  <c r="BD678" i="11" s="1"/>
  <c r="AW613" i="11"/>
  <c r="AW614" i="11" s="1"/>
  <c r="AW591" i="11" s="1"/>
  <c r="AW636" i="11"/>
  <c r="AW678" i="11" s="1"/>
  <c r="BR544" i="11"/>
  <c r="BK568" i="11"/>
  <c r="BK590" i="11" s="1"/>
  <c r="D62" i="2"/>
  <c r="D263" i="243" s="1"/>
  <c r="D61" i="2"/>
  <c r="AA57" i="2"/>
  <c r="AA48" i="2"/>
  <c r="AA47" i="2"/>
  <c r="AA263" i="243" s="1"/>
  <c r="AA51" i="2"/>
  <c r="AA59" i="2" s="1"/>
  <c r="E40" i="139"/>
  <c r="D22" i="139"/>
  <c r="CM489" i="11"/>
  <c r="CT512" i="11"/>
  <c r="DA512" i="11" s="1"/>
  <c r="C48" i="2"/>
  <c r="C57" i="2"/>
  <c r="C62" i="2" s="1"/>
  <c r="C263" i="243" s="1"/>
  <c r="C47" i="2"/>
  <c r="BK601" i="11"/>
  <c r="BK456" i="11" s="1"/>
  <c r="BK624" i="11"/>
  <c r="CM488" i="11"/>
  <c r="AW531" i="11"/>
  <c r="BD531" i="11" s="1"/>
  <c r="AW560" i="11"/>
  <c r="AW532" i="11" s="1"/>
  <c r="BY574" i="11"/>
  <c r="CF571" i="11"/>
  <c r="CF593" i="11" s="1"/>
  <c r="BY558" i="11"/>
  <c r="BY580" i="11" s="1"/>
  <c r="BY603" i="11" s="1"/>
  <c r="CF530" i="11"/>
  <c r="D36" i="139"/>
  <c r="D48" i="139"/>
  <c r="BR626" i="11"/>
  <c r="BR668" i="11" s="1"/>
  <c r="BR603" i="11"/>
  <c r="AW670" i="11"/>
  <c r="M432" i="11"/>
  <c r="M9" i="11" s="1"/>
  <c r="BR565" i="11"/>
  <c r="BY540" i="11"/>
  <c r="BK437" i="11"/>
  <c r="BK431" i="11"/>
  <c r="CT506" i="11"/>
  <c r="DA506" i="11" s="1"/>
  <c r="Q70" i="139"/>
  <c r="K73" i="139"/>
  <c r="M97" i="2"/>
  <c r="J49" i="139"/>
  <c r="J47" i="139"/>
  <c r="J73" i="139"/>
  <c r="D73" i="139"/>
  <c r="D47" i="139"/>
  <c r="G97" i="2"/>
  <c r="D49" i="139"/>
  <c r="Q36" i="139"/>
  <c r="Q31" i="139"/>
  <c r="Q48" i="139"/>
  <c r="K47" i="139"/>
  <c r="K49" i="139"/>
  <c r="T97" i="2"/>
  <c r="CE57" i="178"/>
  <c r="G466" i="11"/>
  <c r="G467" i="11" s="1"/>
  <c r="G437" i="11"/>
  <c r="P9" i="139"/>
  <c r="BR607" i="11"/>
  <c r="BR630" i="11"/>
  <c r="BR672" i="11" s="1"/>
  <c r="E466" i="11"/>
  <c r="E467" i="11" s="1"/>
  <c r="E437" i="11"/>
  <c r="BK607" i="11"/>
  <c r="BK630" i="11"/>
  <c r="BK672" i="11" s="1"/>
  <c r="I125" i="178"/>
  <c r="CS53" i="178"/>
  <c r="BD583" i="11"/>
  <c r="BD563" i="11"/>
  <c r="AH97" i="2"/>
  <c r="M47" i="139"/>
  <c r="M49" i="139"/>
  <c r="O47" i="139"/>
  <c r="AV97" i="2"/>
  <c r="O49" i="139"/>
  <c r="CE25" i="178"/>
  <c r="O73" i="139"/>
  <c r="B47" i="139"/>
  <c r="E97" i="2"/>
  <c r="B49" i="139"/>
  <c r="BK561" i="11"/>
  <c r="BR535" i="11"/>
  <c r="BR561" i="11" s="1"/>
  <c r="H9" i="139"/>
  <c r="E401" i="11"/>
  <c r="E405" i="11"/>
  <c r="I110" i="178"/>
  <c r="J110" i="178"/>
  <c r="CL28" i="178"/>
  <c r="H401" i="11"/>
  <c r="H405" i="11"/>
  <c r="AW606" i="11"/>
  <c r="AW585" i="11"/>
  <c r="AW629" i="11"/>
  <c r="AW671" i="11" s="1"/>
  <c r="F9" i="139"/>
  <c r="I406" i="11"/>
  <c r="I389" i="11"/>
  <c r="I393" i="11" s="1"/>
  <c r="C9" i="139"/>
  <c r="L97" i="2"/>
  <c r="I47" i="139"/>
  <c r="I49" i="139"/>
  <c r="AP608" i="11"/>
  <c r="AP458" i="11" s="1"/>
  <c r="AP631" i="11"/>
  <c r="CL122" i="4"/>
  <c r="CL124" i="4" s="1"/>
  <c r="CL132" i="4" s="1"/>
  <c r="C389" i="11"/>
  <c r="C406" i="11"/>
  <c r="N9" i="139"/>
  <c r="I73" i="139"/>
  <c r="I402" i="11"/>
  <c r="DS65" i="4" l="1"/>
  <c r="DS89" i="4" s="1"/>
  <c r="DS104" i="4" s="1"/>
  <c r="EI35" i="2"/>
  <c r="EP32" i="2"/>
  <c r="EN32" i="2" s="1"/>
  <c r="CM25" i="220"/>
  <c r="CK24" i="220"/>
  <c r="CK25" i="220" s="1"/>
  <c r="DP32" i="2"/>
  <c r="DZ35" i="2"/>
  <c r="DZ6" i="242" s="1"/>
  <c r="DV32" i="2"/>
  <c r="DV35" i="2" s="1"/>
  <c r="DV6" i="242" s="1"/>
  <c r="DP6" i="242"/>
  <c r="DP35" i="2"/>
  <c r="DT35" i="2"/>
  <c r="DR35" i="2" s="1"/>
  <c r="CR53" i="178"/>
  <c r="CS50" i="178"/>
  <c r="CK32" i="178"/>
  <c r="CR32" i="178"/>
  <c r="CK54" i="178"/>
  <c r="AH62" i="242"/>
  <c r="AH61" i="242"/>
  <c r="AA61" i="242"/>
  <c r="T58" i="242"/>
  <c r="T60" i="242" s="1"/>
  <c r="T56" i="242"/>
  <c r="T61" i="242" s="1"/>
  <c r="AV56" i="242"/>
  <c r="AV58" i="242"/>
  <c r="AV60" i="242" s="1"/>
  <c r="AV62" i="242" s="1"/>
  <c r="AL63" i="2"/>
  <c r="AN63" i="2"/>
  <c r="DT25" i="242"/>
  <c r="DR25" i="242" s="1"/>
  <c r="EA25" i="242"/>
  <c r="DY25" i="242" s="1"/>
  <c r="EE32" i="2"/>
  <c r="EE35" i="2" s="1"/>
  <c r="EE6" i="242" s="1"/>
  <c r="DX32" i="2"/>
  <c r="DX35" i="2" s="1"/>
  <c r="DX6" i="242" s="1"/>
  <c r="DJ70" i="2"/>
  <c r="EG35" i="2"/>
  <c r="EG6" i="242" s="1"/>
  <c r="EC32" i="2"/>
  <c r="EC35" i="2" s="1"/>
  <c r="EC6" i="242" s="1"/>
  <c r="DB143" i="4"/>
  <c r="DA18" i="220"/>
  <c r="EA117" i="4" s="1"/>
  <c r="AB94" i="139"/>
  <c r="DY30" i="4"/>
  <c r="DY59" i="4" s="1"/>
  <c r="CR18" i="220"/>
  <c r="DR117" i="4" s="1"/>
  <c r="CT19" i="220"/>
  <c r="O37" i="139"/>
  <c r="O48" i="139"/>
  <c r="J76" i="139"/>
  <c r="E76" i="139"/>
  <c r="AB65" i="139"/>
  <c r="DU65" i="4"/>
  <c r="DU89" i="4" s="1"/>
  <c r="DK65" i="4"/>
  <c r="DT30" i="178"/>
  <c r="DR29" i="178"/>
  <c r="DR30" i="178" s="1"/>
  <c r="DZ117" i="4"/>
  <c r="CS24" i="220"/>
  <c r="DL19" i="220"/>
  <c r="DL18" i="220" s="1"/>
  <c r="EL117" i="4" s="1"/>
  <c r="DJ19" i="220"/>
  <c r="DN19" i="220"/>
  <c r="DN18" i="220" s="1"/>
  <c r="K76" i="139"/>
  <c r="CZ22" i="220"/>
  <c r="CZ21" i="220" s="1"/>
  <c r="CX22" i="220"/>
  <c r="CX21" i="220" s="1"/>
  <c r="CV22" i="220"/>
  <c r="DM143" i="4"/>
  <c r="EI29" i="178"/>
  <c r="EH29" i="178" s="1"/>
  <c r="EA29" i="178"/>
  <c r="EG15" i="178"/>
  <c r="EE15" i="178"/>
  <c r="EC15" i="178"/>
  <c r="EC14" i="178" s="1"/>
  <c r="EQ116" i="4" s="1"/>
  <c r="DL143" i="4"/>
  <c r="EG117" i="4"/>
  <c r="AA65" i="139"/>
  <c r="CQ24" i="220"/>
  <c r="DQ143" i="4" s="1"/>
  <c r="DQ65" i="4"/>
  <c r="DQ89" i="4" s="1"/>
  <c r="DQ104" i="4" s="1"/>
  <c r="P31" i="139"/>
  <c r="O43" i="139"/>
  <c r="EI6" i="242"/>
  <c r="DN259" i="243"/>
  <c r="X5" i="139"/>
  <c r="DR59" i="4"/>
  <c r="EC59" i="4"/>
  <c r="EO30" i="4"/>
  <c r="EJ123" i="4"/>
  <c r="ED123" i="4"/>
  <c r="DW59" i="4"/>
  <c r="EE123" i="4"/>
  <c r="ED30" i="4"/>
  <c r="K66" i="2"/>
  <c r="H22" i="139" s="1"/>
  <c r="K65" i="2"/>
  <c r="H21" i="139" s="1"/>
  <c r="H31" i="139" s="1"/>
  <c r="L63" i="2"/>
  <c r="K42" i="242"/>
  <c r="K68" i="242"/>
  <c r="EO123" i="4"/>
  <c r="BW25" i="220"/>
  <c r="EU123" i="4"/>
  <c r="DH18" i="220"/>
  <c r="EN59" i="4"/>
  <c r="EJ30" i="4"/>
  <c r="CX147" i="4"/>
  <c r="EE30" i="4"/>
  <c r="EH59" i="4"/>
  <c r="EW59" i="4"/>
  <c r="EU30" i="4"/>
  <c r="H61" i="2"/>
  <c r="E21" i="139" s="1"/>
  <c r="E36" i="139" s="1"/>
  <c r="BJ63" i="2"/>
  <c r="E61" i="2"/>
  <c r="B21" i="139" s="1"/>
  <c r="B36" i="139" s="1"/>
  <c r="M3" i="242"/>
  <c r="M51" i="2"/>
  <c r="M59" i="2" s="1"/>
  <c r="M57" i="2"/>
  <c r="M47" i="2"/>
  <c r="M48" i="2"/>
  <c r="I62" i="2"/>
  <c r="I263" i="243" s="1"/>
  <c r="J62" i="2"/>
  <c r="J263" i="243" s="1"/>
  <c r="CU24" i="220"/>
  <c r="DU143" i="4" s="1"/>
  <c r="CT21" i="220"/>
  <c r="K103" i="243"/>
  <c r="K102" i="243" s="1"/>
  <c r="K111" i="243" s="1"/>
  <c r="L115" i="243"/>
  <c r="L119" i="243" s="1"/>
  <c r="I125" i="243"/>
  <c r="I121" i="243"/>
  <c r="DG34" i="178"/>
  <c r="J110" i="243"/>
  <c r="J112" i="243"/>
  <c r="CI54" i="178"/>
  <c r="DD143" i="4"/>
  <c r="CK50" i="178"/>
  <c r="DI22" i="220"/>
  <c r="DB21" i="220"/>
  <c r="DP18" i="220"/>
  <c r="EP117" i="4" s="1"/>
  <c r="DG31" i="178"/>
  <c r="CL25" i="178"/>
  <c r="T68" i="242"/>
  <c r="T73" i="242" s="1"/>
  <c r="T42" i="242"/>
  <c r="T81" i="2" s="1"/>
  <c r="T262" i="243"/>
  <c r="K21" i="139"/>
  <c r="G63" i="2"/>
  <c r="F263" i="243"/>
  <c r="K37" i="139"/>
  <c r="EP81" i="242"/>
  <c r="EI25" i="242"/>
  <c r="EP33" i="242"/>
  <c r="EB12" i="242"/>
  <c r="EA12" i="242" s="1"/>
  <c r="DY12" i="242" s="1"/>
  <c r="CE150" i="4"/>
  <c r="CL18" i="178"/>
  <c r="C36" i="139"/>
  <c r="C48" i="139"/>
  <c r="AH65" i="2"/>
  <c r="AH262" i="243" s="1"/>
  <c r="AH66" i="2"/>
  <c r="C22" i="139"/>
  <c r="D31" i="139"/>
  <c r="AH62" i="2"/>
  <c r="AH61" i="2"/>
  <c r="M20" i="139"/>
  <c r="H51" i="139"/>
  <c r="H50" i="139"/>
  <c r="F51" i="139"/>
  <c r="F50" i="139"/>
  <c r="C51" i="139"/>
  <c r="C50" i="139"/>
  <c r="P51" i="139"/>
  <c r="P50" i="139"/>
  <c r="N51" i="139"/>
  <c r="N50" i="139"/>
  <c r="BK20" i="11"/>
  <c r="CM265" i="11"/>
  <c r="EJ505" i="11"/>
  <c r="DH506" i="11"/>
  <c r="EC557" i="11"/>
  <c r="EJ529" i="11"/>
  <c r="EC493" i="11"/>
  <c r="DV494" i="11"/>
  <c r="DO424" i="11"/>
  <c r="DV579" i="11"/>
  <c r="EC495" i="11"/>
  <c r="DO509" i="11"/>
  <c r="DH512" i="11"/>
  <c r="EJ508" i="11"/>
  <c r="DO510" i="11"/>
  <c r="AW658" i="11"/>
  <c r="AW659" i="11" s="1"/>
  <c r="BK312" i="11"/>
  <c r="BK311" i="11"/>
  <c r="E317" i="11"/>
  <c r="E312" i="11"/>
  <c r="E316" i="11" s="1"/>
  <c r="E311" i="11"/>
  <c r="E315" i="11" s="1"/>
  <c r="BY270" i="11"/>
  <c r="H278" i="11"/>
  <c r="H279" i="11"/>
  <c r="H280" i="11"/>
  <c r="H287" i="11"/>
  <c r="H289" i="11"/>
  <c r="H302" i="11"/>
  <c r="H301" i="11"/>
  <c r="H304" i="11"/>
  <c r="H305" i="11"/>
  <c r="H288" i="11"/>
  <c r="H296" i="11"/>
  <c r="H290" i="11"/>
  <c r="H294" i="11"/>
  <c r="H295" i="11"/>
  <c r="H303" i="11"/>
  <c r="H281" i="11"/>
  <c r="H299" i="11"/>
  <c r="H283" i="11"/>
  <c r="H297" i="11"/>
  <c r="H291" i="11"/>
  <c r="H292" i="11"/>
  <c r="H282" i="11"/>
  <c r="H284" i="11"/>
  <c r="H285" i="11"/>
  <c r="H307" i="11"/>
  <c r="H313" i="11" s="1"/>
  <c r="H298" i="11"/>
  <c r="H286" i="11"/>
  <c r="H293" i="11"/>
  <c r="H300" i="11"/>
  <c r="H306" i="11"/>
  <c r="H308" i="11"/>
  <c r="H309" i="11" s="1"/>
  <c r="BR273" i="11"/>
  <c r="BR403" i="11" s="1"/>
  <c r="BK306" i="11"/>
  <c r="BK26" i="11" s="1"/>
  <c r="BK273" i="11"/>
  <c r="D278" i="11"/>
  <c r="D279" i="11"/>
  <c r="D280" i="11"/>
  <c r="D288" i="11"/>
  <c r="D290" i="11"/>
  <c r="D289" i="11"/>
  <c r="D295" i="11"/>
  <c r="D303" i="11"/>
  <c r="D294" i="11"/>
  <c r="D302" i="11"/>
  <c r="D304" i="11"/>
  <c r="D305" i="11"/>
  <c r="D307" i="11"/>
  <c r="D313" i="11" s="1"/>
  <c r="D301" i="11"/>
  <c r="D287" i="11"/>
  <c r="D296" i="11"/>
  <c r="D281" i="11"/>
  <c r="D297" i="11"/>
  <c r="D283" i="11"/>
  <c r="D292" i="11"/>
  <c r="D284" i="11"/>
  <c r="D282" i="11"/>
  <c r="D291" i="11"/>
  <c r="D298" i="11"/>
  <c r="D285" i="11"/>
  <c r="D299" i="11"/>
  <c r="D293" i="11"/>
  <c r="D286" i="11"/>
  <c r="D300" i="11"/>
  <c r="D306" i="11"/>
  <c r="D308" i="11"/>
  <c r="D309" i="11" s="1"/>
  <c r="D407" i="11"/>
  <c r="C275" i="11"/>
  <c r="I407" i="11"/>
  <c r="I275" i="11"/>
  <c r="L431" i="11"/>
  <c r="K431" i="11"/>
  <c r="CF268" i="11"/>
  <c r="BY430" i="11"/>
  <c r="BY433" i="11" s="1"/>
  <c r="CF428" i="11"/>
  <c r="CF430" i="11" s="1"/>
  <c r="CM238" i="11"/>
  <c r="CM267" i="11" s="1"/>
  <c r="CM237" i="11"/>
  <c r="CM266" i="11" s="1"/>
  <c r="BR433" i="11"/>
  <c r="BY578" i="11"/>
  <c r="BY601" i="11" s="1"/>
  <c r="BY456" i="11" s="1"/>
  <c r="F48" i="139"/>
  <c r="F36" i="139"/>
  <c r="G31" i="139"/>
  <c r="G48" i="139"/>
  <c r="D401" i="11"/>
  <c r="BR601" i="11"/>
  <c r="BR456" i="11" s="1"/>
  <c r="AO41" i="2"/>
  <c r="AO42" i="2"/>
  <c r="AO46" i="2" s="1"/>
  <c r="AO3" i="242" s="1"/>
  <c r="AO21" i="242" s="1"/>
  <c r="AO45" i="242" s="1"/>
  <c r="AO49" i="242" s="1"/>
  <c r="BK613" i="11"/>
  <c r="BK614" i="11" s="1"/>
  <c r="BK591" i="11" s="1"/>
  <c r="BK636" i="11"/>
  <c r="BK678" i="11" s="1"/>
  <c r="AW637" i="11"/>
  <c r="AW569" i="11"/>
  <c r="AW570" i="11" s="1"/>
  <c r="AW546" i="11" s="1"/>
  <c r="AP615" i="11"/>
  <c r="AP460" i="11" s="1"/>
  <c r="AP445" i="11"/>
  <c r="AP638" i="11"/>
  <c r="AP680" i="11" s="1"/>
  <c r="BR568" i="11"/>
  <c r="BR590" i="11" s="1"/>
  <c r="BY544" i="11"/>
  <c r="AW592" i="11"/>
  <c r="BD592" i="11"/>
  <c r="BD569" i="11"/>
  <c r="BD570" i="11" s="1"/>
  <c r="BD637" i="11"/>
  <c r="BR431" i="11"/>
  <c r="F63" i="2"/>
  <c r="B22" i="139"/>
  <c r="B37" i="139" s="1"/>
  <c r="L20" i="139"/>
  <c r="AA62" i="2"/>
  <c r="AA61" i="2"/>
  <c r="E22" i="139"/>
  <c r="E63" i="2"/>
  <c r="AA66" i="2"/>
  <c r="AA65" i="2"/>
  <c r="AA262" i="243" s="1"/>
  <c r="Q7" i="139"/>
  <c r="CF558" i="11"/>
  <c r="CF580" i="11" s="1"/>
  <c r="CF603" i="11" s="1"/>
  <c r="CM530" i="11"/>
  <c r="D37" i="139"/>
  <c r="CM423" i="11"/>
  <c r="CM250" i="11"/>
  <c r="CM429" i="11"/>
  <c r="CM571" i="11"/>
  <c r="CM593" i="11" s="1"/>
  <c r="BK531" i="11"/>
  <c r="BD559" i="11"/>
  <c r="BK666" i="11"/>
  <c r="D63" i="2"/>
  <c r="BY564" i="11"/>
  <c r="CF540" i="11"/>
  <c r="BY565" i="11"/>
  <c r="BY587" i="11" s="1"/>
  <c r="BR587" i="11"/>
  <c r="BR566" i="11"/>
  <c r="BR541" i="11" s="1"/>
  <c r="CM260" i="11"/>
  <c r="CM426" i="11"/>
  <c r="CF387" i="11"/>
  <c r="CF400" i="11" s="1"/>
  <c r="CF411" i="11"/>
  <c r="AW608" i="11"/>
  <c r="AW458" i="11" s="1"/>
  <c r="AW631" i="11"/>
  <c r="H47" i="139"/>
  <c r="K97" i="2"/>
  <c r="H49" i="139"/>
  <c r="P47" i="139"/>
  <c r="BJ97" i="2"/>
  <c r="P49" i="139"/>
  <c r="CL64" i="4"/>
  <c r="CL88" i="4" s="1"/>
  <c r="CL142" i="4"/>
  <c r="F73" i="139"/>
  <c r="BR563" i="11"/>
  <c r="BR537" i="11" s="1"/>
  <c r="BR583" i="11"/>
  <c r="I390" i="11"/>
  <c r="I394" i="11" s="1"/>
  <c r="I395" i="11" s="1"/>
  <c r="I436" i="11" s="1"/>
  <c r="BD606" i="11"/>
  <c r="BD585" i="11"/>
  <c r="BD629" i="11"/>
  <c r="BD671" i="11" s="1"/>
  <c r="P73" i="139"/>
  <c r="CL17" i="4"/>
  <c r="C73" i="139"/>
  <c r="CE5" i="178"/>
  <c r="CS122" i="4"/>
  <c r="CS124" i="4" s="1"/>
  <c r="CS132" i="4" s="1"/>
  <c r="I97" i="2"/>
  <c r="F47" i="139"/>
  <c r="F49" i="139"/>
  <c r="BK563" i="11"/>
  <c r="BK537" i="11" s="1"/>
  <c r="BK583" i="11"/>
  <c r="C47" i="139"/>
  <c r="F97" i="2"/>
  <c r="C49" i="139"/>
  <c r="H466" i="11"/>
  <c r="H467" i="11" s="1"/>
  <c r="H437" i="11"/>
  <c r="H73" i="139"/>
  <c r="CE8" i="178"/>
  <c r="AO97" i="2"/>
  <c r="N47" i="139"/>
  <c r="N49" i="139"/>
  <c r="AP443" i="11"/>
  <c r="AP673" i="11"/>
  <c r="I405" i="11"/>
  <c r="I401" i="11"/>
  <c r="C393" i="11"/>
  <c r="C390" i="11"/>
  <c r="C394" i="11" s="1"/>
  <c r="CE15" i="2"/>
  <c r="CL135" i="4"/>
  <c r="CE89" i="243" s="1"/>
  <c r="CE90" i="243" s="1"/>
  <c r="DS143" i="4" l="1"/>
  <c r="EP35" i="2"/>
  <c r="EP6" i="242" s="1"/>
  <c r="EA35" i="2"/>
  <c r="DY35" i="2" s="1"/>
  <c r="DK89" i="4"/>
  <c r="DW6" i="242"/>
  <c r="DW32" i="2"/>
  <c r="DW35" i="2"/>
  <c r="EA6" i="242"/>
  <c r="DY6" i="242" s="1"/>
  <c r="CS51" i="178"/>
  <c r="CR50" i="178"/>
  <c r="CR56" i="178" s="1"/>
  <c r="CR57" i="178" s="1"/>
  <c r="CP53" i="178"/>
  <c r="CR54" i="178"/>
  <c r="AV61" i="242"/>
  <c r="DY32" i="2"/>
  <c r="EF32" i="2"/>
  <c r="AO56" i="242"/>
  <c r="AO58" i="242"/>
  <c r="AO60" i="242" s="1"/>
  <c r="EH6" i="242"/>
  <c r="EF6" i="242" s="1"/>
  <c r="ED6" i="242"/>
  <c r="EO33" i="242"/>
  <c r="EM33" i="242" s="1"/>
  <c r="EH25" i="242"/>
  <c r="EF25" i="242" s="1"/>
  <c r="EO32" i="2"/>
  <c r="EJ32" i="2"/>
  <c r="EJ35" i="2" s="1"/>
  <c r="EJ6" i="242" s="1"/>
  <c r="EN35" i="2"/>
  <c r="EN6" i="242" s="1"/>
  <c r="ED32" i="2"/>
  <c r="DM70" i="2"/>
  <c r="DK70" i="2" s="1"/>
  <c r="EH35" i="2"/>
  <c r="EF35" i="2" s="1"/>
  <c r="ED35" i="2"/>
  <c r="DA19" i="220"/>
  <c r="CY18" i="220"/>
  <c r="DY117" i="4" s="1"/>
  <c r="CF389" i="11"/>
  <c r="CF393" i="11" s="1"/>
  <c r="CR19" i="220"/>
  <c r="CM17" i="178"/>
  <c r="CU62" i="11" s="1"/>
  <c r="CU63" i="11" s="1"/>
  <c r="CQ17" i="178"/>
  <c r="CR17" i="178" s="1"/>
  <c r="DU104" i="4"/>
  <c r="X6" i="139"/>
  <c r="U92" i="139"/>
  <c r="L22" i="139"/>
  <c r="L37" i="139" s="1"/>
  <c r="M22" i="139"/>
  <c r="M37" i="139" s="1"/>
  <c r="DT65" i="4"/>
  <c r="DT89" i="4" s="1"/>
  <c r="DT104" i="4" s="1"/>
  <c r="EH30" i="178"/>
  <c r="EF29" i="178"/>
  <c r="I76" i="139"/>
  <c r="H76" i="139"/>
  <c r="DW18" i="220"/>
  <c r="EW117" i="4" s="1"/>
  <c r="DU19" i="220"/>
  <c r="DU18" i="220" s="1"/>
  <c r="DS19" i="220"/>
  <c r="DS18" i="220" s="1"/>
  <c r="ES117" i="4" s="1"/>
  <c r="DQ19" i="220"/>
  <c r="CX24" i="220"/>
  <c r="DX143" i="4" s="1"/>
  <c r="DX65" i="4"/>
  <c r="DX89" i="4" s="1"/>
  <c r="DX104" i="4" s="1"/>
  <c r="EB65" i="4"/>
  <c r="EB89" i="4" s="1"/>
  <c r="DZ65" i="4"/>
  <c r="DZ89" i="4" s="1"/>
  <c r="DZ104" i="4" s="1"/>
  <c r="CZ24" i="220"/>
  <c r="D76" i="139"/>
  <c r="C76" i="139"/>
  <c r="G76" i="139"/>
  <c r="F76" i="139"/>
  <c r="EH117" i="4"/>
  <c r="E48" i="139"/>
  <c r="CL5" i="178"/>
  <c r="DE22" i="220"/>
  <c r="DE21" i="220" s="1"/>
  <c r="DC22" i="220"/>
  <c r="DG22" i="220"/>
  <c r="DG21" i="220" s="1"/>
  <c r="DK143" i="4"/>
  <c r="P76" i="139"/>
  <c r="DY29" i="178"/>
  <c r="DY30" i="178" s="1"/>
  <c r="EA30" i="178"/>
  <c r="EN117" i="4"/>
  <c r="DF18" i="220"/>
  <c r="EF117" i="4" s="1"/>
  <c r="EL30" i="4"/>
  <c r="EL59" i="4" s="1"/>
  <c r="EO59" i="4"/>
  <c r="EE59" i="4"/>
  <c r="EF123" i="4"/>
  <c r="EJ59" i="4"/>
  <c r="EV123" i="4"/>
  <c r="EL123" i="4"/>
  <c r="ED59" i="4"/>
  <c r="EK123" i="4"/>
  <c r="H36" i="139"/>
  <c r="I31" i="139"/>
  <c r="H48" i="139"/>
  <c r="F31" i="139"/>
  <c r="H37" i="139"/>
  <c r="E31" i="139"/>
  <c r="C31" i="139"/>
  <c r="EK30" i="4"/>
  <c r="EF30" i="4"/>
  <c r="DH19" i="220"/>
  <c r="EU59" i="4"/>
  <c r="EQ30" i="4"/>
  <c r="EQ123" i="4"/>
  <c r="CT24" i="220"/>
  <c r="DT143" i="4" s="1"/>
  <c r="DO18" i="220"/>
  <c r="EV30" i="4"/>
  <c r="CY147" i="4"/>
  <c r="CT147" i="4"/>
  <c r="CU147" i="4" s="1"/>
  <c r="B48" i="139"/>
  <c r="J63" i="2"/>
  <c r="K63" i="2"/>
  <c r="F22" i="139"/>
  <c r="F37" i="139" s="1"/>
  <c r="G22" i="139"/>
  <c r="M65" i="2"/>
  <c r="M66" i="2"/>
  <c r="J22" i="139" s="1"/>
  <c r="M62" i="2"/>
  <c r="M61" i="2"/>
  <c r="M263" i="243"/>
  <c r="M21" i="242"/>
  <c r="M56" i="242" s="1"/>
  <c r="DN34" i="178"/>
  <c r="DG53" i="178"/>
  <c r="DB24" i="220"/>
  <c r="EB143" i="4" s="1"/>
  <c r="DA21" i="220"/>
  <c r="K112" i="243"/>
  <c r="K110" i="243"/>
  <c r="J125" i="243"/>
  <c r="J121" i="243"/>
  <c r="CT22" i="220"/>
  <c r="CR21" i="220"/>
  <c r="DR65" i="4" s="1"/>
  <c r="CK56" i="178"/>
  <c r="CK51" i="178"/>
  <c r="M115" i="243"/>
  <c r="M118" i="243" s="1"/>
  <c r="L103" i="243"/>
  <c r="L102" i="243" s="1"/>
  <c r="L111" i="243" s="1"/>
  <c r="DP22" i="220"/>
  <c r="DI21" i="220"/>
  <c r="DN31" i="178"/>
  <c r="DG27" i="178"/>
  <c r="K36" i="139"/>
  <c r="K48" i="139"/>
  <c r="AO68" i="242"/>
  <c r="AO73" i="242" s="1"/>
  <c r="AO42" i="242"/>
  <c r="EI12" i="242"/>
  <c r="EH12" i="242" s="1"/>
  <c r="EF12" i="242" s="1"/>
  <c r="EP25" i="242"/>
  <c r="R80" i="139"/>
  <c r="R81" i="139" s="1"/>
  <c r="M43" i="139"/>
  <c r="C37" i="139"/>
  <c r="AH81" i="2"/>
  <c r="M21" i="139"/>
  <c r="Q9" i="139"/>
  <c r="Q49" i="139" s="1"/>
  <c r="CM337" i="11"/>
  <c r="BY431" i="11"/>
  <c r="DA429" i="11"/>
  <c r="DA571" i="11"/>
  <c r="DA593" i="11" s="1"/>
  <c r="DV510" i="11"/>
  <c r="DO512" i="11"/>
  <c r="DO506" i="11"/>
  <c r="EJ495" i="11"/>
  <c r="DA426" i="11"/>
  <c r="EQ508" i="11"/>
  <c r="DH428" i="11"/>
  <c r="DV424" i="11"/>
  <c r="EC494" i="11"/>
  <c r="EJ493" i="11"/>
  <c r="EC579" i="11"/>
  <c r="EJ557" i="11"/>
  <c r="EQ529" i="11"/>
  <c r="EQ557" i="11" s="1"/>
  <c r="DV509" i="11"/>
  <c r="EQ505" i="11"/>
  <c r="BR652" i="11"/>
  <c r="BR441" i="11" s="1"/>
  <c r="BR653" i="11"/>
  <c r="D317" i="11"/>
  <c r="H312" i="11"/>
  <c r="H316" i="11" s="1"/>
  <c r="D312" i="11"/>
  <c r="D316" i="11" s="1"/>
  <c r="H311" i="11"/>
  <c r="H315" i="11" s="1"/>
  <c r="D311" i="11"/>
  <c r="D315" i="11" s="1"/>
  <c r="H317" i="11"/>
  <c r="BR434" i="11"/>
  <c r="BR657" i="11"/>
  <c r="BR654" i="11"/>
  <c r="BR656" i="11"/>
  <c r="BR655" i="11"/>
  <c r="CF270" i="11"/>
  <c r="C278" i="11"/>
  <c r="C279" i="11"/>
  <c r="C280" i="11"/>
  <c r="C287" i="11"/>
  <c r="C288" i="11"/>
  <c r="C289" i="11"/>
  <c r="C290" i="11"/>
  <c r="C295" i="11"/>
  <c r="C296" i="11"/>
  <c r="C301" i="11"/>
  <c r="C302" i="11"/>
  <c r="C303" i="11"/>
  <c r="C294" i="11"/>
  <c r="C304" i="11"/>
  <c r="C305" i="11"/>
  <c r="C307" i="11"/>
  <c r="C313" i="11" s="1"/>
  <c r="C281" i="11"/>
  <c r="C283" i="11"/>
  <c r="C285" i="11"/>
  <c r="C292" i="11"/>
  <c r="C299" i="11"/>
  <c r="C297" i="11"/>
  <c r="C291" i="11"/>
  <c r="C282" i="11"/>
  <c r="C284" i="11"/>
  <c r="C298" i="11"/>
  <c r="C286" i="11"/>
  <c r="C293" i="11"/>
  <c r="C300" i="11"/>
  <c r="C306" i="11"/>
  <c r="C308" i="11"/>
  <c r="C309" i="11" s="1"/>
  <c r="I278" i="11"/>
  <c r="I279" i="11"/>
  <c r="I280" i="11"/>
  <c r="I287" i="11"/>
  <c r="I288" i="11"/>
  <c r="I289" i="11"/>
  <c r="I290" i="11"/>
  <c r="I294" i="11"/>
  <c r="I295" i="11"/>
  <c r="I303" i="11"/>
  <c r="I302" i="11"/>
  <c r="I301" i="11"/>
  <c r="I304" i="11"/>
  <c r="I296" i="11"/>
  <c r="I281" i="11"/>
  <c r="I305" i="11"/>
  <c r="I291" i="11"/>
  <c r="I307" i="11"/>
  <c r="I313" i="11" s="1"/>
  <c r="I283" i="11"/>
  <c r="I299" i="11"/>
  <c r="I285" i="11"/>
  <c r="I292" i="11"/>
  <c r="I298" i="11"/>
  <c r="I297" i="11"/>
  <c r="I282" i="11"/>
  <c r="I284" i="11"/>
  <c r="I286" i="11"/>
  <c r="I293" i="11"/>
  <c r="I300" i="11"/>
  <c r="I306" i="11"/>
  <c r="I308" i="11"/>
  <c r="I309" i="11" s="1"/>
  <c r="BK308" i="11"/>
  <c r="BK434" i="11"/>
  <c r="BK655" i="11"/>
  <c r="BK444" i="11" s="1"/>
  <c r="BK653" i="11"/>
  <c r="BK652" i="11"/>
  <c r="BK654" i="11"/>
  <c r="BK657" i="11"/>
  <c r="BK446" i="11" s="1"/>
  <c r="BK656" i="11"/>
  <c r="BY273" i="11"/>
  <c r="BY656" i="11" s="1"/>
  <c r="CM428" i="11"/>
  <c r="CM430" i="11" s="1"/>
  <c r="CM268" i="11"/>
  <c r="AP447" i="11"/>
  <c r="AP462" i="11" s="1"/>
  <c r="AP641" i="11"/>
  <c r="AP642" i="11" s="1"/>
  <c r="G43" i="139"/>
  <c r="AO48" i="2"/>
  <c r="AO51" i="2"/>
  <c r="AO59" i="2" s="1"/>
  <c r="AO57" i="2"/>
  <c r="AO47" i="2"/>
  <c r="AO263" i="243" s="1"/>
  <c r="BR613" i="11"/>
  <c r="BR636" i="11"/>
  <c r="BR678" i="11" s="1"/>
  <c r="BD615" i="11"/>
  <c r="BD638" i="11"/>
  <c r="BD680" i="11" s="1"/>
  <c r="AW615" i="11"/>
  <c r="AW460" i="11" s="1"/>
  <c r="AW638" i="11"/>
  <c r="AW641" i="11" s="1"/>
  <c r="AW642" i="11" s="1"/>
  <c r="BY568" i="11"/>
  <c r="BY590" i="11" s="1"/>
  <c r="BY613" i="11" s="1"/>
  <c r="BY612" i="11" s="1"/>
  <c r="BY589" i="11" s="1"/>
  <c r="BY567" i="11" s="1"/>
  <c r="BY543" i="11"/>
  <c r="CF543" i="11" s="1"/>
  <c r="CF544" i="11"/>
  <c r="BK592" i="11"/>
  <c r="BK569" i="11"/>
  <c r="BK637" i="11"/>
  <c r="BK679" i="11" s="1"/>
  <c r="L43" i="139"/>
  <c r="AA81" i="2"/>
  <c r="AH63" i="2"/>
  <c r="AA63" i="2"/>
  <c r="L21" i="139"/>
  <c r="E37" i="139"/>
  <c r="CT571" i="11"/>
  <c r="CT593" i="11" s="1"/>
  <c r="CT429" i="11"/>
  <c r="BK559" i="11"/>
  <c r="BR531" i="11"/>
  <c r="CM558" i="11"/>
  <c r="CM580" i="11" s="1"/>
  <c r="CM603" i="11" s="1"/>
  <c r="CT530" i="11"/>
  <c r="DA530" i="11" s="1"/>
  <c r="CF466" i="11"/>
  <c r="CF467" i="11" s="1"/>
  <c r="BD581" i="11"/>
  <c r="BD560" i="11"/>
  <c r="BD532" i="11" s="1"/>
  <c r="BR588" i="11"/>
  <c r="BR633" i="11"/>
  <c r="BR675" i="11" s="1"/>
  <c r="BR610" i="11"/>
  <c r="BY610" i="11"/>
  <c r="CM540" i="11"/>
  <c r="CF564" i="11"/>
  <c r="CF565" i="11"/>
  <c r="CF587" i="11" s="1"/>
  <c r="BY586" i="11"/>
  <c r="BY566" i="11"/>
  <c r="BY541" i="11" s="1"/>
  <c r="C395" i="11"/>
  <c r="I466" i="11"/>
  <c r="I467" i="11" s="1"/>
  <c r="I437" i="11"/>
  <c r="AW673" i="11"/>
  <c r="AW443" i="11"/>
  <c r="CL103" i="4"/>
  <c r="CL44" i="4"/>
  <c r="BD608" i="11"/>
  <c r="BD631" i="11"/>
  <c r="AP448" i="11"/>
  <c r="R70" i="139"/>
  <c r="R7" i="139"/>
  <c r="CS64" i="4"/>
  <c r="CS88" i="4" s="1"/>
  <c r="CS142" i="4"/>
  <c r="Q73" i="139"/>
  <c r="Q76" i="139" s="1"/>
  <c r="CL15" i="2"/>
  <c r="CS135" i="4"/>
  <c r="CL89" i="243" s="1"/>
  <c r="CL90" i="243" s="1"/>
  <c r="BK585" i="11"/>
  <c r="BK606" i="11"/>
  <c r="BK629" i="11"/>
  <c r="BK671" i="11" s="1"/>
  <c r="BR606" i="11"/>
  <c r="BR585" i="11"/>
  <c r="BR629" i="11"/>
  <c r="BR671" i="11" s="1"/>
  <c r="DK104" i="4" l="1"/>
  <c r="CP54" i="178"/>
  <c r="CR18" i="178"/>
  <c r="CP17" i="178"/>
  <c r="CP18" i="178" s="1"/>
  <c r="CP50" i="178"/>
  <c r="CP51" i="178" s="1"/>
  <c r="CR51" i="178"/>
  <c r="EB104" i="4"/>
  <c r="AO62" i="242"/>
  <c r="AO61" i="242"/>
  <c r="EO6" i="242"/>
  <c r="EK6" i="242"/>
  <c r="EO25" i="242"/>
  <c r="EM25" i="242" s="1"/>
  <c r="EL32" i="2"/>
  <c r="EL35" i="2" s="1"/>
  <c r="EO35" i="2"/>
  <c r="EK35" i="2"/>
  <c r="EK32" i="2"/>
  <c r="CN17" i="178"/>
  <c r="CN18" i="178" s="1"/>
  <c r="CQ20" i="178"/>
  <c r="CR20" i="178" s="1"/>
  <c r="CY19" i="220"/>
  <c r="DE64" i="4"/>
  <c r="DE88" i="4" s="1"/>
  <c r="DE103" i="4" s="1"/>
  <c r="CY62" i="11"/>
  <c r="CZ62" i="11" s="1"/>
  <c r="CM338" i="11"/>
  <c r="CM339" i="11"/>
  <c r="CV17" i="178"/>
  <c r="DD62" i="11" s="1"/>
  <c r="DD63" i="11" s="1"/>
  <c r="CT17" i="178"/>
  <c r="CX17" i="178"/>
  <c r="CY17" i="178" s="1"/>
  <c r="DA64" i="4"/>
  <c r="DA88" i="4" s="1"/>
  <c r="DA103" i="4" s="1"/>
  <c r="CM20" i="178"/>
  <c r="U86" i="139"/>
  <c r="U98" i="139" s="1"/>
  <c r="DF19" i="220"/>
  <c r="AO78" i="242"/>
  <c r="CT25" i="220"/>
  <c r="DG64" i="4"/>
  <c r="DG88" i="4" s="1"/>
  <c r="DG103" i="4" s="1"/>
  <c r="DN22" i="220"/>
  <c r="DN21" i="220" s="1"/>
  <c r="DL22" i="220"/>
  <c r="DL21" i="220" s="1"/>
  <c r="DJ22" i="220"/>
  <c r="CK17" i="178"/>
  <c r="CK18" i="178" s="1"/>
  <c r="CZ64" i="4"/>
  <c r="CZ88" i="4" s="1"/>
  <c r="CZ103" i="4" s="1"/>
  <c r="DZ143" i="4"/>
  <c r="EF30" i="178"/>
  <c r="EA65" i="4"/>
  <c r="EA89" i="4" s="1"/>
  <c r="EA104" i="4" s="1"/>
  <c r="EO117" i="4"/>
  <c r="EG65" i="4"/>
  <c r="EG89" i="4" s="1"/>
  <c r="EG104" i="4" s="1"/>
  <c r="DG24" i="220"/>
  <c r="EI65" i="4"/>
  <c r="EI89" i="4" s="1"/>
  <c r="EM30" i="4"/>
  <c r="EM59" i="4" s="1"/>
  <c r="DV18" i="220"/>
  <c r="DV19" i="220" s="1"/>
  <c r="DE24" i="220"/>
  <c r="EE143" i="4" s="1"/>
  <c r="EE65" i="4"/>
  <c r="EE89" i="4" s="1"/>
  <c r="EE104" i="4" s="1"/>
  <c r="EU117" i="4"/>
  <c r="ES123" i="4"/>
  <c r="ET123" i="4" s="1"/>
  <c r="EK59" i="4"/>
  <c r="EQ59" i="4"/>
  <c r="EF59" i="4"/>
  <c r="EM123" i="4"/>
  <c r="CR24" i="220"/>
  <c r="DR143" i="4" s="1"/>
  <c r="DO19" i="220"/>
  <c r="ER30" i="4"/>
  <c r="DU147" i="4"/>
  <c r="ES30" i="4"/>
  <c r="EV59" i="4"/>
  <c r="CR22" i="220"/>
  <c r="DR89" i="4"/>
  <c r="DR104" i="4" s="1"/>
  <c r="DA24" i="220"/>
  <c r="EA143" i="4" s="1"/>
  <c r="DM18" i="220"/>
  <c r="EM117" i="4" s="1"/>
  <c r="CW147" i="4"/>
  <c r="ER123" i="4"/>
  <c r="DF147" i="4"/>
  <c r="G37" i="139"/>
  <c r="DN53" i="178"/>
  <c r="DU34" i="178"/>
  <c r="CZ142" i="4"/>
  <c r="J37" i="139"/>
  <c r="M42" i="242"/>
  <c r="M68" i="242"/>
  <c r="M73" i="242" s="1"/>
  <c r="M262" i="243"/>
  <c r="J21" i="139"/>
  <c r="T63" i="2"/>
  <c r="M63" i="2"/>
  <c r="DI24" i="220"/>
  <c r="EI143" i="4" s="1"/>
  <c r="DH21" i="220"/>
  <c r="L110" i="243"/>
  <c r="L112" i="243"/>
  <c r="CK57" i="178"/>
  <c r="K125" i="243"/>
  <c r="K121" i="243"/>
  <c r="CY21" i="220"/>
  <c r="DY65" i="4" s="1"/>
  <c r="DA22" i="220"/>
  <c r="CK14" i="178"/>
  <c r="DW22" i="220"/>
  <c r="DP21" i="220"/>
  <c r="CZ17" i="4"/>
  <c r="DG50" i="178"/>
  <c r="DG28" i="178"/>
  <c r="DG24" i="178"/>
  <c r="DU31" i="178"/>
  <c r="DN27" i="178"/>
  <c r="EP12" i="242"/>
  <c r="EO12" i="242" s="1"/>
  <c r="EM12" i="242" s="1"/>
  <c r="BQ97" i="2"/>
  <c r="Q47" i="139"/>
  <c r="M48" i="139"/>
  <c r="M36" i="139"/>
  <c r="Q51" i="139"/>
  <c r="BK309" i="11"/>
  <c r="BK217" i="11" s="1"/>
  <c r="BK28" i="11"/>
  <c r="EC509" i="11"/>
  <c r="DH429" i="11"/>
  <c r="DH571" i="11"/>
  <c r="DH593" i="11" s="1"/>
  <c r="DH530" i="11"/>
  <c r="EJ494" i="11"/>
  <c r="DH426" i="11"/>
  <c r="DV506" i="11"/>
  <c r="DV512" i="11"/>
  <c r="EQ495" i="11"/>
  <c r="EC510" i="11"/>
  <c r="EQ493" i="11"/>
  <c r="EJ579" i="11"/>
  <c r="I317" i="11"/>
  <c r="C317" i="11"/>
  <c r="C312" i="11"/>
  <c r="C316" i="11" s="1"/>
  <c r="BK315" i="11"/>
  <c r="BK317" i="11"/>
  <c r="BK316" i="11"/>
  <c r="C311" i="11"/>
  <c r="C315" i="11" s="1"/>
  <c r="I312" i="11"/>
  <c r="I316" i="11" s="1"/>
  <c r="I311" i="11"/>
  <c r="I315" i="11" s="1"/>
  <c r="BR658" i="11"/>
  <c r="BR659" i="11" s="1"/>
  <c r="BY434" i="11"/>
  <c r="BY652" i="11"/>
  <c r="BY655" i="11"/>
  <c r="BY653" i="11"/>
  <c r="BY403" i="11"/>
  <c r="BK658" i="11"/>
  <c r="BK659" i="11" s="1"/>
  <c r="BK441" i="11"/>
  <c r="CM270" i="11"/>
  <c r="BY657" i="11"/>
  <c r="BY654" i="11"/>
  <c r="CM466" i="11"/>
  <c r="CM467" i="11" s="1"/>
  <c r="AP643" i="11"/>
  <c r="AP644" i="11" s="1"/>
  <c r="AO65" i="2"/>
  <c r="AO262" i="243" s="1"/>
  <c r="AO66" i="2"/>
  <c r="AO62" i="2"/>
  <c r="N20" i="139"/>
  <c r="N43" i="139" s="1"/>
  <c r="AO61" i="2"/>
  <c r="BK615" i="11"/>
  <c r="BK460" i="11" s="1"/>
  <c r="BK638" i="11"/>
  <c r="CF568" i="11"/>
  <c r="CF590" i="11" s="1"/>
  <c r="CM544" i="11"/>
  <c r="CF567" i="11"/>
  <c r="CF589" i="11" s="1"/>
  <c r="CM543" i="11"/>
  <c r="AW445" i="11"/>
  <c r="AW448" i="11" s="1"/>
  <c r="AW680" i="11"/>
  <c r="BK545" i="11"/>
  <c r="BR545" i="11" s="1"/>
  <c r="BK570" i="11"/>
  <c r="BK546" i="11" s="1"/>
  <c r="M31" i="139"/>
  <c r="L48" i="139"/>
  <c r="L36" i="139"/>
  <c r="L31" i="139"/>
  <c r="CF431" i="11"/>
  <c r="BY531" i="11"/>
  <c r="BR559" i="11"/>
  <c r="BD582" i="11"/>
  <c r="BD627" i="11"/>
  <c r="BD669" i="11" s="1"/>
  <c r="BD604" i="11"/>
  <c r="BK581" i="11"/>
  <c r="BK560" i="11"/>
  <c r="BK532" i="11" s="1"/>
  <c r="CF566" i="11"/>
  <c r="CF541" i="11" s="1"/>
  <c r="CF586" i="11"/>
  <c r="BY588" i="11"/>
  <c r="CM564" i="11"/>
  <c r="CT540" i="11"/>
  <c r="DA540" i="11" s="1"/>
  <c r="CM565" i="11"/>
  <c r="CM587" i="11" s="1"/>
  <c r="CM610" i="11" s="1"/>
  <c r="BR611" i="11"/>
  <c r="BR459" i="11" s="1"/>
  <c r="BR634" i="11"/>
  <c r="CM431" i="11"/>
  <c r="CF610" i="11"/>
  <c r="J387" i="11"/>
  <c r="J400" i="11" s="1"/>
  <c r="J389" i="11" s="1"/>
  <c r="J393" i="11" s="1"/>
  <c r="CE31" i="2"/>
  <c r="CF409" i="11"/>
  <c r="CF410" i="11" s="1"/>
  <c r="CF412" i="11" s="1"/>
  <c r="CF402" i="11"/>
  <c r="CF404" i="11"/>
  <c r="CF10" i="11" s="1"/>
  <c r="BR608" i="11"/>
  <c r="BR458" i="11" s="1"/>
  <c r="BR631" i="11"/>
  <c r="BK608" i="11"/>
  <c r="BK458" i="11" s="1"/>
  <c r="BK631" i="11"/>
  <c r="R9" i="139"/>
  <c r="AW643" i="11"/>
  <c r="AW644" i="11" s="1"/>
  <c r="CS103" i="4"/>
  <c r="CS44" i="4"/>
  <c r="CL156" i="4"/>
  <c r="CS152" i="4" s="1"/>
  <c r="DG142" i="4"/>
  <c r="AP449" i="11"/>
  <c r="BD673" i="11"/>
  <c r="CY18" i="178" l="1"/>
  <c r="CW17" i="178"/>
  <c r="DM64" i="4"/>
  <c r="DM88" i="4" s="1"/>
  <c r="DM103" i="4" s="1"/>
  <c r="EI104" i="4"/>
  <c r="DF62" i="11"/>
  <c r="CU17" i="178"/>
  <c r="CU18" i="178" s="1"/>
  <c r="CR21" i="178"/>
  <c r="CP20" i="178"/>
  <c r="CP21" i="178" s="1"/>
  <c r="CP56" i="178"/>
  <c r="CP57" i="178" s="1"/>
  <c r="CZ63" i="11"/>
  <c r="V86" i="139"/>
  <c r="EM35" i="2"/>
  <c r="EL6" i="242"/>
  <c r="EM6" i="242" s="1"/>
  <c r="EM32" i="2"/>
  <c r="DB64" i="4"/>
  <c r="DB88" i="4" s="1"/>
  <c r="DB103" i="4" s="1"/>
  <c r="CN20" i="178"/>
  <c r="CN21" i="178" s="1"/>
  <c r="CY70" i="11"/>
  <c r="CZ70" i="11" s="1"/>
  <c r="DE142" i="4"/>
  <c r="CY63" i="11"/>
  <c r="CV62" i="11"/>
  <c r="CV63" i="11" s="1"/>
  <c r="DA142" i="4"/>
  <c r="CU70" i="11"/>
  <c r="CU71" i="11" s="1"/>
  <c r="CT8" i="178"/>
  <c r="DH51" i="178"/>
  <c r="DH50" i="178" s="1"/>
  <c r="DH56" i="178" s="1"/>
  <c r="DL51" i="178"/>
  <c r="DJ51" i="178"/>
  <c r="DL64" i="4"/>
  <c r="DL88" i="4" s="1"/>
  <c r="DL103" i="4" s="1"/>
  <c r="CX20" i="178"/>
  <c r="CY20" i="178" s="1"/>
  <c r="DN18" i="178"/>
  <c r="DC18" i="178"/>
  <c r="DA17" i="178"/>
  <c r="DO64" i="4" s="1"/>
  <c r="DO88" i="4" s="1"/>
  <c r="DO103" i="4" s="1"/>
  <c r="DE18" i="178"/>
  <c r="CT20" i="178"/>
  <c r="DH64" i="4"/>
  <c r="DH88" i="4" s="1"/>
  <c r="V92" i="139"/>
  <c r="N22" i="139"/>
  <c r="EG143" i="4"/>
  <c r="DW21" i="220"/>
  <c r="DW24" i="220" s="1"/>
  <c r="EW143" i="4" s="1"/>
  <c r="DQ22" i="220"/>
  <c r="DU22" i="220"/>
  <c r="DU21" i="220" s="1"/>
  <c r="DS22" i="220"/>
  <c r="DS21" i="220" s="1"/>
  <c r="EV117" i="4"/>
  <c r="EP65" i="4"/>
  <c r="EP89" i="4" s="1"/>
  <c r="EP104" i="4" s="1"/>
  <c r="EH65" i="4"/>
  <c r="EH89" i="4" s="1"/>
  <c r="EH104" i="4" s="1"/>
  <c r="C6" i="244"/>
  <c r="DL24" i="220"/>
  <c r="EL143" i="4" s="1"/>
  <c r="EL65" i="4"/>
  <c r="EL89" i="4" s="1"/>
  <c r="EL104" i="4" s="1"/>
  <c r="DT18" i="220"/>
  <c r="CY64" i="4"/>
  <c r="CY88" i="4" s="1"/>
  <c r="EN65" i="4"/>
  <c r="EN89" i="4" s="1"/>
  <c r="EN104" i="4" s="1"/>
  <c r="DN24" i="220"/>
  <c r="DF64" i="4"/>
  <c r="DF88" i="4" s="1"/>
  <c r="DF103" i="4" s="1"/>
  <c r="CR25" i="220"/>
  <c r="DA25" i="220"/>
  <c r="ES59" i="4"/>
  <c r="CY24" i="220"/>
  <c r="DY143" i="4" s="1"/>
  <c r="ER59" i="4"/>
  <c r="ET30" i="4"/>
  <c r="DM19" i="220"/>
  <c r="DO147" i="4"/>
  <c r="DP147" i="4" s="1"/>
  <c r="EB147" i="4"/>
  <c r="CY22" i="220"/>
  <c r="DY89" i="4"/>
  <c r="DY104" i="4" s="1"/>
  <c r="DH24" i="220"/>
  <c r="EH143" i="4" s="1"/>
  <c r="DD147" i="4"/>
  <c r="DM147" i="4"/>
  <c r="DH147" i="4"/>
  <c r="DI147" i="4" s="1"/>
  <c r="DU53" i="178"/>
  <c r="EB34" i="178"/>
  <c r="CK20" i="178"/>
  <c r="CY142" i="4" s="1"/>
  <c r="M81" i="2"/>
  <c r="J48" i="139"/>
  <c r="J36" i="139"/>
  <c r="J31" i="139"/>
  <c r="K31" i="139"/>
  <c r="DF142" i="4"/>
  <c r="CK15" i="178"/>
  <c r="DF21" i="220"/>
  <c r="EF65" i="4" s="1"/>
  <c r="DH22" i="220"/>
  <c r="DG56" i="178"/>
  <c r="DG7" i="178" s="1"/>
  <c r="DP24" i="220"/>
  <c r="EP143" i="4" s="1"/>
  <c r="DO21" i="220"/>
  <c r="L125" i="243"/>
  <c r="L121" i="243"/>
  <c r="DU27" i="178"/>
  <c r="EB31" i="178"/>
  <c r="DG37" i="178"/>
  <c r="DG25" i="178"/>
  <c r="DG4" i="178"/>
  <c r="DU5" i="4" s="1"/>
  <c r="DG38" i="178"/>
  <c r="DN50" i="178"/>
  <c r="DN28" i="178"/>
  <c r="DN24" i="178"/>
  <c r="R51" i="139"/>
  <c r="EC424" i="11"/>
  <c r="DO429" i="11"/>
  <c r="DO571" i="11"/>
  <c r="DO593" i="11" s="1"/>
  <c r="EQ494" i="11"/>
  <c r="EQ424" i="11" s="1"/>
  <c r="DO426" i="11"/>
  <c r="EJ509" i="11"/>
  <c r="EC506" i="11"/>
  <c r="DV428" i="11"/>
  <c r="DA565" i="11"/>
  <c r="DA587" i="11" s="1"/>
  <c r="DA564" i="11"/>
  <c r="DH540" i="11"/>
  <c r="DO530" i="11"/>
  <c r="EJ510" i="11"/>
  <c r="EC512" i="11"/>
  <c r="EQ579" i="11"/>
  <c r="BY658" i="11"/>
  <c r="BY659" i="11" s="1"/>
  <c r="AW447" i="11"/>
  <c r="AW462" i="11" s="1"/>
  <c r="N21" i="139"/>
  <c r="AV63" i="2"/>
  <c r="AO63" i="2"/>
  <c r="AO81" i="2"/>
  <c r="BY545" i="11"/>
  <c r="BR569" i="11"/>
  <c r="CT544" i="11"/>
  <c r="DA544" i="11" s="1"/>
  <c r="CM568" i="11"/>
  <c r="CM590" i="11" s="1"/>
  <c r="CM613" i="11" s="1"/>
  <c r="CM612" i="11" s="1"/>
  <c r="BK680" i="11"/>
  <c r="BK445" i="11"/>
  <c r="CF613" i="11"/>
  <c r="CF612" i="11" s="1"/>
  <c r="CT543" i="11"/>
  <c r="CM567" i="11"/>
  <c r="CM589" i="11" s="1"/>
  <c r="BD605" i="11"/>
  <c r="BD628" i="11"/>
  <c r="BR560" i="11"/>
  <c r="BR532" i="11" s="1"/>
  <c r="BR581" i="11"/>
  <c r="BK604" i="11"/>
  <c r="BK627" i="11"/>
  <c r="BK669" i="11" s="1"/>
  <c r="BK582" i="11"/>
  <c r="CF531" i="11"/>
  <c r="BY559" i="11"/>
  <c r="BR676" i="11"/>
  <c r="BR444" i="11"/>
  <c r="CT564" i="11"/>
  <c r="CM566" i="11"/>
  <c r="CM541" i="11" s="1"/>
  <c r="CM586" i="11"/>
  <c r="CM588" i="11" s="1"/>
  <c r="CM611" i="11" s="1"/>
  <c r="CM459" i="11" s="1"/>
  <c r="J406" i="11"/>
  <c r="J404" i="11"/>
  <c r="J10" i="11" s="1"/>
  <c r="J5" i="11" s="1"/>
  <c r="J391" i="11" s="1"/>
  <c r="J390" i="11" s="1"/>
  <c r="J394" i="11" s="1"/>
  <c r="J395" i="11" s="1"/>
  <c r="J436" i="11" s="1"/>
  <c r="J402" i="11"/>
  <c r="BY611" i="11"/>
  <c r="BY459" i="11" s="1"/>
  <c r="CF588" i="11"/>
  <c r="L73" i="139"/>
  <c r="CE36" i="2"/>
  <c r="CS156" i="4"/>
  <c r="CZ152" i="4" s="1"/>
  <c r="CF405" i="11"/>
  <c r="CF401" i="11"/>
  <c r="CF414" i="11"/>
  <c r="CF413" i="11"/>
  <c r="CF651" i="11" s="1"/>
  <c r="CF647" i="11" s="1"/>
  <c r="BK673" i="11"/>
  <c r="BK443" i="11"/>
  <c r="BX97" i="2"/>
  <c r="R47" i="139"/>
  <c r="R49" i="139"/>
  <c r="BR443" i="11"/>
  <c r="BR673" i="11"/>
  <c r="R73" i="139"/>
  <c r="AW449" i="11"/>
  <c r="CY21" i="178" l="1"/>
  <c r="CW18" i="178"/>
  <c r="DK64" i="4"/>
  <c r="DK88" i="4" s="1"/>
  <c r="DK103" i="4" s="1"/>
  <c r="DF63" i="11"/>
  <c r="DG62" i="11"/>
  <c r="W86" i="139"/>
  <c r="DF70" i="11"/>
  <c r="CU20" i="178"/>
  <c r="CU21" i="178" s="1"/>
  <c r="DH142" i="4"/>
  <c r="CZ71" i="11"/>
  <c r="V98" i="139"/>
  <c r="F6" i="244"/>
  <c r="F17" i="244" s="1"/>
  <c r="D6" i="244"/>
  <c r="D17" i="244" s="1"/>
  <c r="DB142" i="4"/>
  <c r="CV70" i="11"/>
  <c r="CV71" i="11" s="1"/>
  <c r="CY71" i="11"/>
  <c r="DH7" i="178"/>
  <c r="DH57" i="178"/>
  <c r="DS51" i="178"/>
  <c r="DQ51" i="178"/>
  <c r="DO51" i="178"/>
  <c r="DO50" i="178" s="1"/>
  <c r="DO56" i="178" s="1"/>
  <c r="DA20" i="178"/>
  <c r="DO142" i="4" s="1"/>
  <c r="DL142" i="4"/>
  <c r="DU18" i="178"/>
  <c r="DH18" i="178"/>
  <c r="DH17" i="178" s="1"/>
  <c r="DL18" i="178"/>
  <c r="DJ18" i="178"/>
  <c r="DI64" i="4"/>
  <c r="DI88" i="4" s="1"/>
  <c r="DI103" i="4" s="1"/>
  <c r="X86" i="139"/>
  <c r="N37" i="139"/>
  <c r="EN143" i="4"/>
  <c r="R76" i="139"/>
  <c r="L76" i="139"/>
  <c r="EO65" i="4"/>
  <c r="EO89" i="4" s="1"/>
  <c r="EO104" i="4" s="1"/>
  <c r="EU65" i="4"/>
  <c r="EU89" i="4" s="1"/>
  <c r="EU104" i="4" s="1"/>
  <c r="DU24" i="220"/>
  <c r="DV24" i="220" s="1"/>
  <c r="EV143" i="4" s="1"/>
  <c r="C17" i="244"/>
  <c r="C18" i="244" s="1"/>
  <c r="EW65" i="4"/>
  <c r="EW89" i="4" s="1"/>
  <c r="EW104" i="4" s="1"/>
  <c r="DU27" i="4"/>
  <c r="DS24" i="220"/>
  <c r="ES143" i="4" s="1"/>
  <c r="ES65" i="4"/>
  <c r="ES89" i="4" s="1"/>
  <c r="ES104" i="4" s="1"/>
  <c r="DV21" i="220"/>
  <c r="DV22" i="220" s="1"/>
  <c r="ET117" i="4"/>
  <c r="DT19" i="220"/>
  <c r="DF24" i="220"/>
  <c r="EF143" i="4" s="1"/>
  <c r="CY25" i="220"/>
  <c r="ET59" i="4"/>
  <c r="DU17" i="4"/>
  <c r="CK21" i="178"/>
  <c r="DZ147" i="4"/>
  <c r="EA147" i="4" s="1"/>
  <c r="DX147" i="4" s="1"/>
  <c r="DY147" i="4" s="1"/>
  <c r="EI147" i="4"/>
  <c r="DJ147" i="4"/>
  <c r="DK147" i="4" s="1"/>
  <c r="DQ132" i="4"/>
  <c r="EB132" i="4"/>
  <c r="DT147" i="4"/>
  <c r="DO24" i="220"/>
  <c r="EO143" i="4" s="1"/>
  <c r="DF22" i="220"/>
  <c r="EF89" i="4"/>
  <c r="EF104" i="4" s="1"/>
  <c r="DH25" i="220"/>
  <c r="EI34" i="178"/>
  <c r="EB53" i="178"/>
  <c r="DG57" i="178"/>
  <c r="DM142" i="4"/>
  <c r="DO22" i="220"/>
  <c r="DM21" i="220"/>
  <c r="EM65" i="4" s="1"/>
  <c r="DN56" i="178"/>
  <c r="DN7" i="178" s="1"/>
  <c r="DN4" i="178"/>
  <c r="EB5" i="4" s="1"/>
  <c r="DN25" i="178"/>
  <c r="DN38" i="178"/>
  <c r="EB27" i="178"/>
  <c r="EI31" i="178"/>
  <c r="EI27" i="178" s="1"/>
  <c r="DG11" i="178"/>
  <c r="DU52" i="4" s="1"/>
  <c r="DG8" i="178"/>
  <c r="DN37" i="178"/>
  <c r="DG17" i="178"/>
  <c r="DG5" i="178"/>
  <c r="DG14" i="178"/>
  <c r="DU116" i="4" s="1"/>
  <c r="DU50" i="178"/>
  <c r="DU28" i="178"/>
  <c r="DU24" i="178"/>
  <c r="DU37" i="178" s="1"/>
  <c r="EJ424" i="11"/>
  <c r="EJ506" i="11"/>
  <c r="DH544" i="11"/>
  <c r="EJ512" i="11"/>
  <c r="DV426" i="11"/>
  <c r="DH565" i="11"/>
  <c r="DH587" i="11" s="1"/>
  <c r="DO540" i="11"/>
  <c r="DH564" i="11"/>
  <c r="EQ510" i="11"/>
  <c r="DV530" i="11"/>
  <c r="DO558" i="11"/>
  <c r="DA566" i="11"/>
  <c r="DA541" i="11" s="1"/>
  <c r="DA586" i="11"/>
  <c r="EQ509" i="11"/>
  <c r="CT567" i="11"/>
  <c r="CT589" i="11" s="1"/>
  <c r="DA543" i="11"/>
  <c r="DV571" i="11"/>
  <c r="DV593" i="11" s="1"/>
  <c r="DV429" i="11"/>
  <c r="DA610" i="11"/>
  <c r="EC428" i="11"/>
  <c r="J407" i="11"/>
  <c r="J275" i="11"/>
  <c r="N36" i="139"/>
  <c r="N48" i="139"/>
  <c r="N31" i="139"/>
  <c r="O31" i="139"/>
  <c r="BR591" i="11"/>
  <c r="BR570" i="11"/>
  <c r="BR546" i="11" s="1"/>
  <c r="BY569" i="11"/>
  <c r="CF545" i="11"/>
  <c r="BD670" i="11"/>
  <c r="BD641" i="11"/>
  <c r="BY581" i="11"/>
  <c r="BY560" i="11"/>
  <c r="BY532" i="11" s="1"/>
  <c r="BR627" i="11"/>
  <c r="BR669" i="11" s="1"/>
  <c r="BR582" i="11"/>
  <c r="BR604" i="11"/>
  <c r="CF559" i="11"/>
  <c r="CM531" i="11"/>
  <c r="BK605" i="11"/>
  <c r="BK457" i="11" s="1"/>
  <c r="BK628" i="11"/>
  <c r="J466" i="11"/>
  <c r="J467" i="11" s="1"/>
  <c r="J437" i="11"/>
  <c r="J401" i="11"/>
  <c r="J405" i="11"/>
  <c r="CT586" i="11"/>
  <c r="CF611" i="11"/>
  <c r="CF459" i="11" s="1"/>
  <c r="M73" i="139"/>
  <c r="DF71" i="11" l="1"/>
  <c r="DG70" i="11"/>
  <c r="DE62" i="11"/>
  <c r="DM63" i="4"/>
  <c r="DG63" i="11"/>
  <c r="W92" i="139"/>
  <c r="W98" i="139" s="1"/>
  <c r="Y86" i="139"/>
  <c r="DZ51" i="178"/>
  <c r="DX51" i="178"/>
  <c r="DV51" i="178"/>
  <c r="DV50" i="178" s="1"/>
  <c r="DV56" i="178" s="1"/>
  <c r="EI51" i="178"/>
  <c r="EI50" i="178" s="1"/>
  <c r="DH44" i="4"/>
  <c r="DH103" i="4"/>
  <c r="DH8" i="178"/>
  <c r="DH11" i="178"/>
  <c r="DV27" i="4"/>
  <c r="DO7" i="178"/>
  <c r="DO57" i="178"/>
  <c r="DI142" i="4"/>
  <c r="DH20" i="178"/>
  <c r="DV142" i="4" s="1"/>
  <c r="DV64" i="4"/>
  <c r="DV88" i="4" s="1"/>
  <c r="DQ18" i="178"/>
  <c r="EB18" i="178"/>
  <c r="DO18" i="178"/>
  <c r="DO17" i="178" s="1"/>
  <c r="DS18" i="178"/>
  <c r="X92" i="139"/>
  <c r="X98" i="139" s="1"/>
  <c r="DT21" i="220"/>
  <c r="ET65" i="4" s="1"/>
  <c r="ET89" i="4" s="1"/>
  <c r="ET104" i="4" s="1"/>
  <c r="DF25" i="220"/>
  <c r="DU64" i="4"/>
  <c r="DU88" i="4" s="1"/>
  <c r="EB27" i="4"/>
  <c r="EV65" i="4"/>
  <c r="EV89" i="4" s="1"/>
  <c r="EV104" i="4" s="1"/>
  <c r="EU143" i="4"/>
  <c r="M76" i="139"/>
  <c r="EB17" i="4"/>
  <c r="DO25" i="220"/>
  <c r="DM24" i="220"/>
  <c r="EM143" i="4" s="1"/>
  <c r="DT24" i="220"/>
  <c r="ET143" i="4" s="1"/>
  <c r="DV132" i="4"/>
  <c r="DZ132" i="4"/>
  <c r="DX132" i="4"/>
  <c r="EI132" i="4"/>
  <c r="DV147" i="4"/>
  <c r="DW147" i="4" s="1"/>
  <c r="DM22" i="220"/>
  <c r="EM89" i="4"/>
  <c r="EM104" i="4" s="1"/>
  <c r="DG12" i="178"/>
  <c r="CY44" i="4"/>
  <c r="CY103" i="4"/>
  <c r="DV25" i="220"/>
  <c r="DQ147" i="4"/>
  <c r="DR147" i="4" s="1"/>
  <c r="EG147" i="4"/>
  <c r="EP147" i="4"/>
  <c r="EI53" i="178"/>
  <c r="DN57" i="178"/>
  <c r="DG20" i="178"/>
  <c r="DU142" i="4" s="1"/>
  <c r="DU56" i="178"/>
  <c r="DU57" i="178" s="1"/>
  <c r="DN5" i="178"/>
  <c r="DN17" i="178"/>
  <c r="DN14" i="178"/>
  <c r="EB116" i="4" s="1"/>
  <c r="EI28" i="178"/>
  <c r="EB28" i="178"/>
  <c r="EB50" i="178"/>
  <c r="EB24" i="178"/>
  <c r="EB37" i="178" s="1"/>
  <c r="EI24" i="178"/>
  <c r="DU4" i="178"/>
  <c r="EI5" i="4" s="1"/>
  <c r="DU25" i="178"/>
  <c r="DU38" i="178"/>
  <c r="DN11" i="178"/>
  <c r="EB52" i="4" s="1"/>
  <c r="DN8" i="178"/>
  <c r="DV558" i="11"/>
  <c r="EC530" i="11"/>
  <c r="DA588" i="11"/>
  <c r="DH586" i="11"/>
  <c r="DH566" i="11"/>
  <c r="DH541" i="11" s="1"/>
  <c r="EQ506" i="11"/>
  <c r="DH543" i="11"/>
  <c r="DA567" i="11"/>
  <c r="EC426" i="11"/>
  <c r="DO564" i="11"/>
  <c r="DO565" i="11"/>
  <c r="DO587" i="11" s="1"/>
  <c r="DV540" i="11"/>
  <c r="EC571" i="11"/>
  <c r="EC593" i="11" s="1"/>
  <c r="EC429" i="11"/>
  <c r="EQ428" i="11"/>
  <c r="DH568" i="11"/>
  <c r="DH590" i="11" s="1"/>
  <c r="DO544" i="11"/>
  <c r="EJ428" i="11"/>
  <c r="DO580" i="11"/>
  <c r="DH610" i="11"/>
  <c r="EQ512" i="11"/>
  <c r="J278" i="11"/>
  <c r="J287" i="11"/>
  <c r="J289" i="11"/>
  <c r="J279" i="11"/>
  <c r="J280" i="11"/>
  <c r="J288" i="11"/>
  <c r="J290" i="11"/>
  <c r="J294" i="11"/>
  <c r="J296" i="11"/>
  <c r="J295" i="11"/>
  <c r="J303" i="11"/>
  <c r="J302" i="11"/>
  <c r="J301" i="11"/>
  <c r="J304" i="11"/>
  <c r="J281" i="11"/>
  <c r="J305" i="11"/>
  <c r="J292" i="11"/>
  <c r="J283" i="11"/>
  <c r="J291" i="11"/>
  <c r="J307" i="11"/>
  <c r="J313" i="11" s="1"/>
  <c r="J299" i="11"/>
  <c r="J285" i="11"/>
  <c r="J284" i="11"/>
  <c r="J282" i="11"/>
  <c r="J297" i="11"/>
  <c r="J286" i="11"/>
  <c r="J298" i="11"/>
  <c r="J293" i="11"/>
  <c r="J300" i="11"/>
  <c r="J306" i="11"/>
  <c r="J308" i="11"/>
  <c r="J309" i="11" s="1"/>
  <c r="K387" i="11"/>
  <c r="K400" i="11" s="1"/>
  <c r="CF569" i="11"/>
  <c r="CM545" i="11"/>
  <c r="BY570" i="11"/>
  <c r="BY546" i="11" s="1"/>
  <c r="BY591" i="11"/>
  <c r="BR592" i="11"/>
  <c r="BR637" i="11"/>
  <c r="BR679" i="11" s="1"/>
  <c r="BR614" i="11"/>
  <c r="BK670" i="11"/>
  <c r="BK442" i="11"/>
  <c r="BK447" i="11" s="1"/>
  <c r="BK462" i="11" s="1"/>
  <c r="BK641" i="11"/>
  <c r="BY604" i="11"/>
  <c r="BY582" i="11"/>
  <c r="CT531" i="11"/>
  <c r="DA531" i="11" s="1"/>
  <c r="CM559" i="11"/>
  <c r="BR628" i="11"/>
  <c r="BR605" i="11"/>
  <c r="BR457" i="11" s="1"/>
  <c r="BD642" i="11"/>
  <c r="BD643" i="11"/>
  <c r="BD644" i="11" s="1"/>
  <c r="CF560" i="11"/>
  <c r="CF532" i="11" s="1"/>
  <c r="CF581" i="11"/>
  <c r="L387" i="11"/>
  <c r="L400" i="11" s="1"/>
  <c r="N73" i="139"/>
  <c r="N76" i="139" s="1"/>
  <c r="CL211" i="4"/>
  <c r="CL63" i="4"/>
  <c r="CF12" i="11"/>
  <c r="DM87" i="4" l="1"/>
  <c r="DM70" i="4"/>
  <c r="DM72" i="4" s="1"/>
  <c r="DK63" i="4"/>
  <c r="DG71" i="11"/>
  <c r="Z86" i="139"/>
  <c r="E6" i="244"/>
  <c r="E7" i="244" s="1"/>
  <c r="DV7" i="178"/>
  <c r="DV57" i="178"/>
  <c r="EC27" i="4"/>
  <c r="DO11" i="178"/>
  <c r="DO8" i="178"/>
  <c r="DH12" i="178"/>
  <c r="DV52" i="4"/>
  <c r="EC51" i="178"/>
  <c r="EC50" i="178" s="1"/>
  <c r="EC56" i="178" s="1"/>
  <c r="EE51" i="178"/>
  <c r="EG51" i="178"/>
  <c r="EC64" i="4"/>
  <c r="EC88" i="4" s="1"/>
  <c r="DO20" i="178"/>
  <c r="EC142" i="4" s="1"/>
  <c r="DZ18" i="178"/>
  <c r="DX18" i="178"/>
  <c r="EI18" i="178"/>
  <c r="DV18" i="178"/>
  <c r="DV17" i="178" s="1"/>
  <c r="DT22" i="220"/>
  <c r="Y92" i="139"/>
  <c r="Y98" i="139" s="1"/>
  <c r="EB64" i="4"/>
  <c r="EB88" i="4" s="1"/>
  <c r="O76" i="139"/>
  <c r="EI17" i="4"/>
  <c r="DM25" i="220"/>
  <c r="EW147" i="4"/>
  <c r="EU147" i="4" s="1"/>
  <c r="EN147" i="4"/>
  <c r="EG132" i="4"/>
  <c r="EE132" i="4"/>
  <c r="EP132" i="4"/>
  <c r="EC132" i="4"/>
  <c r="EH147" i="4"/>
  <c r="EC147" i="4"/>
  <c r="ED147" i="4" s="1"/>
  <c r="DU103" i="4"/>
  <c r="DU44" i="4"/>
  <c r="DN12" i="178"/>
  <c r="DT25" i="220"/>
  <c r="DU7" i="178"/>
  <c r="EI56" i="178"/>
  <c r="EI7" i="178" s="1"/>
  <c r="DN20" i="178"/>
  <c r="EB142" i="4" s="1"/>
  <c r="EB56" i="178"/>
  <c r="EB57" i="178" s="1"/>
  <c r="DU5" i="178"/>
  <c r="DU17" i="178"/>
  <c r="DU14" i="178"/>
  <c r="EI116" i="4" s="1"/>
  <c r="EI4" i="178"/>
  <c r="EW5" i="4" s="1"/>
  <c r="EI25" i="178"/>
  <c r="EI38" i="178"/>
  <c r="EB4" i="178"/>
  <c r="EP5" i="4" s="1"/>
  <c r="EB25" i="178"/>
  <c r="EB38" i="178"/>
  <c r="EI37" i="178"/>
  <c r="DH613" i="11"/>
  <c r="DH612" i="11" s="1"/>
  <c r="DO586" i="11"/>
  <c r="DO566" i="11"/>
  <c r="DO541" i="11" s="1"/>
  <c r="DA589" i="11"/>
  <c r="DH531" i="11"/>
  <c r="EQ426" i="11"/>
  <c r="EJ571" i="11"/>
  <c r="EJ593" i="11" s="1"/>
  <c r="EJ429" i="11"/>
  <c r="DV565" i="11"/>
  <c r="DV587" i="11" s="1"/>
  <c r="EC540" i="11"/>
  <c r="DV564" i="11"/>
  <c r="DH567" i="11"/>
  <c r="DO543" i="11"/>
  <c r="DH588" i="11"/>
  <c r="EC558" i="11"/>
  <c r="EJ530" i="11"/>
  <c r="EQ429" i="11"/>
  <c r="EQ571" i="11"/>
  <c r="EQ593" i="11" s="1"/>
  <c r="DO603" i="11"/>
  <c r="DV544" i="11"/>
  <c r="DO610" i="11"/>
  <c r="EJ426" i="11"/>
  <c r="DA611" i="11"/>
  <c r="DA459" i="11" s="1"/>
  <c r="DV580" i="11"/>
  <c r="J312" i="11"/>
  <c r="J316" i="11" s="1"/>
  <c r="J317" i="11"/>
  <c r="J311" i="11"/>
  <c r="J315" i="11" s="1"/>
  <c r="K389" i="11"/>
  <c r="K393" i="11" s="1"/>
  <c r="K404" i="11"/>
  <c r="K10" i="11" s="1"/>
  <c r="K5" i="11" s="1"/>
  <c r="K391" i="11" s="1"/>
  <c r="K406" i="11"/>
  <c r="K402" i="11"/>
  <c r="BR638" i="11"/>
  <c r="BR615" i="11"/>
  <c r="BR460" i="11" s="1"/>
  <c r="CM569" i="11"/>
  <c r="CT545" i="11"/>
  <c r="DA545" i="11" s="1"/>
  <c r="BY614" i="11"/>
  <c r="BY592" i="11"/>
  <c r="CF591" i="11"/>
  <c r="CF570" i="11"/>
  <c r="CF546" i="11" s="1"/>
  <c r="BY605" i="11"/>
  <c r="BY457" i="11" s="1"/>
  <c r="CF604" i="11"/>
  <c r="CF582" i="11"/>
  <c r="BR442" i="11"/>
  <c r="BR670" i="11"/>
  <c r="BR662" i="11"/>
  <c r="BK642" i="11"/>
  <c r="BK643" i="11"/>
  <c r="BK644" i="11" s="1"/>
  <c r="CM581" i="11"/>
  <c r="CM560" i="11"/>
  <c r="CM532" i="11" s="1"/>
  <c r="BK448" i="11"/>
  <c r="L406" i="11"/>
  <c r="L275" i="11" s="1"/>
  <c r="L404" i="11"/>
  <c r="L10" i="11" s="1"/>
  <c r="L5" i="11" s="1"/>
  <c r="L391" i="11" s="1"/>
  <c r="L402" i="11"/>
  <c r="L389" i="11"/>
  <c r="L393" i="11" s="1"/>
  <c r="CL16" i="4"/>
  <c r="CL11" i="4"/>
  <c r="CL13" i="4" s="1"/>
  <c r="CE154" i="243" s="1"/>
  <c r="CL141" i="4"/>
  <c r="CL70" i="4"/>
  <c r="CL87" i="4"/>
  <c r="CL94" i="4" s="1"/>
  <c r="AB86" i="139" l="1"/>
  <c r="AA86" i="139"/>
  <c r="DK87" i="4"/>
  <c r="DK70" i="4"/>
  <c r="DK72" i="4" s="1"/>
  <c r="DM102" i="4"/>
  <c r="DM109" i="4" s="1"/>
  <c r="DM111" i="4" s="1"/>
  <c r="DM94" i="4"/>
  <c r="DM96" i="4" s="1"/>
  <c r="DM98" i="4" s="1"/>
  <c r="DM99" i="4" s="1"/>
  <c r="EC7" i="178"/>
  <c r="EC57" i="178"/>
  <c r="DV44" i="4"/>
  <c r="EC52" i="4"/>
  <c r="DO12" i="178"/>
  <c r="DV8" i="178"/>
  <c r="EJ27" i="4"/>
  <c r="DV11" i="178"/>
  <c r="DV103" i="4"/>
  <c r="EJ64" i="4"/>
  <c r="EJ88" i="4" s="1"/>
  <c r="DV20" i="178"/>
  <c r="EJ142" i="4" s="1"/>
  <c r="EG18" i="178"/>
  <c r="EE18" i="178"/>
  <c r="EC18" i="178"/>
  <c r="EC17" i="178" s="1"/>
  <c r="DU11" i="178"/>
  <c r="EI52" i="4" s="1"/>
  <c r="EI27" i="4"/>
  <c r="EI64" i="4"/>
  <c r="EI88" i="4" s="1"/>
  <c r="EW27" i="4"/>
  <c r="EP17" i="4"/>
  <c r="EB44" i="4"/>
  <c r="EB103" i="4"/>
  <c r="EO147" i="4"/>
  <c r="EJ147" i="4"/>
  <c r="EK147" i="4" s="1"/>
  <c r="EN132" i="4"/>
  <c r="EL132" i="4"/>
  <c r="EW132" i="4"/>
  <c r="EJ132" i="4"/>
  <c r="EV147" i="4"/>
  <c r="EQ147" i="4"/>
  <c r="ER147" i="4" s="1"/>
  <c r="EW17" i="4"/>
  <c r="DU8" i="178"/>
  <c r="EE147" i="4"/>
  <c r="EF147" i="4" s="1"/>
  <c r="EI57" i="178"/>
  <c r="EB7" i="178"/>
  <c r="DU20" i="178"/>
  <c r="EI142" i="4" s="1"/>
  <c r="CE168" i="243"/>
  <c r="CE179" i="243"/>
  <c r="CE171" i="243"/>
  <c r="CE162" i="243"/>
  <c r="CE165" i="243"/>
  <c r="CE176" i="243"/>
  <c r="CE159" i="243"/>
  <c r="CE153" i="243"/>
  <c r="EI11" i="178"/>
  <c r="EW52" i="4" s="1"/>
  <c r="EI8" i="178"/>
  <c r="EI17" i="178"/>
  <c r="EI5" i="178"/>
  <c r="EI14" i="178"/>
  <c r="EW116" i="4" s="1"/>
  <c r="EB5" i="178"/>
  <c r="EB17" i="178"/>
  <c r="EB14" i="178"/>
  <c r="EP116" i="4" s="1"/>
  <c r="DH611" i="11"/>
  <c r="DH459" i="11" s="1"/>
  <c r="DV586" i="11"/>
  <c r="DV566" i="11"/>
  <c r="DV541" i="11" s="1"/>
  <c r="DO588" i="11"/>
  <c r="DH545" i="11"/>
  <c r="DV568" i="11"/>
  <c r="DV590" i="11" s="1"/>
  <c r="EC544" i="11"/>
  <c r="EJ558" i="11"/>
  <c r="EQ530" i="11"/>
  <c r="EQ558" i="11" s="1"/>
  <c r="DO567" i="11"/>
  <c r="DV543" i="11"/>
  <c r="EC565" i="11"/>
  <c r="EC587" i="11" s="1"/>
  <c r="EJ540" i="11"/>
  <c r="EC564" i="11"/>
  <c r="DO531" i="11"/>
  <c r="DV603" i="11"/>
  <c r="EC580" i="11"/>
  <c r="DH589" i="11"/>
  <c r="DV610" i="11"/>
  <c r="L278" i="11"/>
  <c r="L279" i="11"/>
  <c r="L280" i="11"/>
  <c r="L288" i="11"/>
  <c r="L290" i="11"/>
  <c r="L294" i="11"/>
  <c r="L287" i="11"/>
  <c r="L301" i="11"/>
  <c r="L289" i="11"/>
  <c r="L296" i="11"/>
  <c r="L304" i="11"/>
  <c r="L295" i="11"/>
  <c r="L303" i="11"/>
  <c r="L302" i="11"/>
  <c r="L283" i="11"/>
  <c r="L285" i="11"/>
  <c r="L284" i="11"/>
  <c r="L281" i="11"/>
  <c r="L305" i="11"/>
  <c r="L282" i="11"/>
  <c r="L292" i="11"/>
  <c r="L286" i="11"/>
  <c r="L299" i="11"/>
  <c r="L297" i="11"/>
  <c r="L298" i="11"/>
  <c r="L291" i="11"/>
  <c r="L300" i="11"/>
  <c r="L293" i="11"/>
  <c r="L306" i="11"/>
  <c r="L307" i="11"/>
  <c r="L313" i="11" s="1"/>
  <c r="L308" i="11"/>
  <c r="L309" i="11" s="1"/>
  <c r="K407" i="11"/>
  <c r="K275" i="11"/>
  <c r="K390" i="11"/>
  <c r="K394" i="11" s="1"/>
  <c r="K395" i="11" s="1"/>
  <c r="K436" i="11" s="1"/>
  <c r="K437" i="11" s="1"/>
  <c r="K405" i="11"/>
  <c r="K401" i="11"/>
  <c r="M387" i="11"/>
  <c r="M400" i="11" s="1"/>
  <c r="M389" i="11" s="1"/>
  <c r="M393" i="11" s="1"/>
  <c r="CM591" i="11"/>
  <c r="CM570" i="11"/>
  <c r="CM546" i="11" s="1"/>
  <c r="BR680" i="11"/>
  <c r="BR445" i="11"/>
  <c r="CF592" i="11"/>
  <c r="CF614" i="11"/>
  <c r="BY615" i="11"/>
  <c r="BY460" i="11" s="1"/>
  <c r="CF605" i="11"/>
  <c r="CF457" i="11" s="1"/>
  <c r="L390" i="11"/>
  <c r="L394" i="11" s="1"/>
  <c r="L395" i="11" s="1"/>
  <c r="L436" i="11" s="1"/>
  <c r="L437" i="11" s="1"/>
  <c r="CM604" i="11"/>
  <c r="CM582" i="11"/>
  <c r="BK449" i="11"/>
  <c r="CE8" i="2"/>
  <c r="L401" i="11"/>
  <c r="L405" i="11"/>
  <c r="N385" i="11"/>
  <c r="N387" i="11" s="1"/>
  <c r="N400" i="11" s="1"/>
  <c r="N389" i="11" s="1"/>
  <c r="N393" i="11" s="1"/>
  <c r="L407" i="11"/>
  <c r="CL162" i="4"/>
  <c r="CL23" i="4"/>
  <c r="CL125" i="4"/>
  <c r="CE86" i="2" s="1"/>
  <c r="CS11" i="4"/>
  <c r="DK102" i="4" l="1"/>
  <c r="DK109" i="4" s="1"/>
  <c r="DK111" i="4" s="1"/>
  <c r="DK94" i="4"/>
  <c r="DK96" i="4" s="1"/>
  <c r="DK98" i="4" s="1"/>
  <c r="E17" i="244"/>
  <c r="E18" i="244" s="1"/>
  <c r="CE274" i="243"/>
  <c r="DV12" i="178"/>
  <c r="EJ52" i="4"/>
  <c r="EC44" i="4"/>
  <c r="EC103" i="4"/>
  <c r="EC8" i="178"/>
  <c r="EC11" i="178"/>
  <c r="EQ27" i="4"/>
  <c r="EQ64" i="4"/>
  <c r="EQ88" i="4" s="1"/>
  <c r="EC20" i="178"/>
  <c r="EQ142" i="4" s="1"/>
  <c r="Z92" i="139"/>
  <c r="Z98" i="139" s="1"/>
  <c r="AB92" i="139"/>
  <c r="AB98" i="139" s="1"/>
  <c r="DU12" i="178"/>
  <c r="EP64" i="4"/>
  <c r="EP88" i="4" s="1"/>
  <c r="EW64" i="4"/>
  <c r="EW88" i="4" s="1"/>
  <c r="EP27" i="4"/>
  <c r="EI103" i="4"/>
  <c r="EI44" i="4"/>
  <c r="EL147" i="4"/>
  <c r="EM147" i="4" s="1"/>
  <c r="ES147" i="4"/>
  <c r="ET147" i="4" s="1"/>
  <c r="EI12" i="178"/>
  <c r="EB11" i="178"/>
  <c r="EP52" i="4" s="1"/>
  <c r="ES132" i="4"/>
  <c r="EQ132" i="4"/>
  <c r="EU132" i="4"/>
  <c r="EB8" i="178"/>
  <c r="EB20" i="178"/>
  <c r="EP142" i="4" s="1"/>
  <c r="EI20" i="178"/>
  <c r="EW142" i="4" s="1"/>
  <c r="EC610" i="11"/>
  <c r="EJ580" i="11"/>
  <c r="DO611" i="11"/>
  <c r="DO459" i="11" s="1"/>
  <c r="DV588" i="11"/>
  <c r="DO559" i="11"/>
  <c r="DV531" i="11"/>
  <c r="EQ580" i="11"/>
  <c r="DV567" i="11"/>
  <c r="EC543" i="11"/>
  <c r="EC568" i="11"/>
  <c r="EC590" i="11" s="1"/>
  <c r="EJ544" i="11"/>
  <c r="DH569" i="11"/>
  <c r="DO545" i="11"/>
  <c r="EJ565" i="11"/>
  <c r="EJ587" i="11" s="1"/>
  <c r="EQ540" i="11"/>
  <c r="EJ564" i="11"/>
  <c r="EC603" i="11"/>
  <c r="EC586" i="11"/>
  <c r="EC566" i="11"/>
  <c r="EC541" i="11" s="1"/>
  <c r="DO589" i="11"/>
  <c r="DV613" i="11"/>
  <c r="DV612" i="11" s="1"/>
  <c r="L311" i="11"/>
  <c r="L315" i="11" s="1"/>
  <c r="L317" i="11"/>
  <c r="L312" i="11"/>
  <c r="L316" i="11" s="1"/>
  <c r="K278" i="11"/>
  <c r="K279" i="11"/>
  <c r="K280" i="11"/>
  <c r="K287" i="11"/>
  <c r="K288" i="11"/>
  <c r="K289" i="11"/>
  <c r="K290" i="11"/>
  <c r="K295" i="11"/>
  <c r="K296" i="11"/>
  <c r="K301" i="11"/>
  <c r="K302" i="11"/>
  <c r="K303" i="11"/>
  <c r="K304" i="11"/>
  <c r="K294" i="11"/>
  <c r="K281" i="11"/>
  <c r="K305" i="11"/>
  <c r="K283" i="11"/>
  <c r="K292" i="11"/>
  <c r="K285" i="11"/>
  <c r="K284" i="11"/>
  <c r="K282" i="11"/>
  <c r="K291" i="11"/>
  <c r="K307" i="11"/>
  <c r="K313" i="11" s="1"/>
  <c r="K299" i="11"/>
  <c r="K298" i="11"/>
  <c r="K297" i="11"/>
  <c r="K286" i="11"/>
  <c r="K293" i="11"/>
  <c r="K306" i="11"/>
  <c r="K300" i="11"/>
  <c r="K308" i="11"/>
  <c r="K309" i="11" s="1"/>
  <c r="K466" i="11"/>
  <c r="K467" i="11" s="1"/>
  <c r="M404" i="11"/>
  <c r="M10" i="11" s="1"/>
  <c r="M5" i="11" s="1"/>
  <c r="M391" i="11" s="1"/>
  <c r="M390" i="11" s="1"/>
  <c r="M394" i="11" s="1"/>
  <c r="M395" i="11" s="1"/>
  <c r="M436" i="11" s="1"/>
  <c r="M466" i="11" s="1"/>
  <c r="M467" i="11" s="1"/>
  <c r="M402" i="11"/>
  <c r="M401" i="11" s="1"/>
  <c r="M406" i="11"/>
  <c r="CF615" i="11"/>
  <c r="CF460" i="11" s="1"/>
  <c r="CM592" i="11"/>
  <c r="CM614" i="11"/>
  <c r="L466" i="11"/>
  <c r="L467" i="11" s="1"/>
  <c r="CM605" i="11"/>
  <c r="CM457" i="11" s="1"/>
  <c r="CE10" i="2"/>
  <c r="U402" i="11"/>
  <c r="U404" i="11"/>
  <c r="U10" i="11" s="1"/>
  <c r="N404" i="11"/>
  <c r="N10" i="11" s="1"/>
  <c r="N402" i="11"/>
  <c r="CS13" i="4"/>
  <c r="CS23" i="4" s="1"/>
  <c r="S12" i="139"/>
  <c r="CL138" i="4"/>
  <c r="CS134" i="4" s="1"/>
  <c r="AA92" i="139" l="1"/>
  <c r="AA98" i="139" s="1"/>
  <c r="DK99" i="4"/>
  <c r="DD20" i="2"/>
  <c r="DD18" i="2" s="1"/>
  <c r="DD13" i="2" s="1"/>
  <c r="CD10" i="2"/>
  <c r="CD11" i="2" s="1"/>
  <c r="CB10" i="2"/>
  <c r="CB11" i="2" s="1"/>
  <c r="EJ103" i="4"/>
  <c r="EJ44" i="4"/>
  <c r="EC12" i="178"/>
  <c r="EQ52" i="4"/>
  <c r="S28" i="139"/>
  <c r="EB12" i="178"/>
  <c r="EW103" i="4"/>
  <c r="EW44" i="4"/>
  <c r="CL8" i="2"/>
  <c r="CL154" i="243"/>
  <c r="CE11" i="2"/>
  <c r="EC588" i="11"/>
  <c r="EJ566" i="11"/>
  <c r="EJ541" i="11" s="1"/>
  <c r="EJ586" i="11"/>
  <c r="DH591" i="11"/>
  <c r="DH570" i="11"/>
  <c r="DH546" i="11" s="1"/>
  <c r="DV589" i="11"/>
  <c r="DO581" i="11"/>
  <c r="DO560" i="11"/>
  <c r="DO532" i="11" s="1"/>
  <c r="DV545" i="11"/>
  <c r="DV559" i="11"/>
  <c r="EC531" i="11"/>
  <c r="EQ565" i="11"/>
  <c r="EQ587" i="11" s="1"/>
  <c r="EQ564" i="11"/>
  <c r="EJ568" i="11"/>
  <c r="EJ590" i="11" s="1"/>
  <c r="EQ544" i="11"/>
  <c r="EQ568" i="11" s="1"/>
  <c r="EQ590" i="11" s="1"/>
  <c r="DV611" i="11"/>
  <c r="DV459" i="11" s="1"/>
  <c r="EJ603" i="11"/>
  <c r="EC567" i="11"/>
  <c r="EJ543" i="11"/>
  <c r="EJ610" i="11"/>
  <c r="EC613" i="11"/>
  <c r="EC612" i="11" s="1"/>
  <c r="EQ603" i="11"/>
  <c r="K317" i="11"/>
  <c r="K312" i="11"/>
  <c r="K316" i="11" s="1"/>
  <c r="K311" i="11"/>
  <c r="K315" i="11" s="1"/>
  <c r="M407" i="11"/>
  <c r="M275" i="11"/>
  <c r="U391" i="11"/>
  <c r="U390" i="11" s="1"/>
  <c r="U394" i="11" s="1"/>
  <c r="U395" i="11" s="1"/>
  <c r="U384" i="11" s="1"/>
  <c r="U383" i="11" s="1"/>
  <c r="U406" i="11" s="1"/>
  <c r="U462" i="11"/>
  <c r="N391" i="11"/>
  <c r="N390" i="11" s="1"/>
  <c r="N394" i="11" s="1"/>
  <c r="N395" i="11" s="1"/>
  <c r="N396" i="11" s="1"/>
  <c r="M437" i="11"/>
  <c r="M405" i="11"/>
  <c r="CM615" i="11"/>
  <c r="CM460" i="11" s="1"/>
  <c r="N405" i="11"/>
  <c r="N401" i="11"/>
  <c r="U405" i="11"/>
  <c r="U401" i="11"/>
  <c r="CS125" i="4"/>
  <c r="CL86" i="2" s="1"/>
  <c r="CS138" i="4"/>
  <c r="CZ134" i="4" s="1"/>
  <c r="CZ138" i="4" s="1"/>
  <c r="DG134" i="4" s="1"/>
  <c r="DG138" i="4" s="1"/>
  <c r="DH134" i="4" l="1"/>
  <c r="DN134" i="4"/>
  <c r="DN138" i="4" s="1"/>
  <c r="CL274" i="243"/>
  <c r="EQ44" i="4"/>
  <c r="EQ103" i="4"/>
  <c r="EP103" i="4"/>
  <c r="EP44" i="4"/>
  <c r="CL10" i="2"/>
  <c r="CL11" i="2" s="1"/>
  <c r="CL171" i="243"/>
  <c r="CL162" i="243"/>
  <c r="CL168" i="243"/>
  <c r="CL153" i="243"/>
  <c r="CL165" i="243"/>
  <c r="CL159" i="243"/>
  <c r="CL176" i="243"/>
  <c r="CL179" i="243"/>
  <c r="EJ613" i="11"/>
  <c r="EJ612" i="11" s="1"/>
  <c r="DV569" i="11"/>
  <c r="EC545" i="11"/>
  <c r="EJ588" i="11"/>
  <c r="EQ566" i="11"/>
  <c r="EQ541" i="11" s="1"/>
  <c r="EQ586" i="11"/>
  <c r="EC589" i="11"/>
  <c r="EQ610" i="11"/>
  <c r="EC559" i="11"/>
  <c r="EJ531" i="11"/>
  <c r="EC611" i="11"/>
  <c r="EC459" i="11" s="1"/>
  <c r="EJ567" i="11"/>
  <c r="EQ543" i="11"/>
  <c r="EQ567" i="11" s="1"/>
  <c r="EQ613" i="11"/>
  <c r="EQ612" i="11" s="1"/>
  <c r="DV581" i="11"/>
  <c r="DV560" i="11"/>
  <c r="DV532" i="11" s="1"/>
  <c r="DO604" i="11"/>
  <c r="DO582" i="11"/>
  <c r="DH614" i="11"/>
  <c r="DH592" i="11"/>
  <c r="M278" i="11"/>
  <c r="M279" i="11"/>
  <c r="M280" i="11"/>
  <c r="M287" i="11"/>
  <c r="M288" i="11"/>
  <c r="M289" i="11"/>
  <c r="M290" i="11"/>
  <c r="M294" i="11"/>
  <c r="M302" i="11"/>
  <c r="M301" i="11"/>
  <c r="M296" i="11"/>
  <c r="M304" i="11"/>
  <c r="M295" i="11"/>
  <c r="M303" i="11"/>
  <c r="M281" i="11"/>
  <c r="M283" i="11"/>
  <c r="M291" i="11"/>
  <c r="M282" i="11"/>
  <c r="M285" i="11"/>
  <c r="M284" i="11"/>
  <c r="M305" i="11"/>
  <c r="M292" i="11"/>
  <c r="M286" i="11"/>
  <c r="M293" i="11"/>
  <c r="M297" i="11"/>
  <c r="M299" i="11"/>
  <c r="M298" i="11"/>
  <c r="M300" i="11"/>
  <c r="M306" i="11"/>
  <c r="M307" i="11"/>
  <c r="M313" i="11" s="1"/>
  <c r="M308" i="11"/>
  <c r="M309" i="11" s="1"/>
  <c r="AB407" i="11"/>
  <c r="U275" i="11"/>
  <c r="U436" i="11"/>
  <c r="U437" i="11" s="1"/>
  <c r="N384" i="11"/>
  <c r="N383" i="11" s="1"/>
  <c r="N406" i="11" s="1"/>
  <c r="N275" i="11" s="1"/>
  <c r="N436" i="11"/>
  <c r="U396" i="11"/>
  <c r="AB396" i="11"/>
  <c r="S63" i="139"/>
  <c r="T12" i="139"/>
  <c r="CL29" i="4"/>
  <c r="DO134" i="4" l="1"/>
  <c r="DS134" i="4"/>
  <c r="CK10" i="2"/>
  <c r="CK11" i="2" s="1"/>
  <c r="CI10" i="2"/>
  <c r="CI11" i="2" s="1"/>
  <c r="T28" i="139"/>
  <c r="EQ588" i="11"/>
  <c r="EJ589" i="11"/>
  <c r="EC581" i="11"/>
  <c r="EC560" i="11"/>
  <c r="EC532" i="11" s="1"/>
  <c r="EJ611" i="11"/>
  <c r="EJ459" i="11" s="1"/>
  <c r="EJ559" i="11"/>
  <c r="EQ531" i="11"/>
  <c r="EQ559" i="11" s="1"/>
  <c r="DV591" i="11"/>
  <c r="DV570" i="11"/>
  <c r="DV546" i="11" s="1"/>
  <c r="DO605" i="11"/>
  <c r="DO457" i="11" s="1"/>
  <c r="DV604" i="11"/>
  <c r="DV582" i="11"/>
  <c r="EQ589" i="11"/>
  <c r="DH615" i="11"/>
  <c r="DH460" i="11" s="1"/>
  <c r="EC569" i="11"/>
  <c r="EJ545" i="11"/>
  <c r="M312" i="11"/>
  <c r="M316" i="11" s="1"/>
  <c r="M311" i="11"/>
  <c r="M315" i="11" s="1"/>
  <c r="M317" i="11"/>
  <c r="N280" i="11"/>
  <c r="N288" i="11"/>
  <c r="N278" i="11"/>
  <c r="N279" i="11"/>
  <c r="N287" i="11"/>
  <c r="N289" i="11"/>
  <c r="N295" i="11"/>
  <c r="N303" i="11"/>
  <c r="N290" i="11"/>
  <c r="N302" i="11"/>
  <c r="N294" i="11"/>
  <c r="N301" i="11"/>
  <c r="N296" i="11"/>
  <c r="N304" i="11"/>
  <c r="N282" i="11"/>
  <c r="N284" i="11"/>
  <c r="N305" i="11"/>
  <c r="N283" i="11"/>
  <c r="N285" i="11"/>
  <c r="N281" i="11"/>
  <c r="N286" i="11"/>
  <c r="N292" i="11"/>
  <c r="N291" i="11"/>
  <c r="N313" i="11"/>
  <c r="N297" i="11"/>
  <c r="N299" i="11"/>
  <c r="N293" i="11"/>
  <c r="N298" i="11"/>
  <c r="N300" i="11"/>
  <c r="N306" i="11"/>
  <c r="N308" i="11"/>
  <c r="N309" i="11" s="1"/>
  <c r="U278" i="11"/>
  <c r="U279" i="11"/>
  <c r="U280" i="11"/>
  <c r="U295" i="11"/>
  <c r="U296" i="11"/>
  <c r="U301" i="11"/>
  <c r="U302" i="11"/>
  <c r="U303" i="11"/>
  <c r="U304" i="11"/>
  <c r="U294" i="11"/>
  <c r="U285" i="11"/>
  <c r="U284" i="11"/>
  <c r="U305" i="11"/>
  <c r="U282" i="11"/>
  <c r="U283" i="11"/>
  <c r="U289" i="11"/>
  <c r="U281" i="11"/>
  <c r="U287" i="11"/>
  <c r="U288" i="11"/>
  <c r="U290" i="11"/>
  <c r="U286" i="11"/>
  <c r="U292" i="11"/>
  <c r="U297" i="11"/>
  <c r="U313" i="11"/>
  <c r="U291" i="11"/>
  <c r="U299" i="11"/>
  <c r="U293" i="11"/>
  <c r="U298" i="11"/>
  <c r="U306" i="11"/>
  <c r="U300" i="11"/>
  <c r="U308" i="11"/>
  <c r="U309" i="11" s="1"/>
  <c r="U466" i="11"/>
  <c r="U467" i="11" s="1"/>
  <c r="N466" i="11"/>
  <c r="N467" i="11" s="1"/>
  <c r="N437" i="11"/>
  <c r="U407" i="11"/>
  <c r="N407" i="11"/>
  <c r="CL31" i="4"/>
  <c r="CL102" i="4"/>
  <c r="CL43" i="4"/>
  <c r="CL60" i="4"/>
  <c r="CL46" i="4" l="1"/>
  <c r="CL48" i="4" s="1"/>
  <c r="CE54" i="2" s="1"/>
  <c r="CF56" i="11"/>
  <c r="CF58" i="11" s="1"/>
  <c r="S17" i="139"/>
  <c r="DV614" i="11"/>
  <c r="DV592" i="11"/>
  <c r="EJ569" i="11"/>
  <c r="EQ545" i="11"/>
  <c r="EQ569" i="11" s="1"/>
  <c r="EQ581" i="11"/>
  <c r="EQ560" i="11"/>
  <c r="EQ532" i="11" s="1"/>
  <c r="EC591" i="11"/>
  <c r="EC570" i="11"/>
  <c r="EC546" i="11" s="1"/>
  <c r="DV605" i="11"/>
  <c r="DV457" i="11" s="1"/>
  <c r="EJ581" i="11"/>
  <c r="EJ560" i="11"/>
  <c r="EJ532" i="11" s="1"/>
  <c r="EQ611" i="11"/>
  <c r="EQ459" i="11" s="1"/>
  <c r="EC604" i="11"/>
  <c r="EC582" i="11"/>
  <c r="U311" i="11"/>
  <c r="U315" i="11" s="1"/>
  <c r="N317" i="11"/>
  <c r="U312" i="11"/>
  <c r="U316" i="11" s="1"/>
  <c r="N311" i="11"/>
  <c r="N315" i="11" s="1"/>
  <c r="N312" i="11"/>
  <c r="N316" i="11" s="1"/>
  <c r="U317" i="11"/>
  <c r="CL32" i="4"/>
  <c r="S19" i="139"/>
  <c r="CL161" i="4"/>
  <c r="CL109" i="4"/>
  <c r="CE22" i="2"/>
  <c r="S16" i="139" l="1"/>
  <c r="S30" i="139"/>
  <c r="S77" i="139"/>
  <c r="S75" i="139"/>
  <c r="EQ604" i="11"/>
  <c r="EQ582" i="11"/>
  <c r="DV615" i="11"/>
  <c r="DV460" i="11" s="1"/>
  <c r="EQ591" i="11"/>
  <c r="EQ570" i="11"/>
  <c r="EQ546" i="11" s="1"/>
  <c r="EC605" i="11"/>
  <c r="EC457" i="11" s="1"/>
  <c r="EJ604" i="11"/>
  <c r="EJ582" i="11"/>
  <c r="EC614" i="11"/>
  <c r="EC592" i="11"/>
  <c r="EJ591" i="11"/>
  <c r="EJ570" i="11"/>
  <c r="EJ546" i="11" s="1"/>
  <c r="CS29" i="4"/>
  <c r="CE87" i="2"/>
  <c r="CE27" i="2"/>
  <c r="CD27" i="2" l="1"/>
  <c r="CD38" i="2" s="1"/>
  <c r="EJ614" i="11"/>
  <c r="EJ592" i="11"/>
  <c r="EC615" i="11"/>
  <c r="EC460" i="11" s="1"/>
  <c r="EQ605" i="11"/>
  <c r="EQ457" i="11" s="1"/>
  <c r="EQ614" i="11"/>
  <c r="EQ592" i="11"/>
  <c r="EJ605" i="11"/>
  <c r="EJ457" i="11" s="1"/>
  <c r="CS31" i="4"/>
  <c r="CS58" i="4"/>
  <c r="CS60" i="4" s="1"/>
  <c r="CS43" i="4"/>
  <c r="CS46" i="4" s="1"/>
  <c r="CS48" i="4" s="1"/>
  <c r="S35" i="139"/>
  <c r="CE38" i="2"/>
  <c r="CD42" i="2" l="1"/>
  <c r="CD46" i="2" s="1"/>
  <c r="CD3" i="242" s="1"/>
  <c r="CD21" i="242" s="1"/>
  <c r="CD41" i="2"/>
  <c r="CB27" i="2"/>
  <c r="CB38" i="2" s="1"/>
  <c r="T17" i="139"/>
  <c r="T75" i="139" s="1"/>
  <c r="EJ615" i="11"/>
  <c r="EJ460" i="11" s="1"/>
  <c r="EQ615" i="11"/>
  <c r="EQ460" i="11" s="1"/>
  <c r="CL54" i="2"/>
  <c r="CL22" i="2"/>
  <c r="CS32" i="4"/>
  <c r="CE41" i="2"/>
  <c r="T63" i="139"/>
  <c r="CD42" i="242" l="1"/>
  <c r="CD45" i="242"/>
  <c r="CD49" i="242" s="1"/>
  <c r="T16" i="139"/>
  <c r="CB41" i="2"/>
  <c r="CB42" i="2"/>
  <c r="CB46" i="2" s="1"/>
  <c r="CB3" i="242" s="1"/>
  <c r="CB21" i="242" s="1"/>
  <c r="CD48" i="2"/>
  <c r="CD47" i="2"/>
  <c r="CD57" i="2"/>
  <c r="CD51" i="2"/>
  <c r="CD59" i="2" s="1"/>
  <c r="T77" i="139"/>
  <c r="T30" i="139"/>
  <c r="CL87" i="2"/>
  <c r="CL50" i="2"/>
  <c r="CL27" i="2"/>
  <c r="CE42" i="2"/>
  <c r="CE46" i="2" s="1"/>
  <c r="CE3" i="242" s="1"/>
  <c r="CE21" i="242" s="1"/>
  <c r="CE45" i="242" s="1"/>
  <c r="CE49" i="242" s="1"/>
  <c r="CD56" i="242" l="1"/>
  <c r="CD61" i="242" s="1"/>
  <c r="CD58" i="242"/>
  <c r="CD60" i="242" s="1"/>
  <c r="CB45" i="242"/>
  <c r="CB49" i="242" s="1"/>
  <c r="CB42" i="242"/>
  <c r="CD66" i="2"/>
  <c r="CD65" i="2"/>
  <c r="CB51" i="2"/>
  <c r="CB59" i="2" s="1"/>
  <c r="CB47" i="2"/>
  <c r="CB48" i="2"/>
  <c r="CB57" i="2"/>
  <c r="CD62" i="2"/>
  <c r="CD63" i="2" s="1"/>
  <c r="CD61" i="2"/>
  <c r="CK27" i="2"/>
  <c r="CK38" i="2" s="1"/>
  <c r="CE68" i="242"/>
  <c r="CE74" i="242" s="1"/>
  <c r="CE76" i="242" s="1"/>
  <c r="CE58" i="242"/>
  <c r="CE56" i="242"/>
  <c r="CE42" i="242"/>
  <c r="CE57" i="2"/>
  <c r="T35" i="139"/>
  <c r="CE48" i="2"/>
  <c r="CE51" i="2"/>
  <c r="CE47" i="2"/>
  <c r="CE263" i="243" s="1"/>
  <c r="CE61" i="242" l="1"/>
  <c r="CB56" i="242"/>
  <c r="CB61" i="242" s="1"/>
  <c r="CB58" i="242"/>
  <c r="CB60" i="242" s="1"/>
  <c r="CB62" i="2"/>
  <c r="CB63" i="2" s="1"/>
  <c r="CB61" i="2"/>
  <c r="CK41" i="2"/>
  <c r="CK42" i="2"/>
  <c r="CK46" i="2" s="1"/>
  <c r="CK3" i="242" s="1"/>
  <c r="CK21" i="242" s="1"/>
  <c r="CB65" i="2"/>
  <c r="CB66" i="2"/>
  <c r="CI27" i="2"/>
  <c r="CI38" i="2" s="1"/>
  <c r="CE60" i="242"/>
  <c r="S24" i="139"/>
  <c r="S25" i="139" l="1"/>
  <c r="CK45" i="242"/>
  <c r="CK49" i="242" s="1"/>
  <c r="CK42" i="242"/>
  <c r="CK48" i="2"/>
  <c r="CK51" i="2"/>
  <c r="CK59" i="2" s="1"/>
  <c r="CK47" i="2"/>
  <c r="CK57" i="2"/>
  <c r="CI42" i="2"/>
  <c r="CI46" i="2" s="1"/>
  <c r="CI3" i="242" s="1"/>
  <c r="CI21" i="242" s="1"/>
  <c r="CI41" i="2"/>
  <c r="S23" i="139"/>
  <c r="S39" i="139"/>
  <c r="S41" i="139" s="1"/>
  <c r="CI42" i="242" l="1"/>
  <c r="CI45" i="242"/>
  <c r="CI49" i="242" s="1"/>
  <c r="CK56" i="242"/>
  <c r="CK61" i="242" s="1"/>
  <c r="CK58" i="242"/>
  <c r="CK60" i="242" s="1"/>
  <c r="CK62" i="2"/>
  <c r="CK63" i="2" s="1"/>
  <c r="CK61" i="2"/>
  <c r="CK66" i="2"/>
  <c r="CK65" i="2"/>
  <c r="CI51" i="2"/>
  <c r="CI59" i="2" s="1"/>
  <c r="CI48" i="2"/>
  <c r="CI47" i="2"/>
  <c r="CI57" i="2"/>
  <c r="CE81" i="2"/>
  <c r="S53" i="139"/>
  <c r="S46" i="139"/>
  <c r="CI56" i="242" l="1"/>
  <c r="CI61" i="242" s="1"/>
  <c r="CI58" i="242"/>
  <c r="CI60" i="242" s="1"/>
  <c r="CI62" i="2"/>
  <c r="CI63" i="2" s="1"/>
  <c r="CI61" i="2"/>
  <c r="CI66" i="2"/>
  <c r="CI65" i="2"/>
  <c r="CE96" i="2"/>
  <c r="S52" i="139" l="1"/>
  <c r="S42" i="139"/>
  <c r="CL31" i="2" l="1"/>
  <c r="S58" i="139"/>
  <c r="CL36" i="2" l="1"/>
  <c r="T19" i="139" l="1"/>
  <c r="CL38" i="2"/>
  <c r="CL41" i="2" s="1"/>
  <c r="S70" i="139"/>
  <c r="S73" i="139" s="1"/>
  <c r="S7" i="139"/>
  <c r="S9" i="139" s="1"/>
  <c r="S76" i="139" l="1"/>
  <c r="S51" i="139"/>
  <c r="CL42" i="2"/>
  <c r="CL46" i="2" s="1"/>
  <c r="S49" i="139"/>
  <c r="CE97" i="2"/>
  <c r="S47" i="139"/>
  <c r="CL57" i="2" l="1"/>
  <c r="CL3" i="242"/>
  <c r="CL21" i="242" s="1"/>
  <c r="CL51" i="2"/>
  <c r="CL47" i="2"/>
  <c r="CL263" i="243" s="1"/>
  <c r="CL45" i="242" l="1"/>
  <c r="CL49" i="242" s="1"/>
  <c r="CL42" i="242"/>
  <c r="CL58" i="242" l="1"/>
  <c r="CL56" i="242"/>
  <c r="CL69" i="242"/>
  <c r="CL77" i="242" s="1"/>
  <c r="CL68" i="242"/>
  <c r="T46" i="139"/>
  <c r="CL61" i="242" l="1"/>
  <c r="CL60" i="242"/>
  <c r="T24" i="139"/>
  <c r="CL74" i="242"/>
  <c r="CL76" i="242" s="1"/>
  <c r="T25" i="139" l="1"/>
  <c r="T39" i="139" l="1"/>
  <c r="T41" i="139" s="1"/>
  <c r="CL81" i="2" l="1"/>
  <c r="T52" i="139" l="1"/>
  <c r="T42" i="139"/>
  <c r="T58" i="139" l="1"/>
  <c r="T7" i="139" l="1"/>
  <c r="T9" i="139" s="1"/>
  <c r="T51" i="139" l="1"/>
  <c r="T70" i="139"/>
  <c r="T49" i="139" l="1"/>
  <c r="T47" i="139"/>
  <c r="T73" i="139" l="1"/>
  <c r="T76" i="139" s="1"/>
  <c r="CF646" i="11" l="1"/>
  <c r="CE85" i="2"/>
  <c r="CF59" i="11" l="1"/>
  <c r="CF452" i="11"/>
  <c r="CE102" i="4" l="1"/>
  <c r="CE161" i="4" s="1"/>
  <c r="CE167" i="4" s="1"/>
  <c r="CE43" i="4"/>
  <c r="BY56" i="11" s="1"/>
  <c r="BY58" i="11" s="1"/>
  <c r="CF60" i="11" s="1"/>
  <c r="BY59" i="11" l="1"/>
  <c r="BY60" i="11"/>
  <c r="CE103" i="4" l="1"/>
  <c r="BQ11" i="178"/>
  <c r="CE44" i="4"/>
  <c r="BQ10" i="178" l="1"/>
  <c r="BQ12" i="178"/>
  <c r="CE104" i="4" l="1"/>
  <c r="CE109" i="4" s="1"/>
  <c r="CE45" i="4"/>
  <c r="CE46" i="4" s="1"/>
  <c r="CE48" i="4" s="1"/>
  <c r="CE58" i="4"/>
  <c r="CE60" i="4" s="1"/>
  <c r="BX54" i="2" l="1"/>
  <c r="BX22" i="2"/>
  <c r="R16" i="139" s="1"/>
  <c r="BX27" i="2" l="1"/>
  <c r="BX38" i="2" l="1"/>
  <c r="BX41" i="2" l="1"/>
  <c r="BX42" i="2"/>
  <c r="BX46" i="2" s="1"/>
  <c r="BX3" i="242" s="1"/>
  <c r="BX21" i="242" s="1"/>
  <c r="BX45" i="242" s="1"/>
  <c r="BX49" i="242" s="1"/>
  <c r="BX58" i="242" l="1"/>
  <c r="BX60" i="242" s="1"/>
  <c r="BX56" i="242"/>
  <c r="BX68" i="242"/>
  <c r="BX74" i="242" s="1"/>
  <c r="BX42" i="242"/>
  <c r="BX51" i="2"/>
  <c r="BX59" i="2" s="1"/>
  <c r="BX57" i="2"/>
  <c r="BX47" i="2"/>
  <c r="BX263" i="243" s="1"/>
  <c r="BX48" i="2"/>
  <c r="BX62" i="242" l="1"/>
  <c r="BX76" i="242"/>
  <c r="BX78" i="242" s="1"/>
  <c r="R24" i="139"/>
  <c r="BX61" i="242"/>
  <c r="BX62" i="2"/>
  <c r="R20" i="139"/>
  <c r="BX61" i="2"/>
  <c r="BX65" i="2"/>
  <c r="BX262" i="243" s="1"/>
  <c r="BX66" i="2"/>
  <c r="R22" i="139" l="1"/>
  <c r="R37" i="139" s="1"/>
  <c r="BX81" i="2"/>
  <c r="R21" i="139"/>
  <c r="BX63" i="2"/>
  <c r="R36" i="139" l="1"/>
  <c r="R31" i="139"/>
  <c r="R48" i="139"/>
  <c r="R25" i="139" l="1"/>
  <c r="R52" i="139" l="1"/>
  <c r="R43" i="139"/>
  <c r="R42" i="139"/>
  <c r="CL61" i="2" l="1"/>
  <c r="T20" i="139"/>
  <c r="T43" i="139" s="1"/>
  <c r="T38" i="139"/>
  <c r="T40" i="139" s="1"/>
  <c r="CL59" i="2"/>
  <c r="CL62" i="242" s="1"/>
  <c r="CL65" i="2" l="1"/>
  <c r="CL262" i="243" s="1"/>
  <c r="CL78" i="242"/>
  <c r="CL102" i="2"/>
  <c r="T21" i="139" l="1"/>
  <c r="T48" i="139" s="1"/>
  <c r="T23" i="139"/>
  <c r="CS38" i="242"/>
  <c r="T36" i="139" l="1"/>
  <c r="T53" i="139"/>
  <c r="CL66" i="2" l="1"/>
  <c r="CL48" i="2"/>
  <c r="CL62" i="2"/>
  <c r="CL72" i="2"/>
  <c r="CK72" i="2" s="1"/>
  <c r="CI72" i="2" s="1"/>
  <c r="T22" i="139" l="1"/>
  <c r="T37" i="139" s="1"/>
  <c r="CL95" i="2"/>
  <c r="CL96" i="2" s="1"/>
  <c r="CL97" i="2" s="1"/>
  <c r="CL105" i="2"/>
  <c r="CS95" i="2" l="1"/>
  <c r="CS105" i="2"/>
  <c r="DN72" i="2" l="1"/>
  <c r="DG95" i="2"/>
  <c r="DG105" i="2"/>
  <c r="DM72" i="2" l="1"/>
  <c r="DK72" i="2" s="1"/>
  <c r="DJ72" i="2"/>
  <c r="DN73" i="2"/>
  <c r="DN95" i="2"/>
  <c r="DN105" i="2"/>
  <c r="DJ73" i="2" l="1"/>
  <c r="D38" i="244"/>
  <c r="F38" i="244"/>
  <c r="DM73" i="2" l="1"/>
  <c r="DK73" i="2" s="1"/>
  <c r="CS101" i="2" l="1"/>
  <c r="DG101" i="2" l="1"/>
  <c r="DN101" i="2" l="1"/>
  <c r="DU101" i="2" l="1"/>
  <c r="CS141" i="4"/>
  <c r="CS162" i="4" s="1"/>
  <c r="CM43" i="11"/>
  <c r="CM12" i="11"/>
  <c r="EB101" i="2" l="1"/>
  <c r="CS63" i="4"/>
  <c r="EP101" i="2" l="1"/>
  <c r="EI101" i="2"/>
  <c r="CS70" i="4"/>
  <c r="CS87" i="4"/>
  <c r="CS102" i="4" s="1"/>
  <c r="CS94" i="4" l="1"/>
  <c r="CS161" i="4"/>
  <c r="CS109" i="4"/>
  <c r="CE61" i="2" l="1"/>
  <c r="CE62" i="2"/>
  <c r="CE63" i="2" s="1"/>
  <c r="S20" i="139"/>
  <c r="S43" i="139" s="1"/>
  <c r="S38" i="139" l="1"/>
  <c r="S40" i="139" s="1"/>
  <c r="CL63" i="2"/>
  <c r="CE102" i="2"/>
  <c r="CE59" i="2"/>
  <c r="CE62" i="242" s="1"/>
  <c r="CE78" i="242" l="1"/>
  <c r="CE66" i="2"/>
  <c r="CE65" i="2"/>
  <c r="CE262" i="243" s="1"/>
  <c r="S22" i="139" l="1"/>
  <c r="S37" i="139" s="1"/>
  <c r="S21" i="139"/>
  <c r="T31" i="139" l="1"/>
  <c r="S36" i="139"/>
  <c r="S48" i="139"/>
  <c r="S31" i="139"/>
  <c r="CM387" i="11" l="1"/>
  <c r="CM400" i="11" s="1"/>
  <c r="CM411" i="11"/>
  <c r="CM360" i="11" l="1"/>
  <c r="CM404" i="11"/>
  <c r="CM10" i="11" s="1"/>
  <c r="CM389" i="11"/>
  <c r="CM393" i="11" s="1"/>
  <c r="CM402" i="11"/>
  <c r="CM409" i="11"/>
  <c r="CM410" i="11" s="1"/>
  <c r="CM412" i="11" s="1"/>
  <c r="CM405" i="11" l="1"/>
  <c r="CM401" i="11"/>
  <c r="CM413" i="11"/>
  <c r="CM414" i="11"/>
  <c r="CR360" i="11" l="1"/>
  <c r="CN360" i="11"/>
  <c r="CP360" i="11"/>
  <c r="CM651" i="11"/>
  <c r="CM647" i="11" s="1"/>
  <c r="BR393" i="11"/>
  <c r="BR390" i="11"/>
  <c r="BR394" i="11" s="1"/>
  <c r="BY390" i="11"/>
  <c r="BY394" i="11" s="1"/>
  <c r="BY395" i="11" s="1"/>
  <c r="CF390" i="11"/>
  <c r="CF394" i="11" s="1"/>
  <c r="CF395" i="11" s="1"/>
  <c r="CM390" i="11"/>
  <c r="CM394" i="11" s="1"/>
  <c r="CM395" i="11" s="1"/>
  <c r="CO360" i="11" l="1"/>
  <c r="CM384" i="11"/>
  <c r="CM383" i="11" s="1"/>
  <c r="CM406" i="11" s="1"/>
  <c r="CM275" i="11" s="1"/>
  <c r="CM436" i="11"/>
  <c r="CM437" i="11" s="1"/>
  <c r="CM396" i="11"/>
  <c r="BR395" i="11"/>
  <c r="BY396" i="11" s="1"/>
  <c r="CF384" i="11"/>
  <c r="CF383" i="11" s="1"/>
  <c r="CF406" i="11" s="1"/>
  <c r="CF275" i="11" s="1"/>
  <c r="CF271" i="11" s="1"/>
  <c r="CF272" i="11" s="1"/>
  <c r="CF436" i="11"/>
  <c r="CF437" i="11" s="1"/>
  <c r="CF396" i="11"/>
  <c r="BY384" i="11"/>
  <c r="BY383" i="11" s="1"/>
  <c r="BY406" i="11" s="1"/>
  <c r="BY275" i="11" s="1"/>
  <c r="BY436" i="11"/>
  <c r="CF432" i="11" l="1"/>
  <c r="CF433" i="11" s="1"/>
  <c r="CF273" i="11"/>
  <c r="CF308" i="11" s="1"/>
  <c r="CF281" i="11"/>
  <c r="CF283" i="11"/>
  <c r="CF285" i="11"/>
  <c r="CF294" i="11"/>
  <c r="CF278" i="11"/>
  <c r="CF292" i="11"/>
  <c r="CF295" i="11"/>
  <c r="CF279" i="11"/>
  <c r="CF291" i="11"/>
  <c r="CF284" i="11"/>
  <c r="CF282" i="11"/>
  <c r="CF296" i="11"/>
  <c r="CF23" i="11" s="1"/>
  <c r="CF293" i="11"/>
  <c r="CF22" i="11" s="1"/>
  <c r="CF280" i="11"/>
  <c r="CF19" i="11" s="1"/>
  <c r="CF305" i="11"/>
  <c r="CF25" i="11" s="1"/>
  <c r="CF286" i="11"/>
  <c r="CF288" i="11"/>
  <c r="CF297" i="11"/>
  <c r="CF299" i="11"/>
  <c r="CF289" i="11"/>
  <c r="CF298" i="11"/>
  <c r="CF287" i="11"/>
  <c r="CF300" i="11"/>
  <c r="CF290" i="11"/>
  <c r="CF21" i="11" s="1"/>
  <c r="CF301" i="11"/>
  <c r="CF303" i="11"/>
  <c r="CF302" i="11"/>
  <c r="CF304" i="11"/>
  <c r="CF24" i="11" s="1"/>
  <c r="CF306" i="11"/>
  <c r="CF26" i="11" s="1"/>
  <c r="BY281" i="11"/>
  <c r="BY284" i="11"/>
  <c r="BY282" i="11"/>
  <c r="BY305" i="11"/>
  <c r="BY25" i="11" s="1"/>
  <c r="BY283" i="11"/>
  <c r="BY278" i="11"/>
  <c r="BY292" i="11"/>
  <c r="BY279" i="11"/>
  <c r="BY285" i="11"/>
  <c r="BY291" i="11"/>
  <c r="BY294" i="11"/>
  <c r="BY295" i="11"/>
  <c r="BY296" i="11"/>
  <c r="BY23" i="11" s="1"/>
  <c r="BY286" i="11"/>
  <c r="BY293" i="11"/>
  <c r="BY22" i="11" s="1"/>
  <c r="BY280" i="11"/>
  <c r="BY19" i="11" s="1"/>
  <c r="BY298" i="11"/>
  <c r="BY297" i="11"/>
  <c r="BY299" i="11"/>
  <c r="BY300" i="11"/>
  <c r="BY288" i="11"/>
  <c r="BY301" i="11"/>
  <c r="BY302" i="11"/>
  <c r="BY313" i="11"/>
  <c r="BY289" i="11"/>
  <c r="BY303" i="11"/>
  <c r="BY287" i="11"/>
  <c r="BY304" i="11"/>
  <c r="BY24" i="11" s="1"/>
  <c r="BY290" i="11"/>
  <c r="BY21" i="11" s="1"/>
  <c r="BY306" i="11"/>
  <c r="BY26" i="11" s="1"/>
  <c r="BY308" i="11"/>
  <c r="CM281" i="11"/>
  <c r="CM305" i="11"/>
  <c r="CM25" i="11" s="1"/>
  <c r="CM285" i="11"/>
  <c r="CM284" i="11"/>
  <c r="CM279" i="11"/>
  <c r="CM295" i="11"/>
  <c r="CM283" i="11"/>
  <c r="CM282" i="11"/>
  <c r="CM291" i="11"/>
  <c r="CM294" i="11"/>
  <c r="CM292" i="11"/>
  <c r="CM278" i="11"/>
  <c r="CM293" i="11"/>
  <c r="CM280" i="11"/>
  <c r="CM271" i="11"/>
  <c r="CM288" i="11"/>
  <c r="CM297" i="11"/>
  <c r="CM289" i="11"/>
  <c r="CM344" i="11" s="1"/>
  <c r="CM299" i="11"/>
  <c r="CM298" i="11"/>
  <c r="CM287" i="11"/>
  <c r="CM300" i="11"/>
  <c r="CM290" i="11"/>
  <c r="CM21" i="11" s="1"/>
  <c r="CM301" i="11"/>
  <c r="CM302" i="11"/>
  <c r="CM286" i="11"/>
  <c r="CM296" i="11"/>
  <c r="CM303" i="11"/>
  <c r="CM304" i="11"/>
  <c r="CM306" i="11"/>
  <c r="CM26" i="11" s="1"/>
  <c r="BY466" i="11"/>
  <c r="BY467" i="11" s="1"/>
  <c r="BY437" i="11"/>
  <c r="CM640" i="11"/>
  <c r="CM440" i="11" s="1"/>
  <c r="CM634" i="11"/>
  <c r="CM636" i="11"/>
  <c r="CM678" i="11" s="1"/>
  <c r="CM632" i="11"/>
  <c r="CM626" i="11"/>
  <c r="CM668" i="11" s="1"/>
  <c r="CM635" i="11"/>
  <c r="CM677" i="11" s="1"/>
  <c r="CF639" i="11"/>
  <c r="CM630" i="11"/>
  <c r="CM633" i="11"/>
  <c r="CM675" i="11" s="1"/>
  <c r="CM631" i="11"/>
  <c r="CM629" i="11"/>
  <c r="CM625" i="11"/>
  <c r="CM627" i="11"/>
  <c r="CM669" i="11" s="1"/>
  <c r="CM637" i="11"/>
  <c r="CM679" i="11" s="1"/>
  <c r="CM628" i="11"/>
  <c r="CM638" i="11"/>
  <c r="CM407" i="11"/>
  <c r="BY639" i="11"/>
  <c r="BY446" i="11" s="1"/>
  <c r="CF626" i="11"/>
  <c r="CF668" i="11" s="1"/>
  <c r="CF625" i="11"/>
  <c r="CF631" i="11"/>
  <c r="BY620" i="11"/>
  <c r="CF640" i="11"/>
  <c r="CF440" i="11" s="1"/>
  <c r="CF629" i="11"/>
  <c r="CF630" i="11"/>
  <c r="CF633" i="11"/>
  <c r="CF675" i="11" s="1"/>
  <c r="CF635" i="11"/>
  <c r="CF677" i="11" s="1"/>
  <c r="CF636" i="11"/>
  <c r="CF678" i="11" s="1"/>
  <c r="CF632" i="11"/>
  <c r="CF407" i="11"/>
  <c r="CF634" i="11"/>
  <c r="CF627" i="11"/>
  <c r="CF669" i="11" s="1"/>
  <c r="CF637" i="11"/>
  <c r="CF679" i="11" s="1"/>
  <c r="CF628" i="11"/>
  <c r="CF638" i="11"/>
  <c r="BR384" i="11"/>
  <c r="BR383" i="11" s="1"/>
  <c r="BR406" i="11" s="1"/>
  <c r="BR275" i="11" s="1"/>
  <c r="BR436" i="11"/>
  <c r="BR396" i="11"/>
  <c r="CT630" i="11"/>
  <c r="CT625" i="11"/>
  <c r="CT635" i="11"/>
  <c r="CT677" i="11" s="1"/>
  <c r="CT629" i="11"/>
  <c r="CT632" i="11"/>
  <c r="CM639" i="11"/>
  <c r="CT631" i="11"/>
  <c r="CM272" i="11" l="1"/>
  <c r="CM20" i="11"/>
  <c r="CM342" i="11"/>
  <c r="CM19" i="11"/>
  <c r="CM347" i="11"/>
  <c r="CM24" i="11"/>
  <c r="CM345" i="11"/>
  <c r="CM22" i="11"/>
  <c r="BY309" i="11"/>
  <c r="BY217" i="11" s="1"/>
  <c r="BY28" i="11"/>
  <c r="CF20" i="11"/>
  <c r="CF309" i="11"/>
  <c r="CF217" i="11" s="1"/>
  <c r="CF28" i="11"/>
  <c r="CM346" i="11"/>
  <c r="CM23" i="11"/>
  <c r="BY20" i="11"/>
  <c r="CM343" i="11"/>
  <c r="CF403" i="11"/>
  <c r="CF654" i="11"/>
  <c r="CF443" i="11" s="1"/>
  <c r="CF657" i="11"/>
  <c r="CF446" i="11" s="1"/>
  <c r="CF655" i="11"/>
  <c r="CF444" i="11" s="1"/>
  <c r="CF656" i="11"/>
  <c r="CF445" i="11" s="1"/>
  <c r="CF653" i="11"/>
  <c r="CF442" i="11" s="1"/>
  <c r="CF652" i="11"/>
  <c r="CF434" i="11"/>
  <c r="CM312" i="11"/>
  <c r="BY312" i="11"/>
  <c r="BY316" i="11" s="1"/>
  <c r="BY311" i="11"/>
  <c r="BY315" i="11" s="1"/>
  <c r="CF311" i="11"/>
  <c r="CF315" i="11" s="1"/>
  <c r="CM311" i="11"/>
  <c r="CF312" i="11"/>
  <c r="CF316" i="11" s="1"/>
  <c r="CF317" i="11"/>
  <c r="BY317" i="11"/>
  <c r="CM432" i="11"/>
  <c r="CM433" i="11" s="1"/>
  <c r="CM273" i="11"/>
  <c r="BR281" i="11"/>
  <c r="BR292" i="11"/>
  <c r="BR278" i="11"/>
  <c r="BR285" i="11"/>
  <c r="BR294" i="11"/>
  <c r="BR295" i="11"/>
  <c r="BR282" i="11"/>
  <c r="BR305" i="11"/>
  <c r="BR25" i="11" s="1"/>
  <c r="BR291" i="11"/>
  <c r="BR279" i="11"/>
  <c r="BR283" i="11"/>
  <c r="BR284" i="11"/>
  <c r="BR293" i="11"/>
  <c r="BR22" i="11" s="1"/>
  <c r="BR286" i="11"/>
  <c r="BR296" i="11"/>
  <c r="BR23" i="11" s="1"/>
  <c r="BR280" i="11"/>
  <c r="BR19" i="11" s="1"/>
  <c r="BR288" i="11"/>
  <c r="BR301" i="11"/>
  <c r="BR303" i="11"/>
  <c r="BR289" i="11"/>
  <c r="BR287" i="11"/>
  <c r="BR313" i="11"/>
  <c r="BR302" i="11"/>
  <c r="BR304" i="11"/>
  <c r="BR24" i="11" s="1"/>
  <c r="BR290" i="11"/>
  <c r="BR21" i="11" s="1"/>
  <c r="BR299" i="11"/>
  <c r="BR297" i="11"/>
  <c r="BR298" i="11"/>
  <c r="BR300" i="11"/>
  <c r="BR306" i="11"/>
  <c r="BR26" i="11" s="1"/>
  <c r="BR308" i="11"/>
  <c r="CF670" i="11"/>
  <c r="CM680" i="11"/>
  <c r="CM676" i="11"/>
  <c r="BR437" i="11"/>
  <c r="BR466" i="11"/>
  <c r="BR467" i="11" s="1"/>
  <c r="CM670" i="11"/>
  <c r="CM643" i="11"/>
  <c r="CM682" i="11"/>
  <c r="BY624" i="11"/>
  <c r="BY632" i="11"/>
  <c r="BY635" i="11"/>
  <c r="BY677" i="11" s="1"/>
  <c r="BY627" i="11"/>
  <c r="BY669" i="11" s="1"/>
  <c r="BY633" i="11"/>
  <c r="BY675" i="11" s="1"/>
  <c r="BY626" i="11"/>
  <c r="BY668" i="11" s="1"/>
  <c r="BR639" i="11"/>
  <c r="BY407" i="11"/>
  <c r="BR407" i="11"/>
  <c r="BY621" i="11"/>
  <c r="BY637" i="11"/>
  <c r="BY679" i="11" s="1"/>
  <c r="BY630" i="11"/>
  <c r="BY631" i="11"/>
  <c r="BY443" i="11" s="1"/>
  <c r="BY636" i="11"/>
  <c r="BY678" i="11" s="1"/>
  <c r="BY640" i="11"/>
  <c r="BY440" i="11" s="1"/>
  <c r="BY625" i="11"/>
  <c r="BY634" i="11"/>
  <c r="BY623" i="11"/>
  <c r="BY665" i="11" s="1"/>
  <c r="BY628" i="11"/>
  <c r="BY629" i="11"/>
  <c r="BY622" i="11"/>
  <c r="BY664" i="11" s="1"/>
  <c r="BY638" i="11"/>
  <c r="BR620" i="11"/>
  <c r="CF643" i="11"/>
  <c r="CF680" i="11"/>
  <c r="CF676" i="11"/>
  <c r="CF682" i="11"/>
  <c r="CM348" i="11" l="1"/>
  <c r="BR309" i="11"/>
  <c r="BR217" i="11" s="1"/>
  <c r="BR28" i="11"/>
  <c r="BR20" i="11"/>
  <c r="CF441" i="11"/>
  <c r="CF658" i="11"/>
  <c r="CF659" i="11" s="1"/>
  <c r="BR312" i="11"/>
  <c r="BR316" i="11" s="1"/>
  <c r="BR311" i="11"/>
  <c r="BR315" i="11" s="1"/>
  <c r="BR317" i="11"/>
  <c r="CM308" i="11"/>
  <c r="CM403" i="11"/>
  <c r="CM653" i="11"/>
  <c r="CM442" i="11" s="1"/>
  <c r="CM655" i="11"/>
  <c r="CM444" i="11" s="1"/>
  <c r="CM656" i="11"/>
  <c r="CM445" i="11" s="1"/>
  <c r="CM654" i="11"/>
  <c r="CM443" i="11" s="1"/>
  <c r="CM657" i="11"/>
  <c r="CM446" i="11" s="1"/>
  <c r="CM652" i="11"/>
  <c r="CM434" i="11"/>
  <c r="BY445" i="11"/>
  <c r="BY680" i="11"/>
  <c r="BY670" i="11"/>
  <c r="BY442" i="11"/>
  <c r="BY682" i="11"/>
  <c r="BY444" i="11"/>
  <c r="BY676" i="11"/>
  <c r="BR643" i="11"/>
  <c r="BR644" i="11" s="1"/>
  <c r="BR446" i="11"/>
  <c r="BR681" i="11"/>
  <c r="BY666" i="11"/>
  <c r="BY441" i="11"/>
  <c r="BY643" i="11"/>
  <c r="BY644" i="11" s="1"/>
  <c r="CM361" i="11" l="1"/>
  <c r="CM363" i="11" s="1"/>
  <c r="CM350" i="11"/>
  <c r="CM349" i="11"/>
  <c r="CM329" i="11"/>
  <c r="CM30" i="11"/>
  <c r="CM309" i="11"/>
  <c r="CM217" i="11" s="1"/>
  <c r="CM28" i="11"/>
  <c r="CF448" i="11"/>
  <c r="CF449" i="11" s="1"/>
  <c r="CF447" i="11"/>
  <c r="CF462" i="11" s="1"/>
  <c r="CM315" i="11"/>
  <c r="CM317" i="11"/>
  <c r="CM316" i="11"/>
  <c r="CM441" i="11"/>
  <c r="CM658" i="11"/>
  <c r="CM659" i="11" s="1"/>
  <c r="BY448" i="11"/>
  <c r="BR448" i="11"/>
  <c r="BR447" i="11"/>
  <c r="BR462" i="11" s="1"/>
  <c r="BY447" i="11"/>
  <c r="BY462" i="11" s="1"/>
  <c r="CT366" i="11" l="1"/>
  <c r="CM362" i="11"/>
  <c r="CM447" i="11"/>
  <c r="CM462" i="11" s="1"/>
  <c r="BR449" i="11"/>
  <c r="BY449" i="11"/>
  <c r="CN313" i="11" l="1"/>
  <c r="CT141" i="4" l="1"/>
  <c r="CT70" i="4" l="1"/>
  <c r="CT72" i="4" s="1"/>
  <c r="CM451" i="11" l="1"/>
  <c r="CM452" i="11" s="1"/>
  <c r="CM46" i="11"/>
  <c r="CL85" i="2" s="1"/>
  <c r="CM47" i="11"/>
  <c r="CM58" i="11"/>
  <c r="CM60" i="11" s="1"/>
  <c r="CM448" i="11" l="1"/>
  <c r="CM449" i="11" s="1"/>
  <c r="CM59" i="11"/>
  <c r="CT483" i="11" l="1"/>
  <c r="CT519" i="11"/>
  <c r="CS137" i="11" l="1"/>
  <c r="CT266" i="11"/>
  <c r="CT568" i="11"/>
  <c r="CT138" i="11"/>
  <c r="CT267" i="11" s="1"/>
  <c r="CS138" i="11" l="1"/>
  <c r="CT268" i="11"/>
  <c r="CT569" i="11"/>
  <c r="CT484" i="11"/>
  <c r="CT590" i="11"/>
  <c r="CT428" i="11" l="1"/>
  <c r="CQ137" i="11"/>
  <c r="CO138" i="11"/>
  <c r="CO267" i="11" s="1"/>
  <c r="CT591" i="11"/>
  <c r="CT592" i="11" s="1"/>
  <c r="CT570" i="11"/>
  <c r="CT546" i="11" s="1"/>
  <c r="CT613" i="11"/>
  <c r="CT612" i="11" s="1"/>
  <c r="CT636" i="11"/>
  <c r="CT678" i="11" s="1"/>
  <c r="CP139" i="11" l="1"/>
  <c r="CQ138" i="11"/>
  <c r="CP428" i="11"/>
  <c r="CR428" i="11"/>
  <c r="CO139" i="11"/>
  <c r="CU204" i="4" s="1"/>
  <c r="CS139" i="11"/>
  <c r="CO268" i="11"/>
  <c r="CO428" i="11"/>
  <c r="CT615" i="11"/>
  <c r="CT460" i="11" s="1"/>
  <c r="CT638" i="11"/>
  <c r="CT637" i="11"/>
  <c r="CT679" i="11" s="1"/>
  <c r="CT614" i="11"/>
  <c r="CY204" i="4" l="1"/>
  <c r="CV204" i="4"/>
  <c r="CV206" i="4" s="1"/>
  <c r="CP89" i="11"/>
  <c r="CO89" i="11"/>
  <c r="CQ139" i="11"/>
  <c r="CW204" i="4" s="1"/>
  <c r="CT680" i="11"/>
  <c r="CT122" i="11"/>
  <c r="CT256" i="11" s="1"/>
  <c r="CT425" i="11" s="1"/>
  <c r="CQ89" i="11" l="1"/>
  <c r="CQ97" i="11" s="1"/>
  <c r="CP97" i="11"/>
  <c r="CO97" i="11"/>
  <c r="CR97" i="11" s="1"/>
  <c r="CR89" i="11"/>
  <c r="CT257" i="11"/>
  <c r="CO123" i="11"/>
  <c r="CU201" i="4" s="1"/>
  <c r="CT476" i="11"/>
  <c r="CS89" i="11" l="1"/>
  <c r="CT89" i="11" s="1"/>
  <c r="CT97" i="11" s="1"/>
  <c r="CS97" i="11"/>
  <c r="CO87" i="11"/>
  <c r="CO122" i="11"/>
  <c r="CO256" i="11" s="1"/>
  <c r="CS122" i="11"/>
  <c r="CO95" i="11" l="1"/>
  <c r="CR87" i="11"/>
  <c r="CT87" i="11" s="1"/>
  <c r="CO90" i="11"/>
  <c r="CR425" i="11"/>
  <c r="CO257" i="11"/>
  <c r="CO425" i="11"/>
  <c r="DG204" i="4" l="1"/>
  <c r="CR90" i="11"/>
  <c r="CR95" i="11"/>
  <c r="CR98" i="11" s="1"/>
  <c r="CO98" i="11"/>
  <c r="CQ122" i="11"/>
  <c r="CP425" i="11"/>
  <c r="CT129" i="11"/>
  <c r="CZ203" i="4" s="1"/>
  <c r="CZ206" i="4" s="1"/>
  <c r="CZ208" i="4" s="1"/>
  <c r="CT126" i="11"/>
  <c r="CT565" i="11" s="1"/>
  <c r="DA519" i="11" l="1"/>
  <c r="CT95" i="11"/>
  <c r="CT518" i="11"/>
  <c r="CT259" i="11"/>
  <c r="CT426" i="11" s="1"/>
  <c r="CT566" i="11"/>
  <c r="CT541" i="11" s="1"/>
  <c r="CT478" i="11"/>
  <c r="CZ138" i="11" l="1"/>
  <c r="CZ267" i="11" s="1"/>
  <c r="DA484" i="11"/>
  <c r="DA569" i="11"/>
  <c r="DA483" i="11"/>
  <c r="DA568" i="11"/>
  <c r="CX129" i="11"/>
  <c r="DD203" i="4" s="1"/>
  <c r="CT260" i="11"/>
  <c r="CT587" i="11"/>
  <c r="CT588" i="11" s="1"/>
  <c r="DG201" i="4" l="1"/>
  <c r="DF201" i="4"/>
  <c r="DA591" i="11"/>
  <c r="DA614" i="11" s="1"/>
  <c r="DO87" i="11"/>
  <c r="DA428" i="11"/>
  <c r="CW267" i="11"/>
  <c r="CU267" i="11"/>
  <c r="CU266" i="11"/>
  <c r="DA590" i="11"/>
  <c r="DA570" i="11"/>
  <c r="DA546" i="11" s="1"/>
  <c r="CZ137" i="11"/>
  <c r="CZ266" i="11" s="1"/>
  <c r="CZ268" i="11" s="1"/>
  <c r="CZ129" i="11"/>
  <c r="DF203" i="4" s="1"/>
  <c r="DQ95" i="11"/>
  <c r="DQ90" i="11"/>
  <c r="DT87" i="11"/>
  <c r="DR201" i="4"/>
  <c r="CT633" i="11"/>
  <c r="CT675" i="11" s="1"/>
  <c r="CT610" i="11"/>
  <c r="CT611" i="11"/>
  <c r="CT459" i="11" s="1"/>
  <c r="CT634" i="11"/>
  <c r="DT90" i="11" l="1"/>
  <c r="DV87" i="11"/>
  <c r="DA613" i="11"/>
  <c r="DA612" i="11" s="1"/>
  <c r="DA592" i="11"/>
  <c r="DA615" i="11" s="1"/>
  <c r="DA460" i="11" s="1"/>
  <c r="CW266" i="11"/>
  <c r="CY428" i="11"/>
  <c r="CU428" i="11"/>
  <c r="CU268" i="11"/>
  <c r="CX138" i="11"/>
  <c r="CX267" i="11" s="1"/>
  <c r="DL129" i="11"/>
  <c r="DR203" i="4" s="1"/>
  <c r="DR206" i="4" s="1"/>
  <c r="DR208" i="4" s="1"/>
  <c r="DN123" i="11"/>
  <c r="DX90" i="11"/>
  <c r="DX95" i="11"/>
  <c r="EA87" i="11"/>
  <c r="DQ98" i="11"/>
  <c r="DS123" i="11"/>
  <c r="DY201" i="4" s="1"/>
  <c r="DT95" i="11"/>
  <c r="DT98" i="11" s="1"/>
  <c r="DO90" i="11"/>
  <c r="DO95" i="11"/>
  <c r="DO98" i="11" s="1"/>
  <c r="CT676" i="11"/>
  <c r="DO123" i="11" l="1"/>
  <c r="DO129" i="11" s="1"/>
  <c r="DT201" i="4"/>
  <c r="EA90" i="11"/>
  <c r="EC87" i="11"/>
  <c r="EC95" i="11" s="1"/>
  <c r="EC98" i="11" s="1"/>
  <c r="CX137" i="11"/>
  <c r="CX266" i="11" s="1"/>
  <c r="CX268" i="11" s="1"/>
  <c r="CW268" i="11"/>
  <c r="CW428" i="11"/>
  <c r="CZ428" i="11"/>
  <c r="EE95" i="11"/>
  <c r="EE90" i="11"/>
  <c r="EH87" i="11"/>
  <c r="DS129" i="11"/>
  <c r="DY203" i="4" s="1"/>
  <c r="DY206" i="4" s="1"/>
  <c r="DY208" i="4" s="1"/>
  <c r="DU123" i="11"/>
  <c r="EA201" i="4" s="1"/>
  <c r="DN129" i="11"/>
  <c r="DT203" i="4" s="1"/>
  <c r="DT206" i="4" s="1"/>
  <c r="DT208" i="4" s="1"/>
  <c r="DV90" i="11"/>
  <c r="DV95" i="11"/>
  <c r="DV98" i="11" s="1"/>
  <c r="DX98" i="11"/>
  <c r="DZ123" i="11"/>
  <c r="EF201" i="4" s="1"/>
  <c r="EA95" i="11"/>
  <c r="EA98" i="11" s="1"/>
  <c r="DL143" i="11"/>
  <c r="DL74" i="11" l="1"/>
  <c r="DU201" i="4"/>
  <c r="EH90" i="11"/>
  <c r="EJ87" i="11"/>
  <c r="CX428" i="11"/>
  <c r="EC90" i="11"/>
  <c r="DO122" i="11"/>
  <c r="DU129" i="11"/>
  <c r="EA203" i="4" s="1"/>
  <c r="EA206" i="4" s="1"/>
  <c r="EA208" i="4" s="1"/>
  <c r="DV123" i="11"/>
  <c r="DZ129" i="11"/>
  <c r="EF203" i="4" s="1"/>
  <c r="EF206" i="4" s="1"/>
  <c r="EF208" i="4" s="1"/>
  <c r="EB123" i="11"/>
  <c r="EH201" i="4" s="1"/>
  <c r="DN143" i="11"/>
  <c r="DS143" i="11"/>
  <c r="EL90" i="11"/>
  <c r="EL95" i="11"/>
  <c r="EO87" i="11"/>
  <c r="EG123" i="11"/>
  <c r="EM201" i="4" s="1"/>
  <c r="EE98" i="11"/>
  <c r="EH95" i="11"/>
  <c r="EH98" i="11" s="1"/>
  <c r="DS74" i="11" l="1"/>
  <c r="DS144" i="11"/>
  <c r="DS145" i="11"/>
  <c r="DN74" i="11"/>
  <c r="DU203" i="4"/>
  <c r="EB201" i="4"/>
  <c r="EO90" i="11"/>
  <c r="EQ87" i="11"/>
  <c r="EG129" i="11"/>
  <c r="EM203" i="4" s="1"/>
  <c r="EM206" i="4" s="1"/>
  <c r="EM208" i="4" s="1"/>
  <c r="EI123" i="11"/>
  <c r="EO201" i="4" s="1"/>
  <c r="DO518" i="11"/>
  <c r="DN122" i="11"/>
  <c r="DO476" i="11"/>
  <c r="DO256" i="11"/>
  <c r="EJ95" i="11"/>
  <c r="EJ98" i="11" s="1"/>
  <c r="EJ90" i="11"/>
  <c r="EB129" i="11"/>
  <c r="EH203" i="4" s="1"/>
  <c r="EH206" i="4" s="1"/>
  <c r="EH208" i="4" s="1"/>
  <c r="EC123" i="11"/>
  <c r="DV122" i="11"/>
  <c r="DV129" i="11"/>
  <c r="DD256" i="11"/>
  <c r="EN123" i="11"/>
  <c r="ET201" i="4" s="1"/>
  <c r="EL98" i="11"/>
  <c r="EO95" i="11"/>
  <c r="EO98" i="11" s="1"/>
  <c r="DZ143" i="11"/>
  <c r="DU143" i="11"/>
  <c r="DZ74" i="11" l="1"/>
  <c r="DZ144" i="11"/>
  <c r="DZ145" i="11"/>
  <c r="DU74" i="11"/>
  <c r="DU144" i="11"/>
  <c r="DU145" i="11"/>
  <c r="EB203" i="4"/>
  <c r="EB206" i="4" s="1"/>
  <c r="EB208" i="4" s="1"/>
  <c r="DV143" i="11"/>
  <c r="DV256" i="11"/>
  <c r="EI201" i="4"/>
  <c r="EC122" i="11"/>
  <c r="EC129" i="11"/>
  <c r="DK122" i="11"/>
  <c r="DK256" i="11" s="1"/>
  <c r="EQ90" i="11"/>
  <c r="EQ95" i="11"/>
  <c r="EQ98" i="11" s="1"/>
  <c r="DV476" i="11"/>
  <c r="DV465" i="11" s="1"/>
  <c r="DN212" i="4" s="1"/>
  <c r="DU122" i="11"/>
  <c r="EB143" i="11"/>
  <c r="EJ123" i="11"/>
  <c r="EI129" i="11"/>
  <c r="EO203" i="4" s="1"/>
  <c r="EO206" i="4" s="1"/>
  <c r="EO208" i="4" s="1"/>
  <c r="DO425" i="11"/>
  <c r="DO257" i="11"/>
  <c r="EG143" i="11"/>
  <c r="EN129" i="11"/>
  <c r="ET203" i="4" s="1"/>
  <c r="ET206" i="4" s="1"/>
  <c r="ET208" i="4" s="1"/>
  <c r="EP123" i="11"/>
  <c r="EV201" i="4" s="1"/>
  <c r="DD425" i="11"/>
  <c r="DD430" i="11" s="1"/>
  <c r="DD257" i="11"/>
  <c r="DD270" i="11" s="1"/>
  <c r="DV518" i="11"/>
  <c r="DV156" i="11" l="1"/>
  <c r="EG74" i="11"/>
  <c r="EG145" i="11"/>
  <c r="EG144" i="11"/>
  <c r="EB74" i="11"/>
  <c r="EB144" i="11"/>
  <c r="EB145" i="11"/>
  <c r="EI203" i="4"/>
  <c r="EI206" i="4" s="1"/>
  <c r="EI208" i="4" s="1"/>
  <c r="EC143" i="11"/>
  <c r="EP201" i="4"/>
  <c r="DV155" i="11"/>
  <c r="DV161" i="11"/>
  <c r="DV151" i="11"/>
  <c r="DV158" i="11"/>
  <c r="DV165" i="11"/>
  <c r="DV164" i="11"/>
  <c r="DV150" i="11"/>
  <c r="DV160" i="11"/>
  <c r="DV154" i="11"/>
  <c r="DV162" i="11"/>
  <c r="DV159" i="11"/>
  <c r="DV163" i="11"/>
  <c r="DV148" i="11"/>
  <c r="DV153" i="11"/>
  <c r="DV152" i="11"/>
  <c r="DV149" i="11"/>
  <c r="DV157" i="11"/>
  <c r="DU256" i="11"/>
  <c r="DR122" i="11"/>
  <c r="DR256" i="11" s="1"/>
  <c r="EC518" i="11"/>
  <c r="EQ123" i="11"/>
  <c r="EP129" i="11"/>
  <c r="EV203" i="4" s="1"/>
  <c r="EV206" i="4" s="1"/>
  <c r="EV208" i="4" s="1"/>
  <c r="EI143" i="11"/>
  <c r="DV257" i="11"/>
  <c r="DV425" i="11"/>
  <c r="DK257" i="11"/>
  <c r="DK425" i="11"/>
  <c r="EC256" i="11"/>
  <c r="EC476" i="11"/>
  <c r="EC465" i="11" s="1"/>
  <c r="EB122" i="11"/>
  <c r="DV74" i="11"/>
  <c r="DU84" i="2"/>
  <c r="EN143" i="11"/>
  <c r="EJ129" i="11"/>
  <c r="EJ122" i="11"/>
  <c r="DL122" i="11"/>
  <c r="EN74" i="11" l="1"/>
  <c r="EN144" i="11"/>
  <c r="EN145" i="11"/>
  <c r="EC144" i="11"/>
  <c r="EC145" i="11"/>
  <c r="EI74" i="11"/>
  <c r="EI144" i="11"/>
  <c r="EI145" i="11"/>
  <c r="EP203" i="4"/>
  <c r="EP206" i="4" s="1"/>
  <c r="EP208" i="4" s="1"/>
  <c r="EJ143" i="11"/>
  <c r="EC161" i="11"/>
  <c r="EC151" i="11"/>
  <c r="EC158" i="11"/>
  <c r="EC165" i="11"/>
  <c r="EC155" i="11"/>
  <c r="EC164" i="11"/>
  <c r="EC154" i="11"/>
  <c r="EC153" i="11"/>
  <c r="EC162" i="11"/>
  <c r="EC150" i="11"/>
  <c r="EC148" i="11"/>
  <c r="EC152" i="11"/>
  <c r="EC163" i="11"/>
  <c r="EC149" i="11"/>
  <c r="EC160" i="11"/>
  <c r="EC159" i="11"/>
  <c r="EC157" i="11"/>
  <c r="EW201" i="4"/>
  <c r="EC156" i="11"/>
  <c r="DS122" i="11"/>
  <c r="DS256" i="11" s="1"/>
  <c r="DS257" i="11" s="1"/>
  <c r="DS270" i="11" s="1"/>
  <c r="DS395" i="11" s="1"/>
  <c r="DS436" i="11" s="1"/>
  <c r="EJ256" i="11"/>
  <c r="EI122" i="11"/>
  <c r="EJ476" i="11"/>
  <c r="EJ465" i="11" s="1"/>
  <c r="EC257" i="11"/>
  <c r="EC425" i="11"/>
  <c r="DV466" i="11"/>
  <c r="DV467" i="11" s="1"/>
  <c r="DV430" i="11"/>
  <c r="EQ129" i="11"/>
  <c r="EQ122" i="11"/>
  <c r="EJ518" i="11"/>
  <c r="DV270" i="11"/>
  <c r="EC74" i="11"/>
  <c r="EB84" i="2"/>
  <c r="DR257" i="11"/>
  <c r="DR270" i="11" s="1"/>
  <c r="DR395" i="11" s="1"/>
  <c r="DR436" i="11" s="1"/>
  <c r="DR425" i="11"/>
  <c r="DR430" i="11" s="1"/>
  <c r="EB256" i="11"/>
  <c r="DY122" i="11"/>
  <c r="DY256" i="11" s="1"/>
  <c r="EP143" i="11"/>
  <c r="DU425" i="11"/>
  <c r="DU430" i="11" s="1"/>
  <c r="DU257" i="11"/>
  <c r="DU270" i="11" s="1"/>
  <c r="DU395" i="11" s="1"/>
  <c r="DU436" i="11" s="1"/>
  <c r="CF648" i="11"/>
  <c r="CF645" i="11"/>
  <c r="CF649" i="11" s="1"/>
  <c r="CM648" i="11"/>
  <c r="CM645" i="11"/>
  <c r="CM649" i="11" s="1"/>
  <c r="EP74" i="11" l="1"/>
  <c r="EP145" i="11"/>
  <c r="EP144" i="11"/>
  <c r="EJ156" i="11"/>
  <c r="EJ144" i="11"/>
  <c r="EJ145" i="11"/>
  <c r="EW203" i="4"/>
  <c r="EW206" i="4" s="1"/>
  <c r="EW208" i="4" s="1"/>
  <c r="EQ143" i="11"/>
  <c r="EJ151" i="11"/>
  <c r="EJ158" i="11"/>
  <c r="EJ165" i="11"/>
  <c r="EJ155" i="11"/>
  <c r="EJ161" i="11"/>
  <c r="EJ164" i="11"/>
  <c r="EJ154" i="11"/>
  <c r="EJ150" i="11"/>
  <c r="EJ162" i="11"/>
  <c r="EJ153" i="11"/>
  <c r="EJ152" i="11"/>
  <c r="EJ160" i="11"/>
  <c r="EJ148" i="11"/>
  <c r="EJ163" i="11"/>
  <c r="EJ159" i="11"/>
  <c r="EJ149" i="11"/>
  <c r="EJ157" i="11"/>
  <c r="DS425" i="11"/>
  <c r="DS430" i="11" s="1"/>
  <c r="DZ122" i="11"/>
  <c r="DZ256" i="11" s="1"/>
  <c r="DZ257" i="11" s="1"/>
  <c r="DZ270" i="11" s="1"/>
  <c r="DZ395" i="11" s="1"/>
  <c r="DZ436" i="11" s="1"/>
  <c r="EB257" i="11"/>
  <c r="EB270" i="11" s="1"/>
  <c r="EB395" i="11" s="1"/>
  <c r="EB436" i="11" s="1"/>
  <c r="EB425" i="11"/>
  <c r="EB430" i="11" s="1"/>
  <c r="EQ518" i="11"/>
  <c r="EC466" i="11"/>
  <c r="EC467" i="11" s="1"/>
  <c r="EC430" i="11"/>
  <c r="EI256" i="11"/>
  <c r="EF122" i="11"/>
  <c r="EF256" i="11" s="1"/>
  <c r="EI84" i="2"/>
  <c r="EJ74" i="11"/>
  <c r="EC270" i="11"/>
  <c r="EJ257" i="11"/>
  <c r="EJ425" i="11"/>
  <c r="DU437" i="11"/>
  <c r="DY425" i="11"/>
  <c r="DY430" i="11" s="1"/>
  <c r="DY257" i="11"/>
  <c r="DY270" i="11" s="1"/>
  <c r="DY395" i="11" s="1"/>
  <c r="DY436" i="11" s="1"/>
  <c r="DR437" i="11"/>
  <c r="DV395" i="11"/>
  <c r="EP122" i="11"/>
  <c r="EQ476" i="11"/>
  <c r="EQ465" i="11" s="1"/>
  <c r="EQ256" i="11"/>
  <c r="CM644" i="11"/>
  <c r="CF644" i="11"/>
  <c r="EQ144" i="11" l="1"/>
  <c r="EQ145" i="11"/>
  <c r="EQ165" i="11"/>
  <c r="EQ155" i="11"/>
  <c r="EQ158" i="11"/>
  <c r="EQ161" i="11"/>
  <c r="EQ151" i="11"/>
  <c r="EQ164" i="11"/>
  <c r="EQ154" i="11"/>
  <c r="EQ153" i="11"/>
  <c r="EQ150" i="11"/>
  <c r="EQ162" i="11"/>
  <c r="EQ163" i="11"/>
  <c r="EQ160" i="11"/>
  <c r="EQ148" i="11"/>
  <c r="EQ152" i="11"/>
  <c r="EQ149" i="11"/>
  <c r="EQ159" i="11"/>
  <c r="EQ157" i="11"/>
  <c r="EQ156" i="11"/>
  <c r="DS437" i="11"/>
  <c r="DZ425" i="11"/>
  <c r="DZ430" i="11" s="1"/>
  <c r="DZ431" i="11" s="1"/>
  <c r="EG122" i="11"/>
  <c r="EG256" i="11" s="1"/>
  <c r="EQ425" i="11"/>
  <c r="EQ257" i="11"/>
  <c r="DY431" i="11"/>
  <c r="DY437" i="11"/>
  <c r="EJ430" i="11"/>
  <c r="EJ466" i="11"/>
  <c r="EJ467" i="11" s="1"/>
  <c r="EI425" i="11"/>
  <c r="EI430" i="11" s="1"/>
  <c r="EI257" i="11"/>
  <c r="EI270" i="11" s="1"/>
  <c r="EI395" i="11" s="1"/>
  <c r="EI436" i="11" s="1"/>
  <c r="EB431" i="11"/>
  <c r="EB437" i="11"/>
  <c r="EC395" i="11"/>
  <c r="EF257" i="11"/>
  <c r="EF270" i="11" s="1"/>
  <c r="EF395" i="11" s="1"/>
  <c r="EF436" i="11" s="1"/>
  <c r="EF425" i="11"/>
  <c r="EF430" i="11" s="1"/>
  <c r="DV436" i="11"/>
  <c r="DV437" i="11" s="1"/>
  <c r="EP84" i="2"/>
  <c r="EQ74" i="11"/>
  <c r="EP256" i="11"/>
  <c r="EM122" i="11"/>
  <c r="EM256" i="11" s="1"/>
  <c r="EJ270" i="11"/>
  <c r="EC431" i="11"/>
  <c r="CP421" i="11"/>
  <c r="CP104" i="11"/>
  <c r="CV207" i="4" s="1"/>
  <c r="CV208" i="4" s="1"/>
  <c r="DZ437" i="11" l="1"/>
  <c r="CP85" i="11"/>
  <c r="CP93" i="11" s="1"/>
  <c r="EC436" i="11"/>
  <c r="EC437" i="11" s="1"/>
  <c r="EC396" i="11"/>
  <c r="EJ431" i="11"/>
  <c r="EQ430" i="11"/>
  <c r="EQ466" i="11"/>
  <c r="EQ467" i="11" s="1"/>
  <c r="EQ270" i="11"/>
  <c r="EJ395" i="11"/>
  <c r="EN122" i="11"/>
  <c r="EN256" i="11" s="1"/>
  <c r="EG425" i="11"/>
  <c r="EG430" i="11" s="1"/>
  <c r="EG257" i="11"/>
  <c r="EG270" i="11" s="1"/>
  <c r="EG395" i="11" s="1"/>
  <c r="EG436" i="11" s="1"/>
  <c r="EP257" i="11"/>
  <c r="EP270" i="11" s="1"/>
  <c r="EP395" i="11" s="1"/>
  <c r="EP436" i="11" s="1"/>
  <c r="EP425" i="11"/>
  <c r="EP430" i="11" s="1"/>
  <c r="EM425" i="11"/>
  <c r="EM430" i="11" s="1"/>
  <c r="EM257" i="11"/>
  <c r="EM270" i="11" s="1"/>
  <c r="EM395" i="11" s="1"/>
  <c r="EM436" i="11" s="1"/>
  <c r="EF431" i="11"/>
  <c r="EF437" i="11"/>
  <c r="EI431" i="11"/>
  <c r="EI437" i="11"/>
  <c r="EQ395" i="11" l="1"/>
  <c r="EP431" i="11"/>
  <c r="EP437" i="11"/>
  <c r="EJ436" i="11"/>
  <c r="EJ437" i="11" s="1"/>
  <c r="EJ396" i="11"/>
  <c r="EN257" i="11"/>
  <c r="EN270" i="11" s="1"/>
  <c r="EN395" i="11" s="1"/>
  <c r="EN436" i="11" s="1"/>
  <c r="EN425" i="11"/>
  <c r="EN430" i="11" s="1"/>
  <c r="EQ431" i="11"/>
  <c r="EM431" i="11"/>
  <c r="EM437" i="11"/>
  <c r="EG431" i="11"/>
  <c r="EG437" i="11"/>
  <c r="CT473" i="11"/>
  <c r="CT558" i="11"/>
  <c r="CS115" i="11"/>
  <c r="CT252" i="11"/>
  <c r="CY198" i="4" l="1"/>
  <c r="CS104" i="11"/>
  <c r="CY207" i="4" s="1"/>
  <c r="CT516" i="11"/>
  <c r="EQ436" i="11"/>
  <c r="EQ437" i="11" s="1"/>
  <c r="EQ396" i="11"/>
  <c r="EN431" i="11"/>
  <c r="EN437" i="11"/>
  <c r="CT580" i="11"/>
  <c r="CQ115" i="11"/>
  <c r="CQ252" i="11" l="1"/>
  <c r="CW198" i="4"/>
  <c r="CQ104" i="11"/>
  <c r="CW207" i="4" s="1"/>
  <c r="CS103" i="11"/>
  <c r="CQ103" i="11" s="1"/>
  <c r="CT243" i="11"/>
  <c r="CT603" i="11"/>
  <c r="CT626" i="11"/>
  <c r="CT668" i="11" s="1"/>
  <c r="CT474" i="11"/>
  <c r="CT465" i="11" s="1"/>
  <c r="CT559" i="11"/>
  <c r="CT560" i="11" s="1"/>
  <c r="CS116" i="11"/>
  <c r="CT117" i="11"/>
  <c r="CT253" i="11"/>
  <c r="CT424" i="11" s="1"/>
  <c r="CY199" i="4" l="1"/>
  <c r="CY200" i="4" s="1"/>
  <c r="CY206" i="4" s="1"/>
  <c r="CY208" i="4" s="1"/>
  <c r="CQ85" i="11"/>
  <c r="CL212" i="4"/>
  <c r="CL214" i="4" s="1"/>
  <c r="CL163" i="4" s="1"/>
  <c r="CL167" i="4" s="1"/>
  <c r="CZ213" i="4"/>
  <c r="CT244" i="11"/>
  <c r="CT421" i="11"/>
  <c r="CT430" i="11" s="1"/>
  <c r="CT532" i="11"/>
  <c r="CS117" i="11"/>
  <c r="CT466" i="11"/>
  <c r="CT467" i="11" s="1"/>
  <c r="CT581" i="11"/>
  <c r="CT119" i="11"/>
  <c r="CT254" i="11"/>
  <c r="CT270" i="11" l="1"/>
  <c r="CQ93" i="11"/>
  <c r="CS85" i="11"/>
  <c r="CT85" i="11" s="1"/>
  <c r="CT93" i="11" s="1"/>
  <c r="CT143" i="11"/>
  <c r="CT145" i="11" s="1"/>
  <c r="CT517" i="11"/>
  <c r="CT627" i="11"/>
  <c r="CT669" i="11" s="1"/>
  <c r="CT582" i="11"/>
  <c r="CT604" i="11"/>
  <c r="CT431" i="11"/>
  <c r="CT144" i="11" l="1"/>
  <c r="CS93" i="11"/>
  <c r="CT605" i="11"/>
  <c r="CT457" i="11" s="1"/>
  <c r="CT628" i="11"/>
  <c r="CT74" i="11"/>
  <c r="CS84" i="2"/>
  <c r="CT455" i="11" l="1"/>
  <c r="CT640" i="11"/>
  <c r="CT440" i="11" s="1"/>
  <c r="CT682" i="11" s="1"/>
  <c r="CT670" i="11"/>
  <c r="DG207" i="4" l="1"/>
  <c r="CU243" i="11"/>
  <c r="CU242" i="11"/>
  <c r="CU421" i="11" l="1"/>
  <c r="CU244" i="11"/>
  <c r="DA516" i="11"/>
  <c r="CZ102" i="11" l="1"/>
  <c r="CZ242" i="11" s="1"/>
  <c r="CY421" i="11"/>
  <c r="CX102" i="11" l="1"/>
  <c r="CX242" i="11" s="1"/>
  <c r="DA421" i="11"/>
  <c r="CZ103" i="11"/>
  <c r="CZ243" i="11" s="1"/>
  <c r="CZ244" i="11" s="1"/>
  <c r="CT63" i="11"/>
  <c r="CX103" i="11" l="1"/>
  <c r="CZ421" i="11"/>
  <c r="CZ63" i="4"/>
  <c r="CZ87" i="4" s="1"/>
  <c r="CT12" i="11"/>
  <c r="CX243" i="11" l="1"/>
  <c r="CX244" i="11" s="1"/>
  <c r="CZ94" i="4"/>
  <c r="CZ96" i="4" s="1"/>
  <c r="CZ98" i="4" s="1"/>
  <c r="CZ102" i="4"/>
  <c r="CZ211" i="4"/>
  <c r="U85" i="139"/>
  <c r="CS152" i="243"/>
  <c r="CT374" i="11"/>
  <c r="CZ16" i="4"/>
  <c r="CZ141" i="4"/>
  <c r="CZ162" i="4" s="1"/>
  <c r="CX421" i="11" l="1"/>
  <c r="CZ99" i="4"/>
  <c r="CS116" i="243"/>
  <c r="CZ109" i="4"/>
  <c r="CZ111" i="4" s="1"/>
  <c r="CZ161" i="4"/>
  <c r="CO356" i="11"/>
  <c r="CS356" i="11"/>
  <c r="CZ70" i="4"/>
  <c r="CT43" i="11"/>
  <c r="CT646" i="11"/>
  <c r="CT40" i="11"/>
  <c r="CS154" i="243" l="1"/>
  <c r="CT46" i="11"/>
  <c r="CS85" i="2" s="1"/>
  <c r="CT47" i="11"/>
  <c r="CS15" i="2"/>
  <c r="CQ356" i="11"/>
  <c r="CZ23" i="4"/>
  <c r="CS10" i="2" l="1"/>
  <c r="CS11" i="2" s="1"/>
  <c r="DU11" i="2" s="1"/>
  <c r="EB11" i="2" s="1"/>
  <c r="EI11" i="2" s="1"/>
  <c r="EP11" i="2" s="1"/>
  <c r="CS274" i="243"/>
  <c r="CS171" i="243"/>
  <c r="CS159" i="243"/>
  <c r="CS165" i="243"/>
  <c r="CS176" i="243"/>
  <c r="CS168" i="243"/>
  <c r="CS162" i="243"/>
  <c r="CS179" i="243"/>
  <c r="U91" i="139"/>
  <c r="U97" i="139" s="1"/>
  <c r="CS153" i="243"/>
  <c r="CT60" i="11"/>
  <c r="CT59" i="11"/>
  <c r="CS86" i="2"/>
  <c r="CY122" i="4"/>
  <c r="CY124" i="4" s="1"/>
  <c r="CR15" i="2" s="1"/>
  <c r="CU124" i="4"/>
  <c r="U12" i="139"/>
  <c r="CU132" i="4" l="1"/>
  <c r="CN15" i="2"/>
  <c r="U17" i="139"/>
  <c r="U30" i="139" s="1"/>
  <c r="DU50" i="2"/>
  <c r="DS50" i="2" s="1"/>
  <c r="DO50" i="2" s="1"/>
  <c r="DU77" i="243"/>
  <c r="EP77" i="243"/>
  <c r="EP50" i="2"/>
  <c r="EN50" i="2" s="1"/>
  <c r="EJ50" i="2" s="1"/>
  <c r="EB50" i="2"/>
  <c r="DZ50" i="2" s="1"/>
  <c r="DV50" i="2" s="1"/>
  <c r="EB77" i="243"/>
  <c r="CN59" i="11"/>
  <c r="U28" i="139"/>
  <c r="CS54" i="2"/>
  <c r="U19" i="139"/>
  <c r="CS22" i="2"/>
  <c r="U16" i="139" s="1"/>
  <c r="DU165" i="243" l="1"/>
  <c r="DU179" i="243"/>
  <c r="DU162" i="243"/>
  <c r="CY132" i="4"/>
  <c r="CT43" i="4"/>
  <c r="CT46" i="4" s="1"/>
  <c r="CT48" i="4" s="1"/>
  <c r="CM54" i="2" s="1"/>
  <c r="CZ156" i="4"/>
  <c r="DG152" i="4" s="1"/>
  <c r="DG156" i="4" s="1"/>
  <c r="DN152" i="4" s="1"/>
  <c r="DN156" i="4" s="1"/>
  <c r="EI77" i="243"/>
  <c r="EI50" i="2"/>
  <c r="EG50" i="2" s="1"/>
  <c r="EC50" i="2" s="1"/>
  <c r="DN77" i="243"/>
  <c r="DN50" i="2"/>
  <c r="CS27" i="2"/>
  <c r="CS38" i="2" s="1"/>
  <c r="CS87" i="2"/>
  <c r="DO152" i="4" l="1"/>
  <c r="DS152" i="4"/>
  <c r="EB162" i="243"/>
  <c r="DQ162" i="243"/>
  <c r="DO162" i="243"/>
  <c r="DS162" i="243"/>
  <c r="EB179" i="243"/>
  <c r="DS179" i="243"/>
  <c r="DO179" i="243"/>
  <c r="DQ179" i="243"/>
  <c r="EB165" i="243"/>
  <c r="DS165" i="243"/>
  <c r="DQ165" i="243"/>
  <c r="DO165" i="243"/>
  <c r="CM56" i="2"/>
  <c r="CM59" i="2" s="1"/>
  <c r="CS41" i="2"/>
  <c r="CS42" i="2"/>
  <c r="CS46" i="2" s="1"/>
  <c r="U67" i="139"/>
  <c r="CS20" i="242"/>
  <c r="U72" i="139"/>
  <c r="U35" i="139"/>
  <c r="EI165" i="243" l="1"/>
  <c r="DX165" i="243"/>
  <c r="DZ165" i="243"/>
  <c r="DV165" i="243"/>
  <c r="EI179" i="243"/>
  <c r="DX179" i="243"/>
  <c r="DZ179" i="243"/>
  <c r="DV179" i="243"/>
  <c r="EI162" i="243"/>
  <c r="DZ162" i="243"/>
  <c r="DV162" i="243"/>
  <c r="DX162" i="243"/>
  <c r="CS46" i="242"/>
  <c r="CS50" i="242" s="1"/>
  <c r="CR50" i="242" s="1"/>
  <c r="CP50" i="242" s="1"/>
  <c r="CR20" i="242"/>
  <c r="CM66" i="2"/>
  <c r="CM65" i="2"/>
  <c r="CM57" i="2"/>
  <c r="CN56" i="2"/>
  <c r="CS189" i="243"/>
  <c r="CS188" i="243" s="1"/>
  <c r="CS56" i="2"/>
  <c r="CR56" i="2" s="1"/>
  <c r="CP56" i="2" s="1"/>
  <c r="CS51" i="2"/>
  <c r="CS47" i="2"/>
  <c r="CS263" i="243" s="1"/>
  <c r="CS48" i="2"/>
  <c r="DU41" i="2"/>
  <c r="EB41" i="2" s="1"/>
  <c r="EI41" i="2" s="1"/>
  <c r="EP41" i="2" s="1"/>
  <c r="EP162" i="243" l="1"/>
  <c r="EG162" i="243"/>
  <c r="EE162" i="243"/>
  <c r="EC162" i="243"/>
  <c r="EP179" i="243"/>
  <c r="EC179" i="243"/>
  <c r="EG179" i="243"/>
  <c r="EE179" i="243"/>
  <c r="EP165" i="243"/>
  <c r="EC165" i="243"/>
  <c r="EG165" i="243"/>
  <c r="EE165" i="243"/>
  <c r="CP20" i="242"/>
  <c r="CR46" i="242"/>
  <c r="CR189" i="243"/>
  <c r="CS182" i="243"/>
  <c r="CX188" i="243"/>
  <c r="CX182" i="243" s="1"/>
  <c r="CT188" i="243"/>
  <c r="CM62" i="2"/>
  <c r="CM61" i="2"/>
  <c r="CS59" i="2"/>
  <c r="U38" i="139"/>
  <c r="U40" i="139" s="1"/>
  <c r="CS102" i="2"/>
  <c r="EN165" i="243" l="1"/>
  <c r="EL165" i="243"/>
  <c r="EJ165" i="243"/>
  <c r="EN179" i="243"/>
  <c r="EL179" i="243"/>
  <c r="EJ179" i="243"/>
  <c r="EN162" i="243"/>
  <c r="EL162" i="243"/>
  <c r="EJ162" i="243"/>
  <c r="CR182" i="243"/>
  <c r="CP46" i="242"/>
  <c r="CP189" i="243"/>
  <c r="CT182" i="243"/>
  <c r="CU188" i="243"/>
  <c r="CM63" i="2"/>
  <c r="CT63" i="2"/>
  <c r="CS65" i="2"/>
  <c r="CS262" i="243" s="1"/>
  <c r="DU262" i="243" s="1"/>
  <c r="EB262" i="243" s="1"/>
  <c r="EI262" i="243" s="1"/>
  <c r="EP262" i="243" s="1"/>
  <c r="CS66" i="2"/>
  <c r="U64" i="139"/>
  <c r="CS98" i="2" s="1"/>
  <c r="CS57" i="2"/>
  <c r="CS49" i="243"/>
  <c r="CP182" i="243" l="1"/>
  <c r="CP188" i="243" s="1"/>
  <c r="CR188" i="243"/>
  <c r="CU182" i="243"/>
  <c r="CV188" i="243"/>
  <c r="CV182" i="243" s="1"/>
  <c r="CS62" i="2"/>
  <c r="CZ63" i="2" s="1"/>
  <c r="CS61" i="2"/>
  <c r="CS3" i="242"/>
  <c r="CS56" i="243"/>
  <c r="U20" i="139"/>
  <c r="CS63" i="2" l="1"/>
  <c r="U22" i="139"/>
  <c r="CS58" i="243"/>
  <c r="U61" i="139"/>
  <c r="U77" i="139" s="1"/>
  <c r="U21" i="139"/>
  <c r="U39" i="139" l="1"/>
  <c r="U41" i="139" s="1"/>
  <c r="U23" i="139"/>
  <c r="U31" i="139"/>
  <c r="U48" i="139"/>
  <c r="U36" i="139" l="1"/>
  <c r="U37" i="139"/>
  <c r="U53" i="139"/>
  <c r="U46" i="139"/>
  <c r="CQ116" i="11" l="1"/>
  <c r="CW199" i="4" s="1"/>
  <c r="CW200" i="4" s="1"/>
  <c r="CW206" i="4" s="1"/>
  <c r="CW208" i="4" s="1"/>
  <c r="CP117" i="11"/>
  <c r="CP86" i="11" l="1"/>
  <c r="CP90" i="11" s="1"/>
  <c r="CP119" i="11"/>
  <c r="CP143" i="11" s="1"/>
  <c r="CP424" i="11"/>
  <c r="CP94" i="11" l="1"/>
  <c r="CP98" i="11" s="1"/>
  <c r="CP74" i="11"/>
  <c r="CQ117" i="11"/>
  <c r="CS119" i="11"/>
  <c r="CS143" i="11" s="1"/>
  <c r="CR129" i="11"/>
  <c r="CX203" i="4" s="1"/>
  <c r="CX206" i="4" s="1"/>
  <c r="CX208" i="4" s="1"/>
  <c r="CO126" i="11"/>
  <c r="CQ119" i="11" l="1"/>
  <c r="CQ143" i="11" s="1"/>
  <c r="CQ86" i="11"/>
  <c r="CS74" i="11"/>
  <c r="CR143" i="11"/>
  <c r="CR74" i="11" s="1"/>
  <c r="CO129" i="11"/>
  <c r="CU203" i="4" s="1"/>
  <c r="CU206" i="4" s="1"/>
  <c r="CU208" i="4" s="1"/>
  <c r="CO259" i="11"/>
  <c r="CS126" i="11"/>
  <c r="CQ74" i="11" l="1"/>
  <c r="CQ94" i="11"/>
  <c r="CQ90" i="11"/>
  <c r="CS86" i="11"/>
  <c r="CO143" i="11"/>
  <c r="CR426" i="11"/>
  <c r="CR430" i="11" s="1"/>
  <c r="CO426" i="11"/>
  <c r="CO430" i="11" s="1"/>
  <c r="CO260" i="11"/>
  <c r="CS90" i="11" l="1"/>
  <c r="CT86" i="11"/>
  <c r="CQ98" i="11"/>
  <c r="CS94" i="11"/>
  <c r="CS98" i="11" s="1"/>
  <c r="CO74" i="11"/>
  <c r="CP426" i="11"/>
  <c r="CP430" i="11" s="1"/>
  <c r="CO270" i="11"/>
  <c r="CQ126" i="11"/>
  <c r="CT94" i="11" l="1"/>
  <c r="CT90" i="11"/>
  <c r="CU252" i="11" l="1"/>
  <c r="CT98" i="11"/>
  <c r="CU253" i="11"/>
  <c r="DA119" i="11" l="1"/>
  <c r="CU424" i="11"/>
  <c r="CU430" i="11" s="1"/>
  <c r="CU254" i="11"/>
  <c r="CX63" i="4"/>
  <c r="DG198" i="4" l="1"/>
  <c r="DG199" i="4"/>
  <c r="CU270" i="11"/>
  <c r="DA474" i="11"/>
  <c r="DF199" i="4"/>
  <c r="DA559" i="11"/>
  <c r="CY424" i="11"/>
  <c r="CU431" i="11"/>
  <c r="DA517" i="11"/>
  <c r="CX70" i="4"/>
  <c r="CX72" i="4" s="1"/>
  <c r="CX87" i="4"/>
  <c r="CO62" i="11"/>
  <c r="CU63" i="4" s="1"/>
  <c r="CX141" i="4"/>
  <c r="CS62" i="11"/>
  <c r="CY63" i="4" s="1"/>
  <c r="DA473" i="11" l="1"/>
  <c r="DF198" i="4"/>
  <c r="DF200" i="4" s="1"/>
  <c r="DA558" i="11"/>
  <c r="DA560" i="11" s="1"/>
  <c r="DA532" i="11" s="1"/>
  <c r="DA424" i="11"/>
  <c r="DG200" i="4"/>
  <c r="DD199" i="4"/>
  <c r="DA581" i="11"/>
  <c r="DA604" i="11" s="1"/>
  <c r="CX102" i="4"/>
  <c r="CX109" i="4" s="1"/>
  <c r="CX111" i="4" s="1"/>
  <c r="CX112" i="4" s="1"/>
  <c r="CX94" i="4"/>
  <c r="CX96" i="4" s="1"/>
  <c r="CX98" i="4" s="1"/>
  <c r="CY87" i="4"/>
  <c r="CY94" i="4" s="1"/>
  <c r="CY96" i="4" s="1"/>
  <c r="CY98" i="4" s="1"/>
  <c r="CR20" i="2" s="1"/>
  <c r="CY70" i="4"/>
  <c r="CY72" i="4" s="1"/>
  <c r="CO70" i="11"/>
  <c r="CU141" i="4" s="1"/>
  <c r="CS70" i="11"/>
  <c r="CY141" i="4" s="1"/>
  <c r="DD198" i="4" l="1"/>
  <c r="DD200" i="4" s="1"/>
  <c r="CZ424" i="11"/>
  <c r="DA580" i="11"/>
  <c r="DA603" i="11" s="1"/>
  <c r="CX99" i="4"/>
  <c r="CQ20" i="2"/>
  <c r="CQ18" i="2" s="1"/>
  <c r="CO71" i="11"/>
  <c r="CU87" i="4"/>
  <c r="CU94" i="4" s="1"/>
  <c r="CU96" i="4" s="1"/>
  <c r="CU98" i="4" s="1"/>
  <c r="CN20" i="2" s="1"/>
  <c r="CN18" i="2" s="1"/>
  <c r="CU70" i="4"/>
  <c r="CU72" i="4" s="1"/>
  <c r="CS71" i="11"/>
  <c r="CQ13" i="2" l="1"/>
  <c r="CQ156" i="243" s="1"/>
  <c r="CN13" i="2"/>
  <c r="CN156" i="243" s="1"/>
  <c r="CX424" i="11"/>
  <c r="DA582" i="11"/>
  <c r="DA605" i="11" s="1"/>
  <c r="DA457" i="11" s="1"/>
  <c r="CY102" i="4"/>
  <c r="CY109" i="4" s="1"/>
  <c r="CY111" i="4" s="1"/>
  <c r="CY58" i="4"/>
  <c r="CY60" i="4" s="1"/>
  <c r="CR22" i="2" s="1"/>
  <c r="CR27" i="2" l="1"/>
  <c r="CR38" i="2" s="1"/>
  <c r="CR18" i="2"/>
  <c r="CU102" i="4"/>
  <c r="CU109" i="4" s="1"/>
  <c r="CU111" i="4" s="1"/>
  <c r="CU112" i="4" s="1"/>
  <c r="CR42" i="2" l="1"/>
  <c r="CR46" i="2" s="1"/>
  <c r="CR3" i="242" s="1"/>
  <c r="CR21" i="242" s="1"/>
  <c r="CR41" i="2"/>
  <c r="CR45" i="242" l="1"/>
  <c r="CR49" i="242" s="1"/>
  <c r="CR42" i="242"/>
  <c r="CR48" i="2"/>
  <c r="CR51" i="2"/>
  <c r="CR47" i="2"/>
  <c r="CR56" i="242" l="1"/>
  <c r="CR61" i="242" s="1"/>
  <c r="CR58" i="242"/>
  <c r="CR60" i="242" s="1"/>
  <c r="CQ399" i="11" l="1"/>
  <c r="CE10" i="178" l="1"/>
  <c r="CE12" i="178"/>
  <c r="BS65" i="220" l="1"/>
  <c r="BS58" i="220"/>
  <c r="BS59" i="220" s="1"/>
  <c r="CS72" i="4" l="1"/>
  <c r="CR72" i="4" s="1"/>
  <c r="CS95" i="4"/>
  <c r="CS110" i="4" s="1"/>
  <c r="CS111" i="4" s="1"/>
  <c r="CR98" i="4" l="1"/>
  <c r="CK20" i="2" s="1"/>
  <c r="CP72" i="4"/>
  <c r="CP98" i="4" s="1"/>
  <c r="CI20" i="2" s="1"/>
  <c r="CZ112" i="4"/>
  <c r="CZ72" i="4"/>
  <c r="CS96" i="4"/>
  <c r="CS98" i="4" s="1"/>
  <c r="CP99" i="4" l="1"/>
  <c r="CP111" i="4"/>
  <c r="CR99" i="4"/>
  <c r="CR111" i="4"/>
  <c r="DF71" i="4"/>
  <c r="DF95" i="4" s="1"/>
  <c r="DF110" i="4" s="1"/>
  <c r="CL20" i="2"/>
  <c r="CL116" i="243"/>
  <c r="CS99" i="4"/>
  <c r="CS20" i="2"/>
  <c r="CY112" i="4" l="1"/>
  <c r="T15" i="139"/>
  <c r="T57" i="139" s="1"/>
  <c r="CS21" i="242"/>
  <c r="CS18" i="2"/>
  <c r="DA95" i="4"/>
  <c r="DA110" i="4" s="1"/>
  <c r="DU71" i="4"/>
  <c r="DD71" i="4"/>
  <c r="DD95" i="4" s="1"/>
  <c r="DD110" i="4" s="1"/>
  <c r="CL18" i="2"/>
  <c r="U15" i="139"/>
  <c r="U34" i="139" s="1"/>
  <c r="T13" i="139" l="1"/>
  <c r="CL13" i="2"/>
  <c r="CL156" i="243" s="1"/>
  <c r="CS13" i="2"/>
  <c r="CS156" i="243" s="1"/>
  <c r="T50" i="139"/>
  <c r="T34" i="139"/>
  <c r="CI18" i="2"/>
  <c r="CK18" i="2"/>
  <c r="CS45" i="242"/>
  <c r="CS49" i="242" s="1"/>
  <c r="DU95" i="4"/>
  <c r="EB71" i="4"/>
  <c r="DT71" i="4"/>
  <c r="DI71" i="4"/>
  <c r="DI95" i="4" s="1"/>
  <c r="DI110" i="4" s="1"/>
  <c r="T14" i="139"/>
  <c r="U29" i="139"/>
  <c r="U13" i="139"/>
  <c r="U14" i="139"/>
  <c r="CK13" i="2" l="1"/>
  <c r="CK156" i="243" s="1"/>
  <c r="CI13" i="2"/>
  <c r="CI156" i="243" s="1"/>
  <c r="CS58" i="242"/>
  <c r="CS56" i="242"/>
  <c r="CS69" i="242"/>
  <c r="CS77" i="242" s="1"/>
  <c r="DQ71" i="4"/>
  <c r="DR71" i="4" s="1"/>
  <c r="DT95" i="4"/>
  <c r="EB95" i="4"/>
  <c r="DZ71" i="4"/>
  <c r="EA71" i="4" s="1"/>
  <c r="EI71" i="4"/>
  <c r="DH95" i="4"/>
  <c r="DU110" i="4"/>
  <c r="CL100" i="2"/>
  <c r="CS100" i="2"/>
  <c r="CS61" i="242" l="1"/>
  <c r="CS60" i="242"/>
  <c r="U24" i="139"/>
  <c r="DR95" i="4"/>
  <c r="EB110" i="4"/>
  <c r="DX71" i="4"/>
  <c r="DY71" i="4" s="1"/>
  <c r="EA95" i="4"/>
  <c r="DJ95" i="4"/>
  <c r="EI95" i="4"/>
  <c r="EP71" i="4"/>
  <c r="EG71" i="4"/>
  <c r="EH71" i="4" s="1"/>
  <c r="DQ95" i="4"/>
  <c r="DH110" i="4"/>
  <c r="DV71" i="4"/>
  <c r="DW71" i="4" s="1"/>
  <c r="DZ95" i="4"/>
  <c r="DT110" i="4"/>
  <c r="U25" i="139" l="1"/>
  <c r="CS62" i="242"/>
  <c r="EH95" i="4"/>
  <c r="EE71" i="4"/>
  <c r="EF71" i="4" s="1"/>
  <c r="DY95" i="4"/>
  <c r="DW95" i="4"/>
  <c r="EP95" i="4"/>
  <c r="EW71" i="4"/>
  <c r="EN71" i="4"/>
  <c r="EI110" i="4"/>
  <c r="DV95" i="4"/>
  <c r="DQ110" i="4"/>
  <c r="DZ110" i="4"/>
  <c r="EA110" i="4"/>
  <c r="EC71" i="4"/>
  <c r="ED71" i="4" s="1"/>
  <c r="EG95" i="4"/>
  <c r="DX95" i="4"/>
  <c r="DR110" i="4"/>
  <c r="EC95" i="4" l="1"/>
  <c r="EN95" i="4"/>
  <c r="EJ71" i="4"/>
  <c r="EK71" i="4" s="1"/>
  <c r="DW110" i="4"/>
  <c r="ED95" i="4"/>
  <c r="EF95" i="4"/>
  <c r="EW95" i="4"/>
  <c r="EU71" i="4"/>
  <c r="EV71" i="4" s="1"/>
  <c r="EP110" i="4"/>
  <c r="EE95" i="4"/>
  <c r="DX110" i="4"/>
  <c r="EG110" i="4"/>
  <c r="DV110" i="4"/>
  <c r="EO71" i="4"/>
  <c r="DY110" i="4"/>
  <c r="EH110" i="4"/>
  <c r="EK95" i="4" l="1"/>
  <c r="EW110" i="4"/>
  <c r="ED110" i="4"/>
  <c r="EJ95" i="4"/>
  <c r="EE110" i="4"/>
  <c r="ES71" i="4"/>
  <c r="ET71" i="4" s="1"/>
  <c r="EV95" i="4"/>
  <c r="EF110" i="4"/>
  <c r="EN110" i="4"/>
  <c r="EL71" i="4"/>
  <c r="EO95" i="4"/>
  <c r="EU95" i="4"/>
  <c r="EQ71" i="4"/>
  <c r="ER71" i="4" s="1"/>
  <c r="EC110" i="4"/>
  <c r="CL72" i="4"/>
  <c r="CK72" i="4" s="1"/>
  <c r="CL95" i="4"/>
  <c r="CL96" i="4" s="1"/>
  <c r="CL98" i="4" s="1"/>
  <c r="CK98" i="4" l="1"/>
  <c r="CD20" i="2" s="1"/>
  <c r="CI72" i="4"/>
  <c r="CI98" i="4" s="1"/>
  <c r="CB20" i="2" s="1"/>
  <c r="EU110" i="4"/>
  <c r="EO110" i="4"/>
  <c r="ET95" i="4"/>
  <c r="EJ110" i="4"/>
  <c r="ER95" i="4"/>
  <c r="ES95" i="4"/>
  <c r="EL95" i="4"/>
  <c r="EV110" i="4"/>
  <c r="EQ95" i="4"/>
  <c r="EM71" i="4"/>
  <c r="EK110" i="4"/>
  <c r="CE20" i="2"/>
  <c r="CE116" i="243"/>
  <c r="CL99" i="4"/>
  <c r="CL110" i="4"/>
  <c r="CL111" i="4" s="1"/>
  <c r="CI99" i="4" l="1"/>
  <c r="CI111" i="4"/>
  <c r="CK99" i="4"/>
  <c r="CK111" i="4"/>
  <c r="S15" i="139"/>
  <c r="S57" i="139" s="1"/>
  <c r="ES110" i="4"/>
  <c r="EQ110" i="4"/>
  <c r="EM95" i="4"/>
  <c r="EL110" i="4"/>
  <c r="ER110" i="4"/>
  <c r="ET110" i="4"/>
  <c r="CE18" i="2"/>
  <c r="CS112" i="4"/>
  <c r="CE13" i="2" l="1"/>
  <c r="CE156" i="243" s="1"/>
  <c r="CR112" i="4"/>
  <c r="CD18" i="2"/>
  <c r="CB18" i="2"/>
  <c r="CP112" i="4"/>
  <c r="S34" i="139"/>
  <c r="T29" i="139"/>
  <c r="S50" i="139"/>
  <c r="EM110" i="4"/>
  <c r="S14" i="139"/>
  <c r="S13" i="139"/>
  <c r="CE95" i="4"/>
  <c r="CE110" i="4" s="1"/>
  <c r="CE111" i="4" s="1"/>
  <c r="CE72" i="4"/>
  <c r="CD72" i="4" s="1"/>
  <c r="CD98" i="4" l="1"/>
  <c r="BW20" i="2" s="1"/>
  <c r="BW18" i="2" s="1"/>
  <c r="CB72" i="4"/>
  <c r="CB98" i="4" s="1"/>
  <c r="BU20" i="2" s="1"/>
  <c r="BU18" i="2" s="1"/>
  <c r="CE100" i="2"/>
  <c r="CE96" i="4"/>
  <c r="CE98" i="4" s="1"/>
  <c r="BX116" i="243" s="1"/>
  <c r="CL112" i="4"/>
  <c r="BU13" i="2" l="1"/>
  <c r="BU156" i="243" s="1"/>
  <c r="BW13" i="2"/>
  <c r="BW156" i="243" s="1"/>
  <c r="CB99" i="4"/>
  <c r="CB111" i="4"/>
  <c r="CD99" i="4"/>
  <c r="CD111" i="4"/>
  <c r="BX123" i="243"/>
  <c r="CE99" i="4"/>
  <c r="BX20" i="2"/>
  <c r="CK112" i="4" l="1"/>
  <c r="CI112" i="4"/>
  <c r="R82" i="139"/>
  <c r="R15" i="139"/>
  <c r="BX18" i="2"/>
  <c r="BX13" i="2" s="1"/>
  <c r="BQ72" i="4"/>
  <c r="BP72" i="4" s="1"/>
  <c r="BQ95" i="4"/>
  <c r="BQ96" i="4" s="1"/>
  <c r="BQ98" i="4" s="1"/>
  <c r="BX98" i="4" s="1"/>
  <c r="BP98" i="4" l="1"/>
  <c r="BP111" i="4" s="1"/>
  <c r="BP112" i="4" s="1"/>
  <c r="BN72" i="4"/>
  <c r="BN98" i="4" s="1"/>
  <c r="BN111" i="4" s="1"/>
  <c r="BN112" i="4" s="1"/>
  <c r="R57" i="139"/>
  <c r="R34" i="139"/>
  <c r="BQ20" i="2"/>
  <c r="BQ116" i="243"/>
  <c r="BQ118" i="243" s="1"/>
  <c r="R14" i="139"/>
  <c r="BX156" i="243"/>
  <c r="R13" i="139"/>
  <c r="R50" i="139"/>
  <c r="S29" i="139"/>
  <c r="BQ99" i="4"/>
  <c r="BX99" i="4" s="1"/>
  <c r="BQ110" i="4"/>
  <c r="BQ111" i="4" s="1"/>
  <c r="BX111" i="4" s="1"/>
  <c r="BX112" i="4" s="1"/>
  <c r="BU98" i="4" l="1"/>
  <c r="BN99" i="4"/>
  <c r="BU99" i="4" s="1"/>
  <c r="BW98" i="4"/>
  <c r="BP99" i="4"/>
  <c r="BW99" i="4" s="1"/>
  <c r="Q15" i="139"/>
  <c r="BQ18" i="2"/>
  <c r="BQ123" i="243"/>
  <c r="BX100" i="2"/>
  <c r="BQ112" i="4"/>
  <c r="CE112" i="4"/>
  <c r="Q13" i="139" l="1"/>
  <c r="BQ13" i="2"/>
  <c r="BQ156" i="243" s="1"/>
  <c r="BW111" i="4"/>
  <c r="BP20" i="2"/>
  <c r="BP18" i="2" s="1"/>
  <c r="BU111" i="4"/>
  <c r="BN20" i="2"/>
  <c r="BN18" i="2" s="1"/>
  <c r="R29" i="139"/>
  <c r="Q57" i="139"/>
  <c r="Q34" i="139"/>
  <c r="Q29" i="139"/>
  <c r="Q50" i="139"/>
  <c r="Q14" i="139"/>
  <c r="BQ103" i="243"/>
  <c r="BQ102" i="243" s="1"/>
  <c r="BQ111" i="243" s="1"/>
  <c r="BX115" i="243"/>
  <c r="BX118" i="243" s="1"/>
  <c r="BP13" i="2" l="1"/>
  <c r="BP156" i="243" s="1"/>
  <c r="BN13" i="2"/>
  <c r="BN156" i="243" s="1"/>
  <c r="CB112" i="4"/>
  <c r="BU112" i="4"/>
  <c r="CD112" i="4"/>
  <c r="BW112" i="4"/>
  <c r="BQ100" i="2"/>
  <c r="CE115" i="243"/>
  <c r="BX103" i="243"/>
  <c r="BX102" i="243" s="1"/>
  <c r="BX111" i="243" s="1"/>
  <c r="BQ112" i="243"/>
  <c r="BQ110" i="243"/>
  <c r="BX107" i="243"/>
  <c r="BQ125" i="243" l="1"/>
  <c r="BQ121" i="243"/>
  <c r="BX112" i="243"/>
  <c r="BX110" i="243"/>
  <c r="CE107" i="243"/>
  <c r="CE109" i="243" s="1"/>
  <c r="CE117" i="243" s="1"/>
  <c r="CE118" i="243" s="1"/>
  <c r="BX125" i="243" l="1"/>
  <c r="BX121" i="243"/>
  <c r="CL115" i="243"/>
  <c r="CE103" i="243"/>
  <c r="CE102" i="243" s="1"/>
  <c r="CE111" i="243" s="1"/>
  <c r="CE112" i="243" l="1"/>
  <c r="CE125" i="243" s="1"/>
  <c r="CL107" i="243"/>
  <c r="CL109" i="243" s="1"/>
  <c r="CL117" i="243" s="1"/>
  <c r="CS115" i="243" l="1"/>
  <c r="CL118" i="243"/>
  <c r="CL103" i="243"/>
  <c r="CL102" i="243" s="1"/>
  <c r="CL111" i="243" s="1"/>
  <c r="CS107" i="243" s="1"/>
  <c r="CS109" i="243" s="1"/>
  <c r="CS117" i="243" s="1"/>
  <c r="CS103" i="243" l="1"/>
  <c r="CS102" i="243" s="1"/>
  <c r="CS111" i="243" s="1"/>
  <c r="CS118" i="243"/>
  <c r="CL112" i="243"/>
  <c r="CL125" i="243" s="1"/>
  <c r="CS112" i="243" l="1"/>
  <c r="CS125" i="243" s="1"/>
  <c r="CZ107" i="243"/>
  <c r="CZ112" i="243" s="1"/>
  <c r="BQ150" i="4"/>
  <c r="Q80" i="139" l="1"/>
  <c r="Q81" i="139" l="1"/>
  <c r="Q82" i="139"/>
  <c r="CS149" i="4"/>
  <c r="CL108" i="243" s="1"/>
  <c r="CY148" i="4" l="1"/>
  <c r="CT149" i="4"/>
  <c r="CT150" i="4" s="1"/>
  <c r="CX149" i="4"/>
  <c r="CX150" i="4" s="1"/>
  <c r="CS150" i="4"/>
  <c r="CL121" i="243"/>
  <c r="CL123" i="243"/>
  <c r="CL110" i="243"/>
  <c r="CZ149" i="4"/>
  <c r="CS108" i="243" s="1"/>
  <c r="T80" i="139"/>
  <c r="CS123" i="243" l="1"/>
  <c r="CS110" i="243"/>
  <c r="CS121" i="243"/>
  <c r="CU148" i="4"/>
  <c r="CU149" i="4" s="1"/>
  <c r="DF148" i="4"/>
  <c r="CY149" i="4"/>
  <c r="T82" i="139"/>
  <c r="T81" i="139"/>
  <c r="CZ150" i="4"/>
  <c r="CW148" i="4" l="1"/>
  <c r="CS31" i="242"/>
  <c r="CS65" i="242" s="1"/>
  <c r="U80" i="139"/>
  <c r="CS67" i="242" l="1"/>
  <c r="CS68" i="242" s="1"/>
  <c r="CS74" i="242" s="1"/>
  <c r="CS42" i="242"/>
  <c r="CS81" i="2" s="1"/>
  <c r="U66" i="139"/>
  <c r="U70" i="139" s="1"/>
  <c r="DD148" i="4"/>
  <c r="DM148" i="4"/>
  <c r="CS24" i="243"/>
  <c r="CS80" i="242"/>
  <c r="CS82" i="242" s="1"/>
  <c r="U82" i="139"/>
  <c r="U81" i="139"/>
  <c r="DT148" i="4" l="1"/>
  <c r="DO148" i="4"/>
  <c r="DP148" i="4" s="1"/>
  <c r="CS86" i="242"/>
  <c r="U7" i="139"/>
  <c r="CS59" i="243"/>
  <c r="U71" i="139"/>
  <c r="DI148" i="4"/>
  <c r="DQ148" i="4"/>
  <c r="DZ148" i="4"/>
  <c r="EA148" i="4" s="1"/>
  <c r="CS96" i="2"/>
  <c r="U56" i="139" l="1"/>
  <c r="U57" i="139" s="1"/>
  <c r="CS76" i="242"/>
  <c r="U73" i="139"/>
  <c r="U75" i="139"/>
  <c r="DK148" i="4"/>
  <c r="DR148" i="4"/>
  <c r="DX148" i="4"/>
  <c r="DV148" i="4"/>
  <c r="EG148" i="4"/>
  <c r="EH148" i="4" s="1"/>
  <c r="CS78" i="242" l="1"/>
  <c r="U76" i="139"/>
  <c r="DY148" i="4"/>
  <c r="DW148" i="4"/>
  <c r="EN148" i="4"/>
  <c r="EE148" i="4"/>
  <c r="EC148" i="4"/>
  <c r="U52" i="139" l="1"/>
  <c r="U42" i="139"/>
  <c r="U43" i="139"/>
  <c r="ED148" i="4"/>
  <c r="EF148" i="4"/>
  <c r="EU148" i="4"/>
  <c r="EV148" i="4" s="1"/>
  <c r="EJ148" i="4"/>
  <c r="EO148" i="4"/>
  <c r="U58" i="139"/>
  <c r="EL148" i="4" l="1"/>
  <c r="EK148" i="4"/>
  <c r="EQ148" i="4"/>
  <c r="ES148" i="4"/>
  <c r="ER148" i="4" l="1"/>
  <c r="EM148" i="4"/>
  <c r="ET148" i="4"/>
  <c r="U9" i="139"/>
  <c r="U49" i="139" l="1"/>
  <c r="U50" i="139"/>
  <c r="CS97" i="2"/>
  <c r="U51" i="139"/>
  <c r="U47" i="139"/>
  <c r="CL149" i="4" l="1"/>
  <c r="CE108" i="243" s="1"/>
  <c r="CE121" i="243" l="1"/>
  <c r="CE123" i="243"/>
  <c r="CE110" i="243"/>
  <c r="S80" i="139"/>
  <c r="CL150" i="4"/>
  <c r="S81" i="139" l="1"/>
  <c r="S82" i="139"/>
  <c r="CN271" i="11" l="1"/>
  <c r="CN273" i="11" s="1"/>
  <c r="CN308" i="11" l="1"/>
  <c r="CN28" i="11" s="1"/>
  <c r="CN26" i="11"/>
  <c r="CN25" i="11"/>
  <c r="CN344" i="11"/>
  <c r="CN347" i="11" l="1"/>
  <c r="CN24" i="11"/>
  <c r="CN345" i="11"/>
  <c r="CN22" i="11"/>
  <c r="CN343" i="11"/>
  <c r="CN20" i="11"/>
  <c r="CN342" i="11"/>
  <c r="CN19" i="11"/>
  <c r="CN346" i="11"/>
  <c r="CN23" i="11"/>
  <c r="CN312" i="11"/>
  <c r="CN432" i="11"/>
  <c r="CN433" i="11" s="1"/>
  <c r="CN434" i="11" s="1"/>
  <c r="CN311" i="11"/>
  <c r="CN315" i="11" s="1"/>
  <c r="CN348" i="11" l="1"/>
  <c r="CN309" i="11"/>
  <c r="CN217" i="11" s="1"/>
  <c r="CN317" i="11"/>
  <c r="CN316" i="11"/>
  <c r="CN30" i="11" l="1"/>
  <c r="CN329" i="11"/>
  <c r="CU12" i="11" l="1"/>
  <c r="DA63" i="4" l="1"/>
  <c r="DA87" i="4" l="1"/>
  <c r="DA70" i="4"/>
  <c r="DA72" i="4" s="1"/>
  <c r="DA141" i="4"/>
  <c r="DA149" i="4" s="1"/>
  <c r="DA94" i="4" l="1"/>
  <c r="DA96" i="4" s="1"/>
  <c r="DA98" i="4" s="1"/>
  <c r="DA102" i="4"/>
  <c r="DA109" i="4" s="1"/>
  <c r="DA111" i="4" s="1"/>
  <c r="CT20" i="2" l="1"/>
  <c r="CT18" i="2" s="1"/>
  <c r="CT13" i="2" s="1"/>
  <c r="CT156" i="243" l="1"/>
  <c r="CI27" i="178"/>
  <c r="CI28" i="178" l="1"/>
  <c r="CP28" i="178"/>
  <c r="DC31" i="178"/>
  <c r="CI50" i="178"/>
  <c r="CI31" i="178"/>
  <c r="CI32" i="178" l="1"/>
  <c r="CP32" i="178"/>
  <c r="DJ31" i="178"/>
  <c r="DC27" i="178"/>
  <c r="CI38" i="178"/>
  <c r="CI37" i="178"/>
  <c r="CI56" i="178"/>
  <c r="CI51" i="178"/>
  <c r="CW70" i="11" l="1"/>
  <c r="CX70" i="11" s="1"/>
  <c r="DC142" i="4"/>
  <c r="DC64" i="4"/>
  <c r="DC88" i="4" s="1"/>
  <c r="DC103" i="4" s="1"/>
  <c r="CW62" i="11"/>
  <c r="CP62" i="11"/>
  <c r="CP63" i="11" s="1"/>
  <c r="CV64" i="4"/>
  <c r="CV88" i="4" s="1"/>
  <c r="CV103" i="4" s="1"/>
  <c r="DC28" i="178"/>
  <c r="DC50" i="178"/>
  <c r="DC24" i="178"/>
  <c r="DJ27" i="178"/>
  <c r="DQ31" i="178"/>
  <c r="CI17" i="178"/>
  <c r="CI57" i="178"/>
  <c r="CI14" i="178"/>
  <c r="DD64" i="4"/>
  <c r="DD88" i="4" s="1"/>
  <c r="DD103" i="4" s="1"/>
  <c r="CW63" i="11" l="1"/>
  <c r="CX62" i="11"/>
  <c r="CX63" i="11" s="1"/>
  <c r="CW71" i="11"/>
  <c r="CP70" i="11"/>
  <c r="CP71" i="11" s="1"/>
  <c r="CV142" i="4"/>
  <c r="DC4" i="178"/>
  <c r="DC38" i="178"/>
  <c r="DC37" i="178"/>
  <c r="DC25" i="178"/>
  <c r="DX31" i="178"/>
  <c r="DQ27" i="178"/>
  <c r="DC56" i="178"/>
  <c r="DJ28" i="178"/>
  <c r="DJ50" i="178"/>
  <c r="DJ24" i="178"/>
  <c r="CI15" i="178"/>
  <c r="CI18" i="178"/>
  <c r="CW64" i="4"/>
  <c r="DD142" i="4"/>
  <c r="CI20" i="178"/>
  <c r="CX71" i="11" l="1"/>
  <c r="EE31" i="178"/>
  <c r="EE27" i="178" s="1"/>
  <c r="DX27" i="178"/>
  <c r="DJ17" i="4"/>
  <c r="DJ37" i="178"/>
  <c r="DJ25" i="178"/>
  <c r="DJ4" i="178"/>
  <c r="DJ38" i="178"/>
  <c r="DC7" i="178"/>
  <c r="DC57" i="178"/>
  <c r="DJ56" i="178"/>
  <c r="DQ24" i="178"/>
  <c r="DQ28" i="178"/>
  <c r="DQ50" i="178"/>
  <c r="DQ5" i="4"/>
  <c r="DC5" i="178"/>
  <c r="DC14" i="178"/>
  <c r="DC17" i="178"/>
  <c r="DJ64" i="4"/>
  <c r="CV20" i="178"/>
  <c r="CW122" i="4"/>
  <c r="CW124" i="4" s="1"/>
  <c r="CW88" i="4"/>
  <c r="CW142" i="4"/>
  <c r="CI21" i="178"/>
  <c r="DD70" i="11" l="1"/>
  <c r="DD71" i="11" s="1"/>
  <c r="CW20" i="178"/>
  <c r="CW21" i="178" s="1"/>
  <c r="CW132" i="4"/>
  <c r="CP15" i="2"/>
  <c r="DQ116" i="4"/>
  <c r="DJ142" i="4"/>
  <c r="DQ37" i="178"/>
  <c r="DQ38" i="178"/>
  <c r="DQ4" i="178"/>
  <c r="DQ25" i="178"/>
  <c r="DJ5" i="178"/>
  <c r="DJ14" i="178"/>
  <c r="DJ17" i="178"/>
  <c r="DX5" i="4"/>
  <c r="DJ88" i="4"/>
  <c r="DQ17" i="4"/>
  <c r="DQ56" i="178"/>
  <c r="DJ7" i="178"/>
  <c r="DJ57" i="178"/>
  <c r="DX50" i="178"/>
  <c r="DX28" i="178"/>
  <c r="DX24" i="178"/>
  <c r="DQ64" i="4"/>
  <c r="DC20" i="178"/>
  <c r="DC8" i="178"/>
  <c r="DQ27" i="4"/>
  <c r="DC11" i="178"/>
  <c r="EE24" i="178"/>
  <c r="EE50" i="178"/>
  <c r="EE28" i="178"/>
  <c r="CW103" i="4"/>
  <c r="CW44" i="4"/>
  <c r="DE70" i="11" l="1"/>
  <c r="DE71" i="11" s="1"/>
  <c r="EE37" i="178"/>
  <c r="EE38" i="178"/>
  <c r="EE4" i="178"/>
  <c r="EE25" i="178"/>
  <c r="DX56" i="178"/>
  <c r="DX17" i="4"/>
  <c r="DX37" i="178"/>
  <c r="DX25" i="178"/>
  <c r="DX38" i="178"/>
  <c r="DX4" i="178"/>
  <c r="DJ20" i="178"/>
  <c r="DX64" i="4"/>
  <c r="DQ88" i="4"/>
  <c r="DJ8" i="178"/>
  <c r="DX27" i="4"/>
  <c r="DJ11" i="178"/>
  <c r="DQ52" i="4"/>
  <c r="DC12" i="178"/>
  <c r="DQ142" i="4"/>
  <c r="DQ7" i="178"/>
  <c r="DQ57" i="178"/>
  <c r="DX116" i="4"/>
  <c r="DK142" i="4"/>
  <c r="DJ44" i="4"/>
  <c r="DJ103" i="4"/>
  <c r="EE56" i="178"/>
  <c r="DQ5" i="178"/>
  <c r="DQ14" i="178"/>
  <c r="DQ17" i="178"/>
  <c r="EE5" i="4"/>
  <c r="EE17" i="4" l="1"/>
  <c r="DX88" i="4"/>
  <c r="EE5" i="178"/>
  <c r="ES5" i="4"/>
  <c r="EE17" i="178"/>
  <c r="EE14" i="178"/>
  <c r="DX52" i="4"/>
  <c r="DJ12" i="178"/>
  <c r="DX57" i="178"/>
  <c r="DX7" i="178"/>
  <c r="EE64" i="4"/>
  <c r="DQ20" i="178"/>
  <c r="EE27" i="4"/>
  <c r="DQ11" i="178"/>
  <c r="DQ8" i="178"/>
  <c r="DQ103" i="4"/>
  <c r="DQ44" i="4"/>
  <c r="DX142" i="4"/>
  <c r="EE116" i="4"/>
  <c r="EE7" i="178"/>
  <c r="EE57" i="178"/>
  <c r="DX17" i="178"/>
  <c r="DX14" i="178"/>
  <c r="DX5" i="178"/>
  <c r="EL5" i="4"/>
  <c r="EL116" i="4" l="1"/>
  <c r="EE52" i="4"/>
  <c r="DQ12" i="178"/>
  <c r="EE142" i="4"/>
  <c r="ES116" i="4"/>
  <c r="DX20" i="178"/>
  <c r="EL64" i="4"/>
  <c r="EE8" i="178"/>
  <c r="ES27" i="4"/>
  <c r="EE11" i="178"/>
  <c r="EE88" i="4"/>
  <c r="EE20" i="178"/>
  <c r="ES64" i="4"/>
  <c r="EL17" i="4"/>
  <c r="DX11" i="178"/>
  <c r="EL27" i="4"/>
  <c r="DX8" i="178"/>
  <c r="ES17" i="4"/>
  <c r="DX44" i="4"/>
  <c r="DX103" i="4"/>
  <c r="ES88" i="4" l="1"/>
  <c r="EL142" i="4"/>
  <c r="EL52" i="4"/>
  <c r="DX12" i="178"/>
  <c r="ES142" i="4"/>
  <c r="EL88" i="4"/>
  <c r="ES52" i="4"/>
  <c r="EE12" i="178"/>
  <c r="EE103" i="4"/>
  <c r="EE44" i="4"/>
  <c r="ES44" i="4" l="1"/>
  <c r="ES103" i="4"/>
  <c r="EL103" i="4"/>
  <c r="EL44" i="4"/>
  <c r="CR9" i="11" l="1"/>
  <c r="CS9" i="11" s="1"/>
  <c r="CQ9" i="11" s="1"/>
  <c r="CR5" i="11"/>
  <c r="CS5" i="11" s="1"/>
  <c r="CQ5" i="11" s="1"/>
  <c r="CR307" i="11" l="1"/>
  <c r="CR353" i="11" s="1"/>
  <c r="CO9" i="11"/>
  <c r="CO5" i="11"/>
  <c r="CR391" i="11"/>
  <c r="CR390" i="11" s="1"/>
  <c r="CO353" i="11" l="1"/>
  <c r="CS353" i="11"/>
  <c r="CQ353" i="11" s="1"/>
  <c r="CR394" i="11"/>
  <c r="CO390" i="11"/>
  <c r="CR313" i="11"/>
  <c r="CO307" i="11"/>
  <c r="CR27" i="11"/>
  <c r="CS386" i="11"/>
  <c r="CS385" i="11" s="1"/>
  <c r="CO386" i="11"/>
  <c r="CP386" i="11" s="1"/>
  <c r="CP385" i="11" s="1"/>
  <c r="CO354" i="11" l="1"/>
  <c r="CO27" i="11"/>
  <c r="CO313" i="11"/>
  <c r="CR395" i="11"/>
  <c r="CO394" i="11"/>
  <c r="CR384" i="11" l="1"/>
  <c r="CR383" i="11" s="1"/>
  <c r="CR406" i="11" s="1"/>
  <c r="CR275" i="11" s="1"/>
  <c r="CR436" i="11"/>
  <c r="CR437" i="11" s="1"/>
  <c r="CR297" i="11" l="1"/>
  <c r="CR281" i="11"/>
  <c r="CR296" i="11"/>
  <c r="CR280" i="11"/>
  <c r="CR303" i="11"/>
  <c r="CR287" i="11"/>
  <c r="CR302" i="11"/>
  <c r="CR289" i="11"/>
  <c r="CR288" i="11"/>
  <c r="CR295" i="11"/>
  <c r="CR279" i="11"/>
  <c r="CR271" i="11"/>
  <c r="CR273" i="11" s="1"/>
  <c r="CR293" i="11"/>
  <c r="CR294" i="11"/>
  <c r="CR292" i="11"/>
  <c r="CR298" i="11"/>
  <c r="CR299" i="11"/>
  <c r="CR283" i="11"/>
  <c r="CR290" i="11"/>
  <c r="CR21" i="11" s="1"/>
  <c r="CR305" i="11"/>
  <c r="CR304" i="11"/>
  <c r="CR286" i="11"/>
  <c r="CR282" i="11"/>
  <c r="CR301" i="11"/>
  <c r="CR285" i="11"/>
  <c r="CR300" i="11"/>
  <c r="CR284" i="11"/>
  <c r="CR278" i="11"/>
  <c r="CR291" i="11"/>
  <c r="CR306" i="11"/>
  <c r="CO278" i="11" l="1"/>
  <c r="CO301" i="11"/>
  <c r="CO271" i="11"/>
  <c r="CR308" i="11"/>
  <c r="CR309" i="11" s="1"/>
  <c r="CR217" i="11" s="1"/>
  <c r="CR432" i="11"/>
  <c r="CR433" i="11" s="1"/>
  <c r="CO291" i="11"/>
  <c r="CO285" i="11"/>
  <c r="CR347" i="11"/>
  <c r="CR24" i="11"/>
  <c r="CO304" i="11"/>
  <c r="CO24" i="11" s="1"/>
  <c r="CO299" i="11"/>
  <c r="CR22" i="11"/>
  <c r="CO293" i="11"/>
  <c r="CO22" i="11" s="1"/>
  <c r="CR345" i="11"/>
  <c r="CO288" i="11"/>
  <c r="CO303" i="11"/>
  <c r="CO297" i="11"/>
  <c r="CO298" i="11"/>
  <c r="CR311" i="11"/>
  <c r="CO280" i="11"/>
  <c r="CR342" i="11"/>
  <c r="CR19" i="11"/>
  <c r="CO305" i="11"/>
  <c r="CO25" i="11" s="1"/>
  <c r="CR25" i="11"/>
  <c r="CO284" i="11"/>
  <c r="CO282" i="11"/>
  <c r="CO290" i="11"/>
  <c r="CO21" i="11" s="1"/>
  <c r="CO292" i="11"/>
  <c r="CO279" i="11"/>
  <c r="CO302" i="11"/>
  <c r="CR346" i="11"/>
  <c r="CO296" i="11"/>
  <c r="CO23" i="11" s="1"/>
  <c r="CR23" i="11"/>
  <c r="CO289" i="11"/>
  <c r="CR344" i="11"/>
  <c r="CR26" i="11"/>
  <c r="CO306" i="11"/>
  <c r="CO26" i="11" s="1"/>
  <c r="CO300" i="11"/>
  <c r="CO286" i="11"/>
  <c r="CR20" i="11"/>
  <c r="CO283" i="11"/>
  <c r="CO294" i="11"/>
  <c r="CO295" i="11"/>
  <c r="CR343" i="11"/>
  <c r="CO287" i="11"/>
  <c r="CO281" i="11"/>
  <c r="CR312" i="11"/>
  <c r="CO14" i="11"/>
  <c r="CO393" i="11"/>
  <c r="CO395" i="11" s="1"/>
  <c r="CO387" i="11"/>
  <c r="CO400" i="11" s="1"/>
  <c r="CR315" i="11" l="1"/>
  <c r="CO308" i="11"/>
  <c r="CO309" i="11" s="1"/>
  <c r="CO217" i="11" s="1"/>
  <c r="CO312" i="11"/>
  <c r="CR316" i="11"/>
  <c r="CO343" i="11"/>
  <c r="CO324" i="11" s="1"/>
  <c r="CO333" i="11" s="1"/>
  <c r="CO20" i="11"/>
  <c r="CR317" i="11"/>
  <c r="CR28" i="11"/>
  <c r="CS11" i="11"/>
  <c r="CO344" i="11"/>
  <c r="CO325" i="11" s="1"/>
  <c r="CO334" i="11" s="1"/>
  <c r="CO345" i="11"/>
  <c r="CO326" i="11" s="1"/>
  <c r="CO335" i="11" s="1"/>
  <c r="CO384" i="11"/>
  <c r="CO383" i="11" s="1"/>
  <c r="CO406" i="11" s="1"/>
  <c r="CO436" i="11"/>
  <c r="CO437" i="11" s="1"/>
  <c r="CO342" i="11"/>
  <c r="CR348" i="11"/>
  <c r="CO347" i="11"/>
  <c r="CO328" i="11" s="1"/>
  <c r="CO337" i="11" s="1"/>
  <c r="CO346" i="11"/>
  <c r="CO327" i="11" s="1"/>
  <c r="CO336" i="11" s="1"/>
  <c r="CO19" i="11"/>
  <c r="CO311" i="11"/>
  <c r="CR434" i="11"/>
  <c r="CO432" i="11"/>
  <c r="CO433" i="11" s="1"/>
  <c r="CO273" i="11"/>
  <c r="CO15" i="11"/>
  <c r="CO16" i="11" s="1"/>
  <c r="CO357" i="11"/>
  <c r="CO63" i="11"/>
  <c r="CS12" i="11" l="1"/>
  <c r="CZ12" i="11"/>
  <c r="CO323" i="11"/>
  <c r="CO332" i="11" s="1"/>
  <c r="CS46" i="11"/>
  <c r="CS43" i="11"/>
  <c r="CO316" i="11"/>
  <c r="CS357" i="11"/>
  <c r="CS14" i="11"/>
  <c r="CS63" i="11"/>
  <c r="CS15" i="11"/>
  <c r="CS59" i="11"/>
  <c r="CO315" i="11"/>
  <c r="CO434" i="11"/>
  <c r="CO28" i="11"/>
  <c r="CO317" i="11"/>
  <c r="CO275" i="11"/>
  <c r="CR30" i="11"/>
  <c r="CR329" i="11"/>
  <c r="CO348" i="11"/>
  <c r="CO391" i="11"/>
  <c r="CY11" i="4" l="1"/>
  <c r="CY13" i="4" s="1"/>
  <c r="CS16" i="11"/>
  <c r="CO30" i="11"/>
  <c r="CO329" i="11"/>
  <c r="CY23" i="4" l="1"/>
  <c r="DF23" i="4"/>
  <c r="CR8" i="2"/>
  <c r="CR154" i="243"/>
  <c r="CY99" i="4"/>
  <c r="CY150" i="4"/>
  <c r="CY125" i="4"/>
  <c r="CU125" i="4"/>
  <c r="CU99" i="4"/>
  <c r="CU150" i="4"/>
  <c r="CU43" i="4"/>
  <c r="CU46" i="4" s="1"/>
  <c r="CU48" i="4" s="1"/>
  <c r="CN54" i="2" s="1"/>
  <c r="CU31" i="4"/>
  <c r="CR274" i="243" l="1"/>
  <c r="CR13" i="2"/>
  <c r="CR156" i="243" s="1"/>
  <c r="CR10" i="2"/>
  <c r="CR11" i="2" s="1"/>
  <c r="CR171" i="243"/>
  <c r="CR159" i="243"/>
  <c r="CR176" i="243"/>
  <c r="CR168" i="243"/>
  <c r="CR162" i="243"/>
  <c r="CR165" i="243"/>
  <c r="CR179" i="243"/>
  <c r="CR153" i="243"/>
  <c r="CN59" i="2"/>
  <c r="CN57" i="2"/>
  <c r="CU32" i="4"/>
  <c r="CN62" i="2" l="1"/>
  <c r="CN61" i="2"/>
  <c r="CN65" i="2"/>
  <c r="CN66" i="2"/>
  <c r="CN63" i="2" l="1"/>
  <c r="CU63" i="2"/>
  <c r="CY43" i="4"/>
  <c r="CY46" i="4" s="1"/>
  <c r="CY48" i="4" s="1"/>
  <c r="CR54" i="2" s="1"/>
  <c r="CY29" i="4"/>
  <c r="CY31" i="4" s="1"/>
  <c r="CR57" i="2" l="1"/>
  <c r="CR59" i="2"/>
  <c r="CY32" i="4"/>
  <c r="CP357" i="11"/>
  <c r="CV63" i="4"/>
  <c r="CR65" i="2" l="1"/>
  <c r="CR66" i="2"/>
  <c r="CR62" i="2"/>
  <c r="CR61" i="2"/>
  <c r="CV87" i="4"/>
  <c r="CV70" i="4"/>
  <c r="CV72" i="4" s="1"/>
  <c r="CQ62" i="11"/>
  <c r="CV141" i="4"/>
  <c r="CV149" i="4" s="1"/>
  <c r="CV150" i="4" s="1"/>
  <c r="CR63" i="2" l="1"/>
  <c r="CY63" i="2"/>
  <c r="CV94" i="4"/>
  <c r="CV96" i="4" s="1"/>
  <c r="CV98" i="4" s="1"/>
  <c r="CV102" i="4"/>
  <c r="CV109" i="4" s="1"/>
  <c r="CV111" i="4" s="1"/>
  <c r="CV112" i="4" s="1"/>
  <c r="CQ70" i="11"/>
  <c r="CW63" i="4"/>
  <c r="CV99" i="4" l="1"/>
  <c r="CO20" i="2"/>
  <c r="CO18" i="2" s="1"/>
  <c r="CW87" i="4"/>
  <c r="CW94" i="4" s="1"/>
  <c r="CW96" i="4" s="1"/>
  <c r="CW98" i="4" s="1"/>
  <c r="CP20" i="2" s="1"/>
  <c r="CW70" i="4"/>
  <c r="CW72" i="4" s="1"/>
  <c r="CW141" i="4"/>
  <c r="CW149" i="4" s="1"/>
  <c r="CQ71" i="11"/>
  <c r="CO13" i="2" l="1"/>
  <c r="CO156" i="243" s="1"/>
  <c r="CW58" i="4" l="1"/>
  <c r="CW60" i="4" s="1"/>
  <c r="CP22" i="2" s="1"/>
  <c r="CW102" i="4"/>
  <c r="CW109" i="4" s="1"/>
  <c r="CW111" i="4" s="1"/>
  <c r="CW112" i="4" s="1"/>
  <c r="CP18" i="2" l="1"/>
  <c r="CP27" i="2"/>
  <c r="CP38" i="2" s="1"/>
  <c r="CP41" i="2" l="1"/>
  <c r="CP42" i="2"/>
  <c r="CP46" i="2" s="1"/>
  <c r="CP3" i="242" s="1"/>
  <c r="CP21" i="242" s="1"/>
  <c r="CP45" i="242" l="1"/>
  <c r="CP49" i="242" s="1"/>
  <c r="CP42" i="242"/>
  <c r="CP48" i="2"/>
  <c r="CP51" i="2"/>
  <c r="CP47" i="2"/>
  <c r="CP56" i="242" l="1"/>
  <c r="CP61" i="242" s="1"/>
  <c r="CP58" i="242"/>
  <c r="CP60" i="242" s="1"/>
  <c r="CQ265" i="11" l="1"/>
  <c r="CQ259" i="11"/>
  <c r="CQ209" i="11"/>
  <c r="CQ214" i="11"/>
  <c r="CQ266" i="11"/>
  <c r="CQ255" i="11"/>
  <c r="CQ258" i="11"/>
  <c r="CQ215" i="11"/>
  <c r="CQ267" i="11"/>
  <c r="CQ203" i="11"/>
  <c r="CQ253" i="11"/>
  <c r="CQ205" i="11"/>
  <c r="CQ208" i="11"/>
  <c r="CQ206" i="11"/>
  <c r="CQ242" i="11"/>
  <c r="CQ207" i="11"/>
  <c r="CQ256" i="11"/>
  <c r="CQ196" i="11"/>
  <c r="CQ197" i="11"/>
  <c r="CQ243" i="11"/>
  <c r="CQ213" i="11"/>
  <c r="CQ421" i="11" l="1"/>
  <c r="CQ425" i="11"/>
  <c r="CQ426" i="11"/>
  <c r="CQ254" i="11"/>
  <c r="CQ428" i="11"/>
  <c r="CQ257" i="11"/>
  <c r="CQ244" i="11"/>
  <c r="CQ260" i="11"/>
  <c r="CQ268" i="11"/>
  <c r="CQ424" i="11"/>
  <c r="CQ430" i="11" l="1"/>
  <c r="CQ270" i="11"/>
  <c r="CS196" i="11" l="1"/>
  <c r="CS242" i="11"/>
  <c r="CS267" i="11"/>
  <c r="CS215" i="11"/>
  <c r="CS206" i="11"/>
  <c r="CS255" i="11"/>
  <c r="CS203" i="11"/>
  <c r="CS251" i="11"/>
  <c r="CS214" i="11"/>
  <c r="CS266" i="11"/>
  <c r="CS205" i="11"/>
  <c r="CS253" i="11"/>
  <c r="CS252" i="11"/>
  <c r="CS207" i="11"/>
  <c r="CS256" i="11"/>
  <c r="CS208" i="11"/>
  <c r="CS258" i="11"/>
  <c r="CS197" i="11"/>
  <c r="CS243" i="11"/>
  <c r="CS213" i="11"/>
  <c r="CS265" i="11"/>
  <c r="CS209" i="11"/>
  <c r="CS259" i="11"/>
  <c r="CS425" i="11" l="1"/>
  <c r="CS426" i="11"/>
  <c r="CS257" i="11"/>
  <c r="CS421" i="11"/>
  <c r="CS428" i="11"/>
  <c r="CS244" i="11"/>
  <c r="CS260" i="11"/>
  <c r="CS254" i="11"/>
  <c r="CS268" i="11"/>
  <c r="CS424" i="11"/>
  <c r="CS430" i="11" l="1"/>
  <c r="CS270" i="11"/>
  <c r="CP27" i="11" l="1"/>
  <c r="CQ386" i="11" l="1"/>
  <c r="CQ385" i="11" s="1"/>
  <c r="CP387" i="11"/>
  <c r="CP400" i="11" s="1"/>
  <c r="CP389" i="11" l="1"/>
  <c r="CP409" i="11"/>
  <c r="CW410" i="11" s="1"/>
  <c r="CW411" i="11" l="1"/>
  <c r="CP393" i="11"/>
  <c r="CP390" i="11"/>
  <c r="CP394" i="11" s="1"/>
  <c r="CP395" i="11" l="1"/>
  <c r="CP384" i="11" s="1"/>
  <c r="CP383" i="11" s="1"/>
  <c r="CP406" i="11" s="1"/>
  <c r="CP275" i="11" s="1"/>
  <c r="CP436" i="11" l="1"/>
  <c r="CP437" i="11" s="1"/>
  <c r="CP306" i="11"/>
  <c r="CP278" i="11"/>
  <c r="CP279" i="11"/>
  <c r="CP300" i="11"/>
  <c r="CP282" i="11"/>
  <c r="CP295" i="11"/>
  <c r="CP286" i="11"/>
  <c r="CP289" i="11"/>
  <c r="CP301" i="11"/>
  <c r="CP288" i="11"/>
  <c r="CP291" i="11"/>
  <c r="CP290" i="11"/>
  <c r="CP296" i="11"/>
  <c r="CP287" i="11"/>
  <c r="CP304" i="11"/>
  <c r="CP284" i="11"/>
  <c r="CP299" i="11"/>
  <c r="CP298" i="11"/>
  <c r="CP303" i="11"/>
  <c r="CP280" i="11"/>
  <c r="CP302" i="11"/>
  <c r="CP294" i="11"/>
  <c r="CP297" i="11"/>
  <c r="CP281" i="11"/>
  <c r="CP305" i="11"/>
  <c r="CP292" i="11"/>
  <c r="CP283" i="11"/>
  <c r="CP285" i="11"/>
  <c r="CP271" i="11"/>
  <c r="CP293" i="11"/>
  <c r="CP21" i="11" l="1"/>
  <c r="CP22" i="11"/>
  <c r="CP345" i="11"/>
  <c r="CP273" i="11"/>
  <c r="CP308" i="11" s="1"/>
  <c r="CP432" i="11"/>
  <c r="CP433" i="11" s="1"/>
  <c r="CP25" i="11"/>
  <c r="CP23" i="11"/>
  <c r="CP346" i="11"/>
  <c r="CP26" i="11"/>
  <c r="CP311" i="11"/>
  <c r="CP342" i="11"/>
  <c r="CP19" i="11"/>
  <c r="CP344" i="11"/>
  <c r="CP343" i="11"/>
  <c r="CP312" i="11"/>
  <c r="CP347" i="11"/>
  <c r="CP24" i="11"/>
  <c r="CP20" i="11"/>
  <c r="CP434" i="11" l="1"/>
  <c r="CP316" i="11"/>
  <c r="CP315" i="11"/>
  <c r="CP348" i="11"/>
  <c r="CQ11" i="11"/>
  <c r="CP309" i="11"/>
  <c r="CP217" i="11" s="1"/>
  <c r="CP317" i="11"/>
  <c r="CP28" i="11"/>
  <c r="CQ12" i="11" l="1"/>
  <c r="CX12" i="11"/>
  <c r="CQ63" i="11"/>
  <c r="CQ43" i="11"/>
  <c r="CQ46" i="11"/>
  <c r="CQ15" i="11"/>
  <c r="CQ59" i="11"/>
  <c r="CQ14" i="11"/>
  <c r="CW11" i="4"/>
  <c r="CQ357" i="11"/>
  <c r="CP30" i="11"/>
  <c r="CP329" i="11"/>
  <c r="CQ16" i="11" l="1"/>
  <c r="CW13" i="4"/>
  <c r="CW23" i="4" l="1"/>
  <c r="DD23" i="4"/>
  <c r="CP8" i="2"/>
  <c r="CP154" i="243"/>
  <c r="CW150" i="4"/>
  <c r="CW99" i="4"/>
  <c r="CW125" i="4"/>
  <c r="CP274" i="243" l="1"/>
  <c r="CP13" i="2"/>
  <c r="CP156" i="243" s="1"/>
  <c r="CP10" i="2"/>
  <c r="CP11" i="2" s="1"/>
  <c r="CP153" i="243"/>
  <c r="CP165" i="243"/>
  <c r="CP162" i="243"/>
  <c r="CP168" i="243"/>
  <c r="CP171" i="243"/>
  <c r="CP179" i="243"/>
  <c r="CP159" i="243"/>
  <c r="CP176" i="243"/>
  <c r="CW29" i="4" l="1"/>
  <c r="CW31" i="4" s="1"/>
  <c r="CW43" i="4"/>
  <c r="CW46" i="4" s="1"/>
  <c r="CW48" i="4" s="1"/>
  <c r="CP54" i="2" s="1"/>
  <c r="CP57" i="2" l="1"/>
  <c r="CP59" i="2"/>
  <c r="CW32" i="4"/>
  <c r="CP66" i="2" l="1"/>
  <c r="CP65" i="2"/>
  <c r="CP62" i="2"/>
  <c r="CP61" i="2"/>
  <c r="CP63" i="2" l="1"/>
  <c r="CW63" i="2"/>
  <c r="CS307" i="11" l="1"/>
  <c r="CT313" i="11"/>
  <c r="CT27" i="11"/>
  <c r="CT373" i="11" l="1"/>
  <c r="CQ307" i="11"/>
  <c r="CS313" i="11"/>
  <c r="CS27" i="11"/>
  <c r="CS354" i="11"/>
  <c r="CQ354" i="11" l="1"/>
  <c r="CQ27" i="11"/>
  <c r="CQ313" i="11"/>
  <c r="CT411" i="11"/>
  <c r="CT387" i="11"/>
  <c r="CT400" i="11" l="1"/>
  <c r="CT360" i="11" l="1"/>
  <c r="DA404" i="11"/>
  <c r="DA402" i="11"/>
  <c r="CT389" i="11"/>
  <c r="CS389" i="11" s="1"/>
  <c r="CQ389" i="11" s="1"/>
  <c r="CT404" i="11"/>
  <c r="CT10" i="11" s="1"/>
  <c r="CT402" i="11"/>
  <c r="CT409" i="11"/>
  <c r="DA411" i="11" s="1"/>
  <c r="DA401" i="11" l="1"/>
  <c r="DA405" i="11"/>
  <c r="CT410" i="11"/>
  <c r="CT412" i="11" s="1"/>
  <c r="CT414" i="11" s="1"/>
  <c r="CS409" i="11"/>
  <c r="CZ410" i="11" s="1"/>
  <c r="DA410" i="11"/>
  <c r="DA412" i="11" s="1"/>
  <c r="CT390" i="11"/>
  <c r="CT394" i="11" s="1"/>
  <c r="CS394" i="11" s="1"/>
  <c r="CQ394" i="11" s="1"/>
  <c r="CT393" i="11"/>
  <c r="CS393" i="11" s="1"/>
  <c r="CQ393" i="11" s="1"/>
  <c r="CS360" i="11"/>
  <c r="CQ360" i="11" s="1"/>
  <c r="CT401" i="11"/>
  <c r="CT405" i="11"/>
  <c r="CT413" i="11" l="1"/>
  <c r="CN413" i="11" s="1"/>
  <c r="DA414" i="11"/>
  <c r="DA413" i="11"/>
  <c r="CS390" i="11"/>
  <c r="CQ390" i="11" s="1"/>
  <c r="CQ395" i="11"/>
  <c r="CQ436" i="11" s="1"/>
  <c r="CQ437" i="11" s="1"/>
  <c r="CT395" i="11"/>
  <c r="CT396" i="11" s="1"/>
  <c r="CS395" i="11"/>
  <c r="CS436" i="11" s="1"/>
  <c r="CS437" i="11" s="1"/>
  <c r="CT651" i="11" l="1"/>
  <c r="CQ384" i="11"/>
  <c r="CQ383" i="11" s="1"/>
  <c r="CP413" i="11"/>
  <c r="CT436" i="11"/>
  <c r="CT437" i="11" s="1"/>
  <c r="CR413" i="11"/>
  <c r="CS413" i="11" s="1"/>
  <c r="CT384" i="11"/>
  <c r="CT383" i="11" s="1"/>
  <c r="CS384" i="11"/>
  <c r="CS383" i="11" s="1"/>
  <c r="CP361" i="11"/>
  <c r="CP363" i="11" s="1"/>
  <c r="CN361" i="11"/>
  <c r="CN363" i="11" s="1"/>
  <c r="CT377" i="11"/>
  <c r="CQ413" i="11" l="1"/>
  <c r="CO413" i="11"/>
  <c r="CT406" i="11"/>
  <c r="CN362" i="11"/>
  <c r="CU366" i="11"/>
  <c r="CR361" i="11"/>
  <c r="CR363" i="11" s="1"/>
  <c r="CW366" i="11"/>
  <c r="CP362" i="11"/>
  <c r="DA636" i="11" l="1"/>
  <c r="DA678" i="11" s="1"/>
  <c r="DA635" i="11"/>
  <c r="DA677" i="11" s="1"/>
  <c r="CT407" i="11"/>
  <c r="DA630" i="11"/>
  <c r="DA633" i="11"/>
  <c r="DA675" i="11" s="1"/>
  <c r="DA638" i="11"/>
  <c r="DA680" i="11" s="1"/>
  <c r="CT639" i="11"/>
  <c r="CT643" i="11" s="1"/>
  <c r="CT275" i="11"/>
  <c r="DA631" i="11"/>
  <c r="DA627" i="11"/>
  <c r="DA669" i="11" s="1"/>
  <c r="DA632" i="11"/>
  <c r="DA640" i="11"/>
  <c r="DA440" i="11" s="1"/>
  <c r="DA682" i="11" s="1"/>
  <c r="DA629" i="11"/>
  <c r="DA628" i="11"/>
  <c r="DA670" i="11" s="1"/>
  <c r="DA626" i="11"/>
  <c r="DA668" i="11" s="1"/>
  <c r="DA637" i="11"/>
  <c r="DA679" i="11" s="1"/>
  <c r="DA634" i="11"/>
  <c r="DA676" i="11" s="1"/>
  <c r="DA625" i="11"/>
  <c r="CY366" i="11"/>
  <c r="CO361" i="11"/>
  <c r="CO363" i="11" s="1"/>
  <c r="CR362" i="11"/>
  <c r="CT305" i="11" l="1"/>
  <c r="CT300" i="11"/>
  <c r="CS300" i="11" s="1"/>
  <c r="CQ300" i="11" s="1"/>
  <c r="CT282" i="11"/>
  <c r="CS282" i="11" s="1"/>
  <c r="CQ282" i="11" s="1"/>
  <c r="CT281" i="11"/>
  <c r="CT298" i="11"/>
  <c r="CS298" i="11" s="1"/>
  <c r="CQ298" i="11" s="1"/>
  <c r="CT292" i="11"/>
  <c r="CS292" i="11" s="1"/>
  <c r="CQ292" i="11" s="1"/>
  <c r="CT296" i="11"/>
  <c r="CT286" i="11"/>
  <c r="CT301" i="11"/>
  <c r="CS301" i="11" s="1"/>
  <c r="CQ301" i="11" s="1"/>
  <c r="CT288" i="11"/>
  <c r="CS288" i="11" s="1"/>
  <c r="CQ288" i="11" s="1"/>
  <c r="CT291" i="11"/>
  <c r="CS291" i="11" s="1"/>
  <c r="CQ291" i="11" s="1"/>
  <c r="CT297" i="11"/>
  <c r="CS297" i="11" s="1"/>
  <c r="CQ297" i="11" s="1"/>
  <c r="CT283" i="11"/>
  <c r="CS283" i="11" s="1"/>
  <c r="CQ283" i="11" s="1"/>
  <c r="CT293" i="11"/>
  <c r="CT278" i="11"/>
  <c r="CS278" i="11" s="1"/>
  <c r="CQ278" i="11" s="1"/>
  <c r="CT287" i="11"/>
  <c r="CT271" i="11"/>
  <c r="CT294" i="11"/>
  <c r="CS294" i="11" s="1"/>
  <c r="CQ294" i="11" s="1"/>
  <c r="CT295" i="11"/>
  <c r="CS295" i="11" s="1"/>
  <c r="CQ295" i="11" s="1"/>
  <c r="CT303" i="11"/>
  <c r="CS303" i="11" s="1"/>
  <c r="CQ303" i="11" s="1"/>
  <c r="CT279" i="11"/>
  <c r="CS279" i="11" s="1"/>
  <c r="CQ279" i="11" s="1"/>
  <c r="CT284" i="11"/>
  <c r="CS284" i="11" s="1"/>
  <c r="CQ284" i="11" s="1"/>
  <c r="CT306" i="11"/>
  <c r="CT302" i="11"/>
  <c r="CS302" i="11" s="1"/>
  <c r="CQ302" i="11" s="1"/>
  <c r="CT289" i="11"/>
  <c r="CT304" i="11"/>
  <c r="CT290" i="11"/>
  <c r="CT299" i="11"/>
  <c r="CS299" i="11" s="1"/>
  <c r="CQ299" i="11" s="1"/>
  <c r="CT285" i="11"/>
  <c r="CS285" i="11" s="1"/>
  <c r="CQ285" i="11" s="1"/>
  <c r="CT280" i="11"/>
  <c r="CT645" i="11"/>
  <c r="CT644" i="11" s="1"/>
  <c r="CO362" i="11"/>
  <c r="CV366" i="11"/>
  <c r="CT272" i="11" l="1"/>
  <c r="CT273" i="11"/>
  <c r="CS287" i="11"/>
  <c r="CQ287" i="11" s="1"/>
  <c r="CT343" i="11"/>
  <c r="CT20" i="11"/>
  <c r="CS286" i="11"/>
  <c r="CT312" i="11"/>
  <c r="CS281" i="11"/>
  <c r="CT346" i="11"/>
  <c r="CT23" i="11"/>
  <c r="CS296" i="11"/>
  <c r="CT21" i="11"/>
  <c r="CS290" i="11"/>
  <c r="CS306" i="11"/>
  <c r="CT26" i="11"/>
  <c r="CT19" i="11"/>
  <c r="CT342" i="11"/>
  <c r="CS280" i="11"/>
  <c r="CT311" i="11"/>
  <c r="CS293" i="11"/>
  <c r="CT22" i="11"/>
  <c r="CT345" i="11"/>
  <c r="CT649" i="11"/>
  <c r="CT647" i="11"/>
  <c r="CT648" i="11" s="1"/>
  <c r="CT24" i="11"/>
  <c r="CS304" i="11"/>
  <c r="CT347" i="11"/>
  <c r="CS289" i="11"/>
  <c r="CQ289" i="11" s="1"/>
  <c r="CT344" i="11"/>
  <c r="CS271" i="11"/>
  <c r="CS273" i="11" s="1"/>
  <c r="CT432" i="11"/>
  <c r="CT433" i="11" s="1"/>
  <c r="CT25" i="11"/>
  <c r="CS305" i="11"/>
  <c r="CT434" i="11" l="1"/>
  <c r="CT654" i="11"/>
  <c r="CT443" i="11" s="1"/>
  <c r="CT403" i="11"/>
  <c r="CT656" i="11"/>
  <c r="CT445" i="11" s="1"/>
  <c r="CT652" i="11"/>
  <c r="CT308" i="11"/>
  <c r="CT316" i="11" s="1"/>
  <c r="CT653" i="11"/>
  <c r="CT442" i="11" s="1"/>
  <c r="CT655" i="11"/>
  <c r="CT444" i="11" s="1"/>
  <c r="CT657" i="11"/>
  <c r="CT446" i="11" s="1"/>
  <c r="CS24" i="11"/>
  <c r="CQ304" i="11"/>
  <c r="CQ24" i="11" s="1"/>
  <c r="CT370" i="11"/>
  <c r="CS345" i="11"/>
  <c r="CS19" i="11"/>
  <c r="CS311" i="11"/>
  <c r="CQ280" i="11"/>
  <c r="CS26" i="11"/>
  <c r="CQ306" i="11"/>
  <c r="CQ26" i="11" s="1"/>
  <c r="CQ286" i="11"/>
  <c r="CQ20" i="11" s="1"/>
  <c r="CS20" i="11"/>
  <c r="CT369" i="11"/>
  <c r="CS344" i="11"/>
  <c r="CS342" i="11"/>
  <c r="CT367" i="11"/>
  <c r="CT348" i="11"/>
  <c r="CQ290" i="11"/>
  <c r="CQ21" i="11" s="1"/>
  <c r="CS21" i="11"/>
  <c r="CT371" i="11"/>
  <c r="CS346" i="11"/>
  <c r="CQ293" i="11"/>
  <c r="CQ22" i="11" s="1"/>
  <c r="CS22" i="11"/>
  <c r="CQ281" i="11"/>
  <c r="CS312" i="11"/>
  <c r="CT368" i="11"/>
  <c r="CS343" i="11"/>
  <c r="CQ305" i="11"/>
  <c r="CQ25" i="11" s="1"/>
  <c r="CS25" i="11"/>
  <c r="CS432" i="11"/>
  <c r="CS433" i="11" s="1"/>
  <c r="CQ271" i="11"/>
  <c r="CQ273" i="11" s="1"/>
  <c r="CS347" i="11"/>
  <c r="CT372" i="11"/>
  <c r="CQ296" i="11"/>
  <c r="CQ23" i="11" s="1"/>
  <c r="CS23" i="11"/>
  <c r="CT349" i="11" l="1"/>
  <c r="CT350" i="11"/>
  <c r="CT361" i="11"/>
  <c r="CT363" i="11" s="1"/>
  <c r="CT376" i="11"/>
  <c r="CT378" i="11" s="1"/>
  <c r="CQ347" i="11"/>
  <c r="CQ328" i="11" s="1"/>
  <c r="CQ337" i="11" s="1"/>
  <c r="CS328" i="11"/>
  <c r="CS337" i="11" s="1"/>
  <c r="CS434" i="11"/>
  <c r="CQ343" i="11"/>
  <c r="CQ324" i="11" s="1"/>
  <c r="CQ333" i="11" s="1"/>
  <c r="CS324" i="11"/>
  <c r="CS333" i="11" s="1"/>
  <c r="CQ19" i="11"/>
  <c r="CQ311" i="11"/>
  <c r="CT658" i="11"/>
  <c r="CT448" i="11" s="1"/>
  <c r="CT449" i="11" s="1"/>
  <c r="CT441" i="11"/>
  <c r="CQ342" i="11"/>
  <c r="CQ323" i="11" s="1"/>
  <c r="CQ332" i="11" s="1"/>
  <c r="CS323" i="11"/>
  <c r="CS332" i="11" s="1"/>
  <c r="CQ432" i="11"/>
  <c r="CQ433" i="11" s="1"/>
  <c r="CQ346" i="11"/>
  <c r="CQ327" i="11" s="1"/>
  <c r="CQ336" i="11" s="1"/>
  <c r="CS327" i="11"/>
  <c r="CS336" i="11" s="1"/>
  <c r="CT30" i="11"/>
  <c r="CS348" i="11"/>
  <c r="CT329" i="11"/>
  <c r="CS325" i="11"/>
  <c r="CS334" i="11" s="1"/>
  <c r="CQ344" i="11"/>
  <c r="CQ325" i="11" s="1"/>
  <c r="CQ334" i="11" s="1"/>
  <c r="CQ312" i="11"/>
  <c r="CS326" i="11"/>
  <c r="CS335" i="11" s="1"/>
  <c r="CQ345" i="11"/>
  <c r="CQ326" i="11" s="1"/>
  <c r="CQ335" i="11" s="1"/>
  <c r="CT315" i="11"/>
  <c r="CS308" i="11"/>
  <c r="CS275" i="11" s="1"/>
  <c r="CT317" i="11"/>
  <c r="CT28" i="11"/>
  <c r="CT309" i="11"/>
  <c r="CT217" i="11" s="1"/>
  <c r="CW376" i="11" l="1"/>
  <c r="DA376" i="11"/>
  <c r="CU376" i="11"/>
  <c r="CT659" i="11"/>
  <c r="CS387" i="11"/>
  <c r="CS400" i="11" s="1"/>
  <c r="CS406" i="11" s="1"/>
  <c r="CT362" i="11"/>
  <c r="DA366" i="11"/>
  <c r="CS361" i="11"/>
  <c r="CS363" i="11" s="1"/>
  <c r="CS316" i="11"/>
  <c r="CS315" i="11"/>
  <c r="CS317" i="11"/>
  <c r="CS309" i="11"/>
  <c r="CS217" i="11" s="1"/>
  <c r="CQ308" i="11"/>
  <c r="CQ315" i="11" s="1"/>
  <c r="CS28" i="11"/>
  <c r="CQ434" i="11"/>
  <c r="CT451" i="11"/>
  <c r="CT452" i="11" s="1"/>
  <c r="CT447" i="11"/>
  <c r="CT462" i="11" s="1"/>
  <c r="CT379" i="11"/>
  <c r="CS30" i="11"/>
  <c r="CQ348" i="11"/>
  <c r="CS329" i="11"/>
  <c r="CZ359" i="11" l="1"/>
  <c r="CV376" i="11"/>
  <c r="CY376" i="11"/>
  <c r="DB376" i="11"/>
  <c r="DH376" i="11"/>
  <c r="DD376" i="11"/>
  <c r="CQ316" i="11"/>
  <c r="CQ329" i="11"/>
  <c r="CQ30" i="11"/>
  <c r="CQ28" i="11"/>
  <c r="CQ309" i="11"/>
  <c r="CQ217" i="11" s="1"/>
  <c r="CQ317" i="11"/>
  <c r="CQ275" i="11"/>
  <c r="CQ387" i="11"/>
  <c r="CQ400" i="11" s="1"/>
  <c r="CQ406" i="11" s="1"/>
  <c r="CZ366" i="11"/>
  <c r="CS362" i="11"/>
  <c r="CQ361" i="11"/>
  <c r="CQ363" i="11" s="1"/>
  <c r="DO376" i="11" l="1"/>
  <c r="DI376" i="11"/>
  <c r="DN359" i="11"/>
  <c r="DK359" i="11" s="1"/>
  <c r="DK376" i="11" s="1"/>
  <c r="DG359" i="11"/>
  <c r="DF376" i="11"/>
  <c r="DC376" i="11"/>
  <c r="CQ409" i="11"/>
  <c r="CX410" i="11" s="1"/>
  <c r="CX359" i="11"/>
  <c r="CX376" i="11" s="1"/>
  <c r="CZ376" i="11"/>
  <c r="CS391" i="11"/>
  <c r="CX366" i="11"/>
  <c r="CQ362" i="11"/>
  <c r="DG376" i="11" l="1"/>
  <c r="DE359" i="11"/>
  <c r="DE376" i="11" s="1"/>
  <c r="DL359" i="11"/>
  <c r="DN376" i="11"/>
  <c r="DM376" i="11"/>
  <c r="DJ359" i="11"/>
  <c r="DJ376" i="11" s="1"/>
  <c r="DV376" i="11"/>
  <c r="DT359" i="11"/>
  <c r="DR359" i="11"/>
  <c r="DR376" i="11" s="1"/>
  <c r="DP359" i="11"/>
  <c r="DP376" i="11" s="1"/>
  <c r="CQ391" i="11"/>
  <c r="DL376" i="11" l="1"/>
  <c r="EA359" i="11"/>
  <c r="DY359" i="11"/>
  <c r="DY376" i="11" s="1"/>
  <c r="EC376" i="11"/>
  <c r="DW359" i="11"/>
  <c r="DW376" i="11" s="1"/>
  <c r="DU359" i="11"/>
  <c r="DQ359" i="11"/>
  <c r="DQ376" i="11" s="1"/>
  <c r="DT376" i="11"/>
  <c r="DS359" i="11" l="1"/>
  <c r="DS376" i="11" s="1"/>
  <c r="DU376" i="11"/>
  <c r="EB359" i="11"/>
  <c r="EA376" i="11"/>
  <c r="DX359" i="11"/>
  <c r="DX376" i="11" s="1"/>
  <c r="ED359" i="11"/>
  <c r="ED376" i="11" s="1"/>
  <c r="EJ376" i="11"/>
  <c r="EH359" i="11"/>
  <c r="EF359" i="11"/>
  <c r="EF376" i="11" s="1"/>
  <c r="EB376" i="11" l="1"/>
  <c r="DZ359" i="11"/>
  <c r="DZ376" i="11" s="1"/>
  <c r="EM359" i="11"/>
  <c r="EM376" i="11" s="1"/>
  <c r="EQ376" i="11"/>
  <c r="EK359" i="11"/>
  <c r="EK376" i="11" s="1"/>
  <c r="EO359" i="11"/>
  <c r="EP359" i="11" s="1"/>
  <c r="EI359" i="11"/>
  <c r="EH376" i="11"/>
  <c r="EE359" i="11"/>
  <c r="EE376" i="11" s="1"/>
  <c r="EG359" i="11" l="1"/>
  <c r="EG376" i="11" s="1"/>
  <c r="EI376" i="11"/>
  <c r="EN359" i="11"/>
  <c r="EP376" i="11"/>
  <c r="EL359" i="11"/>
  <c r="EL376" i="11" s="1"/>
  <c r="EO376" i="11"/>
  <c r="EN376" i="11" l="1"/>
  <c r="CU374" i="11"/>
  <c r="DA112" i="4" l="1"/>
  <c r="CS78" i="243" l="1"/>
  <c r="CS65" i="243"/>
  <c r="CS72" i="243" s="1"/>
  <c r="CZ69" i="243" s="1"/>
  <c r="CZ71" i="243" l="1"/>
  <c r="CZ73" i="243"/>
  <c r="DA76" i="243"/>
  <c r="DA79" i="243" s="1"/>
  <c r="DE76" i="243"/>
  <c r="DE79" i="243" s="1"/>
  <c r="DE65" i="243" s="1"/>
  <c r="CS73" i="243"/>
  <c r="CS64" i="243"/>
  <c r="CS71" i="243"/>
  <c r="DA65" i="243" l="1"/>
  <c r="DB76" i="243"/>
  <c r="DB79" i="243" s="1"/>
  <c r="DA69" i="243"/>
  <c r="DA72" i="243" s="1"/>
  <c r="DE69" i="243"/>
  <c r="DE72" i="243" s="1"/>
  <c r="DN76" i="243"/>
  <c r="DN79" i="243" s="1"/>
  <c r="DE64" i="243" l="1"/>
  <c r="DE66" i="243" s="1"/>
  <c r="DE85" i="243" s="1"/>
  <c r="DS76" i="243"/>
  <c r="DS79" i="243" s="1"/>
  <c r="DO76" i="243"/>
  <c r="DO79" i="243" s="1"/>
  <c r="DM76" i="243"/>
  <c r="DM79" i="243" s="1"/>
  <c r="DM65" i="243" s="1"/>
  <c r="DB65" i="243"/>
  <c r="DC76" i="243"/>
  <c r="DC79" i="243" s="1"/>
  <c r="DE73" i="243"/>
  <c r="DN65" i="243"/>
  <c r="DU76" i="243"/>
  <c r="DU79" i="243" s="1"/>
  <c r="V72" i="139"/>
  <c r="DN69" i="243"/>
  <c r="DN72" i="243" s="1"/>
  <c r="DM69" i="243" l="1"/>
  <c r="DM72" i="243" s="1"/>
  <c r="DO65" i="243"/>
  <c r="DP76" i="243"/>
  <c r="DP79" i="243" s="1"/>
  <c r="DS69" i="243"/>
  <c r="DS72" i="243" s="1"/>
  <c r="DO69" i="243"/>
  <c r="DO72" i="243" s="1"/>
  <c r="DZ76" i="243"/>
  <c r="DZ79" i="243" s="1"/>
  <c r="DV76" i="243"/>
  <c r="DV79" i="243" s="1"/>
  <c r="DJ76" i="243"/>
  <c r="DJ79" i="243" s="1"/>
  <c r="DT76" i="243"/>
  <c r="DT79" i="243" s="1"/>
  <c r="DT65" i="243" s="1"/>
  <c r="DS65" i="243"/>
  <c r="DC65" i="243"/>
  <c r="DD76" i="243"/>
  <c r="DD79" i="243" s="1"/>
  <c r="DD65" i="243" s="1"/>
  <c r="DU69" i="243"/>
  <c r="DU72" i="243" s="1"/>
  <c r="DN73" i="243"/>
  <c r="DN64" i="243"/>
  <c r="DN66" i="243" s="1"/>
  <c r="W72" i="139"/>
  <c r="DU65" i="243"/>
  <c r="EB76" i="243"/>
  <c r="EB79" i="243" s="1"/>
  <c r="EC76" i="243" l="1"/>
  <c r="EC79" i="243" s="1"/>
  <c r="EG76" i="243"/>
  <c r="EG79" i="243" s="1"/>
  <c r="DW76" i="243"/>
  <c r="DW79" i="243" s="1"/>
  <c r="DV65" i="243"/>
  <c r="DP65" i="243"/>
  <c r="DQ76" i="243"/>
  <c r="DQ79" i="243" s="1"/>
  <c r="DZ65" i="243"/>
  <c r="EA76" i="243"/>
  <c r="EA79" i="243" s="1"/>
  <c r="EA65" i="243" s="1"/>
  <c r="DM73" i="243"/>
  <c r="DM64" i="243"/>
  <c r="DM66" i="243" s="1"/>
  <c r="DP69" i="243"/>
  <c r="DP72" i="243" s="1"/>
  <c r="DO73" i="243"/>
  <c r="DO64" i="243"/>
  <c r="DO66" i="243" s="1"/>
  <c r="DJ69" i="243"/>
  <c r="DJ72" i="243" s="1"/>
  <c r="DZ69" i="243"/>
  <c r="DZ72" i="243" s="1"/>
  <c r="DV69" i="243"/>
  <c r="DV72" i="243" s="1"/>
  <c r="DJ65" i="243"/>
  <c r="DK76" i="243"/>
  <c r="DK79" i="243" s="1"/>
  <c r="DK65" i="243" s="1"/>
  <c r="DS64" i="243"/>
  <c r="DS66" i="243" s="1"/>
  <c r="DS73" i="243"/>
  <c r="DT69" i="243"/>
  <c r="DT72" i="243" s="1"/>
  <c r="DU64" i="243"/>
  <c r="DU66" i="243" s="1"/>
  <c r="EB69" i="243"/>
  <c r="EB72" i="243" s="1"/>
  <c r="DU73" i="243"/>
  <c r="EB65" i="243"/>
  <c r="EI76" i="243"/>
  <c r="EI79" i="243" s="1"/>
  <c r="X72" i="139"/>
  <c r="DZ73" i="243" l="1"/>
  <c r="EA69" i="243"/>
  <c r="EA72" i="243" s="1"/>
  <c r="DZ64" i="243"/>
  <c r="DZ66" i="243" s="1"/>
  <c r="DX76" i="243"/>
  <c r="DX79" i="243" s="1"/>
  <c r="DW65" i="243"/>
  <c r="EJ76" i="243"/>
  <c r="EJ79" i="243" s="1"/>
  <c r="EN76" i="243"/>
  <c r="EN79" i="243" s="1"/>
  <c r="DT73" i="243"/>
  <c r="DT64" i="243"/>
  <c r="DT66" i="243" s="1"/>
  <c r="DJ64" i="243"/>
  <c r="DJ66" i="243" s="1"/>
  <c r="DJ73" i="243"/>
  <c r="DK69" i="243"/>
  <c r="DK72" i="243" s="1"/>
  <c r="DP73" i="243"/>
  <c r="DQ69" i="243"/>
  <c r="DQ72" i="243" s="1"/>
  <c r="DP64" i="243"/>
  <c r="DP66" i="243" s="1"/>
  <c r="EH76" i="243"/>
  <c r="EH79" i="243" s="1"/>
  <c r="EH65" i="243" s="1"/>
  <c r="EG65" i="243"/>
  <c r="EG69" i="243"/>
  <c r="EG72" i="243" s="1"/>
  <c r="EC69" i="243"/>
  <c r="EC72" i="243" s="1"/>
  <c r="DR76" i="243"/>
  <c r="DR79" i="243" s="1"/>
  <c r="DR65" i="243" s="1"/>
  <c r="DQ65" i="243"/>
  <c r="DW69" i="243"/>
  <c r="DW72" i="243" s="1"/>
  <c r="DV64" i="243"/>
  <c r="DV66" i="243" s="1"/>
  <c r="DV73" i="243"/>
  <c r="ED76" i="243"/>
  <c r="ED79" i="243" s="1"/>
  <c r="EC65" i="243"/>
  <c r="EI69" i="243"/>
  <c r="EI72" i="243" s="1"/>
  <c r="EB73" i="243"/>
  <c r="EB64" i="243"/>
  <c r="EB66" i="243" s="1"/>
  <c r="EI65" i="243"/>
  <c r="EP76" i="243"/>
  <c r="EP79" i="243" s="1"/>
  <c r="EP65" i="243" s="1"/>
  <c r="Y72" i="139"/>
  <c r="EJ69" i="243" l="1"/>
  <c r="EJ72" i="243" s="1"/>
  <c r="EN69" i="243"/>
  <c r="EN72" i="243" s="1"/>
  <c r="DK64" i="243"/>
  <c r="DK66" i="243" s="1"/>
  <c r="DK73" i="243"/>
  <c r="DY76" i="243"/>
  <c r="DY79" i="243" s="1"/>
  <c r="DY65" i="243" s="1"/>
  <c r="DX65" i="243"/>
  <c r="EO76" i="243"/>
  <c r="EO79" i="243" s="1"/>
  <c r="EO65" i="243" s="1"/>
  <c r="EN65" i="243"/>
  <c r="ED69" i="243"/>
  <c r="ED72" i="243" s="1"/>
  <c r="EC64" i="243"/>
  <c r="EC66" i="243" s="1"/>
  <c r="EC73" i="243"/>
  <c r="DX69" i="243"/>
  <c r="DX72" i="243" s="1"/>
  <c r="DW64" i="243"/>
  <c r="DW66" i="243" s="1"/>
  <c r="DW73" i="243"/>
  <c r="DQ64" i="243"/>
  <c r="DQ66" i="243" s="1"/>
  <c r="DR69" i="243"/>
  <c r="DR72" i="243" s="1"/>
  <c r="DQ73" i="243"/>
  <c r="EK76" i="243"/>
  <c r="EK79" i="243" s="1"/>
  <c r="EJ65" i="243"/>
  <c r="EA73" i="243"/>
  <c r="EA64" i="243"/>
  <c r="EA66" i="243" s="1"/>
  <c r="EH69" i="243"/>
  <c r="EH72" i="243" s="1"/>
  <c r="EG64" i="243"/>
  <c r="EG66" i="243" s="1"/>
  <c r="EG73" i="243"/>
  <c r="EE76" i="243"/>
  <c r="EE79" i="243" s="1"/>
  <c r="ED65" i="243"/>
  <c r="EI73" i="243"/>
  <c r="EI64" i="243"/>
  <c r="EI66" i="243" s="1"/>
  <c r="EP69" i="243"/>
  <c r="EP72" i="243" s="1"/>
  <c r="Z72" i="139"/>
  <c r="DR64" i="243" l="1"/>
  <c r="DR66" i="243" s="1"/>
  <c r="DR73" i="243"/>
  <c r="DY69" i="243"/>
  <c r="DY72" i="243" s="1"/>
  <c r="DX73" i="243"/>
  <c r="DX64" i="243"/>
  <c r="DX66" i="243" s="1"/>
  <c r="EO69" i="243"/>
  <c r="EO72" i="243" s="1"/>
  <c r="EN64" i="243"/>
  <c r="EN66" i="243" s="1"/>
  <c r="EN73" i="243"/>
  <c r="EH64" i="243"/>
  <c r="EH66" i="243" s="1"/>
  <c r="EH73" i="243"/>
  <c r="EL76" i="243"/>
  <c r="EL79" i="243" s="1"/>
  <c r="EK65" i="243"/>
  <c r="EE65" i="243"/>
  <c r="EF76" i="243"/>
  <c r="EF79" i="243" s="1"/>
  <c r="EF65" i="243" s="1"/>
  <c r="ED64" i="243"/>
  <c r="ED66" i="243" s="1"/>
  <c r="EE69" i="243"/>
  <c r="EE72" i="243" s="1"/>
  <c r="ED73" i="243"/>
  <c r="EJ64" i="243"/>
  <c r="EJ66" i="243" s="1"/>
  <c r="EK69" i="243"/>
  <c r="EK72" i="243" s="1"/>
  <c r="EJ73" i="243"/>
  <c r="EP73" i="243"/>
  <c r="EP64" i="243"/>
  <c r="EP66" i="243" s="1"/>
  <c r="AA72" i="139"/>
  <c r="EE64" i="243" l="1"/>
  <c r="EE66" i="243" s="1"/>
  <c r="EF69" i="243"/>
  <c r="EF72" i="243" s="1"/>
  <c r="EE73" i="243"/>
  <c r="DY73" i="243"/>
  <c r="DY64" i="243"/>
  <c r="DY66" i="243" s="1"/>
  <c r="EK73" i="243"/>
  <c r="EL69" i="243"/>
  <c r="EL72" i="243" s="1"/>
  <c r="EK64" i="243"/>
  <c r="EK66" i="243" s="1"/>
  <c r="EO73" i="243"/>
  <c r="EO64" i="243"/>
  <c r="EO66" i="243" s="1"/>
  <c r="EM76" i="243"/>
  <c r="EM79" i="243" s="1"/>
  <c r="EM65" i="243" s="1"/>
  <c r="EL65" i="243"/>
  <c r="AB72" i="139"/>
  <c r="EL64" i="243" l="1"/>
  <c r="EL66" i="243" s="1"/>
  <c r="EM69" i="243"/>
  <c r="EM72" i="243" s="1"/>
  <c r="EL73" i="243"/>
  <c r="EF73" i="243"/>
  <c r="EF64" i="243"/>
  <c r="EF66" i="243" s="1"/>
  <c r="EM73" i="243" l="1"/>
  <c r="EM64" i="243"/>
  <c r="EM66" i="243" s="1"/>
  <c r="CU377" i="11"/>
  <c r="DA476" i="11" l="1"/>
  <c r="DA465" i="11" s="1"/>
  <c r="CS212" i="4" l="1"/>
  <c r="CS214" i="4" s="1"/>
  <c r="CS163" i="4" s="1"/>
  <c r="CS167" i="4" s="1"/>
  <c r="DG213" i="4"/>
  <c r="DG203" i="4"/>
  <c r="DG206" i="4" s="1"/>
  <c r="DG208" i="4" s="1"/>
  <c r="CZ122" i="11"/>
  <c r="CZ256" i="11" s="1"/>
  <c r="CZ257" i="11" s="1"/>
  <c r="CZ270" i="11" s="1"/>
  <c r="CW256" i="11" l="1"/>
  <c r="CY425" i="11"/>
  <c r="CY430" i="11" s="1"/>
  <c r="DA425" i="11"/>
  <c r="DA518" i="11"/>
  <c r="DA143" i="11"/>
  <c r="DA161" i="11" l="1"/>
  <c r="DA153" i="11"/>
  <c r="DA152" i="11"/>
  <c r="DA159" i="11"/>
  <c r="DA151" i="11"/>
  <c r="DA158" i="11"/>
  <c r="DA165" i="11"/>
  <c r="DA149" i="11"/>
  <c r="DA148" i="11"/>
  <c r="DA156" i="11"/>
  <c r="DA163" i="11"/>
  <c r="DA155" i="11"/>
  <c r="DA162" i="11"/>
  <c r="DA150" i="11"/>
  <c r="DA157" i="11"/>
  <c r="DA160" i="11"/>
  <c r="DA164" i="11"/>
  <c r="DA154" i="11"/>
  <c r="DA145" i="11"/>
  <c r="CZ84" i="2"/>
  <c r="DA144" i="11"/>
  <c r="CX122" i="11"/>
  <c r="DA466" i="11"/>
  <c r="DA467" i="11" s="1"/>
  <c r="DA430" i="11"/>
  <c r="CZ425" i="11"/>
  <c r="CZ430" i="11" s="1"/>
  <c r="DA74" i="11"/>
  <c r="CY431" i="11"/>
  <c r="CW425" i="11"/>
  <c r="CW430" i="11" s="1"/>
  <c r="CW257" i="11"/>
  <c r="CX256" i="11" l="1"/>
  <c r="CX257" i="11" s="1"/>
  <c r="CX270" i="11" s="1"/>
  <c r="CZ431" i="11"/>
  <c r="CW270" i="11"/>
  <c r="DA431" i="11"/>
  <c r="DD431" i="11"/>
  <c r="CW431" i="11"/>
  <c r="CX425" i="11" l="1"/>
  <c r="CX430" i="11" s="1"/>
  <c r="CX431" i="11" s="1"/>
  <c r="DE63" i="4" l="1"/>
  <c r="DE87" i="4" l="1"/>
  <c r="DE70" i="4"/>
  <c r="DE72" i="4" s="1"/>
  <c r="CU414" i="11"/>
  <c r="DE141" i="4"/>
  <c r="DE149" i="4" s="1"/>
  <c r="DE150" i="4" s="1"/>
  <c r="DB63" i="4"/>
  <c r="DE16" i="4"/>
  <c r="CY374" i="11"/>
  <c r="DB87" i="4" l="1"/>
  <c r="DB70" i="4"/>
  <c r="DB72" i="4" s="1"/>
  <c r="DE94" i="4"/>
  <c r="DE96" i="4" s="1"/>
  <c r="DE98" i="4" s="1"/>
  <c r="DE102" i="4"/>
  <c r="DE109" i="4" s="1"/>
  <c r="DE111" i="4" s="1"/>
  <c r="CW377" i="11"/>
  <c r="CV374" i="11"/>
  <c r="DB141" i="4"/>
  <c r="DB149" i="4" s="1"/>
  <c r="DB150" i="4" s="1"/>
  <c r="DE99" i="4" l="1"/>
  <c r="CX20" i="2"/>
  <c r="CX18" i="2" s="1"/>
  <c r="DB94" i="4"/>
  <c r="DB96" i="4" s="1"/>
  <c r="DB98" i="4" s="1"/>
  <c r="DB102" i="4"/>
  <c r="DB109" i="4" s="1"/>
  <c r="DB111" i="4" s="1"/>
  <c r="CV377" i="11"/>
  <c r="CY377" i="11"/>
  <c r="DG211" i="4" l="1"/>
  <c r="CX13" i="2"/>
  <c r="CX156" i="243" s="1"/>
  <c r="DB99" i="4"/>
  <c r="CU20" i="2"/>
  <c r="CU18" i="2" s="1"/>
  <c r="DG63" i="4"/>
  <c r="DG87" i="4" s="1"/>
  <c r="V85" i="139"/>
  <c r="DA374" i="11"/>
  <c r="CZ356" i="11"/>
  <c r="DG94" i="4" l="1"/>
  <c r="DG96" i="4" s="1"/>
  <c r="DG98" i="4" s="1"/>
  <c r="DG102" i="4"/>
  <c r="CU13" i="2"/>
  <c r="CU156" i="243" s="1"/>
  <c r="CZ374" i="11"/>
  <c r="CY47" i="11"/>
  <c r="DG141" i="4"/>
  <c r="DG162" i="4" s="1"/>
  <c r="DG70" i="4"/>
  <c r="DG72" i="4" s="1"/>
  <c r="CZ85" i="2"/>
  <c r="DF63" i="4"/>
  <c r="DF87" i="4" s="1"/>
  <c r="DA646" i="11"/>
  <c r="DG99" i="4" l="1"/>
  <c r="CZ116" i="243"/>
  <c r="CZ20" i="2"/>
  <c r="CZ18" i="2" s="1"/>
  <c r="CZ13" i="2" s="1"/>
  <c r="DF94" i="4"/>
  <c r="DF96" i="4" s="1"/>
  <c r="DF98" i="4" s="1"/>
  <c r="DF102" i="4"/>
  <c r="DF109" i="4" s="1"/>
  <c r="DF111" i="4" s="1"/>
  <c r="DG161" i="4"/>
  <c r="DG109" i="4"/>
  <c r="DG111" i="4" s="1"/>
  <c r="DF70" i="4"/>
  <c r="DF72" i="4" s="1"/>
  <c r="V88" i="139"/>
  <c r="V91" i="139"/>
  <c r="V97" i="139" s="1"/>
  <c r="DF141" i="4"/>
  <c r="DF149" i="4" s="1"/>
  <c r="DG149" i="4"/>
  <c r="CZ108" i="243" s="1"/>
  <c r="CZ121" i="243" s="1"/>
  <c r="DG112" i="4" l="1"/>
  <c r="DN112" i="4"/>
  <c r="DF112" i="4"/>
  <c r="DM112" i="4"/>
  <c r="CZ123" i="243"/>
  <c r="CZ125" i="243"/>
  <c r="DF99" i="4"/>
  <c r="CY20" i="2"/>
  <c r="CY18" i="2" s="1"/>
  <c r="CY13" i="2" s="1"/>
  <c r="CY156" i="243" s="1"/>
  <c r="CZ156" i="243"/>
  <c r="CZ100" i="2"/>
  <c r="CZ86" i="2"/>
  <c r="DG150" i="4"/>
  <c r="CZ87" i="2" l="1"/>
  <c r="V17" i="139"/>
  <c r="V15" i="139"/>
  <c r="V19" i="139"/>
  <c r="V12" i="139"/>
  <c r="V28" i="139" s="1"/>
  <c r="DE23" i="4"/>
  <c r="V29" i="139" l="1"/>
  <c r="V34" i="139"/>
  <c r="DA99" i="4"/>
  <c r="DA150" i="4"/>
  <c r="V35" i="139"/>
  <c r="V30" i="139"/>
  <c r="DL134" i="4" l="1"/>
  <c r="DL152" i="4" l="1"/>
  <c r="DH152" i="4"/>
  <c r="V67" i="139"/>
  <c r="DE88" i="243" l="1"/>
  <c r="V80" i="139"/>
  <c r="DE107" i="243" l="1"/>
  <c r="DE95" i="243"/>
  <c r="DE115" i="243"/>
  <c r="V81" i="139"/>
  <c r="V82" i="139"/>
  <c r="CU389" i="11" l="1"/>
  <c r="CU393" i="11" l="1"/>
  <c r="CU390" i="11"/>
  <c r="CU394" i="11" s="1"/>
  <c r="CU395" i="11" l="1"/>
  <c r="CU384" i="11" l="1"/>
  <c r="CU383" i="11" s="1"/>
  <c r="CU406" i="11" s="1"/>
  <c r="CU275" i="11" s="1"/>
  <c r="CU436" i="11"/>
  <c r="CU437" i="11" s="1"/>
  <c r="CU303" i="11" l="1"/>
  <c r="CU296" i="11"/>
  <c r="CU346" i="11" s="1"/>
  <c r="CU292" i="11"/>
  <c r="CU304" i="11"/>
  <c r="CU347" i="11" s="1"/>
  <c r="CU284" i="11"/>
  <c r="CU300" i="11"/>
  <c r="CU280" i="11"/>
  <c r="CU342" i="11" s="1"/>
  <c r="CU297" i="11"/>
  <c r="CU294" i="11"/>
  <c r="CU293" i="11"/>
  <c r="CU345" i="11" s="1"/>
  <c r="CU283" i="11"/>
  <c r="CU299" i="11"/>
  <c r="CU298" i="11"/>
  <c r="CU301" i="11"/>
  <c r="CU287" i="11"/>
  <c r="CU278" i="11"/>
  <c r="CU305" i="11"/>
  <c r="CU289" i="11"/>
  <c r="CU344" i="11" s="1"/>
  <c r="CU286" i="11"/>
  <c r="CU285" i="11"/>
  <c r="CU279" i="11"/>
  <c r="CU295" i="11"/>
  <c r="CU281" i="11"/>
  <c r="CU282" i="11"/>
  <c r="CU302" i="11"/>
  <c r="CU291" i="11"/>
  <c r="CU288" i="11"/>
  <c r="CU290" i="11"/>
  <c r="CU306" i="11"/>
  <c r="CU343" i="11" l="1"/>
  <c r="CU348" i="11" s="1"/>
  <c r="CU312" i="11"/>
  <c r="CU311" i="11"/>
  <c r="CU20" i="11"/>
  <c r="CU23" i="11"/>
  <c r="CU26" i="11"/>
  <c r="CU25" i="11"/>
  <c r="CU22" i="11"/>
  <c r="CU24" i="11"/>
  <c r="CU19" i="11"/>
  <c r="CU21" i="11"/>
  <c r="CU370" i="11" l="1"/>
  <c r="CU369" i="11"/>
  <c r="CU368" i="11"/>
  <c r="CU367" i="11"/>
  <c r="CU372" i="11"/>
  <c r="CU371" i="11"/>
  <c r="CU30" i="11" l="1"/>
  <c r="CU329" i="11"/>
  <c r="CU353" i="11" l="1"/>
  <c r="CU361" i="11" s="1"/>
  <c r="CU363" i="11" s="1"/>
  <c r="CU27" i="11"/>
  <c r="CU271" i="11"/>
  <c r="CU272" i="11" s="1"/>
  <c r="CU373" i="11" l="1"/>
  <c r="CU378" i="11" s="1"/>
  <c r="CU379" i="11" s="1"/>
  <c r="CU273" i="11"/>
  <c r="CU308" i="11" s="1"/>
  <c r="CU362" i="11" s="1"/>
  <c r="CU432" i="11"/>
  <c r="CU433" i="11" s="1"/>
  <c r="DB366" i="11"/>
  <c r="CU434" i="11" l="1"/>
  <c r="CU309" i="11"/>
  <c r="CU217" i="11" s="1"/>
  <c r="CU317" i="11"/>
  <c r="CU315" i="11"/>
  <c r="CU316" i="11"/>
  <c r="CU28" i="11"/>
  <c r="DB16" i="4" l="1"/>
  <c r="CV47" i="11" l="1"/>
  <c r="DE112" i="4" l="1"/>
  <c r="CA29" i="220" l="1"/>
  <c r="CA43" i="220"/>
  <c r="CB43" i="220" s="1"/>
  <c r="CB51" i="220" s="1"/>
  <c r="CA41" i="220"/>
  <c r="CB41" i="220" s="1"/>
  <c r="CB49" i="220" s="1"/>
  <c r="CA40" i="220"/>
  <c r="CB40" i="220" s="1"/>
  <c r="CB48" i="220" s="1"/>
  <c r="CA45" i="220"/>
  <c r="CB45" i="220" s="1"/>
  <c r="CB53" i="220" s="1"/>
  <c r="CA42" i="220"/>
  <c r="CB42" i="220" s="1"/>
  <c r="CB50" i="220" s="1"/>
  <c r="CA44" i="220"/>
  <c r="CB44" i="220" s="1"/>
  <c r="CB52" i="220" s="1"/>
  <c r="CA46" i="220"/>
  <c r="CB46" i="220" s="1"/>
  <c r="CB54" i="220" s="1"/>
  <c r="CA31" i="220"/>
  <c r="CB31" i="220" l="1"/>
  <c r="CI32" i="220" s="1"/>
  <c r="CH32" i="220"/>
  <c r="CB32" i="220"/>
  <c r="CB37" i="220"/>
  <c r="CB38" i="220" s="1"/>
  <c r="CB34" i="220"/>
  <c r="CA32" i="220"/>
  <c r="CA34" i="220"/>
  <c r="CH35" i="220" s="1"/>
  <c r="CB35" i="220" l="1"/>
  <c r="CI35" i="220"/>
  <c r="CV31" i="220" l="1"/>
  <c r="CV58" i="220" l="1"/>
  <c r="CW31" i="220"/>
  <c r="DC31" i="220"/>
  <c r="CW58" i="220" l="1"/>
  <c r="CW32" i="220"/>
  <c r="DD31" i="220"/>
  <c r="DC58" i="220"/>
  <c r="DJ31" i="220"/>
  <c r="DD58" i="220" l="1"/>
  <c r="DD32" i="220"/>
  <c r="CW59" i="220"/>
  <c r="DK31" i="220"/>
  <c r="DQ31" i="220"/>
  <c r="DJ58" i="220"/>
  <c r="DK58" i="220" l="1"/>
  <c r="DQ58" i="220"/>
  <c r="DR31" i="220"/>
  <c r="DK32" i="220"/>
  <c r="DD59" i="220"/>
  <c r="DR58" i="220" l="1"/>
  <c r="DR32" i="220"/>
  <c r="DK59" i="220"/>
  <c r="DR59" i="220" l="1"/>
  <c r="CA61" i="220"/>
  <c r="CB61" i="220" s="1"/>
  <c r="CB62" i="220" s="1"/>
  <c r="CA35" i="220"/>
  <c r="CH61" i="220" l="1"/>
  <c r="CI61" i="220" s="1"/>
  <c r="CI62" i="220" s="1"/>
  <c r="CA58" i="220"/>
  <c r="CB58" i="220" s="1"/>
  <c r="CH58" i="220" l="1"/>
  <c r="CI58" i="220" s="1"/>
  <c r="CB64" i="220"/>
  <c r="CB65" i="220" s="1"/>
  <c r="CB59" i="220"/>
  <c r="CO61" i="220"/>
  <c r="CP61" i="220" s="1"/>
  <c r="CP62" i="220" s="1"/>
  <c r="CV34" i="220"/>
  <c r="CV61" i="220" s="1"/>
  <c r="CV64" i="220" s="1"/>
  <c r="CH21" i="220"/>
  <c r="CI21" i="220" s="1"/>
  <c r="CI22" i="220" s="1"/>
  <c r="CA59" i="220"/>
  <c r="CI59" i="220" l="1"/>
  <c r="CI64" i="220"/>
  <c r="CI65" i="220" s="1"/>
  <c r="CH59" i="220"/>
  <c r="CH24" i="220"/>
  <c r="DB62" i="11"/>
  <c r="DC62" i="11" s="1"/>
  <c r="DC63" i="11" s="1"/>
  <c r="CV28" i="220"/>
  <c r="CV37" i="220" s="1"/>
  <c r="CV38" i="220" s="1"/>
  <c r="CW61" i="220"/>
  <c r="CW64" i="220" s="1"/>
  <c r="DC34" i="220"/>
  <c r="DD34" i="220" s="1"/>
  <c r="DD28" i="220" s="1"/>
  <c r="CW34" i="220"/>
  <c r="CW35" i="220" s="1"/>
  <c r="CB7" i="220"/>
  <c r="DI65" i="4"/>
  <c r="DI89" i="4" s="1"/>
  <c r="DI104" i="4" s="1"/>
  <c r="DH18" i="4"/>
  <c r="DH65" i="4"/>
  <c r="DH89" i="4" s="1"/>
  <c r="CV9" i="220"/>
  <c r="DB70" i="11" l="1"/>
  <c r="DC70" i="11" s="1"/>
  <c r="DC71" i="11" s="1"/>
  <c r="CI24" i="220"/>
  <c r="CI25" i="220" s="1"/>
  <c r="DH143" i="4"/>
  <c r="CV65" i="220"/>
  <c r="DC61" i="220"/>
  <c r="DD61" i="220" s="1"/>
  <c r="DD62" i="220" s="1"/>
  <c r="DB18" i="4"/>
  <c r="DB23" i="4"/>
  <c r="DJ34" i="220"/>
  <c r="DJ28" i="220" s="1"/>
  <c r="DJ37" i="220" s="1"/>
  <c r="DJ38" i="220" s="1"/>
  <c r="CV29" i="220"/>
  <c r="CV4" i="220"/>
  <c r="CV18" i="220" s="1"/>
  <c r="DV117" i="4" s="1"/>
  <c r="CW62" i="220"/>
  <c r="DD35" i="220"/>
  <c r="CW28" i="220"/>
  <c r="CW65" i="220" s="1"/>
  <c r="DC28" i="220"/>
  <c r="DC29" i="220" s="1"/>
  <c r="CO21" i="220"/>
  <c r="CP21" i="220" s="1"/>
  <c r="CW9" i="220"/>
  <c r="DD4" i="220"/>
  <c r="DD37" i="220"/>
  <c r="DD38" i="220" s="1"/>
  <c r="CV15" i="220"/>
  <c r="DV28" i="4"/>
  <c r="CP22" i="220" l="1"/>
  <c r="DP65" i="4"/>
  <c r="DP89" i="4" s="1"/>
  <c r="DP104" i="4" s="1"/>
  <c r="DB71" i="11"/>
  <c r="DO65" i="4"/>
  <c r="DO89" i="4" s="1"/>
  <c r="DO104" i="4" s="1"/>
  <c r="DI62" i="11"/>
  <c r="DI143" i="4"/>
  <c r="DD64" i="220"/>
  <c r="DD65" i="220" s="1"/>
  <c r="DC64" i="220"/>
  <c r="DC65" i="220" s="1"/>
  <c r="DO18" i="4"/>
  <c r="DJ4" i="220"/>
  <c r="DJ18" i="220" s="1"/>
  <c r="DJ61" i="220"/>
  <c r="DK61" i="220" s="1"/>
  <c r="DK64" i="220" s="1"/>
  <c r="CV5" i="220"/>
  <c r="CW18" i="220"/>
  <c r="DW117" i="4" s="1"/>
  <c r="CV21" i="220"/>
  <c r="CV24" i="220" s="1"/>
  <c r="DV143" i="4" s="1"/>
  <c r="CV10" i="220"/>
  <c r="DV6" i="4"/>
  <c r="CV7" i="220"/>
  <c r="DQ34" i="220"/>
  <c r="DR34" i="220" s="1"/>
  <c r="DR28" i="220" s="1"/>
  <c r="DK34" i="220"/>
  <c r="DK35" i="220" s="1"/>
  <c r="DD29" i="220"/>
  <c r="CW29" i="220"/>
  <c r="DC37" i="220"/>
  <c r="DC38" i="220" s="1"/>
  <c r="DJ29" i="220"/>
  <c r="DC4" i="220"/>
  <c r="DC7" i="220" s="1"/>
  <c r="CW37" i="220"/>
  <c r="CW38" i="220" s="1"/>
  <c r="CW4" i="220"/>
  <c r="DD7" i="220" s="1"/>
  <c r="CO24" i="220"/>
  <c r="CP24" i="220" s="1"/>
  <c r="DH45" i="4"/>
  <c r="DH104" i="4"/>
  <c r="ED6" i="4"/>
  <c r="DW28" i="4"/>
  <c r="CW15" i="220"/>
  <c r="CV16" i="220"/>
  <c r="DV53" i="4"/>
  <c r="CP25" i="220" l="1"/>
  <c r="DP143" i="4"/>
  <c r="DI63" i="11"/>
  <c r="DO63" i="4"/>
  <c r="DO143" i="4"/>
  <c r="DI70" i="11"/>
  <c r="DD9" i="220"/>
  <c r="DD10" i="220" s="1"/>
  <c r="DC9" i="220"/>
  <c r="EC28" i="4" s="1"/>
  <c r="CW21" i="220"/>
  <c r="DW65" i="4" s="1"/>
  <c r="DW89" i="4" s="1"/>
  <c r="DJ21" i="220"/>
  <c r="DJ24" i="220" s="1"/>
  <c r="EJ6" i="4"/>
  <c r="DV18" i="4"/>
  <c r="DJ64" i="220"/>
  <c r="DJ65" i="220" s="1"/>
  <c r="DQ28" i="220"/>
  <c r="CW24" i="220"/>
  <c r="DW143" i="4" s="1"/>
  <c r="DJ7" i="220"/>
  <c r="DQ61" i="220"/>
  <c r="DR61" i="220" s="1"/>
  <c r="DR62" i="220" s="1"/>
  <c r="DV65" i="4"/>
  <c r="DV89" i="4" s="1"/>
  <c r="DK28" i="220"/>
  <c r="DK4" i="220" s="1"/>
  <c r="DK7" i="220" s="1"/>
  <c r="DK62" i="220"/>
  <c r="DR35" i="220"/>
  <c r="CW5" i="220"/>
  <c r="DW6" i="4"/>
  <c r="ED18" i="4" s="1"/>
  <c r="CW7" i="220"/>
  <c r="DD5" i="220"/>
  <c r="CW19" i="220"/>
  <c r="DC5" i="220"/>
  <c r="DC18" i="220"/>
  <c r="EC6" i="4"/>
  <c r="CW10" i="220"/>
  <c r="DJ5" i="220"/>
  <c r="DC21" i="220"/>
  <c r="DK9" i="220"/>
  <c r="CW16" i="220"/>
  <c r="DW53" i="4"/>
  <c r="DV45" i="4"/>
  <c r="DR37" i="220"/>
  <c r="DR38" i="220" s="1"/>
  <c r="DR4" i="220"/>
  <c r="EJ117" i="4"/>
  <c r="DK18" i="220"/>
  <c r="DO141" i="4" l="1"/>
  <c r="DO149" i="4" s="1"/>
  <c r="DI71" i="11"/>
  <c r="DO87" i="4"/>
  <c r="DO70" i="4"/>
  <c r="DO72" i="4" s="1"/>
  <c r="DD15" i="220"/>
  <c r="ED53" i="4" s="1"/>
  <c r="ED28" i="4"/>
  <c r="EJ18" i="4"/>
  <c r="DC10" i="220"/>
  <c r="DC15" i="220"/>
  <c r="DC16" i="220" s="1"/>
  <c r="DK21" i="220"/>
  <c r="EK65" i="4" s="1"/>
  <c r="EJ65" i="4"/>
  <c r="EJ89" i="4" s="1"/>
  <c r="CW22" i="220"/>
  <c r="DR64" i="220"/>
  <c r="DR65" i="220" s="1"/>
  <c r="DQ64" i="220"/>
  <c r="DQ9" i="220" s="1"/>
  <c r="EQ28" i="4" s="1"/>
  <c r="DJ9" i="220"/>
  <c r="DJ10" i="220" s="1"/>
  <c r="DV104" i="4"/>
  <c r="CW25" i="220"/>
  <c r="DK65" i="220"/>
  <c r="DQ29" i="220"/>
  <c r="DQ37" i="220"/>
  <c r="DQ38" i="220" s="1"/>
  <c r="DQ4" i="220"/>
  <c r="DR29" i="220"/>
  <c r="DK29" i="220"/>
  <c r="DK37" i="220"/>
  <c r="DK38" i="220" s="1"/>
  <c r="EK6" i="4"/>
  <c r="DK5" i="220"/>
  <c r="EC18" i="4"/>
  <c r="DD21" i="220"/>
  <c r="EC65" i="4"/>
  <c r="DC24" i="220"/>
  <c r="EC117" i="4"/>
  <c r="DD18" i="220"/>
  <c r="DW18" i="4"/>
  <c r="EK117" i="4"/>
  <c r="DK19" i="220"/>
  <c r="EJ143" i="4"/>
  <c r="DK24" i="220"/>
  <c r="DR5" i="220"/>
  <c r="DR7" i="220"/>
  <c r="ER6" i="4"/>
  <c r="DW104" i="4"/>
  <c r="DW45" i="4"/>
  <c r="DK10" i="220"/>
  <c r="EK28" i="4"/>
  <c r="DK15" i="220"/>
  <c r="DO102" i="4" l="1"/>
  <c r="DO109" i="4" s="1"/>
  <c r="DO111" i="4" s="1"/>
  <c r="DO94" i="4"/>
  <c r="DO96" i="4" s="1"/>
  <c r="DO98" i="4" s="1"/>
  <c r="DD16" i="220"/>
  <c r="EJ28" i="4"/>
  <c r="DK22" i="220"/>
  <c r="EC53" i="4"/>
  <c r="EC45" i="4" s="1"/>
  <c r="DR9" i="220"/>
  <c r="DR10" i="220" s="1"/>
  <c r="DQ15" i="220"/>
  <c r="EQ53" i="4" s="1"/>
  <c r="DQ10" i="220"/>
  <c r="DQ65" i="220"/>
  <c r="DJ15" i="220"/>
  <c r="EJ53" i="4" s="1"/>
  <c r="EK18" i="4"/>
  <c r="DQ18" i="220"/>
  <c r="DQ21" i="220"/>
  <c r="DQ7" i="220"/>
  <c r="EQ6" i="4"/>
  <c r="DQ5" i="220"/>
  <c r="EC143" i="4"/>
  <c r="DD24" i="220"/>
  <c r="EC89" i="4"/>
  <c r="DD19" i="220"/>
  <c r="ED117" i="4"/>
  <c r="ED65" i="4"/>
  <c r="DD22" i="220"/>
  <c r="DB112" i="4"/>
  <c r="DK25" i="220"/>
  <c r="EK143" i="4"/>
  <c r="DK16" i="220"/>
  <c r="EK53" i="4"/>
  <c r="ER18" i="4"/>
  <c r="EK89" i="4"/>
  <c r="ED45" i="4"/>
  <c r="DH20" i="2" l="1"/>
  <c r="DH18" i="2" s="1"/>
  <c r="DQ16" i="220"/>
  <c r="DR15" i="220"/>
  <c r="DR16" i="220" s="1"/>
  <c r="ER28" i="4"/>
  <c r="EJ104" i="4"/>
  <c r="EJ45" i="4"/>
  <c r="DJ16" i="220"/>
  <c r="DR18" i="220"/>
  <c r="EQ117" i="4"/>
  <c r="EQ18" i="4"/>
  <c r="DR21" i="220"/>
  <c r="DQ24" i="220"/>
  <c r="EQ65" i="4"/>
  <c r="ED89" i="4"/>
  <c r="EC104" i="4"/>
  <c r="DD25" i="220"/>
  <c r="ED143" i="4"/>
  <c r="EK104" i="4"/>
  <c r="EK45" i="4"/>
  <c r="EQ45" i="4"/>
  <c r="ER53" i="4" l="1"/>
  <c r="EQ143" i="4"/>
  <c r="DR24" i="220"/>
  <c r="DR22" i="220"/>
  <c r="ER65" i="4"/>
  <c r="DR19" i="220"/>
  <c r="ER117" i="4"/>
  <c r="EQ89" i="4"/>
  <c r="ED104" i="4"/>
  <c r="ER45" i="4" l="1"/>
  <c r="DR25" i="220"/>
  <c r="ER143" i="4"/>
  <c r="ER89" i="4"/>
  <c r="EQ104" i="4"/>
  <c r="ER104" i="4" l="1"/>
  <c r="CV209" i="11" l="1"/>
  <c r="CV214" i="11"/>
  <c r="CV197" i="11"/>
  <c r="CV207" i="11"/>
  <c r="CV208" i="11"/>
  <c r="CV215" i="11"/>
  <c r="CV205" i="11"/>
  <c r="CV213" i="11"/>
  <c r="CV204" i="11"/>
  <c r="CV203" i="11"/>
  <c r="CV206" i="11"/>
  <c r="CV196" i="11"/>
  <c r="CV428" i="11" l="1"/>
  <c r="CV421" i="11"/>
  <c r="CV426" i="11"/>
  <c r="CV424" i="11"/>
  <c r="CV425" i="11"/>
  <c r="CV430" i="11" l="1"/>
  <c r="CV431" i="11" l="1"/>
  <c r="BK59" i="11" l="1"/>
  <c r="BK60" i="11"/>
  <c r="BK56" i="11"/>
  <c r="BR60" i="11"/>
  <c r="DC63" i="4" l="1"/>
  <c r="DC70" i="4" l="1"/>
  <c r="DC72" i="4" s="1"/>
  <c r="DC87" i="4"/>
  <c r="CW374" i="11"/>
  <c r="CX356" i="11"/>
  <c r="DC141" i="4"/>
  <c r="DC149" i="4" s="1"/>
  <c r="DC150" i="4" s="1"/>
  <c r="DC102" i="4" l="1"/>
  <c r="DC109" i="4" s="1"/>
  <c r="DC111" i="4" s="1"/>
  <c r="DC112" i="4" s="1"/>
  <c r="DC94" i="4"/>
  <c r="DC96" i="4" s="1"/>
  <c r="DC98" i="4" s="1"/>
  <c r="DD63" i="4"/>
  <c r="DD87" i="4" s="1"/>
  <c r="CX374" i="11"/>
  <c r="DD94" i="4" l="1"/>
  <c r="DD96" i="4" s="1"/>
  <c r="DD98" i="4" s="1"/>
  <c r="DD102" i="4"/>
  <c r="DD109" i="4" s="1"/>
  <c r="DD111" i="4" s="1"/>
  <c r="DC99" i="4"/>
  <c r="CV20" i="2"/>
  <c r="CV18" i="2" s="1"/>
  <c r="DD141" i="4"/>
  <c r="DD149" i="4" s="1"/>
  <c r="DD70" i="4"/>
  <c r="DD72" i="4" s="1"/>
  <c r="DD112" i="4" l="1"/>
  <c r="DK112" i="4"/>
  <c r="DD99" i="4"/>
  <c r="CW20" i="2"/>
  <c r="CW18" i="2" s="1"/>
  <c r="CW13" i="2" s="1"/>
  <c r="CW156" i="243" s="1"/>
  <c r="CV13" i="2"/>
  <c r="CV156" i="243" s="1"/>
  <c r="V16" i="139" l="1"/>
  <c r="V14" i="139" l="1"/>
  <c r="V13" i="139"/>
  <c r="V38" i="139" l="1"/>
  <c r="V40" i="139" s="1"/>
  <c r="V22" i="139" l="1"/>
  <c r="V20" i="139"/>
  <c r="V21" i="139" l="1"/>
  <c r="V48" i="139" s="1"/>
  <c r="V61" i="139"/>
  <c r="V77" i="139" s="1"/>
  <c r="V39" i="139"/>
  <c r="V41" i="139" s="1"/>
  <c r="V64" i="139"/>
  <c r="CZ98" i="2" s="1"/>
  <c r="V23" i="139"/>
  <c r="V31" i="139" l="1"/>
  <c r="V46" i="139"/>
  <c r="V53" i="139"/>
  <c r="V37" i="139"/>
  <c r="V36" i="139"/>
  <c r="CY27" i="11" l="1"/>
  <c r="CY353" i="11"/>
  <c r="CV353" i="11" s="1"/>
  <c r="CV354" i="11" s="1"/>
  <c r="CY373" i="11" l="1"/>
  <c r="CV27" i="11"/>
  <c r="CV373" i="11" l="1"/>
  <c r="CY411" i="11" l="1"/>
  <c r="CY410" i="11"/>
  <c r="CY389" i="11"/>
  <c r="CV389" i="11" s="1"/>
  <c r="CV411" i="11" l="1"/>
  <c r="CZ411" i="11"/>
  <c r="CX411" i="11" s="1"/>
  <c r="CY393" i="11"/>
  <c r="CY390" i="11"/>
  <c r="CY394" i="11" l="1"/>
  <c r="CV394" i="11" s="1"/>
  <c r="CV395" i="11" s="1"/>
  <c r="CV390" i="11"/>
  <c r="CV391" i="11" s="1"/>
  <c r="CV410" i="11"/>
  <c r="CY395" i="11" l="1"/>
  <c r="CY384" i="11" s="1"/>
  <c r="CY383" i="11" s="1"/>
  <c r="CV384" i="11"/>
  <c r="CV383" i="11" s="1"/>
  <c r="CV406" i="11" s="1"/>
  <c r="CV436" i="11"/>
  <c r="CV437" i="11" s="1"/>
  <c r="CY436" i="11" l="1"/>
  <c r="CY437" i="11" s="1"/>
  <c r="CY406" i="11"/>
  <c r="CY275" i="11" s="1"/>
  <c r="CY303" i="11" l="1"/>
  <c r="CV303" i="11" s="1"/>
  <c r="CY299" i="11"/>
  <c r="CV299" i="11" s="1"/>
  <c r="CY295" i="11"/>
  <c r="CV295" i="11" s="1"/>
  <c r="CY289" i="11"/>
  <c r="CY284" i="11"/>
  <c r="CV284" i="11" s="1"/>
  <c r="CY280" i="11"/>
  <c r="CY304" i="11"/>
  <c r="CY24" i="11" s="1"/>
  <c r="CY291" i="11"/>
  <c r="CV291" i="11" s="1"/>
  <c r="CY302" i="11"/>
  <c r="CV302" i="11" s="1"/>
  <c r="CY298" i="11"/>
  <c r="CV298" i="11" s="1"/>
  <c r="CY294" i="11"/>
  <c r="CV294" i="11" s="1"/>
  <c r="CY287" i="11"/>
  <c r="CY283" i="11"/>
  <c r="CV283" i="11" s="1"/>
  <c r="CY279" i="11"/>
  <c r="CV279" i="11" s="1"/>
  <c r="CY296" i="11"/>
  <c r="CY23" i="11" s="1"/>
  <c r="CY281" i="11"/>
  <c r="CY293" i="11"/>
  <c r="CY305" i="11"/>
  <c r="CV305" i="11" s="1"/>
  <c r="CV25" i="11" s="1"/>
  <c r="CY301" i="11"/>
  <c r="CV301" i="11" s="1"/>
  <c r="CY297" i="11"/>
  <c r="CV297" i="11" s="1"/>
  <c r="CY292" i="11"/>
  <c r="CV292" i="11" s="1"/>
  <c r="CY286" i="11"/>
  <c r="CV286" i="11" s="1"/>
  <c r="CV20" i="11" s="1"/>
  <c r="CY282" i="11"/>
  <c r="CV282" i="11" s="1"/>
  <c r="CY278" i="11"/>
  <c r="CV278" i="11" s="1"/>
  <c r="CY300" i="11"/>
  <c r="CV300" i="11" s="1"/>
  <c r="CY285" i="11"/>
  <c r="CV285" i="11" s="1"/>
  <c r="CY288" i="11"/>
  <c r="CV288" i="11" s="1"/>
  <c r="CY290" i="11"/>
  <c r="CV290" i="11" s="1"/>
  <c r="CV21" i="11" s="1"/>
  <c r="CY306" i="11"/>
  <c r="CV306" i="11" s="1"/>
  <c r="CV26" i="11" s="1"/>
  <c r="CY271" i="11"/>
  <c r="CV271" i="11" s="1"/>
  <c r="CV273" i="11" s="1"/>
  <c r="CY22" i="11" l="1"/>
  <c r="CY272" i="11"/>
  <c r="CY26" i="11"/>
  <c r="CY19" i="11"/>
  <c r="CY20" i="11"/>
  <c r="CY273" i="11"/>
  <c r="CY308" i="11" s="1"/>
  <c r="CY28" i="11" s="1"/>
  <c r="CY432" i="11"/>
  <c r="CY433" i="11" s="1"/>
  <c r="CY25" i="11"/>
  <c r="CY21" i="11"/>
  <c r="CY312" i="11"/>
  <c r="CV281" i="11"/>
  <c r="CV287" i="11"/>
  <c r="CY343" i="11"/>
  <c r="CV343" i="11" s="1"/>
  <c r="CY344" i="11"/>
  <c r="CV344" i="11" s="1"/>
  <c r="CV289" i="11"/>
  <c r="CV296" i="11"/>
  <c r="CV23" i="11" s="1"/>
  <c r="CY346" i="11"/>
  <c r="CV346" i="11" s="1"/>
  <c r="CV304" i="11"/>
  <c r="CV24" i="11" s="1"/>
  <c r="CY347" i="11"/>
  <c r="CV347" i="11" s="1"/>
  <c r="CY342" i="11"/>
  <c r="CY367" i="11" s="1"/>
  <c r="CV280" i="11"/>
  <c r="CV311" i="11" s="1"/>
  <c r="CY311" i="11"/>
  <c r="CY345" i="11"/>
  <c r="CV345" i="11" s="1"/>
  <c r="CV293" i="11"/>
  <c r="CV22" i="11" s="1"/>
  <c r="CV432" i="11"/>
  <c r="CV433" i="11" s="1"/>
  <c r="CV272" i="11"/>
  <c r="CY315" i="11" l="1"/>
  <c r="CY316" i="11"/>
  <c r="CV327" i="11"/>
  <c r="CV336" i="11" s="1"/>
  <c r="CV324" i="11"/>
  <c r="CV333" i="11" s="1"/>
  <c r="CY372" i="11"/>
  <c r="CY309" i="11"/>
  <c r="CY217" i="11" s="1"/>
  <c r="CY317" i="11"/>
  <c r="CY369" i="11"/>
  <c r="CV308" i="11"/>
  <c r="CV275" i="11" s="1"/>
  <c r="CY434" i="11"/>
  <c r="CY371" i="11"/>
  <c r="CV19" i="11"/>
  <c r="CV326" i="11"/>
  <c r="CV335" i="11" s="1"/>
  <c r="CV325" i="11"/>
  <c r="CV334" i="11" s="1"/>
  <c r="CY368" i="11"/>
  <c r="CY370" i="11"/>
  <c r="CV328" i="11"/>
  <c r="CV337" i="11" s="1"/>
  <c r="CV312" i="11"/>
  <c r="CV342" i="11"/>
  <c r="CV323" i="11" s="1"/>
  <c r="CV332" i="11" s="1"/>
  <c r="CY348" i="11"/>
  <c r="CY30" i="11" s="1"/>
  <c r="CV434" i="11"/>
  <c r="CV370" i="11"/>
  <c r="CV369" i="11"/>
  <c r="CV368" i="11"/>
  <c r="CV372" i="11"/>
  <c r="CV371" i="11"/>
  <c r="CV309" i="11" l="1"/>
  <c r="CV217" i="11" s="1"/>
  <c r="CV316" i="11"/>
  <c r="CV28" i="11"/>
  <c r="CV315" i="11"/>
  <c r="CV317" i="11"/>
  <c r="CY378" i="11"/>
  <c r="CV367" i="11"/>
  <c r="CV378" i="11" s="1"/>
  <c r="CY329" i="11"/>
  <c r="CV348" i="11"/>
  <c r="CV329" i="11" s="1"/>
  <c r="CY361" i="11"/>
  <c r="CZ357" i="11"/>
  <c r="CY379" i="11" l="1"/>
  <c r="CY363" i="11"/>
  <c r="CV30" i="11"/>
  <c r="CV361" i="11"/>
  <c r="CV362" i="11" s="1"/>
  <c r="CY362" i="11"/>
  <c r="DF366" i="11"/>
  <c r="CV379" i="11" l="1"/>
  <c r="CV363" i="11"/>
  <c r="DC366" i="11"/>
  <c r="DF150" i="4"/>
  <c r="CV15" i="11" l="1"/>
  <c r="CV14" i="11"/>
  <c r="CW353" i="11"/>
  <c r="CW27" i="11"/>
  <c r="CV16" i="11" l="1"/>
  <c r="CW373" i="11"/>
  <c r="CW389" i="11" l="1"/>
  <c r="CW393" i="11" l="1"/>
  <c r="CW390" i="11"/>
  <c r="CW394" i="11" s="1"/>
  <c r="CW395" i="11" l="1"/>
  <c r="CW384" i="11" l="1"/>
  <c r="CW383" i="11" s="1"/>
  <c r="CW436" i="11"/>
  <c r="CW437" i="11" s="1"/>
  <c r="CW406" i="11" l="1"/>
  <c r="CW275" i="11" s="1"/>
  <c r="CW305" i="11" l="1"/>
  <c r="CW25" i="11" s="1"/>
  <c r="CW301" i="11"/>
  <c r="CW297" i="11"/>
  <c r="CW293" i="11"/>
  <c r="CW345" i="11" s="1"/>
  <c r="CW287" i="11"/>
  <c r="CW283" i="11"/>
  <c r="CW279" i="11"/>
  <c r="CW304" i="11"/>
  <c r="CW347" i="11" s="1"/>
  <c r="CW300" i="11"/>
  <c r="CW296" i="11"/>
  <c r="CW346" i="11" s="1"/>
  <c r="CW292" i="11"/>
  <c r="CW286" i="11"/>
  <c r="CW282" i="11"/>
  <c r="CW278" i="11"/>
  <c r="CW303" i="11"/>
  <c r="CW299" i="11"/>
  <c r="CW295" i="11"/>
  <c r="CW291" i="11"/>
  <c r="CW281" i="11"/>
  <c r="CW285" i="11"/>
  <c r="CW302" i="11"/>
  <c r="CW284" i="11"/>
  <c r="CW298" i="11"/>
  <c r="CW280" i="11"/>
  <c r="CW342" i="11" s="1"/>
  <c r="CW294" i="11"/>
  <c r="CW289" i="11"/>
  <c r="CW344" i="11" s="1"/>
  <c r="CW288" i="11"/>
  <c r="CW290" i="11"/>
  <c r="CW306" i="11"/>
  <c r="CW271" i="11"/>
  <c r="CW26" i="11" l="1"/>
  <c r="CW311" i="11"/>
  <c r="CW23" i="11"/>
  <c r="CW19" i="11"/>
  <c r="CW273" i="11"/>
  <c r="CW308" i="11" s="1"/>
  <c r="CW28" i="11" s="1"/>
  <c r="CW343" i="11"/>
  <c r="CW348" i="11" s="1"/>
  <c r="CW361" i="11" s="1"/>
  <c r="CW272" i="11"/>
  <c r="CW22" i="11"/>
  <c r="CW312" i="11"/>
  <c r="CW24" i="11"/>
  <c r="CW432" i="11"/>
  <c r="CW433" i="11" s="1"/>
  <c r="CW21" i="11"/>
  <c r="CW20" i="11"/>
  <c r="CW372" i="11"/>
  <c r="CW367" i="11"/>
  <c r="CW371" i="11"/>
  <c r="CW369" i="11"/>
  <c r="CW370" i="11"/>
  <c r="CW316" i="11" l="1"/>
  <c r="CW362" i="11"/>
  <c r="CW434" i="11"/>
  <c r="CW368" i="11"/>
  <c r="CW378" i="11" s="1"/>
  <c r="CW315" i="11"/>
  <c r="CW309" i="11"/>
  <c r="CW217" i="11" s="1"/>
  <c r="CW317" i="11"/>
  <c r="CW329" i="11"/>
  <c r="CX357" i="11"/>
  <c r="DD387" i="11"/>
  <c r="DD400" i="11" s="1"/>
  <c r="DD389" i="11" s="1"/>
  <c r="CW30" i="11"/>
  <c r="DD393" i="11" l="1"/>
  <c r="DD409" i="11"/>
  <c r="DD366" i="11"/>
  <c r="CW363" i="11"/>
  <c r="CW379" i="11"/>
  <c r="DD150" i="4" l="1"/>
  <c r="DD374" i="11" l="1"/>
  <c r="DJ16" i="4" l="1"/>
  <c r="DJ11" i="4"/>
  <c r="DJ63" i="4"/>
  <c r="DJ70" i="4" s="1"/>
  <c r="DJ72" i="4" s="1"/>
  <c r="DJ141" i="4"/>
  <c r="DJ149" i="4" s="1"/>
  <c r="DD43" i="11" l="1"/>
  <c r="DJ87" i="4"/>
  <c r="DJ94" i="4" s="1"/>
  <c r="DJ96" i="4" s="1"/>
  <c r="DJ98" i="4" s="1"/>
  <c r="DC20" i="2" l="1"/>
  <c r="DJ135" i="4"/>
  <c r="DF234" i="243" l="1"/>
  <c r="DD234" i="243" l="1"/>
  <c r="DF235" i="243"/>
  <c r="DD235" i="243" l="1"/>
  <c r="CM51" i="242" l="1"/>
  <c r="CM56" i="242" s="1"/>
  <c r="CM61" i="242" s="1"/>
  <c r="V60" i="4"/>
  <c r="W60" i="4"/>
  <c r="Y60" i="4"/>
  <c r="Y111" i="4" l="1"/>
  <c r="Y18" i="2" s="1"/>
  <c r="Y22" i="2"/>
  <c r="Y27" i="2" s="1"/>
  <c r="Y38" i="2" s="1"/>
  <c r="W111" i="4"/>
  <c r="W18" i="2" s="1"/>
  <c r="W22" i="2"/>
  <c r="W27" i="2" s="1"/>
  <c r="W38" i="2" s="1"/>
  <c r="V111" i="4"/>
  <c r="V18" i="2" s="1"/>
  <c r="V22" i="2"/>
  <c r="V27" i="2" s="1"/>
  <c r="V38" i="2" s="1"/>
  <c r="CI124" i="4"/>
  <c r="CH124" i="4"/>
  <c r="CK124" i="4"/>
  <c r="CK125" i="4" s="1"/>
  <c r="BE123" i="4"/>
  <c r="BE124" i="4" s="1"/>
  <c r="BE15" i="2" s="1"/>
  <c r="BF124" i="4"/>
  <c r="BF15" i="2" s="1"/>
  <c r="BH124" i="4"/>
  <c r="BH15" i="2" s="1"/>
  <c r="W124" i="4"/>
  <c r="W15" i="2" s="1"/>
  <c r="Y124" i="4"/>
  <c r="Y15" i="2" s="1"/>
  <c r="AF112" i="4" l="1"/>
  <c r="Y112" i="4"/>
  <c r="W13" i="2"/>
  <c r="W156" i="243" s="1"/>
  <c r="BH13" i="2"/>
  <c r="BH156" i="243" s="1"/>
  <c r="AD112" i="4"/>
  <c r="BF13" i="2"/>
  <c r="BF156" i="243" s="1"/>
  <c r="BE13" i="2"/>
  <c r="BE156" i="243" s="1"/>
  <c r="V13" i="2"/>
  <c r="V156" i="243" s="1"/>
  <c r="Y13" i="2"/>
  <c r="Y156" i="243" s="1"/>
  <c r="AC112" i="4"/>
  <c r="V112" i="4"/>
  <c r="W112" i="4"/>
  <c r="W42" i="2"/>
  <c r="W46" i="2" s="1"/>
  <c r="W3" i="242" s="1"/>
  <c r="W21" i="242" s="1"/>
  <c r="W41" i="2"/>
  <c r="V42" i="2"/>
  <c r="V46" i="2" s="1"/>
  <c r="V3" i="242" s="1"/>
  <c r="V21" i="242" s="1"/>
  <c r="V41" i="2"/>
  <c r="Y41" i="2"/>
  <c r="Y42" i="2"/>
  <c r="Y46" i="2" s="1"/>
  <c r="Y3" i="242" s="1"/>
  <c r="Y21" i="242" s="1"/>
  <c r="BF125" i="4"/>
  <c r="BF132" i="4"/>
  <c r="CH125" i="4"/>
  <c r="CA15" i="2"/>
  <c r="CH132" i="4"/>
  <c r="Y125" i="4"/>
  <c r="Y132" i="4"/>
  <c r="BE125" i="4"/>
  <c r="BE132" i="4"/>
  <c r="CI125" i="4"/>
  <c r="CB15" i="2"/>
  <c r="CI132" i="4"/>
  <c r="W125" i="4"/>
  <c r="W132" i="4"/>
  <c r="BH125" i="4"/>
  <c r="BH132" i="4"/>
  <c r="CD15" i="2"/>
  <c r="CK132" i="4"/>
  <c r="CB13" i="2" l="1"/>
  <c r="CB156" i="243" s="1"/>
  <c r="CD13" i="2"/>
  <c r="CD156" i="243" s="1"/>
  <c r="CA13" i="2"/>
  <c r="CA156" i="243" s="1"/>
  <c r="Y45" i="242"/>
  <c r="Y42" i="242"/>
  <c r="W45" i="242"/>
  <c r="W42" i="242"/>
  <c r="V42" i="242"/>
  <c r="V45" i="242"/>
  <c r="V47" i="2"/>
  <c r="V51" i="2"/>
  <c r="V48" i="2"/>
  <c r="Y56" i="2"/>
  <c r="Y57" i="2" s="1"/>
  <c r="Y48" i="2"/>
  <c r="Y51" i="2"/>
  <c r="Y47" i="2"/>
  <c r="W56" i="2"/>
  <c r="W57" i="2" s="1"/>
  <c r="W51" i="2"/>
  <c r="W47" i="2"/>
  <c r="W48" i="2"/>
  <c r="W48" i="242" l="1"/>
  <c r="W49" i="242" s="1"/>
  <c r="Y48" i="242"/>
  <c r="Y49" i="242" s="1"/>
  <c r="W59" i="2"/>
  <c r="W65" i="2" s="1"/>
  <c r="Y59" i="2"/>
  <c r="Y66" i="2" s="1"/>
  <c r="Y61" i="2"/>
  <c r="Y62" i="2"/>
  <c r="V56" i="2"/>
  <c r="V57" i="2" s="1"/>
  <c r="Z56" i="2"/>
  <c r="W62" i="2"/>
  <c r="W61" i="2"/>
  <c r="Y65" i="2" l="1"/>
  <c r="W66" i="2"/>
  <c r="Y58" i="242"/>
  <c r="Y60" i="242" s="1"/>
  <c r="Y56" i="242"/>
  <c r="Y61" i="242" s="1"/>
  <c r="V48" i="242"/>
  <c r="V49" i="242" s="1"/>
  <c r="Z48" i="242"/>
  <c r="W56" i="242"/>
  <c r="W61" i="242" s="1"/>
  <c r="W58" i="242"/>
  <c r="W60" i="242" s="1"/>
  <c r="Z57" i="2"/>
  <c r="X56" i="2"/>
  <c r="Z59" i="2"/>
  <c r="V61" i="2"/>
  <c r="V62" i="2"/>
  <c r="W63" i="2"/>
  <c r="AD63" i="2"/>
  <c r="Y63" i="2"/>
  <c r="AF63" i="2"/>
  <c r="V59" i="2"/>
  <c r="X48" i="242" l="1"/>
  <c r="X49" i="242" s="1"/>
  <c r="Z49" i="242"/>
  <c r="V58" i="242"/>
  <c r="V60" i="242" s="1"/>
  <c r="V56" i="242"/>
  <c r="V61" i="242" s="1"/>
  <c r="Z66" i="2"/>
  <c r="Z65" i="2"/>
  <c r="V66" i="2"/>
  <c r="V65" i="2"/>
  <c r="X59" i="2"/>
  <c r="X57" i="2"/>
  <c r="V63" i="2"/>
  <c r="AC63" i="2"/>
  <c r="Z61" i="2"/>
  <c r="Z62" i="2"/>
  <c r="Z56" i="242" l="1"/>
  <c r="Z61" i="242" s="1"/>
  <c r="Z58" i="242"/>
  <c r="Z60" i="242" s="1"/>
  <c r="X58" i="242"/>
  <c r="X60" i="242" s="1"/>
  <c r="X56" i="242"/>
  <c r="X61" i="242" s="1"/>
  <c r="Z63" i="2"/>
  <c r="AG63" i="2"/>
  <c r="X61" i="2"/>
  <c r="X62" i="2"/>
  <c r="X65" i="2"/>
  <c r="X66" i="2"/>
  <c r="X63" i="2" l="1"/>
  <c r="AE63" i="2"/>
  <c r="CZ96" i="2" l="1"/>
  <c r="V66" i="139"/>
  <c r="V7" i="139" s="1"/>
  <c r="V9" i="139" s="1"/>
  <c r="DF252" i="243"/>
  <c r="CZ97" i="2" l="1"/>
  <c r="V70" i="139"/>
  <c r="V71" i="139"/>
  <c r="V73" i="139" s="1"/>
  <c r="DN253" i="243"/>
  <c r="DN27" i="243"/>
  <c r="V51" i="139"/>
  <c r="V50" i="139"/>
  <c r="V49" i="139"/>
  <c r="DD252" i="243"/>
  <c r="DD253" i="243" s="1"/>
  <c r="DF253" i="243"/>
  <c r="V56" i="139" l="1"/>
  <c r="V58" i="139" s="1"/>
  <c r="V47" i="139"/>
  <c r="DF245" i="243"/>
  <c r="V75" i="139"/>
  <c r="DF255" i="243"/>
  <c r="DD27" i="243"/>
  <c r="DU253" i="243"/>
  <c r="DU27" i="243"/>
  <c r="DN255" i="243"/>
  <c r="DM27" i="243"/>
  <c r="V76" i="139"/>
  <c r="DJ253" i="243"/>
  <c r="DJ27" i="243"/>
  <c r="DK253" i="243"/>
  <c r="DM253" i="243"/>
  <c r="V57" i="139" l="1"/>
  <c r="DO27" i="243"/>
  <c r="DO253" i="243"/>
  <c r="DQ253" i="243"/>
  <c r="DQ27" i="243"/>
  <c r="DK27" i="243"/>
  <c r="DM255" i="243"/>
  <c r="EB253" i="243"/>
  <c r="EB27" i="243"/>
  <c r="DU255" i="243"/>
  <c r="DT27" i="243"/>
  <c r="DJ255" i="243"/>
  <c r="DD255" i="243"/>
  <c r="DS253" i="243"/>
  <c r="DS27" i="243"/>
  <c r="DR253" i="243"/>
  <c r="DT253" i="243"/>
  <c r="DC253" i="243" l="1"/>
  <c r="DT255" i="243"/>
  <c r="DR27" i="243"/>
  <c r="EI253" i="243"/>
  <c r="EI27" i="243"/>
  <c r="DZ27" i="243"/>
  <c r="DZ253" i="243"/>
  <c r="DO255" i="243"/>
  <c r="DP27" i="243"/>
  <c r="DS255" i="243"/>
  <c r="DV253" i="243"/>
  <c r="DV27" i="243"/>
  <c r="DK255" i="243"/>
  <c r="EB255" i="243"/>
  <c r="EA27" i="243"/>
  <c r="DX253" i="243"/>
  <c r="DX27" i="243"/>
  <c r="DY253" i="243"/>
  <c r="EA253" i="243"/>
  <c r="DQ255" i="243"/>
  <c r="DC255" i="243" l="1"/>
  <c r="DP255" i="243"/>
  <c r="EP27" i="243"/>
  <c r="EP253" i="243"/>
  <c r="EC253" i="243"/>
  <c r="EC27" i="243"/>
  <c r="DX255" i="243"/>
  <c r="EH27" i="243"/>
  <c r="EI255" i="243"/>
  <c r="EE253" i="243"/>
  <c r="EE27" i="243"/>
  <c r="DY27" i="243"/>
  <c r="EA255" i="243"/>
  <c r="DV255" i="243"/>
  <c r="DW27" i="243"/>
  <c r="DZ255" i="243"/>
  <c r="EG27" i="243"/>
  <c r="EG253" i="243"/>
  <c r="EH253" i="243"/>
  <c r="EF253" i="243"/>
  <c r="DR255" i="243"/>
  <c r="EJ253" i="243" l="1"/>
  <c r="EJ27" i="243"/>
  <c r="DP253" i="243"/>
  <c r="DW255" i="243"/>
  <c r="EM253" i="243"/>
  <c r="EO253" i="243"/>
  <c r="DY255" i="243"/>
  <c r="EP255" i="243"/>
  <c r="EO27" i="243"/>
  <c r="EG255" i="243"/>
  <c r="ED27" i="243"/>
  <c r="EE255" i="243"/>
  <c r="EF27" i="243"/>
  <c r="EH255" i="243"/>
  <c r="EC255" i="243"/>
  <c r="EN27" i="243"/>
  <c r="EN253" i="243"/>
  <c r="EL27" i="243"/>
  <c r="EL253" i="243"/>
  <c r="EL255" i="243" l="1"/>
  <c r="ED255" i="243"/>
  <c r="EO255" i="243"/>
  <c r="EM27" i="243"/>
  <c r="EF255" i="243"/>
  <c r="DW253" i="243"/>
  <c r="EJ255" i="243"/>
  <c r="EN255" i="243"/>
  <c r="EK27" i="243"/>
  <c r="ED253" i="243" l="1"/>
  <c r="EK255" i="243"/>
  <c r="EM255" i="243"/>
  <c r="EK253" i="243" l="1"/>
  <c r="CX117" i="11" l="1"/>
  <c r="CZ119" i="11"/>
  <c r="CZ143" i="11" s="1"/>
  <c r="CX139" i="11"/>
  <c r="CX89" i="11" s="1"/>
  <c r="DF204" i="4"/>
  <c r="DF206" i="4" s="1"/>
  <c r="DF208" i="4" s="1"/>
  <c r="CZ74" i="11" l="1"/>
  <c r="CX86" i="11"/>
  <c r="CX94" i="11" s="1"/>
  <c r="CX119" i="11"/>
  <c r="CX143" i="11" s="1"/>
  <c r="CX97" i="11"/>
  <c r="CZ97" i="11" s="1"/>
  <c r="CZ89" i="11"/>
  <c r="DA89" i="11" s="1"/>
  <c r="DA97" i="11" s="1"/>
  <c r="DD204" i="4"/>
  <c r="DD206" i="4" s="1"/>
  <c r="DD208" i="4" s="1"/>
  <c r="CX90" i="11" l="1"/>
  <c r="CX74" i="11"/>
  <c r="CZ86" i="11"/>
  <c r="CZ90" i="11" s="1"/>
  <c r="CZ94" i="11"/>
  <c r="CZ98" i="11" s="1"/>
  <c r="CX98" i="11"/>
  <c r="DA86" i="11" l="1"/>
  <c r="DA94" i="11" s="1"/>
  <c r="DB74" i="11"/>
  <c r="DA90" i="11" l="1"/>
  <c r="DB144" i="11"/>
  <c r="DB145" i="11"/>
  <c r="DA98" i="11"/>
  <c r="DF143" i="11"/>
  <c r="DF74" i="11" s="1"/>
  <c r="DF144" i="11" l="1"/>
  <c r="DF145" i="11"/>
  <c r="DL199" i="4"/>
  <c r="DC116" i="11"/>
  <c r="DC253" i="11" s="1"/>
  <c r="DH119" i="11"/>
  <c r="DB424" i="11"/>
  <c r="DB430" i="11" s="1"/>
  <c r="DH253" i="11" l="1"/>
  <c r="DH474" i="11"/>
  <c r="DG116" i="11"/>
  <c r="DE116" i="11" s="1"/>
  <c r="DH559" i="11"/>
  <c r="DL198" i="4"/>
  <c r="DL200" i="4" s="1"/>
  <c r="DL206" i="4" s="1"/>
  <c r="DL208" i="4" s="1"/>
  <c r="DC115" i="11"/>
  <c r="DC252" i="11" s="1"/>
  <c r="DC254" i="11" s="1"/>
  <c r="DC270" i="11" s="1"/>
  <c r="DH517" i="11"/>
  <c r="DI199" i="4"/>
  <c r="DB431" i="11"/>
  <c r="DH581" i="11" l="1"/>
  <c r="DH604" i="11" s="1"/>
  <c r="DG115" i="11"/>
  <c r="DE115" i="11" s="1"/>
  <c r="DH252" i="11"/>
  <c r="DH473" i="11"/>
  <c r="DH558" i="11"/>
  <c r="DF424" i="11"/>
  <c r="DF430" i="11" s="1"/>
  <c r="DM199" i="4"/>
  <c r="DI198" i="4"/>
  <c r="DI200" i="4" s="1"/>
  <c r="DI206" i="4" s="1"/>
  <c r="DI208" i="4" s="1"/>
  <c r="DH254" i="11" l="1"/>
  <c r="DH424" i="11"/>
  <c r="DM198" i="4"/>
  <c r="DM200" i="4" s="1"/>
  <c r="DF431" i="11"/>
  <c r="DK199" i="4"/>
  <c r="DH580" i="11"/>
  <c r="DH560" i="11"/>
  <c r="DH532" i="11" s="1"/>
  <c r="DH603" i="11" l="1"/>
  <c r="DH582" i="11"/>
  <c r="DK198" i="4"/>
  <c r="DK200" i="4" s="1"/>
  <c r="DH605" i="11" l="1"/>
  <c r="DH457" i="11" s="1"/>
  <c r="DL63" i="4" l="1"/>
  <c r="DL87" i="4" s="1"/>
  <c r="DF374" i="11"/>
  <c r="DL94" i="4" l="1"/>
  <c r="DL96" i="4" s="1"/>
  <c r="DL98" i="4" s="1"/>
  <c r="DL102" i="4"/>
  <c r="DL109" i="4" s="1"/>
  <c r="DL111" i="4" s="1"/>
  <c r="DL112" i="4" s="1"/>
  <c r="DL70" i="4"/>
  <c r="DL72" i="4" s="1"/>
  <c r="DL141" i="4"/>
  <c r="DL149" i="4" s="1"/>
  <c r="DL99" i="4" l="1"/>
  <c r="DE20" i="2"/>
  <c r="DE18" i="2" s="1"/>
  <c r="DE13" i="2" s="1"/>
  <c r="DE156" i="243" s="1"/>
  <c r="DL135" i="4" l="1"/>
  <c r="DA27" i="11" l="1"/>
  <c r="DA353" i="11"/>
  <c r="CZ353" i="11" s="1"/>
  <c r="CX353" i="11" l="1"/>
  <c r="CZ373" i="11"/>
  <c r="CZ354" i="11"/>
  <c r="DA373" i="11"/>
  <c r="CX27" i="11"/>
  <c r="CZ27" i="11"/>
  <c r="CX354" i="11" l="1"/>
  <c r="CX373" i="11"/>
  <c r="DA389" i="11"/>
  <c r="CZ389" i="11" s="1"/>
  <c r="CX389" i="11" s="1"/>
  <c r="DA393" i="11" l="1"/>
  <c r="CZ393" i="11" s="1"/>
  <c r="DA390" i="11"/>
  <c r="DA10" i="11"/>
  <c r="DA360" i="11"/>
  <c r="DA394" i="11" l="1"/>
  <c r="CZ394" i="11" s="1"/>
  <c r="CX394" i="11" s="1"/>
  <c r="CZ390" i="11"/>
  <c r="CX393" i="11"/>
  <c r="CZ360" i="11"/>
  <c r="DA377" i="11"/>
  <c r="DA395" i="11" l="1"/>
  <c r="DA436" i="11" s="1"/>
  <c r="DA437" i="11" s="1"/>
  <c r="CX395" i="11"/>
  <c r="CX436" i="11" s="1"/>
  <c r="CX437" i="11" s="1"/>
  <c r="CZ395" i="11"/>
  <c r="CZ384" i="11" s="1"/>
  <c r="CZ383" i="11" s="1"/>
  <c r="CZ406" i="11" s="1"/>
  <c r="CZ391" i="11"/>
  <c r="CX390" i="11"/>
  <c r="CX391" i="11" s="1"/>
  <c r="CY413" i="11"/>
  <c r="CZ413" i="11" s="1"/>
  <c r="CU413" i="11"/>
  <c r="CW413" i="11"/>
  <c r="DA651" i="11"/>
  <c r="CZ377" i="11"/>
  <c r="CX360" i="11"/>
  <c r="CX377" i="11" s="1"/>
  <c r="DA396" i="11" l="1"/>
  <c r="DA384" i="11"/>
  <c r="DA383" i="11" s="1"/>
  <c r="DA406" i="11" s="1"/>
  <c r="DA407" i="11" s="1"/>
  <c r="CX384" i="11"/>
  <c r="CX383" i="11" s="1"/>
  <c r="CX406" i="11" s="1"/>
  <c r="CZ436" i="11"/>
  <c r="CZ437" i="11" s="1"/>
  <c r="CX413" i="11"/>
  <c r="DH626" i="11"/>
  <c r="DH668" i="11" s="1"/>
  <c r="CV413" i="11"/>
  <c r="DA275" i="11" l="1"/>
  <c r="DA297" i="11" s="1"/>
  <c r="DH632" i="11"/>
  <c r="DA639" i="11"/>
  <c r="DA643" i="11" s="1"/>
  <c r="DA645" i="11" s="1"/>
  <c r="DA644" i="11" s="1"/>
  <c r="DH640" i="11"/>
  <c r="DH440" i="11" s="1"/>
  <c r="DH682" i="11" s="1"/>
  <c r="DH633" i="11"/>
  <c r="DH675" i="11" s="1"/>
  <c r="DH628" i="11"/>
  <c r="DH670" i="11" s="1"/>
  <c r="DH634" i="11"/>
  <c r="DH676" i="11" s="1"/>
  <c r="DH625" i="11"/>
  <c r="DH631" i="11"/>
  <c r="DH638" i="11"/>
  <c r="DH680" i="11" s="1"/>
  <c r="DH629" i="11"/>
  <c r="DH630" i="11"/>
  <c r="DH636" i="11"/>
  <c r="DH678" i="11" s="1"/>
  <c r="DH635" i="11"/>
  <c r="DH677" i="11" s="1"/>
  <c r="DH627" i="11"/>
  <c r="DH669" i="11" s="1"/>
  <c r="DH637" i="11"/>
  <c r="DH679" i="11" s="1"/>
  <c r="DA286" i="11"/>
  <c r="CZ286" i="11" s="1"/>
  <c r="CX286" i="11" s="1"/>
  <c r="DA295" i="11"/>
  <c r="DA285" i="11"/>
  <c r="CZ285" i="11" s="1"/>
  <c r="CX285" i="11" s="1"/>
  <c r="DA288" i="11"/>
  <c r="DA282" i="11"/>
  <c r="CZ282" i="11" s="1"/>
  <c r="CX282" i="11" s="1"/>
  <c r="DA305" i="11"/>
  <c r="CZ305" i="11" s="1"/>
  <c r="CX305" i="11" s="1"/>
  <c r="DA290" i="11"/>
  <c r="DA284" i="11"/>
  <c r="CZ284" i="11" s="1"/>
  <c r="CX284" i="11" s="1"/>
  <c r="DA306" i="11"/>
  <c r="CZ306" i="11" s="1"/>
  <c r="CX306" i="11" s="1"/>
  <c r="DA292" i="11"/>
  <c r="DA287" i="11"/>
  <c r="DA271" i="11"/>
  <c r="CZ271" i="11" s="1"/>
  <c r="DA299" i="11"/>
  <c r="DA300" i="11"/>
  <c r="DA278" i="11"/>
  <c r="CZ278" i="11" s="1"/>
  <c r="CX278" i="11" s="1"/>
  <c r="DA293" i="11"/>
  <c r="DA345" i="11" s="1"/>
  <c r="CZ345" i="11" s="1"/>
  <c r="DA289" i="11"/>
  <c r="DA294" i="11"/>
  <c r="DA296" i="11"/>
  <c r="DA279" i="11"/>
  <c r="CZ279" i="11" s="1"/>
  <c r="CX279" i="11" s="1"/>
  <c r="DA291" i="11" l="1"/>
  <c r="DA298" i="11"/>
  <c r="DA304" i="11"/>
  <c r="DA283" i="11"/>
  <c r="CZ283" i="11" s="1"/>
  <c r="CX283" i="11" s="1"/>
  <c r="DA281" i="11"/>
  <c r="CZ281" i="11" s="1"/>
  <c r="CX281" i="11" s="1"/>
  <c r="DA303" i="11"/>
  <c r="CZ303" i="11" s="1"/>
  <c r="CX303" i="11" s="1"/>
  <c r="DA280" i="11"/>
  <c r="CZ280" i="11" s="1"/>
  <c r="CX280" i="11" s="1"/>
  <c r="DA301" i="11"/>
  <c r="CZ301" i="11" s="1"/>
  <c r="CX301" i="11" s="1"/>
  <c r="DA302" i="11"/>
  <c r="CZ302" i="11" s="1"/>
  <c r="CX302" i="11" s="1"/>
  <c r="DA649" i="11"/>
  <c r="DA647" i="11"/>
  <c r="DA648" i="11" s="1"/>
  <c r="CZ296" i="11"/>
  <c r="CX296" i="11" s="1"/>
  <c r="DA346" i="11"/>
  <c r="CZ346" i="11" s="1"/>
  <c r="CX345" i="11"/>
  <c r="CX271" i="11"/>
  <c r="CZ272" i="11"/>
  <c r="CZ273" i="11"/>
  <c r="CZ289" i="11"/>
  <c r="CX289" i="11" s="1"/>
  <c r="DA344" i="11"/>
  <c r="CZ344" i="11" s="1"/>
  <c r="CZ304" i="11"/>
  <c r="CX304" i="11" s="1"/>
  <c r="DA347" i="11"/>
  <c r="CZ347" i="11" s="1"/>
  <c r="CZ287" i="11"/>
  <c r="CX287" i="11" s="1"/>
  <c r="DA343" i="11"/>
  <c r="CZ343" i="11" s="1"/>
  <c r="DA312" i="11"/>
  <c r="CZ293" i="11"/>
  <c r="CX293" i="11" s="1"/>
  <c r="CZ299" i="11"/>
  <c r="CX299" i="11" s="1"/>
  <c r="CZ298" i="11"/>
  <c r="CX298" i="11" s="1"/>
  <c r="CZ288" i="11"/>
  <c r="CX288" i="11" s="1"/>
  <c r="CZ294" i="11"/>
  <c r="CX294" i="11" s="1"/>
  <c r="CZ290" i="11"/>
  <c r="CZ291" i="11"/>
  <c r="CX291" i="11" s="1"/>
  <c r="CZ295" i="11"/>
  <c r="CX295" i="11" s="1"/>
  <c r="CZ292" i="11"/>
  <c r="CX292" i="11" s="1"/>
  <c r="CZ300" i="11"/>
  <c r="CX300" i="11" s="1"/>
  <c r="CZ297" i="11"/>
  <c r="CX297" i="11" s="1"/>
  <c r="DA23" i="11"/>
  <c r="DA22" i="11"/>
  <c r="DA432" i="11"/>
  <c r="DA433" i="11" s="1"/>
  <c r="DA272" i="11"/>
  <c r="DA273" i="11"/>
  <c r="DA403" i="11" s="1"/>
  <c r="DA21" i="11"/>
  <c r="DA26" i="11"/>
  <c r="DA25" i="11"/>
  <c r="DA24" i="11"/>
  <c r="DA20" i="11"/>
  <c r="DA311" i="11" l="1"/>
  <c r="DA19" i="11"/>
  <c r="DA342" i="11"/>
  <c r="CX312" i="11"/>
  <c r="CX343" i="11"/>
  <c r="CZ324" i="11"/>
  <c r="CZ333" i="11" s="1"/>
  <c r="CZ342" i="11"/>
  <c r="DA348" i="11"/>
  <c r="CZ326" i="11"/>
  <c r="CZ335" i="11" s="1"/>
  <c r="CX347" i="11"/>
  <c r="CZ328" i="11"/>
  <c r="CZ337" i="11" s="1"/>
  <c r="CX346" i="11"/>
  <c r="CZ327" i="11"/>
  <c r="CZ336" i="11" s="1"/>
  <c r="CZ325" i="11"/>
  <c r="CZ334" i="11" s="1"/>
  <c r="CX344" i="11"/>
  <c r="CX272" i="11"/>
  <c r="CX273" i="11"/>
  <c r="CZ311" i="11"/>
  <c r="CX290" i="11"/>
  <c r="CX311" i="11" s="1"/>
  <c r="CZ312" i="11"/>
  <c r="CX20" i="11"/>
  <c r="CZ20" i="11"/>
  <c r="CX24" i="11"/>
  <c r="CZ24" i="11"/>
  <c r="CZ19" i="11"/>
  <c r="CZ25" i="11"/>
  <c r="CX25" i="11"/>
  <c r="DA370" i="11"/>
  <c r="DA372" i="11"/>
  <c r="DA367" i="11"/>
  <c r="CX26" i="11"/>
  <c r="CZ26" i="11"/>
  <c r="DA655" i="11"/>
  <c r="DA444" i="11" s="1"/>
  <c r="DA652" i="11"/>
  <c r="DA656" i="11"/>
  <c r="DA445" i="11" s="1"/>
  <c r="DA653" i="11"/>
  <c r="DA442" i="11" s="1"/>
  <c r="DA308" i="11"/>
  <c r="DA316" i="11" s="1"/>
  <c r="DA657" i="11"/>
  <c r="DA446" i="11" s="1"/>
  <c r="DA654" i="11"/>
  <c r="DA443" i="11" s="1"/>
  <c r="DA434" i="11"/>
  <c r="DA371" i="11"/>
  <c r="CZ432" i="11"/>
  <c r="CZ433" i="11" s="1"/>
  <c r="CX22" i="11"/>
  <c r="CZ22" i="11"/>
  <c r="CX23" i="11"/>
  <c r="CZ23" i="11"/>
  <c r="DA368" i="11"/>
  <c r="DA369" i="11"/>
  <c r="CZ21" i="11"/>
  <c r="CX21" i="11" l="1"/>
  <c r="CZ348" i="11"/>
  <c r="DA349" i="11"/>
  <c r="DA350" i="11"/>
  <c r="CX342" i="11"/>
  <c r="CX323" i="11" s="1"/>
  <c r="CX332" i="11" s="1"/>
  <c r="CZ323" i="11"/>
  <c r="CZ332" i="11" s="1"/>
  <c r="CZ308" i="11"/>
  <c r="CX308" i="11" s="1"/>
  <c r="DA317" i="11"/>
  <c r="DA315" i="11"/>
  <c r="CZ434" i="11"/>
  <c r="CX432" i="11"/>
  <c r="CX433" i="11" s="1"/>
  <c r="CZ367" i="11"/>
  <c r="DA378" i="11"/>
  <c r="CX326" i="11"/>
  <c r="CX335" i="11" s="1"/>
  <c r="CZ370" i="11"/>
  <c r="CX19" i="11"/>
  <c r="CX324" i="11"/>
  <c r="CX333" i="11" s="1"/>
  <c r="CZ368" i="11"/>
  <c r="CX327" i="11"/>
  <c r="CX336" i="11" s="1"/>
  <c r="CZ371" i="11"/>
  <c r="DA441" i="11"/>
  <c r="DA658" i="11"/>
  <c r="CZ369" i="11"/>
  <c r="CX325" i="11"/>
  <c r="CX334" i="11" s="1"/>
  <c r="DA309" i="11"/>
  <c r="DA217" i="11" s="1"/>
  <c r="DA28" i="11"/>
  <c r="DA329" i="11"/>
  <c r="DA30" i="11"/>
  <c r="DA361" i="11"/>
  <c r="CX328" i="11"/>
  <c r="CX337" i="11" s="1"/>
  <c r="CZ372" i="11"/>
  <c r="CZ329" i="11" l="1"/>
  <c r="CX348" i="11"/>
  <c r="CX329" i="11" s="1"/>
  <c r="CX309" i="11"/>
  <c r="CX316" i="11"/>
  <c r="CX317" i="11"/>
  <c r="CX275" i="11"/>
  <c r="CX315" i="11"/>
  <c r="CZ309" i="11"/>
  <c r="CZ217" i="11" s="1"/>
  <c r="CZ317" i="11"/>
  <c r="CZ275" i="11"/>
  <c r="CZ315" i="11"/>
  <c r="CZ316" i="11"/>
  <c r="DA379" i="11"/>
  <c r="DH366" i="11"/>
  <c r="DA363" i="11"/>
  <c r="DA362" i="11"/>
  <c r="CX370" i="11"/>
  <c r="CX434" i="11"/>
  <c r="CZ378" i="11"/>
  <c r="DA448" i="11"/>
  <c r="DA449" i="11" s="1"/>
  <c r="DA659" i="11"/>
  <c r="CZ28" i="11"/>
  <c r="CX371" i="11"/>
  <c r="CX372" i="11"/>
  <c r="CX369" i="11"/>
  <c r="DA447" i="11"/>
  <c r="DA462" i="11" s="1"/>
  <c r="CZ361" i="11"/>
  <c r="CZ30" i="11"/>
  <c r="CX368" i="11"/>
  <c r="CX367" i="11"/>
  <c r="CX378" i="11" l="1"/>
  <c r="DG366" i="11"/>
  <c r="CZ363" i="11"/>
  <c r="CZ362" i="11"/>
  <c r="CX361" i="11"/>
  <c r="CX30" i="11"/>
  <c r="DA451" i="11"/>
  <c r="DA452" i="11" s="1"/>
  <c r="CX28" i="11"/>
  <c r="CX217" i="11"/>
  <c r="CZ379" i="11"/>
  <c r="CX362" i="11" l="1"/>
  <c r="DE366" i="11"/>
  <c r="CX363" i="11"/>
  <c r="CX379" i="11"/>
  <c r="CZ109" i="243" l="1"/>
  <c r="CZ117" i="243" s="1"/>
  <c r="CZ118" i="243" s="1"/>
  <c r="CZ110" i="243" l="1"/>
  <c r="DE109" i="243"/>
  <c r="DN122" i="243"/>
  <c r="DA109" i="243" l="1"/>
  <c r="DE117" i="243"/>
  <c r="DE122" i="243"/>
  <c r="DU122" i="243"/>
  <c r="DA122" i="243" l="1"/>
  <c r="DA117" i="243"/>
  <c r="DB117" i="243" s="1"/>
  <c r="DB109" i="243"/>
  <c r="DC109" i="243"/>
  <c r="EB122" i="243"/>
  <c r="DC117" i="243" l="1"/>
  <c r="DD117" i="243" s="1"/>
  <c r="EI122" i="243"/>
  <c r="DD109" i="243"/>
  <c r="EP122" i="243" l="1"/>
  <c r="CY189" i="243" l="1"/>
  <c r="CZ189" i="243"/>
  <c r="CZ188" i="243" s="1"/>
  <c r="CZ182" i="243" s="1"/>
  <c r="CY182" i="243" s="1"/>
  <c r="CW182" i="243" l="1"/>
  <c r="CW188" i="243" s="1"/>
  <c r="CY188" i="243"/>
  <c r="CW189" i="243"/>
  <c r="CZ81" i="2"/>
  <c r="V24" i="139" l="1"/>
  <c r="DD45" i="243" l="1"/>
  <c r="V25" i="139"/>
  <c r="V42" i="139" l="1"/>
  <c r="V43" i="139"/>
  <c r="V52" i="139"/>
  <c r="DC207" i="11" l="1"/>
  <c r="DG207" i="11"/>
  <c r="DE230" i="11"/>
  <c r="DG214" i="11"/>
  <c r="DE237" i="11"/>
  <c r="DE266" i="11" s="1"/>
  <c r="DG266" i="11"/>
  <c r="DC215" i="11"/>
  <c r="DG215" i="11"/>
  <c r="DE238" i="11"/>
  <c r="DE215" i="11" s="1"/>
  <c r="DG267" i="11"/>
  <c r="DC206" i="11"/>
  <c r="DC203" i="11"/>
  <c r="DC213" i="11"/>
  <c r="DG258" i="11"/>
  <c r="DC209" i="11"/>
  <c r="DG252" i="11"/>
  <c r="DG204" i="11"/>
  <c r="DE227" i="11"/>
  <c r="DE252" i="11" s="1"/>
  <c r="DG197" i="11"/>
  <c r="DE220" i="11"/>
  <c r="DE197" i="11" s="1"/>
  <c r="DG243" i="11"/>
  <c r="DG209" i="11"/>
  <c r="DE232" i="11"/>
  <c r="DG259" i="11"/>
  <c r="DG208" i="11"/>
  <c r="DE231" i="11"/>
  <c r="DE258" i="11" s="1"/>
  <c r="DG255" i="11"/>
  <c r="DG253" i="11"/>
  <c r="DG205" i="11"/>
  <c r="DE228" i="11"/>
  <c r="DE205" i="11" s="1"/>
  <c r="DG206" i="11"/>
  <c r="DE229" i="11"/>
  <c r="DE206" i="11" s="1"/>
  <c r="DG213" i="11"/>
  <c r="DE236" i="11"/>
  <c r="DE265" i="11" s="1"/>
  <c r="DG265" i="11"/>
  <c r="DG203" i="11"/>
  <c r="DE226" i="11"/>
  <c r="DE203" i="11" s="1"/>
  <c r="DG251" i="11"/>
  <c r="DG196" i="11"/>
  <c r="DE219" i="11"/>
  <c r="DG242" i="11"/>
  <c r="DC208" i="11"/>
  <c r="DC214" i="11"/>
  <c r="DC204" i="11"/>
  <c r="DC205" i="11"/>
  <c r="DE208" i="11" l="1"/>
  <c r="DG260" i="11"/>
  <c r="DC421" i="11"/>
  <c r="DG424" i="11"/>
  <c r="DG244" i="11"/>
  <c r="DG426" i="11"/>
  <c r="DE214" i="11"/>
  <c r="DE243" i="11"/>
  <c r="DC425" i="11"/>
  <c r="DG254" i="11"/>
  <c r="DE213" i="11"/>
  <c r="DE207" i="11"/>
  <c r="DC426" i="11"/>
  <c r="DC428" i="11"/>
  <c r="DG428" i="11"/>
  <c r="DE242" i="11"/>
  <c r="DC424" i="11"/>
  <c r="DE204" i="11"/>
  <c r="DE196" i="11"/>
  <c r="DE251" i="11"/>
  <c r="DE255" i="11"/>
  <c r="DE209" i="11"/>
  <c r="DE259" i="11"/>
  <c r="DG268" i="11"/>
  <c r="DG421" i="11"/>
  <c r="DE253" i="11"/>
  <c r="DE267" i="11"/>
  <c r="DE428" i="11" s="1"/>
  <c r="DE244" i="11" l="1"/>
  <c r="DE421" i="11"/>
  <c r="DE268" i="11"/>
  <c r="DC430" i="11"/>
  <c r="DC431" i="11" s="1"/>
  <c r="DE426" i="11"/>
  <c r="DE260" i="11"/>
  <c r="DE254" i="11"/>
  <c r="DE424" i="11"/>
  <c r="DB11" i="11" l="1"/>
  <c r="DH11" i="4"/>
  <c r="DH13" i="4" s="1"/>
  <c r="DH16" i="4"/>
  <c r="DH63" i="4"/>
  <c r="DH70" i="4" s="1"/>
  <c r="DH72" i="4" s="1"/>
  <c r="DB5" i="11" l="1"/>
  <c r="DI12" i="11"/>
  <c r="DB12" i="11"/>
  <c r="DB391" i="11"/>
  <c r="DC5" i="11"/>
  <c r="DC14" i="11" s="1"/>
  <c r="DA154" i="243"/>
  <c r="DA8" i="2"/>
  <c r="DH87" i="4"/>
  <c r="DH94" i="4" s="1"/>
  <c r="DH96" i="4" s="1"/>
  <c r="DH98" i="4" s="1"/>
  <c r="DB46" i="11"/>
  <c r="DB63" i="11"/>
  <c r="DB9" i="11"/>
  <c r="DH23" i="4"/>
  <c r="DI63" i="4"/>
  <c r="DI87" i="4" s="1"/>
  <c r="DB307" i="11" l="1"/>
  <c r="DC9" i="11"/>
  <c r="DC15" i="11" s="1"/>
  <c r="DC16" i="11" s="1"/>
  <c r="DI94" i="4"/>
  <c r="DI96" i="4" s="1"/>
  <c r="DI98" i="4" s="1"/>
  <c r="DI102" i="4"/>
  <c r="DI109" i="4" s="1"/>
  <c r="DI111" i="4" s="1"/>
  <c r="DI112" i="4" s="1"/>
  <c r="DA20" i="2"/>
  <c r="DA10" i="2"/>
  <c r="DA11" i="2" s="1"/>
  <c r="DA274" i="243"/>
  <c r="DA171" i="243"/>
  <c r="DA159" i="243"/>
  <c r="DA153" i="243"/>
  <c r="DA165" i="243"/>
  <c r="DA168" i="243"/>
  <c r="DA176" i="243"/>
  <c r="DA162" i="243"/>
  <c r="DA179" i="243"/>
  <c r="DH99" i="4"/>
  <c r="DI70" i="4"/>
  <c r="DI72" i="4" s="1"/>
  <c r="DH141" i="4"/>
  <c r="DH149" i="4" s="1"/>
  <c r="DI99" i="4" l="1"/>
  <c r="DB20" i="2"/>
  <c r="DB18" i="2" s="1"/>
  <c r="DB313" i="11"/>
  <c r="DC307" i="11"/>
  <c r="DC313" i="11" s="1"/>
  <c r="DH150" i="4"/>
  <c r="DI141" i="4"/>
  <c r="DI149" i="4" s="1"/>
  <c r="DH29" i="4" l="1"/>
  <c r="DH31" i="4" s="1"/>
  <c r="DI135" i="4" l="1"/>
  <c r="DH102" i="4"/>
  <c r="DH109" i="4" s="1"/>
  <c r="DH111" i="4" s="1"/>
  <c r="DO112" i="4" s="1"/>
  <c r="DH43" i="4"/>
  <c r="DH58" i="4"/>
  <c r="DH60" i="4" s="1"/>
  <c r="DA22" i="2" s="1"/>
  <c r="DH32" i="4"/>
  <c r="DA18" i="2" l="1"/>
  <c r="DA27" i="2"/>
  <c r="DA38" i="2" s="1"/>
  <c r="DH46" i="4"/>
  <c r="DH48" i="4" s="1"/>
  <c r="DA54" i="2" s="1"/>
  <c r="DB56" i="11"/>
  <c r="DC56" i="11" s="1"/>
  <c r="DC58" i="11" s="1"/>
  <c r="DJ60" i="11" s="1"/>
  <c r="DH112" i="4"/>
  <c r="DC59" i="11" l="1"/>
  <c r="DC60" i="11"/>
  <c r="DA42" i="2"/>
  <c r="DA46" i="2" s="1"/>
  <c r="DA41" i="2"/>
  <c r="DB58" i="11"/>
  <c r="DI60" i="11" s="1"/>
  <c r="DA56" i="2" l="1"/>
  <c r="DA57" i="2" s="1"/>
  <c r="DA3" i="242"/>
  <c r="DA21" i="242" s="1"/>
  <c r="DA51" i="2"/>
  <c r="DA47" i="2"/>
  <c r="DA48" i="2"/>
  <c r="DB59" i="11"/>
  <c r="DB60" i="11"/>
  <c r="DA62" i="2" l="1"/>
  <c r="DA63" i="2" s="1"/>
  <c r="DA61" i="2"/>
  <c r="DA42" i="242"/>
  <c r="DA45" i="242"/>
  <c r="DA49" i="242" s="1"/>
  <c r="DA59" i="2"/>
  <c r="DA196" i="243"/>
  <c r="DA56" i="242" l="1"/>
  <c r="DA61" i="242" s="1"/>
  <c r="DA58" i="242"/>
  <c r="DA60" i="242" s="1"/>
  <c r="DA66" i="2"/>
  <c r="DA65" i="2"/>
  <c r="DA194" i="243"/>
  <c r="DA195" i="243" l="1"/>
  <c r="DA59" i="243" l="1"/>
  <c r="DB42" i="11" l="1"/>
  <c r="DB43" i="11" s="1"/>
  <c r="DH122" i="4"/>
  <c r="DH124" i="4" s="1"/>
  <c r="DA15" i="2" s="1"/>
  <c r="DA13" i="2" l="1"/>
  <c r="DA156" i="243" s="1"/>
  <c r="DB15" i="2"/>
  <c r="DB13" i="2" s="1"/>
  <c r="DB156" i="243" s="1"/>
  <c r="DB356" i="11"/>
  <c r="DH125" i="4"/>
  <c r="DH132" i="4"/>
  <c r="DB357" i="11" l="1"/>
  <c r="DC356" i="11"/>
  <c r="DC357" i="11" s="1"/>
  <c r="DB374" i="11"/>
  <c r="DC374" i="11" l="1"/>
  <c r="DB389" i="11" l="1"/>
  <c r="DB393" i="11" l="1"/>
  <c r="DB390" i="11"/>
  <c r="DB394" i="11" s="1"/>
  <c r="DB395" i="11" l="1"/>
  <c r="DB384" i="11" l="1"/>
  <c r="DB383" i="11" s="1"/>
  <c r="DB406" i="11" s="1"/>
  <c r="DB275" i="11" s="1"/>
  <c r="DB271" i="11" s="1"/>
  <c r="DB436" i="11"/>
  <c r="DB437" i="11" s="1"/>
  <c r="DB300" i="11" l="1"/>
  <c r="DB292" i="11"/>
  <c r="DB283" i="11"/>
  <c r="DB291" i="11"/>
  <c r="DB280" i="11"/>
  <c r="DB342" i="11" s="1"/>
  <c r="DB367" i="11" s="1"/>
  <c r="DB303" i="11"/>
  <c r="DB284" i="11"/>
  <c r="DB299" i="11"/>
  <c r="DB304" i="11"/>
  <c r="DB296" i="11"/>
  <c r="DB287" i="11"/>
  <c r="DB279" i="11"/>
  <c r="DB295" i="11"/>
  <c r="DB285" i="11"/>
  <c r="DB301" i="11"/>
  <c r="DB286" i="11"/>
  <c r="DB305" i="11"/>
  <c r="DB289" i="11"/>
  <c r="DB294" i="11"/>
  <c r="DB302" i="11"/>
  <c r="DB293" i="11"/>
  <c r="DB278" i="11"/>
  <c r="DB298" i="11"/>
  <c r="DB281" i="11"/>
  <c r="DB312" i="11" s="1"/>
  <c r="DB282" i="11"/>
  <c r="DB297" i="11"/>
  <c r="DB288" i="11"/>
  <c r="DB290" i="11"/>
  <c r="DB306" i="11"/>
  <c r="DB311" i="11" l="1"/>
  <c r="DB26" i="11"/>
  <c r="DB20" i="11"/>
  <c r="DB21" i="11"/>
  <c r="DB23" i="11"/>
  <c r="DB346" i="11"/>
  <c r="DB344" i="11"/>
  <c r="DB345" i="11"/>
  <c r="DB22" i="11"/>
  <c r="DB19" i="11"/>
  <c r="DB343" i="11"/>
  <c r="DB24" i="11"/>
  <c r="DB347" i="11"/>
  <c r="DB25" i="11"/>
  <c r="DB368" i="11" l="1"/>
  <c r="DB348" i="11"/>
  <c r="DB370" i="11"/>
  <c r="DB372" i="11"/>
  <c r="DB369" i="11"/>
  <c r="DB371" i="11"/>
  <c r="DB30" i="11" l="1"/>
  <c r="DB329" i="11"/>
  <c r="DB27" i="11" l="1"/>
  <c r="DB353" i="11"/>
  <c r="DC353" i="11" s="1"/>
  <c r="DC354" i="11" s="1"/>
  <c r="DB373" i="11" l="1"/>
  <c r="DB432" i="11"/>
  <c r="DB433" i="11" s="1"/>
  <c r="DB272" i="11"/>
  <c r="DB273" i="11"/>
  <c r="DB308" i="11" s="1"/>
  <c r="DB309" i="11" l="1"/>
  <c r="DB217" i="11" s="1"/>
  <c r="DB317" i="11"/>
  <c r="DB316" i="11"/>
  <c r="DB315" i="11"/>
  <c r="DB28" i="11"/>
  <c r="DB434" i="11"/>
  <c r="DA189" i="243" l="1"/>
  <c r="DA188" i="243" s="1"/>
  <c r="DA182" i="243" s="1"/>
  <c r="DA73" i="243" l="1"/>
  <c r="DB69" i="243"/>
  <c r="DA64" i="243"/>
  <c r="DA66" i="243" s="1"/>
  <c r="DA85" i="243" s="1"/>
  <c r="DB71" i="243"/>
  <c r="DB72" i="243" l="1"/>
  <c r="DB73" i="243" s="1"/>
  <c r="DB64" i="243" l="1"/>
  <c r="DB66" i="243" s="1"/>
  <c r="DC69" i="243"/>
  <c r="DC72" i="243" s="1"/>
  <c r="DC64" i="243" s="1"/>
  <c r="DC66" i="243" s="1"/>
  <c r="DC85" i="243" s="1"/>
  <c r="DC73" i="243" l="1"/>
  <c r="DD69" i="243"/>
  <c r="DD72" i="243" s="1"/>
  <c r="DD73" i="243"/>
  <c r="DD64" i="243"/>
  <c r="DD66" i="243" s="1"/>
  <c r="DH476" i="11" l="1"/>
  <c r="DH465" i="11" s="1"/>
  <c r="DG256" i="11"/>
  <c r="DH256" i="11"/>
  <c r="DH257" i="11" s="1"/>
  <c r="DH123" i="11"/>
  <c r="DN201" i="4" s="1"/>
  <c r="CZ212" i="4" l="1"/>
  <c r="CZ214" i="4" s="1"/>
  <c r="CZ163" i="4" s="1"/>
  <c r="CZ167" i="4" s="1"/>
  <c r="DN213" i="4"/>
  <c r="DN214" i="4" s="1"/>
  <c r="DN163" i="4" s="1"/>
  <c r="DN167" i="4" s="1"/>
  <c r="DG123" i="11"/>
  <c r="DH129" i="11"/>
  <c r="DE256" i="11"/>
  <c r="DE257" i="11" s="1"/>
  <c r="DE270" i="11" s="1"/>
  <c r="DH425" i="11"/>
  <c r="DH466" i="11" s="1"/>
  <c r="DH467" i="11" s="1"/>
  <c r="DH270" i="11"/>
  <c r="DG257" i="11"/>
  <c r="DG270" i="11" s="1"/>
  <c r="DG425" i="11"/>
  <c r="DG430" i="11" s="1"/>
  <c r="DH143" i="11" l="1"/>
  <c r="DH153" i="11" s="1"/>
  <c r="DN203" i="4"/>
  <c r="DN206" i="4" s="1"/>
  <c r="DN208" i="4" s="1"/>
  <c r="DH518" i="11"/>
  <c r="DE123" i="11"/>
  <c r="DE87" i="11" s="1"/>
  <c r="DG129" i="11"/>
  <c r="DE425" i="11"/>
  <c r="DE430" i="11" s="1"/>
  <c r="DE431" i="11" s="1"/>
  <c r="DM201" i="4"/>
  <c r="DH430" i="11"/>
  <c r="DH431" i="11" s="1"/>
  <c r="DG395" i="11"/>
  <c r="DE395" i="11"/>
  <c r="DE436" i="11" s="1"/>
  <c r="DG431" i="11"/>
  <c r="DH395" i="11"/>
  <c r="DH384" i="11" s="1"/>
  <c r="DH145" i="11" l="1"/>
  <c r="DH148" i="11"/>
  <c r="DH159" i="11"/>
  <c r="DH164" i="11"/>
  <c r="DH154" i="11"/>
  <c r="DH144" i="11"/>
  <c r="DH160" i="11"/>
  <c r="DH162" i="11"/>
  <c r="DH157" i="11"/>
  <c r="DD360" i="11"/>
  <c r="DD377" i="11" s="1"/>
  <c r="DH149" i="11"/>
  <c r="DH150" i="11"/>
  <c r="DH163" i="11"/>
  <c r="DH161" i="11"/>
  <c r="DH152" i="11"/>
  <c r="DB360" i="11"/>
  <c r="DB377" i="11" s="1"/>
  <c r="DB378" i="11" s="1"/>
  <c r="DH155" i="11"/>
  <c r="DH158" i="11"/>
  <c r="DH156" i="11"/>
  <c r="DH165" i="11"/>
  <c r="DH151" i="11"/>
  <c r="DH74" i="11"/>
  <c r="DG84" i="2"/>
  <c r="DH383" i="11"/>
  <c r="DG384" i="11"/>
  <c r="DG383" i="11" s="1"/>
  <c r="DG87" i="11"/>
  <c r="DE95" i="11"/>
  <c r="DB361" i="11"/>
  <c r="DB362" i="11" s="1"/>
  <c r="DK201" i="4"/>
  <c r="DE437" i="11"/>
  <c r="DH436" i="11"/>
  <c r="DH437" i="11" s="1"/>
  <c r="DH396" i="11"/>
  <c r="DG436" i="11"/>
  <c r="DG437" i="11" s="1"/>
  <c r="DI366" i="11" l="1"/>
  <c r="DB379" i="11"/>
  <c r="DB363" i="11"/>
  <c r="DG95" i="11"/>
  <c r="DH87" i="11"/>
  <c r="DD46" i="11"/>
  <c r="DD47" i="11"/>
  <c r="DH95" i="11" l="1"/>
  <c r="DJ29" i="4"/>
  <c r="DJ31" i="4" s="1"/>
  <c r="DJ143" i="11" l="1"/>
  <c r="DJ74" i="11" s="1"/>
  <c r="DJ102" i="4"/>
  <c r="DJ109" i="4" s="1"/>
  <c r="DJ43" i="4"/>
  <c r="DJ58" i="4"/>
  <c r="DJ144" i="11" l="1"/>
  <c r="DJ145" i="11"/>
  <c r="DQ145" i="11"/>
  <c r="DQ144" i="11"/>
  <c r="DJ46" i="4"/>
  <c r="DD56" i="11"/>
  <c r="DE56" i="11" s="1"/>
  <c r="DE58" i="11" s="1"/>
  <c r="DE60" i="11" l="1"/>
  <c r="DD58" i="11"/>
  <c r="DD60" i="11" l="1"/>
  <c r="DD59" i="11"/>
  <c r="C4" i="244" l="1"/>
  <c r="W85" i="139"/>
  <c r="DH374" i="11"/>
  <c r="DG356" i="11"/>
  <c r="D4" i="244" l="1"/>
  <c r="D15" i="244" s="1"/>
  <c r="D23" i="244" s="1"/>
  <c r="D27" i="244" s="1"/>
  <c r="F4" i="244"/>
  <c r="F15" i="244" s="1"/>
  <c r="F23" i="244" s="1"/>
  <c r="F27" i="244" s="1"/>
  <c r="C10" i="244"/>
  <c r="C22" i="244" s="1"/>
  <c r="DE356" i="11"/>
  <c r="DG374" i="11"/>
  <c r="DH646" i="11"/>
  <c r="C12" i="244" l="1"/>
  <c r="DM141" i="4"/>
  <c r="DM149" i="4" s="1"/>
  <c r="DE374" i="11"/>
  <c r="DF20" i="2"/>
  <c r="W88" i="139"/>
  <c r="C15" i="244" l="1"/>
  <c r="DL136" i="4"/>
  <c r="DM136" i="4" s="1"/>
  <c r="W91" i="139"/>
  <c r="W97" i="139" s="1"/>
  <c r="DK141" i="4"/>
  <c r="DK149" i="4" s="1"/>
  <c r="DF15" i="2"/>
  <c r="DJ13" i="4"/>
  <c r="C16" i="244" l="1"/>
  <c r="C23" i="244"/>
  <c r="C24" i="244" s="1"/>
  <c r="W12" i="139"/>
  <c r="AD12" i="139" s="1"/>
  <c r="DC154" i="243"/>
  <c r="DJ125" i="4"/>
  <c r="DJ136" i="4"/>
  <c r="DL138" i="4"/>
  <c r="DM134" i="4" s="1"/>
  <c r="DH136" i="4"/>
  <c r="DC8" i="2"/>
  <c r="DJ99" i="4"/>
  <c r="DJ23" i="4"/>
  <c r="DJ150" i="4"/>
  <c r="DJ32" i="4"/>
  <c r="DL150" i="4"/>
  <c r="W28" i="139" l="1"/>
  <c r="C34" i="244"/>
  <c r="C33" i="244" s="1"/>
  <c r="DC153" i="243"/>
  <c r="DC171" i="243"/>
  <c r="DC162" i="243"/>
  <c r="DC165" i="243"/>
  <c r="DC159" i="243"/>
  <c r="DC176" i="243"/>
  <c r="DC168" i="243"/>
  <c r="DC179" i="243"/>
  <c r="DD34" i="243"/>
  <c r="DD178" i="243" s="1"/>
  <c r="W15" i="139"/>
  <c r="W17" i="139"/>
  <c r="W19" i="139"/>
  <c r="AD19" i="139" s="1"/>
  <c r="DI136" i="4"/>
  <c r="DH138" i="4"/>
  <c r="DI134" i="4" s="1"/>
  <c r="DM135" i="4"/>
  <c r="DD8" i="243"/>
  <c r="DD164" i="243" s="1"/>
  <c r="DD10" i="243"/>
  <c r="DD167" i="243" s="1"/>
  <c r="DC10" i="2"/>
  <c r="DC11" i="2" s="1"/>
  <c r="DC274" i="243"/>
  <c r="DI150" i="4"/>
  <c r="DK136" i="4"/>
  <c r="DD3" i="243" l="1"/>
  <c r="W30" i="139"/>
  <c r="AD17" i="139"/>
  <c r="W35" i="139"/>
  <c r="DD4" i="243"/>
  <c r="DD161" i="243" s="1"/>
  <c r="AD18" i="139"/>
  <c r="DK135" i="4"/>
  <c r="DD30" i="243"/>
  <c r="DD173" i="243" s="1"/>
  <c r="DU134" i="4"/>
  <c r="DL153" i="4"/>
  <c r="DM138" i="4"/>
  <c r="DD29" i="243"/>
  <c r="W29" i="139"/>
  <c r="AD15" i="139"/>
  <c r="W34" i="139"/>
  <c r="W67" i="139"/>
  <c r="DD15" i="243"/>
  <c r="W16" i="139"/>
  <c r="AD16" i="139" s="1"/>
  <c r="DI138" i="4"/>
  <c r="DJ134" i="4" s="1"/>
  <c r="DJ138" i="4" s="1"/>
  <c r="DK134" i="4" s="1"/>
  <c r="DD40" i="243" l="1"/>
  <c r="DD174" i="243" s="1"/>
  <c r="DD175" i="243" s="1"/>
  <c r="DD158" i="243"/>
  <c r="DM153" i="4"/>
  <c r="DE89" i="243"/>
  <c r="DL154" i="4"/>
  <c r="DH153" i="4"/>
  <c r="DI153" i="4" s="1"/>
  <c r="DI154" i="4" s="1"/>
  <c r="DD170" i="243"/>
  <c r="DD35" i="243"/>
  <c r="DK138" i="4"/>
  <c r="DC54" i="242"/>
  <c r="W13" i="139"/>
  <c r="AD13" i="139" s="1"/>
  <c r="W14" i="139"/>
  <c r="AD14" i="139" s="1"/>
  <c r="DD186" i="243" l="1"/>
  <c r="DA89" i="243"/>
  <c r="DH154" i="4"/>
  <c r="DH156" i="4" s="1"/>
  <c r="DI152" i="4" s="1"/>
  <c r="DI156" i="4" s="1"/>
  <c r="DJ152" i="4" s="1"/>
  <c r="W80" i="139"/>
  <c r="DD185" i="243"/>
  <c r="DL156" i="4"/>
  <c r="DM152" i="4" s="1"/>
  <c r="DE116" i="243"/>
  <c r="DE96" i="243"/>
  <c r="DN88" i="243"/>
  <c r="DE108" i="243"/>
  <c r="DG100" i="2"/>
  <c r="DM154" i="4"/>
  <c r="DJ153" i="4"/>
  <c r="DU152" i="4"/>
  <c r="DN115" i="243" l="1"/>
  <c r="DB89" i="243"/>
  <c r="DA108" i="243"/>
  <c r="DB108" i="243" s="1"/>
  <c r="DN107" i="243"/>
  <c r="W81" i="139"/>
  <c r="W82" i="139"/>
  <c r="DE98" i="243"/>
  <c r="DE84" i="243" s="1"/>
  <c r="DE83" i="243" s="1"/>
  <c r="DE91" i="243" s="1"/>
  <c r="DE90" i="243" s="1"/>
  <c r="DC90" i="243" s="1"/>
  <c r="DD90" i="243" s="1"/>
  <c r="DN95" i="243"/>
  <c r="DE123" i="243"/>
  <c r="DE119" i="243"/>
  <c r="DE103" i="243" s="1"/>
  <c r="DE102" i="243" s="1"/>
  <c r="DE111" i="243" s="1"/>
  <c r="DE110" i="243" s="1"/>
  <c r="DC110" i="243" s="1"/>
  <c r="DD110" i="243" s="1"/>
  <c r="DM156" i="4"/>
  <c r="DK153" i="4"/>
  <c r="DC89" i="243"/>
  <c r="DC108" i="243" s="1"/>
  <c r="DJ154" i="4"/>
  <c r="DJ156" i="4" s="1"/>
  <c r="DK152" i="4" s="1"/>
  <c r="C37" i="244"/>
  <c r="DG102" i="2"/>
  <c r="W38" i="139"/>
  <c r="W40" i="139" s="1"/>
  <c r="DA96" i="243"/>
  <c r="DA98" i="243" s="1"/>
  <c r="DA116" i="243"/>
  <c r="DB116" i="243" s="1"/>
  <c r="DE92" i="243" l="1"/>
  <c r="C39" i="244"/>
  <c r="C35" i="244"/>
  <c r="C36" i="244" s="1"/>
  <c r="W22" i="139"/>
  <c r="AD22" i="139" s="1"/>
  <c r="DB123" i="243"/>
  <c r="W20" i="139"/>
  <c r="AD20" i="139" s="1"/>
  <c r="DB96" i="243"/>
  <c r="DE112" i="243"/>
  <c r="DN109" i="243"/>
  <c r="DL109" i="243" s="1"/>
  <c r="DC116" i="243"/>
  <c r="DC123" i="243" s="1"/>
  <c r="DC96" i="243"/>
  <c r="DK154" i="4"/>
  <c r="DD89" i="243"/>
  <c r="DD108" i="243" s="1"/>
  <c r="DA119" i="243"/>
  <c r="DA123" i="243"/>
  <c r="DA84" i="243"/>
  <c r="DA83" i="243" s="1"/>
  <c r="DA91" i="243" s="1"/>
  <c r="DB95" i="243"/>
  <c r="DL122" i="243" l="1"/>
  <c r="DL117" i="243"/>
  <c r="DB98" i="243"/>
  <c r="DB84" i="243" s="1"/>
  <c r="DD14" i="243"/>
  <c r="DC53" i="242"/>
  <c r="DC31" i="242"/>
  <c r="DD96" i="243"/>
  <c r="DD116" i="243"/>
  <c r="DD123" i="243" s="1"/>
  <c r="DN117" i="243"/>
  <c r="DH109" i="243"/>
  <c r="DI109" i="243" s="1"/>
  <c r="DA103" i="243"/>
  <c r="DA102" i="243" s="1"/>
  <c r="DA111" i="243" s="1"/>
  <c r="DB115" i="243"/>
  <c r="DB119" i="243" s="1"/>
  <c r="W21" i="139"/>
  <c r="DD53" i="243"/>
  <c r="DD56" i="243" s="1"/>
  <c r="DD13" i="243"/>
  <c r="DE125" i="243"/>
  <c r="DE121" i="243"/>
  <c r="W61" i="139"/>
  <c r="DA90" i="243"/>
  <c r="DB90" i="243" s="1"/>
  <c r="DA92" i="243"/>
  <c r="DB88" i="243"/>
  <c r="DK156" i="4"/>
  <c r="DH117" i="243" l="1"/>
  <c r="DI117" i="243" s="1"/>
  <c r="DH122" i="243"/>
  <c r="DC95" i="243"/>
  <c r="DC98" i="243" s="1"/>
  <c r="DC84" i="243" s="1"/>
  <c r="DC83" i="243" s="1"/>
  <c r="DD22" i="243"/>
  <c r="DB91" i="243"/>
  <c r="DB83" i="243" s="1"/>
  <c r="DB85" i="243" s="1"/>
  <c r="W39" i="139"/>
  <c r="W41" i="139" s="1"/>
  <c r="W46" i="139"/>
  <c r="W77" i="139"/>
  <c r="DB103" i="243"/>
  <c r="DC115" i="243"/>
  <c r="DC119" i="243" s="1"/>
  <c r="DC103" i="243" s="1"/>
  <c r="DC102" i="243" s="1"/>
  <c r="DB107" i="243"/>
  <c r="DA110" i="243"/>
  <c r="DB110" i="243" s="1"/>
  <c r="DA112" i="243"/>
  <c r="DM109" i="243"/>
  <c r="W23" i="139"/>
  <c r="DN260" i="243"/>
  <c r="DN34" i="242" s="1"/>
  <c r="AD21" i="139"/>
  <c r="W31" i="139"/>
  <c r="W48" i="139"/>
  <c r="W64" i="139"/>
  <c r="DC51" i="242"/>
  <c r="DC52" i="242"/>
  <c r="DD95" i="243" l="1"/>
  <c r="DD98" i="243" s="1"/>
  <c r="DD84" i="243" s="1"/>
  <c r="DC88" i="243"/>
  <c r="DC91" i="243" s="1"/>
  <c r="DD88" i="243" s="1"/>
  <c r="DD91" i="243" s="1"/>
  <c r="DB92" i="243"/>
  <c r="W37" i="139"/>
  <c r="W53" i="139"/>
  <c r="AD23" i="139"/>
  <c r="DB111" i="243"/>
  <c r="DB122" i="243"/>
  <c r="DM117" i="243"/>
  <c r="DD115" i="243"/>
  <c r="DD119" i="243" s="1"/>
  <c r="DD103" i="243" s="1"/>
  <c r="W36" i="139"/>
  <c r="DJ109" i="243"/>
  <c r="DA125" i="243"/>
  <c r="DA121" i="243"/>
  <c r="DD42" i="243"/>
  <c r="DD47" i="243" s="1"/>
  <c r="DD49" i="243" s="1"/>
  <c r="DD58" i="243" s="1"/>
  <c r="DG98" i="2"/>
  <c r="DN38" i="242"/>
  <c r="DC92" i="243" l="1"/>
  <c r="DJ117" i="243"/>
  <c r="DK117" i="243" s="1"/>
  <c r="DD83" i="243"/>
  <c r="DD85" i="243" s="1"/>
  <c r="DD92" i="243"/>
  <c r="DK109" i="243"/>
  <c r="DM34" i="242"/>
  <c r="DG96" i="2"/>
  <c r="W66" i="139"/>
  <c r="DB112" i="243"/>
  <c r="DB102" i="243"/>
  <c r="DB104" i="243" s="1"/>
  <c r="DC107" i="243"/>
  <c r="DB125" i="243" l="1"/>
  <c r="DB121" i="243"/>
  <c r="W71" i="139"/>
  <c r="W70" i="139"/>
  <c r="W7" i="139"/>
  <c r="W9" i="139" s="1"/>
  <c r="DD7" i="243"/>
  <c r="DD80" i="242" s="1"/>
  <c r="DD82" i="242" s="1"/>
  <c r="DD86" i="242" s="1"/>
  <c r="DF241" i="243"/>
  <c r="DF243" i="243" s="1"/>
  <c r="DC122" i="243"/>
  <c r="DC111" i="243"/>
  <c r="DN245" i="243"/>
  <c r="DM38" i="242"/>
  <c r="DK34" i="242"/>
  <c r="DK38" i="242" s="1"/>
  <c r="W56" i="139" l="1"/>
  <c r="W50" i="139"/>
  <c r="DG97" i="2"/>
  <c r="W47" i="139"/>
  <c r="W49" i="139"/>
  <c r="W51" i="139"/>
  <c r="W73" i="139"/>
  <c r="W75" i="139"/>
  <c r="DN30" i="2"/>
  <c r="DD241" i="243"/>
  <c r="DD243" i="243" s="1"/>
  <c r="DD11" i="243"/>
  <c r="DD24" i="243" s="1"/>
  <c r="DD59" i="243" s="1"/>
  <c r="DC112" i="243"/>
  <c r="DD107" i="243"/>
  <c r="DD111" i="243" l="1"/>
  <c r="DD122" i="243"/>
  <c r="W57" i="139"/>
  <c r="W58" i="139"/>
  <c r="DC125" i="243"/>
  <c r="DC121" i="243"/>
  <c r="W76" i="139"/>
  <c r="DN31" i="2"/>
  <c r="DD102" i="243" l="1"/>
  <c r="DD104" i="243" s="1"/>
  <c r="DD112" i="243"/>
  <c r="DN36" i="2"/>
  <c r="F29" i="244" l="1"/>
  <c r="F30" i="244" s="1"/>
  <c r="F31" i="244" s="1"/>
  <c r="D29" i="244"/>
  <c r="D30" i="244" s="1"/>
  <c r="D31" i="244" s="1"/>
  <c r="DD125" i="243"/>
  <c r="DD121" i="243"/>
  <c r="DL47" i="4" l="1"/>
  <c r="DI47" i="4" l="1"/>
  <c r="DI48" i="4" s="1"/>
  <c r="DB54" i="2" s="1"/>
  <c r="DM47" i="4"/>
  <c r="DL48" i="4"/>
  <c r="DE54" i="2" s="1"/>
  <c r="DE56" i="2" s="1"/>
  <c r="DE196" i="243"/>
  <c r="DB56" i="2" l="1"/>
  <c r="DF56" i="2"/>
  <c r="DK47" i="4"/>
  <c r="DK48" i="4" s="1"/>
  <c r="DD54" i="2" s="1"/>
  <c r="DM48" i="4"/>
  <c r="DE57" i="2"/>
  <c r="DE61" i="2" s="1"/>
  <c r="DE59" i="2"/>
  <c r="DE65" i="2" s="1"/>
  <c r="DF22" i="2"/>
  <c r="DB57" i="2"/>
  <c r="DB59" i="2"/>
  <c r="DJ48" i="4"/>
  <c r="DB196" i="243"/>
  <c r="DE194" i="243"/>
  <c r="DE195" i="243" s="1"/>
  <c r="DF196" i="243"/>
  <c r="DE66" i="2" l="1"/>
  <c r="DE62" i="2"/>
  <c r="DF27" i="2"/>
  <c r="DF38" i="2" s="1"/>
  <c r="DF18" i="2"/>
  <c r="DB65" i="2"/>
  <c r="DB66" i="2"/>
  <c r="DB61" i="2"/>
  <c r="DB62" i="2"/>
  <c r="DC54" i="2"/>
  <c r="DB194" i="243"/>
  <c r="DB197" i="243" s="1"/>
  <c r="DF194" i="243"/>
  <c r="DF195" i="243" s="1"/>
  <c r="DJ60" i="4"/>
  <c r="DJ110" i="4"/>
  <c r="DJ111" i="4" s="1"/>
  <c r="DB63" i="2" l="1"/>
  <c r="DI63" i="2"/>
  <c r="DE63" i="2"/>
  <c r="DL63" i="2"/>
  <c r="DF42" i="2"/>
  <c r="DF46" i="2" s="1"/>
  <c r="DF3" i="242" s="1"/>
  <c r="DF21" i="242" s="1"/>
  <c r="DF41" i="2"/>
  <c r="DJ112" i="4"/>
  <c r="DC22" i="2"/>
  <c r="DB195" i="243"/>
  <c r="DF197" i="243"/>
  <c r="DF42" i="242" l="1"/>
  <c r="DF45" i="242"/>
  <c r="DF49" i="242" s="1"/>
  <c r="DF51" i="2"/>
  <c r="DF48" i="2"/>
  <c r="DF47" i="2"/>
  <c r="DC27" i="2"/>
  <c r="DC18" i="2"/>
  <c r="DC13" i="2" s="1"/>
  <c r="DC156" i="243" s="1"/>
  <c r="DF56" i="242" l="1"/>
  <c r="DF61" i="242" s="1"/>
  <c r="DF58" i="242"/>
  <c r="DF60" i="242" s="1"/>
  <c r="DE59" i="243"/>
  <c r="DF246" i="243"/>
  <c r="DD245" i="243" l="1"/>
  <c r="DC36" i="2"/>
  <c r="DC38" i="2" s="1"/>
  <c r="DC41" i="2" s="1"/>
  <c r="DC42" i="2" l="1"/>
  <c r="DC46" i="2" s="1"/>
  <c r="DC56" i="2" s="1"/>
  <c r="DD56" i="2" s="1"/>
  <c r="DD59" i="2" l="1"/>
  <c r="DD57" i="2"/>
  <c r="DC3" i="242"/>
  <c r="DC48" i="2"/>
  <c r="DC47" i="2"/>
  <c r="DC51" i="2"/>
  <c r="DC56" i="243"/>
  <c r="DC196" i="243"/>
  <c r="DD61" i="2" l="1"/>
  <c r="DD62" i="2"/>
  <c r="DD63" i="2" s="1"/>
  <c r="DD66" i="2"/>
  <c r="DD65" i="2"/>
  <c r="DD196" i="243"/>
  <c r="DC57" i="2"/>
  <c r="DC194" i="243"/>
  <c r="DD194" i="243" s="1"/>
  <c r="DC59" i="2"/>
  <c r="DD197" i="243" l="1"/>
  <c r="DC195" i="243"/>
  <c r="DC61" i="2"/>
  <c r="DC62" i="2"/>
  <c r="DC65" i="2"/>
  <c r="DC66" i="2"/>
  <c r="DD195" i="243"/>
  <c r="DC63" i="2" l="1"/>
  <c r="DC27" i="11" l="1"/>
  <c r="DF27" i="11"/>
  <c r="DF373" i="11"/>
  <c r="DC373" i="11" l="1"/>
  <c r="DF360" i="11" l="1"/>
  <c r="DF389" i="11"/>
  <c r="DC389" i="11" s="1"/>
  <c r="DC360" i="11" l="1"/>
  <c r="DC377" i="11" s="1"/>
  <c r="DF377" i="11"/>
  <c r="DF393" i="11"/>
  <c r="DF390" i="11"/>
  <c r="DF394" i="11" l="1"/>
  <c r="DC394" i="11" s="1"/>
  <c r="DC395" i="11" s="1"/>
  <c r="DC390" i="11"/>
  <c r="DC391" i="11" s="1"/>
  <c r="DF395" i="11" l="1"/>
  <c r="DF436" i="11" s="1"/>
  <c r="DF437" i="11" s="1"/>
  <c r="DC384" i="11"/>
  <c r="DC383" i="11" s="1"/>
  <c r="DC406" i="11" s="1"/>
  <c r="DC436" i="11"/>
  <c r="DC437" i="11" s="1"/>
  <c r="DF384" i="11"/>
  <c r="DF383" i="11" s="1"/>
  <c r="DF406" i="11" l="1"/>
  <c r="DF275" i="11" s="1"/>
  <c r="DF283" i="11" l="1"/>
  <c r="DC283" i="11" s="1"/>
  <c r="DF304" i="11"/>
  <c r="DF24" i="11" s="1"/>
  <c r="DF288" i="11"/>
  <c r="DF286" i="11"/>
  <c r="DC286" i="11" s="1"/>
  <c r="DC20" i="11" s="1"/>
  <c r="DF289" i="11"/>
  <c r="DF296" i="11"/>
  <c r="DF23" i="11" s="1"/>
  <c r="DF291" i="11"/>
  <c r="DC291" i="11" s="1"/>
  <c r="DF282" i="11"/>
  <c r="DC282" i="11" s="1"/>
  <c r="DF292" i="11"/>
  <c r="DC292" i="11" s="1"/>
  <c r="DF303" i="11"/>
  <c r="DC303" i="11" s="1"/>
  <c r="DF279" i="11"/>
  <c r="DC279" i="11" s="1"/>
  <c r="DF281" i="11"/>
  <c r="DF298" i="11"/>
  <c r="DC298" i="11" s="1"/>
  <c r="DF294" i="11"/>
  <c r="DC294" i="11" s="1"/>
  <c r="DF301" i="11"/>
  <c r="DC301" i="11" s="1"/>
  <c r="DF295" i="11"/>
  <c r="DC295" i="11" s="1"/>
  <c r="DF280" i="11"/>
  <c r="DF300" i="11"/>
  <c r="DC300" i="11" s="1"/>
  <c r="DF287" i="11"/>
  <c r="DC287" i="11" s="1"/>
  <c r="DF285" i="11"/>
  <c r="DC285" i="11" s="1"/>
  <c r="DF290" i="11"/>
  <c r="DC290" i="11" s="1"/>
  <c r="DC21" i="11" s="1"/>
  <c r="DF278" i="11"/>
  <c r="DC278" i="11" s="1"/>
  <c r="DF306" i="11"/>
  <c r="DC306" i="11" s="1"/>
  <c r="DC26" i="11" s="1"/>
  <c r="DF284" i="11"/>
  <c r="DC284" i="11" s="1"/>
  <c r="DF271" i="11"/>
  <c r="DF297" i="11"/>
  <c r="DC297" i="11" s="1"/>
  <c r="DF293" i="11"/>
  <c r="DF305" i="11"/>
  <c r="DC305" i="11" s="1"/>
  <c r="DC25" i="11" s="1"/>
  <c r="DF302" i="11"/>
  <c r="DC302" i="11" s="1"/>
  <c r="DF299" i="11"/>
  <c r="DC299" i="11" s="1"/>
  <c r="DF273" i="11"/>
  <c r="DF308" i="11" s="1"/>
  <c r="DC271" i="11" l="1"/>
  <c r="DC432" i="11" s="1"/>
  <c r="DC433" i="11" s="1"/>
  <c r="DF272" i="11"/>
  <c r="DF432" i="11"/>
  <c r="DF433" i="11" s="1"/>
  <c r="DF434" i="11" s="1"/>
  <c r="DF19" i="11"/>
  <c r="DF20" i="11"/>
  <c r="DF25" i="11"/>
  <c r="DF21" i="11"/>
  <c r="DC293" i="11"/>
  <c r="DC22" i="11" s="1"/>
  <c r="DF345" i="11"/>
  <c r="DC345" i="11" s="1"/>
  <c r="DF22" i="11"/>
  <c r="DC281" i="11"/>
  <c r="DF312" i="11"/>
  <c r="DF316" i="11" s="1"/>
  <c r="DF343" i="11"/>
  <c r="DC343" i="11" s="1"/>
  <c r="DC288" i="11"/>
  <c r="DC296" i="11"/>
  <c r="DF346" i="11"/>
  <c r="DC346" i="11" s="1"/>
  <c r="DC304" i="11"/>
  <c r="DC24" i="11" s="1"/>
  <c r="DF347" i="11"/>
  <c r="DC347" i="11" s="1"/>
  <c r="DC308" i="11"/>
  <c r="DF317" i="11"/>
  <c r="DF26" i="11"/>
  <c r="DC280" i="11"/>
  <c r="DC311" i="11" s="1"/>
  <c r="DF311" i="11"/>
  <c r="DF315" i="11" s="1"/>
  <c r="DF342" i="11"/>
  <c r="DF344" i="11"/>
  <c r="DC344" i="11" s="1"/>
  <c r="DC289" i="11"/>
  <c r="DF309" i="11"/>
  <c r="DF217" i="11" s="1"/>
  <c r="DF28" i="11"/>
  <c r="DC273" i="11" l="1"/>
  <c r="DC272" i="11"/>
  <c r="DC328" i="11"/>
  <c r="DC337" i="11" s="1"/>
  <c r="DC326" i="11"/>
  <c r="DC335" i="11" s="1"/>
  <c r="DF368" i="11"/>
  <c r="DC324" i="11"/>
  <c r="DC333" i="11" s="1"/>
  <c r="DC315" i="11"/>
  <c r="DF370" i="11"/>
  <c r="DF369" i="11"/>
  <c r="DC342" i="11"/>
  <c r="DC323" i="11" s="1"/>
  <c r="DC332" i="11" s="1"/>
  <c r="DF348" i="11"/>
  <c r="DC348" i="11" s="1"/>
  <c r="DC329" i="11" s="1"/>
  <c r="DC19" i="11"/>
  <c r="DF371" i="11"/>
  <c r="DC309" i="11"/>
  <c r="DC217" i="11" s="1"/>
  <c r="DC317" i="11"/>
  <c r="DC327" i="11"/>
  <c r="DC336" i="11" s="1"/>
  <c r="DC23" i="11"/>
  <c r="DC312" i="11"/>
  <c r="DC316" i="11" s="1"/>
  <c r="DF372" i="11"/>
  <c r="DF367" i="11"/>
  <c r="DC325" i="11"/>
  <c r="DC334" i="11" s="1"/>
  <c r="DC275" i="11"/>
  <c r="DC434" i="11"/>
  <c r="DC372" i="11"/>
  <c r="DC368" i="11"/>
  <c r="DC28" i="11"/>
  <c r="DC371" i="11"/>
  <c r="DC369" i="11"/>
  <c r="DC370" i="11"/>
  <c r="DC367" i="11" l="1"/>
  <c r="DC378" i="11" s="1"/>
  <c r="DF378" i="11"/>
  <c r="DF329" i="11"/>
  <c r="DF361" i="11"/>
  <c r="DC361" i="11" s="1"/>
  <c r="DC362" i="11" s="1"/>
  <c r="DF30" i="11"/>
  <c r="DG357" i="11"/>
  <c r="DC30" i="11"/>
  <c r="DF379" i="11" l="1"/>
  <c r="DF363" i="11"/>
  <c r="DF362" i="11"/>
  <c r="DM366" i="11"/>
  <c r="DC379" i="11"/>
  <c r="DJ366" i="11"/>
  <c r="DC363" i="11"/>
  <c r="DF8" i="2"/>
  <c r="DF10" i="2" l="1"/>
  <c r="DF11" i="2" s="1"/>
  <c r="DF13" i="2"/>
  <c r="DF156" i="243" s="1"/>
  <c r="DM150" i="4"/>
  <c r="DF274" i="243" l="1"/>
  <c r="DF54" i="2" l="1"/>
  <c r="DF57" i="2" l="1"/>
  <c r="DF59" i="2"/>
  <c r="DF66" i="2" l="1"/>
  <c r="DF65" i="2"/>
  <c r="DF62" i="2"/>
  <c r="DF63" i="2" s="1"/>
  <c r="DF61" i="2"/>
  <c r="DE189" i="243" l="1"/>
  <c r="DE188" i="243" s="1"/>
  <c r="DE182" i="243" s="1"/>
  <c r="DB189" i="243" l="1"/>
  <c r="DB188" i="243" s="1"/>
  <c r="DC188" i="243" s="1"/>
  <c r="DB182" i="243" l="1"/>
  <c r="DC58" i="243" s="1"/>
  <c r="DC21" i="242" l="1"/>
  <c r="DC46" i="242"/>
  <c r="DC45" i="242" l="1"/>
  <c r="DC49" i="242" s="1"/>
  <c r="DC42" i="242"/>
  <c r="DC56" i="242" l="1"/>
  <c r="DC61" i="242" s="1"/>
  <c r="DC58" i="242"/>
  <c r="DC60" i="242" s="1"/>
  <c r="DC24" i="243"/>
  <c r="DC59" i="243" s="1"/>
  <c r="DC80" i="242"/>
  <c r="DC82" i="242" s="1"/>
  <c r="DC86" i="242" s="1"/>
  <c r="DD246" i="243"/>
  <c r="DO204" i="4" l="1"/>
  <c r="DO206" i="4" s="1"/>
  <c r="DO208" i="4" s="1"/>
  <c r="DI143" i="11"/>
  <c r="DI74" i="11" s="1"/>
  <c r="DO139" i="11" l="1"/>
  <c r="DO137" i="11" s="1"/>
  <c r="DP144" i="11"/>
  <c r="DI145" i="11"/>
  <c r="DI144" i="11"/>
  <c r="DM143" i="11"/>
  <c r="DP145" i="11"/>
  <c r="DU204" i="4" l="1"/>
  <c r="DU206" i="4" s="1"/>
  <c r="DU208" i="4" s="1"/>
  <c r="DO519" i="11"/>
  <c r="DO143" i="11"/>
  <c r="DO164" i="11" s="1"/>
  <c r="DO483" i="11"/>
  <c r="DO138" i="11"/>
  <c r="DO484" i="11" s="1"/>
  <c r="DO465" i="11" s="1"/>
  <c r="DG212" i="4" s="1"/>
  <c r="DG214" i="4" s="1"/>
  <c r="DG163" i="4" s="1"/>
  <c r="DG167" i="4" s="1"/>
  <c r="DO266" i="11"/>
  <c r="DO568" i="11"/>
  <c r="DM74" i="11"/>
  <c r="DM145" i="11"/>
  <c r="DT144" i="11"/>
  <c r="DM144" i="11"/>
  <c r="DT145" i="11"/>
  <c r="DO152" i="11" l="1"/>
  <c r="DO149" i="11"/>
  <c r="DO156" i="11"/>
  <c r="DO158" i="11"/>
  <c r="DO151" i="11"/>
  <c r="DN84" i="2"/>
  <c r="DO150" i="11"/>
  <c r="DO160" i="11"/>
  <c r="DO157" i="11"/>
  <c r="DN138" i="11"/>
  <c r="DO162" i="11"/>
  <c r="DO155" i="11"/>
  <c r="DO165" i="11"/>
  <c r="DO267" i="11"/>
  <c r="DO428" i="11" s="1"/>
  <c r="DO430" i="11" s="1"/>
  <c r="DO161" i="11"/>
  <c r="DO153" i="11"/>
  <c r="DO74" i="11"/>
  <c r="DO148" i="11"/>
  <c r="DO154" i="11"/>
  <c r="DV145" i="11"/>
  <c r="DV144" i="11"/>
  <c r="DO159" i="11"/>
  <c r="DO145" i="11"/>
  <c r="DO144" i="11"/>
  <c r="DO590" i="11"/>
  <c r="DO613" i="11" s="1"/>
  <c r="DO612" i="11" s="1"/>
  <c r="DO163" i="11"/>
  <c r="DO569" i="11"/>
  <c r="DI266" i="11"/>
  <c r="DN137" i="11"/>
  <c r="DO268" i="11"/>
  <c r="DO270" i="11" s="1"/>
  <c r="DK267" i="11"/>
  <c r="DM267" i="11"/>
  <c r="DI267" i="11"/>
  <c r="DO466" i="11" l="1"/>
  <c r="DO467" i="11" s="1"/>
  <c r="DO591" i="11"/>
  <c r="DO592" i="11" s="1"/>
  <c r="DO615" i="11" s="1"/>
  <c r="DO460" i="11" s="1"/>
  <c r="DO570" i="11"/>
  <c r="DO546" i="11" s="1"/>
  <c r="DO614" i="11"/>
  <c r="DK266" i="11"/>
  <c r="DK268" i="11" s="1"/>
  <c r="DL137" i="11"/>
  <c r="DV431" i="11"/>
  <c r="DO431" i="11"/>
  <c r="DI268" i="11"/>
  <c r="DI270" i="11" s="1"/>
  <c r="DI428" i="11"/>
  <c r="DI430" i="11" s="1"/>
  <c r="DO395" i="11"/>
  <c r="DL138" i="11"/>
  <c r="DM428" i="11"/>
  <c r="DM430" i="11" s="1"/>
  <c r="DM268" i="11"/>
  <c r="DM270" i="11" s="1"/>
  <c r="DK428" i="11" l="1"/>
  <c r="DK430" i="11" s="1"/>
  <c r="DK431" i="11" s="1"/>
  <c r="DO436" i="11"/>
  <c r="DO437" i="11" s="1"/>
  <c r="DO396" i="11"/>
  <c r="DV396" i="11"/>
  <c r="DP431" i="11"/>
  <c r="DI431" i="11"/>
  <c r="DK270" i="11"/>
  <c r="DM431" i="11"/>
  <c r="DT431" i="11"/>
  <c r="DR431" i="11" l="1"/>
  <c r="DI395" i="11"/>
  <c r="DK395" i="11"/>
  <c r="DI436" i="11" l="1"/>
  <c r="DI437" i="11" s="1"/>
  <c r="DK436" i="11"/>
  <c r="DK437" i="11" s="1"/>
  <c r="DI27" i="11" l="1"/>
  <c r="DI353" i="11" l="1"/>
  <c r="DI313" i="11"/>
  <c r="DI373" i="11" l="1"/>
  <c r="DO11" i="4" l="1"/>
  <c r="DO16" i="4"/>
  <c r="DI374" i="11"/>
  <c r="DD9" i="11" l="1"/>
  <c r="DD5" i="11"/>
  <c r="DC182" i="243"/>
  <c r="DD391" i="11" l="1"/>
  <c r="DD390" i="11" s="1"/>
  <c r="DD394" i="11" s="1"/>
  <c r="DD395" i="11" s="1"/>
  <c r="DD384" i="11" s="1"/>
  <c r="DD383" i="11" s="1"/>
  <c r="DD406" i="11" s="1"/>
  <c r="DD275" i="11" s="1"/>
  <c r="DE5" i="11"/>
  <c r="DD307" i="11"/>
  <c r="DD353" i="11" s="1"/>
  <c r="DE9" i="11"/>
  <c r="DD27" i="11" l="1"/>
  <c r="DD436" i="11"/>
  <c r="DD437" i="11" s="1"/>
  <c r="DD313" i="11"/>
  <c r="DD271" i="11"/>
  <c r="DD273" i="11" s="1"/>
  <c r="DD308" i="11" s="1"/>
  <c r="DE11" i="11"/>
  <c r="DE14" i="11" s="1"/>
  <c r="DD373" i="11"/>
  <c r="DD300" i="11"/>
  <c r="DD293" i="11"/>
  <c r="DD299" i="11"/>
  <c r="DD304" i="11"/>
  <c r="DD278" i="11"/>
  <c r="DD290" i="11"/>
  <c r="DD288" i="11"/>
  <c r="DD285" i="11"/>
  <c r="DD286" i="11"/>
  <c r="DD283" i="11"/>
  <c r="DD295" i="11"/>
  <c r="DD301" i="11"/>
  <c r="DD296" i="11"/>
  <c r="DD287" i="11"/>
  <c r="DD306" i="11"/>
  <c r="DD281" i="11"/>
  <c r="DD284" i="11"/>
  <c r="DD289" i="11"/>
  <c r="DD294" i="11"/>
  <c r="DD302" i="11"/>
  <c r="DD291" i="11"/>
  <c r="DD279" i="11"/>
  <c r="DD297" i="11"/>
  <c r="DD282" i="11"/>
  <c r="DD298" i="11"/>
  <c r="DD280" i="11"/>
  <c r="DD305" i="11"/>
  <c r="DD303" i="11"/>
  <c r="DD292" i="11"/>
  <c r="DD432" i="11" l="1"/>
  <c r="DD433" i="11" s="1"/>
  <c r="DK271" i="11"/>
  <c r="DK432" i="11" s="1"/>
  <c r="DK433" i="11" s="1"/>
  <c r="DD272" i="11"/>
  <c r="DE12" i="11"/>
  <c r="DE43" i="11"/>
  <c r="DE46" i="11"/>
  <c r="DE63" i="11"/>
  <c r="DE59" i="11"/>
  <c r="DE15" i="11"/>
  <c r="DE16" i="11" s="1"/>
  <c r="DD434" i="11"/>
  <c r="DD347" i="11"/>
  <c r="DD24" i="11"/>
  <c r="DD344" i="11"/>
  <c r="DR271" i="11"/>
  <c r="DK273" i="11"/>
  <c r="DD20" i="11"/>
  <c r="DD23" i="11"/>
  <c r="DD346" i="11"/>
  <c r="DD25" i="11"/>
  <c r="DD19" i="11"/>
  <c r="DD342" i="11"/>
  <c r="DD311" i="11"/>
  <c r="DD315" i="11" s="1"/>
  <c r="DD22" i="11"/>
  <c r="DD345" i="11"/>
  <c r="DD309" i="11"/>
  <c r="DD217" i="11" s="1"/>
  <c r="DD28" i="11"/>
  <c r="DD312" i="11"/>
  <c r="DD316" i="11" s="1"/>
  <c r="DD317" i="11"/>
  <c r="DD26" i="11"/>
  <c r="DD343" i="11"/>
  <c r="DD21" i="11"/>
  <c r="DD368" i="11" l="1"/>
  <c r="DR432" i="11"/>
  <c r="DR433" i="11" s="1"/>
  <c r="DR273" i="11"/>
  <c r="DY271" i="11"/>
  <c r="DD367" i="11"/>
  <c r="DD348" i="11"/>
  <c r="DD371" i="11"/>
  <c r="DD369" i="11"/>
  <c r="DD370" i="11"/>
  <c r="DK434" i="11"/>
  <c r="DK385" i="11"/>
  <c r="DD372" i="11"/>
  <c r="DR434" i="11" l="1"/>
  <c r="DD378" i="11"/>
  <c r="DD329" i="11"/>
  <c r="DD30" i="11"/>
  <c r="DD361" i="11"/>
  <c r="DE357" i="11"/>
  <c r="DK387" i="11"/>
  <c r="DK400" i="11" s="1"/>
  <c r="DK393" i="11"/>
  <c r="EF271" i="11"/>
  <c r="DY273" i="11"/>
  <c r="DY432" i="11"/>
  <c r="DY433" i="11" s="1"/>
  <c r="DR385" i="11"/>
  <c r="DK406" i="11" l="1"/>
  <c r="DK275" i="11" s="1"/>
  <c r="DK295" i="11" s="1"/>
  <c r="DK360" i="11"/>
  <c r="DK409" i="11"/>
  <c r="DK389" i="11"/>
  <c r="DK394" i="11"/>
  <c r="DK390" i="11" s="1"/>
  <c r="DR387" i="11"/>
  <c r="DR400" i="11" s="1"/>
  <c r="DR406" i="11" s="1"/>
  <c r="DR275" i="11" s="1"/>
  <c r="DR393" i="11"/>
  <c r="DY385" i="11"/>
  <c r="DK297" i="11"/>
  <c r="DK280" i="11"/>
  <c r="DK279" i="11"/>
  <c r="DK299" i="11"/>
  <c r="DK302" i="11"/>
  <c r="DK296" i="11"/>
  <c r="DK306" i="11"/>
  <c r="DK305" i="11"/>
  <c r="DK292" i="11"/>
  <c r="DK278" i="11"/>
  <c r="DK291" i="11"/>
  <c r="DK290" i="11"/>
  <c r="DK288" i="11"/>
  <c r="DK301" i="11"/>
  <c r="DK298" i="11"/>
  <c r="DK304" i="11"/>
  <c r="DK289" i="11"/>
  <c r="DK283" i="11"/>
  <c r="DK285" i="11"/>
  <c r="DK284" i="11"/>
  <c r="DK281" i="11"/>
  <c r="DK293" i="11"/>
  <c r="DK294" i="11"/>
  <c r="DK303" i="11"/>
  <c r="DK287" i="11"/>
  <c r="DK307" i="11"/>
  <c r="DK308" i="11"/>
  <c r="DD363" i="11"/>
  <c r="DK366" i="11"/>
  <c r="DD362" i="11"/>
  <c r="EF432" i="11"/>
  <c r="EF433" i="11" s="1"/>
  <c r="EF273" i="11"/>
  <c r="EM271" i="11"/>
  <c r="DD152" i="243"/>
  <c r="DY434" i="11"/>
  <c r="DD379" i="11"/>
  <c r="DK282" i="11" l="1"/>
  <c r="DK300" i="11"/>
  <c r="DK312" i="11" s="1"/>
  <c r="DK316" i="11" s="1"/>
  <c r="DK286" i="11"/>
  <c r="DK347" i="11"/>
  <c r="DK24" i="11"/>
  <c r="DK25" i="11"/>
  <c r="DK20" i="11"/>
  <c r="DR409" i="11"/>
  <c r="EM432" i="11"/>
  <c r="EM433" i="11" s="1"/>
  <c r="EM273" i="11"/>
  <c r="DK22" i="11"/>
  <c r="DK345" i="11"/>
  <c r="EF385" i="11"/>
  <c r="DK21" i="11"/>
  <c r="DK346" i="11"/>
  <c r="DK23" i="11"/>
  <c r="DY387" i="11"/>
  <c r="DY400" i="11" s="1"/>
  <c r="DY406" i="11" s="1"/>
  <c r="DY275" i="11" s="1"/>
  <c r="DY393" i="11"/>
  <c r="DK26" i="11"/>
  <c r="DK5" i="11"/>
  <c r="DR389" i="11"/>
  <c r="DR394" i="11"/>
  <c r="DR390" i="11" s="1"/>
  <c r="DK150" i="4"/>
  <c r="DD154" i="243"/>
  <c r="DK353" i="11"/>
  <c r="DK27" i="11"/>
  <c r="DK9" i="11"/>
  <c r="DK313" i="11"/>
  <c r="DK317" i="11" s="1"/>
  <c r="DR304" i="11"/>
  <c r="DR298" i="11"/>
  <c r="DR279" i="11"/>
  <c r="DR278" i="11"/>
  <c r="DR300" i="11"/>
  <c r="DR293" i="11"/>
  <c r="DR297" i="11"/>
  <c r="DR280" i="11"/>
  <c r="DR302" i="11"/>
  <c r="DR299" i="11"/>
  <c r="DR305" i="11"/>
  <c r="DR290" i="11"/>
  <c r="DR284" i="11"/>
  <c r="DR289" i="11"/>
  <c r="DR306" i="11"/>
  <c r="DR295" i="11"/>
  <c r="DR301" i="11"/>
  <c r="DR282" i="11"/>
  <c r="DR288" i="11"/>
  <c r="DR292" i="11"/>
  <c r="DR286" i="11"/>
  <c r="DR303" i="11"/>
  <c r="DR281" i="11"/>
  <c r="DR285" i="11"/>
  <c r="DR287" i="11"/>
  <c r="DR294" i="11"/>
  <c r="DR296" i="11"/>
  <c r="DR283" i="11"/>
  <c r="DR291" i="11"/>
  <c r="DR307" i="11"/>
  <c r="DR308" i="11"/>
  <c r="EF434" i="11"/>
  <c r="DK28" i="11"/>
  <c r="DK343" i="11"/>
  <c r="DK344" i="11"/>
  <c r="DK342" i="11"/>
  <c r="DK19" i="11"/>
  <c r="DK311" i="11"/>
  <c r="DK315" i="11" s="1"/>
  <c r="DK391" i="11"/>
  <c r="DY409" i="11" l="1"/>
  <c r="EM434" i="11"/>
  <c r="DR391" i="11"/>
  <c r="DR28" i="11"/>
  <c r="DR20" i="11"/>
  <c r="DR26" i="11"/>
  <c r="DR5" i="11"/>
  <c r="DR345" i="11"/>
  <c r="DR22" i="11"/>
  <c r="DK372" i="11"/>
  <c r="DR312" i="11"/>
  <c r="DR316" i="11" s="1"/>
  <c r="DY389" i="11"/>
  <c r="DY394" i="11"/>
  <c r="DY390" i="11" s="1"/>
  <c r="DD274" i="243"/>
  <c r="DD156" i="243"/>
  <c r="DK370" i="11"/>
  <c r="DR25" i="11"/>
  <c r="DD162" i="243"/>
  <c r="DD153" i="243"/>
  <c r="DD179" i="243"/>
  <c r="DD159" i="243"/>
  <c r="DD176" i="243"/>
  <c r="DD168" i="243"/>
  <c r="DD165" i="243"/>
  <c r="DD171" i="243"/>
  <c r="DK371" i="11"/>
  <c r="DR342" i="11"/>
  <c r="DR311" i="11"/>
  <c r="DR315" i="11" s="1"/>
  <c r="DR19" i="11"/>
  <c r="EF393" i="11"/>
  <c r="EF387" i="11"/>
  <c r="EF400" i="11" s="1"/>
  <c r="EF406" i="11" s="1"/>
  <c r="EF275" i="11" s="1"/>
  <c r="DR9" i="11"/>
  <c r="DR27" i="11"/>
  <c r="DR353" i="11"/>
  <c r="DR313" i="11"/>
  <c r="DR317" i="11" s="1"/>
  <c r="DR344" i="11"/>
  <c r="DK373" i="11"/>
  <c r="DY284" i="11"/>
  <c r="DY299" i="11"/>
  <c r="DY295" i="11"/>
  <c r="DY291" i="11"/>
  <c r="DY303" i="11"/>
  <c r="DY283" i="11"/>
  <c r="DY300" i="11"/>
  <c r="DY305" i="11"/>
  <c r="DY280" i="11"/>
  <c r="DY293" i="11"/>
  <c r="DY288" i="11"/>
  <c r="DY301" i="11"/>
  <c r="DY285" i="11"/>
  <c r="DY279" i="11"/>
  <c r="DY294" i="11"/>
  <c r="DY282" i="11"/>
  <c r="DY289" i="11"/>
  <c r="DY302" i="11"/>
  <c r="DY304" i="11"/>
  <c r="DY290" i="11"/>
  <c r="DY292" i="11"/>
  <c r="DY296" i="11"/>
  <c r="DY278" i="11"/>
  <c r="DY297" i="11"/>
  <c r="DY286" i="11"/>
  <c r="DY281" i="11"/>
  <c r="DY298" i="11"/>
  <c r="DY306" i="11"/>
  <c r="DY287" i="11"/>
  <c r="DY307" i="11"/>
  <c r="DY308" i="11"/>
  <c r="DK348" i="11"/>
  <c r="DK367" i="11"/>
  <c r="DR21" i="11"/>
  <c r="DK369" i="11"/>
  <c r="DR346" i="11"/>
  <c r="DR23" i="11"/>
  <c r="DK368" i="11"/>
  <c r="DR343" i="11"/>
  <c r="DR24" i="11"/>
  <c r="DR347" i="11"/>
  <c r="DK11" i="11"/>
  <c r="DK15" i="11" s="1"/>
  <c r="EM385" i="11"/>
  <c r="DK14" i="11" l="1"/>
  <c r="EF409" i="11"/>
  <c r="DR368" i="11"/>
  <c r="DR11" i="11"/>
  <c r="DR14" i="11" s="1"/>
  <c r="DY23" i="11"/>
  <c r="DY346" i="11"/>
  <c r="DR348" i="11"/>
  <c r="DR367" i="11"/>
  <c r="DY391" i="11"/>
  <c r="DY21" i="11"/>
  <c r="DR370" i="11"/>
  <c r="DY28" i="11"/>
  <c r="DY27" i="11"/>
  <c r="DY313" i="11"/>
  <c r="DY317" i="11" s="1"/>
  <c r="DY9" i="11"/>
  <c r="DY353" i="11"/>
  <c r="DK16" i="11"/>
  <c r="EF299" i="11"/>
  <c r="EF295" i="11"/>
  <c r="EF302" i="11"/>
  <c r="EF297" i="11"/>
  <c r="EF292" i="11"/>
  <c r="EF305" i="11"/>
  <c r="EF284" i="11"/>
  <c r="EF306" i="11"/>
  <c r="EF303" i="11"/>
  <c r="EF294" i="11"/>
  <c r="EF291" i="11"/>
  <c r="EF290" i="11"/>
  <c r="EF285" i="11"/>
  <c r="EF282" i="11"/>
  <c r="EF288" i="11"/>
  <c r="EF296" i="11"/>
  <c r="EF293" i="11"/>
  <c r="EF279" i="11"/>
  <c r="EF300" i="11"/>
  <c r="EF289" i="11"/>
  <c r="EF298" i="11"/>
  <c r="EF283" i="11"/>
  <c r="EF286" i="11"/>
  <c r="EF287" i="11"/>
  <c r="EF281" i="11"/>
  <c r="EF301" i="11"/>
  <c r="EF280" i="11"/>
  <c r="EF304" i="11"/>
  <c r="EF278" i="11"/>
  <c r="EF307" i="11"/>
  <c r="EF308" i="11"/>
  <c r="DK12" i="11"/>
  <c r="DQ4" i="4"/>
  <c r="DK356" i="11"/>
  <c r="DK62" i="11"/>
  <c r="DK309" i="11"/>
  <c r="DK217" i="11" s="1"/>
  <c r="DY22" i="11"/>
  <c r="DY345" i="11"/>
  <c r="DR369" i="11"/>
  <c r="EF394" i="11"/>
  <c r="EF390" i="11" s="1"/>
  <c r="EF389" i="11"/>
  <c r="DR373" i="11"/>
  <c r="DY5" i="11"/>
  <c r="DY26" i="11"/>
  <c r="DY343" i="11"/>
  <c r="DY347" i="11"/>
  <c r="DY24" i="11"/>
  <c r="DR372" i="11"/>
  <c r="DR371" i="11"/>
  <c r="DY312" i="11"/>
  <c r="DY316" i="11" s="1"/>
  <c r="DY20" i="11"/>
  <c r="DY344" i="11"/>
  <c r="DY342" i="11"/>
  <c r="DY311" i="11"/>
  <c r="DY315" i="11" s="1"/>
  <c r="DY19" i="11"/>
  <c r="EM387" i="11"/>
  <c r="EM400" i="11" s="1"/>
  <c r="EM406" i="11" s="1"/>
  <c r="EM275" i="11" s="1"/>
  <c r="EM393" i="11"/>
  <c r="DK30" i="11"/>
  <c r="DK329" i="11"/>
  <c r="DY25" i="11"/>
  <c r="EM409" i="11" l="1"/>
  <c r="DR15" i="11"/>
  <c r="DR16" i="11" s="1"/>
  <c r="DY11" i="11"/>
  <c r="DY14" i="11" s="1"/>
  <c r="EF19" i="11"/>
  <c r="EF311" i="11"/>
  <c r="EF315" i="11" s="1"/>
  <c r="EF342" i="11"/>
  <c r="DY371" i="11"/>
  <c r="DR329" i="11"/>
  <c r="DR30" i="11"/>
  <c r="DY369" i="11"/>
  <c r="EF312" i="11"/>
  <c r="EF316" i="11" s="1"/>
  <c r="EF22" i="11"/>
  <c r="EF345" i="11"/>
  <c r="EF346" i="11"/>
  <c r="EF23" i="11"/>
  <c r="DY368" i="11"/>
  <c r="EF347" i="11"/>
  <c r="EF24" i="11"/>
  <c r="EF343" i="11"/>
  <c r="EF5" i="11"/>
  <c r="EF26" i="11"/>
  <c r="EF28" i="11"/>
  <c r="EF20" i="11"/>
  <c r="DR356" i="11"/>
  <c r="DR62" i="11"/>
  <c r="DX4" i="4"/>
  <c r="DR12" i="11"/>
  <c r="DR309" i="11"/>
  <c r="DR217" i="11" s="1"/>
  <c r="DQ11" i="4"/>
  <c r="DJ152" i="243"/>
  <c r="DQ16" i="4"/>
  <c r="EF21" i="11"/>
  <c r="DQ63" i="4"/>
  <c r="DK70" i="11"/>
  <c r="EF25" i="11"/>
  <c r="DY373" i="11"/>
  <c r="EM394" i="11"/>
  <c r="EM390" i="11" s="1"/>
  <c r="EM389" i="11"/>
  <c r="EF344" i="11"/>
  <c r="EM300" i="11"/>
  <c r="EM283" i="11"/>
  <c r="EM281" i="11"/>
  <c r="EM299" i="11"/>
  <c r="EM298" i="11"/>
  <c r="EM285" i="11"/>
  <c r="EM284" i="11"/>
  <c r="EM288" i="11"/>
  <c r="EM287" i="11"/>
  <c r="EM294" i="11"/>
  <c r="EM305" i="11"/>
  <c r="EM303" i="11"/>
  <c r="EM290" i="11"/>
  <c r="EM278" i="11"/>
  <c r="EM280" i="11"/>
  <c r="EM289" i="11"/>
  <c r="EM286" i="11"/>
  <c r="EM296" i="11"/>
  <c r="EM297" i="11"/>
  <c r="EM304" i="11"/>
  <c r="EM301" i="11"/>
  <c r="EM291" i="11"/>
  <c r="EM292" i="11"/>
  <c r="EM282" i="11"/>
  <c r="EM295" i="11"/>
  <c r="EM302" i="11"/>
  <c r="EM293" i="11"/>
  <c r="EM279" i="11"/>
  <c r="EM306" i="11"/>
  <c r="EM307" i="11"/>
  <c r="EM308" i="11"/>
  <c r="DY372" i="11"/>
  <c r="DY370" i="11"/>
  <c r="EF27" i="11"/>
  <c r="EF9" i="11"/>
  <c r="EF353" i="11"/>
  <c r="EF313" i="11"/>
  <c r="EF317" i="11" s="1"/>
  <c r="DY367" i="11"/>
  <c r="DY348" i="11"/>
  <c r="EF391" i="11"/>
  <c r="DK374" i="11"/>
  <c r="DK42" i="11"/>
  <c r="EM391" i="11" l="1"/>
  <c r="EM22" i="11"/>
  <c r="EM345" i="11"/>
  <c r="EM25" i="11"/>
  <c r="EM312" i="11"/>
  <c r="EM316" i="11" s="1"/>
  <c r="DQ141" i="4"/>
  <c r="DQ149" i="4" s="1"/>
  <c r="DR42" i="11"/>
  <c r="DR374" i="11"/>
  <c r="EF368" i="11"/>
  <c r="DR70" i="11"/>
  <c r="DX63" i="4"/>
  <c r="EF371" i="11"/>
  <c r="EM24" i="11"/>
  <c r="EM347" i="11"/>
  <c r="EF348" i="11"/>
  <c r="EF367" i="11"/>
  <c r="DQ70" i="4"/>
  <c r="DQ72" i="4" s="1"/>
  <c r="DQ87" i="4"/>
  <c r="DQ94" i="4" s="1"/>
  <c r="DQ96" i="4" s="1"/>
  <c r="DQ98" i="4" s="1"/>
  <c r="EF370" i="11"/>
  <c r="EF373" i="11"/>
  <c r="EM344" i="11"/>
  <c r="EM19" i="11"/>
  <c r="EM311" i="11"/>
  <c r="EM315" i="11" s="1"/>
  <c r="EM342" i="11"/>
  <c r="EF372" i="11"/>
  <c r="EM23" i="11"/>
  <c r="EM346" i="11"/>
  <c r="EM20" i="11"/>
  <c r="EM343" i="11"/>
  <c r="DQ115" i="4"/>
  <c r="DK43" i="11"/>
  <c r="DY329" i="11"/>
  <c r="DY30" i="11"/>
  <c r="EM28" i="11"/>
  <c r="EM353" i="11"/>
  <c r="EM9" i="11"/>
  <c r="EM27" i="11"/>
  <c r="EM313" i="11"/>
  <c r="EM317" i="11" s="1"/>
  <c r="EM5" i="11"/>
  <c r="EM26" i="11"/>
  <c r="EM21" i="11"/>
  <c r="EF369" i="11"/>
  <c r="DX11" i="4"/>
  <c r="DQ152" i="243"/>
  <c r="DX16" i="4"/>
  <c r="EF11" i="11"/>
  <c r="EF14" i="11" s="1"/>
  <c r="DY15" i="11"/>
  <c r="DY16" i="11" s="1"/>
  <c r="DY12" i="11"/>
  <c r="DY62" i="11"/>
  <c r="EE4" i="4"/>
  <c r="DY356" i="11"/>
  <c r="DY309" i="11"/>
  <c r="DY217" i="11" s="1"/>
  <c r="EF15" i="11" l="1"/>
  <c r="EF16" i="11" s="1"/>
  <c r="DX141" i="4"/>
  <c r="DX149" i="4" s="1"/>
  <c r="DX87" i="4"/>
  <c r="DX94" i="4" s="1"/>
  <c r="DX96" i="4" s="1"/>
  <c r="DX98" i="4" s="1"/>
  <c r="DX70" i="4"/>
  <c r="DX72" i="4" s="1"/>
  <c r="EM11" i="11"/>
  <c r="EM14" i="11" s="1"/>
  <c r="EM348" i="11"/>
  <c r="EM367" i="11"/>
  <c r="DQ122" i="4"/>
  <c r="DQ124" i="4" s="1"/>
  <c r="DY42" i="11"/>
  <c r="DY374" i="11"/>
  <c r="EL4" i="4"/>
  <c r="EF356" i="11"/>
  <c r="EF62" i="11"/>
  <c r="EF12" i="11"/>
  <c r="EF309" i="11"/>
  <c r="EF217" i="11" s="1"/>
  <c r="DR43" i="11"/>
  <c r="DX115" i="4"/>
  <c r="EM370" i="11"/>
  <c r="EM371" i="11"/>
  <c r="DJ20" i="2"/>
  <c r="DJ5" i="242" s="1"/>
  <c r="EM373" i="11"/>
  <c r="EM369" i="11"/>
  <c r="EM372" i="11"/>
  <c r="EE16" i="4"/>
  <c r="EE11" i="4"/>
  <c r="DX152" i="243"/>
  <c r="DY70" i="11"/>
  <c r="EE63" i="4"/>
  <c r="EM368" i="11"/>
  <c r="EF30" i="11"/>
  <c r="EF329" i="11"/>
  <c r="EE141" i="4" l="1"/>
  <c r="EE149" i="4" s="1"/>
  <c r="DX122" i="4"/>
  <c r="DX124" i="4" s="1"/>
  <c r="EE115" i="4"/>
  <c r="DY43" i="11"/>
  <c r="EM30" i="11"/>
  <c r="EM329" i="11"/>
  <c r="EM309" i="11"/>
  <c r="EM217" i="11" s="1"/>
  <c r="EM12" i="11"/>
  <c r="EM62" i="11"/>
  <c r="EM356" i="11"/>
  <c r="ES4" i="4"/>
  <c r="EL63" i="4"/>
  <c r="EF70" i="11"/>
  <c r="DQ20" i="2"/>
  <c r="DQ5" i="242" s="1"/>
  <c r="EF374" i="11"/>
  <c r="EF42" i="11"/>
  <c r="EE152" i="243"/>
  <c r="EL16" i="4"/>
  <c r="EL11" i="4"/>
  <c r="EM15" i="11"/>
  <c r="EM16" i="11" s="1"/>
  <c r="EE87" i="4"/>
  <c r="EE94" i="4" s="1"/>
  <c r="EE96" i="4" s="1"/>
  <c r="EE98" i="4" s="1"/>
  <c r="EE70" i="4"/>
  <c r="EE72" i="4" s="1"/>
  <c r="DJ15" i="2"/>
  <c r="DQ131" i="4"/>
  <c r="ES63" i="4" l="1"/>
  <c r="EM70" i="11"/>
  <c r="EE122" i="4"/>
  <c r="EE124" i="4" s="1"/>
  <c r="DQ15" i="2"/>
  <c r="DX131" i="4"/>
  <c r="EL70" i="4"/>
  <c r="EL72" i="4" s="1"/>
  <c r="EL87" i="4"/>
  <c r="EL94" i="4" s="1"/>
  <c r="EL96" i="4" s="1"/>
  <c r="EL98" i="4" s="1"/>
  <c r="DX20" i="2"/>
  <c r="DX5" i="242" s="1"/>
  <c r="DQ135" i="4"/>
  <c r="EF43" i="11"/>
  <c r="EL115" i="4"/>
  <c r="ES16" i="4"/>
  <c r="ES11" i="4"/>
  <c r="EL152" i="243"/>
  <c r="EL141" i="4"/>
  <c r="EL149" i="4" s="1"/>
  <c r="EM374" i="11"/>
  <c r="EM42" i="11"/>
  <c r="EL122" i="4" l="1"/>
  <c r="EL124" i="4" s="1"/>
  <c r="DX15" i="2"/>
  <c r="EE131" i="4"/>
  <c r="DX135" i="4"/>
  <c r="ES141" i="4"/>
  <c r="ES149" i="4" s="1"/>
  <c r="EE20" i="2"/>
  <c r="EE5" i="242" s="1"/>
  <c r="ES70" i="4"/>
  <c r="ES72" i="4" s="1"/>
  <c r="ES87" i="4"/>
  <c r="ES94" i="4" s="1"/>
  <c r="ES96" i="4" s="1"/>
  <c r="ES98" i="4" s="1"/>
  <c r="EM43" i="11"/>
  <c r="ES115" i="4"/>
  <c r="EL20" i="2" l="1"/>
  <c r="EL5" i="242" s="1"/>
  <c r="EE15" i="2"/>
  <c r="EL131" i="4"/>
  <c r="EE135" i="4"/>
  <c r="ES122" i="4"/>
  <c r="ES124" i="4" s="1"/>
  <c r="EL15" i="2" l="1"/>
  <c r="ES131" i="4"/>
  <c r="EL135" i="4"/>
  <c r="ES135" i="4" l="1"/>
  <c r="DG143" i="11" l="1"/>
  <c r="DM203" i="4"/>
  <c r="DM206" i="4" s="1"/>
  <c r="DM208" i="4" s="1"/>
  <c r="DM202" i="4"/>
  <c r="DE127" i="11"/>
  <c r="DN144" i="11" l="1"/>
  <c r="DG74" i="11"/>
  <c r="DK202" i="4"/>
  <c r="DE88" i="11"/>
  <c r="DN145" i="11"/>
  <c r="DE129" i="11"/>
  <c r="DG145" i="11"/>
  <c r="DG144" i="11"/>
  <c r="DG88" i="11" l="1"/>
  <c r="DE96" i="11"/>
  <c r="DE90" i="11"/>
  <c r="DK203" i="4"/>
  <c r="DK206" i="4" s="1"/>
  <c r="DK208" i="4" s="1"/>
  <c r="DE143" i="11"/>
  <c r="DE74" i="11" s="1"/>
  <c r="DG96" i="11" l="1"/>
  <c r="DG98" i="11" s="1"/>
  <c r="DE98" i="11"/>
  <c r="DH88" i="11"/>
  <c r="DG90" i="11"/>
  <c r="DL144" i="11"/>
  <c r="DE144" i="11"/>
  <c r="DL145" i="11"/>
  <c r="DE145" i="11"/>
  <c r="DH96" i="11" l="1"/>
  <c r="DH90" i="11"/>
  <c r="DH98" i="11" l="1"/>
  <c r="W24" i="139" l="1"/>
  <c r="AD24" i="139" s="1"/>
  <c r="DG81" i="2"/>
  <c r="W25" i="139"/>
  <c r="W43" i="139" s="1"/>
  <c r="DG189" i="243"/>
  <c r="DG188" i="243" s="1"/>
  <c r="DG182" i="243" l="1"/>
  <c r="DF182" i="243" s="1"/>
  <c r="DF188" i="243" s="1"/>
  <c r="DL188" i="243"/>
  <c r="DL182" i="243" s="1"/>
  <c r="AD25" i="139"/>
  <c r="DD189" i="243"/>
  <c r="W52" i="139"/>
  <c r="W42" i="139"/>
  <c r="DD182" i="243" l="1"/>
  <c r="DD188" i="243" s="1"/>
  <c r="DN182" i="243"/>
  <c r="DM182" i="243"/>
  <c r="DN45" i="243"/>
  <c r="DJ182" i="243"/>
  <c r="DU182" i="243"/>
  <c r="DM45" i="243" l="1"/>
  <c r="DU45" i="243"/>
  <c r="DO182" i="243"/>
  <c r="DO45" i="243" s="1"/>
  <c r="DS182" i="243"/>
  <c r="DS45" i="243" s="1"/>
  <c r="DP45" i="243" s="1"/>
  <c r="DQ182" i="243"/>
  <c r="EB182" i="243"/>
  <c r="DT182" i="243"/>
  <c r="DK182" i="243"/>
  <c r="EA182" i="243" l="1"/>
  <c r="DX182" i="243"/>
  <c r="DV182" i="243"/>
  <c r="DZ182" i="243"/>
  <c r="DZ45" i="243" s="1"/>
  <c r="DW45" i="243" s="1"/>
  <c r="EI182" i="243"/>
  <c r="DP182" i="243"/>
  <c r="DT45" i="243"/>
  <c r="DR45" i="243" s="1"/>
  <c r="EB45" i="243"/>
  <c r="DR182" i="243"/>
  <c r="DK45" i="243"/>
  <c r="DQ45" i="243" l="1"/>
  <c r="DV45" i="243"/>
  <c r="EH182" i="243"/>
  <c r="EC182" i="243"/>
  <c r="EC45" i="243" s="1"/>
  <c r="EG182" i="243"/>
  <c r="EG45" i="243" s="1"/>
  <c r="ED45" i="243" s="1"/>
  <c r="EE182" i="243"/>
  <c r="EP182" i="243"/>
  <c r="EI45" i="243"/>
  <c r="EA45" i="243"/>
  <c r="DY45" i="243" s="1"/>
  <c r="DW182" i="243"/>
  <c r="DY182" i="243"/>
  <c r="DX45" i="243" l="1"/>
  <c r="ED182" i="243"/>
  <c r="EO182" i="243"/>
  <c r="EL182" i="243"/>
  <c r="EJ182" i="243"/>
  <c r="EJ45" i="243" s="1"/>
  <c r="EN182" i="243"/>
  <c r="EN45" i="243" s="1"/>
  <c r="EK45" i="243" s="1"/>
  <c r="EH45" i="243"/>
  <c r="EF45" i="243" s="1"/>
  <c r="EP45" i="243"/>
  <c r="EF182" i="243"/>
  <c r="EK182" i="243" l="1"/>
  <c r="EL45" i="243" s="1"/>
  <c r="EM182" i="243"/>
  <c r="EO45" i="243"/>
  <c r="EM45" i="243" s="1"/>
  <c r="EE45" i="243"/>
  <c r="DG307" i="11"/>
  <c r="DE307" i="11" s="1"/>
  <c r="DH353" i="11"/>
  <c r="DG353" i="11" s="1"/>
  <c r="DH313" i="11"/>
  <c r="DH27" i="11"/>
  <c r="DG313" i="11" l="1"/>
  <c r="DE313" i="11"/>
  <c r="DE27" i="11"/>
  <c r="DG354" i="11"/>
  <c r="DE353" i="11"/>
  <c r="DG373" i="11"/>
  <c r="DH373" i="11"/>
  <c r="DG27" i="11"/>
  <c r="DE373" i="11" l="1"/>
  <c r="DE354" i="11"/>
  <c r="DH411" i="11"/>
  <c r="DH393" i="11"/>
  <c r="DH394" i="11" s="1"/>
  <c r="DH390" i="11" s="1"/>
  <c r="DH387" i="11"/>
  <c r="DH400" i="11" l="1"/>
  <c r="DH360" i="11"/>
  <c r="DH389" i="11"/>
  <c r="DH391" i="11" s="1"/>
  <c r="DH404" i="11" l="1"/>
  <c r="DH10" i="11" s="1"/>
  <c r="DH406" i="11"/>
  <c r="DO632" i="11" s="1"/>
  <c r="DH402" i="11"/>
  <c r="DH401" i="11" s="1"/>
  <c r="DH409" i="11"/>
  <c r="DH410" i="11" s="1"/>
  <c r="DH412" i="11" s="1"/>
  <c r="DH414" i="11" s="1"/>
  <c r="DO629" i="11"/>
  <c r="DO637" i="11"/>
  <c r="DO679" i="11" s="1"/>
  <c r="DO625" i="11"/>
  <c r="DH407" i="11"/>
  <c r="DO626" i="11"/>
  <c r="DO668" i="11" s="1"/>
  <c r="DO640" i="11"/>
  <c r="DO440" i="11" s="1"/>
  <c r="DH639" i="11"/>
  <c r="DO633" i="11"/>
  <c r="DO675" i="11" s="1"/>
  <c r="DO635" i="11"/>
  <c r="DO677" i="11" s="1"/>
  <c r="DO638" i="11"/>
  <c r="DO627" i="11"/>
  <c r="DO669" i="11" s="1"/>
  <c r="DO631" i="11"/>
  <c r="DO636" i="11"/>
  <c r="DO678" i="11" s="1"/>
  <c r="DO628" i="11"/>
  <c r="DH275" i="11"/>
  <c r="DG360" i="11"/>
  <c r="DH377" i="11"/>
  <c r="DO634" i="11" l="1"/>
  <c r="DO630" i="11"/>
  <c r="DH405" i="11"/>
  <c r="DH413" i="11"/>
  <c r="DH651" i="11" s="1"/>
  <c r="DO676" i="11"/>
  <c r="DO680" i="11"/>
  <c r="DB413" i="11"/>
  <c r="DO670" i="11"/>
  <c r="DH643" i="11"/>
  <c r="DE360" i="11"/>
  <c r="DE377" i="11" s="1"/>
  <c r="DG377" i="11"/>
  <c r="DH281" i="11"/>
  <c r="DH303" i="11"/>
  <c r="DG303" i="11" s="1"/>
  <c r="DE303" i="11" s="1"/>
  <c r="DH288" i="11"/>
  <c r="DG288" i="11" s="1"/>
  <c r="DE288" i="11" s="1"/>
  <c r="DH289" i="11"/>
  <c r="DH295" i="11"/>
  <c r="DG295" i="11" s="1"/>
  <c r="DE295" i="11" s="1"/>
  <c r="DH292" i="11"/>
  <c r="DG292" i="11" s="1"/>
  <c r="DE292" i="11" s="1"/>
  <c r="DH279" i="11"/>
  <c r="DG279" i="11" s="1"/>
  <c r="DE279" i="11" s="1"/>
  <c r="DH297" i="11"/>
  <c r="DG297" i="11" s="1"/>
  <c r="DE297" i="11" s="1"/>
  <c r="DH285" i="11"/>
  <c r="DG285" i="11" s="1"/>
  <c r="DE285" i="11" s="1"/>
  <c r="DH283" i="11"/>
  <c r="DG283" i="11" s="1"/>
  <c r="DE283" i="11" s="1"/>
  <c r="DH284" i="11"/>
  <c r="DG284" i="11" s="1"/>
  <c r="DE284" i="11" s="1"/>
  <c r="DH300" i="11"/>
  <c r="DG300" i="11" s="1"/>
  <c r="DE300" i="11" s="1"/>
  <c r="DH298" i="11"/>
  <c r="DG298" i="11" s="1"/>
  <c r="DE298" i="11" s="1"/>
  <c r="DH290" i="11"/>
  <c r="DH282" i="11"/>
  <c r="DG282" i="11" s="1"/>
  <c r="DE282" i="11" s="1"/>
  <c r="DH278" i="11"/>
  <c r="DG278" i="11" s="1"/>
  <c r="DE278" i="11" s="1"/>
  <c r="DH301" i="11"/>
  <c r="DG301" i="11" s="1"/>
  <c r="DE301" i="11" s="1"/>
  <c r="DH296" i="11"/>
  <c r="DH299" i="11"/>
  <c r="DG299" i="11" s="1"/>
  <c r="DE299" i="11" s="1"/>
  <c r="DH293" i="11"/>
  <c r="DH306" i="11"/>
  <c r="DH304" i="11"/>
  <c r="DH294" i="11"/>
  <c r="DG294" i="11" s="1"/>
  <c r="DE294" i="11" s="1"/>
  <c r="DH302" i="11"/>
  <c r="DG302" i="11" s="1"/>
  <c r="DE302" i="11" s="1"/>
  <c r="DH287" i="11"/>
  <c r="DH291" i="11"/>
  <c r="DG291" i="11" s="1"/>
  <c r="DE291" i="11" s="1"/>
  <c r="DH286" i="11"/>
  <c r="DH305" i="11"/>
  <c r="DH280" i="11"/>
  <c r="DH271" i="11"/>
  <c r="DH272" i="11" s="1"/>
  <c r="DO682" i="11"/>
  <c r="DF413" i="11" l="1"/>
  <c r="DD413" i="11"/>
  <c r="DC413" i="11"/>
  <c r="DH25" i="11"/>
  <c r="DG305" i="11"/>
  <c r="DG289" i="11"/>
  <c r="DE289" i="11" s="1"/>
  <c r="DH344" i="11"/>
  <c r="DH20" i="11"/>
  <c r="DG286" i="11"/>
  <c r="DH19" i="11"/>
  <c r="DH311" i="11"/>
  <c r="DG280" i="11"/>
  <c r="DH342" i="11"/>
  <c r="DH26" i="11"/>
  <c r="DG306" i="11"/>
  <c r="DH345" i="11"/>
  <c r="DH22" i="11"/>
  <c r="DG293" i="11"/>
  <c r="DH645" i="11"/>
  <c r="DH644" i="11" s="1"/>
  <c r="DG413" i="11"/>
  <c r="DE413" i="11" s="1"/>
  <c r="DH312" i="11"/>
  <c r="DG281" i="11"/>
  <c r="DH23" i="11"/>
  <c r="DG296" i="11"/>
  <c r="DH346" i="11"/>
  <c r="DG287" i="11"/>
  <c r="DE287" i="11" s="1"/>
  <c r="DH343" i="11"/>
  <c r="DH432" i="11"/>
  <c r="DH433" i="11" s="1"/>
  <c r="DG271" i="11"/>
  <c r="DO271" i="11"/>
  <c r="DH273" i="11"/>
  <c r="DH347" i="11"/>
  <c r="DH24" i="11"/>
  <c r="DG304" i="11"/>
  <c r="DH21" i="11"/>
  <c r="DG290" i="11"/>
  <c r="DG24" i="11" l="1"/>
  <c r="DE304" i="11"/>
  <c r="DE24" i="11" s="1"/>
  <c r="DG22" i="11"/>
  <c r="DE293" i="11"/>
  <c r="DE22" i="11" s="1"/>
  <c r="DH372" i="11"/>
  <c r="DG347" i="11"/>
  <c r="DH370" i="11"/>
  <c r="DG345" i="11"/>
  <c r="DH371" i="11"/>
  <c r="DG346" i="11"/>
  <c r="DE296" i="11"/>
  <c r="DE23" i="11" s="1"/>
  <c r="DG23" i="11"/>
  <c r="DG20" i="11"/>
  <c r="DE286" i="11"/>
  <c r="DE20" i="11" s="1"/>
  <c r="DH403" i="11"/>
  <c r="DH654" i="11"/>
  <c r="DH443" i="11" s="1"/>
  <c r="DH657" i="11"/>
  <c r="DH446" i="11" s="1"/>
  <c r="DH655" i="11"/>
  <c r="DH444" i="11" s="1"/>
  <c r="DH653" i="11"/>
  <c r="DH442" i="11" s="1"/>
  <c r="DH652" i="11"/>
  <c r="DH656" i="11"/>
  <c r="DH445" i="11" s="1"/>
  <c r="DH308" i="11"/>
  <c r="DH315" i="11" s="1"/>
  <c r="DO432" i="11"/>
  <c r="DO433" i="11" s="1"/>
  <c r="DO273" i="11"/>
  <c r="DV271" i="11"/>
  <c r="DE281" i="11"/>
  <c r="DG312" i="11"/>
  <c r="DE306" i="11"/>
  <c r="DE26" i="11" s="1"/>
  <c r="DG26" i="11"/>
  <c r="DH369" i="11"/>
  <c r="DG344" i="11"/>
  <c r="DG432" i="11"/>
  <c r="DG433" i="11" s="1"/>
  <c r="DG272" i="11"/>
  <c r="DG273" i="11"/>
  <c r="DE271" i="11"/>
  <c r="DG21" i="11"/>
  <c r="DE290" i="11"/>
  <c r="DE21" i="11" s="1"/>
  <c r="DH434" i="11"/>
  <c r="DH367" i="11"/>
  <c r="DG342" i="11"/>
  <c r="DH348" i="11"/>
  <c r="DG25" i="11"/>
  <c r="DE305" i="11"/>
  <c r="DE25" i="11" s="1"/>
  <c r="DH368" i="11"/>
  <c r="DG343" i="11"/>
  <c r="DH649" i="11"/>
  <c r="DH647" i="11"/>
  <c r="DH648" i="11" s="1"/>
  <c r="DG311" i="11"/>
  <c r="DG19" i="11"/>
  <c r="DE280" i="11"/>
  <c r="DH316" i="11" l="1"/>
  <c r="DE312" i="11"/>
  <c r="DG385" i="11"/>
  <c r="DH350" i="11"/>
  <c r="DH329" i="11"/>
  <c r="DH30" i="11"/>
  <c r="DH361" i="11"/>
  <c r="DH349" i="11"/>
  <c r="DG348" i="11"/>
  <c r="DE272" i="11"/>
  <c r="DE432" i="11"/>
  <c r="DE433" i="11" s="1"/>
  <c r="DE273" i="11"/>
  <c r="DG328" i="11"/>
  <c r="DG337" i="11" s="1"/>
  <c r="DG372" i="11"/>
  <c r="DE347" i="11"/>
  <c r="DG324" i="11"/>
  <c r="DG333" i="11" s="1"/>
  <c r="DG368" i="11"/>
  <c r="DE343" i="11"/>
  <c r="DG434" i="11"/>
  <c r="DG327" i="11"/>
  <c r="DG336" i="11" s="1"/>
  <c r="DG371" i="11"/>
  <c r="DE346" i="11"/>
  <c r="DE311" i="11"/>
  <c r="DE19" i="11"/>
  <c r="DO434" i="11"/>
  <c r="DG326" i="11"/>
  <c r="DG335" i="11" s="1"/>
  <c r="DG370" i="11"/>
  <c r="DE345" i="11"/>
  <c r="DG367" i="11"/>
  <c r="DG323" i="11"/>
  <c r="DG332" i="11" s="1"/>
  <c r="DE342" i="11"/>
  <c r="DH441" i="11"/>
  <c r="DH658" i="11"/>
  <c r="DH448" i="11" s="1"/>
  <c r="DH449" i="11" s="1"/>
  <c r="DV432" i="11"/>
  <c r="DV433" i="11" s="1"/>
  <c r="DV273" i="11"/>
  <c r="EC271" i="11"/>
  <c r="DH378" i="11"/>
  <c r="DO385" i="11"/>
  <c r="DG325" i="11"/>
  <c r="DG334" i="11" s="1"/>
  <c r="DG369" i="11"/>
  <c r="DE344" i="11"/>
  <c r="DH309" i="11"/>
  <c r="DH217" i="11" s="1"/>
  <c r="DH317" i="11"/>
  <c r="DH28" i="11"/>
  <c r="DG308" i="11"/>
  <c r="DH379" i="11" l="1"/>
  <c r="DH447" i="11"/>
  <c r="DH462" i="11" s="1"/>
  <c r="DH451" i="11"/>
  <c r="DH452" i="11" s="1"/>
  <c r="DE324" i="11"/>
  <c r="DE333" i="11" s="1"/>
  <c r="DE368" i="11"/>
  <c r="DG28" i="11"/>
  <c r="DG317" i="11"/>
  <c r="DG309" i="11"/>
  <c r="DG217" i="11" s="1"/>
  <c r="DE308" i="11"/>
  <c r="DE275" i="11" s="1"/>
  <c r="DE323" i="11"/>
  <c r="DE332" i="11" s="1"/>
  <c r="DE367" i="11"/>
  <c r="DE328" i="11"/>
  <c r="DE337" i="11" s="1"/>
  <c r="DE372" i="11"/>
  <c r="DG275" i="11"/>
  <c r="DE369" i="11"/>
  <c r="DE325" i="11"/>
  <c r="DE334" i="11" s="1"/>
  <c r="EC432" i="11"/>
  <c r="EC433" i="11" s="1"/>
  <c r="EC273" i="11"/>
  <c r="EJ271" i="11"/>
  <c r="DV385" i="11"/>
  <c r="DG378" i="11"/>
  <c r="DE434" i="11"/>
  <c r="DG315" i="11"/>
  <c r="DV434" i="11"/>
  <c r="DE326" i="11"/>
  <c r="DE335" i="11" s="1"/>
  <c r="DE370" i="11"/>
  <c r="DE371" i="11"/>
  <c r="DE327" i="11"/>
  <c r="DE336" i="11" s="1"/>
  <c r="DG361" i="11"/>
  <c r="DG30" i="11"/>
  <c r="DG329" i="11"/>
  <c r="DE348" i="11"/>
  <c r="DG393" i="11"/>
  <c r="DG387" i="11"/>
  <c r="DG400" i="11" s="1"/>
  <c r="DG406" i="11" s="1"/>
  <c r="DE385" i="11"/>
  <c r="DO411" i="11"/>
  <c r="DO393" i="11"/>
  <c r="DO387" i="11"/>
  <c r="DH659" i="11"/>
  <c r="DH362" i="11"/>
  <c r="DH363" i="11"/>
  <c r="DO366" i="11"/>
  <c r="DG316" i="11"/>
  <c r="DG379" i="11" l="1"/>
  <c r="EC385" i="11"/>
  <c r="EC434" i="11"/>
  <c r="DE393" i="11"/>
  <c r="DE384" i="11"/>
  <c r="DE383" i="11" s="1"/>
  <c r="DE387" i="11"/>
  <c r="DE400" i="11" s="1"/>
  <c r="DE409" i="11" s="1"/>
  <c r="DE28" i="11"/>
  <c r="DE317" i="11"/>
  <c r="DE309" i="11"/>
  <c r="DE217" i="11" s="1"/>
  <c r="DE316" i="11"/>
  <c r="DG389" i="11"/>
  <c r="DG394" i="11"/>
  <c r="DG390" i="11" s="1"/>
  <c r="DO394" i="11"/>
  <c r="DO390" i="11" s="1"/>
  <c r="DG409" i="11"/>
  <c r="DE329" i="11"/>
  <c r="DE361" i="11"/>
  <c r="DE30" i="11"/>
  <c r="DE315" i="11"/>
  <c r="DV393" i="11"/>
  <c r="DV387" i="11"/>
  <c r="DE378" i="11"/>
  <c r="DN366" i="11"/>
  <c r="DG363" i="11"/>
  <c r="DG362" i="11"/>
  <c r="EJ432" i="11"/>
  <c r="EJ433" i="11" s="1"/>
  <c r="EJ273" i="11"/>
  <c r="EQ271" i="11"/>
  <c r="EJ385" i="11" l="1"/>
  <c r="DE406" i="11"/>
  <c r="DV394" i="11"/>
  <c r="DV390" i="11" s="1"/>
  <c r="EC393" i="11"/>
  <c r="EC387" i="11"/>
  <c r="DE389" i="11"/>
  <c r="DE394" i="11"/>
  <c r="DE390" i="11" s="1"/>
  <c r="DE363" i="11"/>
  <c r="DE362" i="11"/>
  <c r="DL366" i="11"/>
  <c r="EQ432" i="11"/>
  <c r="EQ433" i="11" s="1"/>
  <c r="EQ273" i="11"/>
  <c r="DE379" i="11"/>
  <c r="DV400" i="11"/>
  <c r="DV389" i="11" s="1"/>
  <c r="DG391" i="11"/>
  <c r="EJ434" i="11"/>
  <c r="DV391" i="11" l="1"/>
  <c r="EQ434" i="11"/>
  <c r="EQ385" i="11"/>
  <c r="DE391" i="11"/>
  <c r="EC400" i="11"/>
  <c r="EC389" i="11" s="1"/>
  <c r="EJ393" i="11"/>
  <c r="EJ387" i="11"/>
  <c r="DV406" i="11"/>
  <c r="DV409" i="11"/>
  <c r="EC394" i="11"/>
  <c r="EC390" i="11" s="1"/>
  <c r="EC391" i="11" l="1"/>
  <c r="EC406" i="11"/>
  <c r="EC409" i="11"/>
  <c r="EC410" i="11" s="1"/>
  <c r="EC404" i="11"/>
  <c r="EC10" i="11" s="1"/>
  <c r="EC402" i="11"/>
  <c r="EQ393" i="11"/>
  <c r="EQ387" i="11"/>
  <c r="EJ400" i="11"/>
  <c r="EJ360" i="11" s="1"/>
  <c r="EC411" i="11"/>
  <c r="EC631" i="11"/>
  <c r="EC640" i="11"/>
  <c r="EC440" i="11" s="1"/>
  <c r="EC638" i="11"/>
  <c r="EC629" i="11"/>
  <c r="EC632" i="11"/>
  <c r="EC625" i="11"/>
  <c r="EC627" i="11"/>
  <c r="EC669" i="11" s="1"/>
  <c r="EC630" i="11"/>
  <c r="EC635" i="11"/>
  <c r="EC677" i="11" s="1"/>
  <c r="EC636" i="11"/>
  <c r="EC678" i="11" s="1"/>
  <c r="EC634" i="11"/>
  <c r="EC626" i="11"/>
  <c r="EC668" i="11" s="1"/>
  <c r="EC633" i="11"/>
  <c r="EC675" i="11" s="1"/>
  <c r="EC637" i="11"/>
  <c r="EC679" i="11" s="1"/>
  <c r="EC628" i="11"/>
  <c r="DV639" i="11"/>
  <c r="DV275" i="11"/>
  <c r="EC360" i="11"/>
  <c r="EJ394" i="11"/>
  <c r="EJ390" i="11" s="1"/>
  <c r="EC412" i="11" l="1"/>
  <c r="EC414" i="11" s="1"/>
  <c r="EC670" i="11"/>
  <c r="EQ400" i="11"/>
  <c r="EQ360" i="11" s="1"/>
  <c r="EJ627" i="11"/>
  <c r="EJ669" i="11" s="1"/>
  <c r="EJ632" i="11"/>
  <c r="EJ630" i="11"/>
  <c r="EJ633" i="11"/>
  <c r="EJ675" i="11" s="1"/>
  <c r="EJ625" i="11"/>
  <c r="EJ629" i="11"/>
  <c r="EJ634" i="11"/>
  <c r="EJ626" i="11"/>
  <c r="EJ668" i="11" s="1"/>
  <c r="EJ640" i="11"/>
  <c r="EJ440" i="11" s="1"/>
  <c r="EJ631" i="11"/>
  <c r="EJ635" i="11"/>
  <c r="EJ677" i="11" s="1"/>
  <c r="EJ637" i="11"/>
  <c r="EJ679" i="11" s="1"/>
  <c r="EJ628" i="11"/>
  <c r="EJ636" i="11"/>
  <c r="EJ678" i="11" s="1"/>
  <c r="EC639" i="11"/>
  <c r="EC643" i="11" s="1"/>
  <c r="EJ638" i="11"/>
  <c r="EC275" i="11"/>
  <c r="EA360" i="11"/>
  <c r="EB360" i="11" s="1"/>
  <c r="EJ406" i="11"/>
  <c r="EJ409" i="11"/>
  <c r="EJ404" i="11"/>
  <c r="EJ10" i="11" s="1"/>
  <c r="EJ402" i="11"/>
  <c r="EJ377" i="11"/>
  <c r="EH360" i="11"/>
  <c r="EI360" i="11" s="1"/>
  <c r="EQ394" i="11"/>
  <c r="EQ390" i="11" s="1"/>
  <c r="EC680" i="11"/>
  <c r="EJ411" i="11"/>
  <c r="DV290" i="11"/>
  <c r="DV286" i="11"/>
  <c r="DV305" i="11"/>
  <c r="DV284" i="11"/>
  <c r="DV304" i="11"/>
  <c r="DV295" i="11"/>
  <c r="DV291" i="11"/>
  <c r="DV281" i="11"/>
  <c r="DV296" i="11"/>
  <c r="DV298" i="11"/>
  <c r="DV279" i="11"/>
  <c r="DV299" i="11"/>
  <c r="DV293" i="11"/>
  <c r="DV301" i="11"/>
  <c r="DV297" i="11"/>
  <c r="DV294" i="11"/>
  <c r="DV303" i="11"/>
  <c r="DV289" i="11"/>
  <c r="DV287" i="11"/>
  <c r="DV302" i="11"/>
  <c r="DV288" i="11"/>
  <c r="DV282" i="11"/>
  <c r="DV285" i="11"/>
  <c r="DV300" i="11"/>
  <c r="DV278" i="11"/>
  <c r="DV292" i="11"/>
  <c r="DV283" i="11"/>
  <c r="DV280" i="11"/>
  <c r="DV306" i="11"/>
  <c r="DV307" i="11"/>
  <c r="DV308" i="11"/>
  <c r="EC401" i="11"/>
  <c r="EC405" i="11"/>
  <c r="EC676" i="11"/>
  <c r="EC682" i="11"/>
  <c r="EJ389" i="11"/>
  <c r="EJ391" i="11" s="1"/>
  <c r="EI377" i="11" l="1"/>
  <c r="EF360" i="11"/>
  <c r="EQ377" i="11"/>
  <c r="EO360" i="11"/>
  <c r="EP360" i="11" s="1"/>
  <c r="DV312" i="11"/>
  <c r="DV316" i="11" s="1"/>
  <c r="EC645" i="11"/>
  <c r="EQ406" i="11"/>
  <c r="EQ402" i="11"/>
  <c r="EQ409" i="11"/>
  <c r="EQ410" i="11" s="1"/>
  <c r="EQ404" i="11"/>
  <c r="EQ10" i="11" s="1"/>
  <c r="DV23" i="11"/>
  <c r="DV346" i="11"/>
  <c r="EC279" i="11"/>
  <c r="EC305" i="11"/>
  <c r="EC286" i="11"/>
  <c r="EC290" i="11"/>
  <c r="EC278" i="11"/>
  <c r="EC296" i="11"/>
  <c r="EC292" i="11"/>
  <c r="EC295" i="11"/>
  <c r="EC298" i="11"/>
  <c r="EC281" i="11"/>
  <c r="EC304" i="11"/>
  <c r="EC300" i="11"/>
  <c r="EC301" i="11"/>
  <c r="EC297" i="11"/>
  <c r="EC283" i="11"/>
  <c r="EC285" i="11"/>
  <c r="EC299" i="11"/>
  <c r="EC288" i="11"/>
  <c r="EC291" i="11"/>
  <c r="EC289" i="11"/>
  <c r="EC302" i="11"/>
  <c r="EC303" i="11"/>
  <c r="EC294" i="11"/>
  <c r="EC284" i="11"/>
  <c r="EC282" i="11"/>
  <c r="EC287" i="11"/>
  <c r="EC306" i="11"/>
  <c r="EC293" i="11"/>
  <c r="EC280" i="11"/>
  <c r="EC307" i="11"/>
  <c r="EC308" i="11"/>
  <c r="EJ682" i="11"/>
  <c r="DV344" i="11"/>
  <c r="EJ401" i="11"/>
  <c r="EJ405" i="11"/>
  <c r="EJ680" i="11"/>
  <c r="DV20" i="11"/>
  <c r="EH377" i="11"/>
  <c r="ED360" i="11"/>
  <c r="EE360" i="11" s="1"/>
  <c r="EJ676" i="11"/>
  <c r="DV28" i="11"/>
  <c r="DV26" i="11"/>
  <c r="DV5" i="11"/>
  <c r="DV22" i="11"/>
  <c r="DV345" i="11"/>
  <c r="EJ410" i="11"/>
  <c r="EJ412" i="11" s="1"/>
  <c r="EQ411" i="11"/>
  <c r="DY360" i="11"/>
  <c r="DZ360" i="11" s="1"/>
  <c r="DV21" i="11"/>
  <c r="DV27" i="11"/>
  <c r="DV9" i="11"/>
  <c r="DV313" i="11"/>
  <c r="DV317" i="11" s="1"/>
  <c r="DV353" i="11"/>
  <c r="DV24" i="11"/>
  <c r="DV347" i="11"/>
  <c r="EQ389" i="11"/>
  <c r="EQ391" i="11" s="1"/>
  <c r="DV311" i="11"/>
  <c r="DV315" i="11" s="1"/>
  <c r="DV19" i="11"/>
  <c r="DV342" i="11"/>
  <c r="DV343" i="11"/>
  <c r="DV25" i="11"/>
  <c r="EQ630" i="11"/>
  <c r="EQ635" i="11"/>
  <c r="EQ677" i="11" s="1"/>
  <c r="EQ632" i="11"/>
  <c r="EQ625" i="11"/>
  <c r="EQ636" i="11"/>
  <c r="EQ678" i="11" s="1"/>
  <c r="EQ633" i="11"/>
  <c r="EQ675" i="11" s="1"/>
  <c r="EQ629" i="11"/>
  <c r="EQ631" i="11"/>
  <c r="EQ640" i="11"/>
  <c r="EQ440" i="11" s="1"/>
  <c r="EQ628" i="11"/>
  <c r="EQ627" i="11"/>
  <c r="EQ669" i="11" s="1"/>
  <c r="EQ634" i="11"/>
  <c r="EQ626" i="11"/>
  <c r="EQ668" i="11" s="1"/>
  <c r="EJ639" i="11"/>
  <c r="EQ638" i="11"/>
  <c r="EQ637" i="11"/>
  <c r="EQ679" i="11" s="1"/>
  <c r="EJ275" i="11"/>
  <c r="EJ304" i="11" s="1"/>
  <c r="EJ347" i="11" s="1"/>
  <c r="DW360" i="11"/>
  <c r="EJ670" i="11"/>
  <c r="EC27" i="11" l="1"/>
  <c r="EC313" i="11"/>
  <c r="EC317" i="11" s="1"/>
  <c r="EC9" i="11"/>
  <c r="EC353" i="11"/>
  <c r="EC346" i="11"/>
  <c r="EC23" i="11"/>
  <c r="EP377" i="11"/>
  <c r="EM360" i="11"/>
  <c r="EN360" i="11" s="1"/>
  <c r="EQ680" i="11"/>
  <c r="EJ414" i="11"/>
  <c r="ED377" i="11"/>
  <c r="EC19" i="11"/>
  <c r="EC311" i="11"/>
  <c r="EC315" i="11" s="1"/>
  <c r="EC342" i="11"/>
  <c r="EC644" i="11"/>
  <c r="EO377" i="11"/>
  <c r="EK360" i="11"/>
  <c r="EC22" i="11"/>
  <c r="EC345" i="11"/>
  <c r="EC344" i="11"/>
  <c r="EC21" i="11"/>
  <c r="EQ412" i="11"/>
  <c r="EQ414" i="11" s="1"/>
  <c r="DV348" i="11"/>
  <c r="DV11" i="11"/>
  <c r="EC26" i="11"/>
  <c r="EC5" i="11"/>
  <c r="EC24" i="11"/>
  <c r="EC347" i="11"/>
  <c r="EC20" i="11"/>
  <c r="EQ405" i="11"/>
  <c r="EQ401" i="11"/>
  <c r="EC343" i="11"/>
  <c r="EC312" i="11"/>
  <c r="EC316" i="11" s="1"/>
  <c r="EC25" i="11"/>
  <c r="EQ639" i="11"/>
  <c r="EQ643" i="11" s="1"/>
  <c r="EQ275" i="11"/>
  <c r="EQ307" i="11" s="1"/>
  <c r="EF377" i="11"/>
  <c r="EF361" i="11"/>
  <c r="EJ290" i="11"/>
  <c r="EJ305" i="11"/>
  <c r="EJ286" i="11"/>
  <c r="EJ297" i="11"/>
  <c r="EJ296" i="11"/>
  <c r="EJ302" i="11"/>
  <c r="EJ278" i="11"/>
  <c r="EJ284" i="11"/>
  <c r="EJ288" i="11"/>
  <c r="EJ289" i="11"/>
  <c r="EJ300" i="11"/>
  <c r="EJ292" i="11"/>
  <c r="EJ279" i="11"/>
  <c r="EJ283" i="11"/>
  <c r="EJ298" i="11"/>
  <c r="EJ299" i="11"/>
  <c r="EJ282" i="11"/>
  <c r="EJ281" i="11"/>
  <c r="EJ294" i="11"/>
  <c r="EJ293" i="11"/>
  <c r="EJ291" i="11"/>
  <c r="EJ285" i="11"/>
  <c r="EJ295" i="11"/>
  <c r="EJ301" i="11"/>
  <c r="EJ303" i="11"/>
  <c r="EJ287" i="11"/>
  <c r="EJ306" i="11"/>
  <c r="EJ280" i="11"/>
  <c r="EJ307" i="11"/>
  <c r="EJ308" i="11"/>
  <c r="EC28" i="11"/>
  <c r="DY361" i="11"/>
  <c r="EG360" i="11"/>
  <c r="EG377" i="11" s="1"/>
  <c r="EQ682" i="11"/>
  <c r="EQ676" i="11"/>
  <c r="EJ643" i="11"/>
  <c r="DX360" i="11"/>
  <c r="EE377" i="11" s="1"/>
  <c r="EQ670" i="11"/>
  <c r="EN377" i="11" l="1"/>
  <c r="EC369" i="11"/>
  <c r="EJ19" i="11"/>
  <c r="EJ311" i="11"/>
  <c r="EJ315" i="11" s="1"/>
  <c r="EJ342" i="11"/>
  <c r="EC373" i="11"/>
  <c r="EC370" i="11"/>
  <c r="EM377" i="11"/>
  <c r="EM361" i="11"/>
  <c r="EJ23" i="11"/>
  <c r="EJ346" i="11"/>
  <c r="EJ22" i="11"/>
  <c r="EJ345" i="11"/>
  <c r="EK377" i="11"/>
  <c r="EJ26" i="11"/>
  <c r="EJ5" i="11"/>
  <c r="EL360" i="11"/>
  <c r="EJ312" i="11"/>
  <c r="EJ316" i="11" s="1"/>
  <c r="EJ20" i="11"/>
  <c r="DV76" i="11"/>
  <c r="EC407" i="11"/>
  <c r="DV62" i="11"/>
  <c r="EB4" i="4"/>
  <c r="DV356" i="11"/>
  <c r="DV309" i="11"/>
  <c r="DV217" i="11" s="1"/>
  <c r="EJ25" i="11"/>
  <c r="EC372" i="11"/>
  <c r="EQ286" i="11"/>
  <c r="EQ285" i="11"/>
  <c r="EQ290" i="11"/>
  <c r="EQ305" i="11"/>
  <c r="EQ295" i="11"/>
  <c r="EQ297" i="11"/>
  <c r="EQ278" i="11"/>
  <c r="EQ294" i="11"/>
  <c r="EQ298" i="11"/>
  <c r="EQ288" i="11"/>
  <c r="EQ301" i="11"/>
  <c r="EQ293" i="11"/>
  <c r="EQ292" i="11"/>
  <c r="EQ299" i="11"/>
  <c r="EQ300" i="11"/>
  <c r="EQ279" i="11"/>
  <c r="EQ302" i="11"/>
  <c r="EQ296" i="11"/>
  <c r="EQ291" i="11"/>
  <c r="EQ283" i="11"/>
  <c r="EQ304" i="11"/>
  <c r="EQ303" i="11"/>
  <c r="EQ289" i="11"/>
  <c r="EQ282" i="11"/>
  <c r="EQ284" i="11"/>
  <c r="EQ280" i="11"/>
  <c r="EQ287" i="11"/>
  <c r="EQ306" i="11"/>
  <c r="EQ281" i="11"/>
  <c r="EQ308" i="11"/>
  <c r="DY362" i="11"/>
  <c r="EF366" i="11"/>
  <c r="EF378" i="11" s="1"/>
  <c r="EF379" i="11" s="1"/>
  <c r="DY45" i="11"/>
  <c r="EF362" i="11"/>
  <c r="EM366" i="11"/>
  <c r="EF45" i="11"/>
  <c r="EC11" i="11"/>
  <c r="EJ645" i="11"/>
  <c r="EJ343" i="11"/>
  <c r="EJ344" i="11"/>
  <c r="EQ645" i="11"/>
  <c r="EQ644" i="11" s="1"/>
  <c r="EJ21" i="11"/>
  <c r="EC368" i="11"/>
  <c r="DV329" i="11"/>
  <c r="DV30" i="11"/>
  <c r="DV349" i="11"/>
  <c r="DV350" i="11"/>
  <c r="EJ28" i="11"/>
  <c r="EJ313" i="11"/>
  <c r="EJ317" i="11" s="1"/>
  <c r="EJ27" i="11"/>
  <c r="EJ9" i="11"/>
  <c r="EJ353" i="11"/>
  <c r="EJ24" i="11"/>
  <c r="EC367" i="11"/>
  <c r="EC348" i="11"/>
  <c r="EC371" i="11"/>
  <c r="EM378" i="11" l="1"/>
  <c r="EM379" i="11" s="1"/>
  <c r="EQ26" i="11"/>
  <c r="EQ5" i="11"/>
  <c r="EJ368" i="11"/>
  <c r="DY46" i="11"/>
  <c r="DY58" i="11"/>
  <c r="EE26" i="4"/>
  <c r="EQ343" i="11"/>
  <c r="EQ21" i="11"/>
  <c r="EQ311" i="11"/>
  <c r="EQ315" i="11" s="1"/>
  <c r="EQ19" i="11"/>
  <c r="EQ342" i="11"/>
  <c r="EQ23" i="11"/>
  <c r="EQ346" i="11"/>
  <c r="EL377" i="11"/>
  <c r="EM362" i="11"/>
  <c r="EM45" i="11"/>
  <c r="EQ20" i="11"/>
  <c r="EJ370" i="11"/>
  <c r="EJ371" i="11"/>
  <c r="EJ369" i="11"/>
  <c r="EQ25" i="11"/>
  <c r="EJ367" i="11"/>
  <c r="EJ348" i="11"/>
  <c r="EC76" i="11"/>
  <c r="EC12" i="11"/>
  <c r="EJ407" i="11"/>
  <c r="EC62" i="11"/>
  <c r="EC356" i="11"/>
  <c r="EC361" i="11" s="1"/>
  <c r="EI4" i="4"/>
  <c r="EC309" i="11"/>
  <c r="EC217" i="11" s="1"/>
  <c r="EC649" i="11"/>
  <c r="EC14" i="11"/>
  <c r="EQ22" i="11"/>
  <c r="EQ345" i="11"/>
  <c r="EC15" i="11"/>
  <c r="EJ372" i="11"/>
  <c r="DY363" i="11"/>
  <c r="EF46" i="11"/>
  <c r="EF47" i="11"/>
  <c r="EL26" i="4"/>
  <c r="EF58" i="11"/>
  <c r="EQ28" i="11"/>
  <c r="EQ344" i="11"/>
  <c r="DV42" i="11"/>
  <c r="EJ11" i="11"/>
  <c r="EJ15" i="11" s="1"/>
  <c r="EQ312" i="11"/>
  <c r="EQ316" i="11" s="1"/>
  <c r="EQ24" i="11"/>
  <c r="EQ347" i="11"/>
  <c r="EB63" i="4"/>
  <c r="DV70" i="11"/>
  <c r="EC349" i="11"/>
  <c r="EC329" i="11"/>
  <c r="EC30" i="11"/>
  <c r="EC350" i="11"/>
  <c r="EJ373" i="11"/>
  <c r="EJ644" i="11"/>
  <c r="EF363" i="11"/>
  <c r="EQ9" i="11"/>
  <c r="EQ27" i="11"/>
  <c r="EQ313" i="11"/>
  <c r="EQ317" i="11" s="1"/>
  <c r="EQ353" i="11"/>
  <c r="Y85" i="139"/>
  <c r="DU152" i="243"/>
  <c r="EB11" i="4"/>
  <c r="EJ14" i="11" l="1"/>
  <c r="EJ16" i="11" s="1"/>
  <c r="EJ649" i="11"/>
  <c r="EC16" i="11"/>
  <c r="EQ372" i="11"/>
  <c r="EL29" i="4"/>
  <c r="EL31" i="4" s="1"/>
  <c r="EM47" i="11"/>
  <c r="EM46" i="11"/>
  <c r="ES26" i="4"/>
  <c r="EM58" i="11"/>
  <c r="Z85" i="139"/>
  <c r="EB152" i="243"/>
  <c r="EI16" i="4"/>
  <c r="E4" i="244"/>
  <c r="EI11" i="4"/>
  <c r="EQ371" i="11"/>
  <c r="EC374" i="11"/>
  <c r="EC42" i="11"/>
  <c r="EM363" i="11"/>
  <c r="DV646" i="11"/>
  <c r="DV43" i="11"/>
  <c r="DV40" i="11"/>
  <c r="EB115" i="4"/>
  <c r="EC70" i="11"/>
  <c r="EI63" i="4"/>
  <c r="EQ11" i="11"/>
  <c r="EQ15" i="11" s="1"/>
  <c r="EQ367" i="11"/>
  <c r="EQ348" i="11"/>
  <c r="EQ368" i="11"/>
  <c r="EQ369" i="11"/>
  <c r="EC362" i="11"/>
  <c r="EJ366" i="11"/>
  <c r="EC45" i="11"/>
  <c r="EB141" i="4"/>
  <c r="EQ370" i="11"/>
  <c r="EQ373" i="11"/>
  <c r="EE29" i="4"/>
  <c r="EE31" i="4" s="1"/>
  <c r="EB87" i="4"/>
  <c r="EB70" i="4"/>
  <c r="EB72" i="4" s="1"/>
  <c r="EJ76" i="11"/>
  <c r="EJ12" i="11"/>
  <c r="EQ407" i="11"/>
  <c r="EJ356" i="11"/>
  <c r="EP4" i="4"/>
  <c r="EJ62" i="11"/>
  <c r="EJ309" i="11"/>
  <c r="EJ217" i="11" s="1"/>
  <c r="EF59" i="11"/>
  <c r="EF60" i="11"/>
  <c r="EL51" i="4"/>
  <c r="EJ349" i="11"/>
  <c r="EJ350" i="11"/>
  <c r="EJ329" i="11"/>
  <c r="EJ30" i="11"/>
  <c r="DY59" i="11"/>
  <c r="EE51" i="4"/>
  <c r="EP63" i="4" l="1"/>
  <c r="EJ70" i="11"/>
  <c r="EC46" i="11"/>
  <c r="EB85" i="2" s="1"/>
  <c r="EI26" i="4"/>
  <c r="EC58" i="11"/>
  <c r="EQ350" i="11"/>
  <c r="EQ329" i="11"/>
  <c r="EQ349" i="11"/>
  <c r="EQ30" i="11"/>
  <c r="EI141" i="4"/>
  <c r="EJ374" i="11"/>
  <c r="EJ378" i="11" s="1"/>
  <c r="EJ42" i="11"/>
  <c r="EC646" i="11"/>
  <c r="EC647" i="11" s="1"/>
  <c r="EC648" i="11" s="1"/>
  <c r="EC40" i="11"/>
  <c r="EC43" i="11"/>
  <c r="EI115" i="4"/>
  <c r="EI70" i="4"/>
  <c r="EI72" i="4" s="1"/>
  <c r="EI87" i="4"/>
  <c r="ES29" i="4"/>
  <c r="ES31" i="4" s="1"/>
  <c r="EP16" i="4"/>
  <c r="AA85" i="139"/>
  <c r="EI152" i="243"/>
  <c r="EP11" i="4"/>
  <c r="EC363" i="11"/>
  <c r="EQ76" i="11"/>
  <c r="EQ12" i="11"/>
  <c r="EQ356" i="11"/>
  <c r="EQ361" i="11" s="1"/>
  <c r="EQ62" i="11"/>
  <c r="EW4" i="4"/>
  <c r="EQ649" i="11"/>
  <c r="EQ309" i="11"/>
  <c r="EQ217" i="11" s="1"/>
  <c r="E5" i="244"/>
  <c r="EE43" i="4"/>
  <c r="EE46" i="4" s="1"/>
  <c r="EE48" i="4" s="1"/>
  <c r="EE102" i="4"/>
  <c r="EE109" i="4" s="1"/>
  <c r="EE111" i="4" s="1"/>
  <c r="EE58" i="4"/>
  <c r="EE60" i="4" s="1"/>
  <c r="DX22" i="2" s="1"/>
  <c r="EQ14" i="11"/>
  <c r="EQ16" i="11" s="1"/>
  <c r="EB122" i="4"/>
  <c r="EB124" i="4" s="1"/>
  <c r="EB162" i="4"/>
  <c r="EB149" i="4"/>
  <c r="EB94" i="4"/>
  <c r="EB96" i="4" s="1"/>
  <c r="EB98" i="4" s="1"/>
  <c r="EJ361" i="11"/>
  <c r="EL102" i="4"/>
  <c r="EL109" i="4" s="1"/>
  <c r="EL111" i="4" s="1"/>
  <c r="EL43" i="4"/>
  <c r="EL46" i="4" s="1"/>
  <c r="EL48" i="4" s="1"/>
  <c r="EL58" i="4"/>
  <c r="EL60" i="4" s="1"/>
  <c r="EE22" i="2" s="1"/>
  <c r="EM59" i="11"/>
  <c r="EM60" i="11"/>
  <c r="ES51" i="4"/>
  <c r="EJ45" i="11" l="1"/>
  <c r="Z91" i="139"/>
  <c r="Z97" i="139" s="1"/>
  <c r="E15" i="244"/>
  <c r="EI29" i="4"/>
  <c r="DU20" i="2"/>
  <c r="DX18" i="2"/>
  <c r="DX27" i="2"/>
  <c r="EE18" i="2"/>
  <c r="EE27" i="2"/>
  <c r="DX54" i="2"/>
  <c r="DX7" i="242"/>
  <c r="EJ379" i="11"/>
  <c r="EP141" i="4"/>
  <c r="EQ374" i="11"/>
  <c r="EQ42" i="11"/>
  <c r="EI162" i="4"/>
  <c r="EI149" i="4"/>
  <c r="EP70" i="4"/>
  <c r="EP72" i="4" s="1"/>
  <c r="EP87" i="4"/>
  <c r="EP94" i="4" s="1"/>
  <c r="EP96" i="4" s="1"/>
  <c r="EP98" i="4" s="1"/>
  <c r="DU15" i="2"/>
  <c r="EB131" i="4"/>
  <c r="EW63" i="4"/>
  <c r="EQ70" i="11"/>
  <c r="EQ362" i="11"/>
  <c r="EQ45" i="11"/>
  <c r="EQ363" i="11" s="1"/>
  <c r="EI94" i="4"/>
  <c r="EI96" i="4" s="1"/>
  <c r="EI98" i="4" s="1"/>
  <c r="ES102" i="4"/>
  <c r="ES109" i="4" s="1"/>
  <c r="ES111" i="4" s="1"/>
  <c r="ES112" i="4" s="1"/>
  <c r="ES43" i="4"/>
  <c r="ES46" i="4" s="1"/>
  <c r="ES48" i="4" s="1"/>
  <c r="ES58" i="4"/>
  <c r="ES60" i="4" s="1"/>
  <c r="EL22" i="2" s="1"/>
  <c r="EE7" i="242"/>
  <c r="EE54" i="2"/>
  <c r="EL112" i="4"/>
  <c r="EI122" i="4"/>
  <c r="EI124" i="4" s="1"/>
  <c r="EJ40" i="11"/>
  <c r="EJ646" i="11"/>
  <c r="EJ647" i="11" s="1"/>
  <c r="EJ648" i="11" s="1"/>
  <c r="EJ43" i="11"/>
  <c r="EP115" i="4"/>
  <c r="EJ362" i="11"/>
  <c r="EQ366" i="11"/>
  <c r="EJ363" i="11"/>
  <c r="EW16" i="4"/>
  <c r="EP152" i="243"/>
  <c r="AB85" i="139"/>
  <c r="EW11" i="4"/>
  <c r="EC59" i="11"/>
  <c r="EI51" i="4"/>
  <c r="EQ378" i="11" l="1"/>
  <c r="EQ379" i="11" s="1"/>
  <c r="EI31" i="4"/>
  <c r="EI102" i="4"/>
  <c r="EI43" i="4"/>
  <c r="EI46" i="4" s="1"/>
  <c r="EI48" i="4" s="1"/>
  <c r="EI58" i="4"/>
  <c r="EI60" i="4" s="1"/>
  <c r="EP162" i="4"/>
  <c r="EP149" i="4"/>
  <c r="DU5" i="242"/>
  <c r="EL18" i="2"/>
  <c r="EL27" i="2"/>
  <c r="E16" i="244"/>
  <c r="E23" i="244"/>
  <c r="EB135" i="4"/>
  <c r="EJ47" i="11"/>
  <c r="EJ46" i="11"/>
  <c r="EI85" i="2" s="1"/>
  <c r="EP26" i="4"/>
  <c r="EJ58" i="11"/>
  <c r="EP122" i="4"/>
  <c r="EP124" i="4" s="1"/>
  <c r="EI131" i="4"/>
  <c r="EB15" i="2"/>
  <c r="EW141" i="4"/>
  <c r="EI20" i="2"/>
  <c r="EL54" i="2"/>
  <c r="EL7" i="242"/>
  <c r="EW70" i="4"/>
  <c r="EW72" i="4" s="1"/>
  <c r="EW87" i="4"/>
  <c r="EW94" i="4" s="1"/>
  <c r="EW96" i="4" s="1"/>
  <c r="EW98" i="4" s="1"/>
  <c r="EQ46" i="11"/>
  <c r="EP85" i="2" s="1"/>
  <c r="EQ47" i="11"/>
  <c r="EQ58" i="11"/>
  <c r="EW26" i="4"/>
  <c r="EB20" i="2"/>
  <c r="EQ40" i="11"/>
  <c r="EQ646" i="11"/>
  <c r="EQ647" i="11" s="1"/>
  <c r="EQ648" i="11" s="1"/>
  <c r="EQ43" i="11"/>
  <c r="EW115" i="4"/>
  <c r="EI5" i="242" l="1"/>
  <c r="EP131" i="4"/>
  <c r="EI15" i="2"/>
  <c r="EB22" i="2"/>
  <c r="EI135" i="4"/>
  <c r="EP20" i="2"/>
  <c r="EB54" i="2"/>
  <c r="EB56" i="2" s="1"/>
  <c r="EB7" i="242"/>
  <c r="EB5" i="242"/>
  <c r="EQ59" i="11"/>
  <c r="EQ60" i="11"/>
  <c r="EW51" i="4"/>
  <c r="EJ60" i="11"/>
  <c r="EJ59" i="11"/>
  <c r="EP51" i="4"/>
  <c r="EW122" i="4"/>
  <c r="EW124" i="4" s="1"/>
  <c r="EW162" i="4"/>
  <c r="EW149" i="4"/>
  <c r="AA91" i="139"/>
  <c r="AA97" i="139" s="1"/>
  <c r="EP29" i="4"/>
  <c r="EP31" i="4" s="1"/>
  <c r="EI109" i="4"/>
  <c r="EI111" i="4" s="1"/>
  <c r="EI161" i="4"/>
  <c r="EI167" i="4" s="1"/>
  <c r="Z17" i="139"/>
  <c r="Z15" i="139"/>
  <c r="AB91" i="139"/>
  <c r="AB97" i="139" s="1"/>
  <c r="EW29" i="4"/>
  <c r="EW31" i="4" s="1"/>
  <c r="EW131" i="4" l="1"/>
  <c r="EP15" i="2"/>
  <c r="AG15" i="139"/>
  <c r="EW102" i="4"/>
  <c r="EW58" i="4"/>
  <c r="EW60" i="4" s="1"/>
  <c r="EW43" i="4"/>
  <c r="EW46" i="4" s="1"/>
  <c r="EW48" i="4" s="1"/>
  <c r="EP5" i="242"/>
  <c r="AB15" i="139"/>
  <c r="AB17" i="139"/>
  <c r="EP102" i="4"/>
  <c r="EP43" i="4"/>
  <c r="EP46" i="4" s="1"/>
  <c r="EP48" i="4" s="1"/>
  <c r="EP58" i="4"/>
  <c r="EP60" i="4" s="1"/>
  <c r="AG17" i="139"/>
  <c r="AA15" i="139"/>
  <c r="AA17" i="139"/>
  <c r="Z16" i="139"/>
  <c r="AG16" i="139" s="1"/>
  <c r="EB18" i="2"/>
  <c r="EB27" i="2"/>
  <c r="EP135" i="4"/>
  <c r="EI22" i="2" l="1"/>
  <c r="EI27" i="2" s="1"/>
  <c r="EP22" i="2"/>
  <c r="AA29" i="139"/>
  <c r="AA16" i="139"/>
  <c r="EI18" i="2"/>
  <c r="AB29" i="139"/>
  <c r="EW109" i="4"/>
  <c r="EW111" i="4" s="1"/>
  <c r="EW161" i="4"/>
  <c r="EW167" i="4" s="1"/>
  <c r="EI54" i="2"/>
  <c r="EI56" i="2" s="1"/>
  <c r="EI7" i="242"/>
  <c r="EP161" i="4"/>
  <c r="EP167" i="4" s="1"/>
  <c r="EP109" i="4"/>
  <c r="EP111" i="4" s="1"/>
  <c r="EP112" i="4" s="1"/>
  <c r="AB30" i="139"/>
  <c r="Z13" i="139"/>
  <c r="AG13" i="139" s="1"/>
  <c r="E28" i="244"/>
  <c r="E30" i="244"/>
  <c r="E31" i="244" s="1"/>
  <c r="EW135" i="4"/>
  <c r="AA30" i="139"/>
  <c r="EP7" i="242"/>
  <c r="EP54" i="2"/>
  <c r="EP56" i="2" s="1"/>
  <c r="EP18" i="2" l="1"/>
  <c r="AB16" i="139"/>
  <c r="EP27" i="2"/>
  <c r="AA13" i="139"/>
  <c r="EW112" i="4"/>
  <c r="AB13" i="139" l="1"/>
  <c r="DO398" i="11" l="1"/>
  <c r="DO400" i="11" l="1"/>
  <c r="DO409" i="11" l="1"/>
  <c r="DO360" i="11"/>
  <c r="DO406" i="11"/>
  <c r="DV404" i="11"/>
  <c r="DV10" i="11" s="1"/>
  <c r="DO389" i="11"/>
  <c r="DO391" i="11" s="1"/>
  <c r="DV360" i="11"/>
  <c r="DO402" i="11"/>
  <c r="DV402" i="11"/>
  <c r="DO404" i="11"/>
  <c r="DO10" i="11" s="1"/>
  <c r="DV410" i="11" l="1"/>
  <c r="DO410" i="11"/>
  <c r="DO412" i="11" s="1"/>
  <c r="DO403" i="11"/>
  <c r="DV403" i="11" s="1"/>
  <c r="EC403" i="11" s="1"/>
  <c r="EJ403" i="11" s="1"/>
  <c r="EQ403" i="11" s="1"/>
  <c r="DO405" i="11"/>
  <c r="DO401" i="11"/>
  <c r="DV361" i="11"/>
  <c r="EC377" i="11"/>
  <c r="DT360" i="11"/>
  <c r="DV377" i="11"/>
  <c r="DV14" i="11"/>
  <c r="DV15" i="11"/>
  <c r="DV634" i="11"/>
  <c r="DV625" i="11"/>
  <c r="DV635" i="11"/>
  <c r="DV677" i="11" s="1"/>
  <c r="DO639" i="11"/>
  <c r="DV628" i="11"/>
  <c r="DV627" i="11"/>
  <c r="DV669" i="11" s="1"/>
  <c r="DV631" i="11"/>
  <c r="DV629" i="11"/>
  <c r="DV633" i="11"/>
  <c r="DV675" i="11" s="1"/>
  <c r="DO407" i="11"/>
  <c r="DV638" i="11"/>
  <c r="DV632" i="11"/>
  <c r="DV640" i="11"/>
  <c r="DV440" i="11" s="1"/>
  <c r="DV636" i="11"/>
  <c r="DV678" i="11" s="1"/>
  <c r="DV626" i="11"/>
  <c r="DV668" i="11" s="1"/>
  <c r="DO275" i="11"/>
  <c r="DV637" i="11"/>
  <c r="DV679" i="11" s="1"/>
  <c r="DV630" i="11"/>
  <c r="DV411" i="11"/>
  <c r="DV405" i="11"/>
  <c r="DV401" i="11"/>
  <c r="DO377" i="11"/>
  <c r="DV16" i="11" l="1"/>
  <c r="DV676" i="11"/>
  <c r="EC366" i="11"/>
  <c r="EC378" i="11" s="1"/>
  <c r="EC379" i="11" s="1"/>
  <c r="DV45" i="11"/>
  <c r="DV363" i="11" s="1"/>
  <c r="DV362" i="11"/>
  <c r="DO280" i="11"/>
  <c r="DO288" i="11"/>
  <c r="DO279" i="11"/>
  <c r="DO297" i="11"/>
  <c r="DO298" i="11"/>
  <c r="DO299" i="11"/>
  <c r="DO308" i="11"/>
  <c r="DO289" i="11"/>
  <c r="DO282" i="11"/>
  <c r="DO283" i="11"/>
  <c r="DO286" i="11"/>
  <c r="DO290" i="11"/>
  <c r="DO305" i="11"/>
  <c r="DO303" i="11"/>
  <c r="DO291" i="11"/>
  <c r="DO284" i="11"/>
  <c r="DO306" i="11"/>
  <c r="DO293" i="11"/>
  <c r="DO278" i="11"/>
  <c r="DO292" i="11"/>
  <c r="DO302" i="11"/>
  <c r="DO307" i="11"/>
  <c r="DO296" i="11"/>
  <c r="DO301" i="11"/>
  <c r="DO285" i="11"/>
  <c r="DO295" i="11"/>
  <c r="DO287" i="11"/>
  <c r="DO300" i="11"/>
  <c r="DO304" i="11"/>
  <c r="DO281" i="11"/>
  <c r="DO294" i="11"/>
  <c r="DP360" i="11"/>
  <c r="DQ360" i="11" s="1"/>
  <c r="EA377" i="11"/>
  <c r="DV643" i="11"/>
  <c r="DV670" i="11"/>
  <c r="DO414" i="11"/>
  <c r="DO413" i="11"/>
  <c r="DV682" i="11"/>
  <c r="DO643" i="11"/>
  <c r="DV680" i="11"/>
  <c r="DU360" i="11"/>
  <c r="DV412" i="11"/>
  <c r="DV414" i="11" s="1"/>
  <c r="DV413" i="11" l="1"/>
  <c r="DT413" i="11" s="1"/>
  <c r="DU413" i="11" s="1"/>
  <c r="EJ413" i="11"/>
  <c r="EF413" i="11" s="1"/>
  <c r="EC413" i="11"/>
  <c r="EA413" i="11" s="1"/>
  <c r="EB413" i="11" s="1"/>
  <c r="EQ413" i="11"/>
  <c r="EK413" i="11" s="1"/>
  <c r="DO21" i="11"/>
  <c r="DO645" i="11"/>
  <c r="DO644" i="11" s="1"/>
  <c r="DO343" i="11"/>
  <c r="DO20" i="11"/>
  <c r="DK413" i="11"/>
  <c r="DM413" i="11"/>
  <c r="DI413" i="11"/>
  <c r="DO651" i="11"/>
  <c r="DX377" i="11"/>
  <c r="DO345" i="11"/>
  <c r="DO22" i="11"/>
  <c r="DV645" i="11"/>
  <c r="DP413" i="11"/>
  <c r="DR413" i="11"/>
  <c r="DO26" i="11"/>
  <c r="DO5" i="11"/>
  <c r="DO311" i="11"/>
  <c r="DO315" i="11" s="1"/>
  <c r="DO342" i="11"/>
  <c r="DO19" i="11"/>
  <c r="EC47" i="11"/>
  <c r="DV46" i="11"/>
  <c r="DU85" i="2" s="1"/>
  <c r="EB26" i="4"/>
  <c r="DV58" i="11"/>
  <c r="DO312" i="11"/>
  <c r="DO316" i="11" s="1"/>
  <c r="DO313" i="11"/>
  <c r="DO317" i="11" s="1"/>
  <c r="DO9" i="11"/>
  <c r="DO27" i="11"/>
  <c r="DO353" i="11"/>
  <c r="DO347" i="11"/>
  <c r="DO24" i="11"/>
  <c r="DO25" i="11"/>
  <c r="DR360" i="11"/>
  <c r="DS360" i="11" s="1"/>
  <c r="EB377" i="11"/>
  <c r="DK361" i="11"/>
  <c r="DK377" i="11"/>
  <c r="DK378" i="11" s="1"/>
  <c r="DO344" i="11"/>
  <c r="DW377" i="11"/>
  <c r="DO23" i="11"/>
  <c r="DO346" i="11"/>
  <c r="DO28" i="11"/>
  <c r="DV651" i="11" l="1"/>
  <c r="DY413" i="11"/>
  <c r="DZ413" i="11" s="1"/>
  <c r="ED413" i="11"/>
  <c r="EH413" i="11"/>
  <c r="EI413" i="11" s="1"/>
  <c r="EG413" i="11" s="1"/>
  <c r="EJ651" i="11"/>
  <c r="EJ653" i="11" s="1"/>
  <c r="EJ442" i="11" s="1"/>
  <c r="DW413" i="11"/>
  <c r="DX413" i="11" s="1"/>
  <c r="EC651" i="11"/>
  <c r="EC656" i="11" s="1"/>
  <c r="EC445" i="11" s="1"/>
  <c r="EO413" i="11"/>
  <c r="EP413" i="11" s="1"/>
  <c r="DS413" i="11"/>
  <c r="EQ651" i="11"/>
  <c r="EQ653" i="11" s="1"/>
  <c r="EQ442" i="11" s="1"/>
  <c r="EM413" i="11"/>
  <c r="DJ413" i="11"/>
  <c r="DK379" i="11"/>
  <c r="DZ377" i="11"/>
  <c r="Y91" i="139"/>
  <c r="Y97" i="139" s="1"/>
  <c r="EB29" i="4"/>
  <c r="DM374" i="11"/>
  <c r="DJ356" i="11"/>
  <c r="DO370" i="11"/>
  <c r="DV370" i="11"/>
  <c r="DV368" i="11"/>
  <c r="DO368" i="11"/>
  <c r="DO372" i="11"/>
  <c r="DV372" i="11"/>
  <c r="DO367" i="11"/>
  <c r="DO348" i="11"/>
  <c r="DV367" i="11"/>
  <c r="DV649" i="11"/>
  <c r="DV647" i="11"/>
  <c r="DV648" i="11" s="1"/>
  <c r="DV59" i="11"/>
  <c r="EB51" i="4"/>
  <c r="EC60" i="11"/>
  <c r="DV644" i="11"/>
  <c r="DY377" i="11"/>
  <c r="DR377" i="11"/>
  <c r="DR361" i="11"/>
  <c r="DO11" i="11"/>
  <c r="DO14" i="11" s="1"/>
  <c r="DV369" i="11"/>
  <c r="DO369" i="11"/>
  <c r="DN413" i="11"/>
  <c r="DL413" i="11" s="1"/>
  <c r="DV652" i="11"/>
  <c r="DV441" i="11" s="1"/>
  <c r="DV655" i="11"/>
  <c r="DV444" i="11" s="1"/>
  <c r="DV657" i="11"/>
  <c r="DV446" i="11" s="1"/>
  <c r="DV656" i="11"/>
  <c r="DV445" i="11" s="1"/>
  <c r="DV654" i="11"/>
  <c r="DV443" i="11" s="1"/>
  <c r="DV653" i="11"/>
  <c r="DV442" i="11" s="1"/>
  <c r="DO653" i="11"/>
  <c r="DO442" i="11" s="1"/>
  <c r="DO657" i="11"/>
  <c r="DO446" i="11" s="1"/>
  <c r="DO655" i="11"/>
  <c r="DO444" i="11" s="1"/>
  <c r="DO654" i="11"/>
  <c r="DO443" i="11" s="1"/>
  <c r="DO652" i="11"/>
  <c r="DO441" i="11" s="1"/>
  <c r="DO656" i="11"/>
  <c r="DO445" i="11" s="1"/>
  <c r="DV371" i="11"/>
  <c r="DO371" i="11"/>
  <c r="DV373" i="11"/>
  <c r="DO373" i="11"/>
  <c r="DR366" i="11"/>
  <c r="DK45" i="11"/>
  <c r="DK362" i="11"/>
  <c r="DQ413" i="11"/>
  <c r="EJ655" i="11" l="1"/>
  <c r="EJ444" i="11" s="1"/>
  <c r="EJ657" i="11"/>
  <c r="EJ446" i="11" s="1"/>
  <c r="EJ656" i="11"/>
  <c r="EJ445" i="11" s="1"/>
  <c r="EE413" i="11"/>
  <c r="EC655" i="11"/>
  <c r="EC444" i="11" s="1"/>
  <c r="EC654" i="11"/>
  <c r="EC443" i="11" s="1"/>
  <c r="EJ654" i="11"/>
  <c r="EJ443" i="11" s="1"/>
  <c r="EJ652" i="11"/>
  <c r="EJ441" i="11" s="1"/>
  <c r="EL413" i="11"/>
  <c r="EC653" i="11"/>
  <c r="EC442" i="11" s="1"/>
  <c r="EC657" i="11"/>
  <c r="EC446" i="11" s="1"/>
  <c r="EC652" i="11"/>
  <c r="EC441" i="11" s="1"/>
  <c r="EN413" i="11"/>
  <c r="EQ652" i="11"/>
  <c r="EQ441" i="11" s="1"/>
  <c r="EQ657" i="11"/>
  <c r="EQ446" i="11" s="1"/>
  <c r="EQ655" i="11"/>
  <c r="EQ444" i="11" s="1"/>
  <c r="EQ656" i="11"/>
  <c r="EQ445" i="11" s="1"/>
  <c r="EQ654" i="11"/>
  <c r="EQ443" i="11" s="1"/>
  <c r="DR378" i="11"/>
  <c r="DR379" i="11" s="1"/>
  <c r="DO15" i="11"/>
  <c r="DO16" i="11" s="1"/>
  <c r="DV658" i="11"/>
  <c r="DV448" i="11" s="1"/>
  <c r="DV449" i="11" s="1"/>
  <c r="EB102" i="4"/>
  <c r="EB43" i="4"/>
  <c r="EB46" i="4" s="1"/>
  <c r="EB48" i="4" s="1"/>
  <c r="EB58" i="4"/>
  <c r="EB60" i="4" s="1"/>
  <c r="DO76" i="11"/>
  <c r="DO75" i="11" s="1"/>
  <c r="DV75" i="11" s="1"/>
  <c r="EC75" i="11" s="1"/>
  <c r="EJ75" i="11" s="1"/>
  <c r="EQ75" i="11" s="1"/>
  <c r="DO62" i="11"/>
  <c r="DO12" i="11"/>
  <c r="DO356" i="11"/>
  <c r="DO361" i="11" s="1"/>
  <c r="DV407" i="11"/>
  <c r="DV12" i="11"/>
  <c r="DU4" i="4"/>
  <c r="DO309" i="11"/>
  <c r="DO217" i="11" s="1"/>
  <c r="DK47" i="11"/>
  <c r="DQ26" i="4"/>
  <c r="DK58" i="11"/>
  <c r="DK46" i="11"/>
  <c r="DO447" i="11"/>
  <c r="DO462" i="11" s="1"/>
  <c r="DO649" i="11"/>
  <c r="DY366" i="11"/>
  <c r="DY378" i="11" s="1"/>
  <c r="DY379" i="11" s="1"/>
  <c r="DR362" i="11"/>
  <c r="DR45" i="11"/>
  <c r="DR363" i="11" s="1"/>
  <c r="DO349" i="11"/>
  <c r="DO30" i="11"/>
  <c r="DO350" i="11"/>
  <c r="DO329" i="11"/>
  <c r="EB31" i="4"/>
  <c r="DK363" i="11"/>
  <c r="DO658" i="11"/>
  <c r="DO448" i="11" s="1"/>
  <c r="DO449" i="11" s="1"/>
  <c r="DJ374" i="11"/>
  <c r="DV447" i="11"/>
  <c r="DV462" i="11" s="1"/>
  <c r="EJ447" i="11" l="1"/>
  <c r="EJ462" i="11" s="1"/>
  <c r="DO659" i="11"/>
  <c r="EJ658" i="11"/>
  <c r="EJ448" i="11" s="1"/>
  <c r="EJ449" i="11" s="1"/>
  <c r="EC447" i="11"/>
  <c r="EC462" i="11" s="1"/>
  <c r="EC658" i="11"/>
  <c r="EC448" i="11" s="1"/>
  <c r="EC449" i="11" s="1"/>
  <c r="EQ447" i="11"/>
  <c r="EQ462" i="11" s="1"/>
  <c r="EQ658" i="11"/>
  <c r="EQ659" i="11" s="1"/>
  <c r="DV659" i="11"/>
  <c r="DV451" i="11"/>
  <c r="DV452" i="11" s="1"/>
  <c r="DU54" i="2"/>
  <c r="DU56" i="2" s="1"/>
  <c r="DU7" i="242"/>
  <c r="DO29" i="4"/>
  <c r="DO31" i="4" s="1"/>
  <c r="EB109" i="4"/>
  <c r="EB111" i="4" s="1"/>
  <c r="EB161" i="4"/>
  <c r="EB167" i="4" s="1"/>
  <c r="Y17" i="139"/>
  <c r="Y15" i="139"/>
  <c r="DM58" i="11"/>
  <c r="DO451" i="11"/>
  <c r="DO452" i="11" s="1"/>
  <c r="DO42" i="11"/>
  <c r="DO374" i="11"/>
  <c r="DO378" i="11" s="1"/>
  <c r="DO379" i="11" s="1"/>
  <c r="DN356" i="11"/>
  <c r="DV374" i="11"/>
  <c r="DK59" i="11"/>
  <c r="DK60" i="11"/>
  <c r="DQ51" i="4"/>
  <c r="DQ29" i="4"/>
  <c r="DQ31" i="4" s="1"/>
  <c r="DO70" i="11"/>
  <c r="DU63" i="4"/>
  <c r="DR47" i="11"/>
  <c r="DR58" i="11"/>
  <c r="DX26" i="4"/>
  <c r="DY47" i="11"/>
  <c r="DR46" i="11"/>
  <c r="DV366" i="11"/>
  <c r="DO362" i="11"/>
  <c r="DO45" i="11"/>
  <c r="DO363" i="11" s="1"/>
  <c r="DU22" i="2"/>
  <c r="EB16" i="4"/>
  <c r="DU11" i="4"/>
  <c r="X85" i="139"/>
  <c r="DN152" i="243"/>
  <c r="DU16" i="4"/>
  <c r="EJ451" i="11" l="1"/>
  <c r="EJ452" i="11" s="1"/>
  <c r="EC451" i="11"/>
  <c r="EC452" i="11" s="1"/>
  <c r="EQ448" i="11"/>
  <c r="EQ449" i="11" s="1"/>
  <c r="EC659" i="11"/>
  <c r="EJ659" i="11"/>
  <c r="DV378" i="11"/>
  <c r="DV379" i="11" s="1"/>
  <c r="DU12" i="4"/>
  <c r="DM60" i="11"/>
  <c r="DM59" i="11"/>
  <c r="Z30" i="139"/>
  <c r="AE17" i="139"/>
  <c r="DO58" i="11"/>
  <c r="DU26" i="4"/>
  <c r="DO47" i="11"/>
  <c r="DO46" i="11"/>
  <c r="DN85" i="2" s="1"/>
  <c r="DV47" i="11"/>
  <c r="DU115" i="4"/>
  <c r="DO40" i="11"/>
  <c r="DO43" i="11"/>
  <c r="DO646" i="11"/>
  <c r="DO647" i="11" s="1"/>
  <c r="DO648" i="11" s="1"/>
  <c r="DU27" i="2"/>
  <c r="Y16" i="139"/>
  <c r="AE16" i="139" s="1"/>
  <c r="DU18" i="2"/>
  <c r="DX29" i="4"/>
  <c r="DX31" i="4" s="1"/>
  <c r="Z29" i="139"/>
  <c r="AE15" i="139"/>
  <c r="DU141" i="4"/>
  <c r="DX51" i="4"/>
  <c r="DR60" i="11"/>
  <c r="DY60" i="11"/>
  <c r="DR59" i="11"/>
  <c r="EI112" i="4"/>
  <c r="DU87" i="4"/>
  <c r="DU94" i="4" s="1"/>
  <c r="DU96" i="4" s="1"/>
  <c r="DU98" i="4" s="1"/>
  <c r="DU70" i="4"/>
  <c r="DU72" i="4" s="1"/>
  <c r="DQ58" i="4"/>
  <c r="DQ60" i="4" s="1"/>
  <c r="DQ43" i="4"/>
  <c r="DQ46" i="4" s="1"/>
  <c r="DQ48" i="4" s="1"/>
  <c r="DQ102" i="4"/>
  <c r="DQ109" i="4" s="1"/>
  <c r="DQ111" i="4" s="1"/>
  <c r="DQ112" i="4" s="1"/>
  <c r="DN42" i="11"/>
  <c r="DN374" i="11"/>
  <c r="DL356" i="11"/>
  <c r="EQ451" i="11" l="1"/>
  <c r="EQ452" i="11" s="1"/>
  <c r="DJ22" i="2"/>
  <c r="DJ18" i="2" s="1"/>
  <c r="DJ54" i="2"/>
  <c r="DJ7" i="242"/>
  <c r="EB12" i="4"/>
  <c r="X88" i="139"/>
  <c r="DL42" i="11"/>
  <c r="DL374" i="11"/>
  <c r="DU13" i="4"/>
  <c r="DU99" i="4" s="1"/>
  <c r="DU162" i="4"/>
  <c r="DU149" i="4"/>
  <c r="DN20" i="2"/>
  <c r="DX102" i="4"/>
  <c r="DX109" i="4" s="1"/>
  <c r="DX111" i="4" s="1"/>
  <c r="DX58" i="4"/>
  <c r="DX60" i="4" s="1"/>
  <c r="DQ22" i="2" s="1"/>
  <c r="DX43" i="4"/>
  <c r="DX46" i="4" s="1"/>
  <c r="DX48" i="4" s="1"/>
  <c r="DT115" i="4"/>
  <c r="Y13" i="139"/>
  <c r="AE13" i="139" s="1"/>
  <c r="DU29" i="4"/>
  <c r="X91" i="139"/>
  <c r="X97" i="139" s="1"/>
  <c r="DU122" i="4"/>
  <c r="DU124" i="4" s="1"/>
  <c r="DN58" i="11"/>
  <c r="DO60" i="11"/>
  <c r="DO59" i="11"/>
  <c r="DU51" i="4"/>
  <c r="DV60" i="11"/>
  <c r="DJ27" i="2" l="1"/>
  <c r="DT12" i="4"/>
  <c r="DN5" i="242"/>
  <c r="DU102" i="4"/>
  <c r="DU58" i="4"/>
  <c r="DU60" i="4" s="1"/>
  <c r="DU43" i="4"/>
  <c r="DU46" i="4" s="1"/>
  <c r="DU48" i="4" s="1"/>
  <c r="DU31" i="4"/>
  <c r="DU150" i="4"/>
  <c r="DR115" i="4"/>
  <c r="DZ12" i="4"/>
  <c r="Y88" i="139"/>
  <c r="EB13" i="4"/>
  <c r="EI12" i="4"/>
  <c r="DN60" i="11"/>
  <c r="DT51" i="4"/>
  <c r="DL58" i="11"/>
  <c r="DQ54" i="2"/>
  <c r="DQ7" i="242"/>
  <c r="DN15" i="2"/>
  <c r="DU131" i="4"/>
  <c r="DU125" i="4"/>
  <c r="DN86" i="2" s="1"/>
  <c r="DQ27" i="2"/>
  <c r="DQ18" i="2"/>
  <c r="DU136" i="4"/>
  <c r="DS136" i="4" s="1"/>
  <c r="DN8" i="2"/>
  <c r="DN154" i="243"/>
  <c r="DU23" i="4"/>
  <c r="EE112" i="4"/>
  <c r="DX112" i="4"/>
  <c r="DS138" i="4" l="1"/>
  <c r="DQ12" i="4"/>
  <c r="DQ13" i="4" s="1"/>
  <c r="DO13" i="4"/>
  <c r="DV12" i="4"/>
  <c r="DW12" i="4" s="1"/>
  <c r="DN175" i="243"/>
  <c r="DN170" i="243"/>
  <c r="DN178" i="243"/>
  <c r="DN34" i="243" s="1"/>
  <c r="DN153" i="243"/>
  <c r="DN167" i="243"/>
  <c r="DN164" i="243"/>
  <c r="DN8" i="243" s="1"/>
  <c r="DN161" i="243"/>
  <c r="DN158" i="243"/>
  <c r="DU135" i="4"/>
  <c r="DN17" i="2"/>
  <c r="DN274" i="243"/>
  <c r="DN10" i="2"/>
  <c r="DN9" i="2" s="1"/>
  <c r="X12" i="139"/>
  <c r="DN14" i="2"/>
  <c r="X15" i="139"/>
  <c r="X19" i="139"/>
  <c r="AF19" i="139" s="1"/>
  <c r="X17" i="139"/>
  <c r="DU32" i="4"/>
  <c r="EB136" i="4"/>
  <c r="E10" i="244"/>
  <c r="EI13" i="4"/>
  <c r="EG12" i="4"/>
  <c r="EH12" i="4" s="1"/>
  <c r="EP12" i="4"/>
  <c r="Z88" i="139"/>
  <c r="EB150" i="4"/>
  <c r="EB125" i="4"/>
  <c r="DU86" i="2" s="1"/>
  <c r="DU154" i="243"/>
  <c r="DU8" i="2"/>
  <c r="EB99" i="4"/>
  <c r="EB23" i="4"/>
  <c r="EB32" i="4"/>
  <c r="DN54" i="2"/>
  <c r="DN56" i="2" s="1"/>
  <c r="DN7" i="242"/>
  <c r="EA12" i="4"/>
  <c r="DN22" i="2"/>
  <c r="DR51" i="4"/>
  <c r="DL60" i="11"/>
  <c r="DU109" i="4"/>
  <c r="DU111" i="4" s="1"/>
  <c r="DU161" i="4"/>
  <c r="DU167" i="4" s="1"/>
  <c r="DR12" i="4" l="1"/>
  <c r="DH8" i="2"/>
  <c r="DH274" i="243" s="1"/>
  <c r="DO125" i="4"/>
  <c r="DO150" i="4"/>
  <c r="DO99" i="4"/>
  <c r="DO136" i="4"/>
  <c r="DP136" i="4" s="1"/>
  <c r="DH154" i="243"/>
  <c r="DT136" i="4"/>
  <c r="DQ136" i="4" s="1"/>
  <c r="EE12" i="4"/>
  <c r="EE13" i="4" s="1"/>
  <c r="E11" i="244"/>
  <c r="D10" i="244"/>
  <c r="E12" i="244"/>
  <c r="E22" i="244"/>
  <c r="F10" i="244"/>
  <c r="DU138" i="4"/>
  <c r="DU153" i="4"/>
  <c r="DM34" i="243"/>
  <c r="DZ136" i="4"/>
  <c r="EI136" i="4"/>
  <c r="DM7" i="242"/>
  <c r="DK7" i="242" s="1"/>
  <c r="DN87" i="2"/>
  <c r="DU14" i="2"/>
  <c r="DN15" i="242"/>
  <c r="DN29" i="243"/>
  <c r="X16" i="139"/>
  <c r="AF16" i="139" s="1"/>
  <c r="DN18" i="2"/>
  <c r="DN27" i="2"/>
  <c r="DU10" i="2"/>
  <c r="DU9" i="2" s="1"/>
  <c r="Y12" i="139"/>
  <c r="DU274" i="243"/>
  <c r="AF12" i="139"/>
  <c r="X28" i="139"/>
  <c r="DN173" i="243"/>
  <c r="DN30" i="243" s="1"/>
  <c r="DU161" i="243"/>
  <c r="DU178" i="243"/>
  <c r="DU34" i="243" s="1"/>
  <c r="DU175" i="243"/>
  <c r="DU170" i="243"/>
  <c r="DU167" i="243"/>
  <c r="DU153" i="243"/>
  <c r="DU164" i="243"/>
  <c r="DU8" i="243" s="1"/>
  <c r="DU158" i="243"/>
  <c r="X35" i="139"/>
  <c r="X30" i="139"/>
  <c r="AF17" i="139"/>
  <c r="Y30" i="139"/>
  <c r="DN13" i="242"/>
  <c r="DN185" i="243"/>
  <c r="DN3" i="243"/>
  <c r="DQ99" i="4"/>
  <c r="DQ150" i="4"/>
  <c r="DJ8" i="2"/>
  <c r="DJ10" i="2" s="1"/>
  <c r="DJ9" i="2" s="1"/>
  <c r="DQ23" i="4"/>
  <c r="DJ154" i="243"/>
  <c r="DQ125" i="4"/>
  <c r="DQ32" i="4"/>
  <c r="DX12" i="4"/>
  <c r="DY12" i="4" s="1"/>
  <c r="DN14" i="242"/>
  <c r="DN4" i="243"/>
  <c r="DU87" i="2"/>
  <c r="AA88" i="139"/>
  <c r="EW12" i="4"/>
  <c r="EN12" i="4"/>
  <c r="EP13" i="4"/>
  <c r="DM8" i="243"/>
  <c r="DO23" i="4"/>
  <c r="DO32" i="4"/>
  <c r="EI32" i="4"/>
  <c r="EI99" i="4"/>
  <c r="EI150" i="4"/>
  <c r="EB8" i="2"/>
  <c r="EB154" i="243"/>
  <c r="EI23" i="4"/>
  <c r="EI125" i="4"/>
  <c r="EB86" i="2" s="1"/>
  <c r="DU112" i="4"/>
  <c r="EB112" i="4"/>
  <c r="EC12" i="4"/>
  <c r="AF15" i="139"/>
  <c r="X34" i="139"/>
  <c r="X29" i="139"/>
  <c r="Y29" i="139"/>
  <c r="DN26" i="242"/>
  <c r="DN15" i="243" s="1"/>
  <c r="DU17" i="2"/>
  <c r="DN9" i="242"/>
  <c r="DN19" i="242"/>
  <c r="DN10" i="243"/>
  <c r="DM10" i="243" s="1"/>
  <c r="DN89" i="243" l="1"/>
  <c r="DS153" i="4"/>
  <c r="DH10" i="2"/>
  <c r="DH11" i="2" s="1"/>
  <c r="DH13" i="2"/>
  <c r="DO138" i="4"/>
  <c r="DP134" i="4" s="1"/>
  <c r="DP138" i="4" s="1"/>
  <c r="DH171" i="243"/>
  <c r="DH153" i="243"/>
  <c r="DH162" i="243"/>
  <c r="DH165" i="243"/>
  <c r="DH159" i="243"/>
  <c r="DH176" i="243"/>
  <c r="EF12" i="4"/>
  <c r="DN174" i="243"/>
  <c r="DN40" i="243" s="1"/>
  <c r="DN16" i="242" s="1"/>
  <c r="DN20" i="242" s="1"/>
  <c r="DM20" i="242" s="1"/>
  <c r="DN38" i="2"/>
  <c r="DV136" i="4"/>
  <c r="DW136" i="4" s="1"/>
  <c r="DV134" i="4"/>
  <c r="EB134" i="4"/>
  <c r="EB138" i="4" s="1"/>
  <c r="DZ134" i="4"/>
  <c r="DM30" i="243"/>
  <c r="EA136" i="4"/>
  <c r="DN91" i="243"/>
  <c r="DN108" i="243"/>
  <c r="DN13" i="2"/>
  <c r="X14" i="139"/>
  <c r="AF14" i="139" s="1"/>
  <c r="X13" i="139"/>
  <c r="AF13" i="139" s="1"/>
  <c r="EW13" i="4"/>
  <c r="EU12" i="4"/>
  <c r="EV12" i="4" s="1"/>
  <c r="AB88" i="139"/>
  <c r="DJ14" i="2"/>
  <c r="DJ274" i="243"/>
  <c r="DU19" i="242"/>
  <c r="DU10" i="243"/>
  <c r="DT10" i="243" s="1"/>
  <c r="Y28" i="139"/>
  <c r="AE12" i="139"/>
  <c r="Y35" i="139"/>
  <c r="Y34" i="139"/>
  <c r="DR136" i="4"/>
  <c r="DU13" i="242"/>
  <c r="DU3" i="243"/>
  <c r="DU185" i="243"/>
  <c r="EB14" i="2"/>
  <c r="EB175" i="243"/>
  <c r="EB161" i="243"/>
  <c r="EB164" i="243"/>
  <c r="EB8" i="243" s="1"/>
  <c r="EB167" i="243"/>
  <c r="EB158" i="243"/>
  <c r="EB153" i="243"/>
  <c r="EB170" i="243"/>
  <c r="EB178" i="243"/>
  <c r="EB34" i="243" s="1"/>
  <c r="DN54" i="242"/>
  <c r="DU26" i="242"/>
  <c r="DU15" i="243" s="1"/>
  <c r="ED12" i="4"/>
  <c r="EB10" i="2"/>
  <c r="EB9" i="2" s="1"/>
  <c r="Z12" i="139"/>
  <c r="EB274" i="243"/>
  <c r="DU29" i="243"/>
  <c r="DU15" i="242"/>
  <c r="F12" i="244"/>
  <c r="F22" i="244"/>
  <c r="F11" i="244"/>
  <c r="EJ12" i="4"/>
  <c r="DM4" i="243"/>
  <c r="DT8" i="243"/>
  <c r="DU13" i="2"/>
  <c r="DM15" i="243"/>
  <c r="DK15" i="243" s="1"/>
  <c r="X67" i="139"/>
  <c r="DM9" i="242"/>
  <c r="AF18" i="139"/>
  <c r="DU173" i="243"/>
  <c r="DU30" i="243" s="1"/>
  <c r="DM178" i="243"/>
  <c r="DK34" i="243"/>
  <c r="DK178" i="243" s="1"/>
  <c r="DX8" i="2"/>
  <c r="DX154" i="243"/>
  <c r="EE32" i="4"/>
  <c r="EE99" i="4"/>
  <c r="EE150" i="4"/>
  <c r="EE125" i="4"/>
  <c r="DJ175" i="243"/>
  <c r="DJ161" i="243"/>
  <c r="DJ167" i="243"/>
  <c r="DJ164" i="243"/>
  <c r="DJ8" i="243" s="1"/>
  <c r="DJ158" i="243"/>
  <c r="DJ170" i="243"/>
  <c r="DJ178" i="243"/>
  <c r="DJ34" i="243" s="1"/>
  <c r="DJ153" i="243"/>
  <c r="DK10" i="243"/>
  <c r="DK167" i="243" s="1"/>
  <c r="DM167" i="243"/>
  <c r="EP32" i="4"/>
  <c r="EI8" i="2"/>
  <c r="EP125" i="4"/>
  <c r="EI86" i="2" s="1"/>
  <c r="EP99" i="4"/>
  <c r="EI154" i="243"/>
  <c r="EP23" i="4"/>
  <c r="EP150" i="4"/>
  <c r="EO12" i="4"/>
  <c r="DX13" i="4"/>
  <c r="EE23" i="4" s="1"/>
  <c r="DT34" i="243"/>
  <c r="DN35" i="243"/>
  <c r="DM29" i="243"/>
  <c r="DU154" i="4"/>
  <c r="DU156" i="4" s="1"/>
  <c r="E24" i="244"/>
  <c r="E25" i="244" s="1"/>
  <c r="E13" i="244"/>
  <c r="EB87" i="2"/>
  <c r="DS17" i="2"/>
  <c r="EB17" i="2"/>
  <c r="DU9" i="242"/>
  <c r="Y14" i="139"/>
  <c r="AE14" i="139" s="1"/>
  <c r="DK8" i="243"/>
  <c r="DK164" i="243" s="1"/>
  <c r="DM164" i="243"/>
  <c r="DM17" i="2"/>
  <c r="DM3" i="243"/>
  <c r="DU14" i="242"/>
  <c r="DU4" i="243"/>
  <c r="DN186" i="243"/>
  <c r="DN188" i="243" s="1"/>
  <c r="EG136" i="4"/>
  <c r="EH136" i="4" s="1"/>
  <c r="EP136" i="4"/>
  <c r="EB153" i="4"/>
  <c r="D12" i="244"/>
  <c r="D11" i="244"/>
  <c r="D22" i="244"/>
  <c r="DK20" i="242" l="1"/>
  <c r="DS154" i="4"/>
  <c r="DL96" i="243" s="1"/>
  <c r="DT153" i="4"/>
  <c r="DO153" i="4"/>
  <c r="DP153" i="4" s="1"/>
  <c r="DP154" i="4" s="1"/>
  <c r="DM40" i="243"/>
  <c r="DM174" i="243" s="1"/>
  <c r="DT17" i="2"/>
  <c r="DQ17" i="2" s="1"/>
  <c r="DQ9" i="242" s="1"/>
  <c r="DR8" i="243"/>
  <c r="DR164" i="243" s="1"/>
  <c r="DT164" i="243"/>
  <c r="DT3" i="243"/>
  <c r="F13" i="244"/>
  <c r="F24" i="244"/>
  <c r="F25" i="244" s="1"/>
  <c r="DR10" i="243"/>
  <c r="DR167" i="243" s="1"/>
  <c r="DT167" i="243"/>
  <c r="ES12" i="4"/>
  <c r="DN40" i="2"/>
  <c r="DN42" i="2" s="1"/>
  <c r="DN46" i="2" s="1"/>
  <c r="D24" i="244"/>
  <c r="D25" i="244" s="1"/>
  <c r="D13" i="244"/>
  <c r="EB9" i="242"/>
  <c r="Z14" i="139"/>
  <c r="AG14" i="139" s="1"/>
  <c r="DZ17" i="2"/>
  <c r="EA17" i="2" s="1"/>
  <c r="EI17" i="2"/>
  <c r="DT178" i="243"/>
  <c r="DR34" i="243"/>
  <c r="DR178" i="243" s="1"/>
  <c r="DQ8" i="2"/>
  <c r="DQ14" i="2" s="1"/>
  <c r="DX14" i="2" s="1"/>
  <c r="DX150" i="4"/>
  <c r="DQ154" i="243"/>
  <c r="DX23" i="4"/>
  <c r="DX125" i="4"/>
  <c r="DX99" i="4"/>
  <c r="DX32" i="4"/>
  <c r="EB13" i="242"/>
  <c r="EB3" i="243"/>
  <c r="EB185" i="243"/>
  <c r="DK30" i="243"/>
  <c r="DK173" i="243" s="1"/>
  <c r="DM173" i="243"/>
  <c r="EC134" i="4"/>
  <c r="EG134" i="4"/>
  <c r="EI134" i="4"/>
  <c r="EI138" i="4" s="1"/>
  <c r="EB15" i="242"/>
  <c r="EB29" i="243"/>
  <c r="DO88" i="243"/>
  <c r="DS88" i="243"/>
  <c r="DN83" i="243"/>
  <c r="DU88" i="243"/>
  <c r="DN92" i="243"/>
  <c r="AE18" i="139"/>
  <c r="DU89" i="243"/>
  <c r="DZ153" i="4"/>
  <c r="EA153" i="4" s="1"/>
  <c r="EI153" i="4"/>
  <c r="EB154" i="4"/>
  <c r="EI10" i="2"/>
  <c r="EI9" i="2" s="1"/>
  <c r="AA12" i="139"/>
  <c r="EI274" i="243"/>
  <c r="DJ29" i="243"/>
  <c r="DX175" i="243"/>
  <c r="DX161" i="243"/>
  <c r="DX170" i="243"/>
  <c r="DX178" i="243"/>
  <c r="DX34" i="243" s="1"/>
  <c r="DX167" i="243"/>
  <c r="DX158" i="243"/>
  <c r="DX153" i="243"/>
  <c r="DX164" i="243"/>
  <c r="DX8" i="243" s="1"/>
  <c r="EB19" i="242"/>
  <c r="EB10" i="243"/>
  <c r="EA10" i="243" s="1"/>
  <c r="EI14" i="2"/>
  <c r="EQ12" i="4"/>
  <c r="ER12" i="4" s="1"/>
  <c r="DN156" i="243"/>
  <c r="DN100" i="2"/>
  <c r="DT4" i="243"/>
  <c r="DJ17" i="2"/>
  <c r="DS9" i="242"/>
  <c r="DT9" i="242" s="1"/>
  <c r="DO17" i="2"/>
  <c r="DP17" i="2" s="1"/>
  <c r="DM35" i="243"/>
  <c r="DK29" i="243"/>
  <c r="DM170" i="243"/>
  <c r="DJ3" i="243"/>
  <c r="DJ185" i="243"/>
  <c r="DX274" i="243"/>
  <c r="DX9" i="2"/>
  <c r="DX10" i="2" s="1"/>
  <c r="DX11" i="2" s="1"/>
  <c r="DU174" i="243"/>
  <c r="DU40" i="243" s="1"/>
  <c r="DH156" i="243"/>
  <c r="DT15" i="243"/>
  <c r="DR15" i="243" s="1"/>
  <c r="Y67" i="139"/>
  <c r="DU186" i="243"/>
  <c r="DU188" i="243" s="1"/>
  <c r="EB26" i="242"/>
  <c r="DU54" i="242"/>
  <c r="EA8" i="243"/>
  <c r="EW32" i="4"/>
  <c r="EW99" i="4"/>
  <c r="EP8" i="2"/>
  <c r="EP154" i="243"/>
  <c r="EW23" i="4"/>
  <c r="EW150" i="4"/>
  <c r="EW125" i="4"/>
  <c r="EP86" i="2" s="1"/>
  <c r="DN46" i="242"/>
  <c r="DN50" i="242" s="1"/>
  <c r="DN189" i="243"/>
  <c r="EI175" i="243"/>
  <c r="EI167" i="243"/>
  <c r="EI161" i="243"/>
  <c r="EI178" i="243"/>
  <c r="EI34" i="243" s="1"/>
  <c r="EI158" i="243"/>
  <c r="EI164" i="243"/>
  <c r="EI8" i="243" s="1"/>
  <c r="EI153" i="243"/>
  <c r="EI170" i="243"/>
  <c r="EL12" i="4"/>
  <c r="EM12" i="4" s="1"/>
  <c r="EI87" i="2"/>
  <c r="DT30" i="243"/>
  <c r="Z35" i="139"/>
  <c r="Z34" i="139"/>
  <c r="AG12" i="139"/>
  <c r="Z28" i="139"/>
  <c r="EB14" i="242"/>
  <c r="EB4" i="243"/>
  <c r="EN136" i="4"/>
  <c r="EO136" i="4" s="1"/>
  <c r="EW136" i="4"/>
  <c r="EC136" i="4"/>
  <c r="ED136" i="4" s="1"/>
  <c r="DN116" i="243"/>
  <c r="DN96" i="243"/>
  <c r="DJ10" i="243"/>
  <c r="DS26" i="242"/>
  <c r="DS15" i="243" s="1"/>
  <c r="DP15" i="243" s="1"/>
  <c r="DU100" i="2"/>
  <c r="DU156" i="243"/>
  <c r="DM161" i="243"/>
  <c r="DK4" i="243"/>
  <c r="DK161" i="243" s="1"/>
  <c r="DU35" i="243"/>
  <c r="DT29" i="243"/>
  <c r="DM26" i="242"/>
  <c r="EB173" i="243"/>
  <c r="EB30" i="243" s="1"/>
  <c r="DN23" i="242"/>
  <c r="X80" i="139"/>
  <c r="DX136" i="4"/>
  <c r="EE136" i="4"/>
  <c r="EF136" i="4" s="1"/>
  <c r="DM158" i="243"/>
  <c r="DK3" i="243"/>
  <c r="DV152" i="4"/>
  <c r="EB152" i="4"/>
  <c r="DZ152" i="4"/>
  <c r="DJ4" i="243"/>
  <c r="EK12" i="4"/>
  <c r="EB13" i="2"/>
  <c r="EA34" i="243"/>
  <c r="DS156" i="4" l="1"/>
  <c r="DT152" i="4" s="1"/>
  <c r="DL98" i="243"/>
  <c r="DL84" i="243" s="1"/>
  <c r="DL83" i="243" s="1"/>
  <c r="DL91" i="243" s="1"/>
  <c r="DL92" i="243" s="1"/>
  <c r="DK40" i="243"/>
  <c r="DK174" i="243" s="1"/>
  <c r="DK175" i="243" s="1"/>
  <c r="DT154" i="4"/>
  <c r="DT156" i="4" s="1"/>
  <c r="DQ153" i="4"/>
  <c r="DR153" i="4" s="1"/>
  <c r="DR154" i="4" s="1"/>
  <c r="DK96" i="243" s="1"/>
  <c r="DO154" i="4"/>
  <c r="DO156" i="4" s="1"/>
  <c r="DH89" i="243"/>
  <c r="DH108" i="243" s="1"/>
  <c r="EB156" i="4"/>
  <c r="EI152" i="4" s="1"/>
  <c r="DY136" i="4"/>
  <c r="DR9" i="242"/>
  <c r="EI13" i="2"/>
  <c r="EI100" i="2" s="1"/>
  <c r="DM175" i="243"/>
  <c r="DN3" i="242"/>
  <c r="DN57" i="2"/>
  <c r="DN51" i="2"/>
  <c r="DN59" i="2" s="1"/>
  <c r="DN48" i="2"/>
  <c r="DN47" i="2"/>
  <c r="EI15" i="242"/>
  <c r="EI29" i="243"/>
  <c r="EP10" i="2"/>
  <c r="EP9" i="2" s="1"/>
  <c r="EP274" i="243"/>
  <c r="AB12" i="139"/>
  <c r="DJ26" i="242"/>
  <c r="DJ15" i="243" s="1"/>
  <c r="DJ9" i="242"/>
  <c r="DK9" i="242" s="1"/>
  <c r="DJ13" i="2"/>
  <c r="DJ156" i="243" s="1"/>
  <c r="DU108" i="243"/>
  <c r="EA3" i="243"/>
  <c r="DX17" i="2"/>
  <c r="DY17" i="2" s="1"/>
  <c r="ES13" i="4"/>
  <c r="DN98" i="243"/>
  <c r="DO26" i="242"/>
  <c r="DP26" i="242" s="1"/>
  <c r="DP54" i="242" s="1"/>
  <c r="DN119" i="243"/>
  <c r="DN123" i="243"/>
  <c r="EL136" i="4"/>
  <c r="EA4" i="243"/>
  <c r="DM186" i="243"/>
  <c r="DX29" i="243"/>
  <c r="EG17" i="2"/>
  <c r="EH17" i="2" s="1"/>
  <c r="EI9" i="242"/>
  <c r="EP17" i="2"/>
  <c r="AA14" i="139"/>
  <c r="ET12" i="4"/>
  <c r="DT158" i="243"/>
  <c r="DR3" i="243"/>
  <c r="EB156" i="243"/>
  <c r="EB100" i="2"/>
  <c r="EA178" i="243"/>
  <c r="DY34" i="243"/>
  <c r="DY178" i="243" s="1"/>
  <c r="X81" i="139"/>
  <c r="X82" i="139"/>
  <c r="DR29" i="243"/>
  <c r="DT170" i="243"/>
  <c r="DT35" i="243"/>
  <c r="DT173" i="243"/>
  <c r="DR30" i="243"/>
  <c r="DR173" i="243" s="1"/>
  <c r="EH8" i="243"/>
  <c r="EP87" i="2"/>
  <c r="EA164" i="243"/>
  <c r="DY8" i="243"/>
  <c r="DY164" i="243" s="1"/>
  <c r="DT40" i="243"/>
  <c r="DK170" i="243"/>
  <c r="DK35" i="243"/>
  <c r="DX4" i="243"/>
  <c r="EU136" i="4"/>
  <c r="EV136" i="4" s="1"/>
  <c r="DN53" i="242"/>
  <c r="DN31" i="242"/>
  <c r="EB174" i="243"/>
  <c r="EB40" i="243" s="1"/>
  <c r="EB16" i="242" s="1"/>
  <c r="EB20" i="242" s="1"/>
  <c r="EJ136" i="4"/>
  <c r="EK136" i="4" s="1"/>
  <c r="DU16" i="242"/>
  <c r="DU20" i="242" s="1"/>
  <c r="EI185" i="243"/>
  <c r="EI13" i="242"/>
  <c r="EI3" i="243"/>
  <c r="AA34" i="139"/>
  <c r="AA35" i="139"/>
  <c r="AA28" i="139"/>
  <c r="DZ9" i="242"/>
  <c r="EA9" i="242" s="1"/>
  <c r="DV17" i="2"/>
  <c r="DK158" i="243"/>
  <c r="EL13" i="4"/>
  <c r="EH34" i="243"/>
  <c r="EI26" i="242"/>
  <c r="EB54" i="242"/>
  <c r="DO9" i="242"/>
  <c r="DP9" i="242" s="1"/>
  <c r="DT161" i="243"/>
  <c r="DR4" i="243"/>
  <c r="DR161" i="243" s="1"/>
  <c r="DU96" i="243"/>
  <c r="DU116" i="243"/>
  <c r="DQ175" i="243"/>
  <c r="DQ161" i="243"/>
  <c r="DQ158" i="243"/>
  <c r="DQ167" i="243"/>
  <c r="DQ178" i="243"/>
  <c r="DQ34" i="243" s="1"/>
  <c r="DQ170" i="243"/>
  <c r="DQ153" i="243"/>
  <c r="DQ164" i="243"/>
  <c r="DQ8" i="243" s="1"/>
  <c r="AG18" i="139"/>
  <c r="DN196" i="243"/>
  <c r="DN102" i="2"/>
  <c r="X38" i="139"/>
  <c r="X40" i="139" s="1"/>
  <c r="EA30" i="243"/>
  <c r="DM185" i="243"/>
  <c r="DM54" i="242"/>
  <c r="DZ26" i="242"/>
  <c r="EA26" i="242" s="1"/>
  <c r="DS54" i="242"/>
  <c r="EI14" i="242"/>
  <c r="EI4" i="243"/>
  <c r="EP161" i="243"/>
  <c r="EP167" i="243"/>
  <c r="EP178" i="243"/>
  <c r="EP34" i="243" s="1"/>
  <c r="EP164" i="243"/>
  <c r="EP8" i="243" s="1"/>
  <c r="EP175" i="243"/>
  <c r="EP158" i="243"/>
  <c r="EP170" i="243"/>
  <c r="EP153" i="243"/>
  <c r="EB15" i="243"/>
  <c r="EP153" i="4"/>
  <c r="EI154" i="4"/>
  <c r="EG153" i="4"/>
  <c r="EB89" i="243"/>
  <c r="EB35" i="243"/>
  <c r="EA29" i="243"/>
  <c r="EN134" i="4"/>
  <c r="EJ134" i="4"/>
  <c r="EP134" i="4"/>
  <c r="EP138" i="4" s="1"/>
  <c r="EI19" i="242"/>
  <c r="EQ19" i="242" s="1"/>
  <c r="EI10" i="243"/>
  <c r="EH10" i="243" s="1"/>
  <c r="EP14" i="2"/>
  <c r="DX3" i="243"/>
  <c r="DX185" i="243"/>
  <c r="DX153" i="4"/>
  <c r="DY153" i="4" s="1"/>
  <c r="EA154" i="4"/>
  <c r="EB186" i="243"/>
  <c r="EB188" i="243" s="1"/>
  <c r="DQ9" i="2"/>
  <c r="DQ10" i="2" s="1"/>
  <c r="DQ11" i="2" s="1"/>
  <c r="DQ274" i="243"/>
  <c r="DQ13" i="2"/>
  <c r="DQ156" i="243" s="1"/>
  <c r="DR17" i="2"/>
  <c r="EI173" i="243"/>
  <c r="EI30" i="243" s="1"/>
  <c r="DT26" i="242"/>
  <c r="DK17" i="2"/>
  <c r="EA167" i="243"/>
  <c r="DY10" i="243"/>
  <c r="DY167" i="243" s="1"/>
  <c r="DX10" i="243"/>
  <c r="DV153" i="4"/>
  <c r="DW153" i="4" s="1"/>
  <c r="DW154" i="4" s="1"/>
  <c r="DZ154" i="4"/>
  <c r="DZ156" i="4" s="1"/>
  <c r="EA152" i="4" s="1"/>
  <c r="DU91" i="243"/>
  <c r="DJ89" i="243" l="1"/>
  <c r="DJ108" i="243" s="1"/>
  <c r="DP152" i="4"/>
  <c r="DP156" i="4" s="1"/>
  <c r="DQ152" i="4" s="1"/>
  <c r="DQ154" i="4"/>
  <c r="DM96" i="243"/>
  <c r="EG152" i="4"/>
  <c r="EC152" i="4"/>
  <c r="DH96" i="243"/>
  <c r="DH116" i="243"/>
  <c r="DO15" i="243"/>
  <c r="DM46" i="242"/>
  <c r="EA156" i="4"/>
  <c r="EI174" i="243"/>
  <c r="EI40" i="243" s="1"/>
  <c r="EI16" i="242" s="1"/>
  <c r="EI20" i="242" s="1"/>
  <c r="EI156" i="243"/>
  <c r="DU189" i="243"/>
  <c r="DK26" i="242"/>
  <c r="DK54" i="242" s="1"/>
  <c r="DU46" i="242"/>
  <c r="DU50" i="242" s="1"/>
  <c r="DM188" i="243"/>
  <c r="EI156" i="4"/>
  <c r="EJ152" i="4" s="1"/>
  <c r="ES136" i="4"/>
  <c r="ET136" i="4" s="1"/>
  <c r="EE17" i="2"/>
  <c r="EE9" i="242" s="1"/>
  <c r="EI35" i="243"/>
  <c r="EH29" i="243"/>
  <c r="DM88" i="243"/>
  <c r="EH30" i="243"/>
  <c r="DT96" i="243"/>
  <c r="EH3" i="243"/>
  <c r="EN17" i="2"/>
  <c r="EP9" i="242"/>
  <c r="AB14" i="139"/>
  <c r="DY3" i="243"/>
  <c r="EA158" i="243"/>
  <c r="EB46" i="242"/>
  <c r="EB50" i="242" s="1"/>
  <c r="EB189" i="243"/>
  <c r="AB28" i="139"/>
  <c r="AB35" i="139"/>
  <c r="AB34" i="139"/>
  <c r="DT54" i="242"/>
  <c r="EA54" i="242"/>
  <c r="DY154" i="4"/>
  <c r="EA170" i="243"/>
  <c r="DY29" i="243"/>
  <c r="EA35" i="243"/>
  <c r="EO34" i="243"/>
  <c r="DQ29" i="243"/>
  <c r="EA40" i="243"/>
  <c r="DK186" i="243"/>
  <c r="EA161" i="243"/>
  <c r="DY4" i="243"/>
  <c r="DY161" i="243" s="1"/>
  <c r="EM136" i="4"/>
  <c r="DV26" i="242"/>
  <c r="DW26" i="242" s="1"/>
  <c r="DW54" i="242" s="1"/>
  <c r="DO54" i="242"/>
  <c r="ES99" i="4"/>
  <c r="EL8" i="2"/>
  <c r="ES23" i="4"/>
  <c r="EL154" i="243"/>
  <c r="ES32" i="4"/>
  <c r="ES150" i="4"/>
  <c r="ES125" i="4"/>
  <c r="DQ89" i="243"/>
  <c r="DQ108" i="243" s="1"/>
  <c r="DX154" i="4"/>
  <c r="EA15" i="243"/>
  <c r="DY15" i="243" s="1"/>
  <c r="EI15" i="243"/>
  <c r="Z67" i="139"/>
  <c r="EP19" i="242"/>
  <c r="EP10" i="243"/>
  <c r="EO10" i="243" s="1"/>
  <c r="EG26" i="242"/>
  <c r="EH26" i="242" s="1"/>
  <c r="DZ54" i="242"/>
  <c r="DZ15" i="243"/>
  <c r="DW15" i="243" s="1"/>
  <c r="EH178" i="243"/>
  <c r="EF34" i="243"/>
  <c r="EF178" i="243" s="1"/>
  <c r="EF8" i="243"/>
  <c r="EF164" i="243" s="1"/>
  <c r="EH164" i="243"/>
  <c r="DO95" i="243"/>
  <c r="DU95" i="243"/>
  <c r="DU98" i="243" s="1"/>
  <c r="DS95" i="243"/>
  <c r="DN84" i="243"/>
  <c r="DN85" i="243" s="1"/>
  <c r="DN13" i="243" s="1"/>
  <c r="EP13" i="2"/>
  <c r="DN65" i="2"/>
  <c r="DN66" i="2"/>
  <c r="X22" i="139" s="1"/>
  <c r="AF22" i="139" s="1"/>
  <c r="DV154" i="4"/>
  <c r="DV156" i="4" s="1"/>
  <c r="DW152" i="4" s="1"/>
  <c r="DW156" i="4" s="1"/>
  <c r="DX152" i="4" s="1"/>
  <c r="EH167" i="243"/>
  <c r="EF10" i="243"/>
  <c r="EF167" i="243" s="1"/>
  <c r="EO8" i="243"/>
  <c r="DN194" i="243"/>
  <c r="DN195" i="243" s="1"/>
  <c r="EB108" i="243"/>
  <c r="EP14" i="242"/>
  <c r="EP4" i="243"/>
  <c r="DQ10" i="243"/>
  <c r="EL23" i="4"/>
  <c r="EE154" i="243"/>
  <c r="EE8" i="2"/>
  <c r="EL125" i="4"/>
  <c r="EL32" i="4"/>
  <c r="EL99" i="4"/>
  <c r="EL150" i="4"/>
  <c r="DK185" i="243"/>
  <c r="DT186" i="243"/>
  <c r="EP173" i="243"/>
  <c r="EP30" i="243" s="1"/>
  <c r="EU134" i="4"/>
  <c r="EQ134" i="4"/>
  <c r="EW134" i="4"/>
  <c r="EW138" i="4" s="1"/>
  <c r="EC153" i="4"/>
  <c r="ED153" i="4" s="1"/>
  <c r="ED154" i="4" s="1"/>
  <c r="EG154" i="4"/>
  <c r="EH4" i="243"/>
  <c r="DQ3" i="243"/>
  <c r="DQ185" i="243"/>
  <c r="DU123" i="243"/>
  <c r="EQ136" i="4"/>
  <c r="ER136" i="4" s="1"/>
  <c r="DR170" i="243"/>
  <c r="DR35" i="243"/>
  <c r="DR158" i="243"/>
  <c r="EG9" i="242"/>
  <c r="EC17" i="2"/>
  <c r="EC9" i="242" s="1"/>
  <c r="DO115" i="243"/>
  <c r="DS115" i="243"/>
  <c r="DU115" i="243"/>
  <c r="DN103" i="243"/>
  <c r="DU23" i="242"/>
  <c r="Y80" i="139"/>
  <c r="DQ26" i="242"/>
  <c r="DJ54" i="242"/>
  <c r="X20" i="139"/>
  <c r="AF20" i="139" s="1"/>
  <c r="DN62" i="2"/>
  <c r="DN61" i="2"/>
  <c r="DJ23" i="242"/>
  <c r="EP29" i="243"/>
  <c r="EP15" i="242"/>
  <c r="DY30" i="243"/>
  <c r="DY173" i="243" s="1"/>
  <c r="EA173" i="243"/>
  <c r="DQ4" i="243"/>
  <c r="DV9" i="242"/>
  <c r="DW9" i="242" s="1"/>
  <c r="DR40" i="243"/>
  <c r="DT174" i="243"/>
  <c r="DT175" i="243" s="1"/>
  <c r="DT185" i="243"/>
  <c r="DX9" i="242"/>
  <c r="DY9" i="242" s="1"/>
  <c r="DX13" i="2"/>
  <c r="DX156" i="243" s="1"/>
  <c r="DM50" i="242"/>
  <c r="EI89" i="243"/>
  <c r="EN153" i="4"/>
  <c r="EO153" i="4" s="1"/>
  <c r="EP154" i="4"/>
  <c r="EW153" i="4"/>
  <c r="EI54" i="242"/>
  <c r="EP26" i="242"/>
  <c r="DV88" i="243"/>
  <c r="DZ88" i="243"/>
  <c r="EB88" i="243"/>
  <c r="EB91" i="243" s="1"/>
  <c r="DU83" i="243"/>
  <c r="DU92" i="243"/>
  <c r="EB116" i="243"/>
  <c r="EB96" i="243"/>
  <c r="DS96" i="243"/>
  <c r="DJ96" i="243"/>
  <c r="DJ116" i="243"/>
  <c r="DJ123" i="243" s="1"/>
  <c r="EH153" i="4"/>
  <c r="EP185" i="243"/>
  <c r="EP13" i="242"/>
  <c r="EP3" i="243"/>
  <c r="DW17" i="2"/>
  <c r="DN51" i="242"/>
  <c r="DN52" i="242"/>
  <c r="EI186" i="243"/>
  <c r="EI188" i="243" s="1"/>
  <c r="DJ173" i="243"/>
  <c r="DQ156" i="4" l="1"/>
  <c r="DR152" i="4" s="1"/>
  <c r="DR156" i="4" s="1"/>
  <c r="DH98" i="243"/>
  <c r="DI96" i="243"/>
  <c r="EG156" i="4"/>
  <c r="EH152" i="4" s="1"/>
  <c r="DK188" i="243"/>
  <c r="DH119" i="243"/>
  <c r="DH123" i="243"/>
  <c r="DV15" i="243"/>
  <c r="DM189" i="243"/>
  <c r="EH40" i="243"/>
  <c r="EF40" i="243" s="1"/>
  <c r="DH56" i="243"/>
  <c r="DX156" i="4"/>
  <c r="DY152" i="4" s="1"/>
  <c r="DY156" i="4" s="1"/>
  <c r="ED9" i="242"/>
  <c r="ED17" i="2"/>
  <c r="EP152" i="4"/>
  <c r="EP156" i="4" s="1"/>
  <c r="EQ152" i="4" s="1"/>
  <c r="EN152" i="4"/>
  <c r="DT188" i="243"/>
  <c r="DS98" i="243"/>
  <c r="DT95" i="243" s="1"/>
  <c r="DT98" i="243" s="1"/>
  <c r="DT84" i="243" s="1"/>
  <c r="EF17" i="2"/>
  <c r="EL153" i="4"/>
  <c r="EM153" i="4" s="1"/>
  <c r="EO154" i="4"/>
  <c r="EO3" i="243"/>
  <c r="DJ30" i="243"/>
  <c r="DJ35" i="243" s="1"/>
  <c r="DJ174" i="243"/>
  <c r="DJ40" i="243" s="1"/>
  <c r="DJ186" i="243"/>
  <c r="DJ188" i="243" s="1"/>
  <c r="EF4" i="243"/>
  <c r="EF161" i="243" s="1"/>
  <c r="EH161" i="243"/>
  <c r="EO30" i="243"/>
  <c r="EH9" i="242"/>
  <c r="EF9" i="242" s="1"/>
  <c r="DM23" i="242"/>
  <c r="EH170" i="243"/>
  <c r="EH35" i="243"/>
  <c r="EF29" i="243"/>
  <c r="EE153" i="4"/>
  <c r="EF153" i="4" s="1"/>
  <c r="EH154" i="4"/>
  <c r="EH54" i="242"/>
  <c r="EP35" i="243"/>
  <c r="EO29" i="243"/>
  <c r="DR186" i="243"/>
  <c r="EP174" i="243"/>
  <c r="EP40" i="243" s="1"/>
  <c r="EF30" i="243"/>
  <c r="EF173" i="243" s="1"/>
  <c r="EH173" i="243"/>
  <c r="EB123" i="243"/>
  <c r="EP89" i="243"/>
  <c r="EU153" i="4"/>
  <c r="EV153" i="4" s="1"/>
  <c r="EW154" i="4"/>
  <c r="DN63" i="2"/>
  <c r="DQ54" i="242"/>
  <c r="DX26" i="242"/>
  <c r="DQ15" i="243"/>
  <c r="DZ96" i="243"/>
  <c r="EE274" i="243"/>
  <c r="EE9" i="2"/>
  <c r="EE14" i="2"/>
  <c r="EB23" i="242"/>
  <c r="Z80" i="139"/>
  <c r="EP100" i="2"/>
  <c r="EP156" i="243"/>
  <c r="EP15" i="243"/>
  <c r="AA67" i="139"/>
  <c r="EH15" i="243"/>
  <c r="EF15" i="243" s="1"/>
  <c r="DQ116" i="243"/>
  <c r="DQ123" i="243" s="1"/>
  <c r="DQ96" i="243"/>
  <c r="EL175" i="243"/>
  <c r="EL167" i="243"/>
  <c r="EL161" i="243"/>
  <c r="EL178" i="243"/>
  <c r="EL34" i="243" s="1"/>
  <c r="EL158" i="243"/>
  <c r="EL164" i="243"/>
  <c r="EL8" i="243" s="1"/>
  <c r="EL170" i="243"/>
  <c r="EL153" i="243"/>
  <c r="DY170" i="243"/>
  <c r="DY35" i="243"/>
  <c r="EC154" i="4"/>
  <c r="EC156" i="4" s="1"/>
  <c r="ED152" i="4" s="1"/>
  <c r="ED156" i="4" s="1"/>
  <c r="EE152" i="4" s="1"/>
  <c r="EE175" i="243"/>
  <c r="EE158" i="243"/>
  <c r="EE170" i="243"/>
  <c r="EE161" i="243"/>
  <c r="EE164" i="243"/>
  <c r="EE8" i="243" s="1"/>
  <c r="EE167" i="243"/>
  <c r="EE178" i="243"/>
  <c r="EE34" i="243" s="1"/>
  <c r="EE153" i="243"/>
  <c r="DO96" i="243"/>
  <c r="DO98" i="243" s="1"/>
  <c r="DM13" i="243"/>
  <c r="EN26" i="242"/>
  <c r="EO26" i="242" s="1"/>
  <c r="EG54" i="242"/>
  <c r="DQ23" i="242"/>
  <c r="EI46" i="242"/>
  <c r="EI50" i="242" s="1"/>
  <c r="EI189" i="243"/>
  <c r="EA186" i="243"/>
  <c r="EA185" i="243"/>
  <c r="EI116" i="243"/>
  <c r="EI96" i="243"/>
  <c r="Y81" i="139"/>
  <c r="Y82" i="139"/>
  <c r="EO4" i="243"/>
  <c r="EO167" i="243"/>
  <c r="EM10" i="243"/>
  <c r="EM167" i="243" s="1"/>
  <c r="EG15" i="243"/>
  <c r="ED15" i="243" s="1"/>
  <c r="EL274" i="243"/>
  <c r="EL9" i="2"/>
  <c r="EC26" i="242"/>
  <c r="EC15" i="243" s="1"/>
  <c r="DV54" i="242"/>
  <c r="DY158" i="243"/>
  <c r="EJ153" i="4"/>
  <c r="EK153" i="4" s="1"/>
  <c r="EK154" i="4" s="1"/>
  <c r="EN154" i="4"/>
  <c r="DM95" i="243"/>
  <c r="DM98" i="243" s="1"/>
  <c r="DM84" i="243" s="1"/>
  <c r="DU53" i="242"/>
  <c r="DU31" i="242"/>
  <c r="DN8" i="242"/>
  <c r="DN42" i="243"/>
  <c r="DN47" i="243" s="1"/>
  <c r="DN49" i="243" s="1"/>
  <c r="X21" i="139"/>
  <c r="DN261" i="243"/>
  <c r="DV95" i="243"/>
  <c r="DZ95" i="243"/>
  <c r="EB95" i="243"/>
  <c r="EB98" i="243" s="1"/>
  <c r="DU84" i="243"/>
  <c r="DU85" i="243" s="1"/>
  <c r="DU13" i="243" s="1"/>
  <c r="DY40" i="243"/>
  <c r="EA174" i="243"/>
  <c r="EA175" i="243" s="1"/>
  <c r="EP54" i="242"/>
  <c r="EI108" i="243"/>
  <c r="EO178" i="243"/>
  <c r="EM34" i="243"/>
  <c r="EM178" i="243" s="1"/>
  <c r="EJ17" i="2"/>
  <c r="EJ9" i="242" s="1"/>
  <c r="EN9" i="242"/>
  <c r="EH158" i="243"/>
  <c r="EF3" i="243"/>
  <c r="EC88" i="243"/>
  <c r="EG88" i="243"/>
  <c r="EB92" i="243"/>
  <c r="EI88" i="243"/>
  <c r="EI91" i="243" s="1"/>
  <c r="EB83" i="243"/>
  <c r="DR174" i="243"/>
  <c r="DR175" i="243" s="1"/>
  <c r="EP186" i="243"/>
  <c r="EP188" i="243" s="1"/>
  <c r="DJ53" i="242"/>
  <c r="DJ31" i="242"/>
  <c r="DR185" i="243"/>
  <c r="EO164" i="243"/>
  <c r="EM8" i="243"/>
  <c r="EM164" i="243" s="1"/>
  <c r="DR96" i="243"/>
  <c r="DR26" i="242"/>
  <c r="DR54" i="242" s="1"/>
  <c r="EO17" i="2"/>
  <c r="EH156" i="4" l="1"/>
  <c r="DH103" i="243"/>
  <c r="DH102" i="243" s="1"/>
  <c r="DH111" i="243" s="1"/>
  <c r="DI107" i="243" s="1"/>
  <c r="DI115" i="243"/>
  <c r="DH84" i="243"/>
  <c r="DH83" i="243" s="1"/>
  <c r="DH91" i="243" s="1"/>
  <c r="DI95" i="243"/>
  <c r="DI98" i="243" s="1"/>
  <c r="DI84" i="243" s="1"/>
  <c r="DS84" i="243"/>
  <c r="EH174" i="243"/>
  <c r="EH175" i="243" s="1"/>
  <c r="DN21" i="242"/>
  <c r="DN42" i="242" s="1"/>
  <c r="DN7" i="243" s="1"/>
  <c r="DZ98" i="243"/>
  <c r="EA95" i="243" s="1"/>
  <c r="EE10" i="2"/>
  <c r="EE11" i="2" s="1"/>
  <c r="ED26" i="242"/>
  <c r="ED54" i="242" s="1"/>
  <c r="EL10" i="2"/>
  <c r="EL11" i="2" s="1"/>
  <c r="DO84" i="243"/>
  <c r="DP95" i="243"/>
  <c r="DR188" i="243"/>
  <c r="EU152" i="4"/>
  <c r="EN156" i="4"/>
  <c r="EO152" i="4" s="1"/>
  <c r="EO156" i="4" s="1"/>
  <c r="EW152" i="4"/>
  <c r="EW156" i="4" s="1"/>
  <c r="DP96" i="243"/>
  <c r="EA188" i="243"/>
  <c r="DT13" i="243"/>
  <c r="EM154" i="4"/>
  <c r="EO54" i="242"/>
  <c r="DM42" i="243"/>
  <c r="X64" i="139"/>
  <c r="DY186" i="243"/>
  <c r="EB53" i="242"/>
  <c r="EB31" i="242"/>
  <c r="EO40" i="243"/>
  <c r="EF35" i="243"/>
  <c r="EF170" i="243"/>
  <c r="EF174" i="243"/>
  <c r="EF175" i="243" s="1"/>
  <c r="EE89" i="243"/>
  <c r="EE108" i="243" s="1"/>
  <c r="EL154" i="4"/>
  <c r="EF158" i="243"/>
  <c r="EH185" i="243"/>
  <c r="EG95" i="243"/>
  <c r="EC95" i="243"/>
  <c r="EI95" i="243"/>
  <c r="EI98" i="243" s="1"/>
  <c r="EB84" i="243"/>
  <c r="EB85" i="243" s="1"/>
  <c r="EB13" i="243" s="1"/>
  <c r="X39" i="139"/>
  <c r="X41" i="139" s="1"/>
  <c r="DU52" i="242"/>
  <c r="DU51" i="242"/>
  <c r="DQ53" i="242"/>
  <c r="DQ31" i="242"/>
  <c r="DK13" i="243"/>
  <c r="DV96" i="243"/>
  <c r="DW96" i="243" s="1"/>
  <c r="EL4" i="243"/>
  <c r="EL14" i="2"/>
  <c r="EE26" i="242"/>
  <c r="EE15" i="243" s="1"/>
  <c r="DX54" i="242"/>
  <c r="DY26" i="242"/>
  <c r="DY54" i="242" s="1"/>
  <c r="DX15" i="243"/>
  <c r="EI23" i="242"/>
  <c r="AA80" i="139"/>
  <c r="EK17" i="2"/>
  <c r="DY174" i="243"/>
  <c r="DY175" i="243" s="1"/>
  <c r="EE10" i="243"/>
  <c r="EL10" i="243"/>
  <c r="EH186" i="243"/>
  <c r="AF21" i="139"/>
  <c r="X48" i="139"/>
  <c r="X31" i="139"/>
  <c r="EK9" i="242"/>
  <c r="DY185" i="243"/>
  <c r="EO15" i="243"/>
  <c r="EM15" i="243" s="1"/>
  <c r="AB67" i="139"/>
  <c r="EP116" i="243"/>
  <c r="EP96" i="243"/>
  <c r="EM30" i="243"/>
  <c r="EM173" i="243" s="1"/>
  <c r="EO173" i="243"/>
  <c r="EL3" i="243"/>
  <c r="EL185" i="243"/>
  <c r="EE4" i="243"/>
  <c r="EN15" i="243"/>
  <c r="EK15" i="243" s="1"/>
  <c r="EV154" i="4"/>
  <c r="ES153" i="4"/>
  <c r="ET153" i="4" s="1"/>
  <c r="EA96" i="243"/>
  <c r="EP16" i="242"/>
  <c r="EP20" i="242" s="1"/>
  <c r="EP46" i="242" s="1"/>
  <c r="EP50" i="242" s="1"/>
  <c r="EO158" i="243"/>
  <c r="EM3" i="243"/>
  <c r="EO170" i="243"/>
  <c r="EM29" i="243"/>
  <c r="EO35" i="243"/>
  <c r="DJ51" i="242"/>
  <c r="DJ52" i="242"/>
  <c r="EJ26" i="242"/>
  <c r="EJ54" i="242" s="1"/>
  <c r="EC54" i="242"/>
  <c r="EE29" i="243"/>
  <c r="EL29" i="243"/>
  <c r="EE13" i="2"/>
  <c r="EE156" i="243" s="1"/>
  <c r="EQ153" i="4"/>
  <c r="EU154" i="4"/>
  <c r="EF154" i="4"/>
  <c r="DM53" i="242"/>
  <c r="DK23" i="242"/>
  <c r="DM31" i="242"/>
  <c r="EJ154" i="4"/>
  <c r="EJ156" i="4" s="1"/>
  <c r="EK152" i="4" s="1"/>
  <c r="EK156" i="4" s="1"/>
  <c r="EL152" i="4" s="1"/>
  <c r="EM4" i="243"/>
  <c r="EM161" i="243" s="1"/>
  <c r="EO161" i="243"/>
  <c r="EN54" i="242"/>
  <c r="EL17" i="2"/>
  <c r="EM17" i="2" s="1"/>
  <c r="EJ88" i="243"/>
  <c r="EN88" i="243"/>
  <c r="EI92" i="243"/>
  <c r="EP88" i="243"/>
  <c r="EP91" i="243" s="1"/>
  <c r="EI83" i="243"/>
  <c r="X23" i="139"/>
  <c r="X36" i="139" s="1"/>
  <c r="DN264" i="243"/>
  <c r="DN265" i="243"/>
  <c r="DN263" i="243"/>
  <c r="EG96" i="243"/>
  <c r="EI123" i="243"/>
  <c r="EE3" i="243"/>
  <c r="EE185" i="243"/>
  <c r="EO9" i="242"/>
  <c r="Z81" i="139"/>
  <c r="Z82" i="139"/>
  <c r="EP108" i="243"/>
  <c r="DX89" i="243"/>
  <c r="DX108" i="243" s="1"/>
  <c r="EE154" i="4"/>
  <c r="EE156" i="4" s="1"/>
  <c r="EF152" i="4" s="1"/>
  <c r="EH96" i="243"/>
  <c r="DJ95" i="243" l="1"/>
  <c r="DJ98" i="243" s="1"/>
  <c r="DH112" i="243"/>
  <c r="DH125" i="243" s="1"/>
  <c r="DH110" i="243"/>
  <c r="DI88" i="243"/>
  <c r="DH92" i="243"/>
  <c r="DH90" i="243"/>
  <c r="DI122" i="243"/>
  <c r="DZ84" i="243"/>
  <c r="DN45" i="242"/>
  <c r="DN49" i="242" s="1"/>
  <c r="DN58" i="242" s="1"/>
  <c r="X24" i="139" s="1"/>
  <c r="AF24" i="139" s="1"/>
  <c r="DN11" i="243"/>
  <c r="DN80" i="242"/>
  <c r="DN82" i="242" s="1"/>
  <c r="DN86" i="242" s="1"/>
  <c r="DN96" i="2"/>
  <c r="DM7" i="243"/>
  <c r="DM11" i="243" s="1"/>
  <c r="X66" i="139"/>
  <c r="X7" i="139" s="1"/>
  <c r="X9" i="139" s="1"/>
  <c r="DN81" i="2"/>
  <c r="DN241" i="243"/>
  <c r="DN243" i="243" s="1"/>
  <c r="DS245" i="243" s="1"/>
  <c r="DY188" i="243"/>
  <c r="EL156" i="4"/>
  <c r="EM152" i="4" s="1"/>
  <c r="EM156" i="4" s="1"/>
  <c r="EF156" i="4"/>
  <c r="DV98" i="243"/>
  <c r="EA98" i="243"/>
  <c r="EA84" i="243" s="1"/>
  <c r="EK26" i="242"/>
  <c r="EK54" i="242" s="1"/>
  <c r="EP189" i="243"/>
  <c r="EG98" i="243"/>
  <c r="EG84" i="243" s="1"/>
  <c r="DP98" i="243"/>
  <c r="DK42" i="243"/>
  <c r="DK47" i="243" s="1"/>
  <c r="DK49" i="243" s="1"/>
  <c r="DM47" i="243"/>
  <c r="DM49" i="243" s="1"/>
  <c r="EU156" i="4"/>
  <c r="EV152" i="4" s="1"/>
  <c r="EV156" i="4" s="1"/>
  <c r="EQ154" i="4"/>
  <c r="EQ156" i="4" s="1"/>
  <c r="ER152" i="4" s="1"/>
  <c r="EM158" i="243"/>
  <c r="EE23" i="242"/>
  <c r="DX23" i="242"/>
  <c r="EF186" i="243"/>
  <c r="AF23" i="139"/>
  <c r="X37" i="139"/>
  <c r="X53" i="139"/>
  <c r="ER153" i="4"/>
  <c r="ER154" i="4" s="1"/>
  <c r="EO185" i="243"/>
  <c r="EL89" i="243"/>
  <c r="EL108" i="243" s="1"/>
  <c r="ES154" i="4"/>
  <c r="EJ15" i="243"/>
  <c r="EN95" i="243"/>
  <c r="EJ95" i="243"/>
  <c r="EI84" i="243"/>
  <c r="EI85" i="243" s="1"/>
  <c r="EI13" i="243" s="1"/>
  <c r="EP95" i="243"/>
  <c r="EP98" i="243" s="1"/>
  <c r="EP84" i="243" s="1"/>
  <c r="DR13" i="243"/>
  <c r="DY96" i="243"/>
  <c r="DK95" i="243"/>
  <c r="DK98" i="243" s="1"/>
  <c r="DK84" i="243" s="1"/>
  <c r="DJ84" i="243"/>
  <c r="DQ51" i="242"/>
  <c r="DQ52" i="242"/>
  <c r="DN98" i="2"/>
  <c r="DK53" i="242"/>
  <c r="DK31" i="242"/>
  <c r="EA13" i="243"/>
  <c r="ET154" i="4"/>
  <c r="DM52" i="242"/>
  <c r="DM51" i="242"/>
  <c r="EO96" i="243"/>
  <c r="EP123" i="243"/>
  <c r="AA81" i="139"/>
  <c r="AA82" i="139"/>
  <c r="EF185" i="243"/>
  <c r="EM40" i="243"/>
  <c r="EO174" i="243"/>
  <c r="EO175" i="243" s="1"/>
  <c r="EN96" i="243"/>
  <c r="EE54" i="242"/>
  <c r="EL26" i="242"/>
  <c r="EL15" i="243" s="1"/>
  <c r="EF26" i="242"/>
  <c r="EF54" i="242" s="1"/>
  <c r="EL9" i="242"/>
  <c r="EM9" i="242" s="1"/>
  <c r="EL13" i="2"/>
  <c r="EL156" i="243" s="1"/>
  <c r="EC96" i="243"/>
  <c r="ED96" i="243" s="1"/>
  <c r="EO186" i="243"/>
  <c r="EI31" i="242"/>
  <c r="EI53" i="242"/>
  <c r="EH188" i="243"/>
  <c r="EE116" i="243"/>
  <c r="EE123" i="243" s="1"/>
  <c r="EE96" i="243"/>
  <c r="DX116" i="243"/>
  <c r="DX123" i="243" s="1"/>
  <c r="DX96" i="243"/>
  <c r="AB80" i="139"/>
  <c r="EP23" i="242"/>
  <c r="EP92" i="243"/>
  <c r="EP83" i="243"/>
  <c r="EM35" i="243"/>
  <c r="EM170" i="243"/>
  <c r="EB52" i="242"/>
  <c r="EB51" i="242"/>
  <c r="EF96" i="243"/>
  <c r="DH121" i="243" l="1"/>
  <c r="DN60" i="242"/>
  <c r="DN111" i="243"/>
  <c r="DN53" i="243"/>
  <c r="DN56" i="242"/>
  <c r="DM241" i="243"/>
  <c r="DM243" i="243" s="1"/>
  <c r="DM80" i="242"/>
  <c r="DM82" i="242" s="1"/>
  <c r="DM86" i="242" s="1"/>
  <c r="DK7" i="243"/>
  <c r="DK11" i="243" s="1"/>
  <c r="X70" i="139"/>
  <c r="DO245" i="243"/>
  <c r="DO30" i="2" s="1"/>
  <c r="DO31" i="2" s="1"/>
  <c r="DO36" i="2" s="1"/>
  <c r="DU245" i="243"/>
  <c r="DT245" i="243" s="1"/>
  <c r="EF188" i="243"/>
  <c r="EP85" i="243"/>
  <c r="EP13" i="243" s="1"/>
  <c r="DV84" i="243"/>
  <c r="DW95" i="243"/>
  <c r="DW98" i="243" s="1"/>
  <c r="EN98" i="243"/>
  <c r="EN84" i="243" s="1"/>
  <c r="EC98" i="243"/>
  <c r="ED95" i="243" s="1"/>
  <c r="ED98" i="243" s="1"/>
  <c r="ED84" i="243" s="1"/>
  <c r="DQ95" i="243"/>
  <c r="DQ98" i="243" s="1"/>
  <c r="DP84" i="243"/>
  <c r="EH95" i="243"/>
  <c r="EH98" i="243" s="1"/>
  <c r="EH84" i="243" s="1"/>
  <c r="ER156" i="4"/>
  <c r="ES152" i="4" s="1"/>
  <c r="ES156" i="4" s="1"/>
  <c r="ET152" i="4" s="1"/>
  <c r="ET156" i="4" s="1"/>
  <c r="X25" i="139"/>
  <c r="DN62" i="242"/>
  <c r="DY13" i="243"/>
  <c r="EO188" i="243"/>
  <c r="AB81" i="139"/>
  <c r="AB82" i="139"/>
  <c r="EM174" i="243"/>
  <c r="EM175" i="243" s="1"/>
  <c r="DS30" i="2"/>
  <c r="DS31" i="2" s="1"/>
  <c r="DS36" i="2" s="1"/>
  <c r="DX53" i="242"/>
  <c r="DX31" i="242"/>
  <c r="EL54" i="242"/>
  <c r="EM26" i="242"/>
  <c r="EM54" i="242" s="1"/>
  <c r="DM8" i="242"/>
  <c r="X56" i="139"/>
  <c r="EM96" i="243"/>
  <c r="EL116" i="243"/>
  <c r="EL123" i="243" s="1"/>
  <c r="EL96" i="243"/>
  <c r="EE53" i="242"/>
  <c r="EE31" i="242"/>
  <c r="EJ96" i="243"/>
  <c r="EK96" i="243" s="1"/>
  <c r="DK51" i="242"/>
  <c r="DK52" i="242"/>
  <c r="EM186" i="243"/>
  <c r="EP31" i="242"/>
  <c r="EP53" i="242"/>
  <c r="EI51" i="242"/>
  <c r="EI52" i="242"/>
  <c r="EH13" i="243"/>
  <c r="DN97" i="2"/>
  <c r="X50" i="139"/>
  <c r="X51" i="139"/>
  <c r="X49" i="139"/>
  <c r="EL23" i="242"/>
  <c r="EM185" i="243"/>
  <c r="DN61" i="242" l="1"/>
  <c r="DO107" i="243"/>
  <c r="DN112" i="243"/>
  <c r="DS107" i="243"/>
  <c r="DN102" i="243"/>
  <c r="DN104" i="243" s="1"/>
  <c r="DN14" i="243" s="1"/>
  <c r="DU107" i="243"/>
  <c r="DU109" i="243" s="1"/>
  <c r="DM53" i="243"/>
  <c r="DN56" i="243"/>
  <c r="DU30" i="2"/>
  <c r="DU31" i="2" s="1"/>
  <c r="DK80" i="242"/>
  <c r="DK82" i="242" s="1"/>
  <c r="DK86" i="242" s="1"/>
  <c r="DK241" i="243"/>
  <c r="DK243" i="243" s="1"/>
  <c r="DP245" i="243"/>
  <c r="DP30" i="2" s="1"/>
  <c r="DP31" i="2" s="1"/>
  <c r="DP36" i="2" s="1"/>
  <c r="EE95" i="243"/>
  <c r="EE98" i="243" s="1"/>
  <c r="EE84" i="243" s="1"/>
  <c r="EO13" i="243"/>
  <c r="EM13" i="243" s="1"/>
  <c r="EC84" i="243"/>
  <c r="EO95" i="243"/>
  <c r="EO98" i="243" s="1"/>
  <c r="EO84" i="243" s="1"/>
  <c r="DW84" i="243"/>
  <c r="DX95" i="243"/>
  <c r="DX98" i="243" s="1"/>
  <c r="EM188" i="243"/>
  <c r="EJ98" i="243"/>
  <c r="DR95" i="243"/>
  <c r="DR98" i="243" s="1"/>
  <c r="DR84" i="243" s="1"/>
  <c r="DQ84" i="243"/>
  <c r="EE51" i="242"/>
  <c r="EE52" i="242"/>
  <c r="DT30" i="2"/>
  <c r="DT31" i="2" s="1"/>
  <c r="DT36" i="2" s="1"/>
  <c r="EL53" i="242"/>
  <c r="EL31" i="242"/>
  <c r="EP51" i="242"/>
  <c r="EP52" i="242"/>
  <c r="X57" i="139"/>
  <c r="DX52" i="242"/>
  <c r="DX51" i="242"/>
  <c r="EF13" i="243"/>
  <c r="X52" i="139"/>
  <c r="AF25" i="139"/>
  <c r="X43" i="139"/>
  <c r="X42" i="139"/>
  <c r="DM14" i="243" l="1"/>
  <c r="DN22" i="243"/>
  <c r="DN24" i="243" s="1"/>
  <c r="X71" i="139" s="1"/>
  <c r="DK53" i="243"/>
  <c r="DK56" i="243" s="1"/>
  <c r="DK58" i="243" s="1"/>
  <c r="DM56" i="243"/>
  <c r="DM58" i="243" s="1"/>
  <c r="DN121" i="243"/>
  <c r="DN125" i="243"/>
  <c r="DU111" i="243"/>
  <c r="DS109" i="243"/>
  <c r="DT109" i="243" s="1"/>
  <c r="DU117" i="243"/>
  <c r="X61" i="139"/>
  <c r="DN58" i="243"/>
  <c r="EF95" i="243"/>
  <c r="EF98" i="243" s="1"/>
  <c r="EF84" i="243" s="1"/>
  <c r="DY95" i="243"/>
  <c r="DY98" i="243" s="1"/>
  <c r="DY84" i="243" s="1"/>
  <c r="DX84" i="243"/>
  <c r="EK95" i="243"/>
  <c r="EK98" i="243" s="1"/>
  <c r="EJ84" i="243"/>
  <c r="EL51" i="242"/>
  <c r="EL52" i="242"/>
  <c r="DU36" i="2"/>
  <c r="DN59" i="243" l="1"/>
  <c r="DQ109" i="243"/>
  <c r="DQ117" i="243" s="1"/>
  <c r="DU119" i="243"/>
  <c r="X46" i="139"/>
  <c r="X77" i="139"/>
  <c r="X58" i="139"/>
  <c r="DS117" i="243"/>
  <c r="DT117" i="243" s="1"/>
  <c r="DO109" i="243"/>
  <c r="DP109" i="243" s="1"/>
  <c r="DS122" i="243"/>
  <c r="X73" i="139"/>
  <c r="X76" i="139" s="1"/>
  <c r="X75" i="139"/>
  <c r="X47" i="139"/>
  <c r="DV107" i="243"/>
  <c r="DZ107" i="243"/>
  <c r="EB107" i="243"/>
  <c r="EB109" i="243" s="1"/>
  <c r="DU102" i="243"/>
  <c r="DU112" i="243"/>
  <c r="DK14" i="243"/>
  <c r="DK22" i="243" s="1"/>
  <c r="DK24" i="243" s="1"/>
  <c r="DK59" i="243" s="1"/>
  <c r="DM22" i="243"/>
  <c r="DM24" i="243" s="1"/>
  <c r="DM59" i="243" s="1"/>
  <c r="EL95" i="243"/>
  <c r="EL98" i="243" s="1"/>
  <c r="EK84" i="243"/>
  <c r="DJ245" i="243"/>
  <c r="Y19" i="139"/>
  <c r="AE19" i="139" s="1"/>
  <c r="DU38" i="2"/>
  <c r="DR117" i="243" l="1"/>
  <c r="DR109" i="243"/>
  <c r="DZ115" i="243"/>
  <c r="EB115" i="243"/>
  <c r="DV115" i="243"/>
  <c r="DU103" i="243"/>
  <c r="DU104" i="243" s="1"/>
  <c r="DU14" i="243" s="1"/>
  <c r="DU125" i="243"/>
  <c r="DU121" i="243"/>
  <c r="EB111" i="243"/>
  <c r="DZ109" i="243"/>
  <c r="EA109" i="243" s="1"/>
  <c r="EB117" i="243"/>
  <c r="DO117" i="243"/>
  <c r="DP117" i="243" s="1"/>
  <c r="DO122" i="243"/>
  <c r="EL84" i="243"/>
  <c r="EM95" i="243"/>
  <c r="EM98" i="243" s="1"/>
  <c r="EM84" i="243" s="1"/>
  <c r="DJ30" i="2"/>
  <c r="DJ31" i="2" s="1"/>
  <c r="DJ36" i="2" s="1"/>
  <c r="DJ38" i="2" s="1"/>
  <c r="DU40" i="2"/>
  <c r="DU42" i="2" s="1"/>
  <c r="DU46" i="2" s="1"/>
  <c r="DX109" i="243" l="1"/>
  <c r="EB102" i="243"/>
  <c r="EI107" i="243"/>
  <c r="EI109" i="243" s="1"/>
  <c r="EB112" i="243"/>
  <c r="EG107" i="243"/>
  <c r="EC107" i="243"/>
  <c r="DU22" i="243"/>
  <c r="DT14" i="243"/>
  <c r="DZ117" i="243"/>
  <c r="DV109" i="243"/>
  <c r="DW109" i="243" s="1"/>
  <c r="DZ122" i="243"/>
  <c r="EB119" i="243"/>
  <c r="DJ40" i="2"/>
  <c r="DJ42" i="2" s="1"/>
  <c r="DJ46" i="2" s="1"/>
  <c r="DU3" i="242"/>
  <c r="DU51" i="2"/>
  <c r="DU59" i="2" s="1"/>
  <c r="DU57" i="2"/>
  <c r="DU196" i="243"/>
  <c r="DU102" i="2"/>
  <c r="Y38" i="139"/>
  <c r="Y40" i="139" s="1"/>
  <c r="EB125" i="243" l="1"/>
  <c r="EB121" i="243"/>
  <c r="EI111" i="243"/>
  <c r="EI117" i="243"/>
  <c r="EG109" i="243"/>
  <c r="EH109" i="243" s="1"/>
  <c r="EG115" i="243"/>
  <c r="EI115" i="243"/>
  <c r="EC115" i="243"/>
  <c r="EB103" i="243"/>
  <c r="EB104" i="243" s="1"/>
  <c r="EB14" i="243" s="1"/>
  <c r="EA117" i="243"/>
  <c r="DR14" i="243"/>
  <c r="DR22" i="243" s="1"/>
  <c r="DT22" i="243"/>
  <c r="DV122" i="243"/>
  <c r="DV117" i="243"/>
  <c r="DW117" i="243" s="1"/>
  <c r="DY109" i="243"/>
  <c r="DX117" i="243"/>
  <c r="DJ51" i="2"/>
  <c r="DJ48" i="2"/>
  <c r="DJ3" i="242"/>
  <c r="DJ47" i="2"/>
  <c r="DJ196" i="243"/>
  <c r="DJ41" i="2"/>
  <c r="DJ56" i="2" s="1"/>
  <c r="Y20" i="139"/>
  <c r="AE20" i="139" s="1"/>
  <c r="DU194" i="243"/>
  <c r="DU195" i="243" s="1"/>
  <c r="EA14" i="243" l="1"/>
  <c r="EB22" i="243"/>
  <c r="EI119" i="243"/>
  <c r="EN107" i="243"/>
  <c r="EP107" i="243"/>
  <c r="EP109" i="243" s="1"/>
  <c r="EJ107" i="243"/>
  <c r="EI102" i="243"/>
  <c r="EI112" i="243"/>
  <c r="DY117" i="243"/>
  <c r="EE109" i="243"/>
  <c r="EE117" i="243" s="1"/>
  <c r="EG117" i="243"/>
  <c r="EC109" i="243"/>
  <c r="ED109" i="243" s="1"/>
  <c r="EG122" i="243"/>
  <c r="DJ59" i="2"/>
  <c r="DJ57" i="2"/>
  <c r="DJ62" i="2" s="1"/>
  <c r="DJ63" i="2" s="1"/>
  <c r="DJ194" i="243"/>
  <c r="DU8" i="242"/>
  <c r="DU21" i="242" s="1"/>
  <c r="DU45" i="242" s="1"/>
  <c r="DU49" i="242" s="1"/>
  <c r="DU42" i="243"/>
  <c r="DU47" i="243" s="1"/>
  <c r="DU49" i="243" s="1"/>
  <c r="EF109" i="243" l="1"/>
  <c r="EP111" i="243"/>
  <c r="EN109" i="243"/>
  <c r="EO109" i="243" s="1"/>
  <c r="EP117" i="243"/>
  <c r="EC122" i="243"/>
  <c r="EC117" i="243"/>
  <c r="ED117" i="243" s="1"/>
  <c r="EI125" i="243"/>
  <c r="EI121" i="243"/>
  <c r="DY14" i="243"/>
  <c r="DY22" i="243" s="1"/>
  <c r="EA22" i="243"/>
  <c r="EH117" i="243"/>
  <c r="EF117" i="243" s="1"/>
  <c r="EI103" i="243"/>
  <c r="EI104" i="243" s="1"/>
  <c r="EI14" i="243" s="1"/>
  <c r="EN115" i="243"/>
  <c r="EP115" i="243"/>
  <c r="EJ115" i="243"/>
  <c r="DJ66" i="2"/>
  <c r="DJ65" i="2"/>
  <c r="DJ61" i="2"/>
  <c r="DJ195" i="243"/>
  <c r="DU58" i="242"/>
  <c r="DU56" i="242"/>
  <c r="Y64" i="139"/>
  <c r="DT42" i="243"/>
  <c r="Y39" i="139"/>
  <c r="Y41" i="139" s="1"/>
  <c r="EJ109" i="243" l="1"/>
  <c r="EK109" i="243" s="1"/>
  <c r="EN117" i="243"/>
  <c r="EO117" i="243" s="1"/>
  <c r="EN122" i="243"/>
  <c r="EL109" i="243"/>
  <c r="EL117" i="243" s="1"/>
  <c r="EP119" i="243"/>
  <c r="EP103" i="243" s="1"/>
  <c r="EP102" i="243"/>
  <c r="EP112" i="243"/>
  <c r="EI22" i="243"/>
  <c r="EH14" i="243"/>
  <c r="DJ8" i="242"/>
  <c r="DJ42" i="243"/>
  <c r="DR42" i="243"/>
  <c r="DR47" i="243" s="1"/>
  <c r="DR49" i="243" s="1"/>
  <c r="DT47" i="243"/>
  <c r="DT49" i="243" s="1"/>
  <c r="DU61" i="242"/>
  <c r="DU60" i="242"/>
  <c r="Y24" i="139"/>
  <c r="AE24" i="139" s="1"/>
  <c r="DU98" i="2"/>
  <c r="EP104" i="243" l="1"/>
  <c r="EP14" i="243" s="1"/>
  <c r="EM117" i="243"/>
  <c r="EM109" i="243"/>
  <c r="EH22" i="243"/>
  <c r="EF14" i="243"/>
  <c r="EF22" i="243" s="1"/>
  <c r="EJ122" i="243"/>
  <c r="EJ117" i="243"/>
  <c r="EK117" i="243" s="1"/>
  <c r="EP125" i="243"/>
  <c r="EP121" i="243"/>
  <c r="DK8" i="242"/>
  <c r="Y25" i="139"/>
  <c r="DU62" i="242"/>
  <c r="EO14" i="243" l="1"/>
  <c r="EO22" i="243" s="1"/>
  <c r="EP22" i="243"/>
  <c r="Y42" i="139"/>
  <c r="AE25" i="139"/>
  <c r="Y43" i="139"/>
  <c r="EM14" i="243" l="1"/>
  <c r="EM22" i="243" s="1"/>
  <c r="DH10" i="243" l="1"/>
  <c r="DH167" i="243" s="1"/>
  <c r="DH21" i="243"/>
  <c r="DH24" i="243"/>
  <c r="DH34" i="243"/>
  <c r="DH178" i="243" s="1"/>
  <c r="DH45" i="243"/>
  <c r="DH49" i="243"/>
  <c r="DH58" i="243" s="1"/>
  <c r="DH186" i="243" l="1"/>
  <c r="DH179" i="243"/>
  <c r="DH185" i="243"/>
  <c r="DH168" i="243"/>
  <c r="DH59" i="243"/>
  <c r="DH196" i="243"/>
  <c r="DH234" i="243"/>
  <c r="DH235" i="243" s="1"/>
  <c r="DH245" i="243"/>
  <c r="DH246" i="243" s="1"/>
  <c r="DH194" i="243" l="1"/>
  <c r="DH195" i="243" l="1"/>
  <c r="DH48" i="2" l="1"/>
  <c r="DH62" i="2"/>
  <c r="DH63" i="2"/>
  <c r="DH72" i="2"/>
  <c r="DH189" i="243" l="1"/>
  <c r="DH188" i="243" s="1"/>
  <c r="DH182" i="243" l="1"/>
  <c r="DI188" i="243"/>
  <c r="DI182" i="243" s="1"/>
  <c r="CO58" i="220"/>
  <c r="CP58" i="220" s="1"/>
  <c r="CO59" i="220"/>
  <c r="CP59" i="220" l="1"/>
  <c r="CP64" i="220"/>
  <c r="CP65" i="220" s="1"/>
  <c r="DJ45" i="243"/>
  <c r="DJ47" i="243" s="1"/>
  <c r="DJ49" i="243" s="1"/>
  <c r="DJ189" i="243" l="1"/>
  <c r="DJ50" i="242"/>
  <c r="DK50" i="242" s="1"/>
  <c r="DJ21" i="242"/>
  <c r="DK189" i="243"/>
  <c r="DK46" i="242"/>
  <c r="DJ42" i="242" l="1"/>
  <c r="DJ7" i="243" s="1"/>
  <c r="DJ45" i="242"/>
  <c r="DJ49" i="242" s="1"/>
  <c r="DJ242" i="11"/>
  <c r="DJ266" i="11"/>
  <c r="DJ214" i="11"/>
  <c r="DJ265" i="11"/>
  <c r="DJ255" i="11"/>
  <c r="DJ258" i="11"/>
  <c r="DJ209" i="11"/>
  <c r="DJ259" i="11"/>
  <c r="DJ203" i="11"/>
  <c r="DJ204" i="11"/>
  <c r="DJ252" i="11"/>
  <c r="DJ205" i="11"/>
  <c r="DJ253" i="11"/>
  <c r="DJ206" i="11"/>
  <c r="DJ207" i="11"/>
  <c r="DJ256" i="11"/>
  <c r="DJ196" i="11"/>
  <c r="DJ208" i="11"/>
  <c r="DJ197" i="11"/>
  <c r="DJ243" i="11"/>
  <c r="DJ421" i="11" s="1"/>
  <c r="DJ213" i="11"/>
  <c r="DJ215" i="11"/>
  <c r="DJ267" i="11"/>
  <c r="DJ56" i="242" l="1"/>
  <c r="DJ61" i="242" s="1"/>
  <c r="DJ58" i="242"/>
  <c r="DJ60" i="242" s="1"/>
  <c r="DJ11" i="243"/>
  <c r="DJ80" i="242"/>
  <c r="DJ82" i="242" s="1"/>
  <c r="DJ86" i="242" s="1"/>
  <c r="DJ241" i="243"/>
  <c r="DJ243" i="243" s="1"/>
  <c r="DJ426" i="11"/>
  <c r="DJ425" i="11"/>
  <c r="DJ268" i="11"/>
  <c r="DJ244" i="11"/>
  <c r="DJ257" i="11"/>
  <c r="DJ428" i="11"/>
  <c r="DJ260" i="11"/>
  <c r="DJ424" i="11"/>
  <c r="DJ254" i="11"/>
  <c r="DJ180" i="243" l="1"/>
  <c r="DJ270" i="11"/>
  <c r="DJ395" i="11" s="1"/>
  <c r="DJ384" i="11" s="1"/>
  <c r="DJ383" i="11" s="1"/>
  <c r="DJ430" i="11"/>
  <c r="DQ431" i="11" s="1"/>
  <c r="DJ431" i="11" l="1"/>
  <c r="DJ436" i="11"/>
  <c r="DJ437" i="11" s="1"/>
  <c r="DL220" i="11" l="1"/>
  <c r="DL197" i="11" s="1"/>
  <c r="DL228" i="11"/>
  <c r="DL253" i="11" s="1"/>
  <c r="DL230" i="11"/>
  <c r="DL207" i="11" s="1"/>
  <c r="DL227" i="11"/>
  <c r="DL252" i="11" s="1"/>
  <c r="DL238" i="11"/>
  <c r="DL267" i="11" s="1"/>
  <c r="DL232" i="11"/>
  <c r="DL259" i="11" s="1"/>
  <c r="DL237" i="11"/>
  <c r="DL266" i="11" s="1"/>
  <c r="DL226" i="11"/>
  <c r="DL203" i="11" s="1"/>
  <c r="DL231" i="11"/>
  <c r="DL258" i="11" s="1"/>
  <c r="DL236" i="11"/>
  <c r="DL265" i="11" s="1"/>
  <c r="DL219" i="11"/>
  <c r="DL196" i="11" s="1"/>
  <c r="DL229" i="11"/>
  <c r="DL206" i="11" s="1"/>
  <c r="DN242" i="11"/>
  <c r="DN265" i="11"/>
  <c r="DN214" i="11"/>
  <c r="DN266" i="11"/>
  <c r="DN255" i="11"/>
  <c r="DN258" i="11"/>
  <c r="DN203" i="11"/>
  <c r="DN251" i="11"/>
  <c r="DN206" i="11"/>
  <c r="DN208" i="11"/>
  <c r="DN209" i="11"/>
  <c r="DN259" i="11"/>
  <c r="DN205" i="11"/>
  <c r="DN253" i="11"/>
  <c r="DN213" i="11"/>
  <c r="DN207" i="11"/>
  <c r="DN256" i="11"/>
  <c r="DN197" i="11"/>
  <c r="DN243" i="11"/>
  <c r="DN196" i="11"/>
  <c r="DN204" i="11"/>
  <c r="DN252" i="11"/>
  <c r="DN215" i="11"/>
  <c r="DN267" i="11"/>
  <c r="DL215" i="11" l="1"/>
  <c r="DL205" i="11"/>
  <c r="DN421" i="11"/>
  <c r="DN426" i="11"/>
  <c r="DL428" i="11"/>
  <c r="DN425" i="11"/>
  <c r="DL209" i="11"/>
  <c r="DN254" i="11"/>
  <c r="DN244" i="11"/>
  <c r="DN260" i="11"/>
  <c r="DL243" i="11"/>
  <c r="DN257" i="11"/>
  <c r="DN428" i="11"/>
  <c r="DL213" i="11"/>
  <c r="DL251" i="11"/>
  <c r="DL424" i="11" s="1"/>
  <c r="DL268" i="11"/>
  <c r="DL426" i="11"/>
  <c r="DN268" i="11"/>
  <c r="DL208" i="11"/>
  <c r="DL255" i="11"/>
  <c r="DN424" i="11"/>
  <c r="DL260" i="11"/>
  <c r="DL256" i="11"/>
  <c r="DL425" i="11" s="1"/>
  <c r="DL242" i="11"/>
  <c r="DL204" i="11"/>
  <c r="DL214" i="11"/>
  <c r="DN430" i="11" l="1"/>
  <c r="DN431" i="11" s="1"/>
  <c r="DL254" i="11"/>
  <c r="DN270" i="11"/>
  <c r="DN395" i="11" s="1"/>
  <c r="DL244" i="11"/>
  <c r="DL421" i="11"/>
  <c r="DL430" i="11" s="1"/>
  <c r="DL257" i="11"/>
  <c r="DU431" i="11" l="1"/>
  <c r="DN436" i="11"/>
  <c r="DN437" i="11" s="1"/>
  <c r="DL431" i="11"/>
  <c r="DS431" i="11"/>
  <c r="DL270" i="11"/>
  <c r="DL395" i="11" l="1"/>
  <c r="DL436" i="11" l="1"/>
  <c r="DL437" i="11" s="1"/>
  <c r="DI387" i="11" l="1"/>
  <c r="DI400" i="11"/>
  <c r="DI409" i="11" s="1"/>
  <c r="DI393" i="11"/>
  <c r="DI384" i="11"/>
  <c r="DI383" i="11" s="1"/>
  <c r="DI406" i="11" l="1"/>
  <c r="DI275" i="11" s="1"/>
  <c r="DI290" i="11" s="1"/>
  <c r="DI360" i="11"/>
  <c r="DI377" i="11" s="1"/>
  <c r="DI271" i="11"/>
  <c r="DI305" i="11"/>
  <c r="DI25" i="11" s="1"/>
  <c r="DI293" i="11"/>
  <c r="DI286" i="11"/>
  <c r="DI389" i="11"/>
  <c r="DI394" i="11"/>
  <c r="DI390" i="11" s="1"/>
  <c r="DI279" i="11"/>
  <c r="DI287" i="11"/>
  <c r="DI285" i="11"/>
  <c r="DI302" i="11"/>
  <c r="DI303" i="11"/>
  <c r="DI300" i="11"/>
  <c r="DI298" i="11"/>
  <c r="DI301" i="11"/>
  <c r="DI299" i="11"/>
  <c r="DI288" i="11"/>
  <c r="DI295" i="11"/>
  <c r="DI283" i="11"/>
  <c r="DI291" i="11"/>
  <c r="DI281" i="11"/>
  <c r="DI296" i="11"/>
  <c r="DI294" i="11"/>
  <c r="DI297" i="11"/>
  <c r="DI284" i="11"/>
  <c r="DI292" i="11"/>
  <c r="DI304" i="11"/>
  <c r="DI306" i="11"/>
  <c r="DI282" i="11"/>
  <c r="DI278" i="11"/>
  <c r="DP377" i="11"/>
  <c r="DI289" i="11" l="1"/>
  <c r="DI280" i="11"/>
  <c r="DI19" i="11" s="1"/>
  <c r="DI21" i="11"/>
  <c r="DI272" i="11"/>
  <c r="DI273" i="11"/>
  <c r="DI308" i="11" s="1"/>
  <c r="DI317" i="11" s="1"/>
  <c r="DI432" i="11"/>
  <c r="DI433" i="11" s="1"/>
  <c r="DP271" i="11"/>
  <c r="DI344" i="11"/>
  <c r="DI343" i="11"/>
  <c r="DI20" i="11"/>
  <c r="DI346" i="11"/>
  <c r="DI23" i="11"/>
  <c r="DI391" i="11"/>
  <c r="DI345" i="11"/>
  <c r="DI22" i="11"/>
  <c r="DI312" i="11"/>
  <c r="DI26" i="11"/>
  <c r="DI347" i="11"/>
  <c r="DI24" i="11"/>
  <c r="DI342" i="11" l="1"/>
  <c r="DI311" i="11"/>
  <c r="DI315" i="11"/>
  <c r="DI309" i="11"/>
  <c r="DI217" i="11" s="1"/>
  <c r="DI28" i="11"/>
  <c r="DI316" i="11"/>
  <c r="DI434" i="11"/>
  <c r="DW271" i="11"/>
  <c r="DP432" i="11"/>
  <c r="DP433" i="11" s="1"/>
  <c r="DP273" i="11"/>
  <c r="DP385" i="11" s="1"/>
  <c r="DP393" i="11" s="1"/>
  <c r="DI372" i="11"/>
  <c r="DI371" i="11"/>
  <c r="DI370" i="11"/>
  <c r="DI368" i="11"/>
  <c r="DI369" i="11"/>
  <c r="DI367" i="11"/>
  <c r="DI348" i="11"/>
  <c r="DP387" i="11" l="1"/>
  <c r="DP400" i="11" s="1"/>
  <c r="DP406" i="11" s="1"/>
  <c r="DP275" i="11" s="1"/>
  <c r="DP298" i="11" s="1"/>
  <c r="DP434" i="11"/>
  <c r="DW432" i="11"/>
  <c r="DW433" i="11" s="1"/>
  <c r="ED271" i="11"/>
  <c r="DW273" i="11"/>
  <c r="DW385" i="11" s="1"/>
  <c r="DI361" i="11"/>
  <c r="DI30" i="11"/>
  <c r="DI329" i="11"/>
  <c r="DP290" i="11"/>
  <c r="DP284" i="11"/>
  <c r="DP300" i="11"/>
  <c r="DP302" i="11"/>
  <c r="DP278" i="11"/>
  <c r="DP291" i="11"/>
  <c r="DP282" i="11"/>
  <c r="DP287" i="11"/>
  <c r="DP288" i="11"/>
  <c r="DP289" i="11"/>
  <c r="DP295" i="11"/>
  <c r="DP299" i="11"/>
  <c r="DP281" i="11"/>
  <c r="DP305" i="11"/>
  <c r="DP297" i="11"/>
  <c r="DP306" i="11"/>
  <c r="DP303" i="11"/>
  <c r="DP293" i="11"/>
  <c r="DP307" i="11"/>
  <c r="DP308" i="11"/>
  <c r="DP389" i="11"/>
  <c r="DP394" i="11"/>
  <c r="DP390" i="11" s="1"/>
  <c r="DI378" i="11"/>
  <c r="DW434" i="11" l="1"/>
  <c r="DP294" i="11"/>
  <c r="DP280" i="11"/>
  <c r="DP19" i="11" s="1"/>
  <c r="DP292" i="11"/>
  <c r="DP283" i="11"/>
  <c r="DP286" i="11"/>
  <c r="DP304" i="11"/>
  <c r="DP301" i="11"/>
  <c r="DP296" i="11"/>
  <c r="DP346" i="11" s="1"/>
  <c r="DP285" i="11"/>
  <c r="DP279" i="11"/>
  <c r="DP409" i="11"/>
  <c r="DI379" i="11"/>
  <c r="DP391" i="11"/>
  <c r="EK271" i="11"/>
  <c r="ED273" i="11"/>
  <c r="ED385" i="11" s="1"/>
  <c r="ED432" i="11"/>
  <c r="ED433" i="11" s="1"/>
  <c r="DW393" i="11"/>
  <c r="DW387" i="11"/>
  <c r="DW400" i="11" s="1"/>
  <c r="DP353" i="11"/>
  <c r="DP313" i="11"/>
  <c r="DP317" i="11" s="1"/>
  <c r="DP9" i="11"/>
  <c r="DP27" i="11"/>
  <c r="DP343" i="11"/>
  <c r="DP22" i="11"/>
  <c r="DP345" i="11"/>
  <c r="DP25" i="11"/>
  <c r="DP21" i="11"/>
  <c r="DI362" i="11"/>
  <c r="DP366" i="11"/>
  <c r="DI363" i="11"/>
  <c r="DP28" i="11"/>
  <c r="DP26" i="11"/>
  <c r="DP5" i="11"/>
  <c r="DP344" i="11"/>
  <c r="ED434" i="11" l="1"/>
  <c r="DP342" i="11"/>
  <c r="DP367" i="11" s="1"/>
  <c r="DP312" i="11"/>
  <c r="DP316" i="11" s="1"/>
  <c r="DP24" i="11"/>
  <c r="DP347" i="11"/>
  <c r="DP20" i="11"/>
  <c r="DP311" i="11"/>
  <c r="DP315" i="11" s="1"/>
  <c r="DP23" i="11"/>
  <c r="DW406" i="11"/>
  <c r="DW275" i="11" s="1"/>
  <c r="DW409" i="11"/>
  <c r="EK432" i="11"/>
  <c r="EK433" i="11" s="1"/>
  <c r="EK273" i="11"/>
  <c r="EK385" i="11" s="1"/>
  <c r="DW394" i="11"/>
  <c r="DW390" i="11" s="1"/>
  <c r="DW389" i="11"/>
  <c r="ED387" i="11"/>
  <c r="ED400" i="11" s="1"/>
  <c r="ED393" i="11"/>
  <c r="DP369" i="11"/>
  <c r="DP371" i="11"/>
  <c r="DP373" i="11"/>
  <c r="DP11" i="11"/>
  <c r="DP15" i="11" s="1"/>
  <c r="DP372" i="11"/>
  <c r="DP370" i="11"/>
  <c r="DP368" i="11"/>
  <c r="DP348" i="11" l="1"/>
  <c r="DP30" i="11" s="1"/>
  <c r="DW391" i="11"/>
  <c r="EK434" i="11"/>
  <c r="ED406" i="11"/>
  <c r="ED275" i="11" s="1"/>
  <c r="ED409" i="11"/>
  <c r="EK393" i="11"/>
  <c r="EK387" i="11"/>
  <c r="EK400" i="11" s="1"/>
  <c r="EK406" i="11" s="1"/>
  <c r="EK275" i="11" s="1"/>
  <c r="ED394" i="11"/>
  <c r="ED390" i="11" s="1"/>
  <c r="ED389" i="11"/>
  <c r="DW297" i="11"/>
  <c r="DW286" i="11"/>
  <c r="DW289" i="11"/>
  <c r="DW280" i="11"/>
  <c r="DW279" i="11"/>
  <c r="DW301" i="11"/>
  <c r="DW293" i="11"/>
  <c r="DW299" i="11"/>
  <c r="DW298" i="11"/>
  <c r="DW287" i="11"/>
  <c r="DW306" i="11"/>
  <c r="DW292" i="11"/>
  <c r="DW281" i="11"/>
  <c r="DW304" i="11"/>
  <c r="DW307" i="11"/>
  <c r="DW283" i="11"/>
  <c r="DW296" i="11"/>
  <c r="DW282" i="11"/>
  <c r="DW288" i="11"/>
  <c r="DW285" i="11"/>
  <c r="DW290" i="11"/>
  <c r="DW295" i="11"/>
  <c r="DW278" i="11"/>
  <c r="DW302" i="11"/>
  <c r="DW300" i="11"/>
  <c r="DW303" i="11"/>
  <c r="DW305" i="11"/>
  <c r="DW294" i="11"/>
  <c r="DW291" i="11"/>
  <c r="DW308" i="11"/>
  <c r="DW284" i="11"/>
  <c r="DV4" i="4"/>
  <c r="DP356" i="11"/>
  <c r="DP62" i="11"/>
  <c r="DP12" i="11"/>
  <c r="DP309" i="11"/>
  <c r="DP217" i="11" s="1"/>
  <c r="DP14" i="11"/>
  <c r="DP16" i="11" s="1"/>
  <c r="DP329" i="11"/>
  <c r="ED391" i="11" l="1"/>
  <c r="DW313" i="11"/>
  <c r="DW317" i="11" s="1"/>
  <c r="DW9" i="11"/>
  <c r="DW353" i="11"/>
  <c r="DW27" i="11"/>
  <c r="DW22" i="11"/>
  <c r="DW345" i="11"/>
  <c r="DW28" i="11"/>
  <c r="DW24" i="11"/>
  <c r="DW347" i="11"/>
  <c r="DW21" i="11"/>
  <c r="DW312" i="11"/>
  <c r="DW316" i="11" s="1"/>
  <c r="DW19" i="11"/>
  <c r="DW311" i="11"/>
  <c r="DW315" i="11" s="1"/>
  <c r="DW342" i="11"/>
  <c r="EK281" i="11"/>
  <c r="EK304" i="11"/>
  <c r="EK278" i="11"/>
  <c r="EK298" i="11"/>
  <c r="EK289" i="11"/>
  <c r="EK306" i="11"/>
  <c r="EK296" i="11"/>
  <c r="EK285" i="11"/>
  <c r="EK280" i="11"/>
  <c r="EK283" i="11"/>
  <c r="EK305" i="11"/>
  <c r="EK303" i="11"/>
  <c r="EK295" i="11"/>
  <c r="EK300" i="11"/>
  <c r="EK287" i="11"/>
  <c r="EK299" i="11"/>
  <c r="EK279" i="11"/>
  <c r="EK290" i="11"/>
  <c r="EK293" i="11"/>
  <c r="EK282" i="11"/>
  <c r="EK307" i="11"/>
  <c r="EK284" i="11"/>
  <c r="EK292" i="11"/>
  <c r="EK297" i="11"/>
  <c r="EK294" i="11"/>
  <c r="EK288" i="11"/>
  <c r="EK291" i="11"/>
  <c r="EK302" i="11"/>
  <c r="EK308" i="11"/>
  <c r="EK301" i="11"/>
  <c r="EK286" i="11"/>
  <c r="DW25" i="11"/>
  <c r="DW26" i="11"/>
  <c r="DW5" i="11"/>
  <c r="DW344" i="11"/>
  <c r="EK409" i="11"/>
  <c r="DW343" i="11"/>
  <c r="DW20" i="11"/>
  <c r="EK394" i="11"/>
  <c r="EK390" i="11" s="1"/>
  <c r="EK389" i="11"/>
  <c r="DW346" i="11"/>
  <c r="DW23" i="11"/>
  <c r="ED303" i="11"/>
  <c r="ED305" i="11"/>
  <c r="ED298" i="11"/>
  <c r="ED304" i="11"/>
  <c r="ED291" i="11"/>
  <c r="ED289" i="11"/>
  <c r="ED285" i="11"/>
  <c r="ED294" i="11"/>
  <c r="ED293" i="11"/>
  <c r="ED307" i="11"/>
  <c r="ED297" i="11"/>
  <c r="ED302" i="11"/>
  <c r="ED290" i="11"/>
  <c r="ED287" i="11"/>
  <c r="ED284" i="11"/>
  <c r="ED281" i="11"/>
  <c r="ED301" i="11"/>
  <c r="ED278" i="11"/>
  <c r="ED288" i="11"/>
  <c r="ED299" i="11"/>
  <c r="ED295" i="11"/>
  <c r="ED279" i="11"/>
  <c r="ED308" i="11"/>
  <c r="ED286" i="11"/>
  <c r="ED282" i="11"/>
  <c r="ED280" i="11"/>
  <c r="ED300" i="11"/>
  <c r="ED292" i="11"/>
  <c r="ED283" i="11"/>
  <c r="ED296" i="11"/>
  <c r="ED306" i="11"/>
  <c r="DP374" i="11"/>
  <c r="DP378" i="11" s="1"/>
  <c r="DP42" i="11"/>
  <c r="DO152" i="243"/>
  <c r="DV16" i="4"/>
  <c r="DV11" i="4"/>
  <c r="DV13" i="4" s="1"/>
  <c r="DV63" i="4"/>
  <c r="DP70" i="11"/>
  <c r="DP361" i="11"/>
  <c r="ED311" i="11" l="1"/>
  <c r="ED315" i="11" s="1"/>
  <c r="ED19" i="11"/>
  <c r="ED342" i="11"/>
  <c r="ED313" i="11"/>
  <c r="ED317" i="11" s="1"/>
  <c r="ED27" i="11"/>
  <c r="ED353" i="11"/>
  <c r="ED9" i="11"/>
  <c r="ED25" i="11"/>
  <c r="DW11" i="11"/>
  <c r="DW14" i="11" s="1"/>
  <c r="DW372" i="11"/>
  <c r="DW369" i="11"/>
  <c r="EK28" i="11"/>
  <c r="EK344" i="11"/>
  <c r="DP379" i="11"/>
  <c r="ED345" i="11"/>
  <c r="ED22" i="11"/>
  <c r="EK345" i="11"/>
  <c r="EK22" i="11"/>
  <c r="EK25" i="11"/>
  <c r="ED20" i="11"/>
  <c r="ED312" i="11"/>
  <c r="ED316" i="11" s="1"/>
  <c r="EK21" i="11"/>
  <c r="EK24" i="11"/>
  <c r="EK347" i="11"/>
  <c r="DW370" i="11"/>
  <c r="ED26" i="11"/>
  <c r="ED5" i="11"/>
  <c r="ED28" i="11"/>
  <c r="DW368" i="11"/>
  <c r="EK311" i="11"/>
  <c r="EK315" i="11" s="1"/>
  <c r="EK342" i="11"/>
  <c r="EK19" i="11"/>
  <c r="EK312" i="11"/>
  <c r="EK316" i="11" s="1"/>
  <c r="EK313" i="11"/>
  <c r="EK317" i="11" s="1"/>
  <c r="EK9" i="11"/>
  <c r="EK353" i="11"/>
  <c r="EK27" i="11"/>
  <c r="ED23" i="11"/>
  <c r="ED346" i="11"/>
  <c r="ED343" i="11"/>
  <c r="ED344" i="11"/>
  <c r="DW371" i="11"/>
  <c r="DW373" i="11"/>
  <c r="ED21" i="11"/>
  <c r="EK20" i="11"/>
  <c r="EK343" i="11"/>
  <c r="EK346" i="11"/>
  <c r="EK23" i="11"/>
  <c r="DW367" i="11"/>
  <c r="DW348" i="11"/>
  <c r="ED347" i="11"/>
  <c r="ED24" i="11"/>
  <c r="EK391" i="11"/>
  <c r="EK26" i="11"/>
  <c r="EK5" i="11"/>
  <c r="DV141" i="4"/>
  <c r="DV149" i="4" s="1"/>
  <c r="DP43" i="11"/>
  <c r="DV115" i="4"/>
  <c r="DV87" i="4"/>
  <c r="DV94" i="4" s="1"/>
  <c r="DV96" i="4" s="1"/>
  <c r="DV98" i="4" s="1"/>
  <c r="DV70" i="4"/>
  <c r="DV72" i="4" s="1"/>
  <c r="DO154" i="243"/>
  <c r="DV23" i="4"/>
  <c r="DO8" i="2"/>
  <c r="DP362" i="11"/>
  <c r="DP45" i="11"/>
  <c r="DP363" i="11" s="1"/>
  <c r="DW366" i="11"/>
  <c r="DW15" i="11" l="1"/>
  <c r="EK11" i="11"/>
  <c r="EK356" i="11" s="1"/>
  <c r="DW16" i="11"/>
  <c r="EK370" i="11"/>
  <c r="EK369" i="11"/>
  <c r="ED373" i="11"/>
  <c r="EK368" i="11"/>
  <c r="ED371" i="11"/>
  <c r="EK372" i="11"/>
  <c r="DW30" i="11"/>
  <c r="DW329" i="11"/>
  <c r="DW62" i="11"/>
  <c r="EC4" i="4"/>
  <c r="DW12" i="11"/>
  <c r="DW356" i="11"/>
  <c r="DW309" i="11"/>
  <c r="DW217" i="11" s="1"/>
  <c r="ED348" i="11"/>
  <c r="ED367" i="11"/>
  <c r="ED11" i="11"/>
  <c r="ED14" i="11" s="1"/>
  <c r="EK367" i="11"/>
  <c r="EK348" i="11"/>
  <c r="EQ4" i="4"/>
  <c r="ED369" i="11"/>
  <c r="EK373" i="11"/>
  <c r="ED372" i="11"/>
  <c r="EK371" i="11"/>
  <c r="ED368" i="11"/>
  <c r="EK15" i="11"/>
  <c r="ED370" i="11"/>
  <c r="EK42" i="11"/>
  <c r="DO9" i="2"/>
  <c r="DO274" i="243"/>
  <c r="DO14" i="2"/>
  <c r="DO178" i="243"/>
  <c r="DO34" i="243" s="1"/>
  <c r="DO161" i="243"/>
  <c r="DO153" i="243"/>
  <c r="DO158" i="243"/>
  <c r="DO170" i="243"/>
  <c r="DO167" i="243"/>
  <c r="DO164" i="243"/>
  <c r="DO8" i="243" s="1"/>
  <c r="DO175" i="243"/>
  <c r="DV122" i="4"/>
  <c r="DV124" i="4" s="1"/>
  <c r="DV99" i="4"/>
  <c r="DO116" i="243"/>
  <c r="DO20" i="2"/>
  <c r="DO5" i="242" s="1"/>
  <c r="DP46" i="11"/>
  <c r="DP47" i="11"/>
  <c r="DP58" i="11"/>
  <c r="DV26" i="4"/>
  <c r="DV150" i="4"/>
  <c r="EK62" i="11" l="1"/>
  <c r="EK309" i="11"/>
  <c r="EK217" i="11" s="1"/>
  <c r="EK14" i="11"/>
  <c r="EK16" i="11" s="1"/>
  <c r="EK361" i="11"/>
  <c r="EK362" i="11" s="1"/>
  <c r="EJ152" i="243"/>
  <c r="EQ11" i="4"/>
  <c r="EQ13" i="4" s="1"/>
  <c r="EJ8" i="2" s="1"/>
  <c r="EK70" i="11"/>
  <c r="EQ141" i="4" s="1"/>
  <c r="EQ149" i="4" s="1"/>
  <c r="ED15" i="11"/>
  <c r="ED16" i="11" s="1"/>
  <c r="EQ63" i="4"/>
  <c r="EQ87" i="4" s="1"/>
  <c r="EQ94" i="4" s="1"/>
  <c r="EQ96" i="4" s="1"/>
  <c r="EQ98" i="4" s="1"/>
  <c r="ED62" i="11"/>
  <c r="ED309" i="11"/>
  <c r="ED217" i="11" s="1"/>
  <c r="EJ4" i="4"/>
  <c r="ED356" i="11"/>
  <c r="ED361" i="11" s="1"/>
  <c r="ED12" i="11"/>
  <c r="EK12" i="11"/>
  <c r="DW70" i="11"/>
  <c r="EC63" i="4"/>
  <c r="ED329" i="11"/>
  <c r="ED30" i="11"/>
  <c r="EK329" i="11"/>
  <c r="EK30" i="11"/>
  <c r="DV152" i="243"/>
  <c r="EC11" i="4"/>
  <c r="EC13" i="4" s="1"/>
  <c r="EC16" i="4"/>
  <c r="DW374" i="11"/>
  <c r="DW378" i="11" s="1"/>
  <c r="DW42" i="11"/>
  <c r="DW361" i="11"/>
  <c r="DO119" i="243"/>
  <c r="DV125" i="4"/>
  <c r="DO15" i="2"/>
  <c r="DV131" i="4"/>
  <c r="DO19" i="242"/>
  <c r="DO10" i="243"/>
  <c r="DO3" i="243"/>
  <c r="DO13" i="242"/>
  <c r="DO185" i="243"/>
  <c r="DO14" i="242"/>
  <c r="DO4" i="243"/>
  <c r="DO29" i="243"/>
  <c r="DO15" i="242"/>
  <c r="DV29" i="4"/>
  <c r="DV31" i="4" s="1"/>
  <c r="DV32" i="4" s="1"/>
  <c r="DO10" i="2"/>
  <c r="DO11" i="2" s="1"/>
  <c r="DP60" i="11"/>
  <c r="DP59" i="11"/>
  <c r="DV51" i="4"/>
  <c r="DO173" i="243"/>
  <c r="DO30" i="243" s="1"/>
  <c r="EK43" i="11"/>
  <c r="EQ115" i="4"/>
  <c r="EK45" i="11" l="1"/>
  <c r="EK363" i="11" s="1"/>
  <c r="DO35" i="243"/>
  <c r="EJ154" i="243"/>
  <c r="EJ164" i="243" s="1"/>
  <c r="EJ8" i="243" s="1"/>
  <c r="EQ70" i="4"/>
  <c r="EQ72" i="4" s="1"/>
  <c r="DW362" i="11"/>
  <c r="DW45" i="11"/>
  <c r="ED366" i="11"/>
  <c r="ED362" i="11"/>
  <c r="ED45" i="11"/>
  <c r="EK366" i="11"/>
  <c r="EC141" i="4"/>
  <c r="EC149" i="4" s="1"/>
  <c r="EC150" i="4" s="1"/>
  <c r="EC115" i="4"/>
  <c r="DW43" i="11"/>
  <c r="DW379" i="11"/>
  <c r="DO186" i="243"/>
  <c r="DO188" i="243" s="1"/>
  <c r="ED374" i="11"/>
  <c r="ED42" i="11"/>
  <c r="EK374" i="11"/>
  <c r="EJ16" i="4"/>
  <c r="EC152" i="243"/>
  <c r="EJ11" i="4"/>
  <c r="EJ13" i="4" s="1"/>
  <c r="EQ16" i="4"/>
  <c r="EC23" i="4"/>
  <c r="DV154" i="243"/>
  <c r="DV8" i="2"/>
  <c r="EC70" i="4"/>
  <c r="EC72" i="4" s="1"/>
  <c r="EC87" i="4"/>
  <c r="EC94" i="4" s="1"/>
  <c r="EC96" i="4" s="1"/>
  <c r="EC98" i="4" s="1"/>
  <c r="EJ63" i="4"/>
  <c r="ED70" i="11"/>
  <c r="DV43" i="4"/>
  <c r="DV46" i="4" s="1"/>
  <c r="DV48" i="4" s="1"/>
  <c r="DV102" i="4"/>
  <c r="DV109" i="4" s="1"/>
  <c r="DV111" i="4" s="1"/>
  <c r="DV112" i="4" s="1"/>
  <c r="DV58" i="4"/>
  <c r="DV60" i="4" s="1"/>
  <c r="DO22" i="2" s="1"/>
  <c r="EJ9" i="2"/>
  <c r="EJ274" i="243"/>
  <c r="EQ122" i="4"/>
  <c r="EQ124" i="4" s="1"/>
  <c r="EJ20" i="2"/>
  <c r="EJ5" i="242" s="1"/>
  <c r="EJ116" i="243"/>
  <c r="EQ99" i="4"/>
  <c r="EQ150" i="4"/>
  <c r="DV135" i="4"/>
  <c r="DO174" i="243"/>
  <c r="DO40" i="243" s="1"/>
  <c r="EK46" i="11"/>
  <c r="EK58" i="11"/>
  <c r="EQ26" i="4"/>
  <c r="DP115" i="243"/>
  <c r="DO103" i="243"/>
  <c r="EJ153" i="243" l="1"/>
  <c r="EJ175" i="243"/>
  <c r="EJ173" i="243" s="1"/>
  <c r="EJ30" i="243" s="1"/>
  <c r="EJ178" i="243"/>
  <c r="EJ34" i="243" s="1"/>
  <c r="EJ170" i="243"/>
  <c r="EJ15" i="242" s="1"/>
  <c r="EJ167" i="243"/>
  <c r="EJ161" i="243"/>
  <c r="EJ4" i="243" s="1"/>
  <c r="EJ158" i="243"/>
  <c r="EJ3" i="243" s="1"/>
  <c r="EJ10" i="2"/>
  <c r="EJ11" i="2" s="1"/>
  <c r="ED378" i="11"/>
  <c r="ED379" i="11" s="1"/>
  <c r="EK378" i="11"/>
  <c r="EK379" i="11" s="1"/>
  <c r="DV20" i="2"/>
  <c r="DV5" i="242" s="1"/>
  <c r="EC99" i="4"/>
  <c r="DV116" i="243"/>
  <c r="ED43" i="11"/>
  <c r="EJ115" i="4"/>
  <c r="DV274" i="243"/>
  <c r="DV9" i="2"/>
  <c r="DV14" i="2"/>
  <c r="ED363" i="11"/>
  <c r="ED46" i="11"/>
  <c r="ED47" i="11"/>
  <c r="EJ26" i="4"/>
  <c r="ED58" i="11"/>
  <c r="EK60" i="11" s="1"/>
  <c r="DV161" i="243"/>
  <c r="DV167" i="243"/>
  <c r="DV158" i="243"/>
  <c r="DV178" i="243"/>
  <c r="DV34" i="243" s="1"/>
  <c r="DV170" i="243"/>
  <c r="DV175" i="243"/>
  <c r="DV153" i="243"/>
  <c r="DV164" i="243"/>
  <c r="DV8" i="243" s="1"/>
  <c r="EC8" i="2"/>
  <c r="EC154" i="243"/>
  <c r="EJ23" i="4"/>
  <c r="EQ23" i="4"/>
  <c r="DW47" i="11"/>
  <c r="DW46" i="11"/>
  <c r="EC26" i="4"/>
  <c r="DW58" i="11"/>
  <c r="EC122" i="4"/>
  <c r="EC124" i="4" s="1"/>
  <c r="DW363" i="11"/>
  <c r="EK47" i="11"/>
  <c r="EJ141" i="4"/>
  <c r="EJ149" i="4" s="1"/>
  <c r="EJ150" i="4" s="1"/>
  <c r="EJ87" i="4"/>
  <c r="EJ94" i="4" s="1"/>
  <c r="EJ96" i="4" s="1"/>
  <c r="EJ98" i="4" s="1"/>
  <c r="EJ70" i="4"/>
  <c r="EJ72" i="4" s="1"/>
  <c r="EJ119" i="243"/>
  <c r="DO16" i="242"/>
  <c r="EJ15" i="2"/>
  <c r="EQ125" i="4"/>
  <c r="EQ131" i="4"/>
  <c r="DO54" i="2"/>
  <c r="DO7" i="242"/>
  <c r="DO89" i="243"/>
  <c r="DV138" i="4"/>
  <c r="DW134" i="4" s="1"/>
  <c r="DO18" i="2"/>
  <c r="DO13" i="2" s="1"/>
  <c r="DO156" i="243" s="1"/>
  <c r="DO27" i="2"/>
  <c r="DO38" i="2" s="1"/>
  <c r="EQ29" i="4"/>
  <c r="EQ31" i="4" s="1"/>
  <c r="EQ32" i="4" s="1"/>
  <c r="EK59" i="11"/>
  <c r="EQ51" i="4"/>
  <c r="EJ19" i="242" l="1"/>
  <c r="EJ29" i="243"/>
  <c r="EJ35" i="243" s="1"/>
  <c r="EJ13" i="242"/>
  <c r="EJ10" i="243"/>
  <c r="EJ185" i="243"/>
  <c r="EJ14" i="242"/>
  <c r="EJ186" i="243"/>
  <c r="EJ188" i="243" s="1"/>
  <c r="EJ174" i="243"/>
  <c r="EJ40" i="243" s="1"/>
  <c r="EJ16" i="242" s="1"/>
  <c r="DW60" i="11"/>
  <c r="EC51" i="4"/>
  <c r="DW59" i="11"/>
  <c r="EC9" i="2"/>
  <c r="EC274" i="243"/>
  <c r="DV14" i="242"/>
  <c r="DV4" i="243"/>
  <c r="EC29" i="4"/>
  <c r="EC31" i="4" s="1"/>
  <c r="EC32" i="4" s="1"/>
  <c r="EJ51" i="4"/>
  <c r="ED59" i="11"/>
  <c r="ED60" i="11"/>
  <c r="EJ29" i="4"/>
  <c r="DV173" i="243"/>
  <c r="DV30" i="243" s="1"/>
  <c r="DV15" i="242"/>
  <c r="DV29" i="243"/>
  <c r="DV15" i="2"/>
  <c r="EC131" i="4"/>
  <c r="EC125" i="4"/>
  <c r="DV119" i="243"/>
  <c r="DV3" i="243"/>
  <c r="DV185" i="243"/>
  <c r="DV13" i="242"/>
  <c r="EC14" i="2"/>
  <c r="EJ122" i="4"/>
  <c r="EJ124" i="4" s="1"/>
  <c r="EC20" i="2"/>
  <c r="EC5" i="242" s="1"/>
  <c r="EJ99" i="4"/>
  <c r="EC116" i="243"/>
  <c r="EC158" i="243"/>
  <c r="EC170" i="243"/>
  <c r="EC178" i="243"/>
  <c r="EC34" i="243" s="1"/>
  <c r="EC164" i="243"/>
  <c r="EC8" i="243" s="1"/>
  <c r="EC153" i="243"/>
  <c r="EC175" i="243"/>
  <c r="EC161" i="243"/>
  <c r="EC167" i="243"/>
  <c r="DV19" i="242"/>
  <c r="DV10" i="243"/>
  <c r="DV10" i="2"/>
  <c r="DV11" i="2" s="1"/>
  <c r="DO91" i="243"/>
  <c r="DO108" i="243"/>
  <c r="DO40" i="2"/>
  <c r="DO42" i="2" s="1"/>
  <c r="DO46" i="2" s="1"/>
  <c r="DO20" i="242"/>
  <c r="EQ135" i="4"/>
  <c r="EQ102" i="4"/>
  <c r="EQ109" i="4" s="1"/>
  <c r="EQ111" i="4" s="1"/>
  <c r="EQ43" i="4"/>
  <c r="EQ46" i="4" s="1"/>
  <c r="EQ48" i="4" s="1"/>
  <c r="EQ58" i="4"/>
  <c r="EQ60" i="4" s="1"/>
  <c r="EJ22" i="2" s="1"/>
  <c r="EJ103" i="243"/>
  <c r="EK115" i="243"/>
  <c r="DV174" i="243" l="1"/>
  <c r="DV40" i="243" s="1"/>
  <c r="DV16" i="242" s="1"/>
  <c r="EJ102" i="4"/>
  <c r="EJ109" i="4" s="1"/>
  <c r="EJ111" i="4" s="1"/>
  <c r="EJ43" i="4"/>
  <c r="EJ46" i="4" s="1"/>
  <c r="EJ48" i="4" s="1"/>
  <c r="EJ58" i="4"/>
  <c r="EJ60" i="4" s="1"/>
  <c r="EC22" i="2" s="1"/>
  <c r="DW115" i="243"/>
  <c r="DV103" i="243"/>
  <c r="EC15" i="2"/>
  <c r="EJ125" i="4"/>
  <c r="EJ131" i="4"/>
  <c r="DV35" i="243"/>
  <c r="EJ31" i="4"/>
  <c r="EJ32" i="4" s="1"/>
  <c r="EC10" i="2"/>
  <c r="EC11" i="2" s="1"/>
  <c r="EC29" i="243"/>
  <c r="EC15" i="242"/>
  <c r="EC19" i="242"/>
  <c r="EC10" i="243"/>
  <c r="EJ14" i="2"/>
  <c r="DV186" i="243"/>
  <c r="DV188" i="243" s="1"/>
  <c r="EC102" i="4"/>
  <c r="EC109" i="4" s="1"/>
  <c r="EC111" i="4" s="1"/>
  <c r="EC112" i="4" s="1"/>
  <c r="EC43" i="4"/>
  <c r="EC46" i="4" s="1"/>
  <c r="EC48" i="4" s="1"/>
  <c r="EC58" i="4"/>
  <c r="EC60" i="4" s="1"/>
  <c r="DV22" i="2" s="1"/>
  <c r="EC3" i="243"/>
  <c r="EC185" i="243"/>
  <c r="EC13" i="242"/>
  <c r="EC4" i="243"/>
  <c r="EC14" i="242"/>
  <c r="EC173" i="243"/>
  <c r="EC30" i="243" s="1"/>
  <c r="EC119" i="243"/>
  <c r="EC135" i="4"/>
  <c r="DO53" i="243"/>
  <c r="DO56" i="243" s="1"/>
  <c r="DO51" i="2"/>
  <c r="DO3" i="242"/>
  <c r="DO83" i="243"/>
  <c r="DO85" i="243" s="1"/>
  <c r="DO13" i="243" s="1"/>
  <c r="DO92" i="243"/>
  <c r="DP88" i="243"/>
  <c r="EJ18" i="2"/>
  <c r="EJ27" i="2"/>
  <c r="DO41" i="2"/>
  <c r="DO56" i="2" s="1"/>
  <c r="DO196" i="243"/>
  <c r="EQ138" i="4"/>
  <c r="ER134" i="4" s="1"/>
  <c r="EJ89" i="243"/>
  <c r="DO46" i="242"/>
  <c r="DO50" i="242" s="1"/>
  <c r="DO189" i="243"/>
  <c r="EJ54" i="2"/>
  <c r="EJ7" i="242"/>
  <c r="EJ20" i="242"/>
  <c r="DO23" i="242"/>
  <c r="DO111" i="243"/>
  <c r="DO123" i="243"/>
  <c r="EC35" i="243" l="1"/>
  <c r="EJ13" i="2"/>
  <c r="EJ156" i="243" s="1"/>
  <c r="DO59" i="2"/>
  <c r="EJ112" i="4"/>
  <c r="EC174" i="243"/>
  <c r="EC40" i="243" s="1"/>
  <c r="EC16" i="242" s="1"/>
  <c r="EC186" i="243"/>
  <c r="EC188" i="243" s="1"/>
  <c r="EC18" i="2"/>
  <c r="EC13" i="2" s="1"/>
  <c r="EC156" i="243" s="1"/>
  <c r="EC27" i="2"/>
  <c r="EC7" i="242"/>
  <c r="EC54" i="2"/>
  <c r="DV18" i="2"/>
  <c r="DV13" i="2" s="1"/>
  <c r="DV156" i="243" s="1"/>
  <c r="DV27" i="2"/>
  <c r="DV20" i="242"/>
  <c r="DV7" i="242"/>
  <c r="DV54" i="2"/>
  <c r="EJ135" i="4"/>
  <c r="DV89" i="243"/>
  <c r="EC138" i="4"/>
  <c r="ED134" i="4" s="1"/>
  <c r="EQ112" i="4"/>
  <c r="EC103" i="243"/>
  <c r="ED115" i="243"/>
  <c r="EJ189" i="243"/>
  <c r="EJ46" i="242"/>
  <c r="EJ50" i="242" s="1"/>
  <c r="DO57" i="2"/>
  <c r="DO194" i="243"/>
  <c r="DO102" i="243"/>
  <c r="DO104" i="243" s="1"/>
  <c r="DO14" i="243" s="1"/>
  <c r="DO22" i="243" s="1"/>
  <c r="DO112" i="243"/>
  <c r="DP107" i="243"/>
  <c r="DO53" i="242"/>
  <c r="DO31" i="242"/>
  <c r="EJ91" i="243"/>
  <c r="EJ108" i="243"/>
  <c r="DO195" i="243" l="1"/>
  <c r="DO8" i="242" s="1"/>
  <c r="DV91" i="243"/>
  <c r="DV108" i="243"/>
  <c r="DV189" i="243"/>
  <c r="DV46" i="242"/>
  <c r="DV50" i="242" s="1"/>
  <c r="EC20" i="242"/>
  <c r="EC89" i="243"/>
  <c r="EJ138" i="4"/>
  <c r="EK134" i="4" s="1"/>
  <c r="EJ83" i="243"/>
  <c r="EJ85" i="243" s="1"/>
  <c r="EJ13" i="243" s="1"/>
  <c r="EJ92" i="243"/>
  <c r="EK88" i="243"/>
  <c r="DO42" i="243"/>
  <c r="DO47" i="243" s="1"/>
  <c r="DO49" i="243" s="1"/>
  <c r="DO58" i="243" s="1"/>
  <c r="DO52" i="242"/>
  <c r="DO51" i="242"/>
  <c r="DP122" i="243"/>
  <c r="EJ23" i="242"/>
  <c r="EJ111" i="243"/>
  <c r="EJ123" i="243"/>
  <c r="DO125" i="243"/>
  <c r="DO121" i="243"/>
  <c r="EC189" i="243" l="1"/>
  <c r="EC46" i="242"/>
  <c r="EC50" i="242" s="1"/>
  <c r="DV23" i="242"/>
  <c r="DV123" i="243"/>
  <c r="DV111" i="243"/>
  <c r="DV92" i="243"/>
  <c r="DV83" i="243"/>
  <c r="DV85" i="243" s="1"/>
  <c r="DV13" i="243" s="1"/>
  <c r="DW88" i="243"/>
  <c r="EC91" i="243"/>
  <c r="EC108" i="243"/>
  <c r="EJ112" i="243"/>
  <c r="EJ102" i="243"/>
  <c r="EJ104" i="243" s="1"/>
  <c r="EJ14" i="243" s="1"/>
  <c r="EJ22" i="243" s="1"/>
  <c r="EK107" i="243"/>
  <c r="DO21" i="242"/>
  <c r="EJ31" i="242"/>
  <c r="EJ53" i="242"/>
  <c r="EC123" i="243" l="1"/>
  <c r="EC23" i="242"/>
  <c r="EC111" i="243"/>
  <c r="EC92" i="243"/>
  <c r="ED88" i="243"/>
  <c r="EC83" i="243"/>
  <c r="EC85" i="243" s="1"/>
  <c r="EC13" i="243" s="1"/>
  <c r="DV112" i="243"/>
  <c r="DV102" i="243"/>
  <c r="DV104" i="243" s="1"/>
  <c r="DV14" i="243" s="1"/>
  <c r="DV22" i="243" s="1"/>
  <c r="DW107" i="243"/>
  <c r="DV53" i="242"/>
  <c r="DV31" i="242"/>
  <c r="EK122" i="243"/>
  <c r="EJ125" i="243"/>
  <c r="EJ121" i="243"/>
  <c r="DO42" i="242"/>
  <c r="DO7" i="243" s="1"/>
  <c r="DO45" i="242"/>
  <c r="DO49" i="242" s="1"/>
  <c r="EJ52" i="242"/>
  <c r="EJ51" i="242"/>
  <c r="DV51" i="242" l="1"/>
  <c r="DV52" i="242"/>
  <c r="DW122" i="243"/>
  <c r="DV125" i="243"/>
  <c r="DV121" i="243"/>
  <c r="EC102" i="243"/>
  <c r="EC104" i="243" s="1"/>
  <c r="EC14" i="243" s="1"/>
  <c r="EC22" i="243" s="1"/>
  <c r="EC112" i="243"/>
  <c r="ED107" i="243"/>
  <c r="EC31" i="242"/>
  <c r="EC53" i="242"/>
  <c r="DO56" i="242"/>
  <c r="DO61" i="242" s="1"/>
  <c r="DO58" i="242"/>
  <c r="DO60" i="242" s="1"/>
  <c r="DO241" i="243"/>
  <c r="DO243" i="243" s="1"/>
  <c r="DO80" i="242"/>
  <c r="DO82" i="242" s="1"/>
  <c r="DO86" i="242" s="1"/>
  <c r="DO11" i="243"/>
  <c r="DO24" i="243" s="1"/>
  <c r="DO59" i="243" s="1"/>
  <c r="ED122" i="243" l="1"/>
  <c r="EC51" i="242"/>
  <c r="EC52" i="242"/>
  <c r="EC125" i="243"/>
  <c r="EC121" i="243"/>
  <c r="DU77" i="2" l="1"/>
  <c r="DU72" i="2" l="1"/>
  <c r="DU69" i="2"/>
  <c r="DT72" i="2"/>
  <c r="DR72" i="2" s="1"/>
  <c r="DU105" i="2"/>
  <c r="DQ72" i="2"/>
  <c r="DS72" i="2"/>
  <c r="DU95" i="2"/>
  <c r="DU73" i="2"/>
  <c r="DO72" i="2"/>
  <c r="DO73" i="2" s="1"/>
  <c r="DU70" i="2" l="1"/>
  <c r="DO69" i="2"/>
  <c r="DO70" i="2" s="1"/>
  <c r="DT69" i="2"/>
  <c r="DR69" i="2" s="1"/>
  <c r="DS69" i="2"/>
  <c r="DQ69" i="2"/>
  <c r="DO66" i="2"/>
  <c r="DO48" i="2"/>
  <c r="DO62" i="2"/>
  <c r="DO63" i="2" s="1"/>
  <c r="DU48" i="2"/>
  <c r="DU66" i="2"/>
  <c r="Y22" i="139" s="1"/>
  <c r="DU62" i="2"/>
  <c r="DP72" i="2"/>
  <c r="DQ73" i="2" s="1"/>
  <c r="DS73" i="2"/>
  <c r="DT73" i="2" s="1"/>
  <c r="DS70" i="2" l="1"/>
  <c r="DP69" i="2"/>
  <c r="DQ70" i="2" s="1"/>
  <c r="DO47" i="2"/>
  <c r="DO65" i="2"/>
  <c r="DO61" i="2"/>
  <c r="DU259" i="243"/>
  <c r="DU260" i="243" s="1"/>
  <c r="DU34" i="242" s="1"/>
  <c r="Y5" i="139"/>
  <c r="DT70" i="2"/>
  <c r="DU47" i="2"/>
  <c r="DU61" i="2"/>
  <c r="DU65" i="2"/>
  <c r="DU63" i="2"/>
  <c r="AE22" i="139"/>
  <c r="DR73" i="2"/>
  <c r="DP73" i="2"/>
  <c r="DS34" i="242" l="1"/>
  <c r="DU38" i="242"/>
  <c r="DU42" i="242" s="1"/>
  <c r="DU7" i="243" s="1"/>
  <c r="DU53" i="243"/>
  <c r="DR70" i="2"/>
  <c r="Y6" i="139"/>
  <c r="DU261" i="243"/>
  <c r="Y21" i="139"/>
  <c r="DP70" i="2"/>
  <c r="EB77" i="2"/>
  <c r="DT34" i="242" l="1"/>
  <c r="DP34" i="242"/>
  <c r="DP38" i="242" s="1"/>
  <c r="DS38" i="242"/>
  <c r="EB72" i="2"/>
  <c r="DX72" i="2" s="1"/>
  <c r="EB69" i="2"/>
  <c r="DU56" i="243"/>
  <c r="DT53" i="243"/>
  <c r="Y31" i="139"/>
  <c r="AE21" i="139"/>
  <c r="Y48" i="139"/>
  <c r="Y52" i="139"/>
  <c r="DU11" i="243"/>
  <c r="DU24" i="243" s="1"/>
  <c r="Y71" i="139" s="1"/>
  <c r="DU241" i="243"/>
  <c r="DU243" i="243" s="1"/>
  <c r="DU80" i="242"/>
  <c r="DU82" i="242" s="1"/>
  <c r="DU81" i="2"/>
  <c r="DT7" i="243"/>
  <c r="Y66" i="139"/>
  <c r="DU96" i="2"/>
  <c r="DU264" i="243"/>
  <c r="DU265" i="243"/>
  <c r="Y23" i="139"/>
  <c r="Y36" i="139" s="1"/>
  <c r="DU263" i="243"/>
  <c r="EB73" i="2" l="1"/>
  <c r="EB95" i="2"/>
  <c r="EA72" i="2"/>
  <c r="DY72" i="2" s="1"/>
  <c r="Y73" i="139"/>
  <c r="Y75" i="139"/>
  <c r="DT11" i="243"/>
  <c r="DT24" i="243" s="1"/>
  <c r="DR7" i="243"/>
  <c r="DT80" i="242"/>
  <c r="DT82" i="242" s="1"/>
  <c r="DT86" i="242" s="1"/>
  <c r="DT241" i="243"/>
  <c r="DT243" i="243" s="1"/>
  <c r="DZ245" i="243"/>
  <c r="DV245" i="243"/>
  <c r="DV30" i="2" s="1"/>
  <c r="DV31" i="2" s="1"/>
  <c r="DV36" i="2" s="1"/>
  <c r="DV38" i="2" s="1"/>
  <c r="EB245" i="243"/>
  <c r="DR34" i="242"/>
  <c r="DR38" i="242" s="1"/>
  <c r="DT38" i="242"/>
  <c r="Y61" i="139"/>
  <c r="DU58" i="243"/>
  <c r="DU59" i="243" s="1"/>
  <c r="EA69" i="2"/>
  <c r="DY69" i="2" s="1"/>
  <c r="DZ69" i="2"/>
  <c r="DV69" i="2"/>
  <c r="DV70" i="2" s="1"/>
  <c r="DX69" i="2"/>
  <c r="EB70" i="2"/>
  <c r="Y70" i="139"/>
  <c r="Y7" i="139"/>
  <c r="Y9" i="139" s="1"/>
  <c r="DU97" i="2" s="1"/>
  <c r="DT56" i="243"/>
  <c r="DT58" i="243" s="1"/>
  <c r="DR53" i="243"/>
  <c r="DR56" i="243" s="1"/>
  <c r="DR58" i="243" s="1"/>
  <c r="DZ72" i="2"/>
  <c r="DZ73" i="2" s="1"/>
  <c r="EB105" i="2"/>
  <c r="Y53" i="139"/>
  <c r="AE23" i="139"/>
  <c r="Y37" i="139"/>
  <c r="DV72" i="2"/>
  <c r="DV73" i="2" s="1"/>
  <c r="DU86" i="242"/>
  <c r="DW72" i="2" l="1"/>
  <c r="DX73" i="2" s="1"/>
  <c r="DT59" i="243"/>
  <c r="DZ70" i="2"/>
  <c r="DW70" i="2" s="1"/>
  <c r="DW69" i="2"/>
  <c r="DX70" i="2" s="1"/>
  <c r="Y51" i="139"/>
  <c r="Y47" i="139"/>
  <c r="Y50" i="139"/>
  <c r="Y49" i="139"/>
  <c r="DR11" i="243"/>
  <c r="DR24" i="243" s="1"/>
  <c r="DR59" i="243" s="1"/>
  <c r="DR80" i="242"/>
  <c r="DR82" i="242" s="1"/>
  <c r="DR86" i="242" s="1"/>
  <c r="DR241" i="243"/>
  <c r="DR243" i="243" s="1"/>
  <c r="Y77" i="139"/>
  <c r="Y46" i="139"/>
  <c r="Z5" i="139"/>
  <c r="EB259" i="243"/>
  <c r="EB260" i="243" s="1"/>
  <c r="EB34" i="242" s="1"/>
  <c r="EA245" i="243"/>
  <c r="EB30" i="2"/>
  <c r="Y56" i="139"/>
  <c r="DZ30" i="2"/>
  <c r="DZ31" i="2" s="1"/>
  <c r="DZ36" i="2" s="1"/>
  <c r="DW245" i="243"/>
  <c r="DW30" i="2" s="1"/>
  <c r="DW31" i="2" s="1"/>
  <c r="DW36" i="2" s="1"/>
  <c r="Y76" i="139"/>
  <c r="DW73" i="2"/>
  <c r="EA73" i="2"/>
  <c r="EA70" i="2" l="1"/>
  <c r="DY70" i="2" s="1"/>
  <c r="EA30" i="2"/>
  <c r="EA31" i="2" s="1"/>
  <c r="EA36" i="2" s="1"/>
  <c r="Z6" i="139"/>
  <c r="Y57" i="139"/>
  <c r="Y58" i="139"/>
  <c r="DZ34" i="242"/>
  <c r="EB38" i="242"/>
  <c r="EB31" i="2"/>
  <c r="DY73" i="2"/>
  <c r="DZ38" i="242" l="1"/>
  <c r="DW34" i="242"/>
  <c r="DW38" i="242" s="1"/>
  <c r="EB36" i="2"/>
  <c r="E34" i="244"/>
  <c r="E33" i="244" s="1"/>
  <c r="EA34" i="242"/>
  <c r="EI77" i="2"/>
  <c r="EI69" i="2" s="1"/>
  <c r="EG69" i="2" l="1"/>
  <c r="EC69" i="2"/>
  <c r="EC70" i="2" s="1"/>
  <c r="EE69" i="2"/>
  <c r="EH69" i="2"/>
  <c r="EF69" i="2" s="1"/>
  <c r="EI70" i="2"/>
  <c r="EA38" i="242"/>
  <c r="DY34" i="242"/>
  <c r="DY38" i="242" s="1"/>
  <c r="EI72" i="2"/>
  <c r="EC72" i="2" s="1"/>
  <c r="EC73" i="2" s="1"/>
  <c r="D33" i="244"/>
  <c r="D34" i="244" s="1"/>
  <c r="D35" i="244" s="1"/>
  <c r="D37" i="244" s="1"/>
  <c r="D39" i="244" s="1"/>
  <c r="D41" i="244" s="1"/>
  <c r="D42" i="244" s="1"/>
  <c r="D44" i="244" s="1"/>
  <c r="F33" i="244"/>
  <c r="F34" i="244" s="1"/>
  <c r="F35" i="244" s="1"/>
  <c r="F37" i="244" s="1"/>
  <c r="F39" i="244" s="1"/>
  <c r="F41" i="244" s="1"/>
  <c r="F42" i="244" s="1"/>
  <c r="F44" i="244" s="1"/>
  <c r="Z19" i="139"/>
  <c r="AG19" i="139" s="1"/>
  <c r="EB38" i="2"/>
  <c r="ED69" i="2" l="1"/>
  <c r="EE70" i="2" s="1"/>
  <c r="EG70" i="2"/>
  <c r="ED70" i="2" s="1"/>
  <c r="EH72" i="2"/>
  <c r="EF72" i="2" s="1"/>
  <c r="EE72" i="2"/>
  <c r="EI95" i="2"/>
  <c r="EG72" i="2"/>
  <c r="EI105" i="2"/>
  <c r="EB40" i="2"/>
  <c r="DV40" i="2" s="1"/>
  <c r="AA5" i="139"/>
  <c r="EI259" i="243"/>
  <c r="EI73" i="2"/>
  <c r="DV42" i="2" l="1"/>
  <c r="DV46" i="2" s="1"/>
  <c r="DV41" i="2"/>
  <c r="DV56" i="2" s="1"/>
  <c r="DV196" i="243"/>
  <c r="EH70" i="2"/>
  <c r="EF70" i="2" s="1"/>
  <c r="EB42" i="2"/>
  <c r="EB46" i="2" s="1"/>
  <c r="EB102" i="2"/>
  <c r="Z38" i="139"/>
  <c r="Z40" i="139" s="1"/>
  <c r="EB196" i="243"/>
  <c r="ED72" i="2"/>
  <c r="EE73" i="2" s="1"/>
  <c r="EG73" i="2"/>
  <c r="AA6" i="139"/>
  <c r="EB194" i="243" l="1"/>
  <c r="ED73" i="2"/>
  <c r="EH73" i="2"/>
  <c r="EF73" i="2" s="1"/>
  <c r="EB47" i="2"/>
  <c r="EB57" i="2"/>
  <c r="EB51" i="2"/>
  <c r="EB59" i="2" s="1"/>
  <c r="EB3" i="242"/>
  <c r="EB53" i="243"/>
  <c r="EB48" i="2"/>
  <c r="DV194" i="243"/>
  <c r="DV195" i="243" s="1"/>
  <c r="DV47" i="2"/>
  <c r="DV3" i="242"/>
  <c r="DV51" i="2"/>
  <c r="DV59" i="2" s="1"/>
  <c r="DV57" i="2"/>
  <c r="DV53" i="243"/>
  <c r="DV56" i="243" s="1"/>
  <c r="DV48" i="2"/>
  <c r="EP77" i="2"/>
  <c r="EB195" i="243" l="1"/>
  <c r="EB8" i="242" s="1"/>
  <c r="DV42" i="243"/>
  <c r="DV47" i="243" s="1"/>
  <c r="DV49" i="243" s="1"/>
  <c r="DV58" i="243" s="1"/>
  <c r="DV8" i="242"/>
  <c r="DV21" i="242" s="1"/>
  <c r="EP72" i="2"/>
  <c r="EJ72" i="2" s="1"/>
  <c r="EJ73" i="2" s="1"/>
  <c r="EP69" i="2"/>
  <c r="DV61" i="2"/>
  <c r="DV62" i="2"/>
  <c r="DV63" i="2" s="1"/>
  <c r="DV65" i="2"/>
  <c r="DV66" i="2"/>
  <c r="Z20" i="139"/>
  <c r="AG20" i="139" s="1"/>
  <c r="EB61" i="2"/>
  <c r="E37" i="244"/>
  <c r="EB62" i="2"/>
  <c r="EA53" i="243"/>
  <c r="EB56" i="243"/>
  <c r="EB65" i="2"/>
  <c r="EB66" i="2"/>
  <c r="Z22" i="139" s="1"/>
  <c r="AG22" i="139" s="1"/>
  <c r="EL72" i="2" l="1"/>
  <c r="EP95" i="2"/>
  <c r="EP105" i="2"/>
  <c r="EN72" i="2"/>
  <c r="EP73" i="2"/>
  <c r="EO72" i="2"/>
  <c r="EM72" i="2" s="1"/>
  <c r="EB42" i="243"/>
  <c r="Z64" i="139" s="1"/>
  <c r="DY53" i="243"/>
  <c r="DY56" i="243" s="1"/>
  <c r="EA56" i="243"/>
  <c r="EN69" i="2"/>
  <c r="EL69" i="2"/>
  <c r="EO69" i="2"/>
  <c r="EM69" i="2" s="1"/>
  <c r="EJ69" i="2"/>
  <c r="EJ70" i="2" s="1"/>
  <c r="EP70" i="2"/>
  <c r="EB21" i="242"/>
  <c r="Z39" i="139"/>
  <c r="Z41" i="139" s="1"/>
  <c r="E35" i="244"/>
  <c r="E36" i="244" s="1"/>
  <c r="E39" i="244"/>
  <c r="DV45" i="242"/>
  <c r="DV49" i="242" s="1"/>
  <c r="DV42" i="242"/>
  <c r="DV7" i="243" s="1"/>
  <c r="Z61" i="139"/>
  <c r="EB63" i="2"/>
  <c r="EB261" i="243"/>
  <c r="Z21" i="139"/>
  <c r="EK72" i="2"/>
  <c r="EL73" i="2" s="1"/>
  <c r="EN73" i="2"/>
  <c r="EB47" i="243" l="1"/>
  <c r="EB49" i="243" s="1"/>
  <c r="EB58" i="243" s="1"/>
  <c r="EO73" i="2"/>
  <c r="EM73" i="2" s="1"/>
  <c r="EA42" i="243"/>
  <c r="DY42" i="243" s="1"/>
  <c r="DY47" i="243" s="1"/>
  <c r="DY49" i="243" s="1"/>
  <c r="DY58" i="243" s="1"/>
  <c r="DV56" i="242"/>
  <c r="DV61" i="242" s="1"/>
  <c r="DV58" i="242"/>
  <c r="DV60" i="242" s="1"/>
  <c r="EP259" i="243"/>
  <c r="AB5" i="139"/>
  <c r="AG21" i="139"/>
  <c r="Z48" i="139"/>
  <c r="Z31" i="139"/>
  <c r="Z23" i="139"/>
  <c r="EB263" i="243"/>
  <c r="EB265" i="243"/>
  <c r="EB264" i="243"/>
  <c r="EI260" i="243"/>
  <c r="EI34" i="242" s="1"/>
  <c r="EB98" i="2"/>
  <c r="EN70" i="2"/>
  <c r="EK70" i="2" s="1"/>
  <c r="EK69" i="2"/>
  <c r="EL70" i="2" s="1"/>
  <c r="Z77" i="139"/>
  <c r="Z46" i="139"/>
  <c r="EB42" i="242"/>
  <c r="EB7" i="243" s="1"/>
  <c r="EB45" i="242"/>
  <c r="EB49" i="242" s="1"/>
  <c r="DV80" i="242"/>
  <c r="DV82" i="242" s="1"/>
  <c r="DV86" i="242" s="1"/>
  <c r="DV241" i="243"/>
  <c r="DV243" i="243" s="1"/>
  <c r="DV11" i="243"/>
  <c r="DV24" i="243" s="1"/>
  <c r="DV59" i="243" s="1"/>
  <c r="EK73" i="2"/>
  <c r="EA47" i="243" l="1"/>
  <c r="EA49" i="243" s="1"/>
  <c r="EA58" i="243" s="1"/>
  <c r="EB58" i="242"/>
  <c r="EB56" i="242"/>
  <c r="AB6" i="139"/>
  <c r="Z36" i="139"/>
  <c r="AG23" i="139"/>
  <c r="Z53" i="139"/>
  <c r="Z37" i="139"/>
  <c r="EB11" i="243"/>
  <c r="EB24" i="243" s="1"/>
  <c r="EB81" i="2"/>
  <c r="EB241" i="243"/>
  <c r="EB243" i="243" s="1"/>
  <c r="EB80" i="242"/>
  <c r="EB82" i="242" s="1"/>
  <c r="EA7" i="243"/>
  <c r="Z66" i="139"/>
  <c r="EB96" i="2"/>
  <c r="EO70" i="2"/>
  <c r="EM70" i="2" s="1"/>
  <c r="EG34" i="242"/>
  <c r="EI38" i="242"/>
  <c r="EB86" i="242" l="1"/>
  <c r="EI245" i="243"/>
  <c r="EG245" i="243"/>
  <c r="EC245" i="243"/>
  <c r="EC30" i="2" s="1"/>
  <c r="EC31" i="2" s="1"/>
  <c r="EC36" i="2" s="1"/>
  <c r="EC38" i="2" s="1"/>
  <c r="EB60" i="242"/>
  <c r="Z24" i="139"/>
  <c r="AG24" i="139" s="1"/>
  <c r="EG38" i="242"/>
  <c r="ED34" i="242"/>
  <c r="ED38" i="242" s="1"/>
  <c r="Z71" i="139"/>
  <c r="EB59" i="243"/>
  <c r="EB61" i="242"/>
  <c r="EH34" i="242"/>
  <c r="Z70" i="139"/>
  <c r="Z7" i="139"/>
  <c r="Z9" i="139" s="1"/>
  <c r="EB97" i="2" s="1"/>
  <c r="EA11" i="243"/>
  <c r="EA24" i="243" s="1"/>
  <c r="EA59" i="243" s="1"/>
  <c r="DY7" i="243"/>
  <c r="EA80" i="242"/>
  <c r="EA82" i="242" s="1"/>
  <c r="EA86" i="242" s="1"/>
  <c r="EA241" i="243"/>
  <c r="EA243" i="243" s="1"/>
  <c r="E42" i="244" l="1"/>
  <c r="E40" i="244"/>
  <c r="EI30" i="2"/>
  <c r="EH245" i="243"/>
  <c r="EF34" i="242"/>
  <c r="EF38" i="242" s="1"/>
  <c r="EH38" i="242"/>
  <c r="ED245" i="243"/>
  <c r="ED30" i="2" s="1"/>
  <c r="ED31" i="2" s="1"/>
  <c r="ED36" i="2" s="1"/>
  <c r="EG30" i="2"/>
  <c r="EG31" i="2" s="1"/>
  <c r="EG36" i="2" s="1"/>
  <c r="DY11" i="243"/>
  <c r="DY24" i="243" s="1"/>
  <c r="DY59" i="243" s="1"/>
  <c r="DY80" i="242"/>
  <c r="DY82" i="242" s="1"/>
  <c r="DY86" i="242" s="1"/>
  <c r="DY241" i="243"/>
  <c r="DY243" i="243" s="1"/>
  <c r="Z73" i="139"/>
  <c r="Z75" i="139"/>
  <c r="Z47" i="139"/>
  <c r="Z49" i="139"/>
  <c r="Z51" i="139"/>
  <c r="Z50" i="139"/>
  <c r="Z25" i="139"/>
  <c r="EB62" i="242"/>
  <c r="Z56" i="139"/>
  <c r="AG25" i="139" l="1"/>
  <c r="Z52" i="139"/>
  <c r="Z42" i="139"/>
  <c r="Z43" i="139"/>
  <c r="EH30" i="2"/>
  <c r="EH31" i="2" s="1"/>
  <c r="EH36" i="2" s="1"/>
  <c r="EI31" i="2"/>
  <c r="Z57" i="139"/>
  <c r="Z58" i="139"/>
  <c r="Z76" i="139"/>
  <c r="EI36" i="2" l="1"/>
  <c r="AA19" i="139" l="1"/>
  <c r="EI38" i="2"/>
  <c r="EI40" i="2" l="1"/>
  <c r="EI42" i="2" s="1"/>
  <c r="EI46" i="2" s="1"/>
  <c r="EC40" i="2" l="1"/>
  <c r="EC41" i="2" s="1"/>
  <c r="EC56" i="2" s="1"/>
  <c r="EI47" i="2"/>
  <c r="EI57" i="2"/>
  <c r="EI51" i="2"/>
  <c r="EI59" i="2" s="1"/>
  <c r="EI3" i="242"/>
  <c r="EI48" i="2"/>
  <c r="EI53" i="243"/>
  <c r="AA38" i="139"/>
  <c r="AA40" i="139" s="1"/>
  <c r="EI196" i="243"/>
  <c r="EI194" i="243" s="1"/>
  <c r="EI102" i="2"/>
  <c r="EC42" i="2" l="1"/>
  <c r="EC46" i="2" s="1"/>
  <c r="EC53" i="243" s="1"/>
  <c r="EC56" i="243" s="1"/>
  <c r="EC196" i="243"/>
  <c r="EC194" i="243" s="1"/>
  <c r="EC195" i="243" s="1"/>
  <c r="EI56" i="243"/>
  <c r="EH53" i="243"/>
  <c r="EI195" i="243"/>
  <c r="EI65" i="2"/>
  <c r="EI66" i="2"/>
  <c r="AA22" i="139" s="1"/>
  <c r="EI61" i="2"/>
  <c r="AA20" i="139"/>
  <c r="EI62" i="2"/>
  <c r="EC57" i="2" l="1"/>
  <c r="EC61" i="2" s="1"/>
  <c r="EC48" i="2"/>
  <c r="EC51" i="2"/>
  <c r="EC59" i="2" s="1"/>
  <c r="EC65" i="2" s="1"/>
  <c r="EC47" i="2"/>
  <c r="EC3" i="242"/>
  <c r="EH56" i="243"/>
  <c r="EF53" i="243"/>
  <c r="EF56" i="243" s="1"/>
  <c r="EI63" i="2"/>
  <c r="AA61" i="139"/>
  <c r="EC8" i="242"/>
  <c r="EC42" i="243"/>
  <c r="EC47" i="243" s="1"/>
  <c r="EC49" i="243" s="1"/>
  <c r="EC58" i="243" s="1"/>
  <c r="EI261" i="243"/>
  <c r="AA21" i="139"/>
  <c r="EI8" i="242"/>
  <c r="EI42" i="243"/>
  <c r="EC62" i="2" l="1"/>
  <c r="EC63" i="2" s="1"/>
  <c r="EC21" i="242"/>
  <c r="EC66" i="2"/>
  <c r="AA31" i="139"/>
  <c r="AA48" i="139"/>
  <c r="AA77" i="139"/>
  <c r="AA46" i="139"/>
  <c r="EI47" i="243"/>
  <c r="EI49" i="243" s="1"/>
  <c r="EI58" i="243" s="1"/>
  <c r="EH42" i="243"/>
  <c r="AA64" i="139"/>
  <c r="EI21" i="242"/>
  <c r="AA39" i="139"/>
  <c r="AA41" i="139" s="1"/>
  <c r="AA23" i="139"/>
  <c r="AA36" i="139" s="1"/>
  <c r="EI265" i="243"/>
  <c r="EI264" i="243"/>
  <c r="EI263" i="243"/>
  <c r="EP260" i="243"/>
  <c r="EP34" i="242" s="1"/>
  <c r="EC42" i="242"/>
  <c r="EC7" i="243" s="1"/>
  <c r="EC45" i="242"/>
  <c r="EC49" i="242" s="1"/>
  <c r="EI45" i="242" l="1"/>
  <c r="EI49" i="242" s="1"/>
  <c r="EI42" i="242"/>
  <c r="EI7" i="243" s="1"/>
  <c r="EF42" i="243"/>
  <c r="EF47" i="243" s="1"/>
  <c r="EF49" i="243" s="1"/>
  <c r="EF58" i="243" s="1"/>
  <c r="EH47" i="243"/>
  <c r="EH49" i="243" s="1"/>
  <c r="EH58" i="243" s="1"/>
  <c r="EC80" i="242"/>
  <c r="EC82" i="242" s="1"/>
  <c r="EC86" i="242" s="1"/>
  <c r="EC241" i="243"/>
  <c r="EC243" i="243" s="1"/>
  <c r="EC11" i="243"/>
  <c r="EC24" i="243" s="1"/>
  <c r="EC59" i="243" s="1"/>
  <c r="EN34" i="242"/>
  <c r="EP38" i="242"/>
  <c r="EI98" i="2"/>
  <c r="EC56" i="242"/>
  <c r="EC61" i="242" s="1"/>
  <c r="EC58" i="242"/>
  <c r="EC60" i="242" s="1"/>
  <c r="AA53" i="139"/>
  <c r="AA37" i="139"/>
  <c r="EI11" i="243" l="1"/>
  <c r="EI24" i="243" s="1"/>
  <c r="EI241" i="243"/>
  <c r="EI243" i="243" s="1"/>
  <c r="EH7" i="243"/>
  <c r="AA66" i="139"/>
  <c r="EI81" i="2"/>
  <c r="EI80" i="242"/>
  <c r="EI82" i="242" s="1"/>
  <c r="EI96" i="2"/>
  <c r="EI58" i="242"/>
  <c r="EI56" i="242"/>
  <c r="EO34" i="242"/>
  <c r="EN38" i="242"/>
  <c r="EK34" i="242"/>
  <c r="EK38" i="242" s="1"/>
  <c r="EO38" i="242" l="1"/>
  <c r="EM34" i="242"/>
  <c r="EM38" i="242" s="1"/>
  <c r="AA7" i="139"/>
  <c r="AA9" i="139" s="1"/>
  <c r="AA70" i="139"/>
  <c r="EH11" i="243"/>
  <c r="EH24" i="243" s="1"/>
  <c r="EH59" i="243" s="1"/>
  <c r="EH80" i="242"/>
  <c r="EH82" i="242" s="1"/>
  <c r="EH86" i="242" s="1"/>
  <c r="EF7" i="243"/>
  <c r="EH241" i="243"/>
  <c r="EH243" i="243" s="1"/>
  <c r="EI61" i="242"/>
  <c r="EI60" i="242"/>
  <c r="AA24" i="139"/>
  <c r="AA71" i="139"/>
  <c r="EI59" i="243"/>
  <c r="EI86" i="242"/>
  <c r="EN245" i="243"/>
  <c r="EP245" i="243"/>
  <c r="EJ245" i="243"/>
  <c r="EJ30" i="2" s="1"/>
  <c r="EJ31" i="2" s="1"/>
  <c r="EJ36" i="2" s="1"/>
  <c r="EJ38" i="2" s="1"/>
  <c r="EQ60" i="242" l="1"/>
  <c r="EQ34" i="242" s="1"/>
  <c r="AA73" i="139"/>
  <c r="AA76" i="139" s="1"/>
  <c r="AA75" i="139"/>
  <c r="EI62" i="242"/>
  <c r="AA25" i="139"/>
  <c r="AA56" i="139"/>
  <c r="AA49" i="139"/>
  <c r="AA51" i="139"/>
  <c r="AA50" i="139"/>
  <c r="AA47" i="139"/>
  <c r="EP30" i="2"/>
  <c r="EO245" i="243"/>
  <c r="EI97" i="2"/>
  <c r="EN30" i="2"/>
  <c r="EN31" i="2" s="1"/>
  <c r="EN36" i="2" s="1"/>
  <c r="EK245" i="243"/>
  <c r="EK30" i="2" s="1"/>
  <c r="EK31" i="2" s="1"/>
  <c r="EK36" i="2" s="1"/>
  <c r="EF11" i="243"/>
  <c r="EF24" i="243" s="1"/>
  <c r="EF59" i="243" s="1"/>
  <c r="EF80" i="242"/>
  <c r="EF82" i="242" s="1"/>
  <c r="EF86" i="242" s="1"/>
  <c r="EF241" i="243"/>
  <c r="EF243" i="243" s="1"/>
  <c r="EQ62" i="242" l="1"/>
  <c r="EP31" i="2"/>
  <c r="EO30" i="2"/>
  <c r="EO31" i="2" s="1"/>
  <c r="EO36" i="2" s="1"/>
  <c r="AA57" i="139"/>
  <c r="AA58" i="139"/>
  <c r="AA43" i="139"/>
  <c r="AA52" i="139"/>
  <c r="AA42" i="139"/>
  <c r="EP36" i="2" l="1"/>
  <c r="EP38" i="2" l="1"/>
  <c r="AB19" i="139"/>
  <c r="EP40" i="2" l="1"/>
  <c r="EP102" i="2" l="1"/>
  <c r="EP196" i="243"/>
  <c r="EP194" i="243" s="1"/>
  <c r="AB38" i="139"/>
  <c r="AB40" i="139" s="1"/>
  <c r="EJ40" i="2"/>
  <c r="EP42" i="2"/>
  <c r="EP46" i="2" s="1"/>
  <c r="EJ41" i="2" l="1"/>
  <c r="EJ56" i="2" s="1"/>
  <c r="EJ196" i="243"/>
  <c r="EJ42" i="2"/>
  <c r="EJ46" i="2" s="1"/>
  <c r="EP3" i="242"/>
  <c r="EP57" i="2"/>
  <c r="EP51" i="2"/>
  <c r="EP59" i="2" s="1"/>
  <c r="EP47" i="2"/>
  <c r="EP48" i="2"/>
  <c r="EP53" i="243"/>
  <c r="EP195" i="243"/>
  <c r="EJ51" i="2" l="1"/>
  <c r="EJ59" i="2" s="1"/>
  <c r="EJ47" i="2"/>
  <c r="EJ3" i="242"/>
  <c r="EJ57" i="2"/>
  <c r="EJ48" i="2"/>
  <c r="EJ53" i="243"/>
  <c r="EJ56" i="243" s="1"/>
  <c r="EJ194" i="243"/>
  <c r="EP8" i="242"/>
  <c r="EP42" i="243"/>
  <c r="EP65" i="2"/>
  <c r="EP66" i="2"/>
  <c r="EQ66" i="2" s="1"/>
  <c r="EP61" i="2"/>
  <c r="AB20" i="139"/>
  <c r="EP62" i="2"/>
  <c r="EP56" i="243"/>
  <c r="EO53" i="243"/>
  <c r="EJ195" i="243" l="1"/>
  <c r="EJ8" i="242" s="1"/>
  <c r="EJ21" i="242" s="1"/>
  <c r="EP63" i="2"/>
  <c r="EJ61" i="2"/>
  <c r="EJ62" i="2"/>
  <c r="EJ63" i="2" s="1"/>
  <c r="EP21" i="242"/>
  <c r="AB39" i="139"/>
  <c r="AB41" i="139" s="1"/>
  <c r="EJ65" i="2"/>
  <c r="EJ66" i="2"/>
  <c r="AB21" i="139"/>
  <c r="EP261" i="243"/>
  <c r="EP47" i="243"/>
  <c r="EP49" i="243" s="1"/>
  <c r="EP58" i="243" s="1"/>
  <c r="EO42" i="243"/>
  <c r="AB64" i="139"/>
  <c r="EM53" i="243"/>
  <c r="EM56" i="243" s="1"/>
  <c r="EO56" i="243"/>
  <c r="AB61" i="139"/>
  <c r="AB22" i="139"/>
  <c r="EJ42" i="243" l="1"/>
  <c r="EJ47" i="243" s="1"/>
  <c r="EJ49" i="243" s="1"/>
  <c r="EJ58" i="243" s="1"/>
  <c r="EJ42" i="242"/>
  <c r="EJ7" i="243" s="1"/>
  <c r="EJ45" i="242"/>
  <c r="EJ49" i="242" s="1"/>
  <c r="EP98" i="2"/>
  <c r="AB48" i="139"/>
  <c r="AB31" i="139"/>
  <c r="EP45" i="242"/>
  <c r="EP49" i="242" s="1"/>
  <c r="EP42" i="242"/>
  <c r="EP7" i="243" s="1"/>
  <c r="EM42" i="243"/>
  <c r="EM47" i="243" s="1"/>
  <c r="EM49" i="243" s="1"/>
  <c r="EM58" i="243" s="1"/>
  <c r="EO47" i="243"/>
  <c r="EO49" i="243" s="1"/>
  <c r="EO58" i="243" s="1"/>
  <c r="AB46" i="139"/>
  <c r="AB77" i="139"/>
  <c r="EP264" i="243"/>
  <c r="EP263" i="243"/>
  <c r="AB23" i="139"/>
  <c r="AB53" i="139" s="1"/>
  <c r="EP265" i="243"/>
  <c r="AB37" i="139" l="1"/>
  <c r="AB36" i="139"/>
  <c r="EJ58" i="242"/>
  <c r="EJ60" i="242" s="1"/>
  <c r="EJ56" i="242"/>
  <c r="EJ61" i="242" s="1"/>
  <c r="EP11" i="243"/>
  <c r="EP24" i="243" s="1"/>
  <c r="EO7" i="243"/>
  <c r="AB66" i="139"/>
  <c r="EP80" i="242"/>
  <c r="EP82" i="242" s="1"/>
  <c r="EP241" i="243"/>
  <c r="EP243" i="243" s="1"/>
  <c r="EP81" i="2"/>
  <c r="EP96" i="2"/>
  <c r="EP58" i="242"/>
  <c r="EP56" i="242"/>
  <c r="EJ241" i="243"/>
  <c r="EJ243" i="243" s="1"/>
  <c r="EJ80" i="242"/>
  <c r="EJ82" i="242" s="1"/>
  <c r="EJ86" i="242" s="1"/>
  <c r="EJ11" i="243"/>
  <c r="EJ24" i="243" s="1"/>
  <c r="EJ59" i="243" s="1"/>
  <c r="EP86" i="242" l="1"/>
  <c r="EO11" i="243"/>
  <c r="EO24" i="243" s="1"/>
  <c r="EO59" i="243" s="1"/>
  <c r="EM7" i="243"/>
  <c r="EO241" i="243"/>
  <c r="EO243" i="243" s="1"/>
  <c r="EO80" i="242"/>
  <c r="EO82" i="242" s="1"/>
  <c r="EO86" i="242" s="1"/>
  <c r="AB71" i="139"/>
  <c r="EP59" i="243"/>
  <c r="AB24" i="139"/>
  <c r="EP60" i="242"/>
  <c r="AB70" i="139"/>
  <c r="AB7" i="139"/>
  <c r="AB9" i="139" s="1"/>
  <c r="EP97" i="2" s="1"/>
  <c r="EP61" i="242"/>
  <c r="EP62" i="242" l="1"/>
  <c r="AB25" i="139"/>
  <c r="AB56" i="139"/>
  <c r="EM11" i="243"/>
  <c r="EM24" i="243" s="1"/>
  <c r="EM59" i="243" s="1"/>
  <c r="EM241" i="243"/>
  <c r="EM243" i="243" s="1"/>
  <c r="EM80" i="242"/>
  <c r="EM82" i="242" s="1"/>
  <c r="EM86" i="242" s="1"/>
  <c r="AB49" i="139"/>
  <c r="AB47" i="139"/>
  <c r="AB51" i="139"/>
  <c r="AB50" i="139"/>
  <c r="AB73" i="139"/>
  <c r="AB76" i="139" s="1"/>
  <c r="AB75" i="139"/>
  <c r="ER62" i="242" l="1"/>
  <c r="AB42" i="139"/>
  <c r="AB52" i="139"/>
  <c r="AB43" i="139"/>
  <c r="AB58" i="139"/>
  <c r="AB57" i="139"/>
  <c r="E44" i="244" l="1"/>
  <c r="DQ134" i="4" l="1"/>
  <c r="DQ138" i="4" s="1"/>
  <c r="DR134" i="4" s="1"/>
  <c r="DT131" i="4"/>
  <c r="DT135" i="4" s="1"/>
  <c r="DM89" i="243" s="1"/>
  <c r="DT134" i="4"/>
  <c r="DE7" i="178"/>
  <c r="DE56" i="178" s="1"/>
  <c r="DE14" i="178"/>
  <c r="DL89" i="243"/>
  <c r="DE11" i="178"/>
  <c r="DE4" i="178"/>
  <c r="DE10" i="178" l="1"/>
  <c r="DF10" i="178" s="1"/>
  <c r="DD10" i="178" s="1"/>
  <c r="DL90" i="243"/>
  <c r="DI90" i="243" s="1"/>
  <c r="DI89" i="243"/>
  <c r="DI91" i="243" s="1"/>
  <c r="DT138" i="4"/>
  <c r="DE5" i="178"/>
  <c r="DE17" i="178"/>
  <c r="DE24" i="178"/>
  <c r="DE57" i="178" s="1"/>
  <c r="DM14" i="2"/>
  <c r="DK14" i="2" s="1"/>
  <c r="DE12" i="178"/>
  <c r="DM90" i="243"/>
  <c r="DE15" i="178"/>
  <c r="DF14" i="178"/>
  <c r="DE8" i="178"/>
  <c r="DR131" i="4"/>
  <c r="DM15" i="2"/>
  <c r="DK15" i="2" s="1"/>
  <c r="DI92" i="243" l="1"/>
  <c r="DI83" i="243"/>
  <c r="DI85" i="243" s="1"/>
  <c r="DE40" i="178"/>
  <c r="DE42" i="178"/>
  <c r="DB17" i="178"/>
  <c r="DM62" i="11"/>
  <c r="DE25" i="178"/>
  <c r="DM9" i="2"/>
  <c r="DK9" i="2" s="1"/>
  <c r="DJ90" i="243"/>
  <c r="DM91" i="243"/>
  <c r="DS64" i="4"/>
  <c r="DF17" i="178"/>
  <c r="DE20" i="178"/>
  <c r="DD14" i="178"/>
  <c r="DT116" i="4"/>
  <c r="DJ88" i="243"/>
  <c r="DR135" i="4"/>
  <c r="DJ62" i="11" l="1"/>
  <c r="DM63" i="11"/>
  <c r="DS63" i="4"/>
  <c r="DS87" i="4" s="1"/>
  <c r="DS102" i="4" s="1"/>
  <c r="DN62" i="11"/>
  <c r="DE41" i="178"/>
  <c r="DB40" i="178"/>
  <c r="DP64" i="4"/>
  <c r="DP88" i="4" s="1"/>
  <c r="DP103" i="4" s="1"/>
  <c r="DB18" i="178"/>
  <c r="DE43" i="178"/>
  <c r="DB42" i="178"/>
  <c r="DB43" i="178" s="1"/>
  <c r="DM70" i="11"/>
  <c r="DB20" i="178"/>
  <c r="DK89" i="243"/>
  <c r="DR138" i="4"/>
  <c r="DT122" i="4"/>
  <c r="DT124" i="4" s="1"/>
  <c r="DS142" i="4"/>
  <c r="DF20" i="178"/>
  <c r="DM92" i="243"/>
  <c r="DM83" i="243"/>
  <c r="DM85" i="243" s="1"/>
  <c r="DS88" i="4"/>
  <c r="DS70" i="4"/>
  <c r="DS72" i="4" s="1"/>
  <c r="DJ91" i="243"/>
  <c r="DR116" i="4"/>
  <c r="DD17" i="178"/>
  <c r="DT64" i="4"/>
  <c r="DK90" i="243"/>
  <c r="DB45" i="178" l="1"/>
  <c r="DB46" i="178" s="1"/>
  <c r="DB41" i="178"/>
  <c r="DP142" i="4"/>
  <c r="DB21" i="178"/>
  <c r="DM71" i="11"/>
  <c r="DJ70" i="11"/>
  <c r="DS141" i="4"/>
  <c r="DS149" i="4" s="1"/>
  <c r="DN70" i="11"/>
  <c r="DT63" i="4"/>
  <c r="DT87" i="4" s="1"/>
  <c r="DT102" i="4" s="1"/>
  <c r="DL62" i="11"/>
  <c r="DR63" i="4" s="1"/>
  <c r="DR87" i="4" s="1"/>
  <c r="DR102" i="4" s="1"/>
  <c r="DP63" i="4"/>
  <c r="DJ63" i="11"/>
  <c r="DT132" i="4"/>
  <c r="DS103" i="4"/>
  <c r="DS109" i="4" s="1"/>
  <c r="DS111" i="4" s="1"/>
  <c r="DS112" i="4" s="1"/>
  <c r="DS94" i="4"/>
  <c r="DS96" i="4" s="1"/>
  <c r="DS98" i="4" s="1"/>
  <c r="DL20" i="2" s="1"/>
  <c r="DL18" i="2" s="1"/>
  <c r="DL13" i="2" s="1"/>
  <c r="DL156" i="243" s="1"/>
  <c r="DT88" i="4"/>
  <c r="DT94" i="4" s="1"/>
  <c r="DT96" i="4" s="1"/>
  <c r="DT98" i="4" s="1"/>
  <c r="DT70" i="4"/>
  <c r="DT72" i="4" s="1"/>
  <c r="DT142" i="4"/>
  <c r="DD20" i="178"/>
  <c r="DF21" i="178"/>
  <c r="DR122" i="4"/>
  <c r="DR124" i="4" s="1"/>
  <c r="DR64" i="4"/>
  <c r="DK88" i="243"/>
  <c r="DK91" i="243" s="1"/>
  <c r="DJ83" i="243"/>
  <c r="DJ85" i="243" s="1"/>
  <c r="DJ13" i="243" s="1"/>
  <c r="DJ92" i="243"/>
  <c r="DS150" i="4" l="1"/>
  <c r="DL108" i="243"/>
  <c r="DI108" i="243" s="1"/>
  <c r="DL70" i="11"/>
  <c r="DT141" i="4"/>
  <c r="DT149" i="4" s="1"/>
  <c r="DM108" i="243" s="1"/>
  <c r="DN71" i="11"/>
  <c r="DJ71" i="11"/>
  <c r="DP141" i="4"/>
  <c r="DP149" i="4" s="1"/>
  <c r="DP150" i="4" s="1"/>
  <c r="DP87" i="4"/>
  <c r="DP70" i="4"/>
  <c r="DP72" i="4" s="1"/>
  <c r="DK92" i="243"/>
  <c r="DK83" i="243"/>
  <c r="DK85" i="243" s="1"/>
  <c r="DM116" i="243"/>
  <c r="DM20" i="2"/>
  <c r="DM5" i="242" s="1"/>
  <c r="DD21" i="178"/>
  <c r="DR142" i="4"/>
  <c r="DS99" i="4"/>
  <c r="DL116" i="243"/>
  <c r="DI116" i="243" s="1"/>
  <c r="DR70" i="4"/>
  <c r="DR72" i="4" s="1"/>
  <c r="DR88" i="4"/>
  <c r="DR94" i="4" s="1"/>
  <c r="DR96" i="4" s="1"/>
  <c r="DR98" i="4" s="1"/>
  <c r="DR132" i="4"/>
  <c r="DI123" i="243" l="1"/>
  <c r="DI119" i="243"/>
  <c r="DI103" i="243" s="1"/>
  <c r="DR141" i="4"/>
  <c r="DL71" i="11"/>
  <c r="DP94" i="4"/>
  <c r="DP96" i="4" s="1"/>
  <c r="DP98" i="4" s="1"/>
  <c r="DP102" i="4"/>
  <c r="DP109" i="4" s="1"/>
  <c r="DP111" i="4" s="1"/>
  <c r="DP112" i="4" s="1"/>
  <c r="DR149" i="4"/>
  <c r="DK108" i="243" s="1"/>
  <c r="DK20" i="2"/>
  <c r="DK5" i="242" s="1"/>
  <c r="DK116" i="243"/>
  <c r="DL119" i="243"/>
  <c r="DL123" i="243"/>
  <c r="DM123" i="243"/>
  <c r="DI20" i="2" l="1"/>
  <c r="DI18" i="2" s="1"/>
  <c r="DI13" i="2" s="1"/>
  <c r="DI156" i="243" s="1"/>
  <c r="DP99" i="4"/>
  <c r="DK123" i="243"/>
  <c r="DM115" i="243"/>
  <c r="DM119" i="243" s="1"/>
  <c r="DM103" i="243" s="1"/>
  <c r="DL103" i="243"/>
  <c r="DL102" i="243" s="1"/>
  <c r="DL111" i="243" s="1"/>
  <c r="DL112" i="243" l="1"/>
  <c r="DL110" i="243"/>
  <c r="DM107" i="243"/>
  <c r="DJ115" i="243"/>
  <c r="DJ119" i="243" s="1"/>
  <c r="DI110" i="243" l="1"/>
  <c r="DI111" i="243" s="1"/>
  <c r="DM110" i="243"/>
  <c r="DJ110" i="243" s="1"/>
  <c r="DI112" i="243"/>
  <c r="DI102" i="243"/>
  <c r="DI104" i="243" s="1"/>
  <c r="DJ107" i="243"/>
  <c r="DM122" i="243"/>
  <c r="DM111" i="243"/>
  <c r="DK115" i="243"/>
  <c r="DK119" i="243" s="1"/>
  <c r="DK103" i="243" s="1"/>
  <c r="DJ103" i="243"/>
  <c r="DL125" i="243"/>
  <c r="DL121" i="243"/>
  <c r="DK110" i="243" l="1"/>
  <c r="DJ53" i="243"/>
  <c r="DJ56" i="243" s="1"/>
  <c r="DJ58" i="243" s="1"/>
  <c r="DJ111" i="243"/>
  <c r="DJ122" i="243"/>
  <c r="DI125" i="243"/>
  <c r="DI121" i="243"/>
  <c r="DM112" i="243"/>
  <c r="DM102" i="243"/>
  <c r="DM104" i="243" s="1"/>
  <c r="DJ102" i="243" l="1"/>
  <c r="DJ104" i="243" s="1"/>
  <c r="DJ14" i="243" s="1"/>
  <c r="DJ22" i="243" s="1"/>
  <c r="DJ24" i="243" s="1"/>
  <c r="DJ59" i="243" s="1"/>
  <c r="DK107" i="243"/>
  <c r="DJ112" i="243"/>
  <c r="DM125" i="243"/>
  <c r="DM121" i="243"/>
  <c r="DJ121" i="243" l="1"/>
  <c r="DJ125" i="243"/>
  <c r="DK111" i="243"/>
  <c r="DK122" i="243"/>
  <c r="DE27" i="178"/>
  <c r="DF27" i="178" l="1"/>
  <c r="DB27" i="178"/>
  <c r="DK112" i="243"/>
  <c r="DK102" i="243"/>
  <c r="DK104" i="243" s="1"/>
  <c r="DE34" i="178"/>
  <c r="DL34" i="178" s="1"/>
  <c r="DM34" i="178" s="1"/>
  <c r="DK34" i="178" s="1"/>
  <c r="DF28" i="178"/>
  <c r="DD27" i="178"/>
  <c r="DF31" i="178"/>
  <c r="DF32" i="178" s="1"/>
  <c r="DE28" i="178"/>
  <c r="DE31" i="178"/>
  <c r="DE53" i="178" l="1"/>
  <c r="DF34" i="178"/>
  <c r="DF35" i="178" s="1"/>
  <c r="DE35" i="178"/>
  <c r="DI34" i="178"/>
  <c r="DI35" i="178" s="1"/>
  <c r="DK125" i="243"/>
  <c r="DK121" i="243"/>
  <c r="DE38" i="178"/>
  <c r="DB28" i="178"/>
  <c r="DB31" i="178"/>
  <c r="DB32" i="178" s="1"/>
  <c r="DB34" i="178"/>
  <c r="DB37" i="178"/>
  <c r="DL53" i="178"/>
  <c r="DI53" i="178" s="1"/>
  <c r="DS34" i="178"/>
  <c r="DS53" i="178" s="1"/>
  <c r="DP34" i="178"/>
  <c r="DF24" i="178"/>
  <c r="DD34" i="178"/>
  <c r="DD31" i="178"/>
  <c r="DD32" i="178" s="1"/>
  <c r="DD28" i="178"/>
  <c r="DE32" i="178"/>
  <c r="DL31" i="178"/>
  <c r="DM35" i="178"/>
  <c r="DB53" i="178" l="1"/>
  <c r="DE50" i="178"/>
  <c r="DM53" i="178"/>
  <c r="DF53" i="178"/>
  <c r="DF54" i="178" s="1"/>
  <c r="DT34" i="178"/>
  <c r="DT35" i="178" s="1"/>
  <c r="DZ34" i="178"/>
  <c r="EG34" i="178" s="1"/>
  <c r="DB38" i="178"/>
  <c r="DB35" i="178"/>
  <c r="DB54" i="178"/>
  <c r="DD35" i="178"/>
  <c r="DD24" i="178"/>
  <c r="DL27" i="178"/>
  <c r="DS31" i="178"/>
  <c r="DM54" i="178"/>
  <c r="DK53" i="178"/>
  <c r="DF4" i="178"/>
  <c r="DF25" i="178"/>
  <c r="DF37" i="178"/>
  <c r="DI54" i="178"/>
  <c r="DK35" i="178"/>
  <c r="DP35" i="178"/>
  <c r="DF38" i="178"/>
  <c r="DP53" i="178"/>
  <c r="DT53" i="178"/>
  <c r="EA34" i="178" l="1"/>
  <c r="DW34" i="178"/>
  <c r="DD53" i="178"/>
  <c r="DE51" i="178"/>
  <c r="DB50" i="178"/>
  <c r="DB51" i="178" s="1"/>
  <c r="DF50" i="178"/>
  <c r="DB56" i="178"/>
  <c r="DB57" i="178" s="1"/>
  <c r="DR34" i="178"/>
  <c r="DR35" i="178" s="1"/>
  <c r="DZ53" i="178"/>
  <c r="EA53" i="178" s="1"/>
  <c r="DF15" i="178"/>
  <c r="DT5" i="4"/>
  <c r="DF18" i="178"/>
  <c r="DF5" i="178"/>
  <c r="DK54" i="178"/>
  <c r="DP54" i="178"/>
  <c r="DW35" i="178"/>
  <c r="DZ31" i="178"/>
  <c r="DS27" i="178"/>
  <c r="DD4" i="178"/>
  <c r="DD25" i="178"/>
  <c r="DD37" i="178"/>
  <c r="DD54" i="178"/>
  <c r="ED34" i="178"/>
  <c r="EH34" i="178"/>
  <c r="EG53" i="178"/>
  <c r="DM27" i="178"/>
  <c r="DL28" i="178"/>
  <c r="DI27" i="178"/>
  <c r="DL50" i="178"/>
  <c r="DL24" i="178"/>
  <c r="DD38" i="178"/>
  <c r="DT54" i="178"/>
  <c r="DR53" i="178"/>
  <c r="EA35" i="178"/>
  <c r="DY34" i="178"/>
  <c r="DW53" i="178" l="1"/>
  <c r="DD50" i="178"/>
  <c r="DF56" i="178"/>
  <c r="DF51" i="178"/>
  <c r="DW54" i="178"/>
  <c r="DI28" i="178"/>
  <c r="DI31" i="178"/>
  <c r="DI32" i="178" s="1"/>
  <c r="DI24" i="178"/>
  <c r="DD15" i="178"/>
  <c r="DD5" i="178"/>
  <c r="DD18" i="178"/>
  <c r="DR5" i="4"/>
  <c r="DK27" i="178"/>
  <c r="DM31" i="178"/>
  <c r="DM32" i="178" s="1"/>
  <c r="DM28" i="178"/>
  <c r="DM24" i="178"/>
  <c r="DM37" i="178" s="1"/>
  <c r="DY35" i="178"/>
  <c r="EH35" i="178"/>
  <c r="EF34" i="178"/>
  <c r="DR54" i="178"/>
  <c r="DL25" i="178"/>
  <c r="DL4" i="178"/>
  <c r="DL38" i="178"/>
  <c r="DP27" i="178"/>
  <c r="DS28" i="178"/>
  <c r="DT27" i="178"/>
  <c r="DS50" i="178"/>
  <c r="DS24" i="178"/>
  <c r="DS37" i="178" s="1"/>
  <c r="DI50" i="178"/>
  <c r="DM50" i="178"/>
  <c r="DL56" i="178"/>
  <c r="ED35" i="178"/>
  <c r="DZ27" i="178"/>
  <c r="EG31" i="178"/>
  <c r="EG27" i="178" s="1"/>
  <c r="EA54" i="178"/>
  <c r="DY53" i="178"/>
  <c r="DT17" i="4"/>
  <c r="DL37" i="178"/>
  <c r="ED53" i="178"/>
  <c r="EH53" i="178"/>
  <c r="DF57" i="178" l="1"/>
  <c r="DF7" i="178"/>
  <c r="DD51" i="178"/>
  <c r="DD56" i="178"/>
  <c r="DL5" i="178"/>
  <c r="DL14" i="178"/>
  <c r="DZ5" i="4"/>
  <c r="DL17" i="178"/>
  <c r="DM25" i="178"/>
  <c r="DM4" i="178"/>
  <c r="DM38" i="178"/>
  <c r="DK31" i="178"/>
  <c r="DK32" i="178" s="1"/>
  <c r="DK28" i="178"/>
  <c r="DK24" i="178"/>
  <c r="EH54" i="178"/>
  <c r="EF53" i="178"/>
  <c r="DI51" i="178"/>
  <c r="DI56" i="178"/>
  <c r="DR17" i="4"/>
  <c r="DI25" i="178"/>
  <c r="DI4" i="178"/>
  <c r="DI38" i="178"/>
  <c r="DK50" i="178"/>
  <c r="DM51" i="178"/>
  <c r="DM56" i="178"/>
  <c r="DR27" i="178"/>
  <c r="DT31" i="178"/>
  <c r="DT32" i="178" s="1"/>
  <c r="DT28" i="178"/>
  <c r="DT24" i="178"/>
  <c r="DT37" i="178" s="1"/>
  <c r="ED54" i="178"/>
  <c r="ED27" i="178"/>
  <c r="EG28" i="178"/>
  <c r="EG50" i="178"/>
  <c r="EH27" i="178"/>
  <c r="EG24" i="178"/>
  <c r="DS25" i="178"/>
  <c r="DS4" i="178"/>
  <c r="DS38" i="178"/>
  <c r="EF35" i="178"/>
  <c r="DY54" i="178"/>
  <c r="DW27" i="178"/>
  <c r="EA27" i="178"/>
  <c r="DZ28" i="178"/>
  <c r="DZ50" i="178"/>
  <c r="DZ24" i="178"/>
  <c r="DL57" i="178"/>
  <c r="DL7" i="178"/>
  <c r="DP50" i="178"/>
  <c r="DT50" i="178"/>
  <c r="DS56" i="178"/>
  <c r="DP31" i="178"/>
  <c r="DP32" i="178" s="1"/>
  <c r="DP28" i="178"/>
  <c r="DP24" i="178"/>
  <c r="DP37" i="178" s="1"/>
  <c r="DI37" i="178"/>
  <c r="DD57" i="178" l="1"/>
  <c r="DD7" i="178"/>
  <c r="DT27" i="4"/>
  <c r="DF8" i="178"/>
  <c r="DF11" i="178"/>
  <c r="DZ25" i="178"/>
  <c r="DZ4" i="178"/>
  <c r="DZ38" i="178"/>
  <c r="DI57" i="178"/>
  <c r="DI7" i="178"/>
  <c r="DK25" i="178"/>
  <c r="DK4" i="178"/>
  <c r="DK38" i="178"/>
  <c r="DI14" i="178"/>
  <c r="DZ116" i="4"/>
  <c r="DM14" i="178"/>
  <c r="DW50" i="178"/>
  <c r="EA50" i="178"/>
  <c r="DZ56" i="178"/>
  <c r="DT51" i="178"/>
  <c r="DR50" i="178"/>
  <c r="DT56" i="178"/>
  <c r="ED50" i="178"/>
  <c r="EH50" i="178"/>
  <c r="EG56" i="178"/>
  <c r="DK51" i="178"/>
  <c r="DK56" i="178"/>
  <c r="DP51" i="178"/>
  <c r="DP56" i="178"/>
  <c r="DM5" i="178"/>
  <c r="EA5" i="4"/>
  <c r="DL8" i="178"/>
  <c r="DL11" i="178"/>
  <c r="DZ27" i="4"/>
  <c r="EF27" i="178"/>
  <c r="EH28" i="178"/>
  <c r="EH31" i="178"/>
  <c r="EH24" i="178"/>
  <c r="EH37" i="178" s="1"/>
  <c r="ED31" i="178"/>
  <c r="ED28" i="178"/>
  <c r="ED24" i="178"/>
  <c r="ED37" i="178" s="1"/>
  <c r="DT25" i="178"/>
  <c r="DT4" i="178"/>
  <c r="DT38" i="178"/>
  <c r="DR28" i="178"/>
  <c r="DR31" i="178"/>
  <c r="DR32" i="178" s="1"/>
  <c r="DR24" i="178"/>
  <c r="DR37" i="178" s="1"/>
  <c r="DM7" i="178"/>
  <c r="DM57" i="178"/>
  <c r="DW5" i="4"/>
  <c r="DI5" i="178"/>
  <c r="EF54" i="178"/>
  <c r="DK37" i="178"/>
  <c r="DZ64" i="4"/>
  <c r="DI17" i="178"/>
  <c r="DM17" i="178"/>
  <c r="DL20" i="178"/>
  <c r="EA31" i="178"/>
  <c r="EA32" i="178" s="1"/>
  <c r="DY27" i="178"/>
  <c r="EA28" i="178"/>
  <c r="EA24" i="178"/>
  <c r="EA37" i="178" s="1"/>
  <c r="DW31" i="178"/>
  <c r="DW32" i="178" s="1"/>
  <c r="DW28" i="178"/>
  <c r="DW24" i="178"/>
  <c r="EG25" i="178"/>
  <c r="EG4" i="178"/>
  <c r="EG38" i="178"/>
  <c r="DP4" i="178"/>
  <c r="DP25" i="178"/>
  <c r="DP38" i="178"/>
  <c r="DS57" i="178"/>
  <c r="DS7" i="178"/>
  <c r="DZ37" i="178"/>
  <c r="DS5" i="178"/>
  <c r="EG5" i="4"/>
  <c r="DS17" i="178"/>
  <c r="DS14" i="178"/>
  <c r="EG37" i="178"/>
  <c r="DZ17" i="4"/>
  <c r="DD8" i="178" l="1"/>
  <c r="DD11" i="178"/>
  <c r="DR27" i="4"/>
  <c r="DF12" i="178"/>
  <c r="DT52" i="4"/>
  <c r="EG17" i="4"/>
  <c r="EA25" i="178"/>
  <c r="EA4" i="178"/>
  <c r="EA38" i="178"/>
  <c r="DZ88" i="4"/>
  <c r="DK57" i="178"/>
  <c r="DK7" i="178"/>
  <c r="ED51" i="178"/>
  <c r="ED56" i="178"/>
  <c r="DR51" i="178"/>
  <c r="DR56" i="178"/>
  <c r="DZ57" i="178"/>
  <c r="DZ7" i="178"/>
  <c r="DW25" i="178"/>
  <c r="DW4" i="178"/>
  <c r="DW38" i="178"/>
  <c r="DI20" i="178"/>
  <c r="DZ142" i="4"/>
  <c r="DM20" i="178"/>
  <c r="DM8" i="178"/>
  <c r="EA27" i="4"/>
  <c r="DM11" i="178"/>
  <c r="EH32" i="178"/>
  <c r="DL12" i="178"/>
  <c r="DZ52" i="4"/>
  <c r="EA51" i="178"/>
  <c r="DY50" i="178"/>
  <c r="EA56" i="178"/>
  <c r="DI15" i="178"/>
  <c r="DW116" i="4"/>
  <c r="DK5" i="178"/>
  <c r="DY5" i="4"/>
  <c r="DP14" i="178"/>
  <c r="DT14" i="178"/>
  <c r="EG116" i="4"/>
  <c r="DM18" i="178"/>
  <c r="EA64" i="4"/>
  <c r="DK17" i="178"/>
  <c r="DR25" i="178"/>
  <c r="DR4" i="178"/>
  <c r="DR38" i="178"/>
  <c r="ED32" i="178"/>
  <c r="DP57" i="178"/>
  <c r="DP7" i="178"/>
  <c r="EG57" i="178"/>
  <c r="EG7" i="178"/>
  <c r="DW51" i="178"/>
  <c r="DW56" i="178"/>
  <c r="DZ5" i="178"/>
  <c r="EN5" i="4"/>
  <c r="DZ14" i="178"/>
  <c r="DZ17" i="178"/>
  <c r="DP17" i="178"/>
  <c r="DT17" i="178"/>
  <c r="EG64" i="4"/>
  <c r="DS20" i="178"/>
  <c r="DS8" i="178"/>
  <c r="EG27" i="4"/>
  <c r="DS11" i="178"/>
  <c r="DP5" i="178"/>
  <c r="ED5" i="4"/>
  <c r="EG5" i="178"/>
  <c r="EG14" i="178"/>
  <c r="EU5" i="4"/>
  <c r="EG17" i="178"/>
  <c r="DW37" i="178"/>
  <c r="DY31" i="178"/>
  <c r="DY32" i="178" s="1"/>
  <c r="DY28" i="178"/>
  <c r="DY24" i="178"/>
  <c r="DI18" i="178"/>
  <c r="DW64" i="4"/>
  <c r="DW17" i="4"/>
  <c r="DT5" i="178"/>
  <c r="EH5" i="4"/>
  <c r="ED25" i="178"/>
  <c r="ED4" i="178"/>
  <c r="ED38" i="178"/>
  <c r="EH25" i="178"/>
  <c r="EH4" i="178"/>
  <c r="EH38" i="178"/>
  <c r="EF28" i="178"/>
  <c r="EF31" i="178"/>
  <c r="EF24" i="178"/>
  <c r="EA17" i="4"/>
  <c r="EF50" i="178"/>
  <c r="EH51" i="178"/>
  <c r="EH56" i="178"/>
  <c r="DT57" i="178"/>
  <c r="DT7" i="178"/>
  <c r="EA116" i="4"/>
  <c r="DM15" i="178"/>
  <c r="DK14" i="178"/>
  <c r="DI8" i="178"/>
  <c r="DW27" i="4"/>
  <c r="DI11" i="178"/>
  <c r="DD12" i="178" l="1"/>
  <c r="DR52" i="4"/>
  <c r="DT58" i="4"/>
  <c r="DT60" i="4" s="1"/>
  <c r="DT44" i="4"/>
  <c r="DT103" i="4"/>
  <c r="DT109" i="4" s="1"/>
  <c r="DT111" i="4" s="1"/>
  <c r="DT112" i="4" s="1"/>
  <c r="DI12" i="178"/>
  <c r="DW52" i="4"/>
  <c r="ER5" i="4"/>
  <c r="ED5" i="178"/>
  <c r="EU64" i="4"/>
  <c r="EG20" i="178"/>
  <c r="EH17" i="178"/>
  <c r="ED17" i="178"/>
  <c r="ED17" i="4"/>
  <c r="DP18" i="178"/>
  <c r="ED64" i="4"/>
  <c r="DP15" i="178"/>
  <c r="ED116" i="4"/>
  <c r="DY51" i="178"/>
  <c r="DY56" i="178"/>
  <c r="DZ103" i="4"/>
  <c r="DZ44" i="4"/>
  <c r="DK20" i="178"/>
  <c r="DM21" i="178"/>
  <c r="EA142" i="4"/>
  <c r="EN27" i="4"/>
  <c r="DZ8" i="178"/>
  <c r="DZ11" i="178"/>
  <c r="ED57" i="178"/>
  <c r="ED7" i="178"/>
  <c r="DW17" i="178"/>
  <c r="EN64" i="4"/>
  <c r="EA17" i="178"/>
  <c r="DZ20" i="178"/>
  <c r="DW57" i="178"/>
  <c r="DW7" i="178"/>
  <c r="DK18" i="178"/>
  <c r="DY64" i="4"/>
  <c r="DM12" i="178"/>
  <c r="EA52" i="4"/>
  <c r="EF25" i="178"/>
  <c r="EF4" i="178"/>
  <c r="EF38" i="178"/>
  <c r="DP20" i="178"/>
  <c r="DT20" i="178"/>
  <c r="EG142" i="4"/>
  <c r="EH27" i="4"/>
  <c r="DT8" i="178"/>
  <c r="DT11" i="178"/>
  <c r="EF37" i="178"/>
  <c r="EG52" i="4"/>
  <c r="DS12" i="178"/>
  <c r="EA14" i="178"/>
  <c r="DW14" i="178"/>
  <c r="EN116" i="4"/>
  <c r="DW142" i="4"/>
  <c r="DI21" i="178"/>
  <c r="DW5" i="178"/>
  <c r="EK5" i="4"/>
  <c r="DR57" i="178"/>
  <c r="DR7" i="178"/>
  <c r="DK8" i="178"/>
  <c r="DY27" i="4"/>
  <c r="DK11" i="178"/>
  <c r="EH57" i="178"/>
  <c r="EH7" i="178"/>
  <c r="EF32" i="178"/>
  <c r="EH5" i="178"/>
  <c r="EV5" i="4"/>
  <c r="DY25" i="178"/>
  <c r="DY4" i="178"/>
  <c r="DY38" i="178"/>
  <c r="EU17" i="4"/>
  <c r="DP8" i="178"/>
  <c r="DP11" i="178"/>
  <c r="ED27" i="4"/>
  <c r="EF51" i="178"/>
  <c r="EF56" i="178"/>
  <c r="EH17" i="4"/>
  <c r="ED14" i="178"/>
  <c r="EH14" i="178"/>
  <c r="EU116" i="4"/>
  <c r="EG88" i="4"/>
  <c r="EA88" i="4"/>
  <c r="DK15" i="178"/>
  <c r="DY116" i="4"/>
  <c r="DW88" i="4"/>
  <c r="DY37" i="178"/>
  <c r="DT18" i="178"/>
  <c r="EH64" i="4"/>
  <c r="DR17" i="178"/>
  <c r="EN17" i="4"/>
  <c r="EG8" i="178"/>
  <c r="EG11" i="178"/>
  <c r="EU27" i="4"/>
  <c r="EF5" i="4"/>
  <c r="DR5" i="178"/>
  <c r="DT15" i="178"/>
  <c r="DR14" i="178"/>
  <c r="EH116" i="4"/>
  <c r="DY17" i="4"/>
  <c r="EA7" i="178"/>
  <c r="EA57" i="178"/>
  <c r="EO5" i="4"/>
  <c r="EA5" i="178"/>
  <c r="DM22" i="2" l="1"/>
  <c r="DR103" i="4"/>
  <c r="DR109" i="4" s="1"/>
  <c r="DR111" i="4" s="1"/>
  <c r="DR112" i="4" s="1"/>
  <c r="DR58" i="4"/>
  <c r="DR60" i="4" s="1"/>
  <c r="DR44" i="4"/>
  <c r="DR15" i="178"/>
  <c r="EF116" i="4"/>
  <c r="DR18" i="178"/>
  <c r="EF64" i="4"/>
  <c r="ED15" i="178"/>
  <c r="ER116" i="4"/>
  <c r="EF57" i="178"/>
  <c r="EF7" i="178"/>
  <c r="EH8" i="178"/>
  <c r="EV27" i="4"/>
  <c r="EH11" i="178"/>
  <c r="DR8" i="178"/>
  <c r="EF27" i="4"/>
  <c r="DR11" i="178"/>
  <c r="EA103" i="4"/>
  <c r="EA44" i="4"/>
  <c r="DY88" i="4"/>
  <c r="DW20" i="178"/>
  <c r="EA20" i="178"/>
  <c r="EN142" i="4"/>
  <c r="ED8" i="178"/>
  <c r="ER27" i="4"/>
  <c r="ED11" i="178"/>
  <c r="DY57" i="178"/>
  <c r="DY7" i="178"/>
  <c r="ED88" i="4"/>
  <c r="ED18" i="178"/>
  <c r="ER64" i="4"/>
  <c r="EO17" i="4"/>
  <c r="EA8" i="178"/>
  <c r="EO27" i="4"/>
  <c r="EA11" i="178"/>
  <c r="EF17" i="4"/>
  <c r="EH88" i="4"/>
  <c r="DP12" i="178"/>
  <c r="ED52" i="4"/>
  <c r="DY5" i="178"/>
  <c r="EM5" i="4"/>
  <c r="DK12" i="178"/>
  <c r="DY52" i="4"/>
  <c r="EK17" i="4"/>
  <c r="EG44" i="4"/>
  <c r="EG103" i="4"/>
  <c r="EH142" i="4"/>
  <c r="DT21" i="178"/>
  <c r="DR20" i="178"/>
  <c r="EF5" i="178"/>
  <c r="ET5" i="4"/>
  <c r="EA18" i="178"/>
  <c r="EO64" i="4"/>
  <c r="DY17" i="178"/>
  <c r="EH18" i="178"/>
  <c r="EV64" i="4"/>
  <c r="EF17" i="178"/>
  <c r="ER17" i="4"/>
  <c r="DW15" i="178"/>
  <c r="EK116" i="4"/>
  <c r="DP21" i="178"/>
  <c r="ED142" i="4"/>
  <c r="DW8" i="178"/>
  <c r="EK27" i="4"/>
  <c r="DW11" i="178"/>
  <c r="EN88" i="4"/>
  <c r="DZ12" i="178"/>
  <c r="EN52" i="4"/>
  <c r="EH20" i="178"/>
  <c r="EU142" i="4"/>
  <c r="ED20" i="178"/>
  <c r="DW103" i="4"/>
  <c r="DW44" i="4"/>
  <c r="EU52" i="4"/>
  <c r="EG12" i="178"/>
  <c r="EH15" i="178"/>
  <c r="EV116" i="4"/>
  <c r="EF14" i="178"/>
  <c r="EV17" i="4"/>
  <c r="EA15" i="178"/>
  <c r="DY14" i="178"/>
  <c r="EO116" i="4"/>
  <c r="DT12" i="178"/>
  <c r="EH52" i="4"/>
  <c r="DW18" i="178"/>
  <c r="EK64" i="4"/>
  <c r="DY142" i="4"/>
  <c r="DK21" i="178"/>
  <c r="EU88" i="4"/>
  <c r="DK22" i="2" l="1"/>
  <c r="DM18" i="2"/>
  <c r="DM27" i="2"/>
  <c r="DY15" i="178"/>
  <c r="EM116" i="4"/>
  <c r="EU44" i="4"/>
  <c r="EU103" i="4"/>
  <c r="EF20" i="178"/>
  <c r="EV142" i="4"/>
  <c r="EH21" i="178"/>
  <c r="DW12" i="178"/>
  <c r="EK52" i="4"/>
  <c r="EV88" i="4"/>
  <c r="ET17" i="4"/>
  <c r="DR21" i="178"/>
  <c r="EF142" i="4"/>
  <c r="ED44" i="4"/>
  <c r="ED103" i="4"/>
  <c r="EO142" i="4"/>
  <c r="EA21" i="178"/>
  <c r="DY20" i="178"/>
  <c r="DR12" i="178"/>
  <c r="EF52" i="4"/>
  <c r="EH44" i="4"/>
  <c r="EH103" i="4"/>
  <c r="EN44" i="4"/>
  <c r="EN103" i="4"/>
  <c r="DY18" i="178"/>
  <c r="EM64" i="4"/>
  <c r="DY44" i="4"/>
  <c r="DY103" i="4"/>
  <c r="EO52" i="4"/>
  <c r="EA12" i="178"/>
  <c r="ED12" i="178"/>
  <c r="ER52" i="4"/>
  <c r="DW21" i="178"/>
  <c r="EK142" i="4"/>
  <c r="EH12" i="178"/>
  <c r="EV52" i="4"/>
  <c r="EK88" i="4"/>
  <c r="EO88" i="4"/>
  <c r="EF8" i="178"/>
  <c r="ET27" i="4"/>
  <c r="EF11" i="178"/>
  <c r="EF88" i="4"/>
  <c r="ET116" i="4"/>
  <c r="EF15" i="178"/>
  <c r="ER142" i="4"/>
  <c r="ED21" i="178"/>
  <c r="EF18" i="178"/>
  <c r="ET64" i="4"/>
  <c r="EM17" i="4"/>
  <c r="ER88" i="4"/>
  <c r="DY8" i="178"/>
  <c r="EM27" i="4"/>
  <c r="DY11" i="178"/>
  <c r="DK18" i="2" l="1"/>
  <c r="DK27" i="2"/>
  <c r="DY12" i="178"/>
  <c r="EM52" i="4"/>
  <c r="EV103" i="4"/>
  <c r="EV44" i="4"/>
  <c r="ER44" i="4"/>
  <c r="ER103" i="4"/>
  <c r="EM88" i="4"/>
  <c r="DY21" i="178"/>
  <c r="EM142" i="4"/>
  <c r="EF21" i="178"/>
  <c r="ET142" i="4"/>
  <c r="EO103" i="4"/>
  <c r="EO44" i="4"/>
  <c r="EF44" i="4"/>
  <c r="EF103" i="4"/>
  <c r="EF12" i="178"/>
  <c r="ET52" i="4"/>
  <c r="ET88" i="4"/>
  <c r="EK44" i="4"/>
  <c r="EK103" i="4"/>
  <c r="ET44" i="4" l="1"/>
  <c r="ET103" i="4"/>
  <c r="EM44" i="4"/>
  <c r="EM103" i="4"/>
  <c r="DM387" i="11" l="1"/>
  <c r="DM400" i="11" s="1"/>
  <c r="DM360" i="11" s="1"/>
  <c r="DM389" i="11" l="1"/>
  <c r="DM409" i="11"/>
  <c r="DM377" i="11"/>
  <c r="DJ360" i="11"/>
  <c r="DT377" i="11"/>
  <c r="DN360" i="11"/>
  <c r="DM393" i="11" l="1"/>
  <c r="DM390" i="11"/>
  <c r="DM394" i="11" s="1"/>
  <c r="DU377" i="11"/>
  <c r="DL360" i="11"/>
  <c r="DN377" i="11"/>
  <c r="DJ377" i="11"/>
  <c r="DQ377" i="11"/>
  <c r="DM395" i="11" l="1"/>
  <c r="DS377" i="11"/>
  <c r="DL377" i="11"/>
  <c r="DM384" i="11" l="1"/>
  <c r="DM383" i="11" s="1"/>
  <c r="DM406" i="11" s="1"/>
  <c r="DM275" i="11" s="1"/>
  <c r="DM436" i="11"/>
  <c r="DM437" i="11" s="1"/>
  <c r="DM299" i="11" l="1"/>
  <c r="DM293" i="11"/>
  <c r="DM300" i="11"/>
  <c r="DM281" i="11"/>
  <c r="DM303" i="11"/>
  <c r="DM298" i="11"/>
  <c r="DM306" i="11"/>
  <c r="DM295" i="11"/>
  <c r="DM278" i="11"/>
  <c r="DM288" i="11"/>
  <c r="DM287" i="11"/>
  <c r="DM301" i="11"/>
  <c r="DM286" i="11"/>
  <c r="DM296" i="11"/>
  <c r="DM285" i="11"/>
  <c r="DM282" i="11"/>
  <c r="DM297" i="11"/>
  <c r="DM283" i="11"/>
  <c r="DM279" i="11"/>
  <c r="DM302" i="11"/>
  <c r="DM280" i="11"/>
  <c r="DM304" i="11"/>
  <c r="DM284" i="11"/>
  <c r="DM290" i="11"/>
  <c r="DM291" i="11"/>
  <c r="DM305" i="11"/>
  <c r="DM294" i="11"/>
  <c r="DM289" i="11"/>
  <c r="DM292" i="11"/>
  <c r="DJ294" i="11" l="1"/>
  <c r="DN294" i="11"/>
  <c r="DL294" i="11" s="1"/>
  <c r="DN284" i="11"/>
  <c r="DL284" i="11" s="1"/>
  <c r="DJ284" i="11"/>
  <c r="DJ279" i="11"/>
  <c r="DN279" i="11"/>
  <c r="DL279" i="11" s="1"/>
  <c r="DN285" i="11"/>
  <c r="DL285" i="11" s="1"/>
  <c r="DJ285" i="11"/>
  <c r="DN287" i="11"/>
  <c r="DL287" i="11" s="1"/>
  <c r="DJ287" i="11"/>
  <c r="DM343" i="11"/>
  <c r="DM26" i="11"/>
  <c r="DJ306" i="11"/>
  <c r="DJ26" i="11" s="1"/>
  <c r="DN306" i="11"/>
  <c r="DN300" i="11"/>
  <c r="DL300" i="11" s="1"/>
  <c r="DJ300" i="11"/>
  <c r="DM25" i="11"/>
  <c r="DN305" i="11"/>
  <c r="DJ305" i="11"/>
  <c r="DJ25" i="11" s="1"/>
  <c r="DN304" i="11"/>
  <c r="DM347" i="11"/>
  <c r="DM24" i="11"/>
  <c r="DJ304" i="11"/>
  <c r="DJ24" i="11" s="1"/>
  <c r="DN283" i="11"/>
  <c r="DL283" i="11" s="1"/>
  <c r="DJ283" i="11"/>
  <c r="DN296" i="11"/>
  <c r="DM346" i="11"/>
  <c r="DJ296" i="11"/>
  <c r="DJ23" i="11" s="1"/>
  <c r="DM23" i="11"/>
  <c r="DN288" i="11"/>
  <c r="DL288" i="11" s="1"/>
  <c r="DJ288" i="11"/>
  <c r="DN298" i="11"/>
  <c r="DL298" i="11" s="1"/>
  <c r="DJ298" i="11"/>
  <c r="DM345" i="11"/>
  <c r="DM22" i="11"/>
  <c r="DJ293" i="11"/>
  <c r="DJ22" i="11" s="1"/>
  <c r="DN293" i="11"/>
  <c r="DJ292" i="11"/>
  <c r="DN292" i="11"/>
  <c r="DL292" i="11" s="1"/>
  <c r="DJ291" i="11"/>
  <c r="DN291" i="11"/>
  <c r="DL291" i="11" s="1"/>
  <c r="DM19" i="11"/>
  <c r="DM311" i="11"/>
  <c r="DM342" i="11"/>
  <c r="DJ280" i="11"/>
  <c r="DJ19" i="11" s="1"/>
  <c r="DN280" i="11"/>
  <c r="DJ297" i="11"/>
  <c r="DN297" i="11"/>
  <c r="DL297" i="11" s="1"/>
  <c r="DJ286" i="11"/>
  <c r="DJ20" i="11" s="1"/>
  <c r="DN286" i="11"/>
  <c r="DM20" i="11"/>
  <c r="DN278" i="11"/>
  <c r="DL278" i="11" s="1"/>
  <c r="DJ278" i="11"/>
  <c r="DN303" i="11"/>
  <c r="DL303" i="11" s="1"/>
  <c r="DJ303" i="11"/>
  <c r="DN299" i="11"/>
  <c r="DL299" i="11" s="1"/>
  <c r="DJ299" i="11"/>
  <c r="DM344" i="11"/>
  <c r="DN289" i="11"/>
  <c r="DL289" i="11" s="1"/>
  <c r="DJ289" i="11"/>
  <c r="DM21" i="11"/>
  <c r="DN290" i="11"/>
  <c r="DJ290" i="11"/>
  <c r="DJ21" i="11" s="1"/>
  <c r="DN302" i="11"/>
  <c r="DL302" i="11" s="1"/>
  <c r="DJ302" i="11"/>
  <c r="DN282" i="11"/>
  <c r="DL282" i="11" s="1"/>
  <c r="DJ282" i="11"/>
  <c r="DJ301" i="11"/>
  <c r="DN301" i="11"/>
  <c r="DL301" i="11" s="1"/>
  <c r="DJ295" i="11"/>
  <c r="DN295" i="11"/>
  <c r="DL295" i="11" s="1"/>
  <c r="DN281" i="11"/>
  <c r="DM312" i="11"/>
  <c r="DJ281" i="11"/>
  <c r="DJ312" i="11" l="1"/>
  <c r="DM371" i="11"/>
  <c r="DJ346" i="11"/>
  <c r="DN346" i="11"/>
  <c r="DL290" i="11"/>
  <c r="DL21" i="11" s="1"/>
  <c r="DN21" i="11"/>
  <c r="DM369" i="11"/>
  <c r="DJ344" i="11"/>
  <c r="DN344" i="11"/>
  <c r="DL286" i="11"/>
  <c r="DL20" i="11" s="1"/>
  <c r="DN20" i="11"/>
  <c r="DN311" i="11"/>
  <c r="DN19" i="11"/>
  <c r="DL280" i="11"/>
  <c r="DM370" i="11"/>
  <c r="DN345" i="11"/>
  <c r="DJ345" i="11"/>
  <c r="DL296" i="11"/>
  <c r="DL23" i="11" s="1"/>
  <c r="DN23" i="11"/>
  <c r="DN25" i="11"/>
  <c r="DL305" i="11"/>
  <c r="DL25" i="11" s="1"/>
  <c r="DM368" i="11"/>
  <c r="DJ343" i="11"/>
  <c r="DN343" i="11"/>
  <c r="DJ311" i="11"/>
  <c r="DL293" i="11"/>
  <c r="DL22" i="11" s="1"/>
  <c r="DN22" i="11"/>
  <c r="DJ347" i="11"/>
  <c r="DM372" i="11"/>
  <c r="DN347" i="11"/>
  <c r="DN5" i="11"/>
  <c r="DL306" i="11"/>
  <c r="DN26" i="11"/>
  <c r="DN312" i="11"/>
  <c r="DL281" i="11"/>
  <c r="DJ342" i="11"/>
  <c r="DM348" i="11"/>
  <c r="DM367" i="11"/>
  <c r="DN342" i="11"/>
  <c r="DL304" i="11"/>
  <c r="DL24" i="11" s="1"/>
  <c r="DN24" i="11"/>
  <c r="DL312" i="11" l="1"/>
  <c r="DJ323" i="11"/>
  <c r="DJ332" i="11" s="1"/>
  <c r="DJ367" i="11"/>
  <c r="DL5" i="11"/>
  <c r="DL26" i="11"/>
  <c r="DJ324" i="11"/>
  <c r="DJ333" i="11" s="1"/>
  <c r="DJ368" i="11"/>
  <c r="DL345" i="11"/>
  <c r="DN326" i="11"/>
  <c r="DN335" i="11" s="1"/>
  <c r="DN370" i="11"/>
  <c r="DN369" i="11"/>
  <c r="DL344" i="11"/>
  <c r="DN325" i="11"/>
  <c r="DN334" i="11" s="1"/>
  <c r="DL342" i="11"/>
  <c r="DN367" i="11"/>
  <c r="DN323" i="11"/>
  <c r="DN332" i="11" s="1"/>
  <c r="DJ328" i="11"/>
  <c r="DJ337" i="11" s="1"/>
  <c r="DJ372" i="11"/>
  <c r="DJ325" i="11"/>
  <c r="DJ334" i="11" s="1"/>
  <c r="DJ369" i="11"/>
  <c r="DN327" i="11"/>
  <c r="DN336" i="11" s="1"/>
  <c r="DN371" i="11"/>
  <c r="DL346" i="11"/>
  <c r="DL311" i="11"/>
  <c r="DL19" i="11"/>
  <c r="DJ327" i="11"/>
  <c r="DJ336" i="11" s="1"/>
  <c r="DJ371" i="11"/>
  <c r="DM329" i="11"/>
  <c r="DN348" i="11"/>
  <c r="DJ348" i="11"/>
  <c r="DJ30" i="11" s="1"/>
  <c r="DM30" i="11"/>
  <c r="DL347" i="11"/>
  <c r="DN372" i="11"/>
  <c r="DN328" i="11"/>
  <c r="DN337" i="11" s="1"/>
  <c r="DL343" i="11"/>
  <c r="DN324" i="11"/>
  <c r="DN333" i="11" s="1"/>
  <c r="DN368" i="11"/>
  <c r="DJ326" i="11"/>
  <c r="DJ335" i="11" s="1"/>
  <c r="DJ370" i="11"/>
  <c r="DL368" i="11" l="1"/>
  <c r="DL324" i="11"/>
  <c r="DL333" i="11" s="1"/>
  <c r="DL372" i="11"/>
  <c r="DL328" i="11"/>
  <c r="DL337" i="11" s="1"/>
  <c r="DJ357" i="11"/>
  <c r="DL326" i="11"/>
  <c r="DL335" i="11" s="1"/>
  <c r="DL370" i="11"/>
  <c r="DL371" i="11"/>
  <c r="DL327" i="11"/>
  <c r="DL336" i="11" s="1"/>
  <c r="DJ329" i="11"/>
  <c r="DL323" i="11"/>
  <c r="DL332" i="11" s="1"/>
  <c r="DL367" i="11"/>
  <c r="DL348" i="11"/>
  <c r="DN30" i="11"/>
  <c r="DN329" i="11"/>
  <c r="DL325" i="11"/>
  <c r="DL334" i="11" s="1"/>
  <c r="DL369" i="11"/>
  <c r="DL30" i="11" l="1"/>
  <c r="DL329" i="11"/>
  <c r="DL245" i="243" l="1"/>
  <c r="DL246" i="243" s="1"/>
  <c r="DM40" i="2"/>
  <c r="DM196" i="243" s="1"/>
  <c r="DL196" i="243"/>
  <c r="DL194" i="243" s="1"/>
  <c r="DI194" i="243" s="1"/>
  <c r="DL3" i="242"/>
  <c r="DL21" i="242" s="1"/>
  <c r="DL42" i="242" s="1"/>
  <c r="DL234" i="243"/>
  <c r="DL235" i="243" s="1"/>
  <c r="DM56" i="2"/>
  <c r="DK56" i="2" s="1"/>
  <c r="DI197" i="243" l="1"/>
  <c r="DI195" i="243"/>
  <c r="DM234" i="243"/>
  <c r="DM235" i="243" s="1"/>
  <c r="DM194" i="243"/>
  <c r="DM195" i="243" s="1"/>
  <c r="DL45" i="242"/>
  <c r="DL49" i="242" s="1"/>
  <c r="DM245" i="243"/>
  <c r="DL195" i="243"/>
  <c r="DK40" i="2"/>
  <c r="DM29" i="2" l="1"/>
  <c r="DK234" i="243"/>
  <c r="DK235" i="243" s="1"/>
  <c r="DK196" i="243"/>
  <c r="DK245" i="243"/>
  <c r="DM30" i="2"/>
  <c r="DM31" i="2" s="1"/>
  <c r="DM36" i="2" s="1"/>
  <c r="DM38" i="2" s="1"/>
  <c r="DM246" i="243"/>
  <c r="DK29" i="2"/>
  <c r="DL56" i="242"/>
  <c r="DL61" i="242" s="1"/>
  <c r="DL58" i="242"/>
  <c r="DL60" i="242" s="1"/>
  <c r="DK194" i="243"/>
  <c r="DM197" i="243"/>
  <c r="DK197" i="243" l="1"/>
  <c r="DM42" i="2"/>
  <c r="DM46" i="2" s="1"/>
  <c r="DM41" i="2"/>
  <c r="DK246" i="243"/>
  <c r="DK30" i="2"/>
  <c r="DK31" i="2" s="1"/>
  <c r="DK36" i="2" s="1"/>
  <c r="DK38" i="2" s="1"/>
  <c r="DK195" i="243"/>
  <c r="DK42" i="2" l="1"/>
  <c r="DK46" i="2" s="1"/>
  <c r="DK41" i="2"/>
  <c r="DM3" i="242"/>
  <c r="DM21" i="242" s="1"/>
  <c r="DM47" i="2"/>
  <c r="DM51" i="2"/>
  <c r="DM48" i="2"/>
  <c r="DM42" i="242" l="1"/>
  <c r="DM45" i="242"/>
  <c r="DM49" i="242" s="1"/>
  <c r="DK47" i="2"/>
  <c r="DK48" i="2"/>
  <c r="DK3" i="242"/>
  <c r="DK21" i="242" s="1"/>
  <c r="DK51" i="2"/>
  <c r="DM58" i="242" l="1"/>
  <c r="DM60" i="242" s="1"/>
  <c r="DM56" i="242"/>
  <c r="DM61" i="242" s="1"/>
  <c r="DK42" i="242"/>
  <c r="DK45" i="242"/>
  <c r="DK49" i="242" s="1"/>
  <c r="DK56" i="242" l="1"/>
  <c r="DK61" i="242" s="1"/>
  <c r="DK58" i="242"/>
  <c r="DK60" i="242" s="1"/>
  <c r="DM313" i="11"/>
  <c r="DM27" i="11"/>
  <c r="DJ307" i="11"/>
  <c r="DN307" i="11"/>
  <c r="DM271" i="11"/>
  <c r="DM353" i="11"/>
  <c r="DM361" i="11" s="1"/>
  <c r="DJ353" i="11" l="1"/>
  <c r="DM373" i="11"/>
  <c r="DM378" i="11" s="1"/>
  <c r="DM379" i="11" s="1"/>
  <c r="DN353" i="11"/>
  <c r="DM272" i="11"/>
  <c r="DJ271" i="11"/>
  <c r="DM432" i="11"/>
  <c r="DM433" i="11" s="1"/>
  <c r="DN271" i="11"/>
  <c r="DM273" i="11"/>
  <c r="DM308" i="11" s="1"/>
  <c r="DT366" i="11"/>
  <c r="DM363" i="11"/>
  <c r="DT271" i="11"/>
  <c r="DN313" i="11"/>
  <c r="DN27" i="11"/>
  <c r="DN9" i="11"/>
  <c r="DL307" i="11"/>
  <c r="DJ313" i="11"/>
  <c r="DJ27" i="11"/>
  <c r="DL313" i="11" l="1"/>
  <c r="DL27" i="11"/>
  <c r="DL9" i="11"/>
  <c r="DM309" i="11"/>
  <c r="DM217" i="11" s="1"/>
  <c r="DJ308" i="11"/>
  <c r="DJ317" i="11" s="1"/>
  <c r="DN308" i="11"/>
  <c r="DM28" i="11"/>
  <c r="DM316" i="11"/>
  <c r="DM315" i="11"/>
  <c r="DN11" i="11"/>
  <c r="DN432" i="11"/>
  <c r="DN433" i="11" s="1"/>
  <c r="DN272" i="11"/>
  <c r="DL271" i="11"/>
  <c r="DN273" i="11"/>
  <c r="DM434" i="11"/>
  <c r="DJ272" i="11"/>
  <c r="DJ273" i="11"/>
  <c r="DJ432" i="11"/>
  <c r="DJ433" i="11" s="1"/>
  <c r="DJ434" i="11" s="1"/>
  <c r="DT432" i="11"/>
  <c r="DT433" i="11" s="1"/>
  <c r="DQ271" i="11"/>
  <c r="DU271" i="11"/>
  <c r="DT273" i="11"/>
  <c r="EA271" i="11"/>
  <c r="DN373" i="11"/>
  <c r="DN378" i="11" s="1"/>
  <c r="DN354" i="11"/>
  <c r="DL353" i="11"/>
  <c r="DN361" i="11"/>
  <c r="DM362" i="11"/>
  <c r="DM317" i="11"/>
  <c r="DJ373" i="11"/>
  <c r="DJ378" i="11" s="1"/>
  <c r="DJ354" i="11"/>
  <c r="DJ361" i="11"/>
  <c r="DT434" i="11" l="1"/>
  <c r="DN316" i="11"/>
  <c r="DN315" i="11"/>
  <c r="DL308" i="11"/>
  <c r="DN28" i="11"/>
  <c r="DN309" i="11"/>
  <c r="DN217" i="11" s="1"/>
  <c r="DU273" i="11"/>
  <c r="DS271" i="11"/>
  <c r="DU272" i="11"/>
  <c r="DU432" i="11"/>
  <c r="DU433" i="11" s="1"/>
  <c r="DN275" i="11"/>
  <c r="DN385" i="11"/>
  <c r="DU366" i="11"/>
  <c r="DN362" i="11"/>
  <c r="DN45" i="11"/>
  <c r="DQ432" i="11"/>
  <c r="DQ433" i="11" s="1"/>
  <c r="DQ434" i="11" s="1"/>
  <c r="DQ273" i="11"/>
  <c r="DQ272" i="11"/>
  <c r="DL432" i="11"/>
  <c r="DL433" i="11" s="1"/>
  <c r="DL273" i="11"/>
  <c r="DL272" i="11"/>
  <c r="DJ363" i="11"/>
  <c r="DJ362" i="11"/>
  <c r="DQ366" i="11"/>
  <c r="DL354" i="11"/>
  <c r="DL373" i="11"/>
  <c r="DL378" i="11" s="1"/>
  <c r="DL361" i="11"/>
  <c r="DJ309" i="11"/>
  <c r="DJ217" i="11" s="1"/>
  <c r="DJ28" i="11"/>
  <c r="DJ315" i="11"/>
  <c r="DJ316" i="11"/>
  <c r="DN434" i="11"/>
  <c r="DJ379" i="11"/>
  <c r="DN379" i="11"/>
  <c r="DJ275" i="11"/>
  <c r="DN14" i="11"/>
  <c r="DN59" i="11"/>
  <c r="DN43" i="11"/>
  <c r="DN12" i="11"/>
  <c r="DN357" i="11"/>
  <c r="DN63" i="11"/>
  <c r="DT4" i="4"/>
  <c r="DL11" i="11"/>
  <c r="EA432" i="11"/>
  <c r="EA433" i="11" s="1"/>
  <c r="EB271" i="11"/>
  <c r="DX271" i="11"/>
  <c r="EH271" i="11"/>
  <c r="EA273" i="11"/>
  <c r="DN15" i="11"/>
  <c r="DT385" i="11"/>
  <c r="DN317" i="11"/>
  <c r="DL317" i="11"/>
  <c r="EA434" i="11" l="1"/>
  <c r="DN16" i="11"/>
  <c r="DX273" i="11"/>
  <c r="DX272" i="11"/>
  <c r="DX432" i="11"/>
  <c r="DX433" i="11" s="1"/>
  <c r="DX434" i="11" s="1"/>
  <c r="DS272" i="11"/>
  <c r="DS432" i="11"/>
  <c r="DS433" i="11" s="1"/>
  <c r="DS273" i="11"/>
  <c r="DT393" i="11"/>
  <c r="DT387" i="11"/>
  <c r="DT400" i="11" s="1"/>
  <c r="DT406" i="11" s="1"/>
  <c r="DT275" i="11" s="1"/>
  <c r="DU385" i="11"/>
  <c r="DL43" i="11"/>
  <c r="DL14" i="11"/>
  <c r="DL12" i="11"/>
  <c r="DL63" i="11"/>
  <c r="DL357" i="11"/>
  <c r="DL59" i="11"/>
  <c r="DR4" i="4"/>
  <c r="DJ387" i="11"/>
  <c r="DJ400" i="11" s="1"/>
  <c r="DJ406" i="11" s="1"/>
  <c r="DJ393" i="11"/>
  <c r="DJ409" i="11"/>
  <c r="EB272" i="11"/>
  <c r="EB432" i="11"/>
  <c r="EB433" i="11" s="1"/>
  <c r="EB273" i="11"/>
  <c r="DZ271" i="11"/>
  <c r="DN46" i="11"/>
  <c r="DN47" i="11"/>
  <c r="DT26" i="4"/>
  <c r="DN363" i="11"/>
  <c r="DL15" i="11"/>
  <c r="DL385" i="11"/>
  <c r="DL275" i="11"/>
  <c r="EA385" i="11"/>
  <c r="DT11" i="4"/>
  <c r="DT13" i="4" s="1"/>
  <c r="DM152" i="243"/>
  <c r="DT16" i="4"/>
  <c r="DS366" i="11"/>
  <c r="DL362" i="11"/>
  <c r="DL45" i="11"/>
  <c r="DL434" i="11"/>
  <c r="DN393" i="11"/>
  <c r="DN387" i="11"/>
  <c r="DN400" i="11" s="1"/>
  <c r="DN406" i="11" s="1"/>
  <c r="DL309" i="11"/>
  <c r="DL217" i="11" s="1"/>
  <c r="DL28" i="11"/>
  <c r="DL316" i="11"/>
  <c r="DL315" i="11"/>
  <c r="EH432" i="11"/>
  <c r="EH433" i="11" s="1"/>
  <c r="EI271" i="11"/>
  <c r="EE271" i="11"/>
  <c r="EH273" i="11"/>
  <c r="EO271" i="11"/>
  <c r="DL379" i="11"/>
  <c r="DQ385" i="11"/>
  <c r="DU434" i="11"/>
  <c r="EH434" i="11" l="1"/>
  <c r="DT409" i="11"/>
  <c r="DN409" i="11"/>
  <c r="EI432" i="11"/>
  <c r="EI433" i="11" s="1"/>
  <c r="EI273" i="11"/>
  <c r="EI272" i="11"/>
  <c r="EG271" i="11"/>
  <c r="DS385" i="11"/>
  <c r="DT125" i="4"/>
  <c r="DT23" i="4"/>
  <c r="DT150" i="4"/>
  <c r="DM8" i="2"/>
  <c r="DM154" i="243"/>
  <c r="DT99" i="4"/>
  <c r="DX385" i="11"/>
  <c r="DN389" i="11"/>
  <c r="DN394" i="11"/>
  <c r="DN390" i="11" s="1"/>
  <c r="DT43" i="4"/>
  <c r="DT46" i="4" s="1"/>
  <c r="DT48" i="4" s="1"/>
  <c r="DM54" i="2" s="1"/>
  <c r="DT29" i="4"/>
  <c r="DT31" i="4" s="1"/>
  <c r="DL16" i="11"/>
  <c r="DS434" i="11"/>
  <c r="DQ387" i="11"/>
  <c r="DQ400" i="11" s="1"/>
  <c r="DQ406" i="11" s="1"/>
  <c r="DQ393" i="11"/>
  <c r="DL47" i="11"/>
  <c r="DL46" i="11"/>
  <c r="DR26" i="4"/>
  <c r="DJ394" i="11"/>
  <c r="DJ390" i="11" s="1"/>
  <c r="DJ389" i="11"/>
  <c r="DJ391" i="11" s="1"/>
  <c r="DL363" i="11"/>
  <c r="EA393" i="11"/>
  <c r="EA387" i="11"/>
  <c r="EA400" i="11" s="1"/>
  <c r="EA406" i="11" s="1"/>
  <c r="EA275" i="11" s="1"/>
  <c r="DU393" i="11"/>
  <c r="DU387" i="11"/>
  <c r="DU400" i="11" s="1"/>
  <c r="DU406" i="11" s="1"/>
  <c r="EO432" i="11"/>
  <c r="EO433" i="11" s="1"/>
  <c r="EL271" i="11"/>
  <c r="EP271" i="11"/>
  <c r="EO273" i="11"/>
  <c r="DZ432" i="11"/>
  <c r="DZ433" i="11" s="1"/>
  <c r="DZ272" i="11"/>
  <c r="DZ273" i="11"/>
  <c r="DK152" i="243"/>
  <c r="DR16" i="4"/>
  <c r="DR11" i="4"/>
  <c r="DR13" i="4" s="1"/>
  <c r="EH385" i="11"/>
  <c r="EB385" i="11"/>
  <c r="DT292" i="11"/>
  <c r="DT297" i="11"/>
  <c r="DT283" i="11"/>
  <c r="DT299" i="11"/>
  <c r="DT285" i="11"/>
  <c r="DT278" i="11"/>
  <c r="DT301" i="11"/>
  <c r="DT286" i="11"/>
  <c r="DT284" i="11"/>
  <c r="DT298" i="11"/>
  <c r="DT291" i="11"/>
  <c r="DT303" i="11"/>
  <c r="DT305" i="11"/>
  <c r="DT290" i="11"/>
  <c r="DT294" i="11"/>
  <c r="DT300" i="11"/>
  <c r="DT279" i="11"/>
  <c r="DT302" i="11"/>
  <c r="DT288" i="11"/>
  <c r="DT282" i="11"/>
  <c r="DT293" i="11"/>
  <c r="DT296" i="11"/>
  <c r="DT289" i="11"/>
  <c r="DT281" i="11"/>
  <c r="DT295" i="11"/>
  <c r="DT304" i="11"/>
  <c r="DT287" i="11"/>
  <c r="DT306" i="11"/>
  <c r="DT280" i="11"/>
  <c r="DT307" i="11"/>
  <c r="DT308" i="11"/>
  <c r="EE273" i="11"/>
  <c r="EE432" i="11"/>
  <c r="EE433" i="11" s="1"/>
  <c r="EE272" i="11"/>
  <c r="DL393" i="11"/>
  <c r="DL387" i="11"/>
  <c r="DL400" i="11" s="1"/>
  <c r="DL406" i="11" s="1"/>
  <c r="EB434" i="11"/>
  <c r="DT394" i="11"/>
  <c r="DT390" i="11" s="1"/>
  <c r="DT389" i="11"/>
  <c r="DT391" i="11" s="1"/>
  <c r="DN391" i="11" l="1"/>
  <c r="EO434" i="11"/>
  <c r="DU409" i="11"/>
  <c r="DT312" i="11"/>
  <c r="DT316" i="11" s="1"/>
  <c r="DU281" i="11"/>
  <c r="DQ281" i="11"/>
  <c r="DT313" i="11"/>
  <c r="DT317" i="11" s="1"/>
  <c r="DT9" i="11"/>
  <c r="DT27" i="11"/>
  <c r="DQ307" i="11"/>
  <c r="DT353" i="11"/>
  <c r="DU307" i="11"/>
  <c r="DU278" i="11"/>
  <c r="DS278" i="11" s="1"/>
  <c r="DQ278" i="11"/>
  <c r="DU293" i="11"/>
  <c r="DQ293" i="11"/>
  <c r="DQ22" i="11" s="1"/>
  <c r="DT22" i="11"/>
  <c r="DT345" i="11"/>
  <c r="DU285" i="11"/>
  <c r="DS285" i="11" s="1"/>
  <c r="DQ285" i="11"/>
  <c r="DU282" i="11"/>
  <c r="DS282" i="11" s="1"/>
  <c r="DQ282" i="11"/>
  <c r="DZ434" i="11"/>
  <c r="DU389" i="11"/>
  <c r="DU394" i="11"/>
  <c r="DU390" i="11" s="1"/>
  <c r="EA299" i="11"/>
  <c r="EA297" i="11"/>
  <c r="EA292" i="11"/>
  <c r="EA303" i="11"/>
  <c r="EA298" i="11"/>
  <c r="EA284" i="11"/>
  <c r="EA290" i="11"/>
  <c r="EA291" i="11"/>
  <c r="EA301" i="11"/>
  <c r="EA287" i="11"/>
  <c r="EA278" i="11"/>
  <c r="EA302" i="11"/>
  <c r="EA283" i="11"/>
  <c r="EA281" i="11"/>
  <c r="EA288" i="11"/>
  <c r="EA289" i="11"/>
  <c r="EA304" i="11"/>
  <c r="EA294" i="11"/>
  <c r="EA286" i="11"/>
  <c r="EA285" i="11"/>
  <c r="EA282" i="11"/>
  <c r="EA305" i="11"/>
  <c r="EA293" i="11"/>
  <c r="EA279" i="11"/>
  <c r="EA295" i="11"/>
  <c r="EA300" i="11"/>
  <c r="EA296" i="11"/>
  <c r="EA280" i="11"/>
  <c r="EA306" i="11"/>
  <c r="EA307" i="11"/>
  <c r="EA308" i="11"/>
  <c r="DU300" i="11"/>
  <c r="DS300" i="11" s="1"/>
  <c r="DQ300" i="11"/>
  <c r="EB387" i="11"/>
  <c r="EB400" i="11" s="1"/>
  <c r="EB406" i="11" s="1"/>
  <c r="EB393" i="11"/>
  <c r="DU289" i="11"/>
  <c r="DS289" i="11" s="1"/>
  <c r="DQ289" i="11"/>
  <c r="DT344" i="11"/>
  <c r="DU294" i="11"/>
  <c r="DS294" i="11" s="1"/>
  <c r="DQ294" i="11"/>
  <c r="DU301" i="11"/>
  <c r="DS301" i="11" s="1"/>
  <c r="DQ301" i="11"/>
  <c r="DX393" i="11"/>
  <c r="DX387" i="11"/>
  <c r="DX400" i="11" s="1"/>
  <c r="DX406" i="11" s="1"/>
  <c r="DX409" i="11"/>
  <c r="DU296" i="11"/>
  <c r="DT23" i="11"/>
  <c r="DQ296" i="11"/>
  <c r="DQ23" i="11" s="1"/>
  <c r="DT346" i="11"/>
  <c r="DZ385" i="11"/>
  <c r="DL409" i="11"/>
  <c r="DT32" i="4"/>
  <c r="DT26" i="11"/>
  <c r="DQ306" i="11"/>
  <c r="DU306" i="11"/>
  <c r="DT5" i="11"/>
  <c r="DU303" i="11"/>
  <c r="DS303" i="11" s="1"/>
  <c r="DQ303" i="11"/>
  <c r="DU299" i="11"/>
  <c r="DS299" i="11" s="1"/>
  <c r="DQ299" i="11"/>
  <c r="EG272" i="11"/>
  <c r="EG432" i="11"/>
  <c r="EG433" i="11" s="1"/>
  <c r="EG273" i="11"/>
  <c r="DQ288" i="11"/>
  <c r="DU288" i="11"/>
  <c r="DS288" i="11" s="1"/>
  <c r="DQ409" i="11"/>
  <c r="EI385" i="11"/>
  <c r="EE385" i="11"/>
  <c r="DU286" i="11"/>
  <c r="DQ286" i="11"/>
  <c r="DQ20" i="11" s="1"/>
  <c r="DT20" i="11"/>
  <c r="EL432" i="11"/>
  <c r="EL433" i="11" s="1"/>
  <c r="EL272" i="11"/>
  <c r="EL273" i="11"/>
  <c r="DQ308" i="11"/>
  <c r="DT28" i="11"/>
  <c r="DU308" i="11"/>
  <c r="DL394" i="11"/>
  <c r="DL390" i="11" s="1"/>
  <c r="DL389" i="11"/>
  <c r="DU290" i="11"/>
  <c r="DT21" i="11"/>
  <c r="DQ290" i="11"/>
  <c r="DQ21" i="11" s="1"/>
  <c r="DS387" i="11"/>
  <c r="DS400" i="11" s="1"/>
  <c r="DS406" i="11" s="1"/>
  <c r="DS409" i="11"/>
  <c r="DS393" i="11"/>
  <c r="DQ280" i="11"/>
  <c r="DT19" i="11"/>
  <c r="DU280" i="11"/>
  <c r="DT311" i="11"/>
  <c r="DT315" i="11" s="1"/>
  <c r="DT342" i="11"/>
  <c r="DU305" i="11"/>
  <c r="DQ305" i="11"/>
  <c r="DQ25" i="11" s="1"/>
  <c r="DT25" i="11"/>
  <c r="EH393" i="11"/>
  <c r="EH387" i="11"/>
  <c r="EH400" i="11" s="1"/>
  <c r="EH406" i="11" s="1"/>
  <c r="EH275" i="11" s="1"/>
  <c r="DR29" i="4"/>
  <c r="DR31" i="4" s="1"/>
  <c r="DR43" i="4"/>
  <c r="DR46" i="4" s="1"/>
  <c r="DR48" i="4" s="1"/>
  <c r="DK54" i="2" s="1"/>
  <c r="DM59" i="2"/>
  <c r="DM57" i="2"/>
  <c r="DM159" i="243"/>
  <c r="DM179" i="243"/>
  <c r="DM171" i="243"/>
  <c r="DM165" i="243"/>
  <c r="DM176" i="243"/>
  <c r="DM153" i="243"/>
  <c r="DM168" i="243"/>
  <c r="DM162" i="243"/>
  <c r="DQ287" i="11"/>
  <c r="DU287" i="11"/>
  <c r="DS287" i="11" s="1"/>
  <c r="DT343" i="11"/>
  <c r="DU291" i="11"/>
  <c r="DS291" i="11" s="1"/>
  <c r="DQ291" i="11"/>
  <c r="DU283" i="11"/>
  <c r="DS283" i="11" s="1"/>
  <c r="DQ283" i="11"/>
  <c r="DR99" i="4"/>
  <c r="DR125" i="4"/>
  <c r="DR23" i="4"/>
  <c r="DR150" i="4"/>
  <c r="DK154" i="243"/>
  <c r="DK8" i="2"/>
  <c r="EO385" i="11"/>
  <c r="DM13" i="2"/>
  <c r="DM156" i="243" s="1"/>
  <c r="DM10" i="2"/>
  <c r="DM11" i="2" s="1"/>
  <c r="DM274" i="243"/>
  <c r="DQ304" i="11"/>
  <c r="DQ24" i="11" s="1"/>
  <c r="DT24" i="11"/>
  <c r="DU304" i="11"/>
  <c r="DT347" i="11"/>
  <c r="DU302" i="11"/>
  <c r="DS302" i="11" s="1"/>
  <c r="DQ302" i="11"/>
  <c r="DU298" i="11"/>
  <c r="DS298" i="11" s="1"/>
  <c r="DQ298" i="11"/>
  <c r="DQ297" i="11"/>
  <c r="DU297" i="11"/>
  <c r="DS297" i="11" s="1"/>
  <c r="EA394" i="11"/>
  <c r="EA390" i="11" s="1"/>
  <c r="EA389" i="11"/>
  <c r="EE434" i="11"/>
  <c r="DU295" i="11"/>
  <c r="DS295" i="11" s="1"/>
  <c r="DQ295" i="11"/>
  <c r="DQ279" i="11"/>
  <c r="DU279" i="11"/>
  <c r="DS279" i="11" s="1"/>
  <c r="DQ284" i="11"/>
  <c r="DU284" i="11"/>
  <c r="DS284" i="11" s="1"/>
  <c r="DQ292" i="11"/>
  <c r="DU292" i="11"/>
  <c r="DS292" i="11" s="1"/>
  <c r="EP432" i="11"/>
  <c r="EP433" i="11" s="1"/>
  <c r="EP273" i="11"/>
  <c r="EP272" i="11"/>
  <c r="EN271" i="11"/>
  <c r="EA409" i="11"/>
  <c r="DQ389" i="11"/>
  <c r="DQ394" i="11"/>
  <c r="DQ390" i="11" s="1"/>
  <c r="EI434" i="11"/>
  <c r="DQ391" i="11" l="1"/>
  <c r="DS394" i="11"/>
  <c r="DS390" i="11" s="1"/>
  <c r="DS389" i="11"/>
  <c r="DS391" i="11" s="1"/>
  <c r="DX294" i="11"/>
  <c r="EB294" i="11"/>
  <c r="DZ294" i="11" s="1"/>
  <c r="DU353" i="11"/>
  <c r="DQ353" i="11"/>
  <c r="DT373" i="11"/>
  <c r="EB304" i="11"/>
  <c r="EA347" i="11"/>
  <c r="EA24" i="11"/>
  <c r="DX304" i="11"/>
  <c r="DX24" i="11" s="1"/>
  <c r="DK162" i="243"/>
  <c r="DK168" i="243"/>
  <c r="DK171" i="243"/>
  <c r="DK153" i="243"/>
  <c r="DK179" i="243"/>
  <c r="DK165" i="243"/>
  <c r="DK176" i="243"/>
  <c r="DK159" i="243"/>
  <c r="DQ342" i="11"/>
  <c r="DT367" i="11"/>
  <c r="DU342" i="11"/>
  <c r="DT348" i="11"/>
  <c r="DX293" i="11"/>
  <c r="DX22" i="11" s="1"/>
  <c r="EA22" i="11"/>
  <c r="EB293" i="11"/>
  <c r="EA345" i="11"/>
  <c r="DU28" i="11"/>
  <c r="DS308" i="11"/>
  <c r="DU275" i="11"/>
  <c r="DX300" i="11"/>
  <c r="EB300" i="11"/>
  <c r="DZ300" i="11" s="1"/>
  <c r="EN432" i="11"/>
  <c r="EN433" i="11" s="1"/>
  <c r="EN272" i="11"/>
  <c r="EN273" i="11"/>
  <c r="DK10" i="2"/>
  <c r="DK11" i="2" s="1"/>
  <c r="DK13" i="2"/>
  <c r="DK156" i="243" s="1"/>
  <c r="DK274" i="243"/>
  <c r="DX299" i="11"/>
  <c r="EB299" i="11"/>
  <c r="DZ299" i="11" s="1"/>
  <c r="DX284" i="11"/>
  <c r="EB284" i="11"/>
  <c r="DZ284" i="11" s="1"/>
  <c r="DX287" i="11"/>
  <c r="EB287" i="11"/>
  <c r="DZ287" i="11" s="1"/>
  <c r="EA343" i="11"/>
  <c r="DK57" i="2"/>
  <c r="DK59" i="2"/>
  <c r="DX295" i="11"/>
  <c r="EB295" i="11"/>
  <c r="DZ295" i="11" s="1"/>
  <c r="DQ9" i="11"/>
  <c r="DQ313" i="11"/>
  <c r="DQ317" i="11" s="1"/>
  <c r="DQ27" i="11"/>
  <c r="DR32" i="4"/>
  <c r="DS286" i="11"/>
  <c r="DS20" i="11" s="1"/>
  <c r="DU20" i="11"/>
  <c r="DU23" i="11"/>
  <c r="DS296" i="11"/>
  <c r="DS23" i="11" s="1"/>
  <c r="DT369" i="11"/>
  <c r="DQ344" i="11"/>
  <c r="DU344" i="11"/>
  <c r="EB308" i="11"/>
  <c r="EA28" i="11"/>
  <c r="DX308" i="11"/>
  <c r="DX288" i="11"/>
  <c r="EB288" i="11"/>
  <c r="DZ288" i="11" s="1"/>
  <c r="DT368" i="11"/>
  <c r="DQ343" i="11"/>
  <c r="DU343" i="11"/>
  <c r="EL385" i="11"/>
  <c r="DX305" i="11"/>
  <c r="DX25" i="11" s="1"/>
  <c r="EA25" i="11"/>
  <c r="EB305" i="11"/>
  <c r="EG385" i="11"/>
  <c r="EA26" i="11"/>
  <c r="EB306" i="11"/>
  <c r="DX306" i="11"/>
  <c r="EA5" i="11"/>
  <c r="DX282" i="11"/>
  <c r="EB282" i="11"/>
  <c r="DZ282" i="11" s="1"/>
  <c r="EB283" i="11"/>
  <c r="DZ283" i="11" s="1"/>
  <c r="DX283" i="11"/>
  <c r="EB298" i="11"/>
  <c r="DZ298" i="11" s="1"/>
  <c r="DX298" i="11"/>
  <c r="DQ312" i="11"/>
  <c r="DQ316" i="11" s="1"/>
  <c r="EB301" i="11"/>
  <c r="DZ301" i="11" s="1"/>
  <c r="DX301" i="11"/>
  <c r="DX279" i="11"/>
  <c r="EB279" i="11"/>
  <c r="DZ279" i="11" s="1"/>
  <c r="EB289" i="11"/>
  <c r="DZ289" i="11" s="1"/>
  <c r="EA344" i="11"/>
  <c r="DX289" i="11"/>
  <c r="DX291" i="11"/>
  <c r="EB291" i="11"/>
  <c r="DZ291" i="11" s="1"/>
  <c r="DU391" i="11"/>
  <c r="EP434" i="11"/>
  <c r="EE393" i="11"/>
  <c r="EE387" i="11"/>
  <c r="EE400" i="11" s="1"/>
  <c r="EE406" i="11" s="1"/>
  <c r="EA9" i="11"/>
  <c r="EA27" i="11"/>
  <c r="EA313" i="11"/>
  <c r="EA317" i="11" s="1"/>
  <c r="EB307" i="11"/>
  <c r="DX307" i="11"/>
  <c r="EA353" i="11"/>
  <c r="DX281" i="11"/>
  <c r="EB281" i="11"/>
  <c r="EA312" i="11"/>
  <c r="EA316" i="11" s="1"/>
  <c r="DS293" i="11"/>
  <c r="DS22" i="11" s="1"/>
  <c r="DU22" i="11"/>
  <c r="EH303" i="11"/>
  <c r="EH279" i="11"/>
  <c r="EH297" i="11"/>
  <c r="EH292" i="11"/>
  <c r="EH283" i="11"/>
  <c r="EH299" i="11"/>
  <c r="EH301" i="11"/>
  <c r="EH286" i="11"/>
  <c r="EH294" i="11"/>
  <c r="EH302" i="11"/>
  <c r="EH300" i="11"/>
  <c r="EH278" i="11"/>
  <c r="EH291" i="11"/>
  <c r="EH305" i="11"/>
  <c r="EH295" i="11"/>
  <c r="EH298" i="11"/>
  <c r="EH287" i="11"/>
  <c r="EH290" i="11"/>
  <c r="EH284" i="11"/>
  <c r="EH304" i="11"/>
  <c r="EH285" i="11"/>
  <c r="EH282" i="11"/>
  <c r="EH288" i="11"/>
  <c r="EH296" i="11"/>
  <c r="EH289" i="11"/>
  <c r="EH281" i="11"/>
  <c r="EH293" i="11"/>
  <c r="EH280" i="11"/>
  <c r="EH306" i="11"/>
  <c r="EH307" i="11"/>
  <c r="EH308" i="11"/>
  <c r="DU19" i="11"/>
  <c r="DU311" i="11"/>
  <c r="DU315" i="11" s="1"/>
  <c r="DS280" i="11"/>
  <c r="DU21" i="11"/>
  <c r="DS290" i="11"/>
  <c r="DS21" i="11" s="1"/>
  <c r="DU26" i="11"/>
  <c r="DU5" i="11"/>
  <c r="DS306" i="11"/>
  <c r="EA391" i="11"/>
  <c r="DU347" i="11"/>
  <c r="DT372" i="11"/>
  <c r="DQ347" i="11"/>
  <c r="EH389" i="11"/>
  <c r="EH394" i="11"/>
  <c r="EH390" i="11" s="1"/>
  <c r="DL391" i="11"/>
  <c r="EL434" i="11"/>
  <c r="EI387" i="11"/>
  <c r="EI400" i="11" s="1"/>
  <c r="EI406" i="11" s="1"/>
  <c r="EI393" i="11"/>
  <c r="EG434" i="11"/>
  <c r="DQ26" i="11"/>
  <c r="DQ5" i="11"/>
  <c r="DZ387" i="11"/>
  <c r="DZ400" i="11" s="1"/>
  <c r="DZ406" i="11" s="1"/>
  <c r="DZ393" i="11"/>
  <c r="DX394" i="11"/>
  <c r="DX390" i="11" s="1"/>
  <c r="DX389" i="11"/>
  <c r="EB409" i="11"/>
  <c r="EA311" i="11"/>
  <c r="EA315" i="11" s="1"/>
  <c r="EA19" i="11"/>
  <c r="DX280" i="11"/>
  <c r="EB280" i="11"/>
  <c r="EA342" i="11"/>
  <c r="DX285" i="11"/>
  <c r="EB285" i="11"/>
  <c r="DZ285" i="11" s="1"/>
  <c r="EB302" i="11"/>
  <c r="DZ302" i="11" s="1"/>
  <c r="DX302" i="11"/>
  <c r="EB303" i="11"/>
  <c r="DZ303" i="11" s="1"/>
  <c r="DX303" i="11"/>
  <c r="DU312" i="11"/>
  <c r="DU316" i="11" s="1"/>
  <c r="DS281" i="11"/>
  <c r="DM65" i="2"/>
  <c r="DM66" i="2"/>
  <c r="DQ346" i="11"/>
  <c r="DT371" i="11"/>
  <c r="DU346" i="11"/>
  <c r="DX297" i="11"/>
  <c r="EB297" i="11"/>
  <c r="DZ297" i="11" s="1"/>
  <c r="DT370" i="11"/>
  <c r="DU345" i="11"/>
  <c r="DQ345" i="11"/>
  <c r="DS305" i="11"/>
  <c r="DS25" i="11" s="1"/>
  <c r="DU25" i="11"/>
  <c r="EP385" i="11"/>
  <c r="DQ28" i="11"/>
  <c r="DQ275" i="11"/>
  <c r="DX290" i="11"/>
  <c r="DX21" i="11" s="1"/>
  <c r="EA21" i="11"/>
  <c r="EB290" i="11"/>
  <c r="DT11" i="11"/>
  <c r="DT15" i="11" s="1"/>
  <c r="DS304" i="11"/>
  <c r="DS24" i="11" s="1"/>
  <c r="DU24" i="11"/>
  <c r="EO393" i="11"/>
  <c r="EO387" i="11"/>
  <c r="EO400" i="11" s="1"/>
  <c r="EO406" i="11" s="1"/>
  <c r="EO275" i="11" s="1"/>
  <c r="DM62" i="2"/>
  <c r="DM63" i="2" s="1"/>
  <c r="DM61" i="2"/>
  <c r="EH409" i="11"/>
  <c r="DQ311" i="11"/>
  <c r="DQ315" i="11" s="1"/>
  <c r="DQ19" i="11"/>
  <c r="EB394" i="11"/>
  <c r="EB390" i="11" s="1"/>
  <c r="EB389" i="11"/>
  <c r="EB296" i="11"/>
  <c r="DX296" i="11"/>
  <c r="DX23" i="11" s="1"/>
  <c r="EA23" i="11"/>
  <c r="EA346" i="11"/>
  <c r="DX286" i="11"/>
  <c r="DX20" i="11" s="1"/>
  <c r="EB286" i="11"/>
  <c r="EA20" i="11"/>
  <c r="EB278" i="11"/>
  <c r="DZ278" i="11" s="1"/>
  <c r="DX278" i="11"/>
  <c r="DX292" i="11"/>
  <c r="EB292" i="11"/>
  <c r="DZ292" i="11" s="1"/>
  <c r="DU313" i="11"/>
  <c r="DU317" i="11" s="1"/>
  <c r="DU9" i="11"/>
  <c r="DU27" i="11"/>
  <c r="DS307" i="11"/>
  <c r="EI409" i="11" l="1"/>
  <c r="DS312" i="11"/>
  <c r="DS316" i="11" s="1"/>
  <c r="DZ409" i="11"/>
  <c r="EE294" i="11"/>
  <c r="EI294" i="11"/>
  <c r="EG294" i="11" s="1"/>
  <c r="EE298" i="11"/>
  <c r="EI298" i="11"/>
  <c r="EG298" i="11" s="1"/>
  <c r="EB19" i="11"/>
  <c r="DZ280" i="11"/>
  <c r="EB311" i="11"/>
  <c r="EB315" i="11" s="1"/>
  <c r="DU367" i="11"/>
  <c r="DU323" i="11"/>
  <c r="DU332" i="11" s="1"/>
  <c r="DS342" i="11"/>
  <c r="DQ354" i="11"/>
  <c r="DQ373" i="11"/>
  <c r="EI303" i="11"/>
  <c r="EG303" i="11" s="1"/>
  <c r="EE303" i="11"/>
  <c r="DZ304" i="11"/>
  <c r="DZ24" i="11" s="1"/>
  <c r="EB24" i="11"/>
  <c r="DZ290" i="11"/>
  <c r="DZ21" i="11" s="1"/>
  <c r="EB21" i="11"/>
  <c r="EA368" i="11"/>
  <c r="DX343" i="11"/>
  <c r="EB343" i="11"/>
  <c r="EE305" i="11"/>
  <c r="EE25" i="11" s="1"/>
  <c r="EH25" i="11"/>
  <c r="EI305" i="11"/>
  <c r="DU373" i="11"/>
  <c r="DU354" i="11"/>
  <c r="DS353" i="11"/>
  <c r="DZ286" i="11"/>
  <c r="DZ20" i="11" s="1"/>
  <c r="EB20" i="11"/>
  <c r="EE289" i="11"/>
  <c r="EI289" i="11"/>
  <c r="EG289" i="11" s="1"/>
  <c r="EH344" i="11"/>
  <c r="EO409" i="11"/>
  <c r="EA367" i="11"/>
  <c r="EB342" i="11"/>
  <c r="DX342" i="11"/>
  <c r="EA348" i="11"/>
  <c r="EI296" i="11"/>
  <c r="EH23" i="11"/>
  <c r="EE296" i="11"/>
  <c r="EE23" i="11" s="1"/>
  <c r="EH346" i="11"/>
  <c r="EH20" i="11"/>
  <c r="EI286" i="11"/>
  <c r="EE286" i="11"/>
  <c r="EE20" i="11" s="1"/>
  <c r="DZ305" i="11"/>
  <c r="DZ25" i="11" s="1"/>
  <c r="EB25" i="11"/>
  <c r="DT329" i="11"/>
  <c r="DT30" i="11"/>
  <c r="DQ348" i="11"/>
  <c r="DU348" i="11"/>
  <c r="EO394" i="11"/>
  <c r="EO390" i="11" s="1"/>
  <c r="EO389" i="11"/>
  <c r="EO391" i="11" s="1"/>
  <c r="DS26" i="11"/>
  <c r="DS5" i="11"/>
  <c r="EB9" i="11"/>
  <c r="DZ307" i="11"/>
  <c r="EB27" i="11"/>
  <c r="EB313" i="11"/>
  <c r="EB317" i="11" s="1"/>
  <c r="EI283" i="11"/>
  <c r="EG283" i="11" s="1"/>
  <c r="EE283" i="11"/>
  <c r="DQ323" i="11"/>
  <c r="DQ332" i="11" s="1"/>
  <c r="DQ367" i="11"/>
  <c r="EI287" i="11"/>
  <c r="EG287" i="11" s="1"/>
  <c r="EE287" i="11"/>
  <c r="EH343" i="11"/>
  <c r="DX346" i="11"/>
  <c r="EA371" i="11"/>
  <c r="EB346" i="11"/>
  <c r="EE308" i="11"/>
  <c r="EH28" i="11"/>
  <c r="EI308" i="11"/>
  <c r="EI288" i="11"/>
  <c r="EG288" i="11" s="1"/>
  <c r="EE288" i="11"/>
  <c r="EI301" i="11"/>
  <c r="EG301" i="11" s="1"/>
  <c r="EE301" i="11"/>
  <c r="EH313" i="11"/>
  <c r="EH317" i="11" s="1"/>
  <c r="EH27" i="11"/>
  <c r="EH353" i="11"/>
  <c r="EH9" i="11"/>
  <c r="EI307" i="11"/>
  <c r="EE307" i="11"/>
  <c r="EI304" i="11"/>
  <c r="EE304" i="11"/>
  <c r="EE24" i="11" s="1"/>
  <c r="EH24" i="11"/>
  <c r="EH347" i="11"/>
  <c r="EE278" i="11"/>
  <c r="EI278" i="11"/>
  <c r="EG278" i="11" s="1"/>
  <c r="EB26" i="11"/>
  <c r="DZ306" i="11"/>
  <c r="EB5" i="11"/>
  <c r="EL393" i="11"/>
  <c r="EL387" i="11"/>
  <c r="EL400" i="11" s="1"/>
  <c r="EL406" i="11" s="1"/>
  <c r="EB28" i="11"/>
  <c r="DZ308" i="11"/>
  <c r="EB275" i="11"/>
  <c r="EN434" i="11"/>
  <c r="EA370" i="11"/>
  <c r="DX345" i="11"/>
  <c r="EB345" i="11"/>
  <c r="DX353" i="11"/>
  <c r="EA373" i="11"/>
  <c r="EB353" i="11"/>
  <c r="DK61" i="2"/>
  <c r="DK62" i="2"/>
  <c r="DK63" i="2" s="1"/>
  <c r="DZ389" i="11"/>
  <c r="DZ394" i="11"/>
  <c r="DZ390" i="11" s="1"/>
  <c r="DU371" i="11"/>
  <c r="DS346" i="11"/>
  <c r="DU327" i="11"/>
  <c r="DU336" i="11" s="1"/>
  <c r="DX311" i="11"/>
  <c r="DX315" i="11" s="1"/>
  <c r="DX19" i="11"/>
  <c r="EE282" i="11"/>
  <c r="EI282" i="11"/>
  <c r="EG282" i="11" s="1"/>
  <c r="EI299" i="11"/>
  <c r="EG299" i="11" s="1"/>
  <c r="EE299" i="11"/>
  <c r="EA11" i="11"/>
  <c r="EA15" i="11" s="1"/>
  <c r="DX28" i="11"/>
  <c r="DX275" i="11"/>
  <c r="EN385" i="11"/>
  <c r="DQ11" i="11"/>
  <c r="DQ14" i="11" s="1"/>
  <c r="EH26" i="11"/>
  <c r="EI306" i="11"/>
  <c r="EE306" i="11"/>
  <c r="EH5" i="11"/>
  <c r="EE285" i="11"/>
  <c r="EI285" i="11"/>
  <c r="EG285" i="11" s="1"/>
  <c r="EE291" i="11"/>
  <c r="EI291" i="11"/>
  <c r="EG291" i="11" s="1"/>
  <c r="DX26" i="11"/>
  <c r="DX5" i="11"/>
  <c r="EB23" i="11"/>
  <c r="DZ296" i="11"/>
  <c r="DZ23" i="11" s="1"/>
  <c r="DT12" i="11"/>
  <c r="DT62" i="11"/>
  <c r="DZ4" i="4"/>
  <c r="DT356" i="11"/>
  <c r="DT361" i="11" s="1"/>
  <c r="DT309" i="11"/>
  <c r="DT217" i="11" s="1"/>
  <c r="DQ327" i="11"/>
  <c r="DQ336" i="11" s="1"/>
  <c r="DQ371" i="11"/>
  <c r="EH391" i="11"/>
  <c r="EE280" i="11"/>
  <c r="EH311" i="11"/>
  <c r="EH315" i="11" s="1"/>
  <c r="EH19" i="11"/>
  <c r="EI280" i="11"/>
  <c r="EH342" i="11"/>
  <c r="EI292" i="11"/>
  <c r="EG292" i="11" s="1"/>
  <c r="EE292" i="11"/>
  <c r="EB391" i="11"/>
  <c r="DT14" i="11"/>
  <c r="DT16" i="11" s="1"/>
  <c r="DQ326" i="11"/>
  <c r="DQ335" i="11" s="1"/>
  <c r="DQ370" i="11"/>
  <c r="DQ372" i="11"/>
  <c r="DQ328" i="11"/>
  <c r="DQ337" i="11" s="1"/>
  <c r="EI293" i="11"/>
  <c r="EH22" i="11"/>
  <c r="EE293" i="11"/>
  <c r="EE22" i="11" s="1"/>
  <c r="EH345" i="11"/>
  <c r="EI284" i="11"/>
  <c r="EG284" i="11" s="1"/>
  <c r="EE284" i="11"/>
  <c r="EE300" i="11"/>
  <c r="EI300" i="11"/>
  <c r="EG300" i="11" s="1"/>
  <c r="EE297" i="11"/>
  <c r="EI297" i="11"/>
  <c r="EG297" i="11" s="1"/>
  <c r="EB312" i="11"/>
  <c r="EB316" i="11" s="1"/>
  <c r="DZ281" i="11"/>
  <c r="EE409" i="11"/>
  <c r="EB344" i="11"/>
  <c r="DX344" i="11"/>
  <c r="EA369" i="11"/>
  <c r="DU368" i="11"/>
  <c r="DU324" i="11"/>
  <c r="DU333" i="11" s="1"/>
  <c r="DS343" i="11"/>
  <c r="EB22" i="11"/>
  <c r="DZ293" i="11"/>
  <c r="DZ22" i="11" s="1"/>
  <c r="EO291" i="11"/>
  <c r="EO284" i="11"/>
  <c r="EO302" i="11"/>
  <c r="EO283" i="11"/>
  <c r="EO285" i="11"/>
  <c r="EO294" i="11"/>
  <c r="EO299" i="11"/>
  <c r="EO301" i="11"/>
  <c r="EO288" i="11"/>
  <c r="EO281" i="11"/>
  <c r="EO282" i="11"/>
  <c r="EO279" i="11"/>
  <c r="EO305" i="11"/>
  <c r="EO286" i="11"/>
  <c r="EO295" i="11"/>
  <c r="EO292" i="11"/>
  <c r="EO303" i="11"/>
  <c r="EO289" i="11"/>
  <c r="EO290" i="11"/>
  <c r="EO278" i="11"/>
  <c r="EO298" i="11"/>
  <c r="EO287" i="11"/>
  <c r="EO297" i="11"/>
  <c r="EO300" i="11"/>
  <c r="EO293" i="11"/>
  <c r="EO296" i="11"/>
  <c r="EO304" i="11"/>
  <c r="EO280" i="11"/>
  <c r="EO306" i="11"/>
  <c r="EO307" i="11"/>
  <c r="EO308" i="11"/>
  <c r="DS347" i="11"/>
  <c r="DU372" i="11"/>
  <c r="DU328" i="11"/>
  <c r="DU337" i="11" s="1"/>
  <c r="EE389" i="11"/>
  <c r="EE394" i="11"/>
  <c r="EE390" i="11" s="1"/>
  <c r="DQ325" i="11"/>
  <c r="DQ334" i="11" s="1"/>
  <c r="DQ369" i="11"/>
  <c r="DX9" i="11"/>
  <c r="DX27" i="11"/>
  <c r="DX313" i="11"/>
  <c r="DX317" i="11" s="1"/>
  <c r="DS28" i="11"/>
  <c r="DS275" i="11"/>
  <c r="EI295" i="11"/>
  <c r="EG295" i="11" s="1"/>
  <c r="EE295" i="11"/>
  <c r="DU11" i="11"/>
  <c r="DU15" i="11" s="1"/>
  <c r="DS313" i="11"/>
  <c r="DS317" i="11" s="1"/>
  <c r="DS9" i="11"/>
  <c r="DS27" i="11"/>
  <c r="EP387" i="11"/>
  <c r="EP400" i="11" s="1"/>
  <c r="EP406" i="11" s="1"/>
  <c r="EP393" i="11"/>
  <c r="DU326" i="11"/>
  <c r="DU335" i="11" s="1"/>
  <c r="DU370" i="11"/>
  <c r="DS345" i="11"/>
  <c r="DX391" i="11"/>
  <c r="EI389" i="11"/>
  <c r="EI394" i="11"/>
  <c r="EI390" i="11" s="1"/>
  <c r="DS311" i="11"/>
  <c r="DS315" i="11" s="1"/>
  <c r="DS19" i="11"/>
  <c r="EH312" i="11"/>
  <c r="EH316" i="11" s="1"/>
  <c r="EI281" i="11"/>
  <c r="EE281" i="11"/>
  <c r="EH21" i="11"/>
  <c r="EI290" i="11"/>
  <c r="EE290" i="11"/>
  <c r="EE21" i="11" s="1"/>
  <c r="EE302" i="11"/>
  <c r="EI302" i="11"/>
  <c r="EG302" i="11" s="1"/>
  <c r="EI279" i="11"/>
  <c r="EG279" i="11" s="1"/>
  <c r="EE279" i="11"/>
  <c r="DX312" i="11"/>
  <c r="DX316" i="11" s="1"/>
  <c r="EG393" i="11"/>
  <c r="EG387" i="11"/>
  <c r="EG400" i="11" s="1"/>
  <c r="EG406" i="11" s="1"/>
  <c r="DQ324" i="11"/>
  <c r="DQ333" i="11" s="1"/>
  <c r="DQ368" i="11"/>
  <c r="DS344" i="11"/>
  <c r="DU369" i="11"/>
  <c r="DU325" i="11"/>
  <c r="DU334" i="11" s="1"/>
  <c r="DK65" i="2"/>
  <c r="DK66" i="2"/>
  <c r="EB347" i="11"/>
  <c r="EA372" i="11"/>
  <c r="DX347" i="11"/>
  <c r="EL409" i="11" l="1"/>
  <c r="DQ15" i="11"/>
  <c r="EI391" i="11"/>
  <c r="EP409" i="11"/>
  <c r="DQ16" i="11"/>
  <c r="EE312" i="11"/>
  <c r="EE316" i="11" s="1"/>
  <c r="EG409" i="11"/>
  <c r="EA366" i="11"/>
  <c r="DT362" i="11"/>
  <c r="DT45" i="11"/>
  <c r="DZ311" i="11"/>
  <c r="DZ315" i="11" s="1"/>
  <c r="DZ19" i="11"/>
  <c r="DS326" i="11"/>
  <c r="DS335" i="11" s="1"/>
  <c r="DS370" i="11"/>
  <c r="EP304" i="11"/>
  <c r="EL304" i="11"/>
  <c r="EL24" i="11" s="1"/>
  <c r="EO24" i="11"/>
  <c r="EO347" i="11"/>
  <c r="EE9" i="11"/>
  <c r="EE313" i="11"/>
  <c r="EE317" i="11" s="1"/>
  <c r="EE27" i="11"/>
  <c r="EB348" i="11"/>
  <c r="EA329" i="11"/>
  <c r="EA30" i="11"/>
  <c r="DX348" i="11"/>
  <c r="EB324" i="11"/>
  <c r="EB333" i="11" s="1"/>
  <c r="EB368" i="11"/>
  <c r="DZ343" i="11"/>
  <c r="EG293" i="11"/>
  <c r="EG22" i="11" s="1"/>
  <c r="EI22" i="11"/>
  <c r="EP284" i="11"/>
  <c r="EN284" i="11" s="1"/>
  <c r="EL284" i="11"/>
  <c r="EL293" i="11"/>
  <c r="EL22" i="11" s="1"/>
  <c r="EO22" i="11"/>
  <c r="EP293" i="11"/>
  <c r="EO345" i="11"/>
  <c r="DX367" i="11"/>
  <c r="DX323" i="11"/>
  <c r="DX332" i="11" s="1"/>
  <c r="DX368" i="11"/>
  <c r="DX324" i="11"/>
  <c r="DX333" i="11" s="1"/>
  <c r="EE391" i="11"/>
  <c r="EI23" i="11"/>
  <c r="EG296" i="11"/>
  <c r="EG23" i="11" s="1"/>
  <c r="EP281" i="11"/>
  <c r="EO312" i="11"/>
  <c r="EO316" i="11" s="1"/>
  <c r="EL281" i="11"/>
  <c r="EE353" i="11"/>
  <c r="EI353" i="11"/>
  <c r="EH373" i="11"/>
  <c r="EI343" i="11"/>
  <c r="EH368" i="11"/>
  <c r="EE343" i="11"/>
  <c r="EG286" i="11"/>
  <c r="EG20" i="11" s="1"/>
  <c r="EI20" i="11"/>
  <c r="DZ342" i="11"/>
  <c r="EB323" i="11"/>
  <c r="EB332" i="11" s="1"/>
  <c r="EB367" i="11"/>
  <c r="DS354" i="11"/>
  <c r="DS373" i="11"/>
  <c r="EL278" i="11"/>
  <c r="EP278" i="11"/>
  <c r="EN278" i="11" s="1"/>
  <c r="EI26" i="11"/>
  <c r="EI5" i="11"/>
  <c r="EG306" i="11"/>
  <c r="EL302" i="11"/>
  <c r="EP302" i="11"/>
  <c r="EN302" i="11" s="1"/>
  <c r="DX325" i="11"/>
  <c r="DX334" i="11" s="1"/>
  <c r="DX369" i="11"/>
  <c r="EG280" i="11"/>
  <c r="EI19" i="11"/>
  <c r="EI311" i="11"/>
  <c r="EI315" i="11" s="1"/>
  <c r="DS327" i="11"/>
  <c r="DS336" i="11" s="1"/>
  <c r="DS371" i="11"/>
  <c r="EI9" i="11"/>
  <c r="EI27" i="11"/>
  <c r="EI313" i="11"/>
  <c r="EI317" i="11" s="1"/>
  <c r="EG307" i="11"/>
  <c r="EP291" i="11"/>
  <c r="EN291" i="11" s="1"/>
  <c r="EL291" i="11"/>
  <c r="DZ345" i="11"/>
  <c r="EB326" i="11"/>
  <c r="EB335" i="11" s="1"/>
  <c r="EB370" i="11"/>
  <c r="EI28" i="11"/>
  <c r="EG308" i="11"/>
  <c r="EI275" i="11"/>
  <c r="EP292" i="11"/>
  <c r="EN292" i="11" s="1"/>
  <c r="EL292" i="11"/>
  <c r="DZ312" i="11"/>
  <c r="DZ316" i="11" s="1"/>
  <c r="DS323" i="11"/>
  <c r="DS332" i="11" s="1"/>
  <c r="DS367" i="11"/>
  <c r="EL280" i="11"/>
  <c r="EO311" i="11"/>
  <c r="EO315" i="11" s="1"/>
  <c r="EP280" i="11"/>
  <c r="EO19" i="11"/>
  <c r="EO342" i="11"/>
  <c r="EP279" i="11"/>
  <c r="EN279" i="11" s="1"/>
  <c r="EL279" i="11"/>
  <c r="EL283" i="11"/>
  <c r="EP283" i="11"/>
  <c r="EN283" i="11" s="1"/>
  <c r="DX11" i="11"/>
  <c r="DX14" i="11" s="1"/>
  <c r="DZ353" i="11"/>
  <c r="EB354" i="11"/>
  <c r="EB373" i="11"/>
  <c r="DS11" i="11"/>
  <c r="DS15" i="11" s="1"/>
  <c r="EL290" i="11"/>
  <c r="EL21" i="11" s="1"/>
  <c r="EO21" i="11"/>
  <c r="EP290" i="11"/>
  <c r="EA12" i="11"/>
  <c r="EA356" i="11"/>
  <c r="EA361" i="11" s="1"/>
  <c r="EG4" i="4"/>
  <c r="EA62" i="11"/>
  <c r="EA309" i="11"/>
  <c r="EA217" i="11" s="1"/>
  <c r="EG281" i="11"/>
  <c r="EI312" i="11"/>
  <c r="EI316" i="11" s="1"/>
  <c r="EL296" i="11"/>
  <c r="EL23" i="11" s="1"/>
  <c r="EO346" i="11"/>
  <c r="EO23" i="11"/>
  <c r="EP296" i="11"/>
  <c r="DT374" i="11"/>
  <c r="DT378" i="11" s="1"/>
  <c r="DT379" i="11" s="1"/>
  <c r="DQ356" i="11"/>
  <c r="DU356" i="11"/>
  <c r="DU361" i="11" s="1"/>
  <c r="DT42" i="11"/>
  <c r="EA14" i="11"/>
  <c r="EA16" i="11" s="1"/>
  <c r="DX328" i="11"/>
  <c r="DX337" i="11" s="1"/>
  <c r="DX372" i="11"/>
  <c r="EP288" i="11"/>
  <c r="EN288" i="11" s="1"/>
  <c r="EL288" i="11"/>
  <c r="DZ16" i="4"/>
  <c r="DS152" i="243"/>
  <c r="DZ11" i="4"/>
  <c r="DZ13" i="4" s="1"/>
  <c r="DS328" i="11"/>
  <c r="DS337" i="11" s="1"/>
  <c r="DS372" i="11"/>
  <c r="EP300" i="11"/>
  <c r="EN300" i="11" s="1"/>
  <c r="EL300" i="11"/>
  <c r="EL301" i="11"/>
  <c r="EP301" i="11"/>
  <c r="EN301" i="11" s="1"/>
  <c r="DQ62" i="11"/>
  <c r="DZ63" i="4"/>
  <c r="DU62" i="11"/>
  <c r="DT70" i="11"/>
  <c r="EN387" i="11"/>
  <c r="EN400" i="11" s="1"/>
  <c r="EN406" i="11" s="1"/>
  <c r="EN393" i="11"/>
  <c r="EN409" i="11"/>
  <c r="DX326" i="11"/>
  <c r="DX335" i="11" s="1"/>
  <c r="DX370" i="11"/>
  <c r="EE347" i="11"/>
  <c r="EH372" i="11"/>
  <c r="EI347" i="11"/>
  <c r="DZ347" i="11"/>
  <c r="EB372" i="11"/>
  <c r="EB328" i="11"/>
  <c r="EB337" i="11" s="1"/>
  <c r="EP389" i="11"/>
  <c r="EP394" i="11"/>
  <c r="EP390" i="11" s="1"/>
  <c r="EO28" i="11"/>
  <c r="EL308" i="11"/>
  <c r="EP308" i="11"/>
  <c r="EP297" i="11"/>
  <c r="EN297" i="11" s="1"/>
  <c r="EL297" i="11"/>
  <c r="EP295" i="11"/>
  <c r="EN295" i="11" s="1"/>
  <c r="EL295" i="11"/>
  <c r="EL299" i="11"/>
  <c r="EP299" i="11"/>
  <c r="EN299" i="11" s="1"/>
  <c r="EE345" i="11"/>
  <c r="EH370" i="11"/>
  <c r="EI345" i="11"/>
  <c r="EE19" i="11"/>
  <c r="EE311" i="11"/>
  <c r="EE315" i="11" s="1"/>
  <c r="DZ391" i="11"/>
  <c r="EL394" i="11"/>
  <c r="EL390" i="11" s="1"/>
  <c r="EL389" i="11"/>
  <c r="DU30" i="11"/>
  <c r="DU329" i="11"/>
  <c r="DS348" i="11"/>
  <c r="EO313" i="11"/>
  <c r="EO317" i="11" s="1"/>
  <c r="EP307" i="11"/>
  <c r="EO9" i="11"/>
  <c r="EO27" i="11"/>
  <c r="EL307" i="11"/>
  <c r="EO353" i="11"/>
  <c r="EL287" i="11"/>
  <c r="EP287" i="11"/>
  <c r="EN287" i="11" s="1"/>
  <c r="EO343" i="11"/>
  <c r="EP286" i="11"/>
  <c r="EL286" i="11"/>
  <c r="EL20" i="11" s="1"/>
  <c r="EO20" i="11"/>
  <c r="EL294" i="11"/>
  <c r="EP294" i="11"/>
  <c r="EN294" i="11" s="1"/>
  <c r="DS324" i="11"/>
  <c r="DS333" i="11" s="1"/>
  <c r="DS368" i="11"/>
  <c r="EH11" i="11"/>
  <c r="EH15" i="11" s="1"/>
  <c r="EB11" i="11"/>
  <c r="EB14" i="11" s="1"/>
  <c r="EE28" i="11"/>
  <c r="EE275" i="11"/>
  <c r="DZ313" i="11"/>
  <c r="DZ317" i="11" s="1"/>
  <c r="DZ9" i="11"/>
  <c r="DZ27" i="11"/>
  <c r="DQ329" i="11"/>
  <c r="DQ30" i="11"/>
  <c r="EH371" i="11"/>
  <c r="EE346" i="11"/>
  <c r="EI346" i="11"/>
  <c r="DZ28" i="11"/>
  <c r="DZ275" i="11"/>
  <c r="EL282" i="11"/>
  <c r="EP282" i="11"/>
  <c r="EN282" i="11" s="1"/>
  <c r="EH367" i="11"/>
  <c r="EE342" i="11"/>
  <c r="EI342" i="11"/>
  <c r="EH348" i="11"/>
  <c r="DX371" i="11"/>
  <c r="DX327" i="11"/>
  <c r="DX336" i="11" s="1"/>
  <c r="DU12" i="11"/>
  <c r="EA4" i="4"/>
  <c r="DU309" i="11"/>
  <c r="DU217" i="11" s="1"/>
  <c r="EP289" i="11"/>
  <c r="EN289" i="11" s="1"/>
  <c r="EL289" i="11"/>
  <c r="EO344" i="11"/>
  <c r="DQ12" i="11"/>
  <c r="DW4" i="4"/>
  <c r="DQ309" i="11"/>
  <c r="DQ217" i="11" s="1"/>
  <c r="DX354" i="11"/>
  <c r="DX373" i="11"/>
  <c r="DS325" i="11"/>
  <c r="DS334" i="11" s="1"/>
  <c r="DS369" i="11"/>
  <c r="DU14" i="11"/>
  <c r="DU16" i="11" s="1"/>
  <c r="EP303" i="11"/>
  <c r="EN303" i="11" s="1"/>
  <c r="EL303" i="11"/>
  <c r="EB369" i="11"/>
  <c r="DZ344" i="11"/>
  <c r="EB325" i="11"/>
  <c r="EB334" i="11" s="1"/>
  <c r="EG389" i="11"/>
  <c r="EG394" i="11"/>
  <c r="EG390" i="11" s="1"/>
  <c r="EI21" i="11"/>
  <c r="EG290" i="11"/>
  <c r="EG21" i="11" s="1"/>
  <c r="EO26" i="11"/>
  <c r="EP306" i="11"/>
  <c r="EL306" i="11"/>
  <c r="EO5" i="11"/>
  <c r="EP298" i="11"/>
  <c r="EN298" i="11" s="1"/>
  <c r="EL298" i="11"/>
  <c r="EL305" i="11"/>
  <c r="EL25" i="11" s="1"/>
  <c r="EP305" i="11"/>
  <c r="EO25" i="11"/>
  <c r="EL285" i="11"/>
  <c r="EP285" i="11"/>
  <c r="EN285" i="11" s="1"/>
  <c r="EE26" i="11"/>
  <c r="EE5" i="11"/>
  <c r="DZ5" i="11"/>
  <c r="DZ26" i="11"/>
  <c r="EG304" i="11"/>
  <c r="EG24" i="11" s="1"/>
  <c r="EI24" i="11"/>
  <c r="DZ346" i="11"/>
  <c r="EB371" i="11"/>
  <c r="EB327" i="11"/>
  <c r="EB336" i="11" s="1"/>
  <c r="EE344" i="11"/>
  <c r="EH369" i="11"/>
  <c r="EI344" i="11"/>
  <c r="EI25" i="11"/>
  <c r="EG305" i="11"/>
  <c r="EG25" i="11" s="1"/>
  <c r="EL391" i="11" l="1"/>
  <c r="DX15" i="11"/>
  <c r="DX16" i="11" s="1"/>
  <c r="EG391" i="11"/>
  <c r="EH14" i="11"/>
  <c r="EH16" i="11" s="1"/>
  <c r="EH366" i="11"/>
  <c r="EA362" i="11"/>
  <c r="EA45" i="11"/>
  <c r="DS30" i="11"/>
  <c r="DS329" i="11"/>
  <c r="EG313" i="11"/>
  <c r="EG317" i="11" s="1"/>
  <c r="EG27" i="11"/>
  <c r="EG9" i="11"/>
  <c r="EG346" i="11"/>
  <c r="EI371" i="11"/>
  <c r="EI327" i="11"/>
  <c r="EI336" i="11" s="1"/>
  <c r="EP391" i="11"/>
  <c r="DZ324" i="11"/>
  <c r="DZ333" i="11" s="1"/>
  <c r="DZ368" i="11"/>
  <c r="EN389" i="11"/>
  <c r="EN394" i="11"/>
  <c r="EN390" i="11" s="1"/>
  <c r="EI324" i="11"/>
  <c r="EI333" i="11" s="1"/>
  <c r="EI368" i="11"/>
  <c r="EG343" i="11"/>
  <c r="EE15" i="11"/>
  <c r="EG19" i="11"/>
  <c r="EG311" i="11"/>
  <c r="EG315" i="11" s="1"/>
  <c r="EL311" i="11"/>
  <c r="EL315" i="11" s="1"/>
  <c r="EL19" i="11"/>
  <c r="EO370" i="11"/>
  <c r="EL345" i="11"/>
  <c r="EP345" i="11"/>
  <c r="EN296" i="11"/>
  <c r="EN23" i="11" s="1"/>
  <c r="EP23" i="11"/>
  <c r="EP347" i="11"/>
  <c r="EO372" i="11"/>
  <c r="EL347" i="11"/>
  <c r="DT46" i="11"/>
  <c r="DT47" i="11"/>
  <c r="DZ26" i="4"/>
  <c r="DT58" i="11"/>
  <c r="EL343" i="11"/>
  <c r="EO368" i="11"/>
  <c r="EP343" i="11"/>
  <c r="DT43" i="11"/>
  <c r="DZ115" i="4"/>
  <c r="EO11" i="11"/>
  <c r="EO15" i="11" s="1"/>
  <c r="EE323" i="11"/>
  <c r="EE332" i="11" s="1"/>
  <c r="EE367" i="11"/>
  <c r="EE368" i="11"/>
  <c r="EE324" i="11"/>
  <c r="EE333" i="11" s="1"/>
  <c r="EA11" i="4"/>
  <c r="EA13" i="4" s="1"/>
  <c r="DT152" i="243"/>
  <c r="EA16" i="4"/>
  <c r="EL353" i="11"/>
  <c r="EP353" i="11"/>
  <c r="EO373" i="11"/>
  <c r="EN308" i="11"/>
  <c r="EP28" i="11"/>
  <c r="EP275" i="11"/>
  <c r="DX62" i="11"/>
  <c r="EB62" i="11"/>
  <c r="EG63" i="4"/>
  <c r="EA70" i="11"/>
  <c r="EL342" i="11"/>
  <c r="EP342" i="11"/>
  <c r="EO367" i="11"/>
  <c r="EO348" i="11"/>
  <c r="EG353" i="11"/>
  <c r="EI373" i="11"/>
  <c r="EI354" i="11"/>
  <c r="DX30" i="11"/>
  <c r="DX329" i="11"/>
  <c r="DT363" i="11"/>
  <c r="EE11" i="11"/>
  <c r="EE14" i="11" s="1"/>
  <c r="EI323" i="11"/>
  <c r="EI332" i="11" s="1"/>
  <c r="EI367" i="11"/>
  <c r="EG342" i="11"/>
  <c r="DQ63" i="11"/>
  <c r="DW63" i="4"/>
  <c r="EG28" i="11"/>
  <c r="EG275" i="11"/>
  <c r="DU362" i="11"/>
  <c r="EB366" i="11"/>
  <c r="DU45" i="11"/>
  <c r="EG312" i="11"/>
  <c r="EG316" i="11" s="1"/>
  <c r="EN281" i="11"/>
  <c r="EP312" i="11"/>
  <c r="EP316" i="11" s="1"/>
  <c r="EL26" i="11"/>
  <c r="EL5" i="11"/>
  <c r="EE371" i="11"/>
  <c r="EE327" i="11"/>
  <c r="EE336" i="11" s="1"/>
  <c r="DS12" i="11"/>
  <c r="DY4" i="4"/>
  <c r="DS309" i="11"/>
  <c r="DS217" i="11" s="1"/>
  <c r="DZ371" i="11"/>
  <c r="DZ327" i="11"/>
  <c r="DZ336" i="11" s="1"/>
  <c r="EL28" i="11"/>
  <c r="EL275" i="11"/>
  <c r="EG16" i="4"/>
  <c r="DZ152" i="243"/>
  <c r="EG11" i="4"/>
  <c r="EG13" i="4" s="1"/>
  <c r="EI372" i="11"/>
  <c r="EG347" i="11"/>
  <c r="EI328" i="11"/>
  <c r="EI337" i="11" s="1"/>
  <c r="EG26" i="11"/>
  <c r="EG5" i="11"/>
  <c r="EA63" i="4"/>
  <c r="DU63" i="11"/>
  <c r="DS62" i="11"/>
  <c r="EL346" i="11"/>
  <c r="EO371" i="11"/>
  <c r="EP346" i="11"/>
  <c r="DZ354" i="11"/>
  <c r="DZ373" i="11"/>
  <c r="EI11" i="11"/>
  <c r="EI15" i="11" s="1"/>
  <c r="DZ323" i="11"/>
  <c r="DZ332" i="11" s="1"/>
  <c r="DZ367" i="11"/>
  <c r="EE373" i="11"/>
  <c r="EE354" i="11"/>
  <c r="EB30" i="11"/>
  <c r="EB329" i="11"/>
  <c r="DZ348" i="11"/>
  <c r="DU357" i="11"/>
  <c r="DS356" i="11"/>
  <c r="DS361" i="11" s="1"/>
  <c r="DU374" i="11"/>
  <c r="DU378" i="11" s="1"/>
  <c r="DU379" i="11" s="1"/>
  <c r="DU42" i="11"/>
  <c r="EI326" i="11"/>
  <c r="EI335" i="11" s="1"/>
  <c r="EI370" i="11"/>
  <c r="EG345" i="11"/>
  <c r="DQ357" i="11"/>
  <c r="DQ42" i="11"/>
  <c r="DQ374" i="11"/>
  <c r="DQ378" i="11" s="1"/>
  <c r="EN293" i="11"/>
  <c r="EN22" i="11" s="1"/>
  <c r="EP22" i="11"/>
  <c r="EP26" i="11"/>
  <c r="EP5" i="11"/>
  <c r="EN306" i="11"/>
  <c r="DZ325" i="11"/>
  <c r="DZ334" i="11" s="1"/>
  <c r="DZ369" i="11"/>
  <c r="DS14" i="11"/>
  <c r="DS16" i="11" s="1"/>
  <c r="EG344" i="11"/>
  <c r="EI369" i="11"/>
  <c r="EI325" i="11"/>
  <c r="EI334" i="11" s="1"/>
  <c r="DQ361" i="11"/>
  <c r="EL9" i="11"/>
  <c r="EL313" i="11"/>
  <c r="EL317" i="11" s="1"/>
  <c r="EL27" i="11"/>
  <c r="EE326" i="11"/>
  <c r="EE335" i="11" s="1"/>
  <c r="EE370" i="11"/>
  <c r="DZ372" i="11"/>
  <c r="DZ328" i="11"/>
  <c r="DZ337" i="11" s="1"/>
  <c r="EN305" i="11"/>
  <c r="EN25" i="11" s="1"/>
  <c r="EP25" i="11"/>
  <c r="DP152" i="243"/>
  <c r="DW16" i="4"/>
  <c r="DW11" i="4"/>
  <c r="DW13" i="4" s="1"/>
  <c r="EB12" i="11"/>
  <c r="EH4" i="4"/>
  <c r="EB309" i="11"/>
  <c r="EB217" i="11" s="1"/>
  <c r="DQ70" i="11"/>
  <c r="DZ141" i="4"/>
  <c r="DZ149" i="4" s="1"/>
  <c r="DU70" i="11"/>
  <c r="EA374" i="11"/>
  <c r="EA378" i="11" s="1"/>
  <c r="EA379" i="11" s="1"/>
  <c r="DX356" i="11"/>
  <c r="EB356" i="11"/>
  <c r="EA42" i="11"/>
  <c r="DZ370" i="11"/>
  <c r="DZ326" i="11"/>
  <c r="DZ335" i="11" s="1"/>
  <c r="EE369" i="11"/>
  <c r="EE325" i="11"/>
  <c r="EE334" i="11" s="1"/>
  <c r="EB15" i="11"/>
  <c r="EB16" i="11" s="1"/>
  <c r="DZ11" i="11"/>
  <c r="DZ15" i="11" s="1"/>
  <c r="EL344" i="11"/>
  <c r="EO369" i="11"/>
  <c r="EP344" i="11"/>
  <c r="EH329" i="11"/>
  <c r="EH30" i="11"/>
  <c r="EI348" i="11"/>
  <c r="EE348" i="11"/>
  <c r="EH12" i="11"/>
  <c r="EH356" i="11"/>
  <c r="EH361" i="11" s="1"/>
  <c r="EN4" i="4"/>
  <c r="EH62" i="11"/>
  <c r="EH309" i="11"/>
  <c r="EH217" i="11" s="1"/>
  <c r="EN286" i="11"/>
  <c r="EN20" i="11" s="1"/>
  <c r="EP20" i="11"/>
  <c r="EP313" i="11"/>
  <c r="EP317" i="11" s="1"/>
  <c r="EP27" i="11"/>
  <c r="EP9" i="11"/>
  <c r="EN307" i="11"/>
  <c r="EE328" i="11"/>
  <c r="EE337" i="11" s="1"/>
  <c r="EE372" i="11"/>
  <c r="DZ87" i="4"/>
  <c r="DZ94" i="4" s="1"/>
  <c r="DZ96" i="4" s="1"/>
  <c r="DZ98" i="4" s="1"/>
  <c r="DZ70" i="4"/>
  <c r="DZ72" i="4" s="1"/>
  <c r="DZ23" i="4"/>
  <c r="DS8" i="2"/>
  <c r="DS154" i="243"/>
  <c r="EN290" i="11"/>
  <c r="EN21" i="11" s="1"/>
  <c r="EP21" i="11"/>
  <c r="DX12" i="11"/>
  <c r="ED4" i="4"/>
  <c r="DX309" i="11"/>
  <c r="DX217" i="11" s="1"/>
  <c r="EP311" i="11"/>
  <c r="EP315" i="11" s="1"/>
  <c r="EP19" i="11"/>
  <c r="EN280" i="11"/>
  <c r="EL312" i="11"/>
  <c r="EL316" i="11" s="1"/>
  <c r="EN304" i="11"/>
  <c r="EN24" i="11" s="1"/>
  <c r="EP24" i="11"/>
  <c r="EE16" i="11" l="1"/>
  <c r="EN312" i="11"/>
  <c r="EN316" i="11" s="1"/>
  <c r="EO14" i="11"/>
  <c r="EO16" i="11" s="1"/>
  <c r="DQ379" i="11"/>
  <c r="DX42" i="11"/>
  <c r="DX357" i="11"/>
  <c r="DX374" i="11"/>
  <c r="EG325" i="11"/>
  <c r="EG334" i="11" s="1"/>
  <c r="EG369" i="11"/>
  <c r="EP368" i="11"/>
  <c r="EN343" i="11"/>
  <c r="EP324" i="11"/>
  <c r="EP333" i="11" s="1"/>
  <c r="EA152" i="243"/>
  <c r="EH16" i="4"/>
  <c r="EH11" i="4"/>
  <c r="EH13" i="4" s="1"/>
  <c r="EG23" i="4"/>
  <c r="DZ8" i="2"/>
  <c r="DZ154" i="243"/>
  <c r="EL370" i="11"/>
  <c r="EL326" i="11"/>
  <c r="EL335" i="11" s="1"/>
  <c r="DU43" i="11"/>
  <c r="EA115" i="4"/>
  <c r="EN28" i="11"/>
  <c r="EN275" i="11"/>
  <c r="EG367" i="11"/>
  <c r="EG323" i="11"/>
  <c r="EG332" i="11" s="1"/>
  <c r="DX70" i="11"/>
  <c r="EB70" i="11"/>
  <c r="EG141" i="4"/>
  <c r="EG149" i="4" s="1"/>
  <c r="EP372" i="11"/>
  <c r="EP328" i="11"/>
  <c r="EP337" i="11" s="1"/>
  <c r="EN347" i="11"/>
  <c r="EN391" i="11"/>
  <c r="EA47" i="11"/>
  <c r="EA46" i="11"/>
  <c r="EG26" i="4"/>
  <c r="EA58" i="11"/>
  <c r="DS362" i="11"/>
  <c r="DZ366" i="11"/>
  <c r="DS45" i="11"/>
  <c r="EE329" i="11"/>
  <c r="EE30" i="11"/>
  <c r="EB42" i="11"/>
  <c r="EB357" i="11"/>
  <c r="EB374" i="11"/>
  <c r="DZ356" i="11"/>
  <c r="DZ361" i="11" s="1"/>
  <c r="EI14" i="11"/>
  <c r="EI16" i="11" s="1"/>
  <c r="DW23" i="4"/>
  <c r="DP154" i="243"/>
  <c r="DP153" i="243" s="1"/>
  <c r="DP8" i="2"/>
  <c r="DY11" i="4"/>
  <c r="DY13" i="4" s="1"/>
  <c r="DY16" i="4"/>
  <c r="DR152" i="243"/>
  <c r="DT8" i="2"/>
  <c r="EA23" i="4"/>
  <c r="DT154" i="243"/>
  <c r="EG327" i="11"/>
  <c r="EG336" i="11" s="1"/>
  <c r="EG371" i="11"/>
  <c r="DW152" i="243"/>
  <c r="ED16" i="4"/>
  <c r="ED11" i="4"/>
  <c r="ED13" i="4" s="1"/>
  <c r="DQ43" i="11"/>
  <c r="DW115" i="4"/>
  <c r="EE62" i="11"/>
  <c r="EN63" i="4"/>
  <c r="EI62" i="11"/>
  <c r="EH70" i="11"/>
  <c r="EG70" i="4"/>
  <c r="EG72" i="4" s="1"/>
  <c r="EG87" i="4"/>
  <c r="EG94" i="4" s="1"/>
  <c r="EG96" i="4" s="1"/>
  <c r="EG98" i="4" s="1"/>
  <c r="EN353" i="11"/>
  <c r="EP373" i="11"/>
  <c r="EP354" i="11"/>
  <c r="EI12" i="11"/>
  <c r="EO4" i="4"/>
  <c r="EI309" i="11"/>
  <c r="EI217" i="11" s="1"/>
  <c r="EA70" i="4"/>
  <c r="EA72" i="4" s="1"/>
  <c r="EA87" i="4"/>
  <c r="EA94" i="4" s="1"/>
  <c r="EA96" i="4" s="1"/>
  <c r="EA98" i="4" s="1"/>
  <c r="DZ14" i="11"/>
  <c r="DZ16" i="11" s="1"/>
  <c r="EP367" i="11"/>
  <c r="EP323" i="11"/>
  <c r="EP332" i="11" s="1"/>
  <c r="EN342" i="11"/>
  <c r="DS20" i="2"/>
  <c r="DS5" i="242" s="1"/>
  <c r="DP5" i="242" s="1"/>
  <c r="DZ99" i="4"/>
  <c r="DS116" i="243"/>
  <c r="EI329" i="11"/>
  <c r="EI30" i="11"/>
  <c r="EG348" i="11"/>
  <c r="DS374" i="11"/>
  <c r="DS378" i="11" s="1"/>
  <c r="DS379" i="11" s="1"/>
  <c r="DS357" i="11"/>
  <c r="DS42" i="11"/>
  <c r="EG11" i="11"/>
  <c r="EG14" i="11" s="1"/>
  <c r="DU46" i="11"/>
  <c r="DU47" i="11"/>
  <c r="EA26" i="4"/>
  <c r="EL367" i="11"/>
  <c r="EL323" i="11"/>
  <c r="EL332" i="11" s="1"/>
  <c r="EG372" i="11"/>
  <c r="EG328" i="11"/>
  <c r="EG337" i="11" s="1"/>
  <c r="EL11" i="11"/>
  <c r="EL14" i="11" s="1"/>
  <c r="EB63" i="11"/>
  <c r="EH63" i="4"/>
  <c r="DZ62" i="11"/>
  <c r="EL373" i="11"/>
  <c r="EL354" i="11"/>
  <c r="DT59" i="11"/>
  <c r="DT60" i="11"/>
  <c r="DQ58" i="11"/>
  <c r="DU58" i="11"/>
  <c r="DZ51" i="4"/>
  <c r="EA363" i="11"/>
  <c r="DS9" i="2"/>
  <c r="DS10" i="2" s="1"/>
  <c r="DS11" i="2" s="1"/>
  <c r="DS274" i="243"/>
  <c r="DS14" i="2"/>
  <c r="EL369" i="11"/>
  <c r="EL325" i="11"/>
  <c r="EL334" i="11" s="1"/>
  <c r="EA43" i="11"/>
  <c r="EG115" i="4"/>
  <c r="EO329" i="11"/>
  <c r="EO30" i="11"/>
  <c r="EL348" i="11"/>
  <c r="EP348" i="11"/>
  <c r="DZ12" i="11"/>
  <c r="EF4" i="4"/>
  <c r="DZ309" i="11"/>
  <c r="DZ217" i="11" s="1"/>
  <c r="DZ122" i="4"/>
  <c r="DZ124" i="4" s="1"/>
  <c r="EH362" i="11"/>
  <c r="EO366" i="11"/>
  <c r="EH45" i="11"/>
  <c r="DW87" i="4"/>
  <c r="DW94" i="4" s="1"/>
  <c r="DW96" i="4" s="1"/>
  <c r="DW98" i="4" s="1"/>
  <c r="DW70" i="4"/>
  <c r="DW72" i="4" s="1"/>
  <c r="DX361" i="11"/>
  <c r="EL328" i="11"/>
  <c r="EL337" i="11" s="1"/>
  <c r="EL372" i="11"/>
  <c r="DU71" i="11"/>
  <c r="DS70" i="11"/>
  <c r="EA141" i="4"/>
  <c r="EA149" i="4" s="1"/>
  <c r="EN346" i="11"/>
  <c r="EP371" i="11"/>
  <c r="EP327" i="11"/>
  <c r="EP336" i="11" s="1"/>
  <c r="DU363" i="11"/>
  <c r="DZ150" i="4"/>
  <c r="DZ30" i="11"/>
  <c r="DZ329" i="11"/>
  <c r="EB378" i="11"/>
  <c r="EL324" i="11"/>
  <c r="EL333" i="11" s="1"/>
  <c r="EL368" i="11"/>
  <c r="EN9" i="11"/>
  <c r="EN313" i="11"/>
  <c r="EN317" i="11" s="1"/>
  <c r="EN27" i="11"/>
  <c r="EN16" i="4"/>
  <c r="EG152" i="243"/>
  <c r="EN11" i="4"/>
  <c r="EN13" i="4" s="1"/>
  <c r="EP325" i="11"/>
  <c r="EP334" i="11" s="1"/>
  <c r="EP369" i="11"/>
  <c r="EN344" i="11"/>
  <c r="DQ71" i="11"/>
  <c r="DW141" i="4"/>
  <c r="DW149" i="4" s="1"/>
  <c r="DW150" i="4" s="1"/>
  <c r="EN26" i="11"/>
  <c r="EN5" i="11"/>
  <c r="EG326" i="11"/>
  <c r="EG335" i="11" s="1"/>
  <c r="EG370" i="11"/>
  <c r="EB361" i="11"/>
  <c r="EL371" i="11"/>
  <c r="EL327" i="11"/>
  <c r="EL336" i="11" s="1"/>
  <c r="EN311" i="11"/>
  <c r="EN315" i="11" s="1"/>
  <c r="EN19" i="11"/>
  <c r="DS178" i="243"/>
  <c r="DS34" i="243" s="1"/>
  <c r="DP34" i="243" s="1"/>
  <c r="DP178" i="243" s="1"/>
  <c r="DS153" i="243"/>
  <c r="DS164" i="243"/>
  <c r="DS8" i="243" s="1"/>
  <c r="DP8" i="243" s="1"/>
  <c r="DP164" i="243" s="1"/>
  <c r="DS167" i="243"/>
  <c r="DS170" i="243"/>
  <c r="DS161" i="243"/>
  <c r="DS175" i="243"/>
  <c r="DS158" i="243"/>
  <c r="EE356" i="11"/>
  <c r="EE361" i="11" s="1"/>
  <c r="EH374" i="11"/>
  <c r="EH378" i="11" s="1"/>
  <c r="EH379" i="11" s="1"/>
  <c r="EI356" i="11"/>
  <c r="EI361" i="11" s="1"/>
  <c r="EH42" i="11"/>
  <c r="DX366" i="11"/>
  <c r="DQ362" i="11"/>
  <c r="DQ45" i="11"/>
  <c r="DQ363" i="11" s="1"/>
  <c r="EP11" i="11"/>
  <c r="EP15" i="11" s="1"/>
  <c r="DS63" i="11"/>
  <c r="DY63" i="4"/>
  <c r="EE12" i="11"/>
  <c r="EK4" i="4"/>
  <c r="EE309" i="11"/>
  <c r="EE217" i="11" s="1"/>
  <c r="EG373" i="11"/>
  <c r="EG354" i="11"/>
  <c r="DX63" i="11"/>
  <c r="ED63" i="4"/>
  <c r="EO12" i="11"/>
  <c r="EO62" i="11"/>
  <c r="EO356" i="11"/>
  <c r="EU4" i="4"/>
  <c r="EO309" i="11"/>
  <c r="EO217" i="11" s="1"/>
  <c r="DZ29" i="4"/>
  <c r="DZ31" i="4" s="1"/>
  <c r="DZ32" i="4" s="1"/>
  <c r="EP326" i="11"/>
  <c r="EP335" i="11" s="1"/>
  <c r="EP370" i="11"/>
  <c r="EN345" i="11"/>
  <c r="EG324" i="11"/>
  <c r="EG333" i="11" s="1"/>
  <c r="EG368" i="11"/>
  <c r="EL15" i="11" l="1"/>
  <c r="EP14" i="11"/>
  <c r="EG15" i="11"/>
  <c r="EG16" i="11" s="1"/>
  <c r="DP179" i="243"/>
  <c r="DP165" i="243"/>
  <c r="EB379" i="11"/>
  <c r="EL366" i="11"/>
  <c r="EE362" i="11"/>
  <c r="EE45" i="11"/>
  <c r="EN23" i="4"/>
  <c r="EG8" i="2"/>
  <c r="EG154" i="243"/>
  <c r="EH23" i="4"/>
  <c r="EA8" i="2"/>
  <c r="EA154" i="243"/>
  <c r="DS43" i="11"/>
  <c r="DY115" i="4"/>
  <c r="EE70" i="11"/>
  <c r="EI70" i="11"/>
  <c r="EN141" i="4"/>
  <c r="EN149" i="4" s="1"/>
  <c r="DT274" i="243"/>
  <c r="DS46" i="11"/>
  <c r="DS47" i="11"/>
  <c r="DY26" i="4"/>
  <c r="EK16" i="4"/>
  <c r="ED152" i="243"/>
  <c r="EK11" i="4"/>
  <c r="EK13" i="4" s="1"/>
  <c r="DS173" i="243"/>
  <c r="DS30" i="243" s="1"/>
  <c r="EG366" i="11"/>
  <c r="DZ362" i="11"/>
  <c r="DZ45" i="11"/>
  <c r="EN327" i="11"/>
  <c r="EN336" i="11" s="1"/>
  <c r="EN371" i="11"/>
  <c r="DT9" i="2"/>
  <c r="DR9" i="2" s="1"/>
  <c r="DP9" i="2"/>
  <c r="DP10" i="2" s="1"/>
  <c r="DP11" i="2" s="1"/>
  <c r="EO11" i="4"/>
  <c r="EO13" i="4" s="1"/>
  <c r="EO16" i="4"/>
  <c r="EH152" i="243"/>
  <c r="EI63" i="11"/>
  <c r="EG62" i="11"/>
  <c r="EO63" i="4"/>
  <c r="DZ374" i="11"/>
  <c r="DZ357" i="11"/>
  <c r="DZ42" i="11"/>
  <c r="EN370" i="11"/>
  <c r="EN326" i="11"/>
  <c r="EN335" i="11" s="1"/>
  <c r="DS4" i="243"/>
  <c r="DP4" i="243" s="1"/>
  <c r="DP161" i="243" s="1"/>
  <c r="DS14" i="242"/>
  <c r="EH43" i="11"/>
  <c r="EN115" i="4"/>
  <c r="DS71" i="11"/>
  <c r="DY141" i="4"/>
  <c r="DY149" i="4" s="1"/>
  <c r="DY152" i="243"/>
  <c r="EF16" i="4"/>
  <c r="EF11" i="4"/>
  <c r="EF13" i="4" s="1"/>
  <c r="EH70" i="4"/>
  <c r="EH72" i="4" s="1"/>
  <c r="EH87" i="4"/>
  <c r="EH94" i="4" s="1"/>
  <c r="EH96" i="4" s="1"/>
  <c r="EH98" i="4" s="1"/>
  <c r="EE63" i="11"/>
  <c r="EK63" i="4"/>
  <c r="DS363" i="11"/>
  <c r="EI366" i="11"/>
  <c r="EB362" i="11"/>
  <c r="EB45" i="11"/>
  <c r="DW122" i="4"/>
  <c r="DW124" i="4" s="1"/>
  <c r="DW125" i="4" s="1"/>
  <c r="DR8" i="2"/>
  <c r="DY23" i="4"/>
  <c r="DR154" i="243"/>
  <c r="DZ164" i="243"/>
  <c r="DZ8" i="243" s="1"/>
  <c r="DW8" i="243" s="1"/>
  <c r="DW164" i="243" s="1"/>
  <c r="DZ178" i="243"/>
  <c r="DZ34" i="243" s="1"/>
  <c r="DW34" i="243" s="1"/>
  <c r="DW178" i="243" s="1"/>
  <c r="DZ167" i="243"/>
  <c r="DZ161" i="243"/>
  <c r="DZ170" i="243"/>
  <c r="DZ153" i="243"/>
  <c r="DZ158" i="243"/>
  <c r="DZ175" i="243"/>
  <c r="EN11" i="11"/>
  <c r="EN15" i="11" s="1"/>
  <c r="EE366" i="11"/>
  <c r="DX362" i="11"/>
  <c r="DX45" i="11"/>
  <c r="DX363" i="11" s="1"/>
  <c r="EL30" i="11"/>
  <c r="EL329" i="11"/>
  <c r="EG29" i="4"/>
  <c r="EG31" i="4" s="1"/>
  <c r="EG32" i="4" s="1"/>
  <c r="DZ70" i="11"/>
  <c r="EB71" i="11"/>
  <c r="EH141" i="4"/>
  <c r="EH149" i="4" s="1"/>
  <c r="EU16" i="4"/>
  <c r="EN152" i="243"/>
  <c r="EU11" i="4"/>
  <c r="EU13" i="4" s="1"/>
  <c r="DS185" i="243"/>
  <c r="DS13" i="242"/>
  <c r="DS3" i="243"/>
  <c r="ED141" i="4"/>
  <c r="ED149" i="4" s="1"/>
  <c r="ED150" i="4" s="1"/>
  <c r="DX71" i="11"/>
  <c r="EO374" i="11"/>
  <c r="EO378" i="11" s="1"/>
  <c r="EL356" i="11"/>
  <c r="EP356" i="11"/>
  <c r="EP361" i="11" s="1"/>
  <c r="EO42" i="11"/>
  <c r="DW8" i="2"/>
  <c r="DW154" i="243"/>
  <c r="DW153" i="243" s="1"/>
  <c r="ED23" i="4"/>
  <c r="DZ378" i="11"/>
  <c r="DZ379" i="11" s="1"/>
  <c r="EL62" i="11"/>
  <c r="EU63" i="4"/>
  <c r="EO70" i="11"/>
  <c r="EP62" i="11"/>
  <c r="DX378" i="11"/>
  <c r="DX379" i="11" s="1"/>
  <c r="EA150" i="4"/>
  <c r="EH47" i="11"/>
  <c r="EH46" i="11"/>
  <c r="EN26" i="4"/>
  <c r="EH58" i="11"/>
  <c r="EG122" i="4"/>
  <c r="EG124" i="4" s="1"/>
  <c r="DZ63" i="11"/>
  <c r="EF63" i="4"/>
  <c r="EN323" i="11"/>
  <c r="EN332" i="11" s="1"/>
  <c r="EN367" i="11"/>
  <c r="EN70" i="4"/>
  <c r="EN72" i="4" s="1"/>
  <c r="EN87" i="4"/>
  <c r="EN94" i="4" s="1"/>
  <c r="EN96" i="4" s="1"/>
  <c r="EN98" i="4" s="1"/>
  <c r="DY87" i="4"/>
  <c r="DY94" i="4" s="1"/>
  <c r="DY96" i="4" s="1"/>
  <c r="DY98" i="4" s="1"/>
  <c r="DY70" i="4"/>
  <c r="DY72" i="4" s="1"/>
  <c r="DS15" i="242"/>
  <c r="DS29" i="243"/>
  <c r="DZ102" i="4"/>
  <c r="DZ109" i="4" s="1"/>
  <c r="DZ111" i="4" s="1"/>
  <c r="DZ112" i="4" s="1"/>
  <c r="DZ43" i="4"/>
  <c r="DZ46" i="4" s="1"/>
  <c r="DZ48" i="4" s="1"/>
  <c r="DZ58" i="4"/>
  <c r="DZ60" i="4" s="1"/>
  <c r="DS22" i="2" s="1"/>
  <c r="EA29" i="4"/>
  <c r="EA31" i="4" s="1"/>
  <c r="EA32" i="4" s="1"/>
  <c r="EP366" i="11"/>
  <c r="EI362" i="11"/>
  <c r="EI45" i="11"/>
  <c r="EI363" i="11" s="1"/>
  <c r="EN372" i="11"/>
  <c r="EN328" i="11"/>
  <c r="EN337" i="11" s="1"/>
  <c r="ED115" i="4"/>
  <c r="DX43" i="11"/>
  <c r="ED87" i="4"/>
  <c r="ED94" i="4" s="1"/>
  <c r="ED96" i="4" s="1"/>
  <c r="ED98" i="4" s="1"/>
  <c r="ED70" i="4"/>
  <c r="ED72" i="4" s="1"/>
  <c r="EI42" i="11"/>
  <c r="EI374" i="11"/>
  <c r="EI357" i="11"/>
  <c r="EG356" i="11"/>
  <c r="EG361" i="11" s="1"/>
  <c r="DS10" i="243"/>
  <c r="DP10" i="243" s="1"/>
  <c r="DP167" i="243" s="1"/>
  <c r="DS19" i="242"/>
  <c r="EN325" i="11"/>
  <c r="EN334" i="11" s="1"/>
  <c r="EN369" i="11"/>
  <c r="DU59" i="11"/>
  <c r="DU60" i="11"/>
  <c r="EA51" i="4"/>
  <c r="DS58" i="11"/>
  <c r="EG329" i="11"/>
  <c r="EG30" i="11"/>
  <c r="EH115" i="4"/>
  <c r="EB43" i="11"/>
  <c r="EP12" i="11"/>
  <c r="EV4" i="4"/>
  <c r="EP309" i="11"/>
  <c r="EP217" i="11" s="1"/>
  <c r="EH363" i="11"/>
  <c r="EO361" i="11"/>
  <c r="DQ59" i="11"/>
  <c r="DQ60" i="11"/>
  <c r="DW51" i="4"/>
  <c r="EL12" i="11"/>
  <c r="ER4" i="4"/>
  <c r="EL309" i="11"/>
  <c r="EL217" i="11" s="1"/>
  <c r="EN373" i="11"/>
  <c r="EN354" i="11"/>
  <c r="DP274" i="243"/>
  <c r="DZ9" i="2"/>
  <c r="DZ10" i="2" s="1"/>
  <c r="DZ11" i="2" s="1"/>
  <c r="DZ274" i="243"/>
  <c r="EN324" i="11"/>
  <c r="EN333" i="11" s="1"/>
  <c r="EN368" i="11"/>
  <c r="DQ46" i="11"/>
  <c r="DQ47" i="11"/>
  <c r="DW26" i="4"/>
  <c r="DS119" i="243"/>
  <c r="DP116" i="243"/>
  <c r="EA122" i="4"/>
  <c r="EA124" i="4" s="1"/>
  <c r="EA125" i="4" s="1"/>
  <c r="DP20" i="2"/>
  <c r="DW99" i="4"/>
  <c r="EP16" i="11"/>
  <c r="EE42" i="11"/>
  <c r="EE374" i="11"/>
  <c r="EE357" i="11"/>
  <c r="DZ125" i="4"/>
  <c r="DS15" i="2"/>
  <c r="DZ131" i="4"/>
  <c r="EP30" i="11"/>
  <c r="EP329" i="11"/>
  <c r="EN348" i="11"/>
  <c r="DT14" i="2"/>
  <c r="DR14" i="2" s="1"/>
  <c r="DP14" i="2"/>
  <c r="DZ14" i="2"/>
  <c r="EL16" i="11"/>
  <c r="EG12" i="11"/>
  <c r="EM4" i="4"/>
  <c r="EG309" i="11"/>
  <c r="EG217" i="11" s="1"/>
  <c r="DT20" i="2"/>
  <c r="DT5" i="242" s="1"/>
  <c r="EA99" i="4"/>
  <c r="DT116" i="243"/>
  <c r="DZ20" i="2"/>
  <c r="DZ5" i="242" s="1"/>
  <c r="DW5" i="242" s="1"/>
  <c r="EG99" i="4"/>
  <c r="DZ116" i="243"/>
  <c r="DT159" i="243"/>
  <c r="DT165" i="243"/>
  <c r="DT171" i="243"/>
  <c r="DT168" i="243"/>
  <c r="DT162" i="243"/>
  <c r="DT153" i="243"/>
  <c r="DT179" i="243"/>
  <c r="DT176" i="243"/>
  <c r="EA60" i="11"/>
  <c r="EA59" i="11"/>
  <c r="DX58" i="11"/>
  <c r="EB58" i="11"/>
  <c r="EG51" i="4"/>
  <c r="EG150" i="4"/>
  <c r="DS186" i="243" l="1"/>
  <c r="DS188" i="243" s="1"/>
  <c r="EN150" i="4"/>
  <c r="DZ185" i="243"/>
  <c r="DZ3" i="243"/>
  <c r="DZ13" i="242"/>
  <c r="EG125" i="4"/>
  <c r="EG131" i="4"/>
  <c r="DZ15" i="2"/>
  <c r="DW274" i="243"/>
  <c r="DP13" i="242"/>
  <c r="DT13" i="242"/>
  <c r="EF141" i="4"/>
  <c r="EF149" i="4" s="1"/>
  <c r="DZ71" i="11"/>
  <c r="DR274" i="243"/>
  <c r="DR10" i="2"/>
  <c r="DR11" i="2" s="1"/>
  <c r="DZ46" i="11"/>
  <c r="EF26" i="4"/>
  <c r="DZ47" i="11"/>
  <c r="EO141" i="4"/>
  <c r="EO149" i="4" s="1"/>
  <c r="EG70" i="11"/>
  <c r="EI71" i="11"/>
  <c r="EG164" i="243"/>
  <c r="EG8" i="243" s="1"/>
  <c r="ED8" i="243" s="1"/>
  <c r="ED164" i="243" s="1"/>
  <c r="EG178" i="243"/>
  <c r="EG34" i="243" s="1"/>
  <c r="ED34" i="243" s="1"/>
  <c r="ED178" i="243" s="1"/>
  <c r="EG167" i="243"/>
  <c r="EG153" i="243"/>
  <c r="EG161" i="243"/>
  <c r="EG158" i="243"/>
  <c r="EG170" i="243"/>
  <c r="EG175" i="243"/>
  <c r="EO43" i="11"/>
  <c r="EU115" i="4"/>
  <c r="EE378" i="11"/>
  <c r="EE379" i="11" s="1"/>
  <c r="DZ15" i="242"/>
  <c r="DZ29" i="243"/>
  <c r="EK141" i="4"/>
  <c r="EK149" i="4" s="1"/>
  <c r="EK150" i="4" s="1"/>
  <c r="EE71" i="11"/>
  <c r="EG274" i="243"/>
  <c r="EG9" i="2"/>
  <c r="EG10" i="2" s="1"/>
  <c r="EG11" i="2" s="1"/>
  <c r="DT15" i="2"/>
  <c r="DR15" i="2" s="1"/>
  <c r="DP15" i="2"/>
  <c r="DP3" i="243"/>
  <c r="EH122" i="4"/>
  <c r="EH124" i="4" s="1"/>
  <c r="EH125" i="4" s="1"/>
  <c r="EO379" i="11"/>
  <c r="EG20" i="2"/>
  <c r="EG5" i="242" s="1"/>
  <c r="ED5" i="242" s="1"/>
  <c r="EN99" i="4"/>
  <c r="EG116" i="243"/>
  <c r="EH59" i="11"/>
  <c r="EH60" i="11"/>
  <c r="EI58" i="11"/>
  <c r="EE58" i="11"/>
  <c r="EN51" i="4"/>
  <c r="EL70" i="11"/>
  <c r="EP70" i="11"/>
  <c r="EU141" i="4"/>
  <c r="EU149" i="4" s="1"/>
  <c r="EP374" i="11"/>
  <c r="EP378" i="11" s="1"/>
  <c r="EP379" i="11" s="1"/>
  <c r="EP357" i="11"/>
  <c r="EP42" i="11"/>
  <c r="EN356" i="11"/>
  <c r="EU23" i="4"/>
  <c r="EN8" i="2"/>
  <c r="EN154" i="243"/>
  <c r="EN12" i="11"/>
  <c r="ET4" i="4"/>
  <c r="EN309" i="11"/>
  <c r="EN217" i="11" s="1"/>
  <c r="DZ4" i="243"/>
  <c r="DW4" i="243" s="1"/>
  <c r="DW161" i="243" s="1"/>
  <c r="DZ14" i="242"/>
  <c r="EK87" i="4"/>
  <c r="EK94" i="4" s="1"/>
  <c r="EK96" i="4" s="1"/>
  <c r="EK98" i="4" s="1"/>
  <c r="EK70" i="4"/>
  <c r="EK72" i="4" s="1"/>
  <c r="DY150" i="4"/>
  <c r="DZ43" i="11"/>
  <c r="EF115" i="4"/>
  <c r="EH8" i="2"/>
  <c r="EO23" i="4"/>
  <c r="EH154" i="243"/>
  <c r="DZ363" i="11"/>
  <c r="DY29" i="4"/>
  <c r="DY31" i="4" s="1"/>
  <c r="DY32" i="4" s="1"/>
  <c r="DY122" i="4"/>
  <c r="DY124" i="4" s="1"/>
  <c r="DY125" i="4" s="1"/>
  <c r="EB59" i="11"/>
  <c r="EB60" i="11"/>
  <c r="EH51" i="4"/>
  <c r="DZ58" i="11"/>
  <c r="EA14" i="2"/>
  <c r="DY14" i="2" s="1"/>
  <c r="DW14" i="2"/>
  <c r="EG14" i="2"/>
  <c r="DR20" i="2"/>
  <c r="DR5" i="242" s="1"/>
  <c r="DR116" i="243"/>
  <c r="DY99" i="4"/>
  <c r="DP162" i="243"/>
  <c r="DQ14" i="242"/>
  <c r="DX60" i="11"/>
  <c r="DX59" i="11"/>
  <c r="ED51" i="4"/>
  <c r="DS54" i="2"/>
  <c r="DS7" i="242"/>
  <c r="EN329" i="11"/>
  <c r="EN30" i="11"/>
  <c r="ER16" i="4"/>
  <c r="ER11" i="4"/>
  <c r="ER13" i="4" s="1"/>
  <c r="EK152" i="243"/>
  <c r="EG362" i="11"/>
  <c r="EN366" i="11"/>
  <c r="EG45" i="11"/>
  <c r="DW20" i="2"/>
  <c r="ED99" i="4"/>
  <c r="DS35" i="243"/>
  <c r="DP29" i="243"/>
  <c r="EN29" i="4"/>
  <c r="EN31" i="4" s="1"/>
  <c r="EN32" i="4" s="1"/>
  <c r="EU70" i="4"/>
  <c r="EU72" i="4" s="1"/>
  <c r="EU87" i="4"/>
  <c r="EU94" i="4" s="1"/>
  <c r="EU96" i="4" s="1"/>
  <c r="EU98" i="4" s="1"/>
  <c r="EL357" i="11"/>
  <c r="EL374" i="11"/>
  <c r="EL378" i="11" s="1"/>
  <c r="EL42" i="11"/>
  <c r="EL361" i="11"/>
  <c r="EN14" i="11"/>
  <c r="EN16" i="11" s="1"/>
  <c r="DZ10" i="243"/>
  <c r="DW10" i="243" s="1"/>
  <c r="DW167" i="243" s="1"/>
  <c r="DZ19" i="242"/>
  <c r="EB46" i="11"/>
  <c r="EB47" i="11"/>
  <c r="EH26" i="4"/>
  <c r="EA179" i="243"/>
  <c r="EA159" i="243"/>
  <c r="EA153" i="243"/>
  <c r="EA176" i="243"/>
  <c r="EA165" i="243"/>
  <c r="EA171" i="243"/>
  <c r="EA162" i="243"/>
  <c r="EA168" i="243"/>
  <c r="EE47" i="11"/>
  <c r="EE46" i="11"/>
  <c r="EK26" i="4"/>
  <c r="EO362" i="11"/>
  <c r="EO45" i="11"/>
  <c r="EO363" i="11" s="1"/>
  <c r="EI46" i="11"/>
  <c r="EI47" i="11"/>
  <c r="EO26" i="4"/>
  <c r="DP119" i="243"/>
  <c r="EP63" i="11"/>
  <c r="EN62" i="11"/>
  <c r="EV63" i="4"/>
  <c r="EM16" i="4"/>
  <c r="EF152" i="243"/>
  <c r="EM11" i="4"/>
  <c r="EM13" i="4" s="1"/>
  <c r="DW29" i="4"/>
  <c r="DW31" i="4" s="1"/>
  <c r="DW32" i="4" s="1"/>
  <c r="EV16" i="4"/>
  <c r="EO152" i="243"/>
  <c r="EV11" i="4"/>
  <c r="EV13" i="4" s="1"/>
  <c r="DP19" i="242"/>
  <c r="DT19" i="242"/>
  <c r="DP15" i="242"/>
  <c r="DT15" i="242"/>
  <c r="EL63" i="11"/>
  <c r="ER63" i="4"/>
  <c r="DW179" i="243"/>
  <c r="EB363" i="11"/>
  <c r="EA20" i="2"/>
  <c r="EA5" i="242" s="1"/>
  <c r="EA116" i="243"/>
  <c r="EH99" i="4"/>
  <c r="EN122" i="4"/>
  <c r="EN124" i="4" s="1"/>
  <c r="DP30" i="243"/>
  <c r="DP173" i="243" s="1"/>
  <c r="EA274" i="243"/>
  <c r="EE363" i="11"/>
  <c r="DW9" i="2"/>
  <c r="DW10" i="2" s="1"/>
  <c r="DW11" i="2" s="1"/>
  <c r="EA9" i="2"/>
  <c r="DY9" i="2" s="1"/>
  <c r="DW102" i="4"/>
  <c r="DW109" i="4" s="1"/>
  <c r="DW111" i="4" s="1"/>
  <c r="DW112" i="4" s="1"/>
  <c r="DW43" i="4"/>
  <c r="DW46" i="4" s="1"/>
  <c r="DW48" i="4" s="1"/>
  <c r="DP54" i="2" s="1"/>
  <c r="DW58" i="4"/>
  <c r="DW60" i="4" s="1"/>
  <c r="DP22" i="2" s="1"/>
  <c r="DQ19" i="242"/>
  <c r="DP168" i="243"/>
  <c r="ED122" i="4"/>
  <c r="ED124" i="4" s="1"/>
  <c r="ED125" i="4" s="1"/>
  <c r="DW165" i="243"/>
  <c r="EO70" i="4"/>
  <c r="EO72" i="4" s="1"/>
  <c r="EO87" i="4"/>
  <c r="EO94" i="4" s="1"/>
  <c r="EO96" i="4" s="1"/>
  <c r="EO98" i="4" s="1"/>
  <c r="DS174" i="243"/>
  <c r="DS40" i="243" s="1"/>
  <c r="DS16" i="242" s="1"/>
  <c r="DT10" i="2"/>
  <c r="DT11" i="2" s="1"/>
  <c r="EA43" i="4"/>
  <c r="EA46" i="4" s="1"/>
  <c r="EA48" i="4" s="1"/>
  <c r="DT54" i="2" s="1"/>
  <c r="EA102" i="4"/>
  <c r="EA109" i="4" s="1"/>
  <c r="EA111" i="4" s="1"/>
  <c r="EA112" i="4" s="1"/>
  <c r="EA58" i="4"/>
  <c r="EA60" i="4" s="1"/>
  <c r="DT22" i="2" s="1"/>
  <c r="EO115" i="4"/>
  <c r="EI43" i="11"/>
  <c r="EP362" i="11"/>
  <c r="EP45" i="11"/>
  <c r="EP363" i="11" s="1"/>
  <c r="EE43" i="11"/>
  <c r="EK115" i="4"/>
  <c r="DT115" i="243"/>
  <c r="DT119" i="243" s="1"/>
  <c r="DT103" i="243" s="1"/>
  <c r="DS103" i="243"/>
  <c r="DW116" i="243"/>
  <c r="DZ119" i="243"/>
  <c r="EG102" i="4"/>
  <c r="EG109" i="4" s="1"/>
  <c r="EG111" i="4" s="1"/>
  <c r="EG112" i="4" s="1"/>
  <c r="EG43" i="4"/>
  <c r="EG46" i="4" s="1"/>
  <c r="EG48" i="4" s="1"/>
  <c r="EG58" i="4"/>
  <c r="EG60" i="4" s="1"/>
  <c r="DZ22" i="2" s="1"/>
  <c r="EA131" i="4"/>
  <c r="DW131" i="4"/>
  <c r="DZ135" i="4"/>
  <c r="DS60" i="11"/>
  <c r="DS59" i="11"/>
  <c r="DY51" i="4"/>
  <c r="EG357" i="11"/>
  <c r="EG374" i="11"/>
  <c r="EG378" i="11" s="1"/>
  <c r="EG379" i="11" s="1"/>
  <c r="EG42" i="11"/>
  <c r="DS18" i="2"/>
  <c r="DS13" i="2" s="1"/>
  <c r="DS156" i="243" s="1"/>
  <c r="DS27" i="2"/>
  <c r="DS38" i="2" s="1"/>
  <c r="EF70" i="4"/>
  <c r="EF72" i="4" s="1"/>
  <c r="EF87" i="4"/>
  <c r="EF94" i="4" s="1"/>
  <c r="EF96" i="4" s="1"/>
  <c r="EF98" i="4" s="1"/>
  <c r="EH150" i="4"/>
  <c r="DX47" i="11"/>
  <c r="DX46" i="11"/>
  <c r="ED26" i="4"/>
  <c r="DZ173" i="243"/>
  <c r="DZ30" i="243" s="1"/>
  <c r="DR159" i="243"/>
  <c r="DR179" i="243"/>
  <c r="DR168" i="243"/>
  <c r="DR165" i="243"/>
  <c r="DR171" i="243"/>
  <c r="DR162" i="243"/>
  <c r="DR153" i="243"/>
  <c r="DR176" i="243"/>
  <c r="EI378" i="11"/>
  <c r="EI379" i="11" s="1"/>
  <c r="EF23" i="4"/>
  <c r="DY8" i="2"/>
  <c r="DY154" i="243"/>
  <c r="DP14" i="242"/>
  <c r="DT14" i="242"/>
  <c r="EM63" i="4"/>
  <c r="EG63" i="11"/>
  <c r="ED8" i="2"/>
  <c r="EK23" i="4"/>
  <c r="ED154" i="243"/>
  <c r="ED153" i="243" s="1"/>
  <c r="EL379" i="11" l="1"/>
  <c r="DR19" i="242"/>
  <c r="DR14" i="242"/>
  <c r="DT18" i="2"/>
  <c r="DT13" i="2" s="1"/>
  <c r="DT156" i="243" s="1"/>
  <c r="DT27" i="2"/>
  <c r="DT38" i="2" s="1"/>
  <c r="EN63" i="11"/>
  <c r="ET63" i="4"/>
  <c r="EH29" i="4"/>
  <c r="EH31" i="4" s="1"/>
  <c r="EH32" i="4" s="1"/>
  <c r="DZ60" i="11"/>
  <c r="DZ59" i="11"/>
  <c r="EF51" i="4"/>
  <c r="EU150" i="4"/>
  <c r="EG119" i="243"/>
  <c r="ED116" i="243"/>
  <c r="DP158" i="243"/>
  <c r="DZ186" i="243"/>
  <c r="DZ188" i="243" s="1"/>
  <c r="EG4" i="243"/>
  <c r="ED4" i="243" s="1"/>
  <c r="ED161" i="243" s="1"/>
  <c r="EG14" i="242"/>
  <c r="EG71" i="11"/>
  <c r="EM141" i="4"/>
  <c r="EM149" i="4" s="1"/>
  <c r="EF150" i="4"/>
  <c r="DY43" i="4"/>
  <c r="DY46" i="4" s="1"/>
  <c r="DY48" i="4" s="1"/>
  <c r="DR54" i="2" s="1"/>
  <c r="DY102" i="4"/>
  <c r="DY109" i="4" s="1"/>
  <c r="DY111" i="4" s="1"/>
  <c r="DY112" i="4" s="1"/>
  <c r="DY58" i="4"/>
  <c r="DY60" i="4" s="1"/>
  <c r="DR22" i="2" s="1"/>
  <c r="DT16" i="242"/>
  <c r="DT20" i="242" s="1"/>
  <c r="DP16" i="242"/>
  <c r="DP35" i="243"/>
  <c r="DP170" i="243"/>
  <c r="EH43" i="4"/>
  <c r="EH46" i="4" s="1"/>
  <c r="EH48" i="4" s="1"/>
  <c r="EA54" i="2" s="1"/>
  <c r="EH102" i="4"/>
  <c r="EH109" i="4" s="1"/>
  <c r="EH111" i="4" s="1"/>
  <c r="EH112" i="4" s="1"/>
  <c r="EH58" i="4"/>
  <c r="EH60" i="4" s="1"/>
  <c r="EA22" i="2" s="1"/>
  <c r="EN164" i="243"/>
  <c r="EN8" i="243" s="1"/>
  <c r="EK8" i="243" s="1"/>
  <c r="EK164" i="243" s="1"/>
  <c r="EN167" i="243"/>
  <c r="EN153" i="243"/>
  <c r="EN178" i="243"/>
  <c r="EN34" i="243" s="1"/>
  <c r="EK34" i="243" s="1"/>
  <c r="EK178" i="243" s="1"/>
  <c r="EN161" i="243"/>
  <c r="EN170" i="243"/>
  <c r="EN158" i="243"/>
  <c r="EN175" i="243"/>
  <c r="EP71" i="11"/>
  <c r="EV141" i="4"/>
  <c r="EV149" i="4" s="1"/>
  <c r="EN70" i="11"/>
  <c r="DZ35" i="243"/>
  <c r="DW29" i="243"/>
  <c r="EO150" i="4"/>
  <c r="DS20" i="242"/>
  <c r="DP103" i="243"/>
  <c r="DQ115" i="243"/>
  <c r="DQ119" i="243" s="1"/>
  <c r="EK29" i="4"/>
  <c r="EL43" i="11"/>
  <c r="ER115" i="4"/>
  <c r="EN9" i="2"/>
  <c r="EN274" i="243"/>
  <c r="ER141" i="4"/>
  <c r="ER149" i="4" s="1"/>
  <c r="ER150" i="4" s="1"/>
  <c r="EL71" i="11"/>
  <c r="EA15" i="242"/>
  <c r="DW15" i="242"/>
  <c r="EG10" i="243"/>
  <c r="ED10" i="243" s="1"/>
  <c r="ED167" i="243" s="1"/>
  <c r="EG19" i="242"/>
  <c r="DW13" i="242"/>
  <c r="EA13" i="242"/>
  <c r="DZ18" i="2"/>
  <c r="DZ13" i="2" s="1"/>
  <c r="DZ156" i="243" s="1"/>
  <c r="DZ27" i="2"/>
  <c r="DZ38" i="2" s="1"/>
  <c r="DW30" i="243"/>
  <c r="DW173" i="243" s="1"/>
  <c r="EF8" i="2"/>
  <c r="EM23" i="4"/>
  <c r="EF154" i="243"/>
  <c r="EA19" i="242"/>
  <c r="DW19" i="242"/>
  <c r="DT7" i="242"/>
  <c r="DR7" i="242" s="1"/>
  <c r="DP7" i="242"/>
  <c r="EH168" i="243"/>
  <c r="EH179" i="243"/>
  <c r="EH162" i="243"/>
  <c r="EH159" i="243"/>
  <c r="EH176" i="243"/>
  <c r="EH165" i="243"/>
  <c r="EH171" i="243"/>
  <c r="EH153" i="243"/>
  <c r="ED20" i="2"/>
  <c r="EK99" i="4"/>
  <c r="EN102" i="4"/>
  <c r="EN109" i="4" s="1"/>
  <c r="EN111" i="4" s="1"/>
  <c r="EN112" i="4" s="1"/>
  <c r="EN43" i="4"/>
  <c r="EN46" i="4" s="1"/>
  <c r="EN48" i="4" s="1"/>
  <c r="EN58" i="4"/>
  <c r="EN60" i="4" s="1"/>
  <c r="EG22" i="2" s="1"/>
  <c r="ED179" i="243"/>
  <c r="EF29" i="4"/>
  <c r="EF31" i="4" s="1"/>
  <c r="EF32" i="4" s="1"/>
  <c r="DW3" i="243"/>
  <c r="DY116" i="243"/>
  <c r="DY20" i="2"/>
  <c r="DY5" i="242" s="1"/>
  <c r="EF99" i="4"/>
  <c r="EM70" i="4"/>
  <c r="EM72" i="4" s="1"/>
  <c r="EM87" i="4"/>
  <c r="EM94" i="4" s="1"/>
  <c r="EM96" i="4" s="1"/>
  <c r="EM98" i="4" s="1"/>
  <c r="DZ174" i="243"/>
  <c r="DZ40" i="243" s="1"/>
  <c r="DZ16" i="242" s="1"/>
  <c r="DS40" i="2"/>
  <c r="DZ138" i="4"/>
  <c r="EA134" i="4" s="1"/>
  <c r="DS89" i="243"/>
  <c r="EA10" i="2"/>
  <c r="EA11" i="2" s="1"/>
  <c r="EO29" i="4"/>
  <c r="EO31" i="4" s="1"/>
  <c r="EO32" i="4" s="1"/>
  <c r="DX19" i="242"/>
  <c r="DW168" i="243"/>
  <c r="ER23" i="4"/>
  <c r="EK154" i="243"/>
  <c r="EK153" i="243" s="1"/>
  <c r="EK8" i="2"/>
  <c r="DW14" i="242"/>
  <c r="EA14" i="242"/>
  <c r="EN374" i="11"/>
  <c r="EN378" i="11" s="1"/>
  <c r="EN357" i="11"/>
  <c r="EN42" i="11"/>
  <c r="EE59" i="11"/>
  <c r="EE60" i="11"/>
  <c r="EK51" i="4"/>
  <c r="ED165" i="243"/>
  <c r="EK122" i="4"/>
  <c r="EK124" i="4" s="1"/>
  <c r="EK125" i="4" s="1"/>
  <c r="DZ7" i="242"/>
  <c r="DZ54" i="2"/>
  <c r="EG15" i="2"/>
  <c r="EN125" i="4"/>
  <c r="EN131" i="4"/>
  <c r="ED29" i="4"/>
  <c r="ED31" i="4" s="1"/>
  <c r="ED32" i="4" s="1"/>
  <c r="DW135" i="4"/>
  <c r="DW138" i="4" s="1"/>
  <c r="DX134" i="4" s="1"/>
  <c r="DX138" i="4" s="1"/>
  <c r="DY134" i="4" s="1"/>
  <c r="DW132" i="4"/>
  <c r="DZ103" i="243"/>
  <c r="EA115" i="243"/>
  <c r="EA119" i="243" s="1"/>
  <c r="EA103" i="243" s="1"/>
  <c r="DP40" i="243"/>
  <c r="ER87" i="4"/>
  <c r="ER94" i="4" s="1"/>
  <c r="ER96" i="4" s="1"/>
  <c r="ER98" i="4" s="1"/>
  <c r="ER70" i="4"/>
  <c r="ER72" i="4" s="1"/>
  <c r="EO8" i="2"/>
  <c r="EO154" i="243"/>
  <c r="EV23" i="4"/>
  <c r="EN20" i="2"/>
  <c r="EN5" i="242" s="1"/>
  <c r="EK5" i="242" s="1"/>
  <c r="EU99" i="4"/>
  <c r="EN116" i="243"/>
  <c r="ED43" i="4"/>
  <c r="ED46" i="4" s="1"/>
  <c r="ED48" i="4" s="1"/>
  <c r="DW54" i="2" s="1"/>
  <c r="ED102" i="4"/>
  <c r="ED109" i="4" s="1"/>
  <c r="ED111" i="4" s="1"/>
  <c r="ED112" i="4" s="1"/>
  <c r="ED58" i="4"/>
  <c r="ED60" i="4" s="1"/>
  <c r="EN14" i="2"/>
  <c r="EH14" i="2"/>
  <c r="EF14" i="2" s="1"/>
  <c r="ED14" i="2"/>
  <c r="EH274" i="243"/>
  <c r="DW162" i="243"/>
  <c r="DX14" i="242"/>
  <c r="EP43" i="11"/>
  <c r="EV115" i="4"/>
  <c r="EI60" i="11"/>
  <c r="EI59" i="11"/>
  <c r="EO51" i="4"/>
  <c r="EG58" i="11"/>
  <c r="EG173" i="243"/>
  <c r="EG30" i="243" s="1"/>
  <c r="ED274" i="243"/>
  <c r="EP47" i="11"/>
  <c r="EP46" i="11"/>
  <c r="EV26" i="4"/>
  <c r="EG43" i="11"/>
  <c r="EM115" i="4"/>
  <c r="DW119" i="243"/>
  <c r="EH20" i="2"/>
  <c r="EH5" i="242" s="1"/>
  <c r="EO99" i="4"/>
  <c r="EH116" i="243"/>
  <c r="DP18" i="2"/>
  <c r="DP13" i="2" s="1"/>
  <c r="DP156" i="243" s="1"/>
  <c r="DP27" i="2"/>
  <c r="DP38" i="2" s="1"/>
  <c r="EL362" i="11"/>
  <c r="EL45" i="11"/>
  <c r="EL363" i="11" s="1"/>
  <c r="EG46" i="11"/>
  <c r="EG47" i="11"/>
  <c r="EM26" i="4"/>
  <c r="EN361" i="11"/>
  <c r="EF122" i="4"/>
  <c r="EF124" i="4" s="1"/>
  <c r="EF125" i="4" s="1"/>
  <c r="ED9" i="2"/>
  <c r="ED10" i="2" s="1"/>
  <c r="ED11" i="2" s="1"/>
  <c r="EH9" i="2"/>
  <c r="EF9" i="2" s="1"/>
  <c r="EG29" i="243"/>
  <c r="EG15" i="242"/>
  <c r="EA15" i="2"/>
  <c r="DY15" i="2" s="1"/>
  <c r="DW15" i="2"/>
  <c r="DY10" i="2"/>
  <c r="DY11" i="2" s="1"/>
  <c r="DY274" i="243"/>
  <c r="EA135" i="4"/>
  <c r="DT89" i="243" s="1"/>
  <c r="DT108" i="243" s="1"/>
  <c r="DY131" i="4"/>
  <c r="EA132" i="4"/>
  <c r="DY179" i="243"/>
  <c r="DY171" i="243"/>
  <c r="DY162" i="243"/>
  <c r="DY159" i="243"/>
  <c r="DY165" i="243"/>
  <c r="DY176" i="243"/>
  <c r="DY168" i="243"/>
  <c r="DY153" i="243"/>
  <c r="EO122" i="4"/>
  <c r="EO124" i="4" s="1"/>
  <c r="EO125" i="4" s="1"/>
  <c r="EV70" i="4"/>
  <c r="EV72" i="4" s="1"/>
  <c r="EV87" i="4"/>
  <c r="EV94" i="4" s="1"/>
  <c r="EV96" i="4" s="1"/>
  <c r="EV98" i="4" s="1"/>
  <c r="EO47" i="11"/>
  <c r="EO46" i="11"/>
  <c r="EO58" i="11"/>
  <c r="EU26" i="4"/>
  <c r="EG363" i="11"/>
  <c r="ET16" i="4"/>
  <c r="EM152" i="243"/>
  <c r="ET11" i="4"/>
  <c r="ET13" i="4" s="1"/>
  <c r="EU122" i="4"/>
  <c r="EU124" i="4" s="1"/>
  <c r="EG185" i="243"/>
  <c r="EG13" i="242"/>
  <c r="EG3" i="243"/>
  <c r="ED131" i="4"/>
  <c r="EH131" i="4"/>
  <c r="EG135" i="4"/>
  <c r="EH10" i="2" l="1"/>
  <c r="EH11" i="2" s="1"/>
  <c r="EA138" i="4"/>
  <c r="DY19" i="242"/>
  <c r="EN379" i="11"/>
  <c r="DW7" i="242"/>
  <c r="EA7" i="242"/>
  <c r="DY7" i="242" s="1"/>
  <c r="DS189" i="243"/>
  <c r="DS46" i="242"/>
  <c r="DS50" i="242" s="1"/>
  <c r="DP20" i="242"/>
  <c r="EN173" i="243"/>
  <c r="EN30" i="243" s="1"/>
  <c r="EA18" i="2"/>
  <c r="EA13" i="2" s="1"/>
  <c r="EA156" i="243" s="1"/>
  <c r="EA27" i="2"/>
  <c r="EA38" i="2" s="1"/>
  <c r="DP185" i="243"/>
  <c r="DP159" i="243"/>
  <c r="DQ13" i="242"/>
  <c r="EL46" i="11"/>
  <c r="ER26" i="4"/>
  <c r="EL47" i="11"/>
  <c r="EK43" i="4"/>
  <c r="EK46" i="4" s="1"/>
  <c r="EK48" i="4" s="1"/>
  <c r="ED54" i="2" s="1"/>
  <c r="EK102" i="4"/>
  <c r="EK109" i="4" s="1"/>
  <c r="EK111" i="4" s="1"/>
  <c r="EK112" i="4" s="1"/>
  <c r="EK58" i="4"/>
  <c r="EK60" i="4" s="1"/>
  <c r="EK274" i="243"/>
  <c r="DS91" i="243"/>
  <c r="DP89" i="243"/>
  <c r="DP91" i="243" s="1"/>
  <c r="DS108" i="243"/>
  <c r="EG7" i="242"/>
  <c r="EG54" i="2"/>
  <c r="EA16" i="242"/>
  <c r="EA20" i="242" s="1"/>
  <c r="DW16" i="242"/>
  <c r="DT189" i="243"/>
  <c r="DT46" i="242"/>
  <c r="EN185" i="243"/>
  <c r="EN3" i="243"/>
  <c r="EN13" i="242"/>
  <c r="EF102" i="4"/>
  <c r="EF109" i="4" s="1"/>
  <c r="EF111" i="4" s="1"/>
  <c r="EF112" i="4" s="1"/>
  <c r="EF43" i="4"/>
  <c r="EF46" i="4" s="1"/>
  <c r="EF48" i="4" s="1"/>
  <c r="DY54" i="2" s="1"/>
  <c r="EF58" i="4"/>
  <c r="EF60" i="4" s="1"/>
  <c r="DY22" i="2" s="1"/>
  <c r="EF159" i="243"/>
  <c r="EF176" i="243"/>
  <c r="EF171" i="243"/>
  <c r="EF168" i="243"/>
  <c r="EF179" i="243"/>
  <c r="EF153" i="243"/>
  <c r="EF165" i="243"/>
  <c r="EF162" i="243"/>
  <c r="ER122" i="4"/>
  <c r="ER124" i="4" s="1"/>
  <c r="ER125" i="4" s="1"/>
  <c r="EN29" i="243"/>
  <c r="EN15" i="242"/>
  <c r="ED119" i="243"/>
  <c r="ED132" i="4"/>
  <c r="ED135" i="4"/>
  <c r="ED138" i="4" s="1"/>
  <c r="EE134" i="4" s="1"/>
  <c r="EE138" i="4" s="1"/>
  <c r="EF134" i="4" s="1"/>
  <c r="EV29" i="4"/>
  <c r="EV31" i="4" s="1"/>
  <c r="EV32" i="4" s="1"/>
  <c r="ED30" i="243"/>
  <c r="ED173" i="243" s="1"/>
  <c r="EV122" i="4"/>
  <c r="EV124" i="4" s="1"/>
  <c r="EV125" i="4" s="1"/>
  <c r="DP40" i="2"/>
  <c r="DS41" i="2"/>
  <c r="DS56" i="2" s="1"/>
  <c r="DT40" i="2"/>
  <c r="DS196" i="243"/>
  <c r="ED19" i="242"/>
  <c r="EH19" i="242"/>
  <c r="DW35" i="243"/>
  <c r="DW170" i="243"/>
  <c r="EN4" i="243"/>
  <c r="EK4" i="243" s="1"/>
  <c r="EK161" i="243" s="1"/>
  <c r="EN14" i="242"/>
  <c r="EM150" i="4"/>
  <c r="EO102" i="4"/>
  <c r="EO109" i="4" s="1"/>
  <c r="EO111" i="4" s="1"/>
  <c r="EO112" i="4" s="1"/>
  <c r="EO43" i="4"/>
  <c r="EO46" i="4" s="1"/>
  <c r="EO48" i="4" s="1"/>
  <c r="EH54" i="2" s="1"/>
  <c r="EO58" i="4"/>
  <c r="EO60" i="4" s="1"/>
  <c r="EH22" i="2" s="1"/>
  <c r="ED13" i="242"/>
  <c r="EH13" i="242"/>
  <c r="ED15" i="242"/>
  <c r="EH15" i="242"/>
  <c r="DW103" i="243"/>
  <c r="DX115" i="243"/>
  <c r="DX119" i="243" s="1"/>
  <c r="EG174" i="243"/>
  <c r="EG40" i="243" s="1"/>
  <c r="EG16" i="242" s="1"/>
  <c r="EO159" i="243"/>
  <c r="EO176" i="243"/>
  <c r="EO179" i="243"/>
  <c r="EO165" i="243"/>
  <c r="EO171" i="243"/>
  <c r="EO168" i="243"/>
  <c r="EO162" i="243"/>
  <c r="EO153" i="243"/>
  <c r="DP174" i="243"/>
  <c r="DP175" i="243" s="1"/>
  <c r="EO131" i="4"/>
  <c r="EK131" i="4"/>
  <c r="EN135" i="4"/>
  <c r="EN43" i="11"/>
  <c r="ET115" i="4"/>
  <c r="DS42" i="2"/>
  <c r="DS46" i="2" s="1"/>
  <c r="EF10" i="2"/>
  <c r="EF11" i="2" s="1"/>
  <c r="EF274" i="243"/>
  <c r="DZ40" i="2"/>
  <c r="ED168" i="243"/>
  <c r="EE19" i="242"/>
  <c r="EK9" i="2"/>
  <c r="EK10" i="2" s="1"/>
  <c r="EK11" i="2" s="1"/>
  <c r="EO9" i="2"/>
  <c r="EM9" i="2" s="1"/>
  <c r="EK179" i="243"/>
  <c r="EH115" i="243"/>
  <c r="EH119" i="243" s="1"/>
  <c r="EH103" i="243" s="1"/>
  <c r="EG103" i="243"/>
  <c r="EN119" i="243"/>
  <c r="EK116" i="243"/>
  <c r="ED3" i="243"/>
  <c r="EK14" i="2"/>
  <c r="EO14" i="2"/>
  <c r="EM14" i="2" s="1"/>
  <c r="EN362" i="11"/>
  <c r="EN45" i="11"/>
  <c r="EN363" i="11" s="1"/>
  <c r="DW22" i="2"/>
  <c r="EO274" i="243"/>
  <c r="DW40" i="243"/>
  <c r="DW158" i="243"/>
  <c r="EN10" i="2"/>
  <c r="EN11" i="2" s="1"/>
  <c r="EK31" i="4"/>
  <c r="EK32" i="4" s="1"/>
  <c r="ET141" i="4"/>
  <c r="ET149" i="4" s="1"/>
  <c r="EN71" i="11"/>
  <c r="DP171" i="243"/>
  <c r="DQ15" i="242"/>
  <c r="DR15" i="242" s="1"/>
  <c r="DP186" i="243"/>
  <c r="DR18" i="2"/>
  <c r="DR13" i="2" s="1"/>
  <c r="DR156" i="243" s="1"/>
  <c r="DR27" i="2"/>
  <c r="EH14" i="242"/>
  <c r="ED14" i="242"/>
  <c r="EO59" i="11"/>
  <c r="EO60" i="11"/>
  <c r="EP58" i="11"/>
  <c r="EU51" i="4"/>
  <c r="EL58" i="11"/>
  <c r="EG186" i="243"/>
  <c r="EG188" i="243" s="1"/>
  <c r="DY135" i="4"/>
  <c r="DR89" i="243" s="1"/>
  <c r="DR108" i="243" s="1"/>
  <c r="DY132" i="4"/>
  <c r="EG138" i="4"/>
  <c r="EH134" i="4" s="1"/>
  <c r="DZ89" i="243"/>
  <c r="EO116" i="243"/>
  <c r="EO20" i="2"/>
  <c r="EO5" i="242" s="1"/>
  <c r="EV99" i="4"/>
  <c r="DT123" i="243"/>
  <c r="EM29" i="4"/>
  <c r="EM31" i="4" s="1"/>
  <c r="EM32" i="4" s="1"/>
  <c r="EM122" i="4"/>
  <c r="EM124" i="4" s="1"/>
  <c r="EM125" i="4" s="1"/>
  <c r="EH15" i="2"/>
  <c r="EF15" i="2" s="1"/>
  <c r="ED15" i="2"/>
  <c r="EF116" i="243"/>
  <c r="EM99" i="4"/>
  <c r="EF20" i="2"/>
  <c r="EF5" i="242" s="1"/>
  <c r="DZ20" i="242"/>
  <c r="DR115" i="243"/>
  <c r="DR119" i="243" s="1"/>
  <c r="DR103" i="243" s="1"/>
  <c r="DQ103" i="243"/>
  <c r="EV150" i="4"/>
  <c r="EN10" i="243"/>
  <c r="EK10" i="243" s="1"/>
  <c r="EK167" i="243" s="1"/>
  <c r="EN19" i="242"/>
  <c r="ED162" i="243"/>
  <c r="EE14" i="242"/>
  <c r="EU29" i="4"/>
  <c r="EU31" i="4" s="1"/>
  <c r="EU32" i="4" s="1"/>
  <c r="EN15" i="2"/>
  <c r="EU125" i="4"/>
  <c r="EU131" i="4"/>
  <c r="EG35" i="243"/>
  <c r="ED29" i="243"/>
  <c r="EH135" i="4"/>
  <c r="EA89" i="243" s="1"/>
  <c r="EA108" i="243" s="1"/>
  <c r="EH132" i="4"/>
  <c r="EF131" i="4"/>
  <c r="EM154" i="243"/>
  <c r="EM8" i="2"/>
  <c r="ET23" i="4"/>
  <c r="DP42" i="2"/>
  <c r="DP46" i="2" s="1"/>
  <c r="EG60" i="11"/>
  <c r="EG59" i="11"/>
  <c r="EM51" i="4"/>
  <c r="ER99" i="4"/>
  <c r="EK20" i="2"/>
  <c r="DY14" i="242"/>
  <c r="EG18" i="2"/>
  <c r="EG13" i="2" s="1"/>
  <c r="EG156" i="243" s="1"/>
  <c r="EG27" i="2"/>
  <c r="EG38" i="2" s="1"/>
  <c r="EK165" i="243"/>
  <c r="ET70" i="4"/>
  <c r="ET72" i="4" s="1"/>
  <c r="ET87" i="4"/>
  <c r="ET94" i="4" s="1"/>
  <c r="ET96" i="4" s="1"/>
  <c r="ET98" i="4" s="1"/>
  <c r="EF14" i="242" l="1"/>
  <c r="EH138" i="4"/>
  <c r="EO10" i="2"/>
  <c r="EO11" i="2" s="1"/>
  <c r="EF19" i="242"/>
  <c r="EN174" i="243"/>
  <c r="EN40" i="243" s="1"/>
  <c r="EK40" i="243" s="1"/>
  <c r="EN186" i="243"/>
  <c r="EN188" i="243" s="1"/>
  <c r="ED16" i="242"/>
  <c r="EH16" i="242"/>
  <c r="EH20" i="242" s="1"/>
  <c r="EG20" i="242"/>
  <c r="EL59" i="11"/>
  <c r="EL60" i="11"/>
  <c r="ER51" i="4"/>
  <c r="ET150" i="4"/>
  <c r="ED158" i="243"/>
  <c r="DS51" i="2"/>
  <c r="DS59" i="2" s="1"/>
  <c r="DS53" i="243"/>
  <c r="DS3" i="242"/>
  <c r="DS57" i="2"/>
  <c r="DS48" i="2"/>
  <c r="DS47" i="2"/>
  <c r="EK3" i="243"/>
  <c r="EH7" i="242"/>
  <c r="EF7" i="242" s="1"/>
  <c r="ED7" i="242"/>
  <c r="ER29" i="4"/>
  <c r="ER31" i="4" s="1"/>
  <c r="ER32" i="4" s="1"/>
  <c r="DP51" i="2"/>
  <c r="DP48" i="2"/>
  <c r="DP3" i="242"/>
  <c r="DP47" i="2"/>
  <c r="EA40" i="2"/>
  <c r="DW40" i="2"/>
  <c r="DZ41" i="2"/>
  <c r="DZ56" i="2" s="1"/>
  <c r="DZ196" i="243"/>
  <c r="ET122" i="4"/>
  <c r="ET124" i="4" s="1"/>
  <c r="ET125" i="4" s="1"/>
  <c r="EN35" i="243"/>
  <c r="EK29" i="243"/>
  <c r="DS111" i="243"/>
  <c r="DP108" i="243"/>
  <c r="DS23" i="242"/>
  <c r="DS123" i="243"/>
  <c r="EK168" i="243"/>
  <c r="EL19" i="242"/>
  <c r="EP59" i="11"/>
  <c r="EP60" i="11"/>
  <c r="EN58" i="11"/>
  <c r="EV51" i="4"/>
  <c r="DW18" i="2"/>
  <c r="DW13" i="2" s="1"/>
  <c r="DW156" i="243" s="1"/>
  <c r="DW27" i="2"/>
  <c r="DW38" i="2" s="1"/>
  <c r="EK119" i="243"/>
  <c r="DZ42" i="2"/>
  <c r="DZ46" i="2" s="1"/>
  <c r="DP83" i="243"/>
  <c r="DP85" i="243" s="1"/>
  <c r="DQ88" i="243"/>
  <c r="DQ91" i="243" s="1"/>
  <c r="DP92" i="243"/>
  <c r="EK30" i="243"/>
  <c r="EK173" i="243" s="1"/>
  <c r="EO19" i="242"/>
  <c r="EK19" i="242"/>
  <c r="DR123" i="243"/>
  <c r="EN103" i="243"/>
  <c r="EO115" i="243"/>
  <c r="EO119" i="243" s="1"/>
  <c r="EO103" i="243" s="1"/>
  <c r="EN138" i="4"/>
  <c r="EO134" i="4" s="1"/>
  <c r="EG89" i="243"/>
  <c r="ED40" i="243"/>
  <c r="DS194" i="243"/>
  <c r="DS195" i="243" s="1"/>
  <c r="DS83" i="243"/>
  <c r="DS85" i="243" s="1"/>
  <c r="DS13" i="243" s="1"/>
  <c r="DS92" i="243"/>
  <c r="DT88" i="243"/>
  <c r="DT91" i="243" s="1"/>
  <c r="DY138" i="4"/>
  <c r="EA123" i="243"/>
  <c r="ED35" i="243"/>
  <c r="ED170" i="243"/>
  <c r="DZ189" i="243"/>
  <c r="DZ46" i="242"/>
  <c r="DZ50" i="242" s="1"/>
  <c r="DW20" i="242"/>
  <c r="EU102" i="4"/>
  <c r="EU109" i="4" s="1"/>
  <c r="EU111" i="4" s="1"/>
  <c r="EU112" i="4" s="1"/>
  <c r="EU43" i="4"/>
  <c r="EU46" i="4" s="1"/>
  <c r="EU48" i="4" s="1"/>
  <c r="EU58" i="4"/>
  <c r="EU60" i="4" s="1"/>
  <c r="EN22" i="2" s="1"/>
  <c r="EG40" i="2"/>
  <c r="EG42" i="2" s="1"/>
  <c r="EG46" i="2" s="1"/>
  <c r="EM43" i="4"/>
  <c r="EM46" i="4" s="1"/>
  <c r="EM48" i="4" s="1"/>
  <c r="EF54" i="2" s="1"/>
  <c r="EM102" i="4"/>
  <c r="EM109" i="4" s="1"/>
  <c r="EM111" i="4" s="1"/>
  <c r="EM112" i="4" s="1"/>
  <c r="EM58" i="4"/>
  <c r="EM60" i="4" s="1"/>
  <c r="EF22" i="2" s="1"/>
  <c r="EK132" i="4"/>
  <c r="EK135" i="4"/>
  <c r="EK138" i="4" s="1"/>
  <c r="EL134" i="4" s="1"/>
  <c r="EL138" i="4" s="1"/>
  <c r="EM134" i="4" s="1"/>
  <c r="EH18" i="2"/>
  <c r="EH13" i="2" s="1"/>
  <c r="EH156" i="243" s="1"/>
  <c r="EH27" i="2"/>
  <c r="EH38" i="2" s="1"/>
  <c r="EO14" i="242"/>
  <c r="EK14" i="242"/>
  <c r="DT196" i="243"/>
  <c r="DT41" i="2"/>
  <c r="DW185" i="243"/>
  <c r="DW159" i="243"/>
  <c r="DX13" i="242"/>
  <c r="DT42" i="2"/>
  <c r="DT46" i="2" s="1"/>
  <c r="EO132" i="4"/>
  <c r="EO135" i="4"/>
  <c r="EH89" i="243" s="1"/>
  <c r="EH108" i="243" s="1"/>
  <c r="EM131" i="4"/>
  <c r="DX103" i="243"/>
  <c r="DY115" i="243"/>
  <c r="DY119" i="243" s="1"/>
  <c r="DY103" i="243" s="1"/>
  <c r="EL14" i="242"/>
  <c r="EK162" i="243"/>
  <c r="DT56" i="2"/>
  <c r="DP56" i="2"/>
  <c r="DP57" i="2" s="1"/>
  <c r="ED103" i="243"/>
  <c r="EE115" i="243"/>
  <c r="EE119" i="243" s="1"/>
  <c r="DR13" i="242"/>
  <c r="DP46" i="242"/>
  <c r="DP189" i="243"/>
  <c r="EA46" i="242"/>
  <c r="EA189" i="243"/>
  <c r="ET99" i="4"/>
  <c r="EM116" i="243"/>
  <c r="EM20" i="2"/>
  <c r="EM5" i="242" s="1"/>
  <c r="ER131" i="4"/>
  <c r="EU135" i="4"/>
  <c r="EV131" i="4"/>
  <c r="EM179" i="243"/>
  <c r="EM168" i="243"/>
  <c r="EM162" i="243"/>
  <c r="EM153" i="243"/>
  <c r="EM159" i="243"/>
  <c r="EM171" i="243"/>
  <c r="EM165" i="243"/>
  <c r="EM176" i="243"/>
  <c r="EO15" i="2"/>
  <c r="EM15" i="2" s="1"/>
  <c r="EK15" i="2"/>
  <c r="DW186" i="243"/>
  <c r="DX15" i="242"/>
  <c r="DY15" i="242" s="1"/>
  <c r="DW171" i="243"/>
  <c r="DP196" i="243"/>
  <c r="DP41" i="2"/>
  <c r="ED22" i="2"/>
  <c r="DT50" i="242"/>
  <c r="DP50" i="242"/>
  <c r="EM274" i="243"/>
  <c r="EM10" i="2"/>
  <c r="EM11" i="2" s="1"/>
  <c r="EF132" i="4"/>
  <c r="EF135" i="4"/>
  <c r="DY89" i="243" s="1"/>
  <c r="DY108" i="243" s="1"/>
  <c r="DW174" i="243"/>
  <c r="DW175" i="243" s="1"/>
  <c r="DZ91" i="243"/>
  <c r="DW89" i="243"/>
  <c r="DW91" i="243" s="1"/>
  <c r="DZ108" i="243"/>
  <c r="EN46" i="11"/>
  <c r="EN47" i="11"/>
  <c r="ET26" i="4"/>
  <c r="DP176" i="243"/>
  <c r="DQ173" i="243"/>
  <c r="EO15" i="242"/>
  <c r="EK15" i="242"/>
  <c r="DY18" i="2"/>
  <c r="DY13" i="2" s="1"/>
  <c r="DY156" i="243" s="1"/>
  <c r="DY27" i="2"/>
  <c r="EK13" i="242"/>
  <c r="EO13" i="242"/>
  <c r="DP188" i="243"/>
  <c r="EN16" i="242" l="1"/>
  <c r="EN20" i="242" s="1"/>
  <c r="EF138" i="4"/>
  <c r="EM19" i="242"/>
  <c r="DW42" i="2"/>
  <c r="DW46" i="2" s="1"/>
  <c r="DW48" i="2" s="1"/>
  <c r="DP62" i="2"/>
  <c r="DP63" i="2" s="1"/>
  <c r="DP61" i="2"/>
  <c r="DW176" i="243"/>
  <c r="DX173" i="243"/>
  <c r="EF115" i="243"/>
  <c r="EF119" i="243" s="1"/>
  <c r="EF103" i="243" s="1"/>
  <c r="EE103" i="243"/>
  <c r="DT51" i="2"/>
  <c r="DT59" i="2" s="1"/>
  <c r="DT3" i="242"/>
  <c r="DT48" i="2"/>
  <c r="DT47" i="2"/>
  <c r="DT57" i="2"/>
  <c r="EN18" i="2"/>
  <c r="EN13" i="2" s="1"/>
  <c r="EN156" i="243" s="1"/>
  <c r="EN27" i="2"/>
  <c r="EN38" i="2" s="1"/>
  <c r="DS42" i="243"/>
  <c r="DS8" i="242"/>
  <c r="DS53" i="242"/>
  <c r="DT23" i="242"/>
  <c r="DP23" i="242"/>
  <c r="DS31" i="242"/>
  <c r="EF18" i="2"/>
  <c r="EF13" i="2" s="1"/>
  <c r="EF156" i="243" s="1"/>
  <c r="EF27" i="2"/>
  <c r="EN54" i="2"/>
  <c r="EN7" i="242"/>
  <c r="DT92" i="243"/>
  <c r="DT83" i="243"/>
  <c r="DT85" i="243" s="1"/>
  <c r="ED174" i="243"/>
  <c r="ED175" i="243" s="1"/>
  <c r="DR88" i="243"/>
  <c r="DR91" i="243" s="1"/>
  <c r="DQ92" i="243"/>
  <c r="DQ83" i="243"/>
  <c r="DQ85" i="243" s="1"/>
  <c r="DQ13" i="243" s="1"/>
  <c r="DP111" i="243"/>
  <c r="DP123" i="243"/>
  <c r="EM132" i="4"/>
  <c r="EM135" i="4"/>
  <c r="EF89" i="243" s="1"/>
  <c r="EF108" i="243" s="1"/>
  <c r="DS112" i="243"/>
  <c r="DS102" i="243"/>
  <c r="DS104" i="243" s="1"/>
  <c r="DS14" i="243" s="1"/>
  <c r="DP14" i="243" s="1"/>
  <c r="DT107" i="243"/>
  <c r="DS61" i="2"/>
  <c r="DS62" i="2"/>
  <c r="DS63" i="2" s="1"/>
  <c r="ER43" i="4"/>
  <c r="ER46" i="4" s="1"/>
  <c r="ER48" i="4" s="1"/>
  <c r="EK54" i="2" s="1"/>
  <c r="ER102" i="4"/>
  <c r="ER109" i="4" s="1"/>
  <c r="ER111" i="4" s="1"/>
  <c r="ER112" i="4" s="1"/>
  <c r="ER58" i="4"/>
  <c r="ER60" i="4" s="1"/>
  <c r="EK22" i="2" s="1"/>
  <c r="DW46" i="242"/>
  <c r="DW189" i="243"/>
  <c r="DZ194" i="243"/>
  <c r="DZ195" i="243" s="1"/>
  <c r="DP59" i="2"/>
  <c r="EK158" i="243"/>
  <c r="DS56" i="243"/>
  <c r="DP53" i="243"/>
  <c r="DW108" i="243"/>
  <c r="DZ23" i="242"/>
  <c r="DZ111" i="243"/>
  <c r="DZ123" i="243"/>
  <c r="DQ186" i="243"/>
  <c r="DQ188" i="243" s="1"/>
  <c r="DQ174" i="243"/>
  <c r="DQ40" i="243" s="1"/>
  <c r="DQ30" i="243"/>
  <c r="DW83" i="243"/>
  <c r="DW85" i="243" s="1"/>
  <c r="DW92" i="243"/>
  <c r="DX88" i="243"/>
  <c r="DX91" i="243" s="1"/>
  <c r="DP13" i="243"/>
  <c r="ED89" i="243"/>
  <c r="ED91" i="243" s="1"/>
  <c r="EG91" i="243"/>
  <c r="EG108" i="243"/>
  <c r="EO138" i="4"/>
  <c r="EH46" i="242"/>
  <c r="EH189" i="243"/>
  <c r="EV43" i="4"/>
  <c r="EV46" i="4" s="1"/>
  <c r="EV48" i="4" s="1"/>
  <c r="EO54" i="2" s="1"/>
  <c r="EV102" i="4"/>
  <c r="EV109" i="4" s="1"/>
  <c r="EV111" i="4" s="1"/>
  <c r="EV112" i="4" s="1"/>
  <c r="EV58" i="4"/>
  <c r="EV60" i="4" s="1"/>
  <c r="EO22" i="2" s="1"/>
  <c r="ET29" i="4"/>
  <c r="ET31" i="4" s="1"/>
  <c r="ET32" i="4" s="1"/>
  <c r="EV135" i="4"/>
  <c r="EO89" i="243" s="1"/>
  <c r="EO108" i="243" s="1"/>
  <c r="ET131" i="4"/>
  <c r="EV132" i="4"/>
  <c r="EG47" i="2"/>
  <c r="EG3" i="242"/>
  <c r="EG51" i="2"/>
  <c r="EG48" i="2"/>
  <c r="EG53" i="243"/>
  <c r="EA50" i="242"/>
  <c r="DW50" i="242"/>
  <c r="EN60" i="11"/>
  <c r="EN59" i="11"/>
  <c r="ET51" i="4"/>
  <c r="EK170" i="243"/>
  <c r="EK35" i="243"/>
  <c r="EA56" i="2"/>
  <c r="DW56" i="2"/>
  <c r="DS66" i="2"/>
  <c r="DS65" i="2"/>
  <c r="EG189" i="243"/>
  <c r="EG46" i="242"/>
  <c r="EG50" i="242" s="1"/>
  <c r="ED20" i="242"/>
  <c r="EN46" i="242"/>
  <c r="EN50" i="242" s="1"/>
  <c r="EK20" i="242"/>
  <c r="EN189" i="243"/>
  <c r="EH123" i="243"/>
  <c r="DY13" i="242"/>
  <c r="DY123" i="243"/>
  <c r="ED18" i="2"/>
  <c r="ED13" i="2" s="1"/>
  <c r="ED156" i="243" s="1"/>
  <c r="ED27" i="2"/>
  <c r="ED38" i="2" s="1"/>
  <c r="EN89" i="243"/>
  <c r="EU138" i="4"/>
  <c r="EV134" i="4" s="1"/>
  <c r="DW188" i="243"/>
  <c r="ED40" i="2"/>
  <c r="EH40" i="2"/>
  <c r="EG41" i="2"/>
  <c r="EG56" i="2" s="1"/>
  <c r="EG196" i="243"/>
  <c r="EK174" i="243"/>
  <c r="EK175" i="243" s="1"/>
  <c r="EK176" i="243" s="1"/>
  <c r="DZ3" i="242"/>
  <c r="DZ48" i="2"/>
  <c r="DZ57" i="2"/>
  <c r="DZ47" i="2"/>
  <c r="DZ51" i="2"/>
  <c r="DZ59" i="2" s="1"/>
  <c r="DZ53" i="243"/>
  <c r="DW196" i="243"/>
  <c r="DW41" i="2"/>
  <c r="ED185" i="243"/>
  <c r="ED159" i="243"/>
  <c r="EE13" i="242"/>
  <c r="DZ92" i="243"/>
  <c r="DZ83" i="243"/>
  <c r="DZ85" i="243" s="1"/>
  <c r="DZ13" i="243" s="1"/>
  <c r="EA88" i="243"/>
  <c r="EA91" i="243" s="1"/>
  <c r="ER132" i="4"/>
  <c r="ER135" i="4"/>
  <c r="ER138" i="4" s="1"/>
  <c r="ES134" i="4" s="1"/>
  <c r="ES138" i="4" s="1"/>
  <c r="ET134" i="4" s="1"/>
  <c r="EM14" i="242"/>
  <c r="ED186" i="243"/>
  <c r="ED171" i="243"/>
  <c r="EE15" i="242"/>
  <c r="EF15" i="242" s="1"/>
  <c r="DT194" i="243"/>
  <c r="DP194" i="243"/>
  <c r="DP197" i="243" s="1"/>
  <c r="EO16" i="242"/>
  <c r="EK16" i="242"/>
  <c r="EK103" i="243"/>
  <c r="EL115" i="243"/>
  <c r="EL119" i="243" s="1"/>
  <c r="EA196" i="243"/>
  <c r="EA41" i="2"/>
  <c r="EA42" i="2"/>
  <c r="EA46" i="2" s="1"/>
  <c r="DW57" i="2" l="1"/>
  <c r="DW61" i="2" s="1"/>
  <c r="DW51" i="2"/>
  <c r="DW59" i="2" s="1"/>
  <c r="DW47" i="2"/>
  <c r="DW3" i="242"/>
  <c r="EV138" i="4"/>
  <c r="EM138" i="4"/>
  <c r="ED42" i="2"/>
  <c r="ED46" i="2" s="1"/>
  <c r="ED3" i="242" s="1"/>
  <c r="ED188" i="243"/>
  <c r="DP22" i="243"/>
  <c r="DS125" i="243"/>
  <c r="DS121" i="243"/>
  <c r="EN91" i="243"/>
  <c r="EK89" i="243"/>
  <c r="EK91" i="243" s="1"/>
  <c r="EN108" i="243"/>
  <c r="ED50" i="242"/>
  <c r="EH50" i="242"/>
  <c r="ET102" i="4"/>
  <c r="ET109" i="4" s="1"/>
  <c r="ET111" i="4" s="1"/>
  <c r="ET112" i="4" s="1"/>
  <c r="ET43" i="4"/>
  <c r="ET46" i="4" s="1"/>
  <c r="ET48" i="4" s="1"/>
  <c r="EM54" i="2" s="1"/>
  <c r="ET58" i="4"/>
  <c r="ET60" i="4" s="1"/>
  <c r="EM22" i="2" s="1"/>
  <c r="ET135" i="4"/>
  <c r="EM89" i="243" s="1"/>
  <c r="EM108" i="243" s="1"/>
  <c r="ET132" i="4"/>
  <c r="DS22" i="243"/>
  <c r="DZ102" i="243"/>
  <c r="DZ104" i="243" s="1"/>
  <c r="DZ14" i="243" s="1"/>
  <c r="DW14" i="243" s="1"/>
  <c r="EA107" i="243"/>
  <c r="DZ112" i="243"/>
  <c r="EK185" i="243"/>
  <c r="EK159" i="243"/>
  <c r="EL13" i="242"/>
  <c r="DP112" i="243"/>
  <c r="DQ107" i="243"/>
  <c r="DP102" i="243"/>
  <c r="DP104" i="243" s="1"/>
  <c r="DR83" i="243"/>
  <c r="DR85" i="243" s="1"/>
  <c r="DR92" i="243"/>
  <c r="DT62" i="2"/>
  <c r="DT63" i="2" s="1"/>
  <c r="DT61" i="2"/>
  <c r="EK18" i="2"/>
  <c r="EK13" i="2" s="1"/>
  <c r="EK156" i="243" s="1"/>
  <c r="EK27" i="2"/>
  <c r="EK38" i="2" s="1"/>
  <c r="EA57" i="2"/>
  <c r="EA48" i="2"/>
  <c r="EA47" i="2"/>
  <c r="EA3" i="242"/>
  <c r="EA51" i="2"/>
  <c r="EA59" i="2" s="1"/>
  <c r="DT197" i="243"/>
  <c r="EH56" i="2"/>
  <c r="ED56" i="2"/>
  <c r="EG59" i="2"/>
  <c r="EO123" i="243"/>
  <c r="DX83" i="243"/>
  <c r="DX85" i="243" s="1"/>
  <c r="DX13" i="243" s="1"/>
  <c r="DY88" i="243"/>
  <c r="DY91" i="243" s="1"/>
  <c r="DX92" i="243"/>
  <c r="DW23" i="242"/>
  <c r="DZ31" i="242"/>
  <c r="DZ53" i="242"/>
  <c r="EA23" i="242"/>
  <c r="ED176" i="243"/>
  <c r="EE173" i="243"/>
  <c r="EN40" i="2"/>
  <c r="EN42" i="2" s="1"/>
  <c r="EN46" i="2" s="1"/>
  <c r="DZ56" i="243"/>
  <c r="DW53" i="243"/>
  <c r="DP8" i="242"/>
  <c r="DP21" i="242" s="1"/>
  <c r="DT8" i="242"/>
  <c r="DS21" i="242"/>
  <c r="DZ65" i="2"/>
  <c r="DZ66" i="2"/>
  <c r="EA92" i="243"/>
  <c r="EA83" i="243"/>
  <c r="EA85" i="243" s="1"/>
  <c r="DW111" i="243"/>
  <c r="DW123" i="243"/>
  <c r="DP65" i="2"/>
  <c r="DP66" i="2"/>
  <c r="DX186" i="243"/>
  <c r="DX188" i="243" s="1"/>
  <c r="DX30" i="243"/>
  <c r="DX174" i="243"/>
  <c r="DX40" i="243" s="1"/>
  <c r="EK171" i="243"/>
  <c r="EK186" i="243"/>
  <c r="EL15" i="242"/>
  <c r="EM15" i="242" s="1"/>
  <c r="DP42" i="243"/>
  <c r="DS47" i="243"/>
  <c r="DS49" i="243" s="1"/>
  <c r="DS58" i="243" s="1"/>
  <c r="DW13" i="243"/>
  <c r="DZ8" i="242"/>
  <c r="DZ42" i="243"/>
  <c r="EF123" i="243"/>
  <c r="DP195" i="243"/>
  <c r="DP53" i="242"/>
  <c r="DP31" i="242"/>
  <c r="ED92" i="243"/>
  <c r="ED83" i="243"/>
  <c r="ED85" i="243" s="1"/>
  <c r="EE88" i="243"/>
  <c r="EE91" i="243" s="1"/>
  <c r="DP56" i="243"/>
  <c r="ED46" i="242"/>
  <c r="ED189" i="243"/>
  <c r="EH196" i="243"/>
  <c r="EH41" i="2"/>
  <c r="EM115" i="243"/>
  <c r="EM119" i="243" s="1"/>
  <c r="EM103" i="243" s="1"/>
  <c r="EL103" i="243"/>
  <c r="EG23" i="242"/>
  <c r="EG111" i="243"/>
  <c r="ED108" i="243"/>
  <c r="EG123" i="243"/>
  <c r="EA194" i="243"/>
  <c r="EA195" i="243" s="1"/>
  <c r="DW194" i="243"/>
  <c r="DW197" i="243" s="1"/>
  <c r="DR23" i="242"/>
  <c r="DT53" i="242"/>
  <c r="DT31" i="242"/>
  <c r="DT66" i="2"/>
  <c r="DT65" i="2"/>
  <c r="EF13" i="242"/>
  <c r="EG56" i="243"/>
  <c r="ED53" i="243"/>
  <c r="EG194" i="243"/>
  <c r="EG195" i="243" s="1"/>
  <c r="DZ62" i="2"/>
  <c r="DZ63" i="2" s="1"/>
  <c r="DZ61" i="2"/>
  <c r="ED196" i="243"/>
  <c r="ED41" i="2"/>
  <c r="EL173" i="243"/>
  <c r="EK46" i="242"/>
  <c r="EK189" i="243"/>
  <c r="EG57" i="2"/>
  <c r="EO18" i="2"/>
  <c r="EO13" i="2" s="1"/>
  <c r="EO156" i="243" s="1"/>
  <c r="EO27" i="2"/>
  <c r="EO38" i="2" s="1"/>
  <c r="DQ35" i="243"/>
  <c r="DQ16" i="242"/>
  <c r="EO50" i="242"/>
  <c r="EK50" i="242"/>
  <c r="DT195" i="243"/>
  <c r="EG83" i="243"/>
  <c r="EG85" i="243" s="1"/>
  <c r="EG13" i="243" s="1"/>
  <c r="EH88" i="243"/>
  <c r="EH91" i="243" s="1"/>
  <c r="EG92" i="243"/>
  <c r="EO20" i="242"/>
  <c r="DT111" i="243"/>
  <c r="DT122" i="243"/>
  <c r="EK7" i="242"/>
  <c r="EO7" i="242"/>
  <c r="EM7" i="242" s="1"/>
  <c r="DS52" i="242"/>
  <c r="DS51" i="242"/>
  <c r="EH42" i="2"/>
  <c r="EH46" i="2" s="1"/>
  <c r="DW62" i="2" l="1"/>
  <c r="DW63" i="2" s="1"/>
  <c r="DW22" i="243"/>
  <c r="ED57" i="2"/>
  <c r="ED51" i="2"/>
  <c r="ED59" i="2" s="1"/>
  <c r="ED65" i="2" s="1"/>
  <c r="ED47" i="2"/>
  <c r="ED48" i="2"/>
  <c r="EK188" i="243"/>
  <c r="EG61" i="2"/>
  <c r="EG62" i="2"/>
  <c r="EG63" i="2" s="1"/>
  <c r="EE174" i="243"/>
  <c r="EE40" i="243" s="1"/>
  <c r="EE186" i="243"/>
  <c r="EE188" i="243" s="1"/>
  <c r="EE30" i="243"/>
  <c r="DY83" i="243"/>
  <c r="DY85" i="243" s="1"/>
  <c r="DY92" i="243"/>
  <c r="DZ125" i="243"/>
  <c r="DZ121" i="243"/>
  <c r="DW53" i="242"/>
  <c r="DW31" i="242"/>
  <c r="EK83" i="243"/>
  <c r="EK85" i="243" s="1"/>
  <c r="EK92" i="243"/>
  <c r="EL88" i="243"/>
  <c r="EL91" i="243" s="1"/>
  <c r="DQ122" i="243"/>
  <c r="DQ111" i="243"/>
  <c r="EA122" i="243"/>
  <c r="EA111" i="243"/>
  <c r="ED111" i="243"/>
  <c r="ED123" i="243"/>
  <c r="EM27" i="2"/>
  <c r="EM18" i="2"/>
  <c r="EM13" i="2" s="1"/>
  <c r="EM156" i="243" s="1"/>
  <c r="DT52" i="242"/>
  <c r="DT51" i="242"/>
  <c r="DT102" i="243"/>
  <c r="DT104" i="243" s="1"/>
  <c r="DT112" i="243"/>
  <c r="DR53" i="242"/>
  <c r="DR31" i="242"/>
  <c r="DW66" i="2"/>
  <c r="DW65" i="2"/>
  <c r="DP125" i="243"/>
  <c r="DP121" i="243"/>
  <c r="EH92" i="243"/>
  <c r="EH83" i="243"/>
  <c r="EH85" i="243" s="1"/>
  <c r="EA61" i="2"/>
  <c r="EA62" i="2"/>
  <c r="EA63" i="2" s="1"/>
  <c r="ED13" i="243"/>
  <c r="DW56" i="243"/>
  <c r="DP51" i="242"/>
  <c r="DP52" i="242"/>
  <c r="DZ22" i="243"/>
  <c r="DW112" i="243"/>
  <c r="DW102" i="243"/>
  <c r="DW104" i="243" s="1"/>
  <c r="DX107" i="243"/>
  <c r="EA53" i="242"/>
  <c r="EA31" i="242"/>
  <c r="DY23" i="242"/>
  <c r="EA65" i="2"/>
  <c r="EA66" i="2"/>
  <c r="DP42" i="242"/>
  <c r="DP45" i="242"/>
  <c r="DP49" i="242" s="1"/>
  <c r="ET138" i="4"/>
  <c r="EN83" i="243"/>
  <c r="EN85" i="243" s="1"/>
  <c r="EN13" i="243" s="1"/>
  <c r="EN92" i="243"/>
  <c r="EO88" i="243"/>
  <c r="EO91" i="243" s="1"/>
  <c r="EG112" i="243"/>
  <c r="EH107" i="243"/>
  <c r="EG102" i="243"/>
  <c r="EG104" i="243" s="1"/>
  <c r="EG14" i="243" s="1"/>
  <c r="ED14" i="243" s="1"/>
  <c r="EG42" i="243"/>
  <c r="EG8" i="242"/>
  <c r="EG53" i="242"/>
  <c r="EH23" i="242"/>
  <c r="ED23" i="242"/>
  <c r="EG31" i="242"/>
  <c r="EA8" i="242"/>
  <c r="DW8" i="242"/>
  <c r="DW21" i="242" s="1"/>
  <c r="DZ21" i="242"/>
  <c r="DR16" i="242"/>
  <c r="DR20" i="242" s="1"/>
  <c r="DQ20" i="242"/>
  <c r="ED194" i="243"/>
  <c r="ED197" i="243" s="1"/>
  <c r="EH194" i="243"/>
  <c r="DX16" i="242"/>
  <c r="DX35" i="243"/>
  <c r="DS45" i="242"/>
  <c r="DS49" i="242" s="1"/>
  <c r="DS42" i="242"/>
  <c r="DS7" i="243" s="1"/>
  <c r="EN47" i="2"/>
  <c r="EN3" i="242"/>
  <c r="EN48" i="2"/>
  <c r="EN53" i="243"/>
  <c r="EN51" i="2"/>
  <c r="DZ51" i="242"/>
  <c r="DZ52" i="242"/>
  <c r="EG65" i="2"/>
  <c r="EG66" i="2"/>
  <c r="EM123" i="243"/>
  <c r="EH57" i="2"/>
  <c r="EH51" i="2"/>
  <c r="EH59" i="2" s="1"/>
  <c r="EH3" i="242"/>
  <c r="EH47" i="2"/>
  <c r="EH48" i="2"/>
  <c r="DW42" i="243"/>
  <c r="DZ47" i="243"/>
  <c r="DZ49" i="243" s="1"/>
  <c r="DZ58" i="243" s="1"/>
  <c r="EF88" i="243"/>
  <c r="EF91" i="243" s="1"/>
  <c r="EE92" i="243"/>
  <c r="EE83" i="243"/>
  <c r="EE85" i="243" s="1"/>
  <c r="EE13" i="243" s="1"/>
  <c r="EO46" i="242"/>
  <c r="EO189" i="243"/>
  <c r="EL174" i="243"/>
  <c r="EL40" i="243" s="1"/>
  <c r="EL186" i="243"/>
  <c r="EL188" i="243" s="1"/>
  <c r="EL30" i="243"/>
  <c r="ED56" i="243"/>
  <c r="DW195" i="243"/>
  <c r="EA197" i="243"/>
  <c r="ED62" i="2"/>
  <c r="ED63" i="2" s="1"/>
  <c r="ED61" i="2"/>
  <c r="DP47" i="243"/>
  <c r="DP49" i="243" s="1"/>
  <c r="DP58" i="243" s="1"/>
  <c r="DT21" i="242"/>
  <c r="EN196" i="243"/>
  <c r="EO40" i="2"/>
  <c r="EO42" i="2" s="1"/>
  <c r="EO46" i="2" s="1"/>
  <c r="EN41" i="2"/>
  <c r="EN56" i="2" s="1"/>
  <c r="EK40" i="2"/>
  <c r="EK42" i="2" s="1"/>
  <c r="EK46" i="2" s="1"/>
  <c r="EM13" i="242"/>
  <c r="EN23" i="242"/>
  <c r="EN111" i="243"/>
  <c r="EK108" i="243"/>
  <c r="EN123" i="243"/>
  <c r="ED66" i="2" l="1"/>
  <c r="ED195" i="243"/>
  <c r="EG22" i="243"/>
  <c r="DW125" i="243"/>
  <c r="DW121" i="243"/>
  <c r="DW52" i="242"/>
  <c r="DW51" i="242"/>
  <c r="EA21" i="242"/>
  <c r="DS80" i="242"/>
  <c r="DS82" i="242" s="1"/>
  <c r="DS86" i="242" s="1"/>
  <c r="DS241" i="243"/>
  <c r="DS243" i="243" s="1"/>
  <c r="DT246" i="243" s="1"/>
  <c r="DP7" i="243"/>
  <c r="DS11" i="243"/>
  <c r="DS24" i="243" s="1"/>
  <c r="DS59" i="243" s="1"/>
  <c r="EA102" i="243"/>
  <c r="EA104" i="243" s="1"/>
  <c r="EA112" i="243"/>
  <c r="EN53" i="242"/>
  <c r="EN31" i="242"/>
  <c r="EK23" i="242"/>
  <c r="EO23" i="242"/>
  <c r="DZ45" i="242"/>
  <c r="DZ49" i="242" s="1"/>
  <c r="DZ42" i="242"/>
  <c r="DZ7" i="243" s="1"/>
  <c r="ED112" i="243"/>
  <c r="ED102" i="243"/>
  <c r="ED104" i="243" s="1"/>
  <c r="EE107" i="243"/>
  <c r="EH62" i="2"/>
  <c r="EH63" i="2" s="1"/>
  <c r="EH61" i="2"/>
  <c r="ED53" i="242"/>
  <c r="ED31" i="242"/>
  <c r="EO56" i="2"/>
  <c r="EO57" i="2" s="1"/>
  <c r="EK56" i="2"/>
  <c r="EK57" i="2" s="1"/>
  <c r="EG125" i="243"/>
  <c r="EG121" i="243"/>
  <c r="DR51" i="242"/>
  <c r="DR52" i="242"/>
  <c r="EK13" i="243"/>
  <c r="DT125" i="243"/>
  <c r="DT121" i="243"/>
  <c r="EH65" i="2"/>
  <c r="EH66" i="2"/>
  <c r="EK196" i="243"/>
  <c r="EK41" i="2"/>
  <c r="EL35" i="243"/>
  <c r="EL16" i="242"/>
  <c r="DS58" i="242"/>
  <c r="DS60" i="242" s="1"/>
  <c r="DS56" i="242"/>
  <c r="DS61" i="242" s="1"/>
  <c r="EH197" i="243"/>
  <c r="EH122" i="243"/>
  <c r="EH111" i="243"/>
  <c r="DY53" i="242"/>
  <c r="DY31" i="242"/>
  <c r="EF92" i="243"/>
  <c r="EF83" i="243"/>
  <c r="EF85" i="243" s="1"/>
  <c r="EN57" i="2"/>
  <c r="EF23" i="242"/>
  <c r="EH31" i="242"/>
  <c r="EH53" i="242"/>
  <c r="EK111" i="243"/>
  <c r="EK123" i="243"/>
  <c r="EO196" i="243"/>
  <c r="EO41" i="2"/>
  <c r="DW47" i="243"/>
  <c r="DW49" i="243" s="1"/>
  <c r="DW58" i="243" s="1"/>
  <c r="EN59" i="2"/>
  <c r="DY16" i="242"/>
  <c r="DY20" i="242" s="1"/>
  <c r="DX20" i="242"/>
  <c r="DQ46" i="242"/>
  <c r="DQ50" i="242" s="1"/>
  <c r="DR50" i="242" s="1"/>
  <c r="DQ189" i="243"/>
  <c r="EG52" i="242"/>
  <c r="EG51" i="242"/>
  <c r="DP58" i="242"/>
  <c r="DP60" i="242" s="1"/>
  <c r="DP56" i="242"/>
  <c r="DP61" i="242" s="1"/>
  <c r="EA51" i="242"/>
  <c r="EA52" i="242"/>
  <c r="EH195" i="243"/>
  <c r="DQ112" i="243"/>
  <c r="DR107" i="243"/>
  <c r="DQ102" i="243"/>
  <c r="DQ104" i="243" s="1"/>
  <c r="DQ14" i="243" s="1"/>
  <c r="DQ22" i="243" s="1"/>
  <c r="EE35" i="243"/>
  <c r="EE16" i="242"/>
  <c r="DT42" i="242"/>
  <c r="DT45" i="242"/>
  <c r="DT49" i="242" s="1"/>
  <c r="ED42" i="243"/>
  <c r="EG47" i="243"/>
  <c r="EG49" i="243" s="1"/>
  <c r="EG58" i="243" s="1"/>
  <c r="EK51" i="2"/>
  <c r="EK47" i="2"/>
  <c r="EK48" i="2"/>
  <c r="EK3" i="242"/>
  <c r="EO51" i="2"/>
  <c r="EO47" i="2"/>
  <c r="EO48" i="2"/>
  <c r="EO3" i="242"/>
  <c r="DW45" i="242"/>
  <c r="DW49" i="242" s="1"/>
  <c r="DW42" i="242"/>
  <c r="EN102" i="243"/>
  <c r="EN104" i="243" s="1"/>
  <c r="EN14" i="243" s="1"/>
  <c r="EK14" i="243" s="1"/>
  <c r="EN112" i="243"/>
  <c r="EO107" i="243"/>
  <c r="EN194" i="243"/>
  <c r="EN195" i="243" s="1"/>
  <c r="EN56" i="243"/>
  <c r="EK53" i="243"/>
  <c r="DR46" i="242"/>
  <c r="DR189" i="243"/>
  <c r="ED8" i="242"/>
  <c r="ED21" i="242" s="1"/>
  <c r="EH8" i="242"/>
  <c r="EG21" i="242"/>
  <c r="EO83" i="243"/>
  <c r="EO85" i="243" s="1"/>
  <c r="EO92" i="243"/>
  <c r="DX122" i="243"/>
  <c r="DX111" i="243"/>
  <c r="ED22" i="243"/>
  <c r="EL83" i="243"/>
  <c r="EL85" i="243" s="1"/>
  <c r="EL13" i="243" s="1"/>
  <c r="EM88" i="243"/>
  <c r="EM91" i="243" s="1"/>
  <c r="EL92" i="243"/>
  <c r="EK59" i="2" l="1"/>
  <c r="EK65" i="2" s="1"/>
  <c r="EK22" i="243"/>
  <c r="EN22" i="243"/>
  <c r="EN8" i="242"/>
  <c r="EN42" i="243"/>
  <c r="EK61" i="2"/>
  <c r="EK62" i="2"/>
  <c r="EK63" i="2" s="1"/>
  <c r="EN66" i="2"/>
  <c r="EN65" i="2"/>
  <c r="EK102" i="243"/>
  <c r="EK104" i="243" s="1"/>
  <c r="EK112" i="243"/>
  <c r="EL107" i="243"/>
  <c r="EO53" i="242"/>
  <c r="EM23" i="242"/>
  <c r="EO31" i="242"/>
  <c r="DW56" i="242"/>
  <c r="DW61" i="242" s="1"/>
  <c r="DW58" i="242"/>
  <c r="DW60" i="242" s="1"/>
  <c r="EM83" i="243"/>
  <c r="EM85" i="243" s="1"/>
  <c r="EM92" i="243"/>
  <c r="EK31" i="242"/>
  <c r="EK53" i="242"/>
  <c r="EG45" i="242"/>
  <c r="EG49" i="242" s="1"/>
  <c r="EG42" i="242"/>
  <c r="EG7" i="243" s="1"/>
  <c r="EO194" i="243"/>
  <c r="EO195" i="243" s="1"/>
  <c r="EK194" i="243"/>
  <c r="EK197" i="243" s="1"/>
  <c r="EO111" i="243"/>
  <c r="EO122" i="243"/>
  <c r="EO61" i="2"/>
  <c r="EO62" i="2"/>
  <c r="EO63" i="2" s="1"/>
  <c r="DY51" i="242"/>
  <c r="DY52" i="242"/>
  <c r="EN51" i="242"/>
  <c r="EN52" i="242"/>
  <c r="ED45" i="242"/>
  <c r="ED49" i="242" s="1"/>
  <c r="ED42" i="242"/>
  <c r="EH102" i="243"/>
  <c r="EH104" i="243" s="1"/>
  <c r="EH112" i="243"/>
  <c r="ED125" i="243"/>
  <c r="ED121" i="243"/>
  <c r="EA125" i="243"/>
  <c r="EA121" i="243"/>
  <c r="EH21" i="242"/>
  <c r="EH51" i="242"/>
  <c r="EH52" i="242"/>
  <c r="EE122" i="243"/>
  <c r="EE111" i="243"/>
  <c r="ED52" i="242"/>
  <c r="ED51" i="242"/>
  <c r="EA42" i="242"/>
  <c r="EA45" i="242"/>
  <c r="EA49" i="242" s="1"/>
  <c r="EN125" i="243"/>
  <c r="EN121" i="243"/>
  <c r="ED47" i="243"/>
  <c r="ED49" i="243" s="1"/>
  <c r="ED58" i="243" s="1"/>
  <c r="DR111" i="243"/>
  <c r="DR122" i="243"/>
  <c r="EO59" i="2"/>
  <c r="DT56" i="242"/>
  <c r="DT61" i="242" s="1"/>
  <c r="DT58" i="242"/>
  <c r="DT60" i="242" s="1"/>
  <c r="EK56" i="243"/>
  <c r="DX46" i="242"/>
  <c r="DX50" i="242" s="1"/>
  <c r="DY50" i="242" s="1"/>
  <c r="DX189" i="243"/>
  <c r="EN62" i="2"/>
  <c r="EN63" i="2" s="1"/>
  <c r="EN61" i="2"/>
  <c r="DZ80" i="242"/>
  <c r="DZ82" i="242" s="1"/>
  <c r="DZ86" i="242" s="1"/>
  <c r="DZ241" i="243"/>
  <c r="DZ243" i="243" s="1"/>
  <c r="EA246" i="243" s="1"/>
  <c r="DW7" i="243"/>
  <c r="DZ11" i="243"/>
  <c r="DZ24" i="243" s="1"/>
  <c r="DZ59" i="243" s="1"/>
  <c r="EM16" i="242"/>
  <c r="EM20" i="242" s="1"/>
  <c r="EL20" i="242"/>
  <c r="DP80" i="242"/>
  <c r="DP82" i="242" s="1"/>
  <c r="DP86" i="242" s="1"/>
  <c r="DP241" i="243"/>
  <c r="DP243" i="243" s="1"/>
  <c r="DP11" i="243"/>
  <c r="DP24" i="243" s="1"/>
  <c r="DP59" i="243" s="1"/>
  <c r="DX102" i="243"/>
  <c r="DX104" i="243" s="1"/>
  <c r="DX14" i="243" s="1"/>
  <c r="DX22" i="243" s="1"/>
  <c r="DX112" i="243"/>
  <c r="DY107" i="243"/>
  <c r="EF31" i="242"/>
  <c r="EF53" i="242"/>
  <c r="DQ125" i="243"/>
  <c r="DQ121" i="243"/>
  <c r="EF16" i="242"/>
  <c r="EF20" i="242" s="1"/>
  <c r="EE20" i="242"/>
  <c r="DY46" i="242"/>
  <c r="DY189" i="243"/>
  <c r="DZ56" i="242"/>
  <c r="DZ61" i="242" s="1"/>
  <c r="DZ58" i="242"/>
  <c r="DZ60" i="242" s="1"/>
  <c r="EK66" i="2" l="1"/>
  <c r="EK195" i="243"/>
  <c r="EF52" i="242"/>
  <c r="EF51" i="242"/>
  <c r="EG56" i="242"/>
  <c r="EG61" i="242" s="1"/>
  <c r="EG58" i="242"/>
  <c r="EG60" i="242" s="1"/>
  <c r="DY111" i="243"/>
  <c r="DY122" i="243"/>
  <c r="EH42" i="242"/>
  <c r="EH45" i="242"/>
  <c r="EH49" i="242" s="1"/>
  <c r="ED58" i="242"/>
  <c r="ED60" i="242" s="1"/>
  <c r="ED56" i="242"/>
  <c r="ED61" i="242" s="1"/>
  <c r="EO52" i="242"/>
  <c r="EO51" i="242"/>
  <c r="EL46" i="242"/>
  <c r="EL50" i="242" s="1"/>
  <c r="EM50" i="242" s="1"/>
  <c r="EL189" i="243"/>
  <c r="EK52" i="242"/>
  <c r="EK51" i="242"/>
  <c r="EK125" i="243"/>
  <c r="EK121" i="243"/>
  <c r="DX125" i="243"/>
  <c r="DX121" i="243"/>
  <c r="EM31" i="242"/>
  <c r="EM53" i="242"/>
  <c r="EE46" i="242"/>
  <c r="EE50" i="242" s="1"/>
  <c r="EF50" i="242" s="1"/>
  <c r="EE189" i="243"/>
  <c r="DR112" i="243"/>
  <c r="DR102" i="243"/>
  <c r="DR104" i="243" s="1"/>
  <c r="DW80" i="242"/>
  <c r="DW82" i="242" s="1"/>
  <c r="DW86" i="242" s="1"/>
  <c r="DW241" i="243"/>
  <c r="DW243" i="243" s="1"/>
  <c r="DW11" i="243"/>
  <c r="DW24" i="243" s="1"/>
  <c r="DW59" i="243" s="1"/>
  <c r="EA58" i="242"/>
  <c r="EA60" i="242" s="1"/>
  <c r="EA56" i="242"/>
  <c r="EA61" i="242" s="1"/>
  <c r="EH125" i="243"/>
  <c r="EH121" i="243"/>
  <c r="EO197" i="243"/>
  <c r="EK42" i="243"/>
  <c r="EN47" i="243"/>
  <c r="EN49" i="243" s="1"/>
  <c r="EN58" i="243" s="1"/>
  <c r="DP246" i="243"/>
  <c r="DQ245" i="243"/>
  <c r="EG80" i="242"/>
  <c r="EG82" i="242" s="1"/>
  <c r="EG86" i="242" s="1"/>
  <c r="EG241" i="243"/>
  <c r="EG243" i="243" s="1"/>
  <c r="EH246" i="243" s="1"/>
  <c r="ED7" i="243"/>
  <c r="EG11" i="243"/>
  <c r="EG24" i="243" s="1"/>
  <c r="EG59" i="243" s="1"/>
  <c r="EO66" i="2"/>
  <c r="EO65" i="2"/>
  <c r="EM46" i="242"/>
  <c r="EM189" i="243"/>
  <c r="EE102" i="243"/>
  <c r="EE104" i="243" s="1"/>
  <c r="EE14" i="243" s="1"/>
  <c r="EE22" i="243" s="1"/>
  <c r="EE112" i="243"/>
  <c r="EF107" i="243"/>
  <c r="EO102" i="243"/>
  <c r="EO104" i="243" s="1"/>
  <c r="EO112" i="243"/>
  <c r="EF189" i="243"/>
  <c r="EF46" i="242"/>
  <c r="EL122" i="243"/>
  <c r="EL111" i="243"/>
  <c r="EO8" i="242"/>
  <c r="EK8" i="242"/>
  <c r="EK21" i="242" s="1"/>
  <c r="EN21" i="242"/>
  <c r="EH58" i="242" l="1"/>
  <c r="EH60" i="242" s="1"/>
  <c r="EH56" i="242"/>
  <c r="EH61" i="242" s="1"/>
  <c r="EK47" i="243"/>
  <c r="EK49" i="243" s="1"/>
  <c r="EK58" i="243" s="1"/>
  <c r="EK45" i="242"/>
  <c r="EK49" i="242" s="1"/>
  <c r="EK42" i="242"/>
  <c r="EN45" i="242"/>
  <c r="EN49" i="242" s="1"/>
  <c r="EN42" i="242"/>
  <c r="EN7" i="243" s="1"/>
  <c r="DR245" i="243"/>
  <c r="DQ30" i="2"/>
  <c r="DQ31" i="2" s="1"/>
  <c r="DQ36" i="2" s="1"/>
  <c r="DQ38" i="2" s="1"/>
  <c r="EM52" i="242"/>
  <c r="EM51" i="242"/>
  <c r="DY102" i="243"/>
  <c r="DY104" i="243" s="1"/>
  <c r="DY112" i="243"/>
  <c r="EE121" i="243"/>
  <c r="EE125" i="243"/>
  <c r="EO125" i="243"/>
  <c r="EO121" i="243"/>
  <c r="EO21" i="242"/>
  <c r="EM107" i="243"/>
  <c r="EL102" i="243"/>
  <c r="EL104" i="243" s="1"/>
  <c r="EL14" i="243" s="1"/>
  <c r="EL22" i="243" s="1"/>
  <c r="EL112" i="243"/>
  <c r="EF122" i="243"/>
  <c r="EF111" i="243"/>
  <c r="DX245" i="243"/>
  <c r="DW246" i="243"/>
  <c r="ED241" i="243"/>
  <c r="ED243" i="243" s="1"/>
  <c r="ED80" i="242"/>
  <c r="ED82" i="242" s="1"/>
  <c r="ED86" i="242" s="1"/>
  <c r="ED11" i="243"/>
  <c r="ED24" i="243" s="1"/>
  <c r="ED59" i="243" s="1"/>
  <c r="DR125" i="243"/>
  <c r="DR121" i="243"/>
  <c r="EO45" i="242" l="1"/>
  <c r="EO49" i="242" s="1"/>
  <c r="EO42" i="242"/>
  <c r="EN58" i="242"/>
  <c r="EN60" i="242" s="1"/>
  <c r="EN56" i="242"/>
  <c r="EN61" i="242" s="1"/>
  <c r="DY125" i="243"/>
  <c r="DY121" i="243"/>
  <c r="EK58" i="242"/>
  <c r="EK60" i="242" s="1"/>
  <c r="EK56" i="242"/>
  <c r="EK61" i="242" s="1"/>
  <c r="EL121" i="243"/>
  <c r="EL125" i="243"/>
  <c r="DR30" i="2"/>
  <c r="DR31" i="2" s="1"/>
  <c r="DR36" i="2" s="1"/>
  <c r="DR38" i="2" s="1"/>
  <c r="DY245" i="243"/>
  <c r="DX30" i="2"/>
  <c r="DX31" i="2" s="1"/>
  <c r="DX36" i="2" s="1"/>
  <c r="DX38" i="2" s="1"/>
  <c r="EF102" i="243"/>
  <c r="EF104" i="243" s="1"/>
  <c r="EF112" i="243"/>
  <c r="DQ40" i="2"/>
  <c r="DQ42" i="2" s="1"/>
  <c r="DQ46" i="2" s="1"/>
  <c r="ED246" i="243"/>
  <c r="EE245" i="243"/>
  <c r="EM122" i="243"/>
  <c r="EM111" i="243"/>
  <c r="EN241" i="243"/>
  <c r="EN243" i="243" s="1"/>
  <c r="EO246" i="243" s="1"/>
  <c r="EK7" i="243"/>
  <c r="EN80" i="242"/>
  <c r="EN82" i="242" s="1"/>
  <c r="EN86" i="242" s="1"/>
  <c r="EN11" i="243"/>
  <c r="EN24" i="243" s="1"/>
  <c r="EN59" i="243" s="1"/>
  <c r="DY30" i="2" l="1"/>
  <c r="DY31" i="2" s="1"/>
  <c r="DY36" i="2" s="1"/>
  <c r="DY38" i="2" s="1"/>
  <c r="EM112" i="243"/>
  <c r="EM102" i="243"/>
  <c r="EM104" i="243" s="1"/>
  <c r="DX40" i="2"/>
  <c r="DX42" i="2" s="1"/>
  <c r="DX46" i="2" s="1"/>
  <c r="EF245" i="243"/>
  <c r="EE30" i="2"/>
  <c r="EE31" i="2" s="1"/>
  <c r="EE36" i="2" s="1"/>
  <c r="EE38" i="2" s="1"/>
  <c r="DQ51" i="2"/>
  <c r="DQ47" i="2"/>
  <c r="DQ48" i="2"/>
  <c r="DQ3" i="242"/>
  <c r="DQ53" i="243"/>
  <c r="DQ56" i="243" s="1"/>
  <c r="EK80" i="242"/>
  <c r="EK82" i="242" s="1"/>
  <c r="EK86" i="242" s="1"/>
  <c r="EK241" i="243"/>
  <c r="EK243" i="243" s="1"/>
  <c r="EK11" i="243"/>
  <c r="EK24" i="243" s="1"/>
  <c r="EK59" i="243" s="1"/>
  <c r="DQ41" i="2"/>
  <c r="DQ56" i="2" s="1"/>
  <c r="DR56" i="2" s="1"/>
  <c r="DQ196" i="243"/>
  <c r="DR40" i="2"/>
  <c r="EF125" i="243"/>
  <c r="EF121" i="243"/>
  <c r="EO58" i="242"/>
  <c r="EO60" i="242" s="1"/>
  <c r="EO56" i="242"/>
  <c r="EO61" i="242" s="1"/>
  <c r="DR196" i="243" l="1"/>
  <c r="DR41" i="2"/>
  <c r="DQ194" i="243"/>
  <c r="DR194" i="243" s="1"/>
  <c r="DQ57" i="2"/>
  <c r="DR42" i="2"/>
  <c r="DR46" i="2" s="1"/>
  <c r="DQ59" i="2"/>
  <c r="EF30" i="2"/>
  <c r="EF31" i="2" s="1"/>
  <c r="EF36" i="2" s="1"/>
  <c r="EF38" i="2" s="1"/>
  <c r="DX51" i="2"/>
  <c r="DX3" i="242"/>
  <c r="DX47" i="2"/>
  <c r="DX48" i="2"/>
  <c r="DX53" i="243"/>
  <c r="DX56" i="243" s="1"/>
  <c r="DX196" i="243"/>
  <c r="DX41" i="2"/>
  <c r="DX56" i="2" s="1"/>
  <c r="DY56" i="2" s="1"/>
  <c r="DY40" i="2"/>
  <c r="DY42" i="2" s="1"/>
  <c r="DY46" i="2" s="1"/>
  <c r="EM125" i="243"/>
  <c r="EM121" i="243"/>
  <c r="EK246" i="243"/>
  <c r="EL245" i="243"/>
  <c r="EE40" i="2"/>
  <c r="EE42" i="2" s="1"/>
  <c r="EE46" i="2" s="1"/>
  <c r="DQ195" i="243" l="1"/>
  <c r="DQ42" i="243" s="1"/>
  <c r="DQ47" i="243" s="1"/>
  <c r="DQ49" i="243" s="1"/>
  <c r="DQ58" i="243" s="1"/>
  <c r="DR197" i="243"/>
  <c r="DX59" i="2"/>
  <c r="DX66" i="2" s="1"/>
  <c r="DX65" i="2"/>
  <c r="DQ66" i="2"/>
  <c r="DQ65" i="2"/>
  <c r="DQ61" i="2"/>
  <c r="DQ62" i="2"/>
  <c r="DQ63" i="2" s="1"/>
  <c r="DQ8" i="242"/>
  <c r="DY196" i="243"/>
  <c r="DY41" i="2"/>
  <c r="DX57" i="2"/>
  <c r="EE51" i="2"/>
  <c r="EE48" i="2"/>
  <c r="EE3" i="242"/>
  <c r="EE47" i="2"/>
  <c r="EE53" i="243"/>
  <c r="EE56" i="243" s="1"/>
  <c r="DX194" i="243"/>
  <c r="DY194" i="243" s="1"/>
  <c r="EE41" i="2"/>
  <c r="EE56" i="2" s="1"/>
  <c r="EF56" i="2" s="1"/>
  <c r="EE196" i="243"/>
  <c r="EF40" i="2"/>
  <c r="EL30" i="2"/>
  <c r="EL31" i="2" s="1"/>
  <c r="EL36" i="2" s="1"/>
  <c r="EL38" i="2" s="1"/>
  <c r="EM245" i="243"/>
  <c r="DR51" i="2"/>
  <c r="DR59" i="2" s="1"/>
  <c r="DR57" i="2"/>
  <c r="DR48" i="2"/>
  <c r="DR3" i="242"/>
  <c r="DR47" i="2"/>
  <c r="DY51" i="2"/>
  <c r="DY59" i="2" s="1"/>
  <c r="DY3" i="242"/>
  <c r="DY57" i="2"/>
  <c r="DY47" i="2"/>
  <c r="DY48" i="2"/>
  <c r="DR195" i="243"/>
  <c r="DY197" i="243" l="1"/>
  <c r="EE57" i="2"/>
  <c r="EE62" i="2" s="1"/>
  <c r="DX195" i="243"/>
  <c r="DX8" i="242" s="1"/>
  <c r="EE59" i="2"/>
  <c r="EE66" i="2" s="1"/>
  <c r="DR62" i="2"/>
  <c r="DR63" i="2" s="1"/>
  <c r="DR61" i="2"/>
  <c r="DR8" i="242"/>
  <c r="DR21" i="242" s="1"/>
  <c r="DQ21" i="242"/>
  <c r="EE194" i="243"/>
  <c r="EF194" i="243" s="1"/>
  <c r="DY195" i="243"/>
  <c r="EL40" i="2"/>
  <c r="EL42" i="2" s="1"/>
  <c r="EL46" i="2" s="1"/>
  <c r="DY66" i="2"/>
  <c r="DY65" i="2"/>
  <c r="EF196" i="243"/>
  <c r="EF41" i="2"/>
  <c r="DX62" i="2"/>
  <c r="DX63" i="2" s="1"/>
  <c r="DX61" i="2"/>
  <c r="EF42" i="2"/>
  <c r="EF46" i="2" s="1"/>
  <c r="DR65" i="2"/>
  <c r="DR66" i="2"/>
  <c r="DY61" i="2"/>
  <c r="DY62" i="2"/>
  <c r="EM30" i="2"/>
  <c r="EM31" i="2" s="1"/>
  <c r="EM36" i="2" s="1"/>
  <c r="EM38" i="2" s="1"/>
  <c r="EE61" i="2" l="1"/>
  <c r="DX42" i="243"/>
  <c r="DX47" i="243" s="1"/>
  <c r="DX49" i="243" s="1"/>
  <c r="DX58" i="243" s="1"/>
  <c r="EE63" i="2"/>
  <c r="EF195" i="243"/>
  <c r="EE65" i="2"/>
  <c r="DY63" i="2"/>
  <c r="EF197" i="243"/>
  <c r="EE195" i="243"/>
  <c r="EL196" i="243"/>
  <c r="EL41" i="2"/>
  <c r="EL56" i="2" s="1"/>
  <c r="EM56" i="2" s="1"/>
  <c r="EM40" i="2"/>
  <c r="EF51" i="2"/>
  <c r="EF59" i="2" s="1"/>
  <c r="EF48" i="2"/>
  <c r="EF47" i="2"/>
  <c r="EF3" i="242"/>
  <c r="EF57" i="2"/>
  <c r="DQ45" i="242"/>
  <c r="DQ49" i="242" s="1"/>
  <c r="DQ42" i="242"/>
  <c r="DQ7" i="243" s="1"/>
  <c r="EL47" i="2"/>
  <c r="EL51" i="2"/>
  <c r="EL48" i="2"/>
  <c r="EL3" i="242"/>
  <c r="EL53" i="243"/>
  <c r="EL56" i="243" s="1"/>
  <c r="DR42" i="242"/>
  <c r="DR45" i="242"/>
  <c r="DR49" i="242" s="1"/>
  <c r="DY8" i="242"/>
  <c r="DY21" i="242" s="1"/>
  <c r="DX21" i="242"/>
  <c r="EL59" i="2" l="1"/>
  <c r="EL66" i="2" s="1"/>
  <c r="EL57" i="2"/>
  <c r="EL62" i="2" s="1"/>
  <c r="EL63" i="2" s="1"/>
  <c r="DX42" i="242"/>
  <c r="DX7" i="243" s="1"/>
  <c r="DX45" i="242"/>
  <c r="DX49" i="242" s="1"/>
  <c r="DQ241" i="243"/>
  <c r="DQ243" i="243" s="1"/>
  <c r="DR246" i="243" s="1"/>
  <c r="DQ80" i="242"/>
  <c r="DQ82" i="242" s="1"/>
  <c r="DQ86" i="242" s="1"/>
  <c r="DQ11" i="243"/>
  <c r="DQ24" i="243" s="1"/>
  <c r="DQ59" i="243" s="1"/>
  <c r="EL65" i="2"/>
  <c r="DY45" i="242"/>
  <c r="DY49" i="242" s="1"/>
  <c r="DY42" i="242"/>
  <c r="EF65" i="2"/>
  <c r="EF66" i="2"/>
  <c r="DR56" i="242"/>
  <c r="DR61" i="242" s="1"/>
  <c r="DR58" i="242"/>
  <c r="DR60" i="242" s="1"/>
  <c r="EM196" i="243"/>
  <c r="EM41" i="2"/>
  <c r="DQ56" i="242"/>
  <c r="DQ61" i="242" s="1"/>
  <c r="DQ58" i="242"/>
  <c r="DQ60" i="242" s="1"/>
  <c r="EL194" i="243"/>
  <c r="EM194" i="243" s="1"/>
  <c r="EF61" i="2"/>
  <c r="EF62" i="2"/>
  <c r="EF63" i="2" s="1"/>
  <c r="EM42" i="2"/>
  <c r="EM46" i="2" s="1"/>
  <c r="EE8" i="242"/>
  <c r="EE42" i="243"/>
  <c r="EE47" i="243" s="1"/>
  <c r="EE49" i="243" s="1"/>
  <c r="EE58" i="243" s="1"/>
  <c r="EL61" i="2" l="1"/>
  <c r="EM195" i="243"/>
  <c r="EM51" i="2"/>
  <c r="EM59" i="2" s="1"/>
  <c r="EM57" i="2"/>
  <c r="EM48" i="2"/>
  <c r="EM3" i="242"/>
  <c r="EM47" i="2"/>
  <c r="EM197" i="243"/>
  <c r="EL195" i="243"/>
  <c r="DY56" i="242"/>
  <c r="DY61" i="242" s="1"/>
  <c r="DY58" i="242"/>
  <c r="DY60" i="242" s="1"/>
  <c r="DX58" i="242"/>
  <c r="DX60" i="242" s="1"/>
  <c r="DX56" i="242"/>
  <c r="DX61" i="242" s="1"/>
  <c r="EF8" i="242"/>
  <c r="EF21" i="242" s="1"/>
  <c r="EE21" i="242"/>
  <c r="DX11" i="243"/>
  <c r="DX24" i="243" s="1"/>
  <c r="DX59" i="243" s="1"/>
  <c r="DX241" i="243"/>
  <c r="DX243" i="243" s="1"/>
  <c r="DY246" i="243" s="1"/>
  <c r="DX80" i="242"/>
  <c r="DX82" i="242" s="1"/>
  <c r="DX86" i="242" s="1"/>
  <c r="EL8" i="242" l="1"/>
  <c r="EL42" i="243"/>
  <c r="EL47" i="243" s="1"/>
  <c r="EL49" i="243" s="1"/>
  <c r="EL58" i="243" s="1"/>
  <c r="EE42" i="242"/>
  <c r="EE7" i="243" s="1"/>
  <c r="EE45" i="242"/>
  <c r="EE49" i="242" s="1"/>
  <c r="EF42" i="242"/>
  <c r="EF45" i="242"/>
  <c r="EF49" i="242" s="1"/>
  <c r="EM62" i="2"/>
  <c r="EM63" i="2" s="1"/>
  <c r="EM61" i="2"/>
  <c r="EM66" i="2"/>
  <c r="EM65" i="2"/>
  <c r="EE58" i="242" l="1"/>
  <c r="EE60" i="242" s="1"/>
  <c r="EE56" i="242"/>
  <c r="EE61" i="242" s="1"/>
  <c r="EF56" i="242"/>
  <c r="EF61" i="242" s="1"/>
  <c r="EF58" i="242"/>
  <c r="EF60" i="242" s="1"/>
  <c r="EE241" i="243"/>
  <c r="EE243" i="243" s="1"/>
  <c r="EF246" i="243" s="1"/>
  <c r="EE11" i="243"/>
  <c r="EE24" i="243" s="1"/>
  <c r="EE59" i="243" s="1"/>
  <c r="EE80" i="242"/>
  <c r="EE82" i="242" s="1"/>
  <c r="EE86" i="242" s="1"/>
  <c r="EL21" i="242"/>
  <c r="EM8" i="242"/>
  <c r="EM21" i="242" s="1"/>
  <c r="EM42" i="242" l="1"/>
  <c r="EM45" i="242"/>
  <c r="EM49" i="242" s="1"/>
  <c r="EL42" i="242"/>
  <c r="EL7" i="243" s="1"/>
  <c r="EL45" i="242"/>
  <c r="EL49" i="242" s="1"/>
  <c r="EL58" i="242" l="1"/>
  <c r="EL60" i="242" s="1"/>
  <c r="EL56" i="242"/>
  <c r="EL61" i="242" s="1"/>
  <c r="EL241" i="243"/>
  <c r="EL243" i="243" s="1"/>
  <c r="EM246" i="243" s="1"/>
  <c r="EL11" i="243"/>
  <c r="EL24" i="243" s="1"/>
  <c r="EL59" i="243" s="1"/>
  <c r="EL80" i="242"/>
  <c r="EL82" i="242" s="1"/>
  <c r="EL86" i="242" s="1"/>
  <c r="EM56" i="242"/>
  <c r="EM61" i="242" s="1"/>
  <c r="EM58" i="242"/>
  <c r="EM60" i="242" s="1"/>
</calcChain>
</file>

<file path=xl/sharedStrings.xml><?xml version="1.0" encoding="utf-8"?>
<sst xmlns="http://schemas.openxmlformats.org/spreadsheetml/2006/main" count="2582" uniqueCount="1363">
  <si>
    <t>Operating expenses</t>
  </si>
  <si>
    <t>Research &amp; development</t>
  </si>
  <si>
    <t>One-offs in EBIT (adj. from reported to clean)</t>
  </si>
  <si>
    <t>EBITDA</t>
  </si>
  <si>
    <t>% Change</t>
  </si>
  <si>
    <t>Accumulated other comprehensive income</t>
  </si>
  <si>
    <t>EUR</t>
  </si>
  <si>
    <t>Consolidated</t>
  </si>
  <si>
    <t>Amortisation of finite intangibles</t>
  </si>
  <si>
    <t>Reported depreciation &amp; amortisation</t>
  </si>
  <si>
    <t>Total Airbus Comm. &amp; Military EBITA (2008 onwards)</t>
  </si>
  <si>
    <t>Long-term debt</t>
  </si>
  <si>
    <t>Gross PP&amp;E</t>
  </si>
  <si>
    <t>Accumulated depreciation</t>
  </si>
  <si>
    <t>Net PPE</t>
  </si>
  <si>
    <t>Total decrease (increase) in working capital</t>
  </si>
  <si>
    <t>Inventory as a % of sales</t>
  </si>
  <si>
    <t>Trade receivable as a % of sales</t>
  </si>
  <si>
    <t>pre-paid expenses as a % of sales</t>
  </si>
  <si>
    <t>Group sales</t>
  </si>
  <si>
    <t>Airbus sales</t>
  </si>
  <si>
    <t>Non-Airbus sales</t>
  </si>
  <si>
    <t>Total operating expenses</t>
  </si>
  <si>
    <t>Other current assets</t>
  </si>
  <si>
    <t>Other current assets as a % of sales</t>
  </si>
  <si>
    <t>Adjustments to net income:</t>
  </si>
  <si>
    <t>One offs in Financial result</t>
  </si>
  <si>
    <t>Tax effect on one-offs</t>
  </si>
  <si>
    <t>Net income (loss) reported</t>
  </si>
  <si>
    <t>Revenues</t>
  </si>
  <si>
    <t>growth</t>
  </si>
  <si>
    <t>margin</t>
  </si>
  <si>
    <t>Trade payables</t>
  </si>
  <si>
    <t>Customer advance payments as a % of sales</t>
  </si>
  <si>
    <t>Other liabilities as a % of sales</t>
  </si>
  <si>
    <t>Inventories</t>
  </si>
  <si>
    <t>Cassidian</t>
  </si>
  <si>
    <t>Growth</t>
  </si>
  <si>
    <t>A380 R&amp;D</t>
  </si>
  <si>
    <t>Airbus delivery breakdown</t>
  </si>
  <si>
    <t>Pension provisions</t>
  </si>
  <si>
    <t>Total provisions</t>
  </si>
  <si>
    <t xml:space="preserve">Segment total </t>
  </si>
  <si>
    <t>E=Morgan Stanley Estimate</t>
  </si>
  <si>
    <t>Net interest income (expense)</t>
  </si>
  <si>
    <t>Provision for income taxes</t>
  </si>
  <si>
    <t>Interest expense</t>
  </si>
  <si>
    <t>Interest income</t>
  </si>
  <si>
    <t>Total Current Assets</t>
  </si>
  <si>
    <t>Cash provided by operating activities</t>
  </si>
  <si>
    <t>% of revenue</t>
  </si>
  <si>
    <t>Total financial liabilities</t>
  </si>
  <si>
    <t>FCF</t>
  </si>
  <si>
    <t>Other current liabilities</t>
  </si>
  <si>
    <t>Stat tax rate</t>
  </si>
  <si>
    <t>Trade payables as a % of sales</t>
  </si>
  <si>
    <t>Reported Basic EPS</t>
  </si>
  <si>
    <t>Reported Diluted EPS</t>
  </si>
  <si>
    <t>NM</t>
  </si>
  <si>
    <t>Basic shares outstanding EOY</t>
  </si>
  <si>
    <t>Avg. basic shares outstanding</t>
  </si>
  <si>
    <t>Diluted shares outstanding EOY</t>
  </si>
  <si>
    <t>Cash and cash equivalents</t>
  </si>
  <si>
    <t>Purchase/ disposal of intangible assets, PPE</t>
  </si>
  <si>
    <t>Dividends paid by companies valued at equity</t>
  </si>
  <si>
    <t>Change of securities</t>
  </si>
  <si>
    <t>Change in cash from changes in consolidation</t>
  </si>
  <si>
    <t>Contribution to plan assets</t>
  </si>
  <si>
    <t>Disposals of non-current assets held for sale</t>
  </si>
  <si>
    <t>NA</t>
  </si>
  <si>
    <t>Airbus Commercial</t>
  </si>
  <si>
    <t>Order book (€bn)</t>
  </si>
  <si>
    <t>Consolidated EBITDA</t>
  </si>
  <si>
    <t>Trade receivables</t>
  </si>
  <si>
    <t>Prepaid expenses</t>
  </si>
  <si>
    <t>Sikorsky</t>
  </si>
  <si>
    <t>Pre-paid expenses</t>
  </si>
  <si>
    <t xml:space="preserve">Goodwill amortisation   </t>
  </si>
  <si>
    <t>Gross other equipment, factory, &amp; office equipment</t>
  </si>
  <si>
    <t>Accumulated depreciation &amp; impairment</t>
  </si>
  <si>
    <t>Net other equipment, factory, &amp; office equipment</t>
  </si>
  <si>
    <t>BOY gross other equipment, factory, &amp; office equipment (80% represents operating lease A/C)</t>
  </si>
  <si>
    <t>Retirements &amp; disposals</t>
  </si>
  <si>
    <t>EOY gross aircraft classified as operating leases</t>
  </si>
  <si>
    <t>Average gross aircraft classified as operating lease</t>
  </si>
  <si>
    <t>Beginning accumulated depreciation &amp; impairment</t>
  </si>
  <si>
    <t>Reconciliation (For NI Reported and NI pre goodwill imp &amp; exc)</t>
  </si>
  <si>
    <t>Net Income (pre goodwill impairments and exceptionals)</t>
  </si>
  <si>
    <t>Net income</t>
  </si>
  <si>
    <t>Exchange adjustments &amp; other</t>
  </si>
  <si>
    <t>Ending Gross Goodwill</t>
  </si>
  <si>
    <t>Net Debt/Equity</t>
  </si>
  <si>
    <t>Total EBIT Reported (pre goodwill &amp; except.)</t>
  </si>
  <si>
    <t xml:space="preserve">A320 </t>
  </si>
  <si>
    <t>A350XWB charges</t>
  </si>
  <si>
    <t>A400M provision</t>
  </si>
  <si>
    <t>Other one-offs</t>
  </si>
  <si>
    <t>Power8 charges</t>
  </si>
  <si>
    <t>Capital gains</t>
  </si>
  <si>
    <t>Mark to market items (FX)</t>
  </si>
  <si>
    <t>A318</t>
  </si>
  <si>
    <t>A319</t>
  </si>
  <si>
    <t>A320</t>
  </si>
  <si>
    <t>Current Diluted Shares</t>
  </si>
  <si>
    <t>Total cash used for investing activities</t>
  </si>
  <si>
    <t>Increase (decrease) in debt</t>
  </si>
  <si>
    <t xml:space="preserve">Minority interests </t>
  </si>
  <si>
    <t>Capital Stock</t>
  </si>
  <si>
    <t>Accumulated Amortization</t>
  </si>
  <si>
    <t>Working Capital Schedule</t>
  </si>
  <si>
    <t>Income Tax Schedule</t>
  </si>
  <si>
    <t>2: Interest Rates</t>
  </si>
  <si>
    <t>(1x2): Interest Expense</t>
  </si>
  <si>
    <t>Cash provided by financing activities</t>
  </si>
  <si>
    <t>Net increase (decrease) in cash</t>
  </si>
  <si>
    <t>Shares</t>
  </si>
  <si>
    <t>Valuation adjustments</t>
  </si>
  <si>
    <t>Increase (decrease) in deferred taxes</t>
  </si>
  <si>
    <t>Customer advance payments</t>
  </si>
  <si>
    <t>Cash taxes paid</t>
  </si>
  <si>
    <t>Deferred</t>
  </si>
  <si>
    <t>Total Taxes</t>
  </si>
  <si>
    <t>% cash taxes</t>
  </si>
  <si>
    <t>Bonds</t>
  </si>
  <si>
    <t>Minorities</t>
  </si>
  <si>
    <t xml:space="preserve">Repayments &amp; dividends to minorities </t>
  </si>
  <si>
    <t>% of Revenue</t>
  </si>
  <si>
    <t>Deferred tax assets</t>
  </si>
  <si>
    <t>Beginning Gross Goodwill</t>
  </si>
  <si>
    <t>Increase in other liabilities/decrease in other assets</t>
  </si>
  <si>
    <t>Beginning accumulated depreciation</t>
  </si>
  <si>
    <t>A300</t>
  </si>
  <si>
    <t>A330</t>
  </si>
  <si>
    <t>A380</t>
  </si>
  <si>
    <t>Liabilities to financial institutions</t>
  </si>
  <si>
    <t>Increase (decrease) in provisions</t>
  </si>
  <si>
    <t>Goodwill impairment</t>
  </si>
  <si>
    <t>Margin %</t>
  </si>
  <si>
    <t>Deferred tax liabilities</t>
  </si>
  <si>
    <t>as a % of sales</t>
  </si>
  <si>
    <t>Other</t>
  </si>
  <si>
    <t>Rate per month</t>
  </si>
  <si>
    <t>Change</t>
  </si>
  <si>
    <t>A/D retirements as % gross retirements</t>
  </si>
  <si>
    <t>Average Life of Gross Goodwill</t>
  </si>
  <si>
    <t>Defeased bank deposits netted against liabilities</t>
  </si>
  <si>
    <t xml:space="preserve">Total </t>
  </si>
  <si>
    <t>Adjustments: (exceptional depreciation / disposals)</t>
  </si>
  <si>
    <t>Results on disposal of fixed assets &amp; income from equity int.</t>
  </si>
  <si>
    <t>Of which current</t>
  </si>
  <si>
    <t>Of which non-current</t>
  </si>
  <si>
    <t>A380 provisions</t>
  </si>
  <si>
    <t>A350XWB provisions</t>
  </si>
  <si>
    <t xml:space="preserve">Mark to market on LMC </t>
  </si>
  <si>
    <t xml:space="preserve">Net depreciation &amp; amortisation </t>
  </si>
  <si>
    <t>Deliveries</t>
  </si>
  <si>
    <t>Airbus Military</t>
  </si>
  <si>
    <t>Dividend Analysis</t>
  </si>
  <si>
    <t>Dividends Paid</t>
  </si>
  <si>
    <t>Dividend per Share (€)</t>
  </si>
  <si>
    <t>Dividend Yield</t>
  </si>
  <si>
    <t>Share Price</t>
  </si>
  <si>
    <t>Weighted Average Diluted Shares Outstanding (m)</t>
  </si>
  <si>
    <t>Provisions Schedule</t>
  </si>
  <si>
    <t>Total Revenue</t>
  </si>
  <si>
    <t>Revenue Growth %</t>
  </si>
  <si>
    <t>Research &amp; Development</t>
  </si>
  <si>
    <t>Total</t>
  </si>
  <si>
    <t>Segment Total</t>
  </si>
  <si>
    <t>Corporate</t>
  </si>
  <si>
    <t>4012250</t>
  </si>
  <si>
    <t>Average Gross Goodwill</t>
  </si>
  <si>
    <t>Beginning Accumulated Amortisation</t>
  </si>
  <si>
    <t>Additions</t>
  </si>
  <si>
    <t>Ending Accumulated Amortisation</t>
  </si>
  <si>
    <t>Total Working Assets</t>
  </si>
  <si>
    <t>BOY Gross PP&amp;E</t>
  </si>
  <si>
    <t>Retirements</t>
  </si>
  <si>
    <t>Ending gross PP&amp;E</t>
  </si>
  <si>
    <t>Debt Schedule</t>
  </si>
  <si>
    <t>Securities</t>
  </si>
  <si>
    <t>Additions (excess of purchase price over acquired assets)</t>
  </si>
  <si>
    <t>Subtotal</t>
  </si>
  <si>
    <t>Payments/proceeds from asst., other inv. &amp; other LT fin. asst.</t>
  </si>
  <si>
    <t>Total short &amp; long-term debt</t>
  </si>
  <si>
    <t>Government Launch Aid</t>
  </si>
  <si>
    <t>AIR.PA</t>
  </si>
  <si>
    <t>Gross Other Intangibles (Includes Capitalized R&amp;D)</t>
  </si>
  <si>
    <t>Net Other Intangibles</t>
  </si>
  <si>
    <t xml:space="preserve"> </t>
  </si>
  <si>
    <t>Beginning Gross Other Intangibles</t>
  </si>
  <si>
    <t xml:space="preserve">Additions </t>
  </si>
  <si>
    <t>Ending Gross Other Intangibles</t>
  </si>
  <si>
    <t>Average Gross Other Intangibles</t>
  </si>
  <si>
    <t>Decrease (increase) in accounts receivables</t>
  </si>
  <si>
    <t>Exceptional Dep (PPA)</t>
  </si>
  <si>
    <t>Effective tax rate</t>
  </si>
  <si>
    <t>Acquisition/ disposal of subsidiaries (net of cash)</t>
  </si>
  <si>
    <t>A330-200</t>
  </si>
  <si>
    <t>A330-300</t>
  </si>
  <si>
    <t>Changes due to restatement</t>
  </si>
  <si>
    <t>EV/EBIT</t>
  </si>
  <si>
    <t>A321</t>
  </si>
  <si>
    <t>Total Working Liabilities</t>
  </si>
  <si>
    <t>Net Working Capital</t>
  </si>
  <si>
    <t>Non current provisions</t>
  </si>
  <si>
    <t>Current advance payments</t>
  </si>
  <si>
    <t>Non-current advance payments</t>
  </si>
  <si>
    <t>Short-term debt</t>
  </si>
  <si>
    <t>FX</t>
  </si>
  <si>
    <t>DPS (€)</t>
  </si>
  <si>
    <t>Other Businesses</t>
  </si>
  <si>
    <t>Other provisions</t>
  </si>
  <si>
    <t>Minority interests</t>
  </si>
  <si>
    <t>Depreciation</t>
  </si>
  <si>
    <t>Total Interest income</t>
  </si>
  <si>
    <t>Interest Income</t>
  </si>
  <si>
    <t>Exceptional depreciation</t>
  </si>
  <si>
    <t>Customer financing assets</t>
  </si>
  <si>
    <t>Customer financing liabilities</t>
  </si>
  <si>
    <t>Ending accumulated depreciation</t>
  </si>
  <si>
    <t>Additions as % avg. gross PP&amp;E</t>
  </si>
  <si>
    <t>Retirements as % BOY gross PP&amp;E</t>
  </si>
  <si>
    <t>A/D additions as % gross additions</t>
  </si>
  <si>
    <t>Other working assets (liabilities)</t>
  </si>
  <si>
    <t>Deferred income</t>
  </si>
  <si>
    <t>Net Goodwill</t>
  </si>
  <si>
    <t>A400M</t>
  </si>
  <si>
    <t>Avg. diluted shares outstanding</t>
  </si>
  <si>
    <t>R&amp;D</t>
  </si>
  <si>
    <t>Decrease (increase) in inventories</t>
  </si>
  <si>
    <t>Increase (decrease) in accounts payable</t>
  </si>
  <si>
    <t>Average gross PP&amp;E</t>
  </si>
  <si>
    <t>US$ Value</t>
  </si>
  <si>
    <t>AgustaWestland</t>
  </si>
  <si>
    <t>Bell</t>
  </si>
  <si>
    <t>Revenue</t>
  </si>
  <si>
    <t>Boeing</t>
  </si>
  <si>
    <t>A350</t>
  </si>
  <si>
    <t>Total interest expense</t>
  </si>
  <si>
    <t>Other financial result</t>
  </si>
  <si>
    <t>Total financial costs</t>
  </si>
  <si>
    <t>FOR MODELWARE - DO NOT DELETE</t>
  </si>
  <si>
    <t>Average life of PP&amp;E</t>
  </si>
  <si>
    <t>EV/Sales</t>
  </si>
  <si>
    <t>(in millions €)</t>
  </si>
  <si>
    <t>(in millions)</t>
  </si>
  <si>
    <t>Operating expenses (excld. one time items)</t>
  </si>
  <si>
    <t>Interest expense (excld. one time items)</t>
  </si>
  <si>
    <t>Income tax recurring</t>
  </si>
  <si>
    <t>Unrecorded goodwill</t>
  </si>
  <si>
    <t>Amortisation of capitalised R&amp;D</t>
  </si>
  <si>
    <t>A350XWB</t>
  </si>
  <si>
    <t>Next generation SA dev.</t>
  </si>
  <si>
    <t>Government refundable advances</t>
  </si>
  <si>
    <t>Earnings before minorities</t>
  </si>
  <si>
    <t>Intangible assets</t>
  </si>
  <si>
    <t>Property, plant &amp; equipment</t>
  </si>
  <si>
    <t>Non-current securities</t>
  </si>
  <si>
    <t>Other investments and financial assets</t>
  </si>
  <si>
    <t>Total Non-Current Assets</t>
  </si>
  <si>
    <t>Total Equity</t>
  </si>
  <si>
    <t>Current provisions</t>
  </si>
  <si>
    <t>Trade liabilities</t>
  </si>
  <si>
    <t>Total Current Liabilities</t>
  </si>
  <si>
    <t>European governments' refundable advances</t>
  </si>
  <si>
    <t>Pension provision</t>
  </si>
  <si>
    <t>Total Non-Current Liabilities</t>
  </si>
  <si>
    <t>Total Liabilities and Equity</t>
  </si>
  <si>
    <t>Total Liabilities</t>
  </si>
  <si>
    <t>Sense check</t>
  </si>
  <si>
    <t>Current tax liabilities</t>
  </si>
  <si>
    <t>Income from equity interests</t>
  </si>
  <si>
    <t>Depreciation &amp; amortisation</t>
  </si>
  <si>
    <t>Military OEM</t>
  </si>
  <si>
    <t>Civil OEM</t>
  </si>
  <si>
    <t>Customer services</t>
  </si>
  <si>
    <t>Development and Other</t>
  </si>
  <si>
    <t xml:space="preserve">Revenue growth </t>
  </si>
  <si>
    <t>EBITA margin</t>
  </si>
  <si>
    <t>Total EBITA pre exceptionals</t>
  </si>
  <si>
    <t>Depreciation &amp; amortisation of capitalised R&amp;D</t>
  </si>
  <si>
    <t>Advanced payments received</t>
  </si>
  <si>
    <t>Total deliveries</t>
  </si>
  <si>
    <t>Investment in associates</t>
  </si>
  <si>
    <t>Amortised</t>
  </si>
  <si>
    <t>Total Assets</t>
  </si>
  <si>
    <t>Liabilities to affliated companies</t>
  </si>
  <si>
    <t>Loans</t>
  </si>
  <si>
    <t>Liabilities from finance leases</t>
  </si>
  <si>
    <t>Other assets - non-operating</t>
  </si>
  <si>
    <t>Other assets - operating</t>
  </si>
  <si>
    <t>Other liabilities - non-operating</t>
  </si>
  <si>
    <t>Other liabilities - operating</t>
  </si>
  <si>
    <t>Other one-offs inc. restructuring charges</t>
  </si>
  <si>
    <t>Add revenue from ATR, Sogerma</t>
  </si>
  <si>
    <t>Income Statement</t>
  </si>
  <si>
    <t>Order book</t>
  </si>
  <si>
    <t>Total revenue</t>
  </si>
  <si>
    <t>Astrium</t>
  </si>
  <si>
    <t>EBITA</t>
  </si>
  <si>
    <t>Services</t>
  </si>
  <si>
    <t xml:space="preserve">Average USD/EUR rate on forward contracts </t>
  </si>
  <si>
    <t xml:space="preserve">Airbus USD/EUR hedge book value </t>
  </si>
  <si>
    <t>Add revenue from Military Aircraft (A400M)</t>
  </si>
  <si>
    <t>Add revenue from EFW</t>
  </si>
  <si>
    <t>A380 costs</t>
  </si>
  <si>
    <t>A350XWB R&amp;D</t>
  </si>
  <si>
    <t>A340 R&amp;D</t>
  </si>
  <si>
    <t xml:space="preserve">A300 </t>
  </si>
  <si>
    <t>Reserves</t>
  </si>
  <si>
    <t>Eurocopter</t>
  </si>
  <si>
    <t>Incremental Paradigm Debt after 2003</t>
  </si>
  <si>
    <t>A340-300</t>
  </si>
  <si>
    <t>A340-500</t>
  </si>
  <si>
    <t>A340-600</t>
  </si>
  <si>
    <t>Capital increase and changes in controlling interests</t>
  </si>
  <si>
    <t>Change in treasury shares</t>
  </si>
  <si>
    <t>Gross Goodwill</t>
  </si>
  <si>
    <t>Change %</t>
  </si>
  <si>
    <t xml:space="preserve">Revenue </t>
  </si>
  <si>
    <t>A340 family</t>
  </si>
  <si>
    <t>Treasury Shares</t>
  </si>
  <si>
    <t>Airbus</t>
  </si>
  <si>
    <t>Airbus Defence &amp; Space</t>
  </si>
  <si>
    <t>Airbus Helicopters</t>
  </si>
  <si>
    <t>HQ/Eliminations &amp; other businesses</t>
  </si>
  <si>
    <t>Capex</t>
  </si>
  <si>
    <t>Military Aircraft</t>
  </si>
  <si>
    <t>Electronics</t>
  </si>
  <si>
    <t>Space Systems</t>
  </si>
  <si>
    <t>Communication, Intelligence &amp; Security</t>
  </si>
  <si>
    <t>EBIT reported</t>
  </si>
  <si>
    <t>One-offs</t>
  </si>
  <si>
    <t>EBIT pre exceps</t>
  </si>
  <si>
    <t>% of revenues</t>
  </si>
  <si>
    <t>Reported D&amp;A</t>
  </si>
  <si>
    <t>capex / depreciation (x)</t>
  </si>
  <si>
    <t xml:space="preserve">  Others</t>
  </si>
  <si>
    <t xml:space="preserve">  JV accounting change</t>
  </si>
  <si>
    <t>Orders booked (net)</t>
  </si>
  <si>
    <t>o.w. Super Puma family</t>
  </si>
  <si>
    <t>o.w. NH90 Tactical Transport</t>
  </si>
  <si>
    <t>implied value per helicopter</t>
  </si>
  <si>
    <t>average rev per delivery</t>
  </si>
  <si>
    <t>book to bill (revs)</t>
  </si>
  <si>
    <t>book to bill (helicopters)</t>
  </si>
  <si>
    <t>yoy change</t>
  </si>
  <si>
    <t>Helicopters in order book</t>
  </si>
  <si>
    <t>1H14</t>
  </si>
  <si>
    <t>1H13</t>
  </si>
  <si>
    <t>Divisional revs</t>
  </si>
  <si>
    <t>Services revenues</t>
  </si>
  <si>
    <t>Platforms revenues</t>
  </si>
  <si>
    <t>Services margin</t>
  </si>
  <si>
    <t>Services EBIT</t>
  </si>
  <si>
    <t>Platforms EBIT</t>
  </si>
  <si>
    <t>Platforms margin</t>
  </si>
  <si>
    <t>change</t>
  </si>
  <si>
    <t>Ariane 5 launchers</t>
  </si>
  <si>
    <t>Company built satellites</t>
  </si>
  <si>
    <t>Backlog</t>
  </si>
  <si>
    <t>A330 MRTT</t>
  </si>
  <si>
    <t>Medium &amp; light aircraft</t>
  </si>
  <si>
    <t>Order intake (net)</t>
  </si>
  <si>
    <t>Eurofighter</t>
  </si>
  <si>
    <t>A319neo</t>
  </si>
  <si>
    <t>A320 neo</t>
  </si>
  <si>
    <t>A321neo</t>
  </si>
  <si>
    <t>A350-900</t>
  </si>
  <si>
    <t>A350-1000</t>
  </si>
  <si>
    <t>A350-800</t>
  </si>
  <si>
    <t>Platforms</t>
  </si>
  <si>
    <t>Capitalised</t>
  </si>
  <si>
    <t>NBV of R&amp;D capitalised b/f</t>
  </si>
  <si>
    <t>NBV of R&amp;D capitalised c/f</t>
  </si>
  <si>
    <t>R&amp;D self financed (inc. capitalised)</t>
  </si>
  <si>
    <t>A320ceo</t>
  </si>
  <si>
    <t>A320neo</t>
  </si>
  <si>
    <t>A318ceo</t>
  </si>
  <si>
    <t>A330ceo</t>
  </si>
  <si>
    <t>A330neo</t>
  </si>
  <si>
    <t>A319ceo</t>
  </si>
  <si>
    <t>A321ceo</t>
  </si>
  <si>
    <t>A330-800neo</t>
  </si>
  <si>
    <t>A330-900neo</t>
  </si>
  <si>
    <t>Add back contribution to plan assets of pension schemes</t>
  </si>
  <si>
    <t>Gross cash</t>
  </si>
  <si>
    <t>Short-term financing debts</t>
  </si>
  <si>
    <t>Long-term financing debts</t>
  </si>
  <si>
    <t>Reported net cash</t>
  </si>
  <si>
    <t>Gross cash &amp; securities</t>
  </si>
  <si>
    <t>Goodwill</t>
  </si>
  <si>
    <t>Gross goodwill</t>
  </si>
  <si>
    <t>Accumulated goodwill amortisation</t>
  </si>
  <si>
    <t>Other Intangible Assets (inc. capitalised R&amp;D)</t>
  </si>
  <si>
    <t>Gross other intangibles</t>
  </si>
  <si>
    <t>Accumulated other intangibles amortisation</t>
  </si>
  <si>
    <t>PP&amp;E Summary</t>
  </si>
  <si>
    <t>Accumulated Depreciation</t>
  </si>
  <si>
    <t>HQ &amp; Other</t>
  </si>
  <si>
    <t>Capitalised R&amp;D</t>
  </si>
  <si>
    <t>% of Total</t>
  </si>
  <si>
    <t>NBV of other intangibles b/f</t>
  </si>
  <si>
    <t>NBV of other intangibles c/f</t>
  </si>
  <si>
    <t>Capital Expenditures (PPE &amp; Intangible additions ex gw)</t>
  </si>
  <si>
    <t>Add back P&amp;L interest, deduct cash interest</t>
  </si>
  <si>
    <t>€m</t>
  </si>
  <si>
    <t>1Q13</t>
  </si>
  <si>
    <t>2Q13</t>
  </si>
  <si>
    <t>3Q13</t>
  </si>
  <si>
    <t>4Q13</t>
  </si>
  <si>
    <t>2H13</t>
  </si>
  <si>
    <t>1Q14</t>
  </si>
  <si>
    <t>2Q14</t>
  </si>
  <si>
    <t>Revenue growth</t>
  </si>
  <si>
    <t>Cost of sales</t>
  </si>
  <si>
    <t>Gross profit</t>
  </si>
  <si>
    <t>SG&amp;A</t>
  </si>
  <si>
    <t>Tax</t>
  </si>
  <si>
    <t>Pensions</t>
  </si>
  <si>
    <t>PBT reported</t>
  </si>
  <si>
    <t>Equity</t>
  </si>
  <si>
    <t>Gross interest bearing debt</t>
  </si>
  <si>
    <t>Capital employed</t>
  </si>
  <si>
    <t>Capital Employed ex goodwill</t>
  </si>
  <si>
    <t>Investments</t>
  </si>
  <si>
    <t>Market capitalisation</t>
  </si>
  <si>
    <t>Profitability</t>
  </si>
  <si>
    <t>Dividend cover by EPS (x)</t>
  </si>
  <si>
    <t>Payout Ratio (%)</t>
  </si>
  <si>
    <t>Price/Book</t>
  </si>
  <si>
    <t>EV/ Invested Capital</t>
  </si>
  <si>
    <t>Free Cash Flow Yield (%)</t>
  </si>
  <si>
    <t>Dividend Yield (%)</t>
  </si>
  <si>
    <t>Gross Capital Expenditure</t>
  </si>
  <si>
    <t>Capital Expenditure as a % of Sales</t>
  </si>
  <si>
    <t>Capital Expenditure/Depreciation</t>
  </si>
  <si>
    <t>A330neo (net of expected A350-800 offset)</t>
  </si>
  <si>
    <t>Deferred tax</t>
  </si>
  <si>
    <t>Investments in associates</t>
  </si>
  <si>
    <t xml:space="preserve">Net Debt / (Cash) </t>
  </si>
  <si>
    <t>Enterprise value - MS</t>
  </si>
  <si>
    <t>nm</t>
  </si>
  <si>
    <t>ROCE reported (avg)</t>
  </si>
  <si>
    <t>ROCE ex-goodwill (avg)</t>
  </si>
  <si>
    <t>ROE reported (avg)</t>
  </si>
  <si>
    <t>Cash (adjusted)</t>
  </si>
  <si>
    <t>3Q14</t>
  </si>
  <si>
    <t>A320 total</t>
  </si>
  <si>
    <t>A330 total</t>
  </si>
  <si>
    <t>Rate for model (USD/EUR)</t>
  </si>
  <si>
    <t>Net USD exposure</t>
  </si>
  <si>
    <t>Hedge cover</t>
  </si>
  <si>
    <t>Blended hedge rate</t>
  </si>
  <si>
    <t>Implied delta</t>
  </si>
  <si>
    <t>Cash tax</t>
  </si>
  <si>
    <t>MS adjustments</t>
  </si>
  <si>
    <t xml:space="preserve">  Unwinding of discounted provisions</t>
  </si>
  <si>
    <t xml:space="preserve">  Exceptional gains / (losses) on disposals</t>
  </si>
  <si>
    <t xml:space="preserve">  Other one-off financial results</t>
  </si>
  <si>
    <t>Payout Ratio on reported EPS</t>
  </si>
  <si>
    <t>Payout Ratio on clean EPS</t>
  </si>
  <si>
    <t>MW EV ASIF</t>
  </si>
  <si>
    <t>MW to MS EV Adjustments (for MW)</t>
  </si>
  <si>
    <t>MW Share price</t>
  </si>
  <si>
    <t>MW Market Cap</t>
  </si>
  <si>
    <t>MW to MS EV rec</t>
  </si>
  <si>
    <t>A400M provisions</t>
  </si>
  <si>
    <t>2H14</t>
  </si>
  <si>
    <t>4Q14</t>
  </si>
  <si>
    <t>Diff</t>
  </si>
  <si>
    <t>1Q15</t>
  </si>
  <si>
    <t>Tiger</t>
  </si>
  <si>
    <t>Light</t>
  </si>
  <si>
    <t>Medium</t>
  </si>
  <si>
    <t>Heavy</t>
  </si>
  <si>
    <t>Helicopter Deliveries</t>
  </si>
  <si>
    <t>2Q15</t>
  </si>
  <si>
    <t>1H15</t>
  </si>
  <si>
    <t>One-offs by nature</t>
  </si>
  <si>
    <t>One-offs by division</t>
  </si>
  <si>
    <t>Check</t>
  </si>
  <si>
    <t>3Q15</t>
  </si>
  <si>
    <t>Margin</t>
  </si>
  <si>
    <t>A380neo R&amp;D (incremental to existing)</t>
  </si>
  <si>
    <t>Assumed share price (€)</t>
  </si>
  <si>
    <t>Change in shares (m)</t>
  </si>
  <si>
    <t>Share (buybacks) / issuance (€m)</t>
  </si>
  <si>
    <t>Sensitivity to 0.01 move in the rate</t>
  </si>
  <si>
    <t>Calculated delta</t>
  </si>
  <si>
    <t>EU gov't refundable advances</t>
  </si>
  <si>
    <t>Avg Share Price (€)</t>
  </si>
  <si>
    <t>Avg Basic Shares (m)</t>
  </si>
  <si>
    <t>Other investments &amp; l/t financial assets</t>
  </si>
  <si>
    <t>P&amp;L tax rate (%)</t>
  </si>
  <si>
    <t>Cash tax rate (%)</t>
  </si>
  <si>
    <t xml:space="preserve">P&amp;L tax </t>
  </si>
  <si>
    <t>4Q15</t>
  </si>
  <si>
    <t>2H15</t>
  </si>
  <si>
    <t>Effective rate</t>
  </si>
  <si>
    <t>Interest Bearing Borrowings</t>
  </si>
  <si>
    <t>Cash held for sale to be excluded from MW net debt</t>
  </si>
  <si>
    <t>For MW</t>
  </si>
  <si>
    <t>1Q16</t>
  </si>
  <si>
    <t xml:space="preserve">  H120</t>
  </si>
  <si>
    <t xml:space="preserve">  Ecureuil</t>
  </si>
  <si>
    <t xml:space="preserve">  H135</t>
  </si>
  <si>
    <t xml:space="preserve">  H145</t>
  </si>
  <si>
    <t xml:space="preserve">  Dauphin</t>
  </si>
  <si>
    <t xml:space="preserve">  H175</t>
  </si>
  <si>
    <t xml:space="preserve">  Super Puma</t>
  </si>
  <si>
    <t xml:space="preserve">  NH90</t>
  </si>
  <si>
    <t>Helicopters</t>
  </si>
  <si>
    <t>underlying growth</t>
  </si>
  <si>
    <t>2Q16</t>
  </si>
  <si>
    <t>1H16</t>
  </si>
  <si>
    <t>restructuring (Vizada, Launchers, Defence Electronics)</t>
  </si>
  <si>
    <t>reported growth</t>
  </si>
  <si>
    <t>underlying margin</t>
  </si>
  <si>
    <t>1H</t>
  </si>
  <si>
    <t>2H</t>
  </si>
  <si>
    <t>Price increase / decrease</t>
  </si>
  <si>
    <t>A330-800</t>
  </si>
  <si>
    <t>A330-900</t>
  </si>
  <si>
    <t>List prices (US$)</t>
  </si>
  <si>
    <t>EBIT (USD)</t>
  </si>
  <si>
    <t>Unit cost (USD)</t>
  </si>
  <si>
    <t>Cost inflation / deflation</t>
  </si>
  <si>
    <t>Effective prices (USD)</t>
  </si>
  <si>
    <t>3Q16</t>
  </si>
  <si>
    <t>9M</t>
  </si>
  <si>
    <t>1Q</t>
  </si>
  <si>
    <t>2Q</t>
  </si>
  <si>
    <t>3Q</t>
  </si>
  <si>
    <t>4Q</t>
  </si>
  <si>
    <t>Platform revenues</t>
  </si>
  <si>
    <t>Revenue per delivery</t>
  </si>
  <si>
    <t>MS adj. (as for CE ex JV)</t>
  </si>
  <si>
    <t>Dassault associate inv.</t>
  </si>
  <si>
    <t xml:space="preserve">Increase (decrease) in working capital </t>
  </si>
  <si>
    <t>Bull</t>
  </si>
  <si>
    <t>Base</t>
  </si>
  <si>
    <t>Bear</t>
  </si>
  <si>
    <t>EBIT Adjusted</t>
  </si>
  <si>
    <t>Group EBIT Adjusted (as reported from 2016)</t>
  </si>
  <si>
    <t xml:space="preserve">R&amp;D self financed </t>
  </si>
  <si>
    <t>4Q16</t>
  </si>
  <si>
    <t>2H16</t>
  </si>
  <si>
    <t>Rate for revenues</t>
  </si>
  <si>
    <t>Revenue delta</t>
  </si>
  <si>
    <t>1Q17</t>
  </si>
  <si>
    <t>2Q17</t>
  </si>
  <si>
    <t>1H17</t>
  </si>
  <si>
    <t>Gross margin (%)</t>
  </si>
  <si>
    <t>Revenue at list prices ($mn)</t>
  </si>
  <si>
    <t>Actual Commercial OE revenue</t>
  </si>
  <si>
    <t>Delta ($ mn)</t>
  </si>
  <si>
    <t>Commercial OE revenue (€ mn)</t>
  </si>
  <si>
    <t>Transactional exposed revenue (€ mn)</t>
  </si>
  <si>
    <t>Translation exposed revenue (€ mn)</t>
  </si>
  <si>
    <t>Transactional exposed revenue ($ mn)</t>
  </si>
  <si>
    <t>Translation exposed revenue ($ mn)</t>
  </si>
  <si>
    <t>Commercial OE revenue ($ mn)</t>
  </si>
  <si>
    <t>Aggregate discount to list prices (%)</t>
  </si>
  <si>
    <t>EBIT adjusted (EUR)</t>
  </si>
  <si>
    <t>Contribution margin total</t>
  </si>
  <si>
    <t>Contribution margin (bottom up)</t>
  </si>
  <si>
    <t>One-offs, associates</t>
  </si>
  <si>
    <t>% of sales translation exposure</t>
  </si>
  <si>
    <t>% of sales transaction exposure</t>
  </si>
  <si>
    <t>Organic growth</t>
  </si>
  <si>
    <t>Organic</t>
  </si>
  <si>
    <t>Net Exposure (€m)</t>
  </si>
  <si>
    <t>Cumulative FX benefit (€m)</t>
  </si>
  <si>
    <t>Implied sensitivity per 1c achieve rate move</t>
  </si>
  <si>
    <t>Transaction tailwind YoY (€m)</t>
  </si>
  <si>
    <t>FX benefit allocation (€m)</t>
  </si>
  <si>
    <t>EBIT adjusted (pre FX)</t>
  </si>
  <si>
    <t>Cash conversion (%)</t>
  </si>
  <si>
    <t>3Q17</t>
  </si>
  <si>
    <t>Margin (pre-R&amp;D) %</t>
  </si>
  <si>
    <t>Changes in cash flow due to restatement</t>
  </si>
  <si>
    <t>Average USD/EUR spot rate</t>
  </si>
  <si>
    <t>Total Expensed</t>
  </si>
  <si>
    <t>ow/ customer financing</t>
  </si>
  <si>
    <t>4Q17</t>
  </si>
  <si>
    <t>Operating Cash Flow</t>
  </si>
  <si>
    <t xml:space="preserve">Interest </t>
  </si>
  <si>
    <t>Tax rate %</t>
  </si>
  <si>
    <t>Other working capital</t>
  </si>
  <si>
    <t>1% of list price on order</t>
  </si>
  <si>
    <t>20% of list price, 2 years ahead</t>
  </si>
  <si>
    <t>Subtract 21% of current year revenue</t>
  </si>
  <si>
    <t xml:space="preserve">Net PDPs </t>
  </si>
  <si>
    <t>Book-bill</t>
  </si>
  <si>
    <t>Reversal of non-cash exceptionals</t>
  </si>
  <si>
    <t>Disclosures</t>
  </si>
  <si>
    <t>Airbus Commercial D&amp;A</t>
  </si>
  <si>
    <t>Airbus Commercial capex</t>
  </si>
  <si>
    <t>- Net raw materials and manufacturing supplies</t>
  </si>
  <si>
    <t>- Net work in progress</t>
  </si>
  <si>
    <t>- Net Finished goods</t>
  </si>
  <si>
    <t>- Net advance payments to suppliers</t>
  </si>
  <si>
    <t>- Raw materials and manufacturing supplies</t>
  </si>
  <si>
    <t>- Work in progress</t>
  </si>
  <si>
    <t>- Finished goods</t>
  </si>
  <si>
    <t>- Advance payments to suppliers</t>
  </si>
  <si>
    <t>Receivables</t>
  </si>
  <si>
    <t>Changes to receivables</t>
  </si>
  <si>
    <t>European Government refundable advances</t>
  </si>
  <si>
    <t>- o/w Airbus Commercial</t>
  </si>
  <si>
    <t>- o/w Defence &amp; Space</t>
  </si>
  <si>
    <t>- o/w Helicopters</t>
  </si>
  <si>
    <t>Net Airbus Commercial working capital</t>
  </si>
  <si>
    <t>Advance payments</t>
  </si>
  <si>
    <t>o/w Airbus Commercial</t>
  </si>
  <si>
    <t>o/w Defence &amp; Space</t>
  </si>
  <si>
    <t>o/w Helicopters</t>
  </si>
  <si>
    <t>PDP model (€mn)</t>
  </si>
  <si>
    <t>Inventory movement</t>
  </si>
  <si>
    <t>Customer advance payments (BS)</t>
  </si>
  <si>
    <t>Advance payments (Balance Sheet)</t>
  </si>
  <si>
    <t>Customer advance payments (Cash Flow)</t>
  </si>
  <si>
    <t xml:space="preserve">Group advance payments received </t>
  </si>
  <si>
    <t>Group inventory model</t>
  </si>
  <si>
    <t>Total inventory</t>
  </si>
  <si>
    <t>2H17</t>
  </si>
  <si>
    <t>Spares &amp; Services (includes central costs 2018 onwards)</t>
  </si>
  <si>
    <t>A320 family</t>
  </si>
  <si>
    <t>1Q18</t>
  </si>
  <si>
    <t>FCF margin (%)</t>
  </si>
  <si>
    <t>C Series</t>
  </si>
  <si>
    <t>Airbus standalone R&amp;D</t>
  </si>
  <si>
    <t>Deduct C Series dividend to NCIs</t>
  </si>
  <si>
    <t>2Q18</t>
  </si>
  <si>
    <t>1H18</t>
  </si>
  <si>
    <t>3Q18</t>
  </si>
  <si>
    <t>Services / Central costs / Other</t>
  </si>
  <si>
    <t>IFRS 15</t>
  </si>
  <si>
    <t>as rep'd</t>
  </si>
  <si>
    <t>4Q18</t>
  </si>
  <si>
    <t>2H18</t>
  </si>
  <si>
    <t>as reported</t>
  </si>
  <si>
    <t>A220</t>
  </si>
  <si>
    <t>1Q19</t>
  </si>
  <si>
    <t>2Q19</t>
  </si>
  <si>
    <t>Order intake (actual prices from 2018) (€ bn)</t>
  </si>
  <si>
    <t>1H19</t>
  </si>
  <si>
    <t>3Q19</t>
  </si>
  <si>
    <t>A220 deliveries</t>
  </si>
  <si>
    <t>Total inc. A220</t>
  </si>
  <si>
    <t>Deliveries ex A220</t>
  </si>
  <si>
    <t>na</t>
  </si>
  <si>
    <t>na.</t>
  </si>
  <si>
    <t xml:space="preserve">2017R </t>
  </si>
  <si>
    <t>2017R</t>
  </si>
  <si>
    <t>Total Airbus Group Gross Inventory</t>
  </si>
  <si>
    <t>A319/320 cost inflation / deflation</t>
  </si>
  <si>
    <t>A321 cost inflation / deflation</t>
  </si>
  <si>
    <t>Europe</t>
  </si>
  <si>
    <t>KEI Tagging</t>
  </si>
  <si>
    <t>Commercial Aircraft deliveries (#)</t>
  </si>
  <si>
    <t>Commercial Aircraft Margin</t>
  </si>
  <si>
    <t>Group R&amp;D % of sales</t>
  </si>
  <si>
    <t>Group Operating Margin</t>
  </si>
  <si>
    <t>FCF Conversion</t>
  </si>
  <si>
    <t>4Q19</t>
  </si>
  <si>
    <t>2H19</t>
  </si>
  <si>
    <t>1Q20</t>
  </si>
  <si>
    <t>2Q20</t>
  </si>
  <si>
    <t>3Q20</t>
  </si>
  <si>
    <t>4Q20</t>
  </si>
  <si>
    <t>1Q21</t>
  </si>
  <si>
    <t>2Q21</t>
  </si>
  <si>
    <t>3Q21</t>
  </si>
  <si>
    <t>4Q21</t>
  </si>
  <si>
    <t>Contribution margin per aircraft (EUR) - SENSE CHECK</t>
  </si>
  <si>
    <t>2019 rest.</t>
  </si>
  <si>
    <t>1H20</t>
  </si>
  <si>
    <t>2H20</t>
  </si>
  <si>
    <t>Cost (USD)</t>
  </si>
  <si>
    <t>FCF/net income</t>
  </si>
  <si>
    <t>% y/y</t>
  </si>
  <si>
    <t>1H21</t>
  </si>
  <si>
    <t>2H21</t>
  </si>
  <si>
    <t>1Q22</t>
  </si>
  <si>
    <t>2Q22</t>
  </si>
  <si>
    <t>1H22</t>
  </si>
  <si>
    <t>3Q22</t>
  </si>
  <si>
    <t>4Q22</t>
  </si>
  <si>
    <t>2H22</t>
  </si>
  <si>
    <t>2026e</t>
  </si>
  <si>
    <t>Q1</t>
  </si>
  <si>
    <t>Q2</t>
  </si>
  <si>
    <t>Q3</t>
  </si>
  <si>
    <t>Q4</t>
  </si>
  <si>
    <t>H1</t>
  </si>
  <si>
    <t>H2</t>
  </si>
  <si>
    <t>EBIT (reported)</t>
  </si>
  <si>
    <t>ANALYSIS</t>
  </si>
  <si>
    <t>1Q23</t>
  </si>
  <si>
    <t>2Q23</t>
  </si>
  <si>
    <t>3Q23</t>
  </si>
  <si>
    <t>4Q23</t>
  </si>
  <si>
    <t>2027e</t>
  </si>
  <si>
    <t>2028e</t>
  </si>
  <si>
    <t>2029e</t>
  </si>
  <si>
    <t>2030e</t>
  </si>
  <si>
    <t>Summary financials</t>
  </si>
  <si>
    <t>Services (%)</t>
  </si>
  <si>
    <t>Platforms (%)</t>
  </si>
  <si>
    <t>Gross profit margin (by programme) (%)</t>
  </si>
  <si>
    <t>Gross profit (by programme) (€)</t>
  </si>
  <si>
    <t>Revenues (€m)</t>
  </si>
  <si>
    <t>Revenue by programme ($m)</t>
  </si>
  <si>
    <t>Total revenue ($m)</t>
  </si>
  <si>
    <t>Services ($m)</t>
  </si>
  <si>
    <t>OE revenues ($m) (top down)</t>
  </si>
  <si>
    <t xml:space="preserve">OE revenues by programme ($m) </t>
  </si>
  <si>
    <t>Total gross profit (€)</t>
  </si>
  <si>
    <t>Gross profit margin (%)</t>
  </si>
  <si>
    <t>EBIT Adjusted pre R&amp;D (€)</t>
  </si>
  <si>
    <t>Adjustments</t>
  </si>
  <si>
    <t>R&amp;D self-financed</t>
  </si>
  <si>
    <t>A220-100</t>
  </si>
  <si>
    <t>A220-300 (formerly CS300)</t>
  </si>
  <si>
    <t>A220-100 (formerly CS100)</t>
  </si>
  <si>
    <t>A300 total</t>
  </si>
  <si>
    <t>Airbus Total Deliveries</t>
  </si>
  <si>
    <t>A220 total (consolidated from 2H18)</t>
  </si>
  <si>
    <t>A340 total</t>
  </si>
  <si>
    <t>A350 total</t>
  </si>
  <si>
    <t>A380 total</t>
  </si>
  <si>
    <t>A220-300</t>
  </si>
  <si>
    <t>List price escalation (%)</t>
  </si>
  <si>
    <t>OLD WORKING</t>
  </si>
  <si>
    <t>Effective prices (USDm)</t>
  </si>
  <si>
    <t>A340</t>
  </si>
  <si>
    <t>OE revenues (USD)</t>
  </si>
  <si>
    <t>Realised revenues (USDm)</t>
  </si>
  <si>
    <t>Airbus revenues (USD)</t>
  </si>
  <si>
    <t>Monthly</t>
  </si>
  <si>
    <t>Assumed discount to list price</t>
  </si>
  <si>
    <t>Production and delivery analysis</t>
  </si>
  <si>
    <t>Revenue analysis</t>
  </si>
  <si>
    <t>EBIT analysis</t>
  </si>
  <si>
    <t>Realised revenues (EURm)</t>
  </si>
  <si>
    <t>OE revenues (EURm)</t>
  </si>
  <si>
    <t>Airbus revenues (EURm)</t>
  </si>
  <si>
    <t>FX (EUR/USD rate for revenues)</t>
  </si>
  <si>
    <t>Narrowbody</t>
  </si>
  <si>
    <t>Widebody</t>
  </si>
  <si>
    <t>Last published list prices ˅</t>
  </si>
  <si>
    <t>Gross profit (by programme, EURm)</t>
  </si>
  <si>
    <t>Services (EURm) contribution</t>
  </si>
  <si>
    <t>EBIT (adjusted)</t>
  </si>
  <si>
    <t>Revenue (by programme, EURm)</t>
  </si>
  <si>
    <t>Gross profit (EURm)</t>
  </si>
  <si>
    <t>Deliveries (units)</t>
  </si>
  <si>
    <t>EBIT bridge</t>
  </si>
  <si>
    <t>Previous period EBIT (adj.)</t>
  </si>
  <si>
    <t>Current period EBIT (adj.)</t>
  </si>
  <si>
    <t>Quartlerly / annual</t>
  </si>
  <si>
    <t>Margin (%)</t>
  </si>
  <si>
    <t>Orders and deliveries</t>
  </si>
  <si>
    <t>Gross margin drop through (per aircraft, EURm)</t>
  </si>
  <si>
    <t>Other / old</t>
  </si>
  <si>
    <t>Sales analysis</t>
  </si>
  <si>
    <t>EBIT adjusted</t>
  </si>
  <si>
    <t>Platform revenues (%)</t>
  </si>
  <si>
    <t>Services revenues (%)</t>
  </si>
  <si>
    <t>Civil revenues</t>
  </si>
  <si>
    <t>Civil revenues (%)</t>
  </si>
  <si>
    <t>Defence revenues (%)</t>
  </si>
  <si>
    <t>Defence revenues</t>
  </si>
  <si>
    <t>Platforms EBIT (adj.)</t>
  </si>
  <si>
    <t>Services EBIT (adj.)</t>
  </si>
  <si>
    <t>EBITDA reported</t>
  </si>
  <si>
    <t>EBITDA reported ex JV</t>
  </si>
  <si>
    <t>EBITDA adjusted</t>
  </si>
  <si>
    <t>EBIT adjusted ex JV</t>
  </si>
  <si>
    <t>PBT adjusted</t>
  </si>
  <si>
    <t>Net Income adjusted</t>
  </si>
  <si>
    <t>EBITDA adjusted growth</t>
  </si>
  <si>
    <t>EBIT adjusted growth</t>
  </si>
  <si>
    <t>EPS adjusted (basic, €)</t>
  </si>
  <si>
    <t>EPS adjusted (diluted, €)</t>
  </si>
  <si>
    <t>Margins</t>
  </si>
  <si>
    <t xml:space="preserve">Valuation </t>
  </si>
  <si>
    <t>EV/EBITDA adjusted</t>
  </si>
  <si>
    <t>EV/EBIT adjusted</t>
  </si>
  <si>
    <t>Leverage</t>
  </si>
  <si>
    <t xml:space="preserve">Returns </t>
  </si>
  <si>
    <t>P/E adjusted</t>
  </si>
  <si>
    <t>2022-25 CAGR</t>
  </si>
  <si>
    <t>2022-27 CAGR</t>
  </si>
  <si>
    <t>23-26 CAGR</t>
  </si>
  <si>
    <t>23-28 CAGR</t>
  </si>
  <si>
    <t>FX impact on cash &amp; equivalents</t>
  </si>
  <si>
    <t>Interest rate contracts</t>
  </si>
  <si>
    <t>as % of revenue</t>
  </si>
  <si>
    <t>Cash Flow Statement (in millions €)</t>
  </si>
  <si>
    <t>Balance Sheet (in millions €)</t>
  </si>
  <si>
    <t>Defence &amp; Space</t>
  </si>
  <si>
    <t>Currency</t>
  </si>
  <si>
    <t>EV</t>
  </si>
  <si>
    <t>Fixed cost absorption</t>
  </si>
  <si>
    <t>Increase/decrease in advances government aid</t>
  </si>
  <si>
    <t>Cash distribution to shareholders</t>
  </si>
  <si>
    <t>RISK REWARD ANALYSIS</t>
  </si>
  <si>
    <t>AIRBUS (EURm)</t>
  </si>
  <si>
    <t>Helicopers</t>
  </si>
  <si>
    <t>Total adjusted revenue</t>
  </si>
  <si>
    <t>EV/EBIT assumptions</t>
  </si>
  <si>
    <t>-Less assets/(liabilities)</t>
  </si>
  <si>
    <t>Equity Value</t>
  </si>
  <si>
    <t>EV/EBIT Price Target</t>
  </si>
  <si>
    <t>Pretax gains/charges</t>
  </si>
  <si>
    <t>Profit before tax adjusted</t>
  </si>
  <si>
    <t>Taxes &amp; Other</t>
  </si>
  <si>
    <t>Diluted EPS adjusted</t>
  </si>
  <si>
    <t>Applied P/E</t>
  </si>
  <si>
    <t>P/E Price Target</t>
  </si>
  <si>
    <t>Blended Price target</t>
  </si>
  <si>
    <t>EPS adjusted growth</t>
  </si>
  <si>
    <t>EBITDA  adjusted Margin (%)</t>
  </si>
  <si>
    <t>EBIT adjusted Margin (%)</t>
  </si>
  <si>
    <t>Net Debt/EBITDA adjusted</t>
  </si>
  <si>
    <t>Airbus SE</t>
  </si>
  <si>
    <t>DCF Price target</t>
  </si>
  <si>
    <t>SOTP Price target</t>
  </si>
  <si>
    <t>1H23</t>
  </si>
  <si>
    <t>2H23</t>
  </si>
  <si>
    <t>Divisional Revenue</t>
  </si>
  <si>
    <t>Divisional EBIT (Adj.)</t>
  </si>
  <si>
    <t>Divisional EBIT (Adj.) Margin</t>
  </si>
  <si>
    <t>EV Adjustment</t>
  </si>
  <si>
    <t>Year End December, EUR</t>
  </si>
  <si>
    <t>Net Income adjusted (pre goodwill imp &amp; excep.)</t>
  </si>
  <si>
    <t>ModelWare Basic EPS (adjusted)</t>
  </si>
  <si>
    <t>ModelWare Diluted EPS (adjusted)</t>
  </si>
  <si>
    <t>Basic EPS (adjusted - before one offs, pre goodwill, imp and excep)</t>
  </si>
  <si>
    <t>Diluted EPS (adjusted - before one offs, pre goodwill, imp and excep)</t>
  </si>
  <si>
    <t>Average</t>
  </si>
  <si>
    <t>Average ex A220</t>
  </si>
  <si>
    <t>1Q24</t>
  </si>
  <si>
    <t>2Q24</t>
  </si>
  <si>
    <t>3Q24</t>
  </si>
  <si>
    <t>4Q24</t>
  </si>
  <si>
    <t>1H24</t>
  </si>
  <si>
    <t>2H24</t>
  </si>
  <si>
    <t>Airbus production forecasts (actuals based on deliveries)</t>
  </si>
  <si>
    <t>FCF before Customer Financing</t>
  </si>
  <si>
    <t>Headcount</t>
  </si>
  <si>
    <t>Attrition rate</t>
  </si>
  <si>
    <t>Core Divisions</t>
  </si>
  <si>
    <t>Subsidiaries</t>
  </si>
  <si>
    <t>Number of employees</t>
  </si>
  <si>
    <t>Wages, salaries and social contributions</t>
  </si>
  <si>
    <t>Net periodic pension cost</t>
  </si>
  <si>
    <t>Total Personnel expense</t>
  </si>
  <si>
    <t>Other/HQ</t>
  </si>
  <si>
    <t>Growth (abs., yoy)</t>
  </si>
  <si>
    <t xml:space="preserve">Innovation &amp; Digital and other </t>
  </si>
  <si>
    <t>Applied sensitivity per 1c achieve rate move</t>
  </si>
  <si>
    <t>FCF (Airbus definition) - Old</t>
  </si>
  <si>
    <t>FCF (Airbus definition) - New</t>
  </si>
  <si>
    <t>Free Cash Flow</t>
  </si>
  <si>
    <t>Changes in other operating assets and liabilities (working capital)</t>
  </si>
  <si>
    <t>Gross Cash Flow from Operations</t>
  </si>
  <si>
    <t>Cash used for investing activities</t>
  </si>
  <si>
    <t>FCF Pre M&amp;A</t>
  </si>
  <si>
    <t>of which M&amp;A</t>
  </si>
  <si>
    <t>FCF pre-M&amp;A and customer financing (Airbus definition) Old</t>
  </si>
  <si>
    <t>FCF pre-customer financing (Airbus definition) New</t>
  </si>
  <si>
    <t>Contribution to plan assets of pension schemes</t>
  </si>
  <si>
    <t>Realised foreign exchange results on treasury swaps</t>
  </si>
  <si>
    <t>Others (Balancing)</t>
  </si>
  <si>
    <t>Investments in Intangible and fixed assets (net)</t>
  </si>
  <si>
    <t>Other investments, including M&amp;A</t>
  </si>
  <si>
    <t>Capex and at-equity dividends</t>
  </si>
  <si>
    <t>Free Cash Flow (new def)</t>
  </si>
  <si>
    <t>Free Cash Flow (old def)</t>
  </si>
  <si>
    <t>Free Cash Flow before Customer Financing (new def)</t>
  </si>
  <si>
    <t>Free Cash Flow before M&amp;A and Customer Financing (old def)</t>
  </si>
  <si>
    <t>Growth (%, yoy)</t>
  </si>
  <si>
    <t>1Q25</t>
  </si>
  <si>
    <t>2Q25</t>
  </si>
  <si>
    <t>3Q25</t>
  </si>
  <si>
    <t>4Q25</t>
  </si>
  <si>
    <t>1H25</t>
  </si>
  <si>
    <t>2H25</t>
  </si>
  <si>
    <t>1Q26</t>
  </si>
  <si>
    <t>2Q26</t>
  </si>
  <si>
    <t>3Q26</t>
  </si>
  <si>
    <t>4Q26</t>
  </si>
  <si>
    <t>1H26</t>
  </si>
  <si>
    <t>2H26</t>
  </si>
  <si>
    <t>1Q27</t>
  </si>
  <si>
    <t>2Q27</t>
  </si>
  <si>
    <t>3Q27</t>
  </si>
  <si>
    <t>4Q27</t>
  </si>
  <si>
    <t>1H27</t>
  </si>
  <si>
    <t>2H27</t>
  </si>
  <si>
    <t>1Q28</t>
  </si>
  <si>
    <t>2Q28</t>
  </si>
  <si>
    <t>3Q28</t>
  </si>
  <si>
    <t>4Q28</t>
  </si>
  <si>
    <t>1H28</t>
  </si>
  <si>
    <t>2H28</t>
  </si>
  <si>
    <t>1Q29</t>
  </si>
  <si>
    <t>2Q29</t>
  </si>
  <si>
    <t>3Q29</t>
  </si>
  <si>
    <t>4Q29</t>
  </si>
  <si>
    <t>1H29</t>
  </si>
  <si>
    <t>2H29</t>
  </si>
  <si>
    <t>1Q30</t>
  </si>
  <si>
    <t>2Q30</t>
  </si>
  <si>
    <t>3Q30</t>
  </si>
  <si>
    <t>4Q30</t>
  </si>
  <si>
    <t>1H30</t>
  </si>
  <si>
    <t>2H30</t>
  </si>
  <si>
    <t>1Q17R</t>
  </si>
  <si>
    <t>2Q17R</t>
  </si>
  <si>
    <t>3Q17R</t>
  </si>
  <si>
    <t>4Q17R</t>
  </si>
  <si>
    <t>1H17R</t>
  </si>
  <si>
    <t>2H17R</t>
  </si>
  <si>
    <t>Other income/(expense)</t>
  </si>
  <si>
    <t>Free Cash Flow (Old)</t>
  </si>
  <si>
    <t xml:space="preserve">Delivery split (by programme) </t>
  </si>
  <si>
    <t>2025H1</t>
  </si>
  <si>
    <t>2025Q4</t>
  </si>
  <si>
    <t>2025Q1</t>
  </si>
  <si>
    <t>2025Q2</t>
  </si>
  <si>
    <t>2025Q3</t>
  </si>
  <si>
    <t>Calendar Period reference</t>
  </si>
  <si>
    <t>2025H2</t>
  </si>
  <si>
    <t>2025FY</t>
  </si>
  <si>
    <t>2024Q1</t>
  </si>
  <si>
    <t>2024Q2</t>
  </si>
  <si>
    <t>2024Q3</t>
  </si>
  <si>
    <t>2024Q4</t>
  </si>
  <si>
    <t>2024H1</t>
  </si>
  <si>
    <t>2024H2</t>
  </si>
  <si>
    <t>2024FY</t>
  </si>
  <si>
    <t>2023FY</t>
  </si>
  <si>
    <t>CAGR (2025-28)</t>
  </si>
  <si>
    <t xml:space="preserve">20 Bank Street, Canary Wharf </t>
  </si>
  <si>
    <t xml:space="preserve">London E14 4AD </t>
  </si>
  <si>
    <t xml:space="preserve">United Kingdom </t>
  </si>
  <si>
    <t>Tel: +44 (0)20 7425 8000</t>
  </si>
  <si>
    <t>Authors: Ross Law,Marie-Ange Riggio</t>
  </si>
  <si>
    <t>Date: 14 Aug 2026</t>
  </si>
  <si>
    <t>Ticker: AIR.PA</t>
  </si>
  <si>
    <t>Stock Rating: Overweight</t>
  </si>
  <si>
    <t>Industry: Aerospace &amp; Defence</t>
  </si>
  <si>
    <t>Industry View: Attractive</t>
  </si>
  <si>
    <t>Price as of 14 Aug 2026: 212.90</t>
  </si>
  <si>
    <t>Target Price: 255.00</t>
  </si>
  <si>
    <t>e = Morgan Stanley Research estimates unless otherwise noted</t>
  </si>
  <si>
    <t>Source: Morgan Stanley Research unless otherwise noted</t>
  </si>
  <si>
    <t>Stocks ratings are relative to the analyst's industry coverage universe.</t>
  </si>
  <si>
    <t>Morgan Stanley does and seeks to do business with companies covered in Morgan Stanley Research. As a</t>
  </si>
  <si>
    <t>result, investors should be aware that the firm may have a conflict of interest that could affect the</t>
  </si>
  <si>
    <t>objectivity of Morgan Stanley Research. Investors should consider Morgan Stanley Research as only a</t>
  </si>
  <si>
    <t>single factor in making their investment decision.</t>
  </si>
  <si>
    <t>The information and opinions in Morgan Stanley Research were prepared or are disseminated by Morgan</t>
  </si>
  <si>
    <t>Stanley Europe S.E., regulated by Bundesanstalt fuer Finanzdienstleistungsaufsicht (BaFin) and/or Morgan</t>
  </si>
  <si>
    <t>Stanley &amp; Co. International plc, authorized by the Prudential Regulation Authority and regulated by the</t>
  </si>
  <si>
    <t>Financial Conduct Authority and the Prudential Regulation Authority. Morgan Stanley &amp; Co. International</t>
  </si>
  <si>
    <t>plc disseminates in the UK research that it has prepared, and which has been prepared by any of its</t>
  </si>
  <si>
    <t>affiliates, only to persons who (i) are investment professionals falling within Article 19(5) of the</t>
  </si>
  <si>
    <t>Financial Services and Markets Act 2000 (Financial Promotion) Order 2005 (as amended, the “Order”); (ii)</t>
  </si>
  <si>
    <t>are persons who are high net worth entities falling within Article 49(2)(a) to (d) of the Order; or</t>
  </si>
  <si>
    <t>(iii) are persons to whom an invitation or inducement to engage in investment activity (within the</t>
  </si>
  <si>
    <t>meaning of section 21 of the Financial Services and Markets Act 2000, as amended) may otherwise lawfully</t>
  </si>
  <si>
    <t>be communicated or caused to be communicated. As used in this disclosure section, Morgan Stanley</t>
  </si>
  <si>
    <t>includes RMB Morgan Stanley Proprietary Limited, Morgan Stanley Europe S.E., Morgan Stanley &amp; Co</t>
  </si>
  <si>
    <t>International plc and its affiliates.</t>
  </si>
  <si>
    <t>For important disclosures, stock price charts and equity rating histories regarding companies that are</t>
  </si>
  <si>
    <t>the subject of this report, please see the Morgan Stanley Research Disclosure Website at</t>
  </si>
  <si>
    <t>www.morganstanley.com/eqr/disclosures/webapp/generalresearch, or contact your investment representative</t>
  </si>
  <si>
    <t>or Morgan Stanley Research at 1585 Broadway, (Attention: Research Management), New York, NY, 10036 USA.</t>
  </si>
  <si>
    <t>For valuation methodology and risks associated with any recommendation, rating or price target</t>
  </si>
  <si>
    <t>referenced in this research report, please contact the Client Support Team as follows: US/Canada +1 800</t>
  </si>
  <si>
    <t>303-2495; Hong Kong +852 2848-5999; Latin America +1 718 754-5444 (U.S.); London +44 (0)20-7425-8169;</t>
  </si>
  <si>
    <t>Singapore +65 6834-6860; Sydney +61 (0)2-9770-1505; Tokyo +81 (0)3-6836-9000. Alternatively you may</t>
  </si>
  <si>
    <t>contact your investment representative or Morgan Stanley Research at 1585 Broadway, (Attention: Research</t>
  </si>
  <si>
    <t>Management), New York, NY 10036 USA.</t>
  </si>
  <si>
    <t>Analyst Certification</t>
  </si>
  <si>
    <t>The following analysts hereby certify that their views about the companies and their securities</t>
  </si>
  <si>
    <t>discussed in this report are accurately expressed and that they have not received and will not receive</t>
  </si>
  <si>
    <t>direct or indirect compensation in exchange for expressing specific recommendations or views in this</t>
  </si>
  <si>
    <t>report: Ross Law, CFA.</t>
  </si>
  <si>
    <t>.</t>
  </si>
  <si>
    <t>Global Research Conflict Management Policy</t>
  </si>
  <si>
    <t>Morgan Stanley Research has been published in accordance with our conflict management policy, which is</t>
  </si>
  <si>
    <t>available at www.morganstanley.com/institutional/research/conflictpolicies. A Portuguese version of the</t>
  </si>
  <si>
    <t>policy can be found at www.morganstanley.com.br</t>
  </si>
  <si>
    <t>Important Regulatory Disclosures on Subject Companies</t>
  </si>
  <si>
    <t>As of July 31, 2026, Morgan Stanley beneficially owned 1% or more of a class of common equity securities</t>
  </si>
  <si>
    <t>of the following companies covered in Morgan Stanley Research: Airbus SE.</t>
  </si>
  <si>
    <t>Within the last 12 months, Morgan Stanley has received compensation for investment banking services from</t>
  </si>
  <si>
    <t>Airbus SE.</t>
  </si>
  <si>
    <t>In the next 3 months, Morgan Stanley expects to receive or intends to seek compensation for investment</t>
  </si>
  <si>
    <t>banking services from Airbus SE.</t>
  </si>
  <si>
    <t>Within the last 12 months, Morgan Stanley has received compensation for products and services other than</t>
  </si>
  <si>
    <t>investment banking services from Airbus SE.</t>
  </si>
  <si>
    <t>Within the last 12 months, Morgan Stanley has provided or is providing investment banking services to,</t>
  </si>
  <si>
    <t>or has an investment banking client relationship with, the following company: Airbus SE.</t>
  </si>
  <si>
    <t>Within the last 12 months, Morgan Stanley has either provided or is providing non-investment banking,</t>
  </si>
  <si>
    <t>securities-related services to and/or in the past has entered into an agreement to provide services or</t>
  </si>
  <si>
    <t>has a client relationship with the following company: Airbus SE.</t>
  </si>
  <si>
    <t>The equity research analysts or strategists principally responsible for the preparation of Morgan</t>
  </si>
  <si>
    <t>Stanley Research have received compensation based upon various factors, including quality of research,</t>
  </si>
  <si>
    <t>investor client feedback, stock picking, competitive factors, firm revenues and overall investment</t>
  </si>
  <si>
    <t>banking revenues. Equity Research analysts' or strategists' compensation is not linked to investment</t>
  </si>
  <si>
    <t>banking or capital markets transactions performed by Morgan Stanley or the profitability or revenues of</t>
  </si>
  <si>
    <t>particular trading desks.</t>
  </si>
  <si>
    <t>Morgan Stanley and its affiliates do business that relates to companies/instruments covered in Morgan</t>
  </si>
  <si>
    <t>Stanley Research, including market making, providing liquidity, fund management, commercial banking,</t>
  </si>
  <si>
    <t>extension of credit, investment services and investment banking. Morgan Stanley sells to and buys from</t>
  </si>
  <si>
    <t>customers the securities/instruments of companies covered in Morgan Stanley Research on a principal</t>
  </si>
  <si>
    <t>basis. Morgan Stanley may have a position in the debt of the Company or instruments discussed in this</t>
  </si>
  <si>
    <t>report. Morgan Stanley trades or may trade as principal in the debt securities (or in related</t>
  </si>
  <si>
    <t>derivatives) that are the subject of the debt research report.</t>
  </si>
  <si>
    <t>Certain disclosures listed above are also for compliance with applicable regulations in non-US</t>
  </si>
  <si>
    <t>jurisdictions.</t>
  </si>
  <si>
    <t>STOCK RATINGS</t>
  </si>
  <si>
    <t>Morgan Stanley uses a relative rating system using terms such as Overweight, Equal-weight, Not-Rated or</t>
  </si>
  <si>
    <t>Underweight (see definitions below). Morgan Stanley does not assign ratings of Buy, Hold or Sell to the</t>
  </si>
  <si>
    <t>stocks we cover. Overweight, Equal-weight, Not-Rated and Underweight are not the equivalent of buy, hold</t>
  </si>
  <si>
    <t>and sell. Investors should carefully read the definitions of all ratings used in Morgan Stanley</t>
  </si>
  <si>
    <t>Research. In addition, since Morgan Stanley Research contains more complete information concerning the</t>
  </si>
  <si>
    <t>analyst's views, investors should carefully read Morgan Stanley Research, in its entirety, and not infer</t>
  </si>
  <si>
    <t>the contents from the rating alone. In any case, ratings (or research) should not be used or relied</t>
  </si>
  <si>
    <t>upon as investment advice. An investor's decision to buy or sell a stock should depend on individual</t>
  </si>
  <si>
    <t>circumstances (such as the investor's existing holdings) and other considerations.</t>
  </si>
  <si>
    <t>Global Stock Ratings Distribution</t>
  </si>
  <si>
    <t>(as of July 31, 2026)</t>
  </si>
  <si>
    <t>The Stock Ratings described below apply to Morgan Stanley's Fundamental Equity Research and do not apply</t>
  </si>
  <si>
    <t>to Debt Research produced by the Firm.</t>
  </si>
  <si>
    <t>For disclosure purposes only (in accordance with FINRA requirements), we include the category headings</t>
  </si>
  <si>
    <t>of Buy, Hold, and Sell alongside our ratings of Overweight, Equal-weight, Not-Rated and Underweight.</t>
  </si>
  <si>
    <t>Morgan Stanley does not assign ratings of Buy, Hold or Sell to the stocks we cover. Overweight,</t>
  </si>
  <si>
    <t>Equal-weight, Not-Rated and Underweight are not the equivalent of buy, hold, and sell but represent</t>
  </si>
  <si>
    <t>recommended relative weightings (see definitions below). To satisfy regulatory requirements, we</t>
  </si>
  <si>
    <t>correspond Overweight, our most positive stock rating, with a buy recommendation; we correspond</t>
  </si>
  <si>
    <t>Equal-weight and Not-Rated to hold and Underweight to sell recommendations, respectively.</t>
  </si>
  <si>
    <t>Coverage Universe</t>
  </si>
  <si>
    <t>Investment Banking Clients (IBC)</t>
  </si>
  <si>
    <t>Other Material Investment Services Clients (MISC)</t>
  </si>
  <si>
    <t>Stock Rating Category</t>
  </si>
  <si>
    <t>Count</t>
  </si>
  <si>
    <t>% of Total IBC</t>
  </si>
  <si>
    <t>% of Rating Category</t>
  </si>
  <si>
    <t>% of Total Other MISC</t>
  </si>
  <si>
    <t>Overweight/Buy</t>
  </si>
  <si>
    <t>Equal-weight/Hold</t>
  </si>
  <si>
    <t>Not-Rated/Hold</t>
  </si>
  <si>
    <t>Underweight/Sell</t>
  </si>
  <si>
    <t>Data include common stock and ADRs currently assigned ratings. Investment Banking Clients are companies</t>
  </si>
  <si>
    <t>from whom Morgan Stanley received investment banking compensation in the last 12 months. Due to rounding</t>
  </si>
  <si>
    <t>off of decimals, the percentages provided in the "% of total" column may not add up to exactly 100</t>
  </si>
  <si>
    <t>percent.</t>
  </si>
  <si>
    <t>Analyst Stock Ratings</t>
  </si>
  <si>
    <t>Overweight (O). The stock's total return is expected to exceed the average total return of the analyst's</t>
  </si>
  <si>
    <t>industry (or industry team's) coverage universe, on a risk-adjusted basis, over the next 12-18 months.</t>
  </si>
  <si>
    <t>Equal-weight (E). The stock's total return is expected to be in line with the average total return of</t>
  </si>
  <si>
    <t>the analyst's industry (or industry team's) coverage universe, on a risk-adjusted basis, over the next</t>
  </si>
  <si>
    <t>12-18 months.</t>
  </si>
  <si>
    <t>Not-Rated (NR). Currently the analyst does not have adequate conviction about the stock's total return</t>
  </si>
  <si>
    <t>relative to the average total return of the analyst's industry (or industry team's) coverage universe,</t>
  </si>
  <si>
    <t>on a risk-adjusted basis, over the next 12-18 months.</t>
  </si>
  <si>
    <t>Underweight (U). The stock's total return is expected to be below the average total return of the</t>
  </si>
  <si>
    <t>analyst's industry (or industry team's) coverage universe, on a risk-adjusted basis, over the next 12-18</t>
  </si>
  <si>
    <t>months.</t>
  </si>
  <si>
    <t>Unless otherwise specified, the time frame for price targets included in Morgan Stanley Research is 12</t>
  </si>
  <si>
    <t>to 18 months.</t>
  </si>
  <si>
    <t>Analyst Industry Views</t>
  </si>
  <si>
    <t>Attractive (A): The analyst expects the performance of his or her industry coverage universe over the</t>
  </si>
  <si>
    <t>next 12-18 months to be attractive vs. the relevant broad market benchmark, as indicated below.</t>
  </si>
  <si>
    <t>In-Line (I): The analyst expects the performance of his or her industry coverage universe over the next</t>
  </si>
  <si>
    <t>12-18 months to be in line with the relevant broad market benchmark, as indicated below.</t>
  </si>
  <si>
    <t>Cautious (C): The analyst views the performance of his or her industry coverage universe over the next</t>
  </si>
  <si>
    <t>12-18 months with caution vs. the relevant broad market benchmark, as indicated below.</t>
  </si>
  <si>
    <t>Benchmarks for each region are as follows: North America - S&amp;P 500; Latin America - relevant MSCI</t>
  </si>
  <si>
    <t>country index or MSCI Latin America Index; Europe - MSCI Europe; Japan - TOPIX; Asia - relevant MSCI</t>
  </si>
  <si>
    <t>country index or MSCI sub-regional index or MSCI AC Asia Pacific ex Japan Index.</t>
  </si>
  <si>
    <t>Stock Price, Price Target and Rating History (See Rating Definitions)</t>
  </si>
  <si>
    <t>Important Disclosures for Morgan Stanley Smith Barney LLC Customers</t>
  </si>
  <si>
    <t>Important disclosures regarding any material conflict of interest that can reasonably be expected to</t>
  </si>
  <si>
    <t>have influenced Morgan Stanley Smith Barney LLC's choice of a third-party research provider or the</t>
  </si>
  <si>
    <t>subject company of a third-party research report, are available on the Morgan Stanley Wealth Management</t>
  </si>
  <si>
    <t>disclosure website at www.morganstanley.com/online/researchdisclosures. For Morgan Stanley specific</t>
  </si>
  <si>
    <t>disclosures, you may refer to https://www.morganstanley.com/eqr/disclosures/webapp/generalresearch.</t>
  </si>
  <si>
    <t>Each Morgan Stanley research report is reviewed and approved on behalf of Morgan Stanley Smith Barney</t>
  </si>
  <si>
    <t>LLC. This review and approval is conducted by the same person who reviews the research report on behalf</t>
  </si>
  <si>
    <t>of Morgan Stanley. This could create a conflict of interest.</t>
  </si>
  <si>
    <t>Other Important Disclosures</t>
  </si>
  <si>
    <t>Morgan Stanley Research policy is to update research reports as and when the Research Analyst and</t>
  </si>
  <si>
    <t>Research Management deem appropriate, based on developments with the issuer, the sector, or the market</t>
  </si>
  <si>
    <t>that may have a material impact on the research views or opinions stated therein. In addition, certain</t>
  </si>
  <si>
    <t>Research publications are intended to be updated on a regular periodic basis</t>
  </si>
  <si>
    <t>(weekly/monthly/quarterly/annual) and will ordinarily be updated with that frequency, unless the</t>
  </si>
  <si>
    <t>Research Analyst and Research Management determine that a different publication schedule is appropriate</t>
  </si>
  <si>
    <t>based on current conditions.</t>
  </si>
  <si>
    <t>Morgan Stanley is not acting as a municipal advisor and the opinions or views contained herein are not</t>
  </si>
  <si>
    <t>intended to be, and do not constitute, advice within the meaning of Section 975 of the Dodd-Frank Wall</t>
  </si>
  <si>
    <t>Street Reform and Consumer Protection Act.</t>
  </si>
  <si>
    <t>Morgan Stanley produces an equity research product called a "Tactical Idea." Views contained in a</t>
  </si>
  <si>
    <t>"Tactical Idea" on a particular stock may be contrary to the recommendations or views expressed in</t>
  </si>
  <si>
    <t>research on the same stock. This may be the result of differing time horizons, methodologies, market</t>
  </si>
  <si>
    <t>events, or other factors. For all research available on a particular stock, please contact your sales</t>
  </si>
  <si>
    <t>representative or go to Matrix at http://www.morganstanley.com/matrix.</t>
  </si>
  <si>
    <t>Morgan Stanley Research is provided to our clients through our proprietary research portal on Matrix and</t>
  </si>
  <si>
    <t>also distributed electronically by Morgan Stanley to clients. Certain, but not all, Morgan Stanley</t>
  </si>
  <si>
    <t>Research products are also made available to clients through third-party vendors or redistributed to</t>
  </si>
  <si>
    <t>clients through alternate electronic means as a convenience. For access to all available Morgan Stanley</t>
  </si>
  <si>
    <t>Research, please contact your sales representative or go to Matrix at</t>
  </si>
  <si>
    <t>http://www.morganstanley.com/matrix.</t>
  </si>
  <si>
    <t>Any access and/or use of Morgan Stanley Research is subject to Morgan Stanley's Terms of Use</t>
  </si>
  <si>
    <t>(http://www.morganstanley.com/terms.html). By accessing and/or using Morgan Stanley Research, you are</t>
  </si>
  <si>
    <t>indicating that you have read and agree to be bound by our Terms of Use</t>
  </si>
  <si>
    <t>(http://www.morganstanley.com/terms.html). In addition you consent to Morgan Stanley processing your</t>
  </si>
  <si>
    <t>personal data and using cookies in accordance with our Privacy Policy and our Global Cookies Policy</t>
  </si>
  <si>
    <t>(http://www.morganstanley.com/privacy_pledge.html), including for the purposes of setting your</t>
  </si>
  <si>
    <t>preferences and to collect readership data so that we can deliver better and more personalized service</t>
  </si>
  <si>
    <t>and products to you. To find out more information about how Morgan Stanley processes personal data, how</t>
  </si>
  <si>
    <t>we use cookies and how to reject cookies see our Privacy Policy and our Global Cookies Policy</t>
  </si>
  <si>
    <t>(http://www.morganstanley.com/privacy_pledge.html). Please use the provided link to review the Terms and</t>
  </si>
  <si>
    <t>Conditions and Most Important Terms and Conditions for Morgan Stanley India Company Private Limited</t>
  </si>
  <si>
    <t>(https://www.morganstanley.com/assets/pdfs/about-us-global-offices/india/Terms_and_conditions.pdf) and</t>
  </si>
  <si>
    <t>the following link to review the audit report</t>
  </si>
  <si>
    <t>(https://ny.matrix.ms.com/eqr/research/webapp/researchdocs/MSICPL_Morgan_Stanley_Research_Audit_Report.pdf).</t>
  </si>
  <si>
    <t>If you do not agree to our Terms of Use and/or if you do not wish to provide your consent to Morgan</t>
  </si>
  <si>
    <t>Stanley processing your personal data or using cookies please do not access our research.</t>
  </si>
  <si>
    <t>Morgan Stanley Research does not provide individually tailored investment advice. Morgan Stanley</t>
  </si>
  <si>
    <t>Research has been prepared without regard to the circumstances and objectives of those who receive it.</t>
  </si>
  <si>
    <t>Morgan Stanley recommends that investors independently evaluate particular investments and strategies,</t>
  </si>
  <si>
    <t>and encourages investors to seek the advice of a financial adviser. The appropriateness of an investment</t>
  </si>
  <si>
    <t>or strategy will depend on an investor's circumstances and objectives. The securities, instruments, or</t>
  </si>
  <si>
    <t>strategies discussed in Morgan Stanley Research may not be suitable for all investors, and certain</t>
  </si>
  <si>
    <t>investors may not be eligible to purchase or participate in some or all of them. Morgan Stanley Research</t>
  </si>
  <si>
    <t>is not an offer to buy or sell or the solicitation of an offer to buy or sell any security/instrument or</t>
  </si>
  <si>
    <t>to participate in any particular trading strategy. The value of and income from your investments may</t>
  </si>
  <si>
    <t>vary because of changes in interest rates, foreign exchange rates, default rates, prepayment rates,</t>
  </si>
  <si>
    <t>securities/instruments prices, market indexes, operational or financial conditions of companies or other</t>
  </si>
  <si>
    <t>factors. There may be time limitations on the exercise of options or other rights in</t>
  </si>
  <si>
    <t>securities/instruments transactions. Past performance is not necessarily a guide to future performance.</t>
  </si>
  <si>
    <t>Estimates of future performance are based on assumptions that may not be realized. If provided, and</t>
  </si>
  <si>
    <t>unless otherwise stated, the closing price on the cover page is that of the primary exchange for the</t>
  </si>
  <si>
    <t>subject company's securities/instruments.</t>
  </si>
  <si>
    <t>The fixed income research analysts, strategists or economists principally responsible for the</t>
  </si>
  <si>
    <t>preparation of Morgan Stanley Research have received compensation based upon various factors, including</t>
  </si>
  <si>
    <t>quality, accuracy and value of research, firm profitability or revenues (which include fixed income</t>
  </si>
  <si>
    <t>trading and capital markets profitability or revenues), client feedback and competitive factors. Fixed</t>
  </si>
  <si>
    <t>Income Research analysts', strategists' or economists' compensation is not linked to investment banking</t>
  </si>
  <si>
    <t>or capital markets transactions performed by Morgan Stanley or the profitability or revenues of</t>
  </si>
  <si>
    <t>The "Important Regulatory Disclosures on Subject Companies" section in Morgan Stanley Research lists all</t>
  </si>
  <si>
    <t>companies mentioned where Morgan Stanley owns 1% or more of a class of common equity securities of the</t>
  </si>
  <si>
    <t>companies. For all other companies mentioned in Morgan Stanley Research, Morgan Stanley may have an</t>
  </si>
  <si>
    <t>investment of less than 1% in securities/instruments or derivatives of securities/instruments of</t>
  </si>
  <si>
    <t>companies and may trade them in ways different from those discussed in Morgan Stanley Research.</t>
  </si>
  <si>
    <t>Employees of Morgan Stanley not involved in the preparation of Morgan Stanley Research may have</t>
  </si>
  <si>
    <t>investments in securities/instruments or derivatives of securities/instruments of companies mentioned</t>
  </si>
  <si>
    <t>and may trade them in ways different from those discussed in Morgan Stanley Research. Derivatives may be</t>
  </si>
  <si>
    <t>issued by Morgan Stanley or associated persons.</t>
  </si>
  <si>
    <t>With the exception of information regarding Morgan Stanley, Morgan Stanley Research is based on public</t>
  </si>
  <si>
    <t>information. Morgan Stanley makes every effort to use reliable, comprehensive information, but we make</t>
  </si>
  <si>
    <t>no representation that it is accurate or complete. We have no obligation to tell you when opinions or</t>
  </si>
  <si>
    <t>information in Morgan Stanley Research change apart from when we intend to discontinue equity research</t>
  </si>
  <si>
    <t>coverage of a subject company. Facts and views presented in Morgan Stanley Research have not been</t>
  </si>
  <si>
    <t>reviewed by, and may not reflect information known to, professionals in other Morgan Stanley business</t>
  </si>
  <si>
    <t>areas, including investment banking personnel.</t>
  </si>
  <si>
    <t>Morgan Stanley Research personnel may participate in company events such as site visits and are</t>
  </si>
  <si>
    <t>generally prohibited from accepting payment by the company of associated expenses unless pre-approved by</t>
  </si>
  <si>
    <t>authorized members of Research management.</t>
  </si>
  <si>
    <t>Morgan Stanley may make investment decisions that are inconsistent with the recommendations or views in</t>
  </si>
  <si>
    <t>this report.</t>
  </si>
  <si>
    <t>To our readers based in Taiwan or trading in Taiwan securities/instruments: Information on</t>
  </si>
  <si>
    <t>securities/instruments that trade in Taiwan is distributed by Morgan Stanley Taiwan Limited ("MSTL").</t>
  </si>
  <si>
    <t>Such information is for your reference only. The reader should independently evaluate the investment</t>
  </si>
  <si>
    <t>risks and is solely responsible for their investment decisions. Morgan Stanley Research may not be</t>
  </si>
  <si>
    <t>distributed to the public media or quoted or used by the public media without the express written</t>
  </si>
  <si>
    <t>consent of Morgan Stanley. Any non-customer reader within the scope of Article 7-1 of the Taiwan Stock</t>
  </si>
  <si>
    <t>Exchange Recommendation Regulations accessing and/or receiving Morgan Stanley Research is not permitted</t>
  </si>
  <si>
    <t>to provide Morgan Stanley Research to any third party (including but not limited to related parties,</t>
  </si>
  <si>
    <t>affiliated companies and any other third parties) or engage in any activities regarding Morgan Stanley</t>
  </si>
  <si>
    <t>Research which may create or give the appearance of creating a conflict of interest. Information on</t>
  </si>
  <si>
    <t>securities/instruments that do not trade in Taiwan is for informational purposes only and is not to be</t>
  </si>
  <si>
    <t>construed as a recommendation or a solicitation to trade in such securities/instruments. MSTL may not</t>
  </si>
  <si>
    <t>execute transactions for clients in these securities/instruments.</t>
  </si>
  <si>
    <t>Morgan Stanley is not incorporated under PRC law and the research in relation to this report is</t>
  </si>
  <si>
    <t>conducted outside the PRC. Morgan Stanley Research does not constitute an offer to sell or the</t>
  </si>
  <si>
    <t>solicitation of an offer to buy any securities in the PRC. PRC investors shall have the relevant</t>
  </si>
  <si>
    <t>qualifications to invest in such securities and shall be responsible for obtaining all relevant</t>
  </si>
  <si>
    <t>approvals, licenses, verifications and/or registrations from the relevant governmental authorities</t>
  </si>
  <si>
    <t>themselves. Neither this report nor any part of it is intended as, or shall constitute, provision of any</t>
  </si>
  <si>
    <t>consultancy or advisory service of securities investment as defined under PRC law. Such information is</t>
  </si>
  <si>
    <t>provided for your reference only.</t>
  </si>
  <si>
    <t>Morgan Stanley Research is disseminated in Brazil by Morgan Stanley C.T.V.M. S.A. located at Av.</t>
  </si>
  <si>
    <t>Brigadeiro Faria Lima, 3600, 6th floor, São Paulo - SP, Brazil; and is regulated by the Comissão de</t>
  </si>
  <si>
    <t>Valores Mobiliários; in Mexico by Morgan Stanley México, Casa de Bolsa, S.A. de C.V which is regulated</t>
  </si>
  <si>
    <t>by Comision Nacional Bancaria y de Valores. Paseo de los Tamarindos 90, Torre 1, Col. Bosques de las</t>
  </si>
  <si>
    <t>Lomas Floor 29, 05120 Mexico City; in Japan by Morgan Stanley MUFG Securities Co., Ltd. and, for</t>
  </si>
  <si>
    <t>Commodities related research reports only, Morgan Stanley Capital Group Japan Co., Ltd; in Hong Kong by</t>
  </si>
  <si>
    <t>Morgan Stanley Asia Limited (which accepts responsibility for its contents) and by Morgan Stanley Bank</t>
  </si>
  <si>
    <t>Asia Limited; in Singapore by Morgan Stanley Asia (Singapore) Pte. (Registration number 199206298Z)</t>
  </si>
  <si>
    <t>and/or Morgan Stanley Asia (Singapore) Securities Pte Ltd (Registration number 200008434H), regulated by</t>
  </si>
  <si>
    <t>the Monetary Authority of Singapore (which accepts legal responsibility for its contents and should be</t>
  </si>
  <si>
    <t>contacted with respect to any matters arising from, or in connection with, Morgan Stanley Research) and</t>
  </si>
  <si>
    <t>by Morgan Stanley Bank Asia Limited, Singapore Branch (Registration number T14FC0118J); in Australia to</t>
  </si>
  <si>
    <t>"wholesale clients" within the meaning of the Australian Corporations Act by Morgan Stanley Australia</t>
  </si>
  <si>
    <t>Limited A.B.N. 67 003 734 576, holder of Australian financial services license No. 233742, which accepts</t>
  </si>
  <si>
    <t>responsibility for its contents; in Australia to "wholesale clients" and "retail clients" within the</t>
  </si>
  <si>
    <t>meaning of the Australian Corporations Act by Morgan Stanley Wealth Management Australia Pty Ltd (A.B.N.</t>
  </si>
  <si>
    <t>19 009 145 555, holder of Australian financial services license No. 240813, which accepts responsibility</t>
  </si>
  <si>
    <t>for its contents; in Korea by Morgan Stanley &amp; Co International plc, Seoul Branch; in India by Morgan</t>
  </si>
  <si>
    <t>Stanley India Company Private Limited having Corporate Identification No (CIN) U22990MH1998PTC115305,</t>
  </si>
  <si>
    <t>regulated by the Securities and Exchange Board of India (“SEBI”) and holder of licenses as a Research</t>
  </si>
  <si>
    <t>Analyst (SEBI Registration No. INH000001105); Stock Broker (SEBI Stock Broker Registration No.</t>
  </si>
  <si>
    <t>INZ000244438), Merchant Banker (SEBI Registration No. INM000011203), and depository participant with</t>
  </si>
  <si>
    <t>National Securities Depository Limited (SEBI Registration No. IN-DP-NSDL-567-2021) having registered</t>
  </si>
  <si>
    <t>office at Altimus, Level 39 &amp; 40, Pandurang Budhkar Marg, Worli, Mumbai 400018, India; Telephone no.</t>
  </si>
  <si>
    <t>+91-22-61181000; Compliance Officer Details: Mr. Tejarshi Hardas, Tel. No.: +91-22-61181000 or Email:</t>
  </si>
  <si>
    <t>tejarshi.hardas@morganstanley.com; Grievance officer details: Mr. Tejarshi Hardas, Tel. No.:</t>
  </si>
  <si>
    <t>+91-22-61181000 or Email: msic-compliance@morganstanley.com. Morgan Stanley India Company Private</t>
  </si>
  <si>
    <t>Limited (MSICPL) may use AI tools in providing research services. All recommendations contained herein</t>
  </si>
  <si>
    <t>are made by the duly qualified research analysts; in Canada by Morgan Stanley Canada Limited; in Germany</t>
  </si>
  <si>
    <t>and the European Economic Area where required by Morgan Stanley Europe S.E., authorised and regulated by</t>
  </si>
  <si>
    <t>Bundesanstalt fuer Finanzdienstleistungsaufsicht (BaFin) under the reference number 149169; in the US by</t>
  </si>
  <si>
    <t>Morgan Stanley &amp; Co. LLC, which accepts responsibility for its contents. Morgan Stanley &amp; Co.</t>
  </si>
  <si>
    <t>International plc, authorized by the Prudential Regulation Authority and regulated by the Financial</t>
  </si>
  <si>
    <t>Conduct Authority and the Prudential Regulation Authority, disseminates in the UK research that it has</t>
  </si>
  <si>
    <t>prepared, and research which has been prepared by any of its affiliates, only to persons who (i) are</t>
  </si>
  <si>
    <t>investment professionals falling within Article 19(5) of the Financial Services and Markets Act 2000</t>
  </si>
  <si>
    <t>(Financial Promotion) Order 2005 (as amended, the “Order”); (ii) are persons who are high net worth</t>
  </si>
  <si>
    <t>entities falling within Article 49(2)(a) to (d) of the Order; or (iii) are persons to whom an invitation</t>
  </si>
  <si>
    <t>or inducement to engage in investment activity (within the meaning of section 21 of the Financial</t>
  </si>
  <si>
    <t>Services and Markets Act 2000, as amended) may otherwise lawfully be communicated or caused to be</t>
  </si>
  <si>
    <t>communicated. RMB Morgan Stanley Proprietary Limited is a member of the JSE Limited and A2X (Pty) Ltd.</t>
  </si>
  <si>
    <t>RMB Morgan Stanley Proprietary Limited is a joint venture owned equally by Morgan Stanley International</t>
  </si>
  <si>
    <t>Holdings Inc. and RMB Investment Advisory (Proprietary) Limited, which is wholly owned by FirstRand</t>
  </si>
  <si>
    <t>Limited. The information in Morgan Stanley Research is being disseminated by Morgan Stanley Saudi</t>
  </si>
  <si>
    <t>Arabia, regulated by the Capital Market Authority in the Kingdom of Saudi Arabia, and is directed at</t>
  </si>
  <si>
    <t>Sophisticated investors only.</t>
  </si>
  <si>
    <t>The information in Morgan Stanley Research is being communicated by Morgan Stanley &amp; Co. International</t>
  </si>
  <si>
    <t>plc (DIFC Branch), regulated by the Dubai Financial Services Authority (the DFSA) or by Morgan Stanley &amp;</t>
  </si>
  <si>
    <t>Co. International plc (ADGM Branch), regulated by the Financial Services Regulatory Authority Abu Dhabi</t>
  </si>
  <si>
    <t>(the FSRA), and is directed at Professional Clients only, as defined by the DFSA or the FSRA,</t>
  </si>
  <si>
    <t>respectively. The financial products or financial services to which this research relates will only be</t>
  </si>
  <si>
    <t>made available to a customer who we are satisfied meets the regulatory criteria of a Professional</t>
  </si>
  <si>
    <t>Client. A distribution of the different MS Research ratings or recommendations, in percentage terms for</t>
  </si>
  <si>
    <t>Investments in each sector covered, is available upon request from your sales representative.</t>
  </si>
  <si>
    <t>plc (QFC Branch), regulated by the Qatar Financial Centre Regulatory Authority (the QFCRA), and is</t>
  </si>
  <si>
    <t>directed at business customers and market counterparties only and is not intended for Retail Customers</t>
  </si>
  <si>
    <t>as defined by the QFCRA.</t>
  </si>
  <si>
    <t>As required by the Capital Markets Board of Turkey, investment information, comments and recommendations</t>
  </si>
  <si>
    <t>stated here, are not within the scope of investment advisory activity. Investment advisory service is</t>
  </si>
  <si>
    <t>provided exclusively to persons based on their risk and income preferences by the authorized firms.</t>
  </si>
  <si>
    <t>Comments and recommendations stated here are general in nature. These opinions may not fit to your</t>
  </si>
  <si>
    <t>financial status, risk and return preferences. For this reason, to make an investment decision by</t>
  </si>
  <si>
    <t>relying solely to this information stated here may not bring about outcomes that fit your expectations.</t>
  </si>
  <si>
    <t>The trademarks and service marks contained in Morgan Stanley Research are the property of their</t>
  </si>
  <si>
    <t>respective owners. Third-party data providers make no warranties or representations relating to the</t>
  </si>
  <si>
    <t>accuracy, completeness, or timeliness of the data they provide and shall not have liability for any</t>
  </si>
  <si>
    <t>damages relating to such data. The Global Industry Classification Standard (GICS) was developed by and</t>
  </si>
  <si>
    <t>is the exclusive property of MSCI and S&amp;P.</t>
  </si>
  <si>
    <t>Morgan Stanley Research, or any portion thereof may not be reprinted, sold or redistributed without the</t>
  </si>
  <si>
    <t>written consent of Morgan Stanley.</t>
  </si>
  <si>
    <t>Indicators and trackers referenced in Morgan Stanley Research may not be used as, or treated as, a</t>
  </si>
  <si>
    <t>benchmark under Regulation EU 2016/1011, or any other similar framework.</t>
  </si>
  <si>
    <t>The issuers and/or fixed income products recommended or discussed in certain fixed income research</t>
  </si>
  <si>
    <t>reports may not be continuously followed. Accordingly, investors should regard those fixed income</t>
  </si>
  <si>
    <t>research reports as providing stand-alone analysis and should not expect continuing analysis or</t>
  </si>
  <si>
    <t>additional reports relating to such issuers and/or individual fixed income products.</t>
  </si>
  <si>
    <t>Morgan Stanley may hold, from time to time, material financial and commercial interests regarding the</t>
  </si>
  <si>
    <t>company subject to the Research report.</t>
  </si>
  <si>
    <t>Registration granted by SEBI and certification from the National Institute of Securities Markets (NISM)</t>
  </si>
  <si>
    <t>in no way guarantee performance of the intermediary or provide any assurance of returns to investors.</t>
  </si>
  <si>
    <t>Investment in securities market are subject to market risks. Read all the related documents carefully</t>
  </si>
  <si>
    <t>before investing.</t>
  </si>
  <si>
    <t>© Copyright 2026 Morgan Stanley</t>
  </si>
  <si>
    <t>MacroVersion</t>
  </si>
  <si>
    <t>6.10</t>
  </si>
  <si>
    <t>PublishDate</t>
  </si>
  <si>
    <t>08/14/26 11:19</t>
  </si>
  <si>
    <t>Discipline</t>
  </si>
  <si>
    <t>Research</t>
  </si>
  <si>
    <t>ResearchTopic</t>
  </si>
  <si>
    <t>Company</t>
  </si>
  <si>
    <t>DocType</t>
  </si>
  <si>
    <t>Model</t>
  </si>
  <si>
    <t>SubjectCode</t>
  </si>
  <si>
    <t>Description</t>
  </si>
  <si>
    <t>KeepVersions</t>
  </si>
  <si>
    <t>All</t>
  </si>
  <si>
    <t>Rating</t>
  </si>
  <si>
    <t>Overweight / Attractive</t>
  </si>
  <si>
    <t>CurrYearTotalRevenue*</t>
  </si>
  <si>
    <t>CurrYearEPS*</t>
  </si>
  <si>
    <t>NextYearTotalRevenue*</t>
  </si>
  <si>
    <t>NextYearEPS*</t>
  </si>
  <si>
    <t>FollowingYearTotalRevenue*</t>
  </si>
  <si>
    <t>FollowingYearEPS*</t>
  </si>
  <si>
    <t>5YearGrowthRate</t>
  </si>
  <si>
    <t>UpdateReason</t>
  </si>
  <si>
    <t>Regular Update</t>
  </si>
  <si>
    <t>Authors</t>
  </si>
  <si>
    <t>MSA0J802, MSA7L876</t>
  </si>
  <si>
    <t>Tickers</t>
  </si>
  <si>
    <t>CUSIP</t>
  </si>
  <si>
    <t>RIC</t>
  </si>
  <si>
    <t>SEDOL</t>
  </si>
  <si>
    <t>Current Stock Price</t>
  </si>
  <si>
    <t>212.90</t>
  </si>
  <si>
    <t>PathName</t>
  </si>
  <si>
    <t>L:\aerospace\1_Companies\Airbus\0_Models\Airbus - Copy for publishing.xlsx</t>
  </si>
  <si>
    <t>Distribution</t>
  </si>
  <si>
    <t>0</t>
  </si>
  <si>
    <t>Deleted</t>
  </si>
  <si>
    <t>NO</t>
  </si>
  <si>
    <t>EmailAlert</t>
  </si>
  <si>
    <t>YES</t>
  </si>
  <si>
    <t>CurrQtrEPS</t>
  </si>
  <si>
    <t>CYEnd</t>
  </si>
  <si>
    <t>CQEnd</t>
  </si>
  <si>
    <t>CurrYearTotalRevenueActual*</t>
  </si>
  <si>
    <t>NextYearTotalRevenueActual*</t>
  </si>
  <si>
    <t>FollowingYearTotalRevenueActual*</t>
  </si>
  <si>
    <t>Multiplier</t>
  </si>
  <si>
    <t>1000000</t>
  </si>
  <si>
    <t>TemplateRegion</t>
  </si>
  <si>
    <t>ObjectType</t>
  </si>
  <si>
    <t>excel</t>
  </si>
  <si>
    <t>LanguageCode</t>
  </si>
  <si>
    <t>en-US</t>
  </si>
  <si>
    <t>SubmitterUserId</t>
  </si>
  <si>
    <t>giridhak</t>
  </si>
  <si>
    <t>IndustryId</t>
  </si>
  <si>
    <t>1700000864</t>
  </si>
  <si>
    <t>TickerRegion</t>
  </si>
  <si>
    <t>4</t>
  </si>
  <si>
    <t>AdditionalInstructions</t>
  </si>
  <si>
    <t>*Estimated</t>
  </si>
  <si>
    <t>OwnerTeam</t>
  </si>
  <si>
    <t>I1700000864</t>
  </si>
  <si>
    <t>[BRO MSA]</t>
  </si>
  <si>
    <t>[DOCDAT 2026-08-14]</t>
  </si>
  <si>
    <t>[DOCTIME 11:19]</t>
  </si>
  <si>
    <t>[PSYM AIR.PA(S&amp;P) (None)]</t>
  </si>
  <si>
    <t>[COU France]</t>
  </si>
  <si>
    <t>[PRODUCT MODEL]</t>
  </si>
  <si>
    <t>[ANA MSA7L876]</t>
  </si>
  <si>
    <t>[HL AIR.PA Model]</t>
  </si>
  <si>
    <t>[IND Aerospace &amp; Defence]</t>
  </si>
  <si>
    <t>[EMAIL_ALERT YES]</t>
  </si>
  <si>
    <t>[PANA  MSA0J802]</t>
  </si>
  <si>
    <t>[DISCIPLINE Company]</t>
  </si>
  <si>
    <t>[SUPPRESSED 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</si>
</sst>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(* #,##0.00_);_(* \(#,##0.00\);_(* &quot;-&quot;??_);_(@_)"/>
    <numFmt numFmtId="165" formatCode="_(* #,##0_);_(* \(#,##0\);_(* &quot;-&quot;_);_(@_)"/>
    <numFmt numFmtId="166" formatCode="#,##0.000"/>
    <numFmt numFmtId="167" formatCode="_-* #,##0_-;\-* #,##0_-;_-* &quot;-&quot;??_-;_-@_-"/>
    <numFmt numFmtId="168" formatCode="_(* #,##0_);_(* \(#,##0\);_(* &quot;-&quot;?_);_(@_)"/>
    <numFmt numFmtId="169" formatCode="[$€-2]\ #,##0.00;[Red]\-[$€-2]\ #,##0.00"/>
    <numFmt numFmtId="170" formatCode="_-* #,##0.0_-;\-* #,##0.0_-;_-* &quot;-&quot;??_-;_-@_-"/>
    <numFmt numFmtId="171" formatCode="0.0%"/>
    <numFmt numFmtId="172" formatCode="_(* #,##0_);_(* \(#,##0\);_(* &quot;-&quot;??_);_(@_)"/>
    <numFmt numFmtId="173" formatCode="0.000"/>
    <numFmt numFmtId="174" formatCode="0.0"/>
    <numFmt numFmtId="175" formatCode="_(* #,##0.0_);_(* \(#,##0.0\);_(* &quot;-&quot;??_);_(@_)"/>
    <numFmt numFmtId="176" formatCode="_(* #,##0.0_);_(* \(#,##0.0\);_(* &quot;-&quot;?_);_(@_)"/>
    <numFmt numFmtId="177" formatCode="_(* #,##0.00_);_(* \(#,##0.00\);_(* &quot;-&quot;?_);_(@_)"/>
    <numFmt numFmtId="178" formatCode="[$€-2]\ #,##0.00"/>
    <numFmt numFmtId="179" formatCode="#,##0;\(#,##0\)"/>
    <numFmt numFmtId="180" formatCode="General&quot;e&quot;"/>
    <numFmt numFmtId="181" formatCode="0.00_);\(0.00\)"/>
    <numFmt numFmtId="182" formatCode="_(* #,##0.0000_);_(* \(#,##0.0000\);_(* &quot;-&quot;??_);_(@_)"/>
    <numFmt numFmtId="183" formatCode="#,##0;\(#,##0\);&quot;-&quot;"/>
    <numFmt numFmtId="184" formatCode="\€#,##0.00;\€\(#,##0.00\);&quot;-&quot;"/>
    <numFmt numFmtId="185" formatCode="0&quot;e&quot;"/>
    <numFmt numFmtId="186" formatCode="0.00&quot;x&quot;"/>
    <numFmt numFmtId="187" formatCode="0.0&quot;x&quot;"/>
    <numFmt numFmtId="188" formatCode="#,##0.0"/>
    <numFmt numFmtId="189" formatCode="#,##0.0;\(#,##0.0\)"/>
    <numFmt numFmtId="190" formatCode="#,##0;\(#,##0\);\-"/>
    <numFmt numFmtId="191" formatCode="_ * #,##0.00_ ;_ * \-#,##0.00_ ;_ * &quot;-&quot;??_ ;_ @_ 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color indexed="12"/>
      <name val="Arial"/>
      <family val="2"/>
    </font>
    <font>
      <i/>
      <sz val="8"/>
      <name val="Arial"/>
      <family val="2"/>
    </font>
    <font>
      <sz val="8"/>
      <color indexed="12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i/>
      <sz val="8"/>
      <color indexed="10"/>
      <name val="Arial"/>
      <family val="2"/>
    </font>
    <font>
      <b/>
      <sz val="11"/>
      <name val="Arial"/>
      <family val="2"/>
    </font>
    <font>
      <u/>
      <sz val="8"/>
      <name val="Arial"/>
      <family val="2"/>
    </font>
    <font>
      <sz val="8"/>
      <color indexed="17"/>
      <name val="Arial"/>
      <family val="2"/>
    </font>
    <font>
      <sz val="8"/>
      <color indexed="14"/>
      <name val="Arial"/>
      <family val="2"/>
    </font>
    <font>
      <b/>
      <u/>
      <sz val="8"/>
      <name val="Arial"/>
      <family val="2"/>
    </font>
    <font>
      <sz val="8"/>
      <color indexed="8"/>
      <name val="Arial"/>
      <family val="2"/>
    </font>
    <font>
      <i/>
      <sz val="8"/>
      <color indexed="10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8"/>
      <color indexed="12"/>
      <name val="Arial"/>
      <family val="2"/>
    </font>
    <font>
      <b/>
      <sz val="8"/>
      <color indexed="14"/>
      <name val="Arial"/>
      <family val="2"/>
    </font>
    <font>
      <b/>
      <i/>
      <sz val="8"/>
      <name val="Arial"/>
      <family val="2"/>
    </font>
    <font>
      <b/>
      <sz val="10"/>
      <color indexed="8"/>
      <name val="Times New Roman"/>
      <family val="1"/>
    </font>
    <font>
      <sz val="9"/>
      <name val="Times New Roman"/>
      <family val="1"/>
    </font>
    <font>
      <sz val="10"/>
      <color indexed="8"/>
      <name val="Times New Roman"/>
      <family val="1"/>
    </font>
    <font>
      <i/>
      <sz val="8"/>
      <name val="Times New Roman"/>
      <family val="1"/>
    </font>
    <font>
      <i/>
      <sz val="8"/>
      <color indexed="17"/>
      <name val="Arial"/>
      <family val="2"/>
    </font>
    <font>
      <sz val="10"/>
      <name val="Arial"/>
      <family val="2"/>
    </font>
    <font>
      <i/>
      <sz val="8"/>
      <color indexed="12"/>
      <name val="Arial"/>
      <family val="2"/>
    </font>
    <font>
      <sz val="10"/>
      <name val="Helv"/>
      <charset val="204"/>
    </font>
    <font>
      <sz val="12"/>
      <name val="바탕체"/>
      <family val="3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i/>
      <sz val="8"/>
      <color rgb="FF0070C0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sz val="8"/>
      <color theme="6" tint="-0.249977111117893"/>
      <name val="Arial"/>
      <family val="2"/>
    </font>
    <font>
      <b/>
      <sz val="8"/>
      <color theme="6" tint="-0.249977111117893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8"/>
      <color theme="0"/>
      <name val="Arial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theme="0"/>
      <name val="Arial"/>
      <family val="2"/>
    </font>
    <font>
      <sz val="8"/>
      <color theme="1" tint="0.499984740745262"/>
      <name val="Arial"/>
      <family val="2"/>
    </font>
    <font>
      <sz val="10"/>
      <color theme="1" tint="0.499984740745262"/>
      <name val="Arial"/>
      <family val="2"/>
    </font>
    <font>
      <i/>
      <sz val="8"/>
      <color theme="5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i/>
      <sz val="8"/>
      <color theme="4"/>
      <name val="Arial"/>
      <family val="2"/>
    </font>
    <font>
      <b/>
      <sz val="10"/>
      <color theme="1" tint="0.499984740745262"/>
      <name val="Arial"/>
      <family val="2"/>
    </font>
    <font>
      <i/>
      <sz val="10"/>
      <color theme="1" tint="0.499984740745262"/>
      <name val="Arial"/>
      <family val="2"/>
    </font>
    <font>
      <i/>
      <sz val="8"/>
      <color theme="0"/>
      <name val="Arial"/>
      <family val="2"/>
    </font>
    <font>
      <sz val="8"/>
      <color theme="0" tint="-0.34998626667073579"/>
      <name val="Arial"/>
      <family val="2"/>
    </font>
    <font>
      <b/>
      <sz val="8"/>
      <color theme="4"/>
      <name val="Arial"/>
      <family val="2"/>
    </font>
    <font>
      <sz val="8"/>
      <color theme="4"/>
      <name val="Arial"/>
      <family val="2"/>
    </font>
    <font>
      <sz val="8"/>
      <color theme="8" tint="-0.249977111117893"/>
      <name val="Arial"/>
      <family val="2"/>
    </font>
    <font>
      <sz val="8"/>
      <color rgb="FF000000"/>
      <name val="Arial"/>
      <family val="2"/>
    </font>
    <font>
      <sz val="10"/>
      <color theme="4"/>
      <name val="Arial"/>
      <family val="2"/>
    </font>
    <font>
      <b/>
      <i/>
      <sz val="8"/>
      <color theme="4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80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75A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theme="4"/>
      </top>
      <bottom/>
      <diagonal/>
    </border>
    <border>
      <left/>
      <right style="hair">
        <color indexed="64"/>
      </right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medium">
        <color theme="4"/>
      </top>
      <bottom/>
      <diagonal/>
    </border>
    <border>
      <left style="thin">
        <color indexed="64"/>
      </left>
      <right style="medium">
        <color theme="4"/>
      </right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/>
      <right style="hair">
        <color indexed="64"/>
      </right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theme="4"/>
      </bottom>
      <diagonal/>
    </border>
    <border>
      <left style="thin">
        <color indexed="64"/>
      </left>
      <right style="medium">
        <color theme="4"/>
      </right>
      <top/>
      <bottom style="medium">
        <color theme="4"/>
      </bottom>
      <diagonal/>
    </border>
    <border>
      <left/>
      <right style="thin">
        <color indexed="64"/>
      </right>
      <top style="medium">
        <color theme="4"/>
      </top>
      <bottom/>
      <diagonal/>
    </border>
    <border>
      <left/>
      <right style="thin">
        <color indexed="64"/>
      </right>
      <top/>
      <bottom style="medium">
        <color theme="4"/>
      </bottom>
      <diagonal/>
    </border>
    <border>
      <left/>
      <right/>
      <top/>
      <bottom style="thin">
        <color auto="1"/>
      </bottom>
      <diagonal/>
    </border>
  </borders>
  <cellStyleXfs count="61">
    <xf numFmtId="0" fontId="0" fillId="0" borderId="0"/>
    <xf numFmtId="0" fontId="4" fillId="0" borderId="0"/>
    <xf numFmtId="0" fontId="9" fillId="0" borderId="0" applyNumberFormat="0" applyFill="0" applyBorder="0" applyAlignment="0" applyProtection="0"/>
    <xf numFmtId="0" fontId="36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4" fillId="0" borderId="0"/>
    <xf numFmtId="0" fontId="14" fillId="0" borderId="0"/>
    <xf numFmtId="0" fontId="29" fillId="0" borderId="0"/>
    <xf numFmtId="164" fontId="34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8" fillId="0" borderId="0"/>
    <xf numFmtId="0" fontId="4" fillId="0" borderId="0"/>
    <xf numFmtId="0" fontId="38" fillId="0" borderId="0"/>
    <xf numFmtId="0" fontId="4" fillId="0" borderId="0"/>
    <xf numFmtId="0" fontId="30" fillId="0" borderId="0">
      <alignment vertical="center"/>
    </xf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1" fillId="0" borderId="0"/>
    <xf numFmtId="0" fontId="31" fillId="0" borderId="1">
      <alignment horizontal="centerContinuous"/>
    </xf>
    <xf numFmtId="0" fontId="32" fillId="0" borderId="1"/>
    <xf numFmtId="0" fontId="3" fillId="0" borderId="0"/>
    <xf numFmtId="0" fontId="37" fillId="0" borderId="0"/>
    <xf numFmtId="0" fontId="3" fillId="0" borderId="0"/>
    <xf numFmtId="0" fontId="7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211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172" fontId="6" fillId="0" borderId="0" xfId="11" applyNumberFormat="1" applyFont="1"/>
    <xf numFmtId="171" fontId="8" fillId="0" borderId="0" xfId="22" applyNumberFormat="1" applyFont="1" applyFill="1"/>
    <xf numFmtId="3" fontId="8" fillId="0" borderId="0" xfId="0" applyNumberFormat="1" applyFont="1"/>
    <xf numFmtId="167" fontId="8" fillId="0" borderId="0" xfId="0" applyNumberFormat="1" applyFont="1"/>
    <xf numFmtId="0" fontId="8" fillId="0" borderId="0" xfId="0" applyFont="1" applyAlignment="1">
      <alignment horizontal="right"/>
    </xf>
    <xf numFmtId="0" fontId="13" fillId="0" borderId="0" xfId="0" applyFont="1"/>
    <xf numFmtId="171" fontId="13" fillId="0" borderId="0" xfId="0" applyNumberFormat="1" applyFont="1"/>
    <xf numFmtId="171" fontId="8" fillId="0" borderId="0" xfId="0" applyNumberFormat="1" applyFont="1"/>
    <xf numFmtId="168" fontId="8" fillId="0" borderId="0" xfId="0" applyNumberFormat="1" applyFont="1"/>
    <xf numFmtId="1" fontId="8" fillId="0" borderId="0" xfId="0" applyNumberFormat="1" applyFont="1"/>
    <xf numFmtId="167" fontId="13" fillId="0" borderId="0" xfId="11" applyNumberFormat="1" applyFont="1" applyFill="1"/>
    <xf numFmtId="167" fontId="8" fillId="0" borderId="0" xfId="11" applyNumberFormat="1" applyFont="1" applyFill="1"/>
    <xf numFmtId="9" fontId="8" fillId="0" borderId="0" xfId="22" applyFont="1" applyFill="1" applyBorder="1"/>
    <xf numFmtId="167" fontId="8" fillId="0" borderId="0" xfId="11" applyNumberFormat="1" applyFont="1" applyFill="1" applyBorder="1"/>
    <xf numFmtId="172" fontId="8" fillId="0" borderId="0" xfId="0" applyNumberFormat="1" applyFont="1"/>
    <xf numFmtId="37" fontId="8" fillId="0" borderId="0" xfId="0" applyNumberFormat="1" applyFont="1"/>
    <xf numFmtId="167" fontId="7" fillId="0" borderId="0" xfId="0" applyNumberFormat="1" applyFont="1"/>
    <xf numFmtId="0" fontId="3" fillId="0" borderId="0" xfId="0" applyFont="1"/>
    <xf numFmtId="1" fontId="7" fillId="0" borderId="0" xfId="0" applyNumberFormat="1" applyFont="1"/>
    <xf numFmtId="0" fontId="7" fillId="0" borderId="0" xfId="0" applyFont="1" applyAlignment="1">
      <alignment horizontal="right"/>
    </xf>
    <xf numFmtId="172" fontId="7" fillId="0" borderId="0" xfId="0" applyNumberFormat="1" applyFont="1"/>
    <xf numFmtId="2" fontId="7" fillId="0" borderId="0" xfId="0" applyNumberFormat="1" applyFont="1"/>
    <xf numFmtId="172" fontId="8" fillId="0" borderId="0" xfId="11" applyNumberFormat="1" applyFont="1" applyFill="1"/>
    <xf numFmtId="0" fontId="6" fillId="2" borderId="0" xfId="17" applyFont="1" applyFill="1"/>
    <xf numFmtId="0" fontId="12" fillId="2" borderId="0" xfId="17" applyFont="1" applyFill="1"/>
    <xf numFmtId="0" fontId="7" fillId="2" borderId="0" xfId="17" applyFont="1" applyFill="1" applyAlignment="1">
      <alignment horizontal="right"/>
    </xf>
    <xf numFmtId="0" fontId="7" fillId="2" borderId="2" xfId="17" applyFont="1" applyFill="1" applyBorder="1" applyAlignment="1">
      <alignment horizontal="right"/>
    </xf>
    <xf numFmtId="0" fontId="6" fillId="2" borderId="0" xfId="17" applyFont="1" applyFill="1" applyAlignment="1">
      <alignment horizontal="right"/>
    </xf>
    <xf numFmtId="0" fontId="7" fillId="2" borderId="0" xfId="17" applyFont="1" applyFill="1"/>
    <xf numFmtId="3" fontId="6" fillId="2" borderId="0" xfId="17" applyNumberFormat="1" applyFont="1" applyFill="1" applyAlignment="1">
      <alignment horizontal="right"/>
    </xf>
    <xf numFmtId="172" fontId="6" fillId="2" borderId="0" xfId="12" applyNumberFormat="1" applyFont="1" applyFill="1" applyBorder="1" applyAlignment="1">
      <alignment horizontal="right"/>
    </xf>
    <xf numFmtId="172" fontId="27" fillId="2" borderId="0" xfId="12" applyNumberFormat="1" applyFont="1" applyFill="1" applyBorder="1" applyAlignment="1">
      <alignment horizontal="right"/>
    </xf>
    <xf numFmtId="171" fontId="6" fillId="2" borderId="0" xfId="23" applyNumberFormat="1" applyFont="1" applyFill="1" applyBorder="1" applyAlignment="1">
      <alignment horizontal="right"/>
    </xf>
    <xf numFmtId="3" fontId="7" fillId="2" borderId="0" xfId="17" applyNumberFormat="1" applyFont="1" applyFill="1" applyAlignment="1">
      <alignment horizontal="right"/>
    </xf>
    <xf numFmtId="171" fontId="12" fillId="2" borderId="0" xfId="23" applyNumberFormat="1" applyFont="1" applyFill="1" applyBorder="1" applyAlignment="1">
      <alignment horizontal="right"/>
    </xf>
    <xf numFmtId="9" fontId="6" fillId="2" borderId="0" xfId="23" applyFont="1" applyFill="1" applyBorder="1" applyAlignment="1">
      <alignment horizontal="right"/>
    </xf>
    <xf numFmtId="171" fontId="11" fillId="2" borderId="0" xfId="17" applyNumberFormat="1" applyFont="1" applyFill="1" applyAlignment="1">
      <alignment horizontal="right"/>
    </xf>
    <xf numFmtId="167" fontId="6" fillId="2" borderId="0" xfId="12" applyNumberFormat="1" applyFont="1" applyFill="1"/>
    <xf numFmtId="0" fontId="15" fillId="2" borderId="0" xfId="0" applyFont="1" applyFill="1"/>
    <xf numFmtId="0" fontId="8" fillId="2" borderId="0" xfId="0" applyFont="1" applyFill="1"/>
    <xf numFmtId="167" fontId="8" fillId="2" borderId="0" xfId="0" applyNumberFormat="1" applyFont="1" applyFill="1"/>
    <xf numFmtId="9" fontId="8" fillId="2" borderId="0" xfId="22" applyFont="1" applyFill="1"/>
    <xf numFmtId="164" fontId="23" fillId="2" borderId="0" xfId="11" applyFont="1" applyFill="1"/>
    <xf numFmtId="0" fontId="0" fillId="2" borderId="0" xfId="0" applyFill="1"/>
    <xf numFmtId="0" fontId="7" fillId="2" borderId="0" xfId="0" applyFont="1" applyFill="1"/>
    <xf numFmtId="164" fontId="8" fillId="2" borderId="0" xfId="0" applyNumberFormat="1" applyFont="1" applyFill="1"/>
    <xf numFmtId="171" fontId="8" fillId="2" borderId="0" xfId="22" applyNumberFormat="1" applyFont="1" applyFill="1"/>
    <xf numFmtId="0" fontId="12" fillId="2" borderId="0" xfId="0" applyFont="1" applyFill="1"/>
    <xf numFmtId="0" fontId="7" fillId="2" borderId="2" xfId="0" applyFont="1" applyFill="1" applyBorder="1" applyAlignment="1">
      <alignment horizontal="right"/>
    </xf>
    <xf numFmtId="1" fontId="8" fillId="2" borderId="0" xfId="13" applyNumberFormat="1" applyFont="1" applyFill="1" applyBorder="1"/>
    <xf numFmtId="0" fontId="7" fillId="2" borderId="0" xfId="0" applyFont="1" applyFill="1" applyAlignment="1">
      <alignment horizontal="right"/>
    </xf>
    <xf numFmtId="172" fontId="7" fillId="2" borderId="0" xfId="0" applyNumberFormat="1" applyFont="1" applyFill="1" applyAlignment="1">
      <alignment horizontal="right"/>
    </xf>
    <xf numFmtId="172" fontId="7" fillId="2" borderId="0" xfId="11" applyNumberFormat="1" applyFont="1" applyFill="1" applyBorder="1" applyAlignment="1">
      <alignment horizontal="right"/>
    </xf>
    <xf numFmtId="171" fontId="12" fillId="2" borderId="0" xfId="22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9" fontId="7" fillId="2" borderId="0" xfId="22" applyFont="1" applyFill="1" applyBorder="1" applyAlignment="1">
      <alignment horizontal="right"/>
    </xf>
    <xf numFmtId="3" fontId="8" fillId="2" borderId="0" xfId="0" applyNumberFormat="1" applyFont="1" applyFill="1"/>
    <xf numFmtId="171" fontId="13" fillId="2" borderId="0" xfId="22" applyNumberFormat="1" applyFont="1" applyFill="1"/>
    <xf numFmtId="167" fontId="13" fillId="2" borderId="0" xfId="0" applyNumberFormat="1" applyFont="1" applyFill="1"/>
    <xf numFmtId="170" fontId="8" fillId="2" borderId="0" xfId="11" applyNumberFormat="1" applyFont="1" applyFill="1"/>
    <xf numFmtId="167" fontId="8" fillId="2" borderId="0" xfId="11" applyNumberFormat="1" applyFont="1" applyFill="1"/>
    <xf numFmtId="1" fontId="8" fillId="2" borderId="0" xfId="0" applyNumberFormat="1" applyFont="1" applyFill="1" applyAlignment="1">
      <alignment horizontal="right"/>
    </xf>
    <xf numFmtId="172" fontId="13" fillId="2" borderId="0" xfId="11" applyNumberFormat="1" applyFont="1" applyFill="1" applyBorder="1"/>
    <xf numFmtId="172" fontId="8" fillId="2" borderId="0" xfId="11" applyNumberFormat="1" applyFont="1" applyFill="1" applyBorder="1"/>
    <xf numFmtId="172" fontId="8" fillId="2" borderId="0" xfId="11" applyNumberFormat="1" applyFont="1" applyFill="1" applyBorder="1" applyAlignment="1">
      <alignment horizontal="right"/>
    </xf>
    <xf numFmtId="171" fontId="7" fillId="2" borderId="0" xfId="22" applyNumberFormat="1" applyFont="1" applyFill="1" applyBorder="1" applyAlignment="1">
      <alignment horizontal="right"/>
    </xf>
    <xf numFmtId="171" fontId="13" fillId="2" borderId="0" xfId="0" applyNumberFormat="1" applyFont="1" applyFill="1" applyAlignment="1">
      <alignment horizontal="right"/>
    </xf>
    <xf numFmtId="1" fontId="7" fillId="2" borderId="0" xfId="13" applyNumberFormat="1" applyFont="1" applyFill="1" applyBorder="1"/>
    <xf numFmtId="1" fontId="7" fillId="2" borderId="0" xfId="13" applyNumberFormat="1" applyFont="1" applyFill="1" applyBorder="1" applyAlignment="1">
      <alignment horizontal="right"/>
    </xf>
    <xf numFmtId="171" fontId="13" fillId="2" borderId="0" xfId="22" applyNumberFormat="1" applyFont="1" applyFill="1" applyBorder="1"/>
    <xf numFmtId="171" fontId="8" fillId="2" borderId="0" xfId="22" applyNumberFormat="1" applyFont="1" applyFill="1" applyBorder="1"/>
    <xf numFmtId="164" fontId="8" fillId="2" borderId="0" xfId="11" applyFont="1" applyFill="1"/>
    <xf numFmtId="0" fontId="8" fillId="2" borderId="0" xfId="0" applyFont="1" applyFill="1" applyAlignment="1">
      <alignment horizontal="left" indent="1"/>
    </xf>
    <xf numFmtId="9" fontId="8" fillId="2" borderId="0" xfId="22" applyFont="1" applyFill="1" applyBorder="1"/>
    <xf numFmtId="0" fontId="12" fillId="2" borderId="0" xfId="0" applyFont="1" applyFill="1" applyAlignment="1">
      <alignment horizontal="left" indent="1"/>
    </xf>
    <xf numFmtId="170" fontId="8" fillId="2" borderId="0" xfId="11" applyNumberFormat="1" applyFont="1" applyFill="1" applyBorder="1"/>
    <xf numFmtId="167" fontId="8" fillId="2" borderId="0" xfId="11" applyNumberFormat="1" applyFont="1" applyFill="1" applyBorder="1"/>
    <xf numFmtId="170" fontId="13" fillId="2" borderId="0" xfId="11" applyNumberFormat="1" applyFont="1" applyFill="1" applyBorder="1"/>
    <xf numFmtId="172" fontId="8" fillId="2" borderId="0" xfId="13" applyNumberFormat="1" applyFont="1" applyFill="1" applyBorder="1"/>
    <xf numFmtId="175" fontId="8" fillId="2" borderId="0" xfId="13" applyNumberFormat="1" applyFont="1" applyFill="1" applyBorder="1"/>
    <xf numFmtId="0" fontId="12" fillId="2" borderId="0" xfId="0" applyFont="1" applyFill="1" applyAlignment="1">
      <alignment horizontal="left" indent="2"/>
    </xf>
    <xf numFmtId="167" fontId="13" fillId="2" borderId="0" xfId="0" applyNumberFormat="1" applyFont="1" applyFill="1" applyAlignment="1">
      <alignment horizontal="left" indent="2"/>
    </xf>
    <xf numFmtId="172" fontId="8" fillId="2" borderId="0" xfId="0" applyNumberFormat="1" applyFont="1" applyFill="1"/>
    <xf numFmtId="172" fontId="13" fillId="2" borderId="0" xfId="0" applyNumberFormat="1" applyFont="1" applyFill="1"/>
    <xf numFmtId="9" fontId="8" fillId="2" borderId="0" xfId="0" applyNumberFormat="1" applyFont="1" applyFill="1"/>
    <xf numFmtId="3" fontId="13" fillId="2" borderId="0" xfId="0" applyNumberFormat="1" applyFont="1" applyFill="1"/>
    <xf numFmtId="9" fontId="13" fillId="2" borderId="0" xfId="22" applyFont="1" applyFill="1" applyBorder="1"/>
    <xf numFmtId="164" fontId="23" fillId="2" borderId="0" xfId="11" applyFont="1" applyFill="1" applyBorder="1"/>
    <xf numFmtId="3" fontId="7" fillId="2" borderId="0" xfId="0" applyNumberFormat="1" applyFont="1" applyFill="1"/>
    <xf numFmtId="168" fontId="8" fillId="2" borderId="0" xfId="0" applyNumberFormat="1" applyFont="1" applyFill="1"/>
    <xf numFmtId="170" fontId="8" fillId="2" borderId="0" xfId="0" applyNumberFormat="1" applyFont="1" applyFill="1"/>
    <xf numFmtId="170" fontId="7" fillId="2" borderId="0" xfId="11" applyNumberFormat="1" applyFont="1" applyFill="1" applyBorder="1"/>
    <xf numFmtId="171" fontId="7" fillId="2" borderId="0" xfId="22" applyNumberFormat="1" applyFont="1" applyFill="1" applyBorder="1"/>
    <xf numFmtId="164" fontId="16" fillId="2" borderId="0" xfId="11" applyFont="1" applyFill="1"/>
    <xf numFmtId="167" fontId="13" fillId="2" borderId="0" xfId="22" applyNumberFormat="1" applyFont="1" applyFill="1" applyBorder="1"/>
    <xf numFmtId="167" fontId="8" fillId="2" borderId="0" xfId="22" applyNumberFormat="1" applyFont="1" applyFill="1" applyBorder="1"/>
    <xf numFmtId="167" fontId="13" fillId="2" borderId="0" xfId="11" applyNumberFormat="1" applyFont="1" applyFill="1"/>
    <xf numFmtId="1" fontId="8" fillId="2" borderId="0" xfId="0" applyNumberFormat="1" applyFont="1" applyFill="1"/>
    <xf numFmtId="0" fontId="18" fillId="2" borderId="0" xfId="0" applyFont="1" applyFill="1"/>
    <xf numFmtId="1" fontId="13" fillId="2" borderId="0" xfId="0" applyNumberFormat="1" applyFont="1" applyFill="1" applyAlignment="1">
      <alignment horizontal="right"/>
    </xf>
    <xf numFmtId="9" fontId="13" fillId="2" borderId="0" xfId="0" applyNumberFormat="1" applyFont="1" applyFill="1"/>
    <xf numFmtId="174" fontId="8" fillId="2" borderId="0" xfId="0" applyNumberFormat="1" applyFont="1" applyFill="1"/>
    <xf numFmtId="171" fontId="13" fillId="2" borderId="0" xfId="0" applyNumberFormat="1" applyFont="1" applyFill="1"/>
    <xf numFmtId="167" fontId="19" fillId="2" borderId="0" xfId="0" applyNumberFormat="1" applyFont="1" applyFill="1"/>
    <xf numFmtId="0" fontId="6" fillId="2" borderId="0" xfId="0" applyFont="1" applyFill="1"/>
    <xf numFmtId="4" fontId="12" fillId="2" borderId="0" xfId="17" applyNumberFormat="1" applyFont="1" applyFill="1" applyAlignment="1">
      <alignment horizontal="right"/>
    </xf>
    <xf numFmtId="172" fontId="8" fillId="2" borderId="0" xfId="11" applyNumberFormat="1" applyFont="1" applyFill="1"/>
    <xf numFmtId="172" fontId="7" fillId="2" borderId="0" xfId="11" applyNumberFormat="1" applyFont="1" applyFill="1" applyBorder="1"/>
    <xf numFmtId="9" fontId="7" fillId="2" borderId="0" xfId="22" applyFont="1" applyFill="1" applyBorder="1"/>
    <xf numFmtId="172" fontId="7" fillId="2" borderId="0" xfId="11" applyNumberFormat="1" applyFont="1" applyFill="1"/>
    <xf numFmtId="172" fontId="12" fillId="2" borderId="0" xfId="11" applyNumberFormat="1" applyFont="1" applyFill="1" applyBorder="1"/>
    <xf numFmtId="171" fontId="12" fillId="2" borderId="0" xfId="22" applyNumberFormat="1" applyFont="1" applyFill="1" applyBorder="1"/>
    <xf numFmtId="0" fontId="21" fillId="2" borderId="0" xfId="0" applyFont="1" applyFill="1"/>
    <xf numFmtId="172" fontId="20" fillId="2" borderId="0" xfId="11" applyNumberFormat="1" applyFont="1" applyFill="1" applyBorder="1"/>
    <xf numFmtId="172" fontId="28" fillId="2" borderId="0" xfId="11" applyNumberFormat="1" applyFont="1" applyFill="1" applyBorder="1"/>
    <xf numFmtId="172" fontId="7" fillId="2" borderId="0" xfId="0" applyNumberFormat="1" applyFont="1" applyFill="1"/>
    <xf numFmtId="167" fontId="7" fillId="2" borderId="0" xfId="0" applyNumberFormat="1" applyFont="1" applyFill="1"/>
    <xf numFmtId="172" fontId="12" fillId="2" borderId="0" xfId="11" applyNumberFormat="1" applyFont="1" applyFill="1"/>
    <xf numFmtId="1" fontId="7" fillId="2" borderId="0" xfId="0" applyNumberFormat="1" applyFont="1" applyFill="1"/>
    <xf numFmtId="167" fontId="7" fillId="2" borderId="0" xfId="11" applyNumberFormat="1" applyFont="1" applyFill="1" applyBorder="1"/>
    <xf numFmtId="170" fontId="7" fillId="2" borderId="0" xfId="11" applyNumberFormat="1" applyFont="1" applyFill="1"/>
    <xf numFmtId="167" fontId="7" fillId="2" borderId="0" xfId="11" applyNumberFormat="1" applyFont="1" applyFill="1"/>
    <xf numFmtId="168" fontId="7" fillId="2" borderId="0" xfId="0" applyNumberFormat="1" applyFont="1" applyFill="1"/>
    <xf numFmtId="0" fontId="42" fillId="2" borderId="0" xfId="0" applyFont="1" applyFill="1"/>
    <xf numFmtId="171" fontId="12" fillId="2" borderId="0" xfId="22" applyNumberFormat="1" applyFont="1" applyFill="1"/>
    <xf numFmtId="3" fontId="22" fillId="2" borderId="0" xfId="0" applyNumberFormat="1" applyFont="1" applyFill="1"/>
    <xf numFmtId="3" fontId="6" fillId="2" borderId="0" xfId="0" applyNumberFormat="1" applyFont="1" applyFill="1"/>
    <xf numFmtId="172" fontId="43" fillId="2" borderId="0" xfId="11" applyNumberFormat="1" applyFont="1" applyFill="1" applyBorder="1"/>
    <xf numFmtId="172" fontId="43" fillId="2" borderId="0" xfId="11" applyNumberFormat="1" applyFont="1" applyFill="1"/>
    <xf numFmtId="172" fontId="6" fillId="2" borderId="0" xfId="11" applyNumberFormat="1" applyFont="1" applyFill="1"/>
    <xf numFmtId="9" fontId="6" fillId="2" borderId="0" xfId="22" applyFont="1" applyFill="1"/>
    <xf numFmtId="167" fontId="6" fillId="2" borderId="0" xfId="0" applyNumberFormat="1" applyFont="1" applyFill="1"/>
    <xf numFmtId="0" fontId="43" fillId="2" borderId="0" xfId="0" applyFont="1" applyFill="1"/>
    <xf numFmtId="167" fontId="43" fillId="2" borderId="0" xfId="0" applyNumberFormat="1" applyFont="1" applyFill="1"/>
    <xf numFmtId="172" fontId="43" fillId="2" borderId="0" xfId="11" applyNumberFormat="1" applyFont="1" applyFill="1" applyBorder="1" applyAlignment="1">
      <alignment horizontal="right"/>
    </xf>
    <xf numFmtId="172" fontId="6" fillId="2" borderId="0" xfId="11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right"/>
    </xf>
    <xf numFmtId="1" fontId="6" fillId="2" borderId="2" xfId="0" applyNumberFormat="1" applyFont="1" applyFill="1" applyBorder="1" applyAlignment="1">
      <alignment horizontal="right"/>
    </xf>
    <xf numFmtId="171" fontId="6" fillId="2" borderId="0" xfId="0" applyNumberFormat="1" applyFont="1" applyFill="1" applyAlignment="1">
      <alignment horizontal="right"/>
    </xf>
    <xf numFmtId="171" fontId="6" fillId="2" borderId="2" xfId="0" applyNumberFormat="1" applyFont="1" applyFill="1" applyBorder="1" applyAlignment="1">
      <alignment horizontal="right"/>
    </xf>
    <xf numFmtId="0" fontId="17" fillId="2" borderId="0" xfId="0" applyFont="1" applyFill="1"/>
    <xf numFmtId="164" fontId="33" fillId="2" borderId="0" xfId="11" applyFont="1" applyFill="1"/>
    <xf numFmtId="170" fontId="23" fillId="2" borderId="0" xfId="11" applyNumberFormat="1" applyFont="1" applyFill="1" applyBorder="1"/>
    <xf numFmtId="9" fontId="7" fillId="2" borderId="0" xfId="22" applyFont="1" applyFill="1"/>
    <xf numFmtId="167" fontId="16" fillId="2" borderId="0" xfId="11" applyNumberFormat="1" applyFont="1" applyFill="1"/>
    <xf numFmtId="167" fontId="23" fillId="2" borderId="0" xfId="11" applyNumberFormat="1" applyFont="1" applyFill="1"/>
    <xf numFmtId="168" fontId="7" fillId="2" borderId="0" xfId="22" applyNumberFormat="1" applyFont="1" applyFill="1"/>
    <xf numFmtId="169" fontId="7" fillId="2" borderId="0" xfId="11" applyNumberFormat="1" applyFont="1" applyFill="1"/>
    <xf numFmtId="171" fontId="8" fillId="2" borderId="0" xfId="0" applyNumberFormat="1" applyFont="1" applyFill="1"/>
    <xf numFmtId="0" fontId="7" fillId="2" borderId="2" xfId="0" applyFont="1" applyFill="1" applyBorder="1"/>
    <xf numFmtId="183" fontId="6" fillId="2" borderId="0" xfId="11" applyNumberFormat="1" applyFont="1" applyFill="1"/>
    <xf numFmtId="184" fontId="6" fillId="2" borderId="0" xfId="11" applyNumberFormat="1" applyFont="1" applyFill="1"/>
    <xf numFmtId="9" fontId="6" fillId="2" borderId="0" xfId="22" applyFont="1" applyFill="1" applyAlignment="1">
      <alignment horizontal="right"/>
    </xf>
    <xf numFmtId="171" fontId="6" fillId="2" borderId="0" xfId="22" applyNumberFormat="1" applyFont="1" applyFill="1"/>
    <xf numFmtId="172" fontId="6" fillId="2" borderId="0" xfId="0" applyNumberFormat="1" applyFont="1" applyFill="1"/>
    <xf numFmtId="183" fontId="6" fillId="2" borderId="0" xfId="11" applyNumberFormat="1" applyFont="1" applyFill="1" applyAlignment="1">
      <alignment horizontal="right"/>
    </xf>
    <xf numFmtId="172" fontId="6" fillId="2" borderId="0" xfId="12" applyNumberFormat="1" applyFont="1" applyFill="1" applyBorder="1" applyAlignment="1">
      <alignment horizontal="left"/>
    </xf>
    <xf numFmtId="174" fontId="1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5" fillId="2" borderId="0" xfId="0" applyFont="1" applyFill="1"/>
    <xf numFmtId="170" fontId="12" fillId="2" borderId="0" xfId="11" applyNumberFormat="1" applyFont="1" applyFill="1"/>
    <xf numFmtId="2" fontId="12" fillId="2" borderId="0" xfId="13" applyNumberFormat="1" applyFont="1" applyFill="1" applyBorder="1"/>
    <xf numFmtId="1" fontId="6" fillId="2" borderId="0" xfId="13" applyNumberFormat="1" applyFont="1" applyFill="1" applyBorder="1"/>
    <xf numFmtId="172" fontId="6" fillId="2" borderId="0" xfId="0" applyNumberFormat="1" applyFont="1" applyFill="1" applyAlignment="1">
      <alignment horizontal="right"/>
    </xf>
    <xf numFmtId="172" fontId="43" fillId="2" borderId="0" xfId="0" applyNumberFormat="1" applyFont="1" applyFill="1" applyAlignment="1">
      <alignment horizontal="right"/>
    </xf>
    <xf numFmtId="1" fontId="12" fillId="2" borderId="0" xfId="13" applyNumberFormat="1" applyFont="1" applyFill="1" applyBorder="1"/>
    <xf numFmtId="1" fontId="12" fillId="2" borderId="0" xfId="13" applyNumberFormat="1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167" fontId="12" fillId="2" borderId="0" xfId="11" applyNumberFormat="1" applyFont="1" applyFill="1" applyBorder="1"/>
    <xf numFmtId="0" fontId="10" fillId="2" borderId="0" xfId="0" applyFont="1" applyFill="1"/>
    <xf numFmtId="164" fontId="12" fillId="2" borderId="0" xfId="11" applyFont="1" applyFill="1" applyBorder="1"/>
    <xf numFmtId="164" fontId="12" fillId="2" borderId="0" xfId="11" applyFont="1" applyFill="1" applyBorder="1" applyAlignment="1">
      <alignment horizontal="right"/>
    </xf>
    <xf numFmtId="167" fontId="6" fillId="2" borderId="0" xfId="11" applyNumberFormat="1" applyFont="1" applyFill="1" applyBorder="1"/>
    <xf numFmtId="171" fontId="41" fillId="2" borderId="0" xfId="0" applyNumberFormat="1" applyFont="1" applyFill="1" applyAlignment="1">
      <alignment horizontal="right"/>
    </xf>
    <xf numFmtId="0" fontId="7" fillId="4" borderId="0" xfId="0" applyFont="1" applyFill="1"/>
    <xf numFmtId="1" fontId="7" fillId="4" borderId="0" xfId="13" applyNumberFormat="1" applyFont="1" applyFill="1" applyBorder="1"/>
    <xf numFmtId="1" fontId="7" fillId="4" borderId="0" xfId="13" applyNumberFormat="1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9" fontId="7" fillId="4" borderId="0" xfId="22" applyFont="1" applyFill="1" applyBorder="1" applyAlignment="1">
      <alignment horizontal="right"/>
    </xf>
    <xf numFmtId="0" fontId="12" fillId="2" borderId="0" xfId="0" applyFont="1" applyFill="1" applyAlignment="1">
      <alignment horizontal="left" indent="3"/>
    </xf>
    <xf numFmtId="175" fontId="12" fillId="2" borderId="0" xfId="13" applyNumberFormat="1" applyFont="1" applyFill="1" applyBorder="1"/>
    <xf numFmtId="167" fontId="12" fillId="2" borderId="0" xfId="0" applyNumberFormat="1" applyFont="1" applyFill="1"/>
    <xf numFmtId="0" fontId="6" fillId="2" borderId="0" xfId="17" applyFont="1" applyFill="1" applyAlignment="1">
      <alignment horizontal="left"/>
    </xf>
    <xf numFmtId="0" fontId="6" fillId="2" borderId="0" xfId="17" applyFont="1" applyFill="1" applyAlignment="1">
      <alignment horizontal="center"/>
    </xf>
    <xf numFmtId="171" fontId="7" fillId="2" borderId="0" xfId="17" applyNumberFormat="1" applyFont="1" applyFill="1" applyAlignment="1">
      <alignment horizontal="left"/>
    </xf>
    <xf numFmtId="171" fontId="26" fillId="2" borderId="0" xfId="17" applyNumberFormat="1" applyFont="1" applyFill="1" applyAlignment="1">
      <alignment horizontal="right"/>
    </xf>
    <xf numFmtId="0" fontId="7" fillId="2" borderId="0" xfId="17" applyFont="1" applyFill="1" applyAlignment="1">
      <alignment horizontal="center"/>
    </xf>
    <xf numFmtId="167" fontId="6" fillId="2" borderId="0" xfId="11" applyNumberFormat="1" applyFont="1" applyFill="1"/>
    <xf numFmtId="167" fontId="43" fillId="2" borderId="0" xfId="11" applyNumberFormat="1" applyFont="1" applyFill="1"/>
    <xf numFmtId="171" fontId="6" fillId="2" borderId="0" xfId="0" applyNumberFormat="1" applyFont="1" applyFill="1"/>
    <xf numFmtId="0" fontId="12" fillId="2" borderId="0" xfId="0" applyFont="1" applyFill="1" applyAlignment="1">
      <alignment horizontal="left"/>
    </xf>
    <xf numFmtId="172" fontId="44" fillId="2" borderId="0" xfId="11" applyNumberFormat="1" applyFont="1" applyFill="1" applyBorder="1"/>
    <xf numFmtId="0" fontId="8" fillId="4" borderId="0" xfId="0" applyFont="1" applyFill="1"/>
    <xf numFmtId="172" fontId="6" fillId="2" borderId="0" xfId="11" applyNumberFormat="1" applyFont="1" applyFill="1" applyBorder="1"/>
    <xf numFmtId="9" fontId="8" fillId="4" borderId="0" xfId="0" applyNumberFormat="1" applyFont="1" applyFill="1"/>
    <xf numFmtId="168" fontId="8" fillId="4" borderId="0" xfId="0" applyNumberFormat="1" applyFont="1" applyFill="1"/>
    <xf numFmtId="170" fontId="8" fillId="4" borderId="0" xfId="11" applyNumberFormat="1" applyFont="1" applyFill="1" applyBorder="1"/>
    <xf numFmtId="9" fontId="6" fillId="2" borderId="0" xfId="0" applyNumberFormat="1" applyFont="1" applyFill="1"/>
    <xf numFmtId="168" fontId="12" fillId="2" borderId="0" xfId="0" applyNumberFormat="1" applyFont="1" applyFill="1"/>
    <xf numFmtId="168" fontId="6" fillId="2" borderId="0" xfId="0" applyNumberFormat="1" applyFont="1" applyFill="1"/>
    <xf numFmtId="167" fontId="7" fillId="4" borderId="0" xfId="0" applyNumberFormat="1" applyFont="1" applyFill="1"/>
    <xf numFmtId="168" fontId="6" fillId="2" borderId="2" xfId="11" applyNumberFormat="1" applyFont="1" applyFill="1" applyBorder="1"/>
    <xf numFmtId="167" fontId="6" fillId="2" borderId="2" xfId="0" applyNumberFormat="1" applyFont="1" applyFill="1" applyBorder="1"/>
    <xf numFmtId="168" fontId="6" fillId="2" borderId="2" xfId="0" applyNumberFormat="1" applyFont="1" applyFill="1" applyBorder="1"/>
    <xf numFmtId="170" fontId="6" fillId="2" borderId="0" xfId="11" applyNumberFormat="1" applyFont="1" applyFill="1" applyAlignment="1">
      <alignment horizontal="right"/>
    </xf>
    <xf numFmtId="0" fontId="6" fillId="4" borderId="0" xfId="0" applyFont="1" applyFill="1"/>
    <xf numFmtId="167" fontId="6" fillId="2" borderId="2" xfId="11" applyNumberFormat="1" applyFont="1" applyFill="1" applyBorder="1"/>
    <xf numFmtId="179" fontId="7" fillId="2" borderId="0" xfId="0" applyNumberFormat="1" applyFont="1" applyFill="1"/>
    <xf numFmtId="172" fontId="6" fillId="2" borderId="2" xfId="0" applyNumberFormat="1" applyFont="1" applyFill="1" applyBorder="1"/>
    <xf numFmtId="3" fontId="6" fillId="2" borderId="0" xfId="0" applyNumberFormat="1" applyFont="1" applyFill="1" applyAlignment="1">
      <alignment horizontal="right"/>
    </xf>
    <xf numFmtId="1" fontId="41" fillId="2" borderId="0" xfId="0" applyNumberFormat="1" applyFont="1" applyFill="1" applyAlignment="1">
      <alignment horizontal="right"/>
    </xf>
    <xf numFmtId="172" fontId="6" fillId="2" borderId="0" xfId="22" applyNumberFormat="1" applyFont="1" applyFill="1"/>
    <xf numFmtId="180" fontId="7" fillId="2" borderId="0" xfId="0" applyNumberFormat="1" applyFont="1" applyFill="1"/>
    <xf numFmtId="1" fontId="6" fillId="2" borderId="0" xfId="0" applyNumberFormat="1" applyFont="1" applyFill="1"/>
    <xf numFmtId="0" fontId="45" fillId="2" borderId="0" xfId="17" applyFont="1" applyFill="1"/>
    <xf numFmtId="0" fontId="47" fillId="2" borderId="0" xfId="17" applyFont="1" applyFill="1"/>
    <xf numFmtId="175" fontId="12" fillId="2" borderId="0" xfId="11" applyNumberFormat="1" applyFont="1" applyFill="1" applyBorder="1"/>
    <xf numFmtId="164" fontId="26" fillId="2" borderId="0" xfId="11" applyFont="1" applyFill="1" applyBorder="1"/>
    <xf numFmtId="172" fontId="7" fillId="2" borderId="0" xfId="22" applyNumberFormat="1" applyFont="1" applyFill="1" applyBorder="1"/>
    <xf numFmtId="9" fontId="6" fillId="2" borderId="0" xfId="22" applyFont="1" applyFill="1" applyBorder="1"/>
    <xf numFmtId="164" fontId="6" fillId="2" borderId="0" xfId="11" applyFont="1" applyFill="1"/>
    <xf numFmtId="175" fontId="7" fillId="2" borderId="0" xfId="11" applyNumberFormat="1" applyFont="1" applyFill="1" applyBorder="1"/>
    <xf numFmtId="168" fontId="6" fillId="2" borderId="0" xfId="22" applyNumberFormat="1" applyFont="1" applyFill="1"/>
    <xf numFmtId="164" fontId="6" fillId="2" borderId="0" xfId="0" applyNumberFormat="1" applyFont="1" applyFill="1"/>
    <xf numFmtId="0" fontId="7" fillId="6" borderId="0" xfId="0" applyFont="1" applyFill="1"/>
    <xf numFmtId="164" fontId="6" fillId="2" borderId="0" xfId="11" applyFont="1" applyFill="1" applyBorder="1"/>
    <xf numFmtId="0" fontId="5" fillId="0" borderId="0" xfId="0" applyFont="1"/>
    <xf numFmtId="0" fontId="6" fillId="2" borderId="0" xfId="0" applyFont="1" applyFill="1" applyAlignment="1">
      <alignment horizontal="left" indent="1"/>
    </xf>
    <xf numFmtId="168" fontId="7" fillId="2" borderId="5" xfId="0" applyNumberFormat="1" applyFont="1" applyFill="1" applyBorder="1"/>
    <xf numFmtId="167" fontId="7" fillId="2" borderId="5" xfId="0" applyNumberFormat="1" applyFont="1" applyFill="1" applyBorder="1"/>
    <xf numFmtId="172" fontId="7" fillId="6" borderId="0" xfId="22" applyNumberFormat="1" applyFont="1" applyFill="1" applyBorder="1"/>
    <xf numFmtId="179" fontId="6" fillId="2" borderId="0" xfId="0" applyNumberFormat="1" applyFont="1" applyFill="1"/>
    <xf numFmtId="168" fontId="8" fillId="2" borderId="7" xfId="0" applyNumberFormat="1" applyFont="1" applyFill="1" applyBorder="1"/>
    <xf numFmtId="3" fontId="7" fillId="2" borderId="5" xfId="0" applyNumberFormat="1" applyFont="1" applyFill="1" applyBorder="1"/>
    <xf numFmtId="0" fontId="1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center"/>
    </xf>
    <xf numFmtId="172" fontId="12" fillId="2" borderId="0" xfId="12" applyNumberFormat="1" applyFont="1" applyFill="1" applyBorder="1" applyAlignment="1">
      <alignment horizontal="right"/>
    </xf>
    <xf numFmtId="171" fontId="40" fillId="2" borderId="0" xfId="22" applyNumberFormat="1" applyFont="1" applyFill="1" applyBorder="1"/>
    <xf numFmtId="170" fontId="6" fillId="2" borderId="0" xfId="11" applyNumberFormat="1" applyFont="1" applyFill="1"/>
    <xf numFmtId="170" fontId="6" fillId="2" borderId="0" xfId="11" applyNumberFormat="1" applyFont="1" applyFill="1" applyBorder="1"/>
    <xf numFmtId="167" fontId="7" fillId="4" borderId="0" xfId="11" applyNumberFormat="1" applyFont="1" applyFill="1"/>
    <xf numFmtId="9" fontId="45" fillId="2" borderId="0" xfId="22" applyFont="1" applyFill="1"/>
    <xf numFmtId="0" fontId="6" fillId="2" borderId="0" xfId="0" applyFont="1" applyFill="1" applyAlignment="1">
      <alignment horizontal="left"/>
    </xf>
    <xf numFmtId="168" fontId="7" fillId="2" borderId="0" xfId="22" applyNumberFormat="1" applyFont="1" applyFill="1" applyBorder="1"/>
    <xf numFmtId="169" fontId="7" fillId="2" borderId="0" xfId="11" applyNumberFormat="1" applyFont="1" applyFill="1" applyBorder="1"/>
    <xf numFmtId="171" fontId="6" fillId="2" borderId="0" xfId="22" applyNumberFormat="1" applyFont="1" applyFill="1" applyBorder="1"/>
    <xf numFmtId="0" fontId="7" fillId="2" borderId="0" xfId="0" applyFont="1" applyFill="1" applyAlignment="1">
      <alignment horizontal="left"/>
    </xf>
    <xf numFmtId="171" fontId="23" fillId="2" borderId="0" xfId="22" applyNumberFormat="1" applyFont="1" applyFill="1"/>
    <xf numFmtId="0" fontId="52" fillId="2" borderId="0" xfId="0" applyFont="1" applyFill="1"/>
    <xf numFmtId="0" fontId="54" fillId="2" borderId="0" xfId="0" applyFont="1" applyFill="1"/>
    <xf numFmtId="172" fontId="52" fillId="2" borderId="0" xfId="0" applyNumberFormat="1" applyFont="1" applyFill="1"/>
    <xf numFmtId="9" fontId="54" fillId="2" borderId="0" xfId="0" applyNumberFormat="1" applyFont="1" applyFill="1"/>
    <xf numFmtId="171" fontId="12" fillId="2" borderId="0" xfId="11" applyNumberFormat="1" applyFont="1" applyFill="1" applyBorder="1"/>
    <xf numFmtId="175" fontId="12" fillId="0" borderId="0" xfId="11" applyNumberFormat="1" applyFont="1" applyFill="1" applyBorder="1"/>
    <xf numFmtId="3" fontId="6" fillId="2" borderId="0" xfId="17" applyNumberFormat="1" applyFont="1" applyFill="1"/>
    <xf numFmtId="3" fontId="7" fillId="2" borderId="0" xfId="17" applyNumberFormat="1" applyFont="1" applyFill="1"/>
    <xf numFmtId="0" fontId="12" fillId="2" borderId="0" xfId="17" applyFont="1" applyFill="1" applyAlignment="1">
      <alignment horizontal="right"/>
    </xf>
    <xf numFmtId="171" fontId="6" fillId="2" borderId="0" xfId="17" applyNumberFormat="1" applyFont="1" applyFill="1" applyAlignment="1">
      <alignment horizontal="right"/>
    </xf>
    <xf numFmtId="171" fontId="6" fillId="2" borderId="0" xfId="22" applyNumberFormat="1" applyFont="1" applyFill="1" applyBorder="1" applyAlignment="1">
      <alignment horizontal="right"/>
    </xf>
    <xf numFmtId="167" fontId="54" fillId="2" borderId="0" xfId="11" applyNumberFormat="1" applyFont="1" applyFill="1"/>
    <xf numFmtId="0" fontId="45" fillId="2" borderId="0" xfId="0" applyFont="1" applyFill="1"/>
    <xf numFmtId="167" fontId="45" fillId="2" borderId="0" xfId="11" applyNumberFormat="1" applyFont="1" applyFill="1"/>
    <xf numFmtId="9" fontId="12" fillId="2" borderId="0" xfId="22" applyFont="1" applyFill="1"/>
    <xf numFmtId="9" fontId="12" fillId="2" borderId="0" xfId="22" applyFont="1" applyFill="1" applyBorder="1"/>
    <xf numFmtId="0" fontId="50" fillId="2" borderId="0" xfId="0" applyFont="1" applyFill="1"/>
    <xf numFmtId="167" fontId="50" fillId="2" borderId="0" xfId="11" applyNumberFormat="1" applyFont="1" applyFill="1"/>
    <xf numFmtId="3" fontId="46" fillId="2" borderId="0" xfId="17" applyNumberFormat="1" applyFont="1" applyFill="1"/>
    <xf numFmtId="3" fontId="45" fillId="2" borderId="0" xfId="17" applyNumberFormat="1" applyFont="1" applyFill="1"/>
    <xf numFmtId="9" fontId="45" fillId="2" borderId="0" xfId="22" applyFont="1" applyFill="1" applyBorder="1"/>
    <xf numFmtId="0" fontId="51" fillId="8" borderId="0" xfId="0" applyFont="1" applyFill="1"/>
    <xf numFmtId="9" fontId="6" fillId="2" borderId="0" xfId="22" applyFont="1" applyFill="1" applyBorder="1" applyAlignment="1">
      <alignment horizontal="right"/>
    </xf>
    <xf numFmtId="164" fontId="7" fillId="2" borderId="0" xfId="0" applyNumberFormat="1" applyFont="1" applyFill="1"/>
    <xf numFmtId="190" fontId="6" fillId="2" borderId="0" xfId="11" applyNumberFormat="1" applyFont="1" applyFill="1" applyBorder="1"/>
    <xf numFmtId="190" fontId="7" fillId="2" borderId="0" xfId="11" applyNumberFormat="1" applyFont="1" applyFill="1" applyBorder="1"/>
    <xf numFmtId="9" fontId="12" fillId="2" borderId="0" xfId="22" applyFont="1" applyFill="1" applyBorder="1" applyAlignment="1">
      <alignment horizontal="right"/>
    </xf>
    <xf numFmtId="0" fontId="6" fillId="2" borderId="0" xfId="0" quotePrefix="1" applyFont="1" applyFill="1"/>
    <xf numFmtId="0" fontId="6" fillId="0" borderId="0" xfId="17" applyFont="1"/>
    <xf numFmtId="171" fontId="6" fillId="0" borderId="0" xfId="22" applyNumberFormat="1" applyFont="1" applyFill="1" applyBorder="1" applyAlignment="1">
      <alignment horizontal="right"/>
    </xf>
    <xf numFmtId="0" fontId="7" fillId="0" borderId="0" xfId="17" applyFont="1" applyAlignment="1">
      <alignment horizontal="right"/>
    </xf>
    <xf numFmtId="3" fontId="7" fillId="0" borderId="0" xfId="17" applyNumberFormat="1" applyFont="1" applyAlignment="1">
      <alignment horizontal="right"/>
    </xf>
    <xf numFmtId="171" fontId="16" fillId="2" borderId="0" xfId="22" applyNumberFormat="1" applyFont="1" applyFill="1"/>
    <xf numFmtId="0" fontId="56" fillId="9" borderId="0" xfId="0" applyFont="1" applyFill="1"/>
    <xf numFmtId="9" fontId="7" fillId="0" borderId="0" xfId="22" applyFont="1" applyFill="1" applyBorder="1"/>
    <xf numFmtId="0" fontId="7" fillId="0" borderId="0" xfId="17" applyFont="1"/>
    <xf numFmtId="172" fontId="0" fillId="0" borderId="0" xfId="0" applyNumberFormat="1"/>
    <xf numFmtId="3" fontId="63" fillId="2" borderId="0" xfId="17" applyNumberFormat="1" applyFont="1" applyFill="1" applyAlignment="1">
      <alignment horizontal="right"/>
    </xf>
    <xf numFmtId="170" fontId="6" fillId="2" borderId="0" xfId="0" applyNumberFormat="1" applyFont="1" applyFill="1"/>
    <xf numFmtId="9" fontId="7" fillId="2" borderId="0" xfId="0" applyNumberFormat="1" applyFont="1" applyFill="1"/>
    <xf numFmtId="171" fontId="7" fillId="2" borderId="0" xfId="24" applyNumberFormat="1" applyFont="1" applyFill="1"/>
    <xf numFmtId="170" fontId="63" fillId="2" borderId="0" xfId="0" applyNumberFormat="1" applyFont="1" applyFill="1"/>
    <xf numFmtId="170" fontId="63" fillId="2" borderId="0" xfId="11" applyNumberFormat="1" applyFont="1" applyFill="1" applyBorder="1"/>
    <xf numFmtId="164" fontId="7" fillId="2" borderId="0" xfId="11" applyFont="1" applyFill="1"/>
    <xf numFmtId="172" fontId="62" fillId="2" borderId="0" xfId="24" applyNumberFormat="1" applyFont="1" applyFill="1" applyBorder="1"/>
    <xf numFmtId="0" fontId="3" fillId="2" borderId="0" xfId="0" applyFont="1" applyFill="1"/>
    <xf numFmtId="167" fontId="6" fillId="2" borderId="0" xfId="22" applyNumberFormat="1" applyFont="1" applyFill="1" applyBorder="1"/>
    <xf numFmtId="3" fontId="7" fillId="2" borderId="8" xfId="0" applyNumberFormat="1" applyFont="1" applyFill="1" applyBorder="1"/>
    <xf numFmtId="168" fontId="6" fillId="2" borderId="7" xfId="0" applyNumberFormat="1" applyFont="1" applyFill="1" applyBorder="1"/>
    <xf numFmtId="0" fontId="8" fillId="2" borderId="7" xfId="0" applyFont="1" applyFill="1" applyBorder="1"/>
    <xf numFmtId="0" fontId="6" fillId="2" borderId="11" xfId="17" applyFont="1" applyFill="1" applyBorder="1" applyAlignment="1">
      <alignment horizontal="right"/>
    </xf>
    <xf numFmtId="3" fontId="6" fillId="2" borderId="11" xfId="17" applyNumberFormat="1" applyFont="1" applyFill="1" applyBorder="1" applyAlignment="1">
      <alignment horizontal="right"/>
    </xf>
    <xf numFmtId="3" fontId="7" fillId="2" borderId="11" xfId="17" applyNumberFormat="1" applyFont="1" applyFill="1" applyBorder="1" applyAlignment="1">
      <alignment horizontal="right"/>
    </xf>
    <xf numFmtId="171" fontId="6" fillId="2" borderId="11" xfId="22" applyNumberFormat="1" applyFont="1" applyFill="1" applyBorder="1" applyAlignment="1">
      <alignment horizontal="right"/>
    </xf>
    <xf numFmtId="0" fontId="6" fillId="2" borderId="11" xfId="17" applyFont="1" applyFill="1" applyBorder="1"/>
    <xf numFmtId="3" fontId="6" fillId="2" borderId="11" xfId="17" applyNumberFormat="1" applyFont="1" applyFill="1" applyBorder="1"/>
    <xf numFmtId="0" fontId="0" fillId="0" borderId="11" xfId="0" applyBorder="1"/>
    <xf numFmtId="0" fontId="7" fillId="2" borderId="11" xfId="17" applyFont="1" applyFill="1" applyBorder="1" applyAlignment="1">
      <alignment horizontal="right"/>
    </xf>
    <xf numFmtId="0" fontId="6" fillId="0" borderId="8" xfId="0" applyFont="1" applyBorder="1"/>
    <xf numFmtId="0" fontId="6" fillId="0" borderId="11" xfId="0" applyFont="1" applyBorder="1"/>
    <xf numFmtId="3" fontId="6" fillId="0" borderId="11" xfId="0" applyNumberFormat="1" applyFont="1" applyBorder="1"/>
    <xf numFmtId="171" fontId="6" fillId="0" borderId="0" xfId="22" applyNumberFormat="1" applyFont="1" applyFill="1"/>
    <xf numFmtId="0" fontId="6" fillId="0" borderId="2" xfId="0" applyFont="1" applyBorder="1"/>
    <xf numFmtId="3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9" fontId="63" fillId="2" borderId="0" xfId="22" applyFont="1" applyFill="1" applyBorder="1"/>
    <xf numFmtId="172" fontId="63" fillId="2" borderId="0" xfId="11" applyNumberFormat="1" applyFont="1" applyFill="1" applyBorder="1"/>
    <xf numFmtId="172" fontId="62" fillId="2" borderId="0" xfId="22" applyNumberFormat="1" applyFont="1" applyFill="1" applyBorder="1"/>
    <xf numFmtId="167" fontId="63" fillId="2" borderId="0" xfId="11" applyNumberFormat="1" applyFont="1" applyFill="1" applyBorder="1"/>
    <xf numFmtId="164" fontId="63" fillId="2" borderId="0" xfId="11" applyFont="1" applyFill="1" applyBorder="1"/>
    <xf numFmtId="172" fontId="63" fillId="2" borderId="0" xfId="11" applyNumberFormat="1" applyFont="1" applyFill="1" applyBorder="1" applyAlignment="1">
      <alignment horizontal="right"/>
    </xf>
    <xf numFmtId="172" fontId="63" fillId="2" borderId="0" xfId="0" applyNumberFormat="1" applyFont="1" applyFill="1"/>
    <xf numFmtId="9" fontId="63" fillId="2" borderId="0" xfId="22" applyFont="1" applyFill="1" applyBorder="1" applyAlignment="1">
      <alignment horizontal="right"/>
    </xf>
    <xf numFmtId="164" fontId="7" fillId="2" borderId="0" xfId="11" applyFont="1" applyFill="1" applyBorder="1"/>
    <xf numFmtId="164" fontId="26" fillId="0" borderId="0" xfId="11" applyFont="1" applyFill="1" applyBorder="1"/>
    <xf numFmtId="172" fontId="7" fillId="0" borderId="0" xfId="22" applyNumberFormat="1" applyFont="1" applyFill="1" applyBorder="1"/>
    <xf numFmtId="172" fontId="62" fillId="0" borderId="0" xfId="22" applyNumberFormat="1" applyFont="1" applyFill="1" applyBorder="1"/>
    <xf numFmtId="9" fontId="63" fillId="2" borderId="0" xfId="0" applyNumberFormat="1" applyFont="1" applyFill="1"/>
    <xf numFmtId="190" fontId="63" fillId="2" borderId="0" xfId="11" applyNumberFormat="1" applyFont="1" applyFill="1" applyBorder="1"/>
    <xf numFmtId="190" fontId="62" fillId="2" borderId="0" xfId="11" applyNumberFormat="1" applyFont="1" applyFill="1" applyBorder="1"/>
    <xf numFmtId="170" fontId="63" fillId="2" borderId="15" xfId="0" applyNumberFormat="1" applyFont="1" applyFill="1" applyBorder="1"/>
    <xf numFmtId="172" fontId="62" fillId="2" borderId="15" xfId="24" applyNumberFormat="1" applyFont="1" applyFill="1" applyBorder="1"/>
    <xf numFmtId="0" fontId="0" fillId="2" borderId="11" xfId="0" applyFill="1" applyBorder="1"/>
    <xf numFmtId="172" fontId="6" fillId="2" borderId="11" xfId="11" applyNumberFormat="1" applyFont="1" applyFill="1" applyBorder="1"/>
    <xf numFmtId="172" fontId="7" fillId="2" borderId="11" xfId="11" applyNumberFormat="1" applyFont="1" applyFill="1" applyBorder="1"/>
    <xf numFmtId="171" fontId="12" fillId="2" borderId="11" xfId="22" applyNumberFormat="1" applyFont="1" applyFill="1" applyBorder="1"/>
    <xf numFmtId="167" fontId="8" fillId="2" borderId="11" xfId="0" applyNumberFormat="1" applyFont="1" applyFill="1" applyBorder="1"/>
    <xf numFmtId="9" fontId="8" fillId="2" borderId="11" xfId="22" applyFont="1" applyFill="1" applyBorder="1"/>
    <xf numFmtId="167" fontId="13" fillId="2" borderId="11" xfId="11" applyNumberFormat="1" applyFont="1" applyFill="1" applyBorder="1"/>
    <xf numFmtId="167" fontId="7" fillId="2" borderId="11" xfId="11" applyNumberFormat="1" applyFont="1" applyFill="1" applyBorder="1"/>
    <xf numFmtId="171" fontId="8" fillId="2" borderId="11" xfId="22" applyNumberFormat="1" applyFont="1" applyFill="1" applyBorder="1"/>
    <xf numFmtId="9" fontId="7" fillId="2" borderId="11" xfId="22" applyFont="1" applyFill="1" applyBorder="1"/>
    <xf numFmtId="9" fontId="8" fillId="4" borderId="11" xfId="0" applyNumberFormat="1" applyFont="1" applyFill="1" applyBorder="1"/>
    <xf numFmtId="172" fontId="7" fillId="2" borderId="11" xfId="0" applyNumberFormat="1" applyFont="1" applyFill="1" applyBorder="1"/>
    <xf numFmtId="175" fontId="12" fillId="2" borderId="11" xfId="11" applyNumberFormat="1" applyFont="1" applyFill="1" applyBorder="1"/>
    <xf numFmtId="9" fontId="0" fillId="2" borderId="11" xfId="22" applyFont="1" applyFill="1" applyBorder="1"/>
    <xf numFmtId="167" fontId="6" fillId="2" borderId="11" xfId="11" applyNumberFormat="1" applyFont="1" applyFill="1" applyBorder="1"/>
    <xf numFmtId="0" fontId="8" fillId="2" borderId="11" xfId="0" applyFont="1" applyFill="1" applyBorder="1"/>
    <xf numFmtId="172" fontId="52" fillId="2" borderId="11" xfId="0" applyNumberFormat="1" applyFont="1" applyFill="1" applyBorder="1"/>
    <xf numFmtId="9" fontId="54" fillId="2" borderId="11" xfId="0" applyNumberFormat="1" applyFont="1" applyFill="1" applyBorder="1"/>
    <xf numFmtId="172" fontId="8" fillId="2" borderId="11" xfId="0" applyNumberFormat="1" applyFont="1" applyFill="1" applyBorder="1"/>
    <xf numFmtId="164" fontId="42" fillId="2" borderId="11" xfId="0" applyNumberFormat="1" applyFont="1" applyFill="1" applyBorder="1"/>
    <xf numFmtId="170" fontId="6" fillId="2" borderId="11" xfId="0" applyNumberFormat="1" applyFont="1" applyFill="1" applyBorder="1"/>
    <xf numFmtId="170" fontId="6" fillId="2" borderId="11" xfId="11" applyNumberFormat="1" applyFont="1" applyFill="1" applyBorder="1"/>
    <xf numFmtId="170" fontId="7" fillId="2" borderId="11" xfId="11" applyNumberFormat="1" applyFont="1" applyFill="1" applyBorder="1"/>
    <xf numFmtId="9" fontId="40" fillId="3" borderId="11" xfId="24" applyFont="1" applyFill="1" applyBorder="1"/>
    <xf numFmtId="0" fontId="0" fillId="4" borderId="11" xfId="0" applyFill="1" applyBorder="1"/>
    <xf numFmtId="167" fontId="7" fillId="4" borderId="11" xfId="11" applyNumberFormat="1" applyFont="1" applyFill="1" applyBorder="1"/>
    <xf numFmtId="175" fontId="6" fillId="2" borderId="11" xfId="24" applyNumberFormat="1" applyFont="1" applyFill="1" applyBorder="1"/>
    <xf numFmtId="175" fontId="7" fillId="2" borderId="11" xfId="24" applyNumberFormat="1" applyFont="1" applyFill="1" applyBorder="1"/>
    <xf numFmtId="175" fontId="7" fillId="2" borderId="11" xfId="11" applyNumberFormat="1" applyFont="1" applyFill="1" applyBorder="1"/>
    <xf numFmtId="172" fontId="7" fillId="2" borderId="11" xfId="24" applyNumberFormat="1" applyFont="1" applyFill="1" applyBorder="1"/>
    <xf numFmtId="172" fontId="6" fillId="4" borderId="11" xfId="24" applyNumberFormat="1" applyFont="1" applyFill="1" applyBorder="1"/>
    <xf numFmtId="172" fontId="6" fillId="2" borderId="11" xfId="24" applyNumberFormat="1" applyFont="1" applyFill="1" applyBorder="1"/>
    <xf numFmtId="172" fontId="50" fillId="4" borderId="11" xfId="11" applyNumberFormat="1" applyFont="1" applyFill="1" applyBorder="1"/>
    <xf numFmtId="171" fontId="12" fillId="2" borderId="11" xfId="24" applyNumberFormat="1" applyFont="1" applyFill="1" applyBorder="1"/>
    <xf numFmtId="171" fontId="28" fillId="2" borderId="11" xfId="24" applyNumberFormat="1" applyFont="1" applyFill="1" applyBorder="1"/>
    <xf numFmtId="9" fontId="49" fillId="2" borderId="11" xfId="24" applyFont="1" applyFill="1" applyBorder="1"/>
    <xf numFmtId="172" fontId="54" fillId="2" borderId="11" xfId="22" applyNumberFormat="1" applyFont="1" applyFill="1" applyBorder="1"/>
    <xf numFmtId="172" fontId="7" fillId="2" borderId="11" xfId="22" applyNumberFormat="1" applyFont="1" applyFill="1" applyBorder="1"/>
    <xf numFmtId="172" fontId="45" fillId="2" borderId="11" xfId="22" applyNumberFormat="1" applyFont="1" applyFill="1" applyBorder="1"/>
    <xf numFmtId="172" fontId="46" fillId="2" borderId="11" xfId="22" applyNumberFormat="1" applyFont="1" applyFill="1" applyBorder="1"/>
    <xf numFmtId="190" fontId="6" fillId="2" borderId="11" xfId="22" applyNumberFormat="1" applyFont="1" applyFill="1" applyBorder="1"/>
    <xf numFmtId="190" fontId="42" fillId="2" borderId="11" xfId="22" applyNumberFormat="1" applyFont="1" applyFill="1" applyBorder="1"/>
    <xf numFmtId="175" fontId="6" fillId="2" borderId="11" xfId="22" applyNumberFormat="1" applyFont="1" applyFill="1" applyBorder="1"/>
    <xf numFmtId="175" fontId="7" fillId="2" borderId="11" xfId="22" applyNumberFormat="1" applyFont="1" applyFill="1" applyBorder="1"/>
    <xf numFmtId="0" fontId="7" fillId="2" borderId="11" xfId="11" applyNumberFormat="1" applyFont="1" applyFill="1" applyBorder="1"/>
    <xf numFmtId="9" fontId="42" fillId="0" borderId="11" xfId="0" applyNumberFormat="1" applyFont="1" applyBorder="1"/>
    <xf numFmtId="9" fontId="63" fillId="2" borderId="11" xfId="0" applyNumberFormat="1" applyFont="1" applyFill="1" applyBorder="1"/>
    <xf numFmtId="172" fontId="63" fillId="2" borderId="11" xfId="11" applyNumberFormat="1" applyFont="1" applyFill="1" applyBorder="1"/>
    <xf numFmtId="172" fontId="42" fillId="0" borderId="11" xfId="11" applyNumberFormat="1" applyFont="1" applyFill="1" applyBorder="1"/>
    <xf numFmtId="9" fontId="63" fillId="2" borderId="11" xfId="22" applyFont="1" applyFill="1" applyBorder="1"/>
    <xf numFmtId="172" fontId="62" fillId="2" borderId="11" xfId="22" applyNumberFormat="1" applyFont="1" applyFill="1" applyBorder="1"/>
    <xf numFmtId="167" fontId="63" fillId="2" borderId="11" xfId="11" applyNumberFormat="1" applyFont="1" applyFill="1" applyBorder="1"/>
    <xf numFmtId="167" fontId="62" fillId="2" borderId="11" xfId="22" applyNumberFormat="1" applyFont="1" applyFill="1" applyBorder="1"/>
    <xf numFmtId="164" fontId="42" fillId="0" borderId="11" xfId="11" applyFont="1" applyFill="1" applyBorder="1"/>
    <xf numFmtId="164" fontId="62" fillId="0" borderId="11" xfId="11" applyFont="1" applyFill="1" applyBorder="1"/>
    <xf numFmtId="172" fontId="63" fillId="2" borderId="11" xfId="11" applyNumberFormat="1" applyFont="1" applyFill="1" applyBorder="1" applyAlignment="1">
      <alignment horizontal="right"/>
    </xf>
    <xf numFmtId="172" fontId="62" fillId="0" borderId="11" xfId="22" applyNumberFormat="1" applyFont="1" applyFill="1" applyBorder="1"/>
    <xf numFmtId="164" fontId="63" fillId="2" borderId="11" xfId="11" applyFont="1" applyFill="1" applyBorder="1"/>
    <xf numFmtId="9" fontId="63" fillId="2" borderId="11" xfId="22" applyFont="1" applyFill="1" applyBorder="1" applyAlignment="1">
      <alignment horizontal="right"/>
    </xf>
    <xf numFmtId="190" fontId="63" fillId="2" borderId="11" xfId="11" applyNumberFormat="1" applyFont="1" applyFill="1" applyBorder="1"/>
    <xf numFmtId="190" fontId="62" fillId="2" borderId="11" xfId="11" applyNumberFormat="1" applyFont="1" applyFill="1" applyBorder="1"/>
    <xf numFmtId="0" fontId="66" fillId="2" borderId="0" xfId="0" applyFont="1" applyFill="1"/>
    <xf numFmtId="172" fontId="62" fillId="2" borderId="11" xfId="11" applyNumberFormat="1" applyFont="1" applyFill="1" applyBorder="1"/>
    <xf numFmtId="172" fontId="62" fillId="2" borderId="0" xfId="11" applyNumberFormat="1" applyFont="1" applyFill="1" applyBorder="1"/>
    <xf numFmtId="171" fontId="57" fillId="2" borderId="11" xfId="22" applyNumberFormat="1" applyFont="1" applyFill="1" applyBorder="1"/>
    <xf numFmtId="171" fontId="57" fillId="2" borderId="0" xfId="22" applyNumberFormat="1" applyFont="1" applyFill="1" applyBorder="1"/>
    <xf numFmtId="0" fontId="66" fillId="2" borderId="11" xfId="0" applyFont="1" applyFill="1" applyBorder="1"/>
    <xf numFmtId="172" fontId="57" fillId="2" borderId="11" xfId="11" applyNumberFormat="1" applyFont="1" applyFill="1" applyBorder="1"/>
    <xf numFmtId="172" fontId="57" fillId="2" borderId="0" xfId="11" applyNumberFormat="1" applyFont="1" applyFill="1" applyBorder="1"/>
    <xf numFmtId="164" fontId="66" fillId="0" borderId="11" xfId="0" applyNumberFormat="1" applyFont="1" applyBorder="1"/>
    <xf numFmtId="172" fontId="63" fillId="2" borderId="11" xfId="22" applyNumberFormat="1" applyFont="1" applyFill="1" applyBorder="1"/>
    <xf numFmtId="172" fontId="63" fillId="2" borderId="0" xfId="22" applyNumberFormat="1" applyFont="1" applyFill="1" applyBorder="1"/>
    <xf numFmtId="9" fontId="57" fillId="2" borderId="11" xfId="0" applyNumberFormat="1" applyFont="1" applyFill="1" applyBorder="1" applyAlignment="1">
      <alignment horizontal="right"/>
    </xf>
    <xf numFmtId="9" fontId="57" fillId="2" borderId="0" xfId="0" applyNumberFormat="1" applyFont="1" applyFill="1" applyAlignment="1">
      <alignment horizontal="right"/>
    </xf>
    <xf numFmtId="9" fontId="57" fillId="2" borderId="11" xfId="22" applyFont="1" applyFill="1" applyBorder="1"/>
    <xf numFmtId="9" fontId="57" fillId="2" borderId="0" xfId="22" applyFont="1" applyFill="1" applyBorder="1"/>
    <xf numFmtId="167" fontId="62" fillId="2" borderId="11" xfId="11" applyNumberFormat="1" applyFont="1" applyFill="1" applyBorder="1"/>
    <xf numFmtId="167" fontId="62" fillId="2" borderId="0" xfId="11" applyNumberFormat="1" applyFont="1" applyFill="1" applyBorder="1"/>
    <xf numFmtId="164" fontId="62" fillId="2" borderId="0" xfId="11" applyFont="1" applyFill="1" applyBorder="1"/>
    <xf numFmtId="9" fontId="7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left"/>
    </xf>
    <xf numFmtId="9" fontId="6" fillId="0" borderId="0" xfId="0" applyNumberFormat="1" applyFont="1"/>
    <xf numFmtId="9" fontId="62" fillId="2" borderId="11" xfId="0" applyNumberFormat="1" applyFont="1" applyFill="1" applyBorder="1"/>
    <xf numFmtId="9" fontId="62" fillId="2" borderId="0" xfId="0" applyNumberFormat="1" applyFont="1" applyFill="1"/>
    <xf numFmtId="172" fontId="7" fillId="6" borderId="0" xfId="11" applyNumberFormat="1" applyFont="1" applyFill="1"/>
    <xf numFmtId="9" fontId="6" fillId="2" borderId="0" xfId="0" applyNumberFormat="1" applyFont="1" applyFill="1" applyAlignment="1">
      <alignment horizontal="left"/>
    </xf>
    <xf numFmtId="9" fontId="57" fillId="2" borderId="0" xfId="0" applyNumberFormat="1" applyFont="1" applyFill="1"/>
    <xf numFmtId="0" fontId="66" fillId="2" borderId="15" xfId="0" applyFont="1" applyFill="1" applyBorder="1"/>
    <xf numFmtId="0" fontId="62" fillId="2" borderId="2" xfId="0" applyFont="1" applyFill="1" applyBorder="1" applyAlignment="1">
      <alignment horizontal="right"/>
    </xf>
    <xf numFmtId="0" fontId="62" fillId="2" borderId="16" xfId="0" applyFont="1" applyFill="1" applyBorder="1" applyAlignment="1">
      <alignment horizontal="right"/>
    </xf>
    <xf numFmtId="9" fontId="63" fillId="4" borderId="0" xfId="0" applyNumberFormat="1" applyFont="1" applyFill="1"/>
    <xf numFmtId="9" fontId="63" fillId="4" borderId="15" xfId="0" applyNumberFormat="1" applyFont="1" applyFill="1" applyBorder="1"/>
    <xf numFmtId="172" fontId="63" fillId="2" borderId="15" xfId="11" applyNumberFormat="1" applyFont="1" applyFill="1" applyBorder="1"/>
    <xf numFmtId="172" fontId="62" fillId="2" borderId="15" xfId="11" applyNumberFormat="1" applyFont="1" applyFill="1" applyBorder="1"/>
    <xf numFmtId="171" fontId="57" fillId="2" borderId="15" xfId="22" applyNumberFormat="1" applyFont="1" applyFill="1" applyBorder="1"/>
    <xf numFmtId="9" fontId="63" fillId="2" borderId="15" xfId="0" applyNumberFormat="1" applyFont="1" applyFill="1" applyBorder="1"/>
    <xf numFmtId="9" fontId="62" fillId="2" borderId="15" xfId="0" applyNumberFormat="1" applyFont="1" applyFill="1" applyBorder="1"/>
    <xf numFmtId="172" fontId="57" fillId="2" borderId="15" xfId="11" applyNumberFormat="1" applyFont="1" applyFill="1" applyBorder="1"/>
    <xf numFmtId="0" fontId="66" fillId="0" borderId="0" xfId="0" applyFont="1"/>
    <xf numFmtId="0" fontId="66" fillId="0" borderId="15" xfId="0" applyFont="1" applyBorder="1"/>
    <xf numFmtId="172" fontId="63" fillId="2" borderId="15" xfId="22" applyNumberFormat="1" applyFont="1" applyFill="1" applyBorder="1"/>
    <xf numFmtId="9" fontId="57" fillId="2" borderId="15" xfId="0" applyNumberFormat="1" applyFont="1" applyFill="1" applyBorder="1" applyAlignment="1">
      <alignment horizontal="right"/>
    </xf>
    <xf numFmtId="9" fontId="57" fillId="2" borderId="15" xfId="22" applyFont="1" applyFill="1" applyBorder="1"/>
    <xf numFmtId="172" fontId="62" fillId="2" borderId="15" xfId="22" applyNumberFormat="1" applyFont="1" applyFill="1" applyBorder="1"/>
    <xf numFmtId="167" fontId="63" fillId="2" borderId="0" xfId="0" applyNumberFormat="1" applyFont="1" applyFill="1"/>
    <xf numFmtId="167" fontId="63" fillId="2" borderId="15" xfId="0" applyNumberFormat="1" applyFont="1" applyFill="1" applyBorder="1"/>
    <xf numFmtId="9" fontId="63" fillId="2" borderId="15" xfId="22" applyFont="1" applyFill="1" applyBorder="1"/>
    <xf numFmtId="167" fontId="63" fillId="2" borderId="15" xfId="11" applyNumberFormat="1" applyFont="1" applyFill="1" applyBorder="1"/>
    <xf numFmtId="167" fontId="62" fillId="2" borderId="0" xfId="0" applyNumberFormat="1" applyFont="1" applyFill="1"/>
    <xf numFmtId="167" fontId="62" fillId="2" borderId="15" xfId="0" applyNumberFormat="1" applyFont="1" applyFill="1" applyBorder="1"/>
    <xf numFmtId="167" fontId="62" fillId="2" borderId="15" xfId="11" applyNumberFormat="1" applyFont="1" applyFill="1" applyBorder="1"/>
    <xf numFmtId="171" fontId="63" fillId="2" borderId="0" xfId="22" applyNumberFormat="1" applyFont="1" applyFill="1" applyBorder="1"/>
    <xf numFmtId="171" fontId="63" fillId="2" borderId="15" xfId="22" applyNumberFormat="1" applyFont="1" applyFill="1" applyBorder="1"/>
    <xf numFmtId="9" fontId="62" fillId="2" borderId="0" xfId="22" applyFont="1" applyFill="1" applyBorder="1"/>
    <xf numFmtId="9" fontId="62" fillId="2" borderId="15" xfId="22" applyFont="1" applyFill="1" applyBorder="1"/>
    <xf numFmtId="172" fontId="63" fillId="2" borderId="15" xfId="0" applyNumberFormat="1" applyFont="1" applyFill="1" applyBorder="1"/>
    <xf numFmtId="164" fontId="57" fillId="2" borderId="0" xfId="0" applyNumberFormat="1" applyFont="1" applyFill="1"/>
    <xf numFmtId="164" fontId="57" fillId="2" borderId="15" xfId="0" applyNumberFormat="1" applyFont="1" applyFill="1" applyBorder="1"/>
    <xf numFmtId="0" fontId="63" fillId="2" borderId="0" xfId="0" applyFont="1" applyFill="1"/>
    <xf numFmtId="0" fontId="63" fillId="2" borderId="15" xfId="0" applyFont="1" applyFill="1" applyBorder="1"/>
    <xf numFmtId="1" fontId="63" fillId="2" borderId="0" xfId="0" applyNumberFormat="1" applyFont="1" applyFill="1"/>
    <xf numFmtId="1" fontId="63" fillId="2" borderId="15" xfId="0" applyNumberFormat="1" applyFont="1" applyFill="1" applyBorder="1"/>
    <xf numFmtId="172" fontId="63" fillId="0" borderId="0" xfId="11" applyNumberFormat="1" applyFont="1" applyFill="1" applyBorder="1"/>
    <xf numFmtId="172" fontId="63" fillId="0" borderId="15" xfId="11" applyNumberFormat="1" applyFont="1" applyFill="1" applyBorder="1"/>
    <xf numFmtId="172" fontId="62" fillId="2" borderId="0" xfId="0" applyNumberFormat="1" applyFont="1" applyFill="1"/>
    <xf numFmtId="172" fontId="62" fillId="2" borderId="15" xfId="0" applyNumberFormat="1" applyFont="1" applyFill="1" applyBorder="1"/>
    <xf numFmtId="172" fontId="62" fillId="0" borderId="0" xfId="0" applyNumberFormat="1" applyFont="1"/>
    <xf numFmtId="172" fontId="62" fillId="0" borderId="15" xfId="0" applyNumberFormat="1" applyFont="1" applyBorder="1"/>
    <xf numFmtId="164" fontId="62" fillId="2" borderId="0" xfId="0" applyNumberFormat="1" applyFont="1" applyFill="1"/>
    <xf numFmtId="164" fontId="62" fillId="2" borderId="15" xfId="0" applyNumberFormat="1" applyFont="1" applyFill="1" applyBorder="1"/>
    <xf numFmtId="0" fontId="62" fillId="2" borderId="0" xfId="0" applyFont="1" applyFill="1"/>
    <xf numFmtId="0" fontId="62" fillId="2" borderId="15" xfId="0" applyFont="1" applyFill="1" applyBorder="1"/>
    <xf numFmtId="175" fontId="57" fillId="0" borderId="0" xfId="11" applyNumberFormat="1" applyFont="1" applyFill="1" applyBorder="1"/>
    <xf numFmtId="175" fontId="57" fillId="0" borderId="15" xfId="11" applyNumberFormat="1" applyFont="1" applyFill="1" applyBorder="1"/>
    <xf numFmtId="164" fontId="62" fillId="0" borderId="0" xfId="0" applyNumberFormat="1" applyFont="1"/>
    <xf numFmtId="164" fontId="62" fillId="0" borderId="15" xfId="0" applyNumberFormat="1" applyFont="1" applyBorder="1"/>
    <xf numFmtId="0" fontId="62" fillId="0" borderId="0" xfId="0" applyFont="1"/>
    <xf numFmtId="0" fontId="62" fillId="0" borderId="15" xfId="0" applyFont="1" applyBorder="1"/>
    <xf numFmtId="9" fontId="66" fillId="2" borderId="0" xfId="22" applyFont="1" applyFill="1" applyBorder="1"/>
    <xf numFmtId="9" fontId="66" fillId="2" borderId="15" xfId="22" applyFont="1" applyFill="1" applyBorder="1"/>
    <xf numFmtId="9" fontId="57" fillId="2" borderId="15" xfId="0" applyNumberFormat="1" applyFont="1" applyFill="1" applyBorder="1"/>
    <xf numFmtId="164" fontId="63" fillId="2" borderId="0" xfId="0" applyNumberFormat="1" applyFont="1" applyFill="1"/>
    <xf numFmtId="164" fontId="63" fillId="2" borderId="15" xfId="0" applyNumberFormat="1" applyFont="1" applyFill="1" applyBorder="1"/>
    <xf numFmtId="9" fontId="57" fillId="3" borderId="0" xfId="24" applyFont="1" applyFill="1" applyBorder="1"/>
    <xf numFmtId="9" fontId="57" fillId="3" borderId="15" xfId="24" applyFont="1" applyFill="1" applyBorder="1"/>
    <xf numFmtId="170" fontId="63" fillId="2" borderId="15" xfId="11" applyNumberFormat="1" applyFont="1" applyFill="1" applyBorder="1"/>
    <xf numFmtId="170" fontId="62" fillId="2" borderId="0" xfId="11" applyNumberFormat="1" applyFont="1" applyFill="1" applyBorder="1"/>
    <xf numFmtId="170" fontId="62" fillId="2" borderId="15" xfId="11" applyNumberFormat="1" applyFont="1" applyFill="1" applyBorder="1"/>
    <xf numFmtId="0" fontId="66" fillId="4" borderId="0" xfId="0" applyFont="1" applyFill="1"/>
    <xf numFmtId="0" fontId="66" fillId="4" borderId="15" xfId="0" applyFont="1" applyFill="1" applyBorder="1"/>
    <xf numFmtId="167" fontId="62" fillId="4" borderId="0" xfId="11" applyNumberFormat="1" applyFont="1" applyFill="1" applyBorder="1"/>
    <xf numFmtId="167" fontId="62" fillId="4" borderId="15" xfId="11" applyNumberFormat="1" applyFont="1" applyFill="1" applyBorder="1"/>
    <xf numFmtId="175" fontId="63" fillId="2" borderId="0" xfId="24" applyNumberFormat="1" applyFont="1" applyFill="1" applyBorder="1"/>
    <xf numFmtId="175" fontId="63" fillId="2" borderId="15" xfId="24" applyNumberFormat="1" applyFont="1" applyFill="1" applyBorder="1"/>
    <xf numFmtId="175" fontId="62" fillId="2" borderId="0" xfId="24" applyNumberFormat="1" applyFont="1" applyFill="1" applyBorder="1"/>
    <xf numFmtId="175" fontId="62" fillId="2" borderId="15" xfId="24" applyNumberFormat="1" applyFont="1" applyFill="1" applyBorder="1"/>
    <xf numFmtId="9" fontId="57" fillId="3" borderId="0" xfId="22" applyFont="1" applyFill="1" applyBorder="1"/>
    <xf numFmtId="9" fontId="57" fillId="3" borderId="15" xfId="22" applyFont="1" applyFill="1" applyBorder="1"/>
    <xf numFmtId="175" fontId="62" fillId="2" borderId="0" xfId="11" applyNumberFormat="1" applyFont="1" applyFill="1" applyBorder="1"/>
    <xf numFmtId="175" fontId="62" fillId="2" borderId="15" xfId="11" applyNumberFormat="1" applyFont="1" applyFill="1" applyBorder="1"/>
    <xf numFmtId="172" fontId="63" fillId="4" borderId="0" xfId="24" applyNumberFormat="1" applyFont="1" applyFill="1" applyBorder="1"/>
    <xf numFmtId="172" fontId="63" fillId="4" borderId="15" xfId="24" applyNumberFormat="1" applyFont="1" applyFill="1" applyBorder="1"/>
    <xf numFmtId="172" fontId="63" fillId="2" borderId="0" xfId="24" applyNumberFormat="1" applyFont="1" applyFill="1" applyBorder="1"/>
    <xf numFmtId="172" fontId="63" fillId="2" borderId="15" xfId="24" applyNumberFormat="1" applyFont="1" applyFill="1" applyBorder="1"/>
    <xf numFmtId="172" fontId="62" fillId="4" borderId="0" xfId="11" applyNumberFormat="1" applyFont="1" applyFill="1" applyBorder="1"/>
    <xf numFmtId="172" fontId="62" fillId="4" borderId="15" xfId="11" applyNumberFormat="1" applyFont="1" applyFill="1" applyBorder="1"/>
    <xf numFmtId="171" fontId="57" fillId="2" borderId="0" xfId="24" applyNumberFormat="1" applyFont="1" applyFill="1" applyBorder="1"/>
    <xf numFmtId="171" fontId="57" fillId="2" borderId="15" xfId="24" applyNumberFormat="1" applyFont="1" applyFill="1" applyBorder="1"/>
    <xf numFmtId="171" fontId="67" fillId="2" borderId="0" xfId="24" applyNumberFormat="1" applyFont="1" applyFill="1" applyBorder="1"/>
    <xf numFmtId="171" fontId="67" fillId="2" borderId="15" xfId="24" applyNumberFormat="1" applyFont="1" applyFill="1" applyBorder="1"/>
    <xf numFmtId="9" fontId="57" fillId="2" borderId="0" xfId="24" applyFont="1" applyFill="1" applyBorder="1"/>
    <xf numFmtId="9" fontId="57" fillId="2" borderId="15" xfId="24" applyFont="1" applyFill="1" applyBorder="1"/>
    <xf numFmtId="172" fontId="57" fillId="2" borderId="0" xfId="22" applyNumberFormat="1" applyFont="1" applyFill="1" applyBorder="1"/>
    <xf numFmtId="172" fontId="57" fillId="2" borderId="15" xfId="22" applyNumberFormat="1" applyFont="1" applyFill="1" applyBorder="1"/>
    <xf numFmtId="190" fontId="63" fillId="2" borderId="0" xfId="22" applyNumberFormat="1" applyFont="1" applyFill="1" applyBorder="1"/>
    <xf numFmtId="190" fontId="63" fillId="2" borderId="15" xfId="22" applyNumberFormat="1" applyFont="1" applyFill="1" applyBorder="1"/>
    <xf numFmtId="175" fontId="63" fillId="2" borderId="0" xfId="22" applyNumberFormat="1" applyFont="1" applyFill="1" applyBorder="1"/>
    <xf numFmtId="175" fontId="63" fillId="2" borderId="15" xfId="22" applyNumberFormat="1" applyFont="1" applyFill="1" applyBorder="1"/>
    <xf numFmtId="175" fontId="62" fillId="2" borderId="0" xfId="22" applyNumberFormat="1" applyFont="1" applyFill="1" applyBorder="1"/>
    <xf numFmtId="175" fontId="62" fillId="2" borderId="15" xfId="22" applyNumberFormat="1" applyFont="1" applyFill="1" applyBorder="1"/>
    <xf numFmtId="0" fontId="62" fillId="2" borderId="0" xfId="11" applyNumberFormat="1" applyFont="1" applyFill="1" applyBorder="1"/>
    <xf numFmtId="0" fontId="62" fillId="2" borderId="15" xfId="11" applyNumberFormat="1" applyFont="1" applyFill="1" applyBorder="1"/>
    <xf numFmtId="164" fontId="63" fillId="2" borderId="15" xfId="11" applyFont="1" applyFill="1" applyBorder="1"/>
    <xf numFmtId="164" fontId="62" fillId="2" borderId="15" xfId="11" applyFont="1" applyFill="1" applyBorder="1"/>
    <xf numFmtId="172" fontId="63" fillId="2" borderId="15" xfId="11" applyNumberFormat="1" applyFont="1" applyFill="1" applyBorder="1" applyAlignment="1">
      <alignment horizontal="right"/>
    </xf>
    <xf numFmtId="172" fontId="62" fillId="0" borderId="15" xfId="22" applyNumberFormat="1" applyFont="1" applyFill="1" applyBorder="1"/>
    <xf numFmtId="9" fontId="63" fillId="2" borderId="15" xfId="22" applyFont="1" applyFill="1" applyBorder="1" applyAlignment="1">
      <alignment horizontal="right"/>
    </xf>
    <xf numFmtId="190" fontId="63" fillId="2" borderId="15" xfId="11" applyNumberFormat="1" applyFont="1" applyFill="1" applyBorder="1"/>
    <xf numFmtId="190" fontId="62" fillId="2" borderId="15" xfId="11" applyNumberFormat="1" applyFont="1" applyFill="1" applyBorder="1"/>
    <xf numFmtId="171" fontId="57" fillId="6" borderId="0" xfId="22" applyNumberFormat="1" applyFont="1" applyFill="1" applyBorder="1"/>
    <xf numFmtId="171" fontId="57" fillId="6" borderId="15" xfId="22" applyNumberFormat="1" applyFont="1" applyFill="1" applyBorder="1"/>
    <xf numFmtId="0" fontId="12" fillId="6" borderId="0" xfId="0" applyFont="1" applyFill="1"/>
    <xf numFmtId="172" fontId="6" fillId="0" borderId="0" xfId="11" applyNumberFormat="1" applyFont="1" applyFill="1" applyBorder="1"/>
    <xf numFmtId="0" fontId="6" fillId="6" borderId="0" xfId="0" applyFont="1" applyFill="1"/>
    <xf numFmtId="172" fontId="7" fillId="6" borderId="0" xfId="11" applyNumberFormat="1" applyFont="1" applyFill="1" applyBorder="1"/>
    <xf numFmtId="172" fontId="42" fillId="6" borderId="0" xfId="11" applyNumberFormat="1" applyFont="1" applyFill="1" applyBorder="1"/>
    <xf numFmtId="171" fontId="62" fillId="2" borderId="11" xfId="22" applyNumberFormat="1" applyFont="1" applyFill="1" applyBorder="1"/>
    <xf numFmtId="171" fontId="49" fillId="2" borderId="11" xfId="22" applyNumberFormat="1" applyFont="1" applyFill="1" applyBorder="1"/>
    <xf numFmtId="167" fontId="41" fillId="0" borderId="11" xfId="0" applyNumberFormat="1" applyFont="1" applyBorder="1"/>
    <xf numFmtId="172" fontId="66" fillId="2" borderId="11" xfId="0" applyNumberFormat="1" applyFont="1" applyFill="1" applyBorder="1"/>
    <xf numFmtId="0" fontId="6" fillId="2" borderId="11" xfId="0" applyFont="1" applyFill="1" applyBorder="1"/>
    <xf numFmtId="171" fontId="57" fillId="0" borderId="0" xfId="22" applyNumberFormat="1" applyFont="1" applyFill="1" applyBorder="1"/>
    <xf numFmtId="171" fontId="57" fillId="0" borderId="15" xfId="22" applyNumberFormat="1" applyFont="1" applyFill="1" applyBorder="1"/>
    <xf numFmtId="171" fontId="49" fillId="0" borderId="11" xfId="22" applyNumberFormat="1" applyFont="1" applyFill="1" applyBorder="1"/>
    <xf numFmtId="4" fontId="57" fillId="0" borderId="0" xfId="17" applyNumberFormat="1" applyFont="1" applyAlignment="1">
      <alignment horizontal="right"/>
    </xf>
    <xf numFmtId="4" fontId="57" fillId="0" borderId="15" xfId="17" applyNumberFormat="1" applyFont="1" applyBorder="1" applyAlignment="1">
      <alignment horizontal="right"/>
    </xf>
    <xf numFmtId="4" fontId="12" fillId="0" borderId="0" xfId="17" applyNumberFormat="1" applyFont="1" applyAlignment="1">
      <alignment horizontal="right"/>
    </xf>
    <xf numFmtId="4" fontId="49" fillId="0" borderId="11" xfId="17" applyNumberFormat="1" applyFont="1" applyBorder="1" applyAlignment="1">
      <alignment horizontal="right"/>
    </xf>
    <xf numFmtId="164" fontId="12" fillId="2" borderId="0" xfId="0" applyNumberFormat="1" applyFont="1" applyFill="1"/>
    <xf numFmtId="2" fontId="49" fillId="2" borderId="11" xfId="0" applyNumberFormat="1" applyFont="1" applyFill="1" applyBorder="1"/>
    <xf numFmtId="167" fontId="63" fillId="2" borderId="11" xfId="0" applyNumberFormat="1" applyFont="1" applyFill="1" applyBorder="1"/>
    <xf numFmtId="172" fontId="7" fillId="0" borderId="0" xfId="11" applyNumberFormat="1" applyFont="1" applyFill="1" applyBorder="1"/>
    <xf numFmtId="172" fontId="6" fillId="0" borderId="0" xfId="11" applyNumberFormat="1" applyFont="1" applyFill="1" applyBorder="1" applyAlignment="1">
      <alignment horizontal="right"/>
    </xf>
    <xf numFmtId="172" fontId="62" fillId="0" borderId="0" xfId="11" applyNumberFormat="1" applyFont="1" applyFill="1" applyBorder="1"/>
    <xf numFmtId="172" fontId="62" fillId="0" borderId="15" xfId="11" applyNumberFormat="1" applyFont="1" applyFill="1" applyBorder="1"/>
    <xf numFmtId="0" fontId="62" fillId="2" borderId="0" xfId="0" applyFont="1" applyFill="1" applyAlignment="1">
      <alignment horizontal="right"/>
    </xf>
    <xf numFmtId="0" fontId="62" fillId="2" borderId="15" xfId="0" applyFont="1" applyFill="1" applyBorder="1" applyAlignment="1">
      <alignment horizontal="right"/>
    </xf>
    <xf numFmtId="0" fontId="7" fillId="2" borderId="11" xfId="0" applyFont="1" applyFill="1" applyBorder="1" applyAlignment="1">
      <alignment horizontal="right"/>
    </xf>
    <xf numFmtId="164" fontId="7" fillId="0" borderId="0" xfId="0" applyNumberFormat="1" applyFont="1"/>
    <xf numFmtId="172" fontId="12" fillId="2" borderId="0" xfId="0" applyNumberFormat="1" applyFont="1" applyFill="1"/>
    <xf numFmtId="175" fontId="12" fillId="6" borderId="0" xfId="11" applyNumberFormat="1" applyFont="1" applyFill="1" applyBorder="1"/>
    <xf numFmtId="175" fontId="57" fillId="6" borderId="0" xfId="11" applyNumberFormat="1" applyFont="1" applyFill="1" applyBorder="1"/>
    <xf numFmtId="175" fontId="57" fillId="6" borderId="15" xfId="11" applyNumberFormat="1" applyFont="1" applyFill="1" applyBorder="1"/>
    <xf numFmtId="0" fontId="6" fillId="2" borderId="17" xfId="0" applyFont="1" applyFill="1" applyBorder="1"/>
    <xf numFmtId="0" fontId="7" fillId="2" borderId="17" xfId="0" applyFont="1" applyFill="1" applyBorder="1"/>
    <xf numFmtId="172" fontId="6" fillId="0" borderId="17" xfId="11" applyNumberFormat="1" applyFont="1" applyFill="1" applyBorder="1"/>
    <xf numFmtId="172" fontId="63" fillId="0" borderId="17" xfId="11" applyNumberFormat="1" applyFont="1" applyFill="1" applyBorder="1"/>
    <xf numFmtId="172" fontId="63" fillId="0" borderId="18" xfId="11" applyNumberFormat="1" applyFont="1" applyFill="1" applyBorder="1"/>
    <xf numFmtId="0" fontId="7" fillId="2" borderId="20" xfId="0" applyFont="1" applyFill="1" applyBorder="1"/>
    <xf numFmtId="1" fontId="7" fillId="2" borderId="20" xfId="0" applyNumberFormat="1" applyFont="1" applyFill="1" applyBorder="1"/>
    <xf numFmtId="172" fontId="6" fillId="0" borderId="20" xfId="11" applyNumberFormat="1" applyFont="1" applyFill="1" applyBorder="1"/>
    <xf numFmtId="0" fontId="62" fillId="2" borderId="20" xfId="0" applyFont="1" applyFill="1" applyBorder="1"/>
    <xf numFmtId="0" fontId="62" fillId="2" borderId="21" xfId="0" applyFont="1" applyFill="1" applyBorder="1"/>
    <xf numFmtId="0" fontId="7" fillId="0" borderId="20" xfId="0" applyFont="1" applyBorder="1"/>
    <xf numFmtId="172" fontId="7" fillId="2" borderId="20" xfId="11" applyNumberFormat="1" applyFont="1" applyFill="1" applyBorder="1"/>
    <xf numFmtId="172" fontId="62" fillId="2" borderId="20" xfId="11" applyNumberFormat="1" applyFont="1" applyFill="1" applyBorder="1"/>
    <xf numFmtId="172" fontId="62" fillId="2" borderId="21" xfId="11" applyNumberFormat="1" applyFont="1" applyFill="1" applyBorder="1"/>
    <xf numFmtId="172" fontId="62" fillId="2" borderId="20" xfId="0" applyNumberFormat="1" applyFont="1" applyFill="1" applyBorder="1"/>
    <xf numFmtId="172" fontId="62" fillId="2" borderId="21" xfId="0" applyNumberFormat="1" applyFont="1" applyFill="1" applyBorder="1"/>
    <xf numFmtId="0" fontId="62" fillId="0" borderId="20" xfId="0" applyFont="1" applyBorder="1"/>
    <xf numFmtId="172" fontId="7" fillId="0" borderId="20" xfId="11" applyNumberFormat="1" applyFont="1" applyFill="1" applyBorder="1"/>
    <xf numFmtId="0" fontId="62" fillId="2" borderId="13" xfId="0" applyFont="1" applyFill="1" applyBorder="1" applyAlignment="1">
      <alignment horizontal="right"/>
    </xf>
    <xf numFmtId="172" fontId="62" fillId="2" borderId="11" xfId="0" applyNumberFormat="1" applyFont="1" applyFill="1" applyBorder="1"/>
    <xf numFmtId="175" fontId="57" fillId="6" borderId="11" xfId="11" applyNumberFormat="1" applyFont="1" applyFill="1" applyBorder="1"/>
    <xf numFmtId="172" fontId="63" fillId="2" borderId="22" xfId="0" applyNumberFormat="1" applyFont="1" applyFill="1" applyBorder="1"/>
    <xf numFmtId="0" fontId="62" fillId="2" borderId="11" xfId="0" applyFont="1" applyFill="1" applyBorder="1" applyAlignment="1">
      <alignment horizontal="right"/>
    </xf>
    <xf numFmtId="1" fontId="63" fillId="2" borderId="11" xfId="0" applyNumberFormat="1" applyFont="1" applyFill="1" applyBorder="1"/>
    <xf numFmtId="172" fontId="63" fillId="2" borderId="11" xfId="0" applyNumberFormat="1" applyFont="1" applyFill="1" applyBorder="1"/>
    <xf numFmtId="164" fontId="62" fillId="2" borderId="11" xfId="0" applyNumberFormat="1" applyFont="1" applyFill="1" applyBorder="1"/>
    <xf numFmtId="172" fontId="62" fillId="2" borderId="22" xfId="11" applyNumberFormat="1" applyFont="1" applyFill="1" applyBorder="1"/>
    <xf numFmtId="0" fontId="63" fillId="2" borderId="8" xfId="0" applyFont="1" applyFill="1" applyBorder="1"/>
    <xf numFmtId="172" fontId="0" fillId="2" borderId="22" xfId="0" applyNumberFormat="1" applyFill="1" applyBorder="1"/>
    <xf numFmtId="0" fontId="62" fillId="2" borderId="11" xfId="0" applyFont="1" applyFill="1" applyBorder="1"/>
    <xf numFmtId="172" fontId="62" fillId="2" borderId="22" xfId="0" applyNumberFormat="1" applyFont="1" applyFill="1" applyBorder="1"/>
    <xf numFmtId="172" fontId="63" fillId="0" borderId="11" xfId="11" applyNumberFormat="1" applyFont="1" applyFill="1" applyBorder="1"/>
    <xf numFmtId="167" fontId="6" fillId="0" borderId="0" xfId="11" applyNumberFormat="1" applyFont="1" applyFill="1" applyBorder="1"/>
    <xf numFmtId="171" fontId="7" fillId="2" borderId="0" xfId="0" applyNumberFormat="1" applyFont="1" applyFill="1"/>
    <xf numFmtId="171" fontId="62" fillId="2" borderId="0" xfId="0" applyNumberFormat="1" applyFont="1" applyFill="1"/>
    <xf numFmtId="171" fontId="62" fillId="2" borderId="15" xfId="0" applyNumberFormat="1" applyFont="1" applyFill="1" applyBorder="1"/>
    <xf numFmtId="171" fontId="50" fillId="2" borderId="11" xfId="0" applyNumberFormat="1" applyFont="1" applyFill="1" applyBorder="1"/>
    <xf numFmtId="172" fontId="42" fillId="2" borderId="11" xfId="0" applyNumberFormat="1" applyFont="1" applyFill="1" applyBorder="1"/>
    <xf numFmtId="171" fontId="63" fillId="2" borderId="0" xfId="0" applyNumberFormat="1" applyFont="1" applyFill="1"/>
    <xf numFmtId="171" fontId="63" fillId="2" borderId="15" xfId="0" applyNumberFormat="1" applyFont="1" applyFill="1" applyBorder="1"/>
    <xf numFmtId="171" fontId="6" fillId="0" borderId="0" xfId="0" applyNumberFormat="1" applyFont="1"/>
    <xf numFmtId="171" fontId="8" fillId="6" borderId="11" xfId="22" applyNumberFormat="1" applyFont="1" applyFill="1" applyBorder="1"/>
    <xf numFmtId="9" fontId="6" fillId="2" borderId="0" xfId="11" applyNumberFormat="1" applyFont="1" applyFill="1"/>
    <xf numFmtId="9" fontId="6" fillId="2" borderId="0" xfId="11" applyNumberFormat="1" applyFont="1" applyFill="1" applyBorder="1"/>
    <xf numFmtId="3" fontId="6" fillId="2" borderId="0" xfId="11" applyNumberFormat="1" applyFont="1" applyFill="1"/>
    <xf numFmtId="3" fontId="6" fillId="2" borderId="0" xfId="11" applyNumberFormat="1" applyFont="1" applyFill="1" applyBorder="1"/>
    <xf numFmtId="188" fontId="6" fillId="2" borderId="0" xfId="0" applyNumberFormat="1" applyFont="1" applyFill="1"/>
    <xf numFmtId="188" fontId="8" fillId="2" borderId="0" xfId="0" applyNumberFormat="1" applyFont="1" applyFill="1"/>
    <xf numFmtId="188" fontId="8" fillId="2" borderId="0" xfId="22" applyNumberFormat="1" applyFont="1" applyFill="1" applyBorder="1"/>
    <xf numFmtId="188" fontId="63" fillId="2" borderId="0" xfId="22" applyNumberFormat="1" applyFont="1" applyFill="1" applyBorder="1"/>
    <xf numFmtId="188" fontId="63" fillId="2" borderId="15" xfId="22" applyNumberFormat="1" applyFont="1" applyFill="1" applyBorder="1"/>
    <xf numFmtId="188" fontId="8" fillId="2" borderId="11" xfId="22" applyNumberFormat="1" applyFont="1" applyFill="1" applyBorder="1"/>
    <xf numFmtId="188" fontId="66" fillId="2" borderId="0" xfId="0" applyNumberFormat="1" applyFont="1" applyFill="1"/>
    <xf numFmtId="188" fontId="66" fillId="2" borderId="15" xfId="0" applyNumberFormat="1" applyFont="1" applyFill="1" applyBorder="1"/>
    <xf numFmtId="188" fontId="0" fillId="2" borderId="11" xfId="0" applyNumberFormat="1" applyFill="1" applyBorder="1"/>
    <xf numFmtId="172" fontId="7" fillId="0" borderId="5" xfId="0" applyNumberFormat="1" applyFont="1" applyBorder="1"/>
    <xf numFmtId="3" fontId="63" fillId="2" borderId="0" xfId="0" applyNumberFormat="1" applyFont="1" applyFill="1"/>
    <xf numFmtId="3" fontId="63" fillId="2" borderId="15" xfId="0" applyNumberFormat="1" applyFont="1" applyFill="1" applyBorder="1"/>
    <xf numFmtId="3" fontId="6" fillId="2" borderId="11" xfId="0" applyNumberFormat="1" applyFont="1" applyFill="1" applyBorder="1"/>
    <xf numFmtId="3" fontId="7" fillId="2" borderId="0" xfId="11" applyNumberFormat="1" applyFont="1" applyFill="1"/>
    <xf numFmtId="3" fontId="7" fillId="2" borderId="0" xfId="11" applyNumberFormat="1" applyFont="1" applyFill="1" applyBorder="1"/>
    <xf numFmtId="3" fontId="62" fillId="2" borderId="0" xfId="0" applyNumberFormat="1" applyFont="1" applyFill="1"/>
    <xf numFmtId="3" fontId="62" fillId="2" borderId="15" xfId="0" applyNumberFormat="1" applyFont="1" applyFill="1" applyBorder="1"/>
    <xf numFmtId="3" fontId="63" fillId="0" borderId="0" xfId="0" applyNumberFormat="1" applyFont="1"/>
    <xf numFmtId="3" fontId="62" fillId="0" borderId="0" xfId="0" applyNumberFormat="1" applyFont="1"/>
    <xf numFmtId="188" fontId="7" fillId="2" borderId="0" xfId="0" applyNumberFormat="1" applyFont="1" applyFill="1"/>
    <xf numFmtId="0" fontId="3" fillId="2" borderId="11" xfId="0" applyFont="1" applyFill="1" applyBorder="1"/>
    <xf numFmtId="171" fontId="6" fillId="5" borderId="0" xfId="0" applyNumberFormat="1" applyFont="1" applyFill="1"/>
    <xf numFmtId="171" fontId="8" fillId="5" borderId="0" xfId="22" applyNumberFormat="1" applyFont="1" applyFill="1" applyBorder="1"/>
    <xf numFmtId="170" fontId="7" fillId="0" borderId="0" xfId="11" applyNumberFormat="1" applyFont="1" applyFill="1"/>
    <xf numFmtId="167" fontId="8" fillId="4" borderId="0" xfId="11" applyNumberFormat="1" applyFont="1" applyFill="1"/>
    <xf numFmtId="167" fontId="8" fillId="6" borderId="0" xfId="11" applyNumberFormat="1" applyFont="1" applyFill="1"/>
    <xf numFmtId="0" fontId="7" fillId="0" borderId="5" xfId="0" applyFont="1" applyBorder="1"/>
    <xf numFmtId="172" fontId="62" fillId="0" borderId="5" xfId="0" applyNumberFormat="1" applyFont="1" applyBorder="1"/>
    <xf numFmtId="172" fontId="62" fillId="0" borderId="23" xfId="0" applyNumberFormat="1" applyFont="1" applyBorder="1"/>
    <xf numFmtId="172" fontId="62" fillId="0" borderId="12" xfId="0" applyNumberFormat="1" applyFont="1" applyBorder="1"/>
    <xf numFmtId="9" fontId="66" fillId="4" borderId="0" xfId="22" applyFont="1" applyFill="1" applyBorder="1"/>
    <xf numFmtId="9" fontId="66" fillId="4" borderId="15" xfId="22" applyFont="1" applyFill="1" applyBorder="1"/>
    <xf numFmtId="9" fontId="0" fillId="4" borderId="11" xfId="22" applyFont="1" applyFill="1" applyBorder="1"/>
    <xf numFmtId="9" fontId="66" fillId="0" borderId="0" xfId="22" applyFont="1" applyFill="1" applyBorder="1"/>
    <xf numFmtId="9" fontId="66" fillId="0" borderId="15" xfId="22" applyFont="1" applyFill="1" applyBorder="1"/>
    <xf numFmtId="9" fontId="0" fillId="0" borderId="11" xfId="22" applyFont="1" applyFill="1" applyBorder="1"/>
    <xf numFmtId="2" fontId="7" fillId="2" borderId="0" xfId="0" applyNumberFormat="1" applyFont="1" applyFill="1"/>
    <xf numFmtId="2" fontId="7" fillId="2" borderId="0" xfId="11" applyNumberFormat="1" applyFont="1" applyFill="1"/>
    <xf numFmtId="2" fontId="62" fillId="2" borderId="0" xfId="0" applyNumberFormat="1" applyFont="1" applyFill="1"/>
    <xf numFmtId="171" fontId="8" fillId="0" borderId="11" xfId="0" applyNumberFormat="1" applyFont="1" applyBorder="1"/>
    <xf numFmtId="171" fontId="8" fillId="0" borderId="11" xfId="22" applyNumberFormat="1" applyFont="1" applyFill="1" applyBorder="1"/>
    <xf numFmtId="171" fontId="42" fillId="0" borderId="11" xfId="22" applyNumberFormat="1" applyFont="1" applyFill="1" applyBorder="1"/>
    <xf numFmtId="3" fontId="6" fillId="6" borderId="0" xfId="0" applyNumberFormat="1" applyFont="1" applyFill="1"/>
    <xf numFmtId="0" fontId="63" fillId="2" borderId="11" xfId="0" applyFont="1" applyFill="1" applyBorder="1"/>
    <xf numFmtId="3" fontId="63" fillId="2" borderId="11" xfId="0" applyNumberFormat="1" applyFont="1" applyFill="1" applyBorder="1"/>
    <xf numFmtId="3" fontId="62" fillId="2" borderId="11" xfId="0" applyNumberFormat="1" applyFont="1" applyFill="1" applyBorder="1"/>
    <xf numFmtId="172" fontId="63" fillId="0" borderId="19" xfId="11" applyNumberFormat="1" applyFont="1" applyFill="1" applyBorder="1"/>
    <xf numFmtId="172" fontId="42" fillId="0" borderId="0" xfId="11" applyNumberFormat="1" applyFont="1" applyFill="1" applyBorder="1"/>
    <xf numFmtId="1" fontId="62" fillId="2" borderId="0" xfId="0" applyNumberFormat="1" applyFont="1" applyFill="1"/>
    <xf numFmtId="1" fontId="62" fillId="2" borderId="15" xfId="0" applyNumberFormat="1" applyFont="1" applyFill="1" applyBorder="1"/>
    <xf numFmtId="1" fontId="62" fillId="0" borderId="20" xfId="0" applyNumberFormat="1" applyFont="1" applyBorder="1"/>
    <xf numFmtId="1" fontId="62" fillId="0" borderId="21" xfId="0" applyNumberFormat="1" applyFont="1" applyBorder="1"/>
    <xf numFmtId="172" fontId="63" fillId="5" borderId="0" xfId="11" applyNumberFormat="1" applyFont="1" applyFill="1" applyBorder="1"/>
    <xf numFmtId="172" fontId="63" fillId="5" borderId="15" xfId="11" applyNumberFormat="1" applyFont="1" applyFill="1" applyBorder="1"/>
    <xf numFmtId="172" fontId="6" fillId="5" borderId="0" xfId="11" applyNumberFormat="1" applyFont="1" applyFill="1" applyBorder="1"/>
    <xf numFmtId="188" fontId="63" fillId="2" borderId="11" xfId="22" applyNumberFormat="1" applyFont="1" applyFill="1" applyBorder="1"/>
    <xf numFmtId="3" fontId="42" fillId="2" borderId="0" xfId="0" applyNumberFormat="1" applyFont="1" applyFill="1"/>
    <xf numFmtId="172" fontId="62" fillId="0" borderId="11" xfId="11" applyNumberFormat="1" applyFont="1" applyFill="1" applyBorder="1"/>
    <xf numFmtId="167" fontId="7" fillId="6" borderId="0" xfId="11" applyNumberFormat="1" applyFont="1" applyFill="1"/>
    <xf numFmtId="167" fontId="6" fillId="0" borderId="20" xfId="11" applyNumberFormat="1" applyFont="1" applyFill="1" applyBorder="1"/>
    <xf numFmtId="0" fontId="6" fillId="0" borderId="20" xfId="0" applyFont="1" applyBorder="1"/>
    <xf numFmtId="167" fontId="8" fillId="0" borderId="20" xfId="11" applyNumberFormat="1" applyFont="1" applyFill="1" applyBorder="1"/>
    <xf numFmtId="167" fontId="63" fillId="0" borderId="20" xfId="11" applyNumberFormat="1" applyFont="1" applyFill="1" applyBorder="1"/>
    <xf numFmtId="167" fontId="63" fillId="0" borderId="21" xfId="11" applyNumberFormat="1" applyFont="1" applyFill="1" applyBorder="1"/>
    <xf numFmtId="167" fontId="41" fillId="0" borderId="22" xfId="11" applyNumberFormat="1" applyFont="1" applyFill="1" applyBorder="1"/>
    <xf numFmtId="171" fontId="8" fillId="0" borderId="17" xfId="11" applyNumberFormat="1" applyFont="1" applyFill="1" applyBorder="1"/>
    <xf numFmtId="171" fontId="6" fillId="0" borderId="17" xfId="11" applyNumberFormat="1" applyFont="1" applyFill="1" applyBorder="1"/>
    <xf numFmtId="171" fontId="63" fillId="0" borderId="17" xfId="11" applyNumberFormat="1" applyFont="1" applyFill="1" applyBorder="1"/>
    <xf numFmtId="171" fontId="63" fillId="0" borderId="18" xfId="11" applyNumberFormat="1" applyFont="1" applyFill="1" applyBorder="1"/>
    <xf numFmtId="171" fontId="42" fillId="0" borderId="19" xfId="11" applyNumberFormat="1" applyFont="1" applyFill="1" applyBorder="1"/>
    <xf numFmtId="171" fontId="6" fillId="0" borderId="17" xfId="0" applyNumberFormat="1" applyFont="1" applyBorder="1" applyAlignment="1">
      <alignment horizontal="left" indent="1"/>
    </xf>
    <xf numFmtId="2" fontId="62" fillId="2" borderId="11" xfId="0" applyNumberFormat="1" applyFont="1" applyFill="1" applyBorder="1"/>
    <xf numFmtId="9" fontId="6" fillId="0" borderId="0" xfId="0" applyNumberFormat="1" applyFont="1" applyAlignment="1">
      <alignment horizontal="right"/>
    </xf>
    <xf numFmtId="172" fontId="6" fillId="0" borderId="15" xfId="11" applyNumberFormat="1" applyFont="1" applyFill="1" applyBorder="1"/>
    <xf numFmtId="172" fontId="6" fillId="5" borderId="15" xfId="11" applyNumberFormat="1" applyFont="1" applyFill="1" applyBorder="1"/>
    <xf numFmtId="172" fontId="7" fillId="2" borderId="15" xfId="11" applyNumberFormat="1" applyFont="1" applyFill="1" applyBorder="1"/>
    <xf numFmtId="171" fontId="12" fillId="2" borderId="15" xfId="22" applyNumberFormat="1" applyFont="1" applyFill="1" applyBorder="1"/>
    <xf numFmtId="0" fontId="7" fillId="2" borderId="15" xfId="0" applyFont="1" applyFill="1" applyBorder="1" applyAlignment="1">
      <alignment horizontal="right"/>
    </xf>
    <xf numFmtId="9" fontId="6" fillId="0" borderId="15" xfId="0" applyNumberFormat="1" applyFont="1" applyBorder="1"/>
    <xf numFmtId="9" fontId="7" fillId="2" borderId="15" xfId="0" applyNumberFormat="1" applyFont="1" applyFill="1" applyBorder="1"/>
    <xf numFmtId="172" fontId="8" fillId="2" borderId="15" xfId="11" applyNumberFormat="1" applyFont="1" applyFill="1" applyBorder="1"/>
    <xf numFmtId="172" fontId="6" fillId="2" borderId="15" xfId="11" applyNumberFormat="1" applyFont="1" applyFill="1" applyBorder="1"/>
    <xf numFmtId="172" fontId="7" fillId="2" borderId="15" xfId="22" applyNumberFormat="1" applyFont="1" applyFill="1" applyBorder="1"/>
    <xf numFmtId="171" fontId="7" fillId="2" borderId="15" xfId="22" applyNumberFormat="1" applyFont="1" applyFill="1" applyBorder="1"/>
    <xf numFmtId="167" fontId="7" fillId="2" borderId="15" xfId="0" applyNumberFormat="1" applyFont="1" applyFill="1" applyBorder="1"/>
    <xf numFmtId="167" fontId="7" fillId="2" borderId="15" xfId="11" applyNumberFormat="1" applyFont="1" applyFill="1" applyBorder="1"/>
    <xf numFmtId="4" fontId="12" fillId="2" borderId="15" xfId="17" applyNumberFormat="1" applyFont="1" applyFill="1" applyBorder="1" applyAlignment="1">
      <alignment horizontal="right"/>
    </xf>
    <xf numFmtId="9" fontId="7" fillId="2" borderId="15" xfId="22" applyFont="1" applyFill="1" applyBorder="1"/>
    <xf numFmtId="172" fontId="6" fillId="2" borderId="15" xfId="0" applyNumberFormat="1" applyFont="1" applyFill="1" applyBorder="1"/>
    <xf numFmtId="1" fontId="6" fillId="2" borderId="15" xfId="0" applyNumberFormat="1" applyFont="1" applyFill="1" applyBorder="1"/>
    <xf numFmtId="1" fontId="7" fillId="2" borderId="15" xfId="0" applyNumberFormat="1" applyFont="1" applyFill="1" applyBorder="1"/>
    <xf numFmtId="3" fontId="6" fillId="2" borderId="15" xfId="0" applyNumberFormat="1" applyFont="1" applyFill="1" applyBorder="1"/>
    <xf numFmtId="3" fontId="7" fillId="2" borderId="15" xfId="0" applyNumberFormat="1" applyFont="1" applyFill="1" applyBorder="1"/>
    <xf numFmtId="0" fontId="6" fillId="2" borderId="15" xfId="0" applyFont="1" applyFill="1" applyBorder="1"/>
    <xf numFmtId="0" fontId="7" fillId="2" borderId="15" xfId="0" applyFont="1" applyFill="1" applyBorder="1"/>
    <xf numFmtId="172" fontId="7" fillId="2" borderId="15" xfId="0" applyNumberFormat="1" applyFont="1" applyFill="1" applyBorder="1"/>
    <xf numFmtId="172" fontId="7" fillId="0" borderId="15" xfId="0" applyNumberFormat="1" applyFont="1" applyBorder="1"/>
    <xf numFmtId="164" fontId="7" fillId="0" borderId="15" xfId="0" applyNumberFormat="1" applyFont="1" applyBorder="1"/>
    <xf numFmtId="0" fontId="7" fillId="0" borderId="15" xfId="0" applyFont="1" applyBorder="1"/>
    <xf numFmtId="172" fontId="7" fillId="0" borderId="23" xfId="0" applyNumberFormat="1" applyFont="1" applyBorder="1"/>
    <xf numFmtId="0" fontId="7" fillId="4" borderId="15" xfId="0" applyFont="1" applyFill="1" applyBorder="1"/>
    <xf numFmtId="167" fontId="6" fillId="0" borderId="15" xfId="11" applyNumberFormat="1" applyFont="1" applyFill="1" applyBorder="1"/>
    <xf numFmtId="167" fontId="6" fillId="2" borderId="15" xfId="11" applyNumberFormat="1" applyFont="1" applyFill="1" applyBorder="1"/>
    <xf numFmtId="9" fontId="8" fillId="0" borderId="15" xfId="22" applyFont="1" applyFill="1" applyBorder="1"/>
    <xf numFmtId="171" fontId="8" fillId="0" borderId="15" xfId="22" applyNumberFormat="1" applyFont="1" applyFill="1" applyBorder="1"/>
    <xf numFmtId="171" fontId="6" fillId="2" borderId="15" xfId="0" applyNumberFormat="1" applyFont="1" applyFill="1" applyBorder="1"/>
    <xf numFmtId="167" fontId="6" fillId="0" borderId="21" xfId="11" applyNumberFormat="1" applyFont="1" applyFill="1" applyBorder="1"/>
    <xf numFmtId="3" fontId="6" fillId="0" borderId="15" xfId="0" applyNumberFormat="1" applyFont="1" applyBorder="1"/>
    <xf numFmtId="3" fontId="42" fillId="2" borderId="15" xfId="0" applyNumberFormat="1" applyFont="1" applyFill="1" applyBorder="1"/>
    <xf numFmtId="9" fontId="6" fillId="2" borderId="15" xfId="0" applyNumberFormat="1" applyFont="1" applyFill="1" applyBorder="1"/>
    <xf numFmtId="9" fontId="6" fillId="2" borderId="15" xfId="22" applyFont="1" applyFill="1" applyBorder="1"/>
    <xf numFmtId="164" fontId="6" fillId="2" borderId="15" xfId="11" applyFont="1" applyFill="1" applyBorder="1"/>
    <xf numFmtId="164" fontId="7" fillId="2" borderId="15" xfId="11" applyFont="1" applyFill="1" applyBorder="1"/>
    <xf numFmtId="172" fontId="7" fillId="0" borderId="15" xfId="22" applyNumberFormat="1" applyFont="1" applyFill="1" applyBorder="1"/>
    <xf numFmtId="190" fontId="6" fillId="2" borderId="15" xfId="11" applyNumberFormat="1" applyFont="1" applyFill="1" applyBorder="1"/>
    <xf numFmtId="190" fontId="7" fillId="2" borderId="15" xfId="11" applyNumberFormat="1" applyFont="1" applyFill="1" applyBorder="1"/>
    <xf numFmtId="172" fontId="6" fillId="2" borderId="15" xfId="11" applyNumberFormat="1" applyFont="1" applyFill="1" applyBorder="1" applyAlignment="1">
      <alignment horizontal="right"/>
    </xf>
    <xf numFmtId="170" fontId="6" fillId="2" borderId="15" xfId="11" applyNumberFormat="1" applyFont="1" applyFill="1" applyBorder="1"/>
    <xf numFmtId="9" fontId="42" fillId="2" borderId="11" xfId="0" applyNumberFormat="1" applyFont="1" applyFill="1" applyBorder="1"/>
    <xf numFmtId="3" fontId="42" fillId="2" borderId="11" xfId="0" applyNumberFormat="1" applyFont="1" applyFill="1" applyBorder="1"/>
    <xf numFmtId="3" fontId="62" fillId="2" borderId="0" xfId="11" applyNumberFormat="1" applyFont="1" applyFill="1" applyBorder="1"/>
    <xf numFmtId="3" fontId="62" fillId="2" borderId="15" xfId="11" applyNumberFormat="1" applyFont="1" applyFill="1" applyBorder="1"/>
    <xf numFmtId="3" fontId="7" fillId="2" borderId="11" xfId="11" applyNumberFormat="1" applyFont="1" applyFill="1" applyBorder="1"/>
    <xf numFmtId="188" fontId="6" fillId="2" borderId="0" xfId="11" applyNumberFormat="1" applyFont="1" applyFill="1"/>
    <xf numFmtId="188" fontId="6" fillId="2" borderId="8" xfId="0" applyNumberFormat="1" applyFont="1" applyFill="1" applyBorder="1"/>
    <xf numFmtId="188" fontId="63" fillId="2" borderId="0" xfId="0" applyNumberFormat="1" applyFont="1" applyFill="1"/>
    <xf numFmtId="188" fontId="63" fillId="2" borderId="15" xfId="0" applyNumberFormat="1" applyFont="1" applyFill="1" applyBorder="1"/>
    <xf numFmtId="171" fontId="42" fillId="2" borderId="0" xfId="0" applyNumberFormat="1" applyFont="1" applyFill="1"/>
    <xf numFmtId="188" fontId="63" fillId="2" borderId="11" xfId="0" applyNumberFormat="1" applyFont="1" applyFill="1" applyBorder="1"/>
    <xf numFmtId="188" fontId="63" fillId="2" borderId="8" xfId="0" applyNumberFormat="1" applyFont="1" applyFill="1" applyBorder="1"/>
    <xf numFmtId="3" fontId="6" fillId="2" borderId="0" xfId="0" applyNumberFormat="1" applyFont="1" applyFill="1" applyAlignment="1">
      <alignment horizontal="left" indent="1"/>
    </xf>
    <xf numFmtId="171" fontId="42" fillId="2" borderId="11" xfId="0" applyNumberFormat="1" applyFont="1" applyFill="1" applyBorder="1"/>
    <xf numFmtId="9" fontId="6" fillId="2" borderId="0" xfId="0" applyNumberFormat="1" applyFont="1" applyFill="1" applyAlignment="1">
      <alignment horizontal="left" indent="1"/>
    </xf>
    <xf numFmtId="3" fontId="8" fillId="0" borderId="15" xfId="0" applyNumberFormat="1" applyFont="1" applyBorder="1"/>
    <xf numFmtId="3" fontId="63" fillId="0" borderId="15" xfId="0" applyNumberFormat="1" applyFont="1" applyBorder="1"/>
    <xf numFmtId="3" fontId="8" fillId="0" borderId="11" xfId="0" applyNumberFormat="1" applyFont="1" applyBorder="1"/>
    <xf numFmtId="171" fontId="7" fillId="2" borderId="0" xfId="11" applyNumberFormat="1" applyFont="1" applyFill="1" applyBorder="1"/>
    <xf numFmtId="171" fontId="62" fillId="2" borderId="0" xfId="11" applyNumberFormat="1" applyFont="1" applyFill="1" applyBorder="1"/>
    <xf numFmtId="171" fontId="62" fillId="2" borderId="15" xfId="11" applyNumberFormat="1" applyFont="1" applyFill="1" applyBorder="1"/>
    <xf numFmtId="171" fontId="62" fillId="2" borderId="11" xfId="11" applyNumberFormat="1" applyFont="1" applyFill="1" applyBorder="1"/>
    <xf numFmtId="171" fontId="6" fillId="2" borderId="0" xfId="0" applyNumberFormat="1" applyFont="1" applyFill="1" applyAlignment="1">
      <alignment horizontal="left" indent="1"/>
    </xf>
    <xf numFmtId="172" fontId="42" fillId="2" borderId="11" xfId="11" applyNumberFormat="1" applyFont="1" applyFill="1" applyBorder="1"/>
    <xf numFmtId="3" fontId="63" fillId="2" borderId="0" xfId="11" applyNumberFormat="1" applyFont="1" applyFill="1" applyBorder="1"/>
    <xf numFmtId="3" fontId="63" fillId="2" borderId="15" xfId="11" applyNumberFormat="1" applyFont="1" applyFill="1" applyBorder="1"/>
    <xf numFmtId="3" fontId="62" fillId="2" borderId="11" xfId="11" applyNumberFormat="1" applyFont="1" applyFill="1" applyBorder="1"/>
    <xf numFmtId="3" fontId="63" fillId="2" borderId="11" xfId="11" applyNumberFormat="1" applyFont="1" applyFill="1" applyBorder="1"/>
    <xf numFmtId="172" fontId="6" fillId="5" borderId="11" xfId="11" applyNumberFormat="1" applyFont="1" applyFill="1" applyBorder="1"/>
    <xf numFmtId="171" fontId="63" fillId="0" borderId="11" xfId="0" applyNumberFormat="1" applyFont="1" applyBorder="1"/>
    <xf numFmtId="171" fontId="63" fillId="0" borderId="11" xfId="22" applyNumberFormat="1" applyFont="1" applyFill="1" applyBorder="1"/>
    <xf numFmtId="9" fontId="7" fillId="2" borderId="0" xfId="11" applyNumberFormat="1" applyFont="1" applyFill="1"/>
    <xf numFmtId="3" fontId="63" fillId="2" borderId="0" xfId="11" applyNumberFormat="1" applyFont="1" applyFill="1"/>
    <xf numFmtId="171" fontId="62" fillId="2" borderId="0" xfId="22" applyNumberFormat="1" applyFont="1" applyFill="1" applyBorder="1"/>
    <xf numFmtId="171" fontId="62" fillId="2" borderId="15" xfId="22" applyNumberFormat="1" applyFont="1" applyFill="1" applyBorder="1"/>
    <xf numFmtId="3" fontId="7" fillId="0" borderId="15" xfId="0" applyNumberFormat="1" applyFont="1" applyBorder="1"/>
    <xf numFmtId="3" fontId="62" fillId="0" borderId="15" xfId="0" applyNumberFormat="1" applyFont="1" applyBorder="1"/>
    <xf numFmtId="3" fontId="62" fillId="0" borderId="11" xfId="0" applyNumberFormat="1" applyFont="1" applyBorder="1"/>
    <xf numFmtId="172" fontId="42" fillId="2" borderId="7" xfId="11" applyNumberFormat="1" applyFont="1" applyFill="1" applyBorder="1"/>
    <xf numFmtId="0" fontId="63" fillId="2" borderId="7" xfId="0" applyFont="1" applyFill="1" applyBorder="1"/>
    <xf numFmtId="172" fontId="62" fillId="2" borderId="7" xfId="11" applyNumberFormat="1" applyFont="1" applyFill="1" applyBorder="1"/>
    <xf numFmtId="172" fontId="42" fillId="2" borderId="0" xfId="0" applyNumberFormat="1" applyFont="1" applyFill="1"/>
    <xf numFmtId="172" fontId="42" fillId="2" borderId="0" xfId="11" applyNumberFormat="1" applyFont="1" applyFill="1" applyBorder="1"/>
    <xf numFmtId="172" fontId="26" fillId="2" borderId="0" xfId="0" applyNumberFormat="1" applyFont="1" applyFill="1"/>
    <xf numFmtId="0" fontId="0" fillId="4" borderId="0" xfId="0" applyFill="1"/>
    <xf numFmtId="1" fontId="6" fillId="2" borderId="0" xfId="13" applyNumberFormat="1" applyFont="1" applyFill="1" applyBorder="1" applyAlignment="1">
      <alignment horizontal="right"/>
    </xf>
    <xf numFmtId="9" fontId="6" fillId="2" borderId="0" xfId="13" applyNumberFormat="1" applyFont="1" applyFill="1" applyBorder="1"/>
    <xf numFmtId="9" fontId="6" fillId="2" borderId="0" xfId="13" applyNumberFormat="1" applyFont="1" applyFill="1" applyBorder="1" applyAlignment="1">
      <alignment horizontal="right"/>
    </xf>
    <xf numFmtId="9" fontId="6" fillId="2" borderId="0" xfId="0" applyNumberFormat="1" applyFont="1" applyFill="1" applyAlignment="1">
      <alignment horizontal="right"/>
    </xf>
    <xf numFmtId="9" fontId="3" fillId="2" borderId="0" xfId="0" applyNumberFormat="1" applyFont="1" applyFill="1"/>
    <xf numFmtId="9" fontId="63" fillId="2" borderId="0" xfId="0" applyNumberFormat="1" applyFont="1" applyFill="1" applyAlignment="1">
      <alignment horizontal="right"/>
    </xf>
    <xf numFmtId="3" fontId="6" fillId="2" borderId="0" xfId="13" applyNumberFormat="1" applyFont="1" applyFill="1" applyBorder="1"/>
    <xf numFmtId="3" fontId="6" fillId="2" borderId="0" xfId="13" applyNumberFormat="1" applyFont="1" applyFill="1" applyBorder="1" applyAlignment="1">
      <alignment horizontal="right"/>
    </xf>
    <xf numFmtId="171" fontId="6" fillId="2" borderId="0" xfId="13" applyNumberFormat="1" applyFont="1" applyFill="1" applyBorder="1"/>
    <xf numFmtId="171" fontId="6" fillId="2" borderId="0" xfId="13" applyNumberFormat="1" applyFont="1" applyFill="1" applyBorder="1" applyAlignment="1">
      <alignment horizontal="right"/>
    </xf>
    <xf numFmtId="171" fontId="7" fillId="2" borderId="0" xfId="0" applyNumberFormat="1" applyFont="1" applyFill="1" applyAlignment="1">
      <alignment horizontal="right"/>
    </xf>
    <xf numFmtId="171" fontId="40" fillId="2" borderId="0" xfId="22" applyNumberFormat="1" applyFont="1" applyFill="1" applyBorder="1" applyAlignment="1">
      <alignment horizontal="right"/>
    </xf>
    <xf numFmtId="0" fontId="46" fillId="4" borderId="0" xfId="17" applyFont="1" applyFill="1"/>
    <xf numFmtId="9" fontId="11" fillId="2" borderId="0" xfId="22" applyFont="1" applyFill="1" applyBorder="1" applyAlignment="1">
      <alignment horizontal="right"/>
    </xf>
    <xf numFmtId="9" fontId="45" fillId="2" borderId="0" xfId="17" applyNumberFormat="1" applyFont="1" applyFill="1"/>
    <xf numFmtId="9" fontId="11" fillId="2" borderId="0" xfId="17" applyNumberFormat="1" applyFont="1" applyFill="1" applyAlignment="1">
      <alignment horizontal="right"/>
    </xf>
    <xf numFmtId="9" fontId="7" fillId="2" borderId="0" xfId="17" applyNumberFormat="1" applyFont="1" applyFill="1" applyAlignment="1">
      <alignment horizontal="right"/>
    </xf>
    <xf numFmtId="9" fontId="6" fillId="2" borderId="0" xfId="17" applyNumberFormat="1" applyFont="1" applyFill="1"/>
    <xf numFmtId="9" fontId="6" fillId="2" borderId="0" xfId="17" applyNumberFormat="1" applyFont="1" applyFill="1" applyAlignment="1">
      <alignment horizontal="right"/>
    </xf>
    <xf numFmtId="0" fontId="28" fillId="2" borderId="0" xfId="17" applyFont="1" applyFill="1" applyAlignment="1">
      <alignment horizontal="right"/>
    </xf>
    <xf numFmtId="171" fontId="47" fillId="2" borderId="0" xfId="22" applyNumberFormat="1" applyFont="1" applyFill="1"/>
    <xf numFmtId="171" fontId="35" fillId="2" borderId="0" xfId="17" applyNumberFormat="1" applyFont="1" applyFill="1" applyAlignment="1">
      <alignment horizontal="right"/>
    </xf>
    <xf numFmtId="3" fontId="63" fillId="2" borderId="0" xfId="17" applyNumberFormat="1" applyFont="1" applyFill="1"/>
    <xf numFmtId="3" fontId="11" fillId="2" borderId="0" xfId="17" applyNumberFormat="1" applyFont="1" applyFill="1" applyAlignment="1">
      <alignment horizontal="right"/>
    </xf>
    <xf numFmtId="3" fontId="6" fillId="2" borderId="0" xfId="12" applyNumberFormat="1" applyFont="1" applyFill="1"/>
    <xf numFmtId="171" fontId="45" fillId="2" borderId="0" xfId="17" applyNumberFormat="1" applyFont="1" applyFill="1"/>
    <xf numFmtId="171" fontId="7" fillId="2" borderId="0" xfId="17" applyNumberFormat="1" applyFont="1" applyFill="1" applyAlignment="1">
      <alignment horizontal="right"/>
    </xf>
    <xf numFmtId="171" fontId="6" fillId="2" borderId="0" xfId="17" applyNumberFormat="1" applyFont="1" applyFill="1"/>
    <xf numFmtId="3" fontId="62" fillId="2" borderId="0" xfId="17" applyNumberFormat="1" applyFont="1" applyFill="1" applyAlignment="1">
      <alignment horizontal="right"/>
    </xf>
    <xf numFmtId="171" fontId="57" fillId="2" borderId="0" xfId="22" applyNumberFormat="1" applyFont="1" applyFill="1" applyBorder="1" applyAlignment="1">
      <alignment horizontal="right"/>
    </xf>
    <xf numFmtId="9" fontId="57" fillId="2" borderId="0" xfId="22" applyFont="1" applyFill="1" applyBorder="1" applyAlignment="1">
      <alignment horizontal="right"/>
    </xf>
    <xf numFmtId="0" fontId="62" fillId="2" borderId="0" xfId="17" applyFont="1" applyFill="1" applyAlignment="1">
      <alignment horizontal="right"/>
    </xf>
    <xf numFmtId="171" fontId="63" fillId="2" borderId="0" xfId="17" applyNumberFormat="1" applyFont="1" applyFill="1"/>
    <xf numFmtId="185" fontId="56" fillId="8" borderId="0" xfId="17" applyNumberFormat="1" applyFont="1" applyFill="1" applyAlignment="1">
      <alignment horizontal="right"/>
    </xf>
    <xf numFmtId="1" fontId="45" fillId="2" borderId="0" xfId="17" applyNumberFormat="1" applyFont="1" applyFill="1" applyAlignment="1">
      <alignment horizontal="right"/>
    </xf>
    <xf numFmtId="187" fontId="6" fillId="2" borderId="0" xfId="0" applyNumberFormat="1" applyFont="1" applyFill="1"/>
    <xf numFmtId="186" fontId="6" fillId="2" borderId="0" xfId="0" applyNumberFormat="1" applyFont="1" applyFill="1"/>
    <xf numFmtId="0" fontId="6" fillId="2" borderId="0" xfId="1" applyFont="1" applyFill="1"/>
    <xf numFmtId="0" fontId="7" fillId="2" borderId="0" xfId="1" applyFont="1" applyFill="1"/>
    <xf numFmtId="171" fontId="6" fillId="0" borderId="0" xfId="22" applyNumberFormat="1" applyFont="1" applyFill="1" applyBorder="1"/>
    <xf numFmtId="171" fontId="63" fillId="2" borderId="0" xfId="22" applyNumberFormat="1" applyFont="1" applyFill="1"/>
    <xf numFmtId="0" fontId="12" fillId="2" borderId="0" xfId="0" quotePrefix="1" applyFont="1" applyFill="1"/>
    <xf numFmtId="9" fontId="6" fillId="0" borderId="0" xfId="22" applyFont="1" applyFill="1"/>
    <xf numFmtId="179" fontId="6" fillId="0" borderId="0" xfId="0" applyNumberFormat="1" applyFont="1"/>
    <xf numFmtId="1" fontId="63" fillId="2" borderId="0" xfId="17" applyNumberFormat="1" applyFont="1" applyFill="1" applyAlignment="1">
      <alignment horizontal="right"/>
    </xf>
    <xf numFmtId="179" fontId="63" fillId="2" borderId="0" xfId="0" applyNumberFormat="1" applyFont="1" applyFill="1"/>
    <xf numFmtId="179" fontId="63" fillId="0" borderId="0" xfId="0" applyNumberFormat="1" applyFont="1"/>
    <xf numFmtId="171" fontId="57" fillId="2" borderId="0" xfId="22" applyNumberFormat="1" applyFont="1" applyFill="1"/>
    <xf numFmtId="172" fontId="6" fillId="0" borderId="0" xfId="0" applyNumberFormat="1" applyFont="1"/>
    <xf numFmtId="172" fontId="63" fillId="0" borderId="0" xfId="0" applyNumberFormat="1" applyFont="1"/>
    <xf numFmtId="166" fontId="6" fillId="2" borderId="0" xfId="0" applyNumberFormat="1" applyFont="1" applyFill="1"/>
    <xf numFmtId="172" fontId="3" fillId="0" borderId="0" xfId="0" applyNumberFormat="1" applyFont="1"/>
    <xf numFmtId="0" fontId="6" fillId="2" borderId="2" xfId="0" applyFont="1" applyFill="1" applyBorder="1"/>
    <xf numFmtId="177" fontId="6" fillId="2" borderId="0" xfId="0" applyNumberFormat="1" applyFont="1" applyFill="1"/>
    <xf numFmtId="171" fontId="6" fillId="2" borderId="0" xfId="22" applyNumberFormat="1" applyFont="1" applyFill="1" applyAlignment="1">
      <alignment horizontal="right"/>
    </xf>
    <xf numFmtId="171" fontId="6" fillId="2" borderId="2" xfId="22" applyNumberFormat="1" applyFont="1" applyFill="1" applyBorder="1"/>
    <xf numFmtId="178" fontId="6" fillId="2" borderId="0" xfId="11" applyNumberFormat="1" applyFont="1" applyFill="1" applyBorder="1"/>
    <xf numFmtId="169" fontId="6" fillId="2" borderId="0" xfId="11" applyNumberFormat="1" applyFont="1" applyFill="1" applyBorder="1"/>
    <xf numFmtId="169" fontId="6" fillId="2" borderId="0" xfId="11" applyNumberFormat="1" applyFont="1" applyFill="1"/>
    <xf numFmtId="172" fontId="6" fillId="2" borderId="2" xfId="11" applyNumberFormat="1" applyFont="1" applyFill="1" applyBorder="1"/>
    <xf numFmtId="179" fontId="6" fillId="2" borderId="0" xfId="11" applyNumberFormat="1" applyFont="1" applyFill="1"/>
    <xf numFmtId="3" fontId="6" fillId="2" borderId="2" xfId="0" applyNumberFormat="1" applyFont="1" applyFill="1" applyBorder="1"/>
    <xf numFmtId="179" fontId="6" fillId="2" borderId="2" xfId="0" applyNumberFormat="1" applyFont="1" applyFill="1" applyBorder="1"/>
    <xf numFmtId="167" fontId="6" fillId="0" borderId="2" xfId="0" applyNumberFormat="1" applyFont="1" applyBorder="1"/>
    <xf numFmtId="168" fontId="6" fillId="0" borderId="0" xfId="0" applyNumberFormat="1" applyFont="1"/>
    <xf numFmtId="165" fontId="6" fillId="2" borderId="2" xfId="0" applyNumberFormat="1" applyFont="1" applyFill="1" applyBorder="1"/>
    <xf numFmtId="168" fontId="6" fillId="0" borderId="2" xfId="0" applyNumberFormat="1" applyFont="1" applyBorder="1"/>
    <xf numFmtId="170" fontId="6" fillId="2" borderId="0" xfId="11" applyNumberFormat="1" applyFont="1" applyFill="1" applyBorder="1" applyAlignment="1">
      <alignment horizontal="right"/>
    </xf>
    <xf numFmtId="167" fontId="6" fillId="4" borderId="0" xfId="0" applyNumberFormat="1" applyFont="1" applyFill="1"/>
    <xf numFmtId="37" fontId="6" fillId="2" borderId="0" xfId="0" applyNumberFormat="1" applyFont="1" applyFill="1"/>
    <xf numFmtId="37" fontId="6" fillId="2" borderId="2" xfId="0" applyNumberFormat="1" applyFont="1" applyFill="1" applyBorder="1"/>
    <xf numFmtId="171" fontId="6" fillId="2" borderId="2" xfId="0" applyNumberFormat="1" applyFont="1" applyFill="1" applyBorder="1"/>
    <xf numFmtId="1" fontId="6" fillId="2" borderId="0" xfId="22" applyNumberFormat="1" applyFont="1" applyFill="1"/>
    <xf numFmtId="9" fontId="6" fillId="2" borderId="2" xfId="22" applyFont="1" applyFill="1" applyBorder="1"/>
    <xf numFmtId="2" fontId="6" fillId="2" borderId="0" xfId="0" applyNumberFormat="1" applyFont="1" applyFill="1"/>
    <xf numFmtId="173" fontId="6" fillId="2" borderId="0" xfId="0" applyNumberFormat="1" applyFont="1" applyFill="1"/>
    <xf numFmtId="176" fontId="6" fillId="2" borderId="0" xfId="0" applyNumberFormat="1" applyFont="1" applyFill="1"/>
    <xf numFmtId="0" fontId="68" fillId="9" borderId="0" xfId="0" applyFont="1" applyFill="1"/>
    <xf numFmtId="0" fontId="56" fillId="9" borderId="2" xfId="0" applyFont="1" applyFill="1" applyBorder="1" applyAlignment="1">
      <alignment horizontal="right"/>
    </xf>
    <xf numFmtId="0" fontId="56" fillId="8" borderId="0" xfId="0" applyFont="1" applyFill="1" applyAlignment="1">
      <alignment horizontal="right"/>
    </xf>
    <xf numFmtId="171" fontId="63" fillId="0" borderId="0" xfId="22" applyNumberFormat="1" applyFont="1" applyFill="1"/>
    <xf numFmtId="0" fontId="8" fillId="0" borderId="7" xfId="0" applyFont="1" applyBorder="1"/>
    <xf numFmtId="168" fontId="7" fillId="0" borderId="0" xfId="0" applyNumberFormat="1" applyFont="1"/>
    <xf numFmtId="168" fontId="42" fillId="0" borderId="0" xfId="0" applyNumberFormat="1" applyFont="1"/>
    <xf numFmtId="169" fontId="8" fillId="0" borderId="0" xfId="11" applyNumberFormat="1" applyFont="1" applyFill="1" applyBorder="1"/>
    <xf numFmtId="9" fontId="8" fillId="0" borderId="0" xfId="22" applyFont="1" applyFill="1"/>
    <xf numFmtId="172" fontId="6" fillId="0" borderId="0" xfId="11" applyNumberFormat="1" applyFont="1" applyFill="1"/>
    <xf numFmtId="9" fontId="42" fillId="0" borderId="0" xfId="22" applyFont="1" applyFill="1"/>
    <xf numFmtId="172" fontId="8" fillId="0" borderId="0" xfId="11" applyNumberFormat="1" applyFont="1" applyFill="1" applyBorder="1"/>
    <xf numFmtId="168" fontId="12" fillId="0" borderId="0" xfId="0" applyNumberFormat="1" applyFont="1"/>
    <xf numFmtId="168" fontId="63" fillId="0" borderId="0" xfId="0" applyNumberFormat="1" applyFont="1"/>
    <xf numFmtId="0" fontId="24" fillId="0" borderId="0" xfId="0" applyFont="1"/>
    <xf numFmtId="170" fontId="8" fillId="0" borderId="0" xfId="11" applyNumberFormat="1" applyFont="1" applyFill="1" applyAlignment="1">
      <alignment horizontal="right"/>
    </xf>
    <xf numFmtId="167" fontId="6" fillId="0" borderId="0" xfId="11" applyNumberFormat="1" applyFont="1" applyFill="1"/>
    <xf numFmtId="170" fontId="13" fillId="0" borderId="0" xfId="0" applyNumberFormat="1" applyFont="1"/>
    <xf numFmtId="167" fontId="6" fillId="0" borderId="0" xfId="0" applyNumberFormat="1" applyFont="1"/>
    <xf numFmtId="170" fontId="8" fillId="0" borderId="0" xfId="11" applyNumberFormat="1" applyFont="1" applyFill="1"/>
    <xf numFmtId="170" fontId="8" fillId="0" borderId="0" xfId="11" applyNumberFormat="1" applyFont="1" applyFill="1" applyBorder="1"/>
    <xf numFmtId="0" fontId="25" fillId="0" borderId="0" xfId="0" applyFont="1"/>
    <xf numFmtId="171" fontId="11" fillId="0" borderId="0" xfId="24" applyNumberFormat="1" applyFont="1" applyFill="1"/>
    <xf numFmtId="9" fontId="6" fillId="0" borderId="0" xfId="24" applyFont="1" applyFill="1" applyBorder="1"/>
    <xf numFmtId="167" fontId="7" fillId="0" borderId="0" xfId="11" applyNumberFormat="1" applyFont="1" applyFill="1" applyBorder="1"/>
    <xf numFmtId="167" fontId="20" fillId="0" borderId="0" xfId="11" applyNumberFormat="1" applyFont="1" applyFill="1" applyBorder="1"/>
    <xf numFmtId="171" fontId="13" fillId="0" borderId="0" xfId="22" applyNumberFormat="1" applyFont="1" applyFill="1" applyBorder="1"/>
    <xf numFmtId="170" fontId="6" fillId="0" borderId="0" xfId="0" applyNumberFormat="1" applyFont="1"/>
    <xf numFmtId="164" fontId="23" fillId="0" borderId="0" xfId="11" applyFont="1" applyFill="1"/>
    <xf numFmtId="0" fontId="8" fillId="0" borderId="0" xfId="0" applyFont="1" applyAlignment="1">
      <alignment horizontal="left" indent="1"/>
    </xf>
    <xf numFmtId="165" fontId="6" fillId="0" borderId="0" xfId="0" applyNumberFormat="1" applyFont="1"/>
    <xf numFmtId="165" fontId="6" fillId="0" borderId="2" xfId="0" applyNumberFormat="1" applyFont="1" applyBorder="1"/>
    <xf numFmtId="165" fontId="6" fillId="0" borderId="2" xfId="11" applyNumberFormat="1" applyFont="1" applyFill="1" applyBorder="1"/>
    <xf numFmtId="167" fontId="6" fillId="0" borderId="2" xfId="11" applyNumberFormat="1" applyFont="1" applyFill="1" applyBorder="1"/>
    <xf numFmtId="168" fontId="6" fillId="0" borderId="2" xfId="11" applyNumberFormat="1" applyFont="1" applyFill="1" applyBorder="1"/>
    <xf numFmtId="0" fontId="63" fillId="0" borderId="0" xfId="0" applyFont="1"/>
    <xf numFmtId="167" fontId="62" fillId="0" borderId="0" xfId="0" applyNumberFormat="1" applyFont="1"/>
    <xf numFmtId="168" fontId="62" fillId="0" borderId="0" xfId="0" applyNumberFormat="1" applyFont="1"/>
    <xf numFmtId="169" fontId="63" fillId="0" borderId="0" xfId="11" applyNumberFormat="1" applyFont="1" applyFill="1" applyBorder="1"/>
    <xf numFmtId="172" fontId="63" fillId="0" borderId="0" xfId="11" applyNumberFormat="1" applyFont="1" applyFill="1"/>
    <xf numFmtId="9" fontId="63" fillId="0" borderId="0" xfId="22" applyFont="1" applyFill="1"/>
    <xf numFmtId="179" fontId="62" fillId="0" borderId="0" xfId="0" applyNumberFormat="1" applyFont="1"/>
    <xf numFmtId="168" fontId="62" fillId="0" borderId="5" xfId="0" applyNumberFormat="1" applyFont="1" applyBorder="1"/>
    <xf numFmtId="9" fontId="57" fillId="0" borderId="0" xfId="22" applyFont="1" applyFill="1"/>
    <xf numFmtId="167" fontId="63" fillId="0" borderId="0" xfId="11" applyNumberFormat="1" applyFont="1" applyFill="1"/>
    <xf numFmtId="171" fontId="63" fillId="0" borderId="0" xfId="0" applyNumberFormat="1" applyFont="1"/>
    <xf numFmtId="172" fontId="63" fillId="0" borderId="0" xfId="24" applyNumberFormat="1" applyFont="1" applyFill="1" applyBorder="1"/>
    <xf numFmtId="9" fontId="63" fillId="0" borderId="0" xfId="24" applyFont="1" applyFill="1" applyBorder="1"/>
    <xf numFmtId="167" fontId="62" fillId="0" borderId="0" xfId="11" applyNumberFormat="1" applyFont="1" applyFill="1" applyBorder="1"/>
    <xf numFmtId="37" fontId="63" fillId="0" borderId="0" xfId="0" applyNumberFormat="1" applyFont="1"/>
    <xf numFmtId="167" fontId="63" fillId="0" borderId="0" xfId="0" applyNumberFormat="1" applyFont="1"/>
    <xf numFmtId="183" fontId="63" fillId="0" borderId="0" xfId="11" applyNumberFormat="1" applyFont="1" applyFill="1"/>
    <xf numFmtId="184" fontId="63" fillId="0" borderId="0" xfId="11" applyNumberFormat="1" applyFont="1" applyFill="1"/>
    <xf numFmtId="171" fontId="63" fillId="0" borderId="0" xfId="22" applyNumberFormat="1" applyFont="1" applyFill="1" applyBorder="1"/>
    <xf numFmtId="9" fontId="63" fillId="0" borderId="0" xfId="22" applyFont="1" applyFill="1" applyBorder="1"/>
    <xf numFmtId="0" fontId="48" fillId="9" borderId="0" xfId="0" applyFont="1" applyFill="1"/>
    <xf numFmtId="0" fontId="56" fillId="8" borderId="2" xfId="0" applyFont="1" applyFill="1" applyBorder="1" applyAlignment="1">
      <alignment horizontal="right"/>
    </xf>
    <xf numFmtId="168" fontId="7" fillId="2" borderId="2" xfId="0" applyNumberFormat="1" applyFont="1" applyFill="1" applyBorder="1"/>
    <xf numFmtId="0" fontId="12" fillId="2" borderId="7" xfId="0" applyFont="1" applyFill="1" applyBorder="1"/>
    <xf numFmtId="168" fontId="7" fillId="2" borderId="7" xfId="0" applyNumberFormat="1" applyFont="1" applyFill="1" applyBorder="1"/>
    <xf numFmtId="0" fontId="56" fillId="9" borderId="2" xfId="0" applyFont="1" applyFill="1" applyBorder="1"/>
    <xf numFmtId="0" fontId="8" fillId="2" borderId="2" xfId="0" applyFont="1" applyFill="1" applyBorder="1" applyAlignment="1">
      <alignment horizontal="left"/>
    </xf>
    <xf numFmtId="172" fontId="8" fillId="2" borderId="7" xfId="0" applyNumberFormat="1" applyFont="1" applyFill="1" applyBorder="1"/>
    <xf numFmtId="164" fontId="8" fillId="2" borderId="7" xfId="0" applyNumberFormat="1" applyFont="1" applyFill="1" applyBorder="1"/>
    <xf numFmtId="164" fontId="23" fillId="2" borderId="7" xfId="11" applyFont="1" applyFill="1" applyBorder="1"/>
    <xf numFmtId="167" fontId="8" fillId="2" borderId="7" xfId="11" applyNumberFormat="1" applyFont="1" applyFill="1" applyBorder="1"/>
    <xf numFmtId="0" fontId="60" fillId="9" borderId="2" xfId="0" applyFont="1" applyFill="1" applyBorder="1" applyAlignment="1">
      <alignment horizontal="left"/>
    </xf>
    <xf numFmtId="0" fontId="56" fillId="9" borderId="16" xfId="0" applyFont="1" applyFill="1" applyBorder="1" applyAlignment="1">
      <alignment horizontal="right"/>
    </xf>
    <xf numFmtId="0" fontId="56" fillId="8" borderId="16" xfId="0" applyFont="1" applyFill="1" applyBorder="1" applyAlignment="1">
      <alignment horizontal="right"/>
    </xf>
    <xf numFmtId="0" fontId="56" fillId="8" borderId="13" xfId="0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left" indent="3"/>
    </xf>
    <xf numFmtId="170" fontId="12" fillId="2" borderId="0" xfId="11" applyNumberFormat="1" applyFont="1" applyFill="1" applyBorder="1"/>
    <xf numFmtId="175" fontId="6" fillId="2" borderId="0" xfId="13" applyNumberFormat="1" applyFont="1" applyFill="1" applyBorder="1"/>
    <xf numFmtId="167" fontId="6" fillId="2" borderId="0" xfId="11" applyNumberFormat="1" applyFont="1" applyFill="1" applyBorder="1" applyAlignment="1">
      <alignment horizontal="left" indent="1"/>
    </xf>
    <xf numFmtId="172" fontId="6" fillId="2" borderId="0" xfId="13" applyNumberFormat="1" applyFont="1" applyFill="1" applyBorder="1"/>
    <xf numFmtId="0" fontId="6" fillId="2" borderId="0" xfId="0" applyFont="1" applyFill="1" applyAlignment="1">
      <alignment horizontal="left" indent="2"/>
    </xf>
    <xf numFmtId="0" fontId="3" fillId="4" borderId="0" xfId="0" applyFont="1" applyFill="1"/>
    <xf numFmtId="167" fontId="6" fillId="2" borderId="0" xfId="0" applyNumberFormat="1" applyFont="1" applyFill="1" applyAlignment="1">
      <alignment horizontal="left" indent="2"/>
    </xf>
    <xf numFmtId="172" fontId="6" fillId="2" borderId="2" xfId="11" applyNumberFormat="1" applyFont="1" applyFill="1" applyBorder="1" applyAlignment="1">
      <alignment horizontal="right"/>
    </xf>
    <xf numFmtId="1" fontId="6" fillId="2" borderId="2" xfId="13" applyNumberFormat="1" applyFont="1" applyFill="1" applyBorder="1"/>
    <xf numFmtId="171" fontId="6" fillId="2" borderId="2" xfId="22" applyNumberFormat="1" applyFont="1" applyFill="1" applyBorder="1" applyAlignment="1">
      <alignment horizontal="right"/>
    </xf>
    <xf numFmtId="1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/>
    <xf numFmtId="174" fontId="6" fillId="2" borderId="0" xfId="0" applyNumberFormat="1" applyFont="1" applyFill="1"/>
    <xf numFmtId="175" fontId="6" fillId="2" borderId="0" xfId="13" applyNumberFormat="1" applyFont="1" applyFill="1"/>
    <xf numFmtId="175" fontId="6" fillId="2" borderId="0" xfId="0" applyNumberFormat="1" applyFont="1" applyFill="1"/>
    <xf numFmtId="167" fontId="6" fillId="2" borderId="0" xfId="0" applyNumberFormat="1" applyFont="1" applyFill="1" applyAlignment="1">
      <alignment horizontal="right"/>
    </xf>
    <xf numFmtId="167" fontId="6" fillId="2" borderId="0" xfId="11" applyNumberFormat="1" applyFont="1" applyFill="1" applyBorder="1" applyAlignment="1">
      <alignment horizontal="right"/>
    </xf>
    <xf numFmtId="0" fontId="6" fillId="2" borderId="0" xfId="0" quotePrefix="1" applyFont="1" applyFill="1" applyAlignment="1">
      <alignment horizontal="center"/>
    </xf>
    <xf numFmtId="171" fontId="12" fillId="0" borderId="0" xfId="22" applyNumberFormat="1" applyFont="1" applyFill="1" applyBorder="1"/>
    <xf numFmtId="0" fontId="69" fillId="9" borderId="0" xfId="0" applyFont="1" applyFill="1"/>
    <xf numFmtId="167" fontId="48" fillId="9" borderId="0" xfId="0" applyNumberFormat="1" applyFont="1" applyFill="1"/>
    <xf numFmtId="9" fontId="48" fillId="9" borderId="0" xfId="22" applyFont="1" applyFill="1"/>
    <xf numFmtId="0" fontId="60" fillId="9" borderId="0" xfId="0" applyFont="1" applyFill="1"/>
    <xf numFmtId="1" fontId="56" fillId="9" borderId="2" xfId="13" applyNumberFormat="1" applyFont="1" applyFill="1" applyBorder="1"/>
    <xf numFmtId="1" fontId="56" fillId="9" borderId="2" xfId="13" applyNumberFormat="1" applyFont="1" applyFill="1" applyBorder="1" applyAlignment="1">
      <alignment horizontal="right"/>
    </xf>
    <xf numFmtId="0" fontId="48" fillId="8" borderId="0" xfId="0" applyFont="1" applyFill="1"/>
    <xf numFmtId="0" fontId="48" fillId="8" borderId="11" xfId="0" applyFont="1" applyFill="1" applyBorder="1"/>
    <xf numFmtId="171" fontId="12" fillId="2" borderId="11" xfId="22" applyNumberFormat="1" applyFont="1" applyFill="1" applyBorder="1" applyAlignment="1">
      <alignment horizontal="right"/>
    </xf>
    <xf numFmtId="0" fontId="7" fillId="4" borderId="11" xfId="0" applyFont="1" applyFill="1" applyBorder="1" applyAlignment="1">
      <alignment horizontal="right"/>
    </xf>
    <xf numFmtId="167" fontId="6" fillId="2" borderId="11" xfId="0" applyNumberFormat="1" applyFont="1" applyFill="1" applyBorder="1"/>
    <xf numFmtId="171" fontId="40" fillId="2" borderId="11" xfId="22" applyNumberFormat="1" applyFont="1" applyFill="1" applyBorder="1" applyAlignment="1">
      <alignment horizontal="right"/>
    </xf>
    <xf numFmtId="9" fontId="63" fillId="2" borderId="11" xfId="0" applyNumberFormat="1" applyFont="1" applyFill="1" applyBorder="1" applyAlignment="1">
      <alignment horizontal="right"/>
    </xf>
    <xf numFmtId="3" fontId="6" fillId="2" borderId="11" xfId="0" applyNumberFormat="1" applyFont="1" applyFill="1" applyBorder="1" applyAlignment="1">
      <alignment horizontal="right"/>
    </xf>
    <xf numFmtId="171" fontId="7" fillId="2" borderId="11" xfId="0" applyNumberFormat="1" applyFont="1" applyFill="1" applyBorder="1" applyAlignment="1">
      <alignment horizontal="right"/>
    </xf>
    <xf numFmtId="9" fontId="6" fillId="2" borderId="11" xfId="0" applyNumberFormat="1" applyFont="1" applyFill="1" applyBorder="1" applyAlignment="1">
      <alignment horizontal="right"/>
    </xf>
    <xf numFmtId="164" fontId="20" fillId="2" borderId="11" xfId="11" applyFont="1" applyFill="1" applyBorder="1"/>
    <xf numFmtId="0" fontId="8" fillId="2" borderId="11" xfId="0" applyFont="1" applyFill="1" applyBorder="1" applyAlignment="1">
      <alignment horizontal="right"/>
    </xf>
    <xf numFmtId="170" fontId="8" fillId="2" borderId="11" xfId="11" applyNumberFormat="1" applyFont="1" applyFill="1" applyBorder="1"/>
    <xf numFmtId="167" fontId="12" fillId="2" borderId="11" xfId="11" applyNumberFormat="1" applyFont="1" applyFill="1" applyBorder="1"/>
    <xf numFmtId="0" fontId="48" fillId="8" borderId="15" xfId="0" applyFont="1" applyFill="1" applyBorder="1"/>
    <xf numFmtId="171" fontId="12" fillId="2" borderId="15" xfId="22" applyNumberFormat="1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167" fontId="6" fillId="2" borderId="15" xfId="0" applyNumberFormat="1" applyFont="1" applyFill="1" applyBorder="1"/>
    <xf numFmtId="174" fontId="12" fillId="2" borderId="15" xfId="0" applyNumberFormat="1" applyFont="1" applyFill="1" applyBorder="1" applyAlignment="1">
      <alignment horizontal="right"/>
    </xf>
    <xf numFmtId="9" fontId="6" fillId="2" borderId="15" xfId="0" applyNumberFormat="1" applyFont="1" applyFill="1" applyBorder="1" applyAlignment="1">
      <alignment horizontal="right"/>
    </xf>
    <xf numFmtId="3" fontId="6" fillId="0" borderId="15" xfId="0" applyNumberFormat="1" applyFont="1" applyBorder="1" applyAlignment="1">
      <alignment horizontal="right"/>
    </xf>
    <xf numFmtId="171" fontId="6" fillId="0" borderId="15" xfId="0" applyNumberFormat="1" applyFont="1" applyBorder="1"/>
    <xf numFmtId="171" fontId="12" fillId="0" borderId="15" xfId="22" applyNumberFormat="1" applyFont="1" applyFill="1" applyBorder="1"/>
    <xf numFmtId="164" fontId="12" fillId="2" borderId="15" xfId="11" applyFont="1" applyFill="1" applyBorder="1" applyAlignment="1">
      <alignment horizontal="right"/>
    </xf>
    <xf numFmtId="164" fontId="12" fillId="2" borderId="15" xfId="11" applyFont="1" applyFill="1" applyBorder="1"/>
    <xf numFmtId="172" fontId="62" fillId="2" borderId="11" xfId="0" applyNumberFormat="1" applyFont="1" applyFill="1" applyBorder="1" applyAlignment="1">
      <alignment horizontal="right"/>
    </xf>
    <xf numFmtId="171" fontId="63" fillId="2" borderId="11" xfId="22" applyNumberFormat="1" applyFont="1" applyFill="1" applyBorder="1" applyAlignment="1">
      <alignment horizontal="right"/>
    </xf>
    <xf numFmtId="3" fontId="62" fillId="2" borderId="11" xfId="0" applyNumberFormat="1" applyFont="1" applyFill="1" applyBorder="1" applyAlignment="1">
      <alignment horizontal="right"/>
    </xf>
    <xf numFmtId="171" fontId="57" fillId="2" borderId="11" xfId="22" applyNumberFormat="1" applyFont="1" applyFill="1" applyBorder="1" applyAlignment="1">
      <alignment horizontal="right"/>
    </xf>
    <xf numFmtId="172" fontId="62" fillId="2" borderId="11" xfId="11" applyNumberFormat="1" applyFont="1" applyFill="1" applyBorder="1" applyAlignment="1">
      <alignment horizontal="right"/>
    </xf>
    <xf numFmtId="1" fontId="62" fillId="2" borderId="11" xfId="0" applyNumberFormat="1" applyFont="1" applyFill="1" applyBorder="1" applyAlignment="1">
      <alignment horizontal="right"/>
    </xf>
    <xf numFmtId="167" fontId="62" fillId="0" borderId="11" xfId="11" applyNumberFormat="1" applyFont="1" applyFill="1" applyBorder="1"/>
    <xf numFmtId="2" fontId="57" fillId="0" borderId="11" xfId="13" applyNumberFormat="1" applyFont="1" applyFill="1" applyBorder="1"/>
    <xf numFmtId="172" fontId="63" fillId="2" borderId="11" xfId="0" applyNumberFormat="1" applyFont="1" applyFill="1" applyBorder="1" applyAlignment="1">
      <alignment horizontal="right"/>
    </xf>
    <xf numFmtId="171" fontId="49" fillId="0" borderId="11" xfId="22" applyNumberFormat="1" applyFont="1" applyFill="1" applyBorder="1" applyAlignment="1">
      <alignment horizontal="right"/>
    </xf>
    <xf numFmtId="170" fontId="57" fillId="2" borderId="11" xfId="0" applyNumberFormat="1" applyFont="1" applyFill="1" applyBorder="1"/>
    <xf numFmtId="167" fontId="63" fillId="0" borderId="11" xfId="11" applyNumberFormat="1" applyFont="1" applyFill="1" applyBorder="1"/>
    <xf numFmtId="172" fontId="62" fillId="2" borderId="0" xfId="0" applyNumberFormat="1" applyFont="1" applyFill="1" applyAlignment="1">
      <alignment horizontal="right"/>
    </xf>
    <xf numFmtId="171" fontId="63" fillId="2" borderId="0" xfId="22" applyNumberFormat="1" applyFont="1" applyFill="1" applyBorder="1" applyAlignment="1">
      <alignment horizontal="right"/>
    </xf>
    <xf numFmtId="3" fontId="62" fillId="2" borderId="0" xfId="0" applyNumberFormat="1" applyFont="1" applyFill="1" applyAlignment="1">
      <alignment horizontal="right"/>
    </xf>
    <xf numFmtId="172" fontId="62" fillId="2" borderId="0" xfId="11" applyNumberFormat="1" applyFont="1" applyFill="1" applyBorder="1" applyAlignment="1">
      <alignment horizontal="right"/>
    </xf>
    <xf numFmtId="1" fontId="62" fillId="2" borderId="0" xfId="0" applyNumberFormat="1" applyFont="1" applyFill="1" applyAlignment="1">
      <alignment horizontal="right"/>
    </xf>
    <xf numFmtId="172" fontId="63" fillId="2" borderId="0" xfId="0" applyNumberFormat="1" applyFont="1" applyFill="1" applyAlignment="1">
      <alignment horizontal="right"/>
    </xf>
    <xf numFmtId="170" fontId="57" fillId="2" borderId="0" xfId="0" applyNumberFormat="1" applyFont="1" applyFill="1"/>
    <xf numFmtId="167" fontId="63" fillId="0" borderId="0" xfId="11" applyNumberFormat="1" applyFont="1" applyFill="1" applyBorder="1"/>
    <xf numFmtId="171" fontId="57" fillId="0" borderId="0" xfId="22" applyNumberFormat="1" applyFont="1" applyFill="1" applyBorder="1" applyAlignment="1">
      <alignment horizontal="right"/>
    </xf>
    <xf numFmtId="174" fontId="57" fillId="2" borderId="0" xfId="0" applyNumberFormat="1" applyFont="1" applyFill="1" applyAlignment="1">
      <alignment horizontal="right"/>
    </xf>
    <xf numFmtId="10" fontId="7" fillId="2" borderId="15" xfId="0" applyNumberFormat="1" applyFont="1" applyFill="1" applyBorder="1" applyAlignment="1">
      <alignment horizontal="right"/>
    </xf>
    <xf numFmtId="172" fontId="63" fillId="2" borderId="15" xfId="0" applyNumberFormat="1" applyFont="1" applyFill="1" applyBorder="1" applyAlignment="1">
      <alignment horizontal="right"/>
    </xf>
    <xf numFmtId="174" fontId="57" fillId="2" borderId="15" xfId="0" applyNumberFormat="1" applyFont="1" applyFill="1" applyBorder="1" applyAlignment="1">
      <alignment horizontal="right"/>
    </xf>
    <xf numFmtId="9" fontId="63" fillId="2" borderId="15" xfId="0" applyNumberFormat="1" applyFont="1" applyFill="1" applyBorder="1" applyAlignment="1">
      <alignment horizontal="right"/>
    </xf>
    <xf numFmtId="2" fontId="57" fillId="0" borderId="0" xfId="13" applyNumberFormat="1" applyFont="1" applyFill="1" applyBorder="1"/>
    <xf numFmtId="172" fontId="62" fillId="2" borderId="15" xfId="0" applyNumberFormat="1" applyFont="1" applyFill="1" applyBorder="1" applyAlignment="1">
      <alignment horizontal="right"/>
    </xf>
    <xf numFmtId="171" fontId="63" fillId="2" borderId="15" xfId="22" applyNumberFormat="1" applyFont="1" applyFill="1" applyBorder="1" applyAlignment="1">
      <alignment horizontal="right"/>
    </xf>
    <xf numFmtId="3" fontId="62" fillId="2" borderId="15" xfId="0" applyNumberFormat="1" applyFont="1" applyFill="1" applyBorder="1" applyAlignment="1">
      <alignment horizontal="right"/>
    </xf>
    <xf numFmtId="171" fontId="57" fillId="2" borderId="15" xfId="22" applyNumberFormat="1" applyFont="1" applyFill="1" applyBorder="1" applyAlignment="1">
      <alignment horizontal="right"/>
    </xf>
    <xf numFmtId="1" fontId="63" fillId="2" borderId="0" xfId="0" applyNumberFormat="1" applyFont="1" applyFill="1" applyAlignment="1">
      <alignment horizontal="right"/>
    </xf>
    <xf numFmtId="1" fontId="42" fillId="0" borderId="0" xfId="0" applyNumberFormat="1" applyFont="1" applyAlignment="1">
      <alignment horizontal="right"/>
    </xf>
    <xf numFmtId="1" fontId="42" fillId="0" borderId="11" xfId="0" applyNumberFormat="1" applyFont="1" applyBorder="1" applyAlignment="1">
      <alignment horizontal="right"/>
    </xf>
    <xf numFmtId="2" fontId="57" fillId="2" borderId="0" xfId="13" applyNumberFormat="1" applyFont="1" applyFill="1" applyBorder="1"/>
    <xf numFmtId="1" fontId="63" fillId="2" borderId="15" xfId="0" applyNumberFormat="1" applyFont="1" applyFill="1" applyBorder="1" applyAlignment="1">
      <alignment horizontal="right"/>
    </xf>
    <xf numFmtId="172" fontId="62" fillId="2" borderId="15" xfId="11" applyNumberFormat="1" applyFont="1" applyFill="1" applyBorder="1" applyAlignment="1">
      <alignment horizontal="right"/>
    </xf>
    <xf numFmtId="1" fontId="62" fillId="2" borderId="15" xfId="0" applyNumberFormat="1" applyFont="1" applyFill="1" applyBorder="1" applyAlignment="1">
      <alignment horizontal="right"/>
    </xf>
    <xf numFmtId="2" fontId="57" fillId="2" borderId="15" xfId="13" applyNumberFormat="1" applyFont="1" applyFill="1" applyBorder="1"/>
    <xf numFmtId="171" fontId="57" fillId="0" borderId="11" xfId="22" applyNumberFormat="1" applyFont="1" applyFill="1" applyBorder="1"/>
    <xf numFmtId="164" fontId="7" fillId="2" borderId="0" xfId="11" applyFont="1" applyFill="1" applyBorder="1" applyAlignment="1">
      <alignment horizontal="right"/>
    </xf>
    <xf numFmtId="171" fontId="6" fillId="4" borderId="0" xfId="17" applyNumberFormat="1" applyFont="1" applyFill="1" applyAlignment="1">
      <alignment horizontal="right"/>
    </xf>
    <xf numFmtId="0" fontId="56" fillId="9" borderId="0" xfId="17" applyFont="1" applyFill="1"/>
    <xf numFmtId="0" fontId="48" fillId="9" borderId="0" xfId="17" applyFont="1" applyFill="1"/>
    <xf numFmtId="0" fontId="60" fillId="9" borderId="0" xfId="17" applyFont="1" applyFill="1"/>
    <xf numFmtId="0" fontId="48" fillId="8" borderId="0" xfId="17" applyFont="1" applyFill="1"/>
    <xf numFmtId="0" fontId="48" fillId="8" borderId="11" xfId="17" applyFont="1" applyFill="1" applyBorder="1"/>
    <xf numFmtId="3" fontId="62" fillId="2" borderId="11" xfId="17" applyNumberFormat="1" applyFont="1" applyFill="1" applyBorder="1" applyAlignment="1">
      <alignment horizontal="right"/>
    </xf>
    <xf numFmtId="9" fontId="57" fillId="2" borderId="11" xfId="22" applyFont="1" applyFill="1" applyBorder="1" applyAlignment="1">
      <alignment horizontal="right"/>
    </xf>
    <xf numFmtId="172" fontId="12" fillId="2" borderId="11" xfId="12" applyNumberFormat="1" applyFont="1" applyFill="1" applyBorder="1" applyAlignment="1">
      <alignment horizontal="right"/>
    </xf>
    <xf numFmtId="171" fontId="11" fillId="2" borderId="11" xfId="17" applyNumberFormat="1" applyFont="1" applyFill="1" applyBorder="1" applyAlignment="1">
      <alignment horizontal="right"/>
    </xf>
    <xf numFmtId="171" fontId="11" fillId="4" borderId="11" xfId="17" applyNumberFormat="1" applyFont="1" applyFill="1" applyBorder="1" applyAlignment="1">
      <alignment horizontal="right"/>
    </xf>
    <xf numFmtId="3" fontId="63" fillId="2" borderId="11" xfId="17" applyNumberFormat="1" applyFont="1" applyFill="1" applyBorder="1" applyAlignment="1">
      <alignment horizontal="right"/>
    </xf>
    <xf numFmtId="0" fontId="45" fillId="2" borderId="11" xfId="17" applyFont="1" applyFill="1" applyBorder="1"/>
    <xf numFmtId="3" fontId="63" fillId="2" borderId="11" xfId="17" applyNumberFormat="1" applyFont="1" applyFill="1" applyBorder="1"/>
    <xf numFmtId="0" fontId="28" fillId="2" borderId="11" xfId="17" applyFont="1" applyFill="1" applyBorder="1" applyAlignment="1">
      <alignment horizontal="right"/>
    </xf>
    <xf numFmtId="9" fontId="45" fillId="2" borderId="11" xfId="17" applyNumberFormat="1" applyFont="1" applyFill="1" applyBorder="1"/>
    <xf numFmtId="171" fontId="42" fillId="2" borderId="11" xfId="17" applyNumberFormat="1" applyFont="1" applyFill="1" applyBorder="1"/>
    <xf numFmtId="171" fontId="63" fillId="2" borderId="11" xfId="17" applyNumberFormat="1" applyFont="1" applyFill="1" applyBorder="1"/>
    <xf numFmtId="0" fontId="47" fillId="2" borderId="11" xfId="17" applyFont="1" applyFill="1" applyBorder="1"/>
    <xf numFmtId="0" fontId="7" fillId="2" borderId="11" xfId="17" applyFont="1" applyFill="1" applyBorder="1" applyAlignment="1">
      <alignment horizontal="center"/>
    </xf>
    <xf numFmtId="0" fontId="48" fillId="8" borderId="15" xfId="17" applyFont="1" applyFill="1" applyBorder="1"/>
    <xf numFmtId="0" fontId="7" fillId="2" borderId="15" xfId="17" applyFont="1" applyFill="1" applyBorder="1" applyAlignment="1">
      <alignment horizontal="right"/>
    </xf>
    <xf numFmtId="172" fontId="12" fillId="2" borderId="15" xfId="12" applyNumberFormat="1" applyFont="1" applyFill="1" applyBorder="1" applyAlignment="1">
      <alignment horizontal="right"/>
    </xf>
    <xf numFmtId="3" fontId="6" fillId="2" borderId="15" xfId="17" applyNumberFormat="1" applyFont="1" applyFill="1" applyBorder="1" applyAlignment="1">
      <alignment horizontal="right"/>
    </xf>
    <xf numFmtId="171" fontId="6" fillId="2" borderId="15" xfId="17" applyNumberFormat="1" applyFont="1" applyFill="1" applyBorder="1" applyAlignment="1">
      <alignment horizontal="right"/>
    </xf>
    <xf numFmtId="171" fontId="6" fillId="4" borderId="15" xfId="17" applyNumberFormat="1" applyFont="1" applyFill="1" applyBorder="1" applyAlignment="1">
      <alignment horizontal="right"/>
    </xf>
    <xf numFmtId="0" fontId="6" fillId="2" borderId="15" xfId="17" applyFont="1" applyFill="1" applyBorder="1"/>
    <xf numFmtId="172" fontId="6" fillId="2" borderId="15" xfId="12" applyNumberFormat="1" applyFont="1" applyFill="1" applyBorder="1" applyAlignment="1">
      <alignment horizontal="right"/>
    </xf>
    <xf numFmtId="3" fontId="6" fillId="2" borderId="15" xfId="17" applyNumberFormat="1" applyFont="1" applyFill="1" applyBorder="1"/>
    <xf numFmtId="0" fontId="6" fillId="2" borderId="15" xfId="17" applyFont="1" applyFill="1" applyBorder="1" applyAlignment="1">
      <alignment horizontal="right"/>
    </xf>
    <xf numFmtId="0" fontId="7" fillId="2" borderId="15" xfId="17" applyFont="1" applyFill="1" applyBorder="1" applyAlignment="1">
      <alignment horizontal="center"/>
    </xf>
    <xf numFmtId="3" fontId="62" fillId="0" borderId="11" xfId="17" applyNumberFormat="1" applyFont="1" applyBorder="1" applyAlignment="1">
      <alignment horizontal="right"/>
    </xf>
    <xf numFmtId="3" fontId="62" fillId="0" borderId="0" xfId="17" applyNumberFormat="1" applyFont="1" applyAlignment="1">
      <alignment horizontal="right"/>
    </xf>
    <xf numFmtId="171" fontId="57" fillId="0" borderId="11" xfId="22" applyNumberFormat="1" applyFont="1" applyFill="1" applyBorder="1" applyAlignment="1">
      <alignment horizontal="right"/>
    </xf>
    <xf numFmtId="0" fontId="62" fillId="0" borderId="11" xfId="17" applyFont="1" applyBorder="1" applyAlignment="1">
      <alignment horizontal="right"/>
    </xf>
    <xf numFmtId="0" fontId="62" fillId="0" borderId="0" xfId="17" applyFont="1" applyAlignment="1">
      <alignment horizontal="right"/>
    </xf>
    <xf numFmtId="171" fontId="12" fillId="0" borderId="11" xfId="23" applyNumberFormat="1" applyFont="1" applyFill="1" applyBorder="1" applyAlignment="1">
      <alignment horizontal="right"/>
    </xf>
    <xf numFmtId="171" fontId="12" fillId="0" borderId="0" xfId="23" applyNumberFormat="1" applyFont="1" applyFill="1" applyBorder="1" applyAlignment="1">
      <alignment horizontal="right"/>
    </xf>
    <xf numFmtId="0" fontId="7" fillId="0" borderId="11" xfId="17" applyFont="1" applyBorder="1" applyAlignment="1">
      <alignment horizontal="right"/>
    </xf>
    <xf numFmtId="171" fontId="35" fillId="2" borderId="0" xfId="22" applyNumberFormat="1" applyFont="1" applyFill="1" applyBorder="1" applyAlignment="1">
      <alignment horizontal="right"/>
    </xf>
    <xf numFmtId="171" fontId="28" fillId="2" borderId="0" xfId="22" applyNumberFormat="1" applyFont="1" applyFill="1" applyBorder="1" applyAlignment="1">
      <alignment horizontal="right"/>
    </xf>
    <xf numFmtId="1" fontId="42" fillId="0" borderId="11" xfId="17" applyNumberFormat="1" applyFont="1" applyBorder="1" applyAlignment="1">
      <alignment horizontal="right"/>
    </xf>
    <xf numFmtId="1" fontId="42" fillId="0" borderId="0" xfId="17" applyNumberFormat="1" applyFont="1" applyAlignment="1">
      <alignment horizontal="right"/>
    </xf>
    <xf numFmtId="0" fontId="63" fillId="2" borderId="0" xfId="17" applyFont="1" applyFill="1"/>
    <xf numFmtId="171" fontId="57" fillId="2" borderId="0" xfId="23" applyNumberFormat="1" applyFont="1" applyFill="1" applyBorder="1" applyAlignment="1">
      <alignment horizontal="right"/>
    </xf>
    <xf numFmtId="4" fontId="57" fillId="2" borderId="0" xfId="17" applyNumberFormat="1" applyFont="1" applyFill="1" applyAlignment="1">
      <alignment horizontal="right"/>
    </xf>
    <xf numFmtId="3" fontId="62" fillId="2" borderId="15" xfId="17" applyNumberFormat="1" applyFont="1" applyFill="1" applyBorder="1" applyAlignment="1">
      <alignment horizontal="right"/>
    </xf>
    <xf numFmtId="9" fontId="57" fillId="2" borderId="15" xfId="22" applyFont="1" applyFill="1" applyBorder="1" applyAlignment="1">
      <alignment horizontal="right"/>
    </xf>
    <xf numFmtId="3" fontId="63" fillId="2" borderId="15" xfId="17" applyNumberFormat="1" applyFont="1" applyFill="1" applyBorder="1" applyAlignment="1">
      <alignment horizontal="right"/>
    </xf>
    <xf numFmtId="3" fontId="62" fillId="0" borderId="15" xfId="17" applyNumberFormat="1" applyFont="1" applyBorder="1" applyAlignment="1">
      <alignment horizontal="right"/>
    </xf>
    <xf numFmtId="171" fontId="57" fillId="0" borderId="15" xfId="22" applyNumberFormat="1" applyFont="1" applyFill="1" applyBorder="1" applyAlignment="1">
      <alignment horizontal="right"/>
    </xf>
    <xf numFmtId="171" fontId="57" fillId="2" borderId="15" xfId="23" applyNumberFormat="1" applyFont="1" applyFill="1" applyBorder="1" applyAlignment="1">
      <alignment horizontal="right"/>
    </xf>
    <xf numFmtId="0" fontId="62" fillId="2" borderId="15" xfId="17" applyFont="1" applyFill="1" applyBorder="1" applyAlignment="1">
      <alignment horizontal="right"/>
    </xf>
    <xf numFmtId="4" fontId="57" fillId="2" borderId="15" xfId="17" applyNumberFormat="1" applyFont="1" applyFill="1" applyBorder="1" applyAlignment="1">
      <alignment horizontal="right"/>
    </xf>
    <xf numFmtId="3" fontId="63" fillId="2" borderId="15" xfId="17" applyNumberFormat="1" applyFont="1" applyFill="1" applyBorder="1"/>
    <xf numFmtId="171" fontId="63" fillId="2" borderId="15" xfId="17" applyNumberFormat="1" applyFont="1" applyFill="1" applyBorder="1"/>
    <xf numFmtId="0" fontId="63" fillId="2" borderId="15" xfId="17" applyFont="1" applyFill="1" applyBorder="1"/>
    <xf numFmtId="9" fontId="6" fillId="0" borderId="0" xfId="22" applyFont="1" applyFill="1" applyBorder="1"/>
    <xf numFmtId="0" fontId="6" fillId="0" borderId="0" xfId="22" applyNumberFormat="1" applyFont="1" applyFill="1" applyBorder="1"/>
    <xf numFmtId="0" fontId="6" fillId="0" borderId="0" xfId="11" applyNumberFormat="1" applyFont="1" applyFill="1" applyBorder="1"/>
    <xf numFmtId="9" fontId="7" fillId="0" borderId="0" xfId="22" applyFont="1" applyFill="1"/>
    <xf numFmtId="171" fontId="12" fillId="0" borderId="0" xfId="22" applyNumberFormat="1" applyFont="1" applyFill="1"/>
    <xf numFmtId="167" fontId="6" fillId="0" borderId="0" xfId="22" applyNumberFormat="1" applyFont="1" applyFill="1" applyBorder="1"/>
    <xf numFmtId="168" fontId="6" fillId="0" borderId="0" xfId="22" applyNumberFormat="1" applyFont="1" applyFill="1" applyBorder="1"/>
    <xf numFmtId="0" fontId="6" fillId="0" borderId="0" xfId="0" applyFont="1" applyAlignment="1">
      <alignment horizontal="right"/>
    </xf>
    <xf numFmtId="168" fontId="48" fillId="9" borderId="0" xfId="22" applyNumberFormat="1" applyFont="1" applyFill="1"/>
    <xf numFmtId="0" fontId="10" fillId="0" borderId="0" xfId="0" applyFont="1"/>
    <xf numFmtId="0" fontId="48" fillId="8" borderId="0" xfId="0" applyFont="1" applyFill="1" applyAlignment="1">
      <alignment horizontal="right"/>
    </xf>
    <xf numFmtId="0" fontId="48" fillId="8" borderId="11" xfId="0" applyFont="1" applyFill="1" applyBorder="1" applyAlignment="1">
      <alignment horizontal="right"/>
    </xf>
    <xf numFmtId="3" fontId="20" fillId="2" borderId="11" xfId="0" applyNumberFormat="1" applyFont="1" applyFill="1" applyBorder="1"/>
    <xf numFmtId="0" fontId="8" fillId="2" borderId="11" xfId="11" applyNumberFormat="1" applyFont="1" applyFill="1" applyBorder="1"/>
    <xf numFmtId="9" fontId="42" fillId="2" borderId="11" xfId="22" applyFont="1" applyFill="1" applyBorder="1"/>
    <xf numFmtId="168" fontId="7" fillId="2" borderId="11" xfId="0" applyNumberFormat="1" applyFont="1" applyFill="1" applyBorder="1"/>
    <xf numFmtId="0" fontId="5" fillId="0" borderId="11" xfId="0" applyFont="1" applyBorder="1"/>
    <xf numFmtId="9" fontId="8" fillId="0" borderId="11" xfId="22" applyFont="1" applyFill="1" applyBorder="1"/>
    <xf numFmtId="172" fontId="8" fillId="2" borderId="11" xfId="11" applyNumberFormat="1" applyFont="1" applyFill="1" applyBorder="1"/>
    <xf numFmtId="3" fontId="22" fillId="2" borderId="11" xfId="0" applyNumberFormat="1" applyFont="1" applyFill="1" applyBorder="1"/>
    <xf numFmtId="0" fontId="5" fillId="2" borderId="11" xfId="0" applyFont="1" applyFill="1" applyBorder="1"/>
    <xf numFmtId="168" fontId="8" fillId="2" borderId="11" xfId="0" applyNumberFormat="1" applyFont="1" applyFill="1" applyBorder="1"/>
    <xf numFmtId="176" fontId="0" fillId="2" borderId="11" xfId="0" applyNumberFormat="1" applyFill="1" applyBorder="1"/>
    <xf numFmtId="0" fontId="58" fillId="2" borderId="11" xfId="0" applyFont="1" applyFill="1" applyBorder="1"/>
    <xf numFmtId="0" fontId="53" fillId="2" borderId="11" xfId="0" applyFont="1" applyFill="1" applyBorder="1"/>
    <xf numFmtId="0" fontId="59" fillId="2" borderId="11" xfId="0" applyFont="1" applyFill="1" applyBorder="1"/>
    <xf numFmtId="0" fontId="48" fillId="8" borderId="15" xfId="0" applyFont="1" applyFill="1" applyBorder="1" applyAlignment="1">
      <alignment horizontal="right"/>
    </xf>
    <xf numFmtId="0" fontId="6" fillId="0" borderId="15" xfId="0" applyFont="1" applyBorder="1"/>
    <xf numFmtId="168" fontId="6" fillId="0" borderId="15" xfId="0" applyNumberFormat="1" applyFont="1" applyBorder="1"/>
    <xf numFmtId="0" fontId="6" fillId="0" borderId="15" xfId="11" applyNumberFormat="1" applyFont="1" applyFill="1" applyBorder="1"/>
    <xf numFmtId="9" fontId="6" fillId="0" borderId="15" xfId="22" applyFont="1" applyFill="1" applyBorder="1"/>
    <xf numFmtId="0" fontId="3" fillId="0" borderId="15" xfId="0" applyFont="1" applyBorder="1"/>
    <xf numFmtId="172" fontId="7" fillId="0" borderId="15" xfId="11" applyNumberFormat="1" applyFont="1" applyFill="1" applyBorder="1"/>
    <xf numFmtId="168" fontId="7" fillId="0" borderId="15" xfId="0" applyNumberFormat="1" applyFont="1" applyBorder="1"/>
    <xf numFmtId="171" fontId="6" fillId="0" borderId="15" xfId="22" applyNumberFormat="1" applyFont="1" applyFill="1" applyBorder="1"/>
    <xf numFmtId="167" fontId="6" fillId="0" borderId="15" xfId="0" applyNumberFormat="1" applyFont="1" applyBorder="1"/>
    <xf numFmtId="0" fontId="5" fillId="0" borderId="15" xfId="0" applyFont="1" applyBorder="1"/>
    <xf numFmtId="0" fontId="6" fillId="0" borderId="15" xfId="0" applyFont="1" applyBorder="1" applyAlignment="1">
      <alignment horizontal="right"/>
    </xf>
    <xf numFmtId="0" fontId="10" fillId="0" borderId="15" xfId="0" applyFont="1" applyBorder="1"/>
    <xf numFmtId="9" fontId="62" fillId="2" borderId="11" xfId="22" applyFont="1" applyFill="1" applyBorder="1"/>
    <xf numFmtId="168" fontId="62" fillId="2" borderId="11" xfId="0" applyNumberFormat="1" applyFont="1" applyFill="1" applyBorder="1"/>
    <xf numFmtId="171" fontId="63" fillId="2" borderId="11" xfId="22" applyNumberFormat="1" applyFont="1" applyFill="1" applyBorder="1"/>
    <xf numFmtId="168" fontId="63" fillId="0" borderId="15" xfId="0" applyNumberFormat="1" applyFont="1" applyBorder="1"/>
    <xf numFmtId="168" fontId="62" fillId="2" borderId="0" xfId="0" applyNumberFormat="1" applyFont="1" applyFill="1"/>
    <xf numFmtId="168" fontId="62" fillId="2" borderId="15" xfId="0" applyNumberFormat="1" applyFont="1" applyFill="1" applyBorder="1"/>
    <xf numFmtId="3" fontId="22" fillId="2" borderId="15" xfId="0" applyNumberFormat="1" applyFont="1" applyFill="1" applyBorder="1"/>
    <xf numFmtId="3" fontId="63" fillId="0" borderId="11" xfId="0" applyNumberFormat="1" applyFont="1" applyBorder="1"/>
    <xf numFmtId="171" fontId="63" fillId="0" borderId="15" xfId="22" applyNumberFormat="1" applyFont="1" applyFill="1" applyBorder="1"/>
    <xf numFmtId="9" fontId="63" fillId="0" borderId="11" xfId="22" applyFont="1" applyFill="1" applyBorder="1"/>
    <xf numFmtId="167" fontId="63" fillId="0" borderId="11" xfId="0" applyNumberFormat="1" applyFont="1" applyBorder="1"/>
    <xf numFmtId="167" fontId="63" fillId="0" borderId="15" xfId="0" applyNumberFormat="1" applyFont="1" applyBorder="1"/>
    <xf numFmtId="3" fontId="63" fillId="2" borderId="11" xfId="0" applyNumberFormat="1" applyFont="1" applyFill="1" applyBorder="1" applyAlignment="1">
      <alignment horizontal="right"/>
    </xf>
    <xf numFmtId="168" fontId="63" fillId="0" borderId="11" xfId="0" applyNumberFormat="1" applyFont="1" applyBorder="1"/>
    <xf numFmtId="3" fontId="7" fillId="0" borderId="0" xfId="17" applyNumberFormat="1" applyFont="1"/>
    <xf numFmtId="3" fontId="6" fillId="0" borderId="0" xfId="17" applyNumberFormat="1" applyFont="1"/>
    <xf numFmtId="9" fontId="63" fillId="0" borderId="15" xfId="22" applyFont="1" applyFill="1" applyBorder="1"/>
    <xf numFmtId="171" fontId="63" fillId="2" borderId="11" xfId="0" applyNumberFormat="1" applyFont="1" applyFill="1" applyBorder="1"/>
    <xf numFmtId="0" fontId="3" fillId="2" borderId="0" xfId="30" applyFill="1"/>
    <xf numFmtId="0" fontId="69" fillId="7" borderId="7" xfId="30" applyFont="1" applyFill="1" applyBorder="1"/>
    <xf numFmtId="0" fontId="70" fillId="7" borderId="0" xfId="30" applyFont="1" applyFill="1"/>
    <xf numFmtId="0" fontId="69" fillId="7" borderId="0" xfId="30" applyFont="1" applyFill="1" applyAlignment="1">
      <alignment horizontal="center"/>
    </xf>
    <xf numFmtId="0" fontId="69" fillId="7" borderId="8" xfId="30" applyFont="1" applyFill="1" applyBorder="1" applyAlignment="1">
      <alignment horizontal="center"/>
    </xf>
    <xf numFmtId="0" fontId="69" fillId="7" borderId="9" xfId="30" applyFont="1" applyFill="1" applyBorder="1"/>
    <xf numFmtId="0" fontId="69" fillId="7" borderId="2" xfId="30" applyFont="1" applyFill="1" applyBorder="1" applyAlignment="1">
      <alignment horizontal="center"/>
    </xf>
    <xf numFmtId="0" fontId="71" fillId="2" borderId="11" xfId="30" applyFont="1" applyFill="1" applyBorder="1"/>
    <xf numFmtId="179" fontId="72" fillId="2" borderId="0" xfId="30" applyNumberFormat="1" applyFont="1" applyFill="1" applyAlignment="1">
      <alignment horizontal="center"/>
    </xf>
    <xf numFmtId="179" fontId="72" fillId="2" borderId="7" xfId="30" applyNumberFormat="1" applyFont="1" applyFill="1" applyBorder="1" applyAlignment="1">
      <alignment horizontal="center"/>
    </xf>
    <xf numFmtId="179" fontId="72" fillId="2" borderId="8" xfId="30" applyNumberFormat="1" applyFont="1" applyFill="1" applyBorder="1" applyAlignment="1">
      <alignment horizontal="center"/>
    </xf>
    <xf numFmtId="0" fontId="73" fillId="2" borderId="11" xfId="30" applyFont="1" applyFill="1" applyBorder="1" applyAlignment="1">
      <alignment horizontal="left" indent="1"/>
    </xf>
    <xf numFmtId="9" fontId="74" fillId="2" borderId="7" xfId="22" applyFont="1" applyFill="1" applyBorder="1" applyAlignment="1">
      <alignment horizontal="center"/>
    </xf>
    <xf numFmtId="9" fontId="72" fillId="2" borderId="0" xfId="22" applyFont="1" applyFill="1" applyBorder="1" applyAlignment="1">
      <alignment horizontal="center"/>
    </xf>
    <xf numFmtId="9" fontId="74" fillId="2" borderId="8" xfId="22" applyFont="1" applyFill="1" applyBorder="1" applyAlignment="1">
      <alignment horizontal="center"/>
    </xf>
    <xf numFmtId="0" fontId="71" fillId="2" borderId="11" xfId="30" applyFont="1" applyFill="1" applyBorder="1" applyAlignment="1">
      <alignment horizontal="left"/>
    </xf>
    <xf numFmtId="0" fontId="73" fillId="2" borderId="24" xfId="30" applyFont="1" applyFill="1" applyBorder="1" applyAlignment="1">
      <alignment horizontal="left" indent="1"/>
    </xf>
    <xf numFmtId="179" fontId="72" fillId="2" borderId="24" xfId="30" applyNumberFormat="1" applyFont="1" applyFill="1" applyBorder="1" applyAlignment="1">
      <alignment horizontal="center"/>
    </xf>
    <xf numFmtId="0" fontId="5" fillId="2" borderId="0" xfId="30" applyFont="1" applyFill="1"/>
    <xf numFmtId="0" fontId="75" fillId="2" borderId="13" xfId="30" applyFont="1" applyFill="1" applyBorder="1"/>
    <xf numFmtId="179" fontId="15" fillId="2" borderId="2" xfId="30" applyNumberFormat="1" applyFont="1" applyFill="1" applyBorder="1" applyAlignment="1">
      <alignment horizontal="center"/>
    </xf>
    <xf numFmtId="179" fontId="15" fillId="2" borderId="9" xfId="30" applyNumberFormat="1" applyFont="1" applyFill="1" applyBorder="1" applyAlignment="1">
      <alignment horizontal="center"/>
    </xf>
    <xf numFmtId="179" fontId="15" fillId="2" borderId="10" xfId="30" applyNumberFormat="1" applyFont="1" applyFill="1" applyBorder="1" applyAlignment="1">
      <alignment horizontal="center"/>
    </xf>
    <xf numFmtId="179" fontId="71" fillId="2" borderId="0" xfId="30" applyNumberFormat="1" applyFont="1" applyFill="1" applyAlignment="1">
      <alignment horizontal="center"/>
    </xf>
    <xf numFmtId="179" fontId="71" fillId="2" borderId="7" xfId="30" applyNumberFormat="1" applyFont="1" applyFill="1" applyBorder="1" applyAlignment="1">
      <alignment horizontal="center"/>
    </xf>
    <xf numFmtId="179" fontId="71" fillId="2" borderId="8" xfId="30" applyNumberFormat="1" applyFont="1" applyFill="1" applyBorder="1" applyAlignment="1">
      <alignment horizontal="center"/>
    </xf>
    <xf numFmtId="171" fontId="3" fillId="2" borderId="0" xfId="22" applyNumberFormat="1" applyFont="1" applyFill="1" applyBorder="1"/>
    <xf numFmtId="171" fontId="71" fillId="2" borderId="11" xfId="22" applyNumberFormat="1" applyFont="1" applyFill="1" applyBorder="1" applyAlignment="1">
      <alignment horizontal="left" indent="1"/>
    </xf>
    <xf numFmtId="171" fontId="71" fillId="2" borderId="0" xfId="22" applyNumberFormat="1" applyFont="1" applyFill="1" applyBorder="1" applyAlignment="1">
      <alignment horizontal="center"/>
    </xf>
    <xf numFmtId="171" fontId="74" fillId="2" borderId="7" xfId="22" applyNumberFormat="1" applyFont="1" applyFill="1" applyBorder="1" applyAlignment="1">
      <alignment horizontal="center"/>
    </xf>
    <xf numFmtId="171" fontId="74" fillId="2" borderId="8" xfId="22" applyNumberFormat="1" applyFont="1" applyFill="1" applyBorder="1" applyAlignment="1">
      <alignment horizontal="center"/>
    </xf>
    <xf numFmtId="171" fontId="71" fillId="2" borderId="24" xfId="22" applyNumberFormat="1" applyFont="1" applyFill="1" applyBorder="1" applyAlignment="1">
      <alignment horizontal="left" indent="1"/>
    </xf>
    <xf numFmtId="171" fontId="71" fillId="2" borderId="26" xfId="22" applyNumberFormat="1" applyFont="1" applyFill="1" applyBorder="1" applyAlignment="1">
      <alignment horizontal="center"/>
    </xf>
    <xf numFmtId="0" fontId="75" fillId="0" borderId="13" xfId="30" applyFont="1" applyBorder="1"/>
    <xf numFmtId="179" fontId="75" fillId="0" borderId="2" xfId="30" applyNumberFormat="1" applyFont="1" applyBorder="1" applyAlignment="1">
      <alignment horizontal="center"/>
    </xf>
    <xf numFmtId="179" fontId="75" fillId="0" borderId="9" xfId="30" applyNumberFormat="1" applyFont="1" applyBorder="1" applyAlignment="1">
      <alignment horizontal="center"/>
    </xf>
    <xf numFmtId="179" fontId="75" fillId="0" borderId="10" xfId="30" applyNumberFormat="1" applyFont="1" applyBorder="1" applyAlignment="1">
      <alignment horizontal="center"/>
    </xf>
    <xf numFmtId="171" fontId="71" fillId="2" borderId="11" xfId="22" applyNumberFormat="1" applyFont="1" applyFill="1" applyBorder="1"/>
    <xf numFmtId="171" fontId="71" fillId="2" borderId="7" xfId="22" applyNumberFormat="1" applyFont="1" applyFill="1" applyBorder="1" applyAlignment="1">
      <alignment horizontal="center"/>
    </xf>
    <xf numFmtId="171" fontId="71" fillId="2" borderId="8" xfId="22" applyNumberFormat="1" applyFont="1" applyFill="1" applyBorder="1" applyAlignment="1">
      <alignment horizontal="center"/>
    </xf>
    <xf numFmtId="171" fontId="75" fillId="2" borderId="11" xfId="22" applyNumberFormat="1" applyFont="1" applyFill="1" applyBorder="1"/>
    <xf numFmtId="189" fontId="74" fillId="2" borderId="7" xfId="30" applyNumberFormat="1" applyFont="1" applyFill="1" applyBorder="1" applyAlignment="1">
      <alignment horizontal="center"/>
    </xf>
    <xf numFmtId="189" fontId="71" fillId="2" borderId="0" xfId="30" applyNumberFormat="1" applyFont="1" applyFill="1" applyAlignment="1">
      <alignment horizontal="center"/>
    </xf>
    <xf numFmtId="189" fontId="74" fillId="2" borderId="8" xfId="30" applyNumberFormat="1" applyFont="1" applyFill="1" applyBorder="1" applyAlignment="1">
      <alignment horizontal="center"/>
    </xf>
    <xf numFmtId="171" fontId="71" fillId="2" borderId="11" xfId="22" quotePrefix="1" applyNumberFormat="1" applyFont="1" applyFill="1" applyBorder="1"/>
    <xf numFmtId="171" fontId="75" fillId="2" borderId="24" xfId="22" applyNumberFormat="1" applyFont="1" applyFill="1" applyBorder="1"/>
    <xf numFmtId="171" fontId="75" fillId="2" borderId="26" xfId="22" applyNumberFormat="1" applyFont="1" applyFill="1" applyBorder="1" applyAlignment="1">
      <alignment horizontal="center"/>
    </xf>
    <xf numFmtId="179" fontId="75" fillId="2" borderId="25" xfId="30" applyNumberFormat="1" applyFont="1" applyFill="1" applyBorder="1" applyAlignment="1">
      <alignment horizontal="center"/>
    </xf>
    <xf numFmtId="179" fontId="75" fillId="2" borderId="26" xfId="30" applyNumberFormat="1" applyFont="1" applyFill="1" applyBorder="1" applyAlignment="1">
      <alignment horizontal="center"/>
    </xf>
    <xf numFmtId="179" fontId="75" fillId="2" borderId="27" xfId="30" applyNumberFormat="1" applyFont="1" applyFill="1" applyBorder="1" applyAlignment="1">
      <alignment horizontal="center"/>
    </xf>
    <xf numFmtId="171" fontId="75" fillId="2" borderId="13" xfId="22" applyNumberFormat="1" applyFont="1" applyFill="1" applyBorder="1" applyAlignment="1">
      <alignment horizontal="left" indent="1"/>
    </xf>
    <xf numFmtId="171" fontId="71" fillId="2" borderId="2" xfId="22" applyNumberFormat="1" applyFont="1" applyFill="1" applyBorder="1" applyAlignment="1">
      <alignment horizontal="center"/>
    </xf>
    <xf numFmtId="179" fontId="75" fillId="2" borderId="9" xfId="30" applyNumberFormat="1" applyFont="1" applyFill="1" applyBorder="1" applyAlignment="1">
      <alignment horizontal="center"/>
    </xf>
    <xf numFmtId="179" fontId="75" fillId="2" borderId="2" xfId="30" applyNumberFormat="1" applyFont="1" applyFill="1" applyBorder="1" applyAlignment="1">
      <alignment horizontal="center"/>
    </xf>
    <xf numFmtId="179" fontId="75" fillId="2" borderId="10" xfId="30" applyNumberFormat="1" applyFont="1" applyFill="1" applyBorder="1" applyAlignment="1">
      <alignment horizontal="center"/>
    </xf>
    <xf numFmtId="171" fontId="75" fillId="2" borderId="11" xfId="22" applyNumberFormat="1" applyFont="1" applyFill="1" applyBorder="1" applyAlignment="1">
      <alignment horizontal="left" indent="1"/>
    </xf>
    <xf numFmtId="179" fontId="75" fillId="2" borderId="7" xfId="30" applyNumberFormat="1" applyFont="1" applyFill="1" applyBorder="1" applyAlignment="1">
      <alignment horizontal="center"/>
    </xf>
    <xf numFmtId="179" fontId="75" fillId="2" borderId="0" xfId="30" applyNumberFormat="1" applyFont="1" applyFill="1" applyAlignment="1">
      <alignment horizontal="center"/>
    </xf>
    <xf numFmtId="179" fontId="75" fillId="2" borderId="8" xfId="30" applyNumberFormat="1" applyFont="1" applyFill="1" applyBorder="1" applyAlignment="1">
      <alignment horizontal="center"/>
    </xf>
    <xf numFmtId="0" fontId="75" fillId="2" borderId="11" xfId="30" applyFont="1" applyFill="1" applyBorder="1"/>
    <xf numFmtId="2" fontId="75" fillId="2" borderId="0" xfId="30" applyNumberFormat="1" applyFont="1" applyFill="1" applyAlignment="1">
      <alignment horizontal="center"/>
    </xf>
    <xf numFmtId="2" fontId="75" fillId="2" borderId="7" xfId="30" applyNumberFormat="1" applyFont="1" applyFill="1" applyBorder="1" applyAlignment="1">
      <alignment horizontal="center"/>
    </xf>
    <xf numFmtId="2" fontId="75" fillId="2" borderId="8" xfId="30" applyNumberFormat="1" applyFont="1" applyFill="1" applyBorder="1" applyAlignment="1">
      <alignment horizontal="center"/>
    </xf>
    <xf numFmtId="0" fontId="71" fillId="2" borderId="24" xfId="30" applyFont="1" applyFill="1" applyBorder="1"/>
    <xf numFmtId="0" fontId="3" fillId="2" borderId="24" xfId="30" applyFill="1" applyBorder="1"/>
    <xf numFmtId="189" fontId="74" fillId="2" borderId="26" xfId="30" applyNumberFormat="1" applyFont="1" applyFill="1" applyBorder="1" applyAlignment="1">
      <alignment horizontal="center"/>
    </xf>
    <xf numFmtId="189" fontId="71" fillId="2" borderId="26" xfId="30" applyNumberFormat="1" applyFont="1" applyFill="1" applyBorder="1" applyAlignment="1">
      <alignment horizontal="center"/>
    </xf>
    <xf numFmtId="189" fontId="74" fillId="2" borderId="27" xfId="30" applyNumberFormat="1" applyFont="1" applyFill="1" applyBorder="1" applyAlignment="1">
      <alignment horizontal="center"/>
    </xf>
    <xf numFmtId="0" fontId="3" fillId="2" borderId="28" xfId="30" applyFill="1" applyBorder="1"/>
    <xf numFmtId="0" fontId="75" fillId="2" borderId="6" xfId="30" applyFont="1" applyFill="1" applyBorder="1"/>
    <xf numFmtId="179" fontId="75" fillId="2" borderId="6" xfId="30" applyNumberFormat="1" applyFont="1" applyFill="1" applyBorder="1" applyAlignment="1">
      <alignment horizontal="center"/>
    </xf>
    <xf numFmtId="179" fontId="75" fillId="2" borderId="3" xfId="30" applyNumberFormat="1" applyFont="1" applyFill="1" applyBorder="1" applyAlignment="1">
      <alignment horizontal="center"/>
    </xf>
    <xf numFmtId="179" fontId="75" fillId="2" borderId="4" xfId="30" applyNumberFormat="1" applyFont="1" applyFill="1" applyBorder="1" applyAlignment="1">
      <alignment horizontal="center"/>
    </xf>
    <xf numFmtId="3" fontId="62" fillId="0" borderId="5" xfId="0" applyNumberFormat="1" applyFont="1" applyBorder="1"/>
    <xf numFmtId="164" fontId="16" fillId="2" borderId="0" xfId="11" applyFont="1" applyFill="1" applyBorder="1"/>
    <xf numFmtId="2" fontId="62" fillId="0" borderId="0" xfId="0" applyNumberFormat="1" applyFont="1"/>
    <xf numFmtId="2" fontId="62" fillId="0" borderId="15" xfId="0" applyNumberFormat="1" applyFont="1" applyBorder="1"/>
    <xf numFmtId="0" fontId="71" fillId="2" borderId="11" xfId="30" applyFont="1" applyFill="1" applyBorder="1" applyAlignment="1">
      <alignment horizontal="left" indent="1"/>
    </xf>
    <xf numFmtId="9" fontId="71" fillId="2" borderId="7" xfId="22" applyFont="1" applyFill="1" applyBorder="1" applyAlignment="1">
      <alignment horizontal="center"/>
    </xf>
    <xf numFmtId="9" fontId="71" fillId="2" borderId="0" xfId="22" applyFont="1" applyFill="1" applyAlignment="1">
      <alignment horizontal="center"/>
    </xf>
    <xf numFmtId="9" fontId="71" fillId="2" borderId="8" xfId="22" applyFont="1" applyFill="1" applyBorder="1" applyAlignment="1">
      <alignment horizontal="center"/>
    </xf>
    <xf numFmtId="9" fontId="45" fillId="0" borderId="0" xfId="22" applyFont="1" applyFill="1" applyBorder="1"/>
    <xf numFmtId="0" fontId="49" fillId="2" borderId="0" xfId="0" applyFont="1" applyFill="1"/>
    <xf numFmtId="0" fontId="48" fillId="9" borderId="0" xfId="0" applyFont="1" applyFill="1" applyAlignment="1">
      <alignment horizontal="right"/>
    </xf>
    <xf numFmtId="172" fontId="6" fillId="0" borderId="0" xfId="22" applyNumberFormat="1" applyFont="1" applyFill="1" applyBorder="1"/>
    <xf numFmtId="172" fontId="7" fillId="2" borderId="7" xfId="11" applyNumberFormat="1" applyFont="1" applyFill="1" applyBorder="1"/>
    <xf numFmtId="172" fontId="6" fillId="2" borderId="7" xfId="11" applyNumberFormat="1" applyFont="1" applyFill="1" applyBorder="1"/>
    <xf numFmtId="164" fontId="62" fillId="2" borderId="2" xfId="0" applyNumberFormat="1" applyFont="1" applyFill="1" applyBorder="1" applyAlignment="1">
      <alignment horizontal="right"/>
    </xf>
    <xf numFmtId="1" fontId="42" fillId="2" borderId="0" xfId="0" applyNumberFormat="1" applyFont="1" applyFill="1"/>
    <xf numFmtId="1" fontId="42" fillId="2" borderId="15" xfId="0" applyNumberFormat="1" applyFont="1" applyFill="1" applyBorder="1"/>
    <xf numFmtId="1" fontId="62" fillId="2" borderId="11" xfId="0" applyNumberFormat="1" applyFont="1" applyFill="1" applyBorder="1"/>
    <xf numFmtId="188" fontId="6" fillId="2" borderId="0" xfId="22" applyNumberFormat="1" applyFont="1" applyFill="1" applyBorder="1"/>
    <xf numFmtId="171" fontId="12" fillId="0" borderId="0" xfId="22" applyNumberFormat="1" applyFont="1" applyFill="1" applyBorder="1" applyAlignment="1">
      <alignment horizontal="right"/>
    </xf>
    <xf numFmtId="1" fontId="7" fillId="2" borderId="0" xfId="0" applyNumberFormat="1" applyFont="1" applyFill="1" applyAlignment="1">
      <alignment horizontal="right"/>
    </xf>
    <xf numFmtId="2" fontId="12" fillId="0" borderId="0" xfId="13" applyNumberFormat="1" applyFont="1" applyFill="1" applyBorder="1"/>
    <xf numFmtId="172" fontId="63" fillId="4" borderId="0" xfId="11" applyNumberFormat="1" applyFont="1" applyFill="1" applyBorder="1" applyAlignment="1">
      <alignment horizontal="right"/>
    </xf>
    <xf numFmtId="172" fontId="63" fillId="4" borderId="15" xfId="11" applyNumberFormat="1" applyFont="1" applyFill="1" applyBorder="1" applyAlignment="1">
      <alignment horizontal="right"/>
    </xf>
    <xf numFmtId="172" fontId="63" fillId="4" borderId="11" xfId="11" applyNumberFormat="1" applyFont="1" applyFill="1" applyBorder="1" applyAlignment="1">
      <alignment horizontal="right"/>
    </xf>
    <xf numFmtId="9" fontId="63" fillId="2" borderId="29" xfId="0" applyNumberFormat="1" applyFont="1" applyFill="1" applyBorder="1"/>
    <xf numFmtId="9" fontId="63" fillId="2" borderId="30" xfId="0" applyNumberFormat="1" applyFont="1" applyFill="1" applyBorder="1"/>
    <xf numFmtId="9" fontId="42" fillId="0" borderId="31" xfId="0" applyNumberFormat="1" applyFont="1" applyBorder="1"/>
    <xf numFmtId="9" fontId="63" fillId="2" borderId="33" xfId="0" applyNumberFormat="1" applyFont="1" applyFill="1" applyBorder="1"/>
    <xf numFmtId="9" fontId="63" fillId="2" borderId="34" xfId="0" applyNumberFormat="1" applyFont="1" applyFill="1" applyBorder="1"/>
    <xf numFmtId="9" fontId="42" fillId="0" borderId="35" xfId="0" applyNumberFormat="1" applyFont="1" applyBorder="1"/>
    <xf numFmtId="188" fontId="6" fillId="2" borderId="29" xfId="0" applyNumberFormat="1" applyFont="1" applyFill="1" applyBorder="1"/>
    <xf numFmtId="188" fontId="63" fillId="2" borderId="29" xfId="0" applyNumberFormat="1" applyFont="1" applyFill="1" applyBorder="1"/>
    <xf numFmtId="188" fontId="63" fillId="2" borderId="30" xfId="0" applyNumberFormat="1" applyFont="1" applyFill="1" applyBorder="1"/>
    <xf numFmtId="188" fontId="63" fillId="2" borderId="37" xfId="0" applyNumberFormat="1" applyFont="1" applyFill="1" applyBorder="1"/>
    <xf numFmtId="188" fontId="63" fillId="2" borderId="31" xfId="0" applyNumberFormat="1" applyFont="1" applyFill="1" applyBorder="1"/>
    <xf numFmtId="188" fontId="63" fillId="2" borderId="32" xfId="0" applyNumberFormat="1" applyFont="1" applyFill="1" applyBorder="1"/>
    <xf numFmtId="188" fontId="6" fillId="2" borderId="33" xfId="0" applyNumberFormat="1" applyFont="1" applyFill="1" applyBorder="1"/>
    <xf numFmtId="188" fontId="63" fillId="2" borderId="33" xfId="0" applyNumberFormat="1" applyFont="1" applyFill="1" applyBorder="1"/>
    <xf numFmtId="188" fontId="63" fillId="2" borderId="34" xfId="0" applyNumberFormat="1" applyFont="1" applyFill="1" applyBorder="1"/>
    <xf numFmtId="188" fontId="63" fillId="2" borderId="38" xfId="0" applyNumberFormat="1" applyFont="1" applyFill="1" applyBorder="1"/>
    <xf numFmtId="188" fontId="63" fillId="2" borderId="35" xfId="0" applyNumberFormat="1" applyFont="1" applyFill="1" applyBorder="1"/>
    <xf numFmtId="188" fontId="63" fillId="2" borderId="36" xfId="0" applyNumberFormat="1" applyFont="1" applyFill="1" applyBorder="1"/>
    <xf numFmtId="0" fontId="3" fillId="2" borderId="13" xfId="30" applyFill="1" applyBorder="1"/>
    <xf numFmtId="9" fontId="71" fillId="2" borderId="25" xfId="22" applyFont="1" applyFill="1" applyBorder="1" applyAlignment="1">
      <alignment horizontal="center"/>
    </xf>
    <xf numFmtId="9" fontId="71" fillId="2" borderId="26" xfId="22" applyFont="1" applyFill="1" applyBorder="1" applyAlignment="1">
      <alignment horizontal="center"/>
    </xf>
    <xf numFmtId="9" fontId="71" fillId="2" borderId="27" xfId="22" applyFont="1" applyFill="1" applyBorder="1" applyAlignment="1">
      <alignment horizontal="center"/>
    </xf>
    <xf numFmtId="171" fontId="71" fillId="2" borderId="25" xfId="22" applyNumberFormat="1" applyFont="1" applyFill="1" applyBorder="1" applyAlignment="1">
      <alignment horizontal="center"/>
    </xf>
    <xf numFmtId="171" fontId="71" fillId="2" borderId="27" xfId="22" applyNumberFormat="1" applyFont="1" applyFill="1" applyBorder="1" applyAlignment="1">
      <alignment horizontal="center"/>
    </xf>
    <xf numFmtId="3" fontId="6" fillId="2" borderId="0" xfId="22" applyNumberFormat="1" applyFont="1" applyFill="1" applyBorder="1"/>
    <xf numFmtId="3" fontId="8" fillId="0" borderId="0" xfId="22" applyNumberFormat="1" applyFont="1" applyFill="1" applyBorder="1"/>
    <xf numFmtId="3" fontId="23" fillId="2" borderId="0" xfId="11" applyNumberFormat="1" applyFont="1" applyFill="1"/>
    <xf numFmtId="164" fontId="8" fillId="2" borderId="7" xfId="11" applyFont="1" applyFill="1" applyBorder="1"/>
    <xf numFmtId="0" fontId="56" fillId="10" borderId="0" xfId="0" applyFont="1" applyFill="1"/>
    <xf numFmtId="0" fontId="56" fillId="10" borderId="0" xfId="17" applyFont="1" applyFill="1" applyAlignment="1">
      <alignment horizontal="right"/>
    </xf>
    <xf numFmtId="0" fontId="7" fillId="2" borderId="14" xfId="0" applyFont="1" applyFill="1" applyBorder="1"/>
    <xf numFmtId="3" fontId="7" fillId="2" borderId="14" xfId="0" applyNumberFormat="1" applyFont="1" applyFill="1" applyBorder="1"/>
    <xf numFmtId="3" fontId="62" fillId="2" borderId="14" xfId="0" applyNumberFormat="1" applyFont="1" applyFill="1" applyBorder="1"/>
    <xf numFmtId="174" fontId="45" fillId="2" borderId="0" xfId="17" applyNumberFormat="1" applyFont="1" applyFill="1" applyAlignment="1">
      <alignment horizontal="right"/>
    </xf>
    <xf numFmtId="174" fontId="42" fillId="0" borderId="0" xfId="17" applyNumberFormat="1" applyFont="1" applyAlignment="1">
      <alignment horizontal="right"/>
    </xf>
    <xf numFmtId="174" fontId="41" fillId="0" borderId="0" xfId="17" applyNumberFormat="1" applyFont="1" applyAlignment="1">
      <alignment horizontal="right"/>
    </xf>
    <xf numFmtId="0" fontId="76" fillId="10" borderId="0" xfId="0" applyFont="1" applyFill="1"/>
    <xf numFmtId="1" fontId="50" fillId="0" borderId="22" xfId="0" applyNumberFormat="1" applyFont="1" applyBorder="1"/>
    <xf numFmtId="171" fontId="6" fillId="11" borderId="0" xfId="0" applyNumberFormat="1" applyFont="1" applyFill="1"/>
    <xf numFmtId="171" fontId="42" fillId="2" borderId="0" xfId="22" applyNumberFormat="1" applyFont="1" applyFill="1" applyBorder="1"/>
    <xf numFmtId="171" fontId="12" fillId="0" borderId="11" xfId="22" applyNumberFormat="1" applyFont="1" applyFill="1" applyBorder="1" applyAlignment="1">
      <alignment horizontal="right"/>
    </xf>
    <xf numFmtId="172" fontId="6" fillId="2" borderId="15" xfId="0" applyNumberFormat="1" applyFont="1" applyFill="1" applyBorder="1" applyAlignment="1">
      <alignment horizontal="right"/>
    </xf>
    <xf numFmtId="164" fontId="12" fillId="2" borderId="11" xfId="11" applyFont="1" applyFill="1" applyBorder="1"/>
    <xf numFmtId="0" fontId="48" fillId="9" borderId="15" xfId="0" applyFont="1" applyFill="1" applyBorder="1" applyAlignment="1">
      <alignment horizontal="right"/>
    </xf>
    <xf numFmtId="0" fontId="48" fillId="9" borderId="11" xfId="0" applyFont="1" applyFill="1" applyBorder="1" applyAlignment="1">
      <alignment horizontal="right"/>
    </xf>
    <xf numFmtId="0" fontId="56" fillId="9" borderId="13" xfId="0" applyFont="1" applyFill="1" applyBorder="1" applyAlignment="1">
      <alignment horizontal="right"/>
    </xf>
    <xf numFmtId="3" fontId="7" fillId="0" borderId="11" xfId="0" applyNumberFormat="1" applyFont="1" applyBorder="1"/>
    <xf numFmtId="168" fontId="6" fillId="0" borderId="11" xfId="0" applyNumberFormat="1" applyFont="1" applyBorder="1"/>
    <xf numFmtId="9" fontId="6" fillId="2" borderId="11" xfId="22" applyFont="1" applyFill="1" applyBorder="1"/>
    <xf numFmtId="9" fontId="7" fillId="0" borderId="15" xfId="22" applyFont="1" applyFill="1" applyBorder="1"/>
    <xf numFmtId="172" fontId="6" fillId="0" borderId="11" xfId="22" applyNumberFormat="1" applyFont="1" applyFill="1" applyBorder="1"/>
    <xf numFmtId="172" fontId="7" fillId="0" borderId="11" xfId="11" applyNumberFormat="1" applyFont="1" applyFill="1" applyBorder="1"/>
    <xf numFmtId="168" fontId="7" fillId="0" borderId="11" xfId="0" applyNumberFormat="1" applyFont="1" applyBorder="1"/>
    <xf numFmtId="171" fontId="6" fillId="0" borderId="11" xfId="22" applyNumberFormat="1" applyFont="1" applyFill="1" applyBorder="1"/>
    <xf numFmtId="168" fontId="7" fillId="2" borderId="15" xfId="0" applyNumberFormat="1" applyFont="1" applyFill="1" applyBorder="1"/>
    <xf numFmtId="171" fontId="6" fillId="2" borderId="15" xfId="22" applyNumberFormat="1" applyFont="1" applyFill="1" applyBorder="1"/>
    <xf numFmtId="172" fontId="6" fillId="0" borderId="11" xfId="11" applyNumberFormat="1" applyFont="1" applyFill="1" applyBorder="1"/>
    <xf numFmtId="9" fontId="6" fillId="0" borderId="11" xfId="22" applyFont="1" applyFill="1" applyBorder="1"/>
    <xf numFmtId="167" fontId="6" fillId="0" borderId="11" xfId="0" applyNumberFormat="1" applyFont="1" applyBorder="1"/>
    <xf numFmtId="171" fontId="12" fillId="0" borderId="11" xfId="22" applyNumberFormat="1" applyFont="1" applyFill="1" applyBorder="1"/>
    <xf numFmtId="3" fontId="7" fillId="2" borderId="11" xfId="0" applyNumberFormat="1" applyFont="1" applyFill="1" applyBorder="1" applyAlignment="1">
      <alignment horizontal="right"/>
    </xf>
    <xf numFmtId="1" fontId="7" fillId="2" borderId="15" xfId="0" applyNumberFormat="1" applyFont="1" applyFill="1" applyBorder="1" applyAlignment="1">
      <alignment horizontal="right"/>
    </xf>
    <xf numFmtId="3" fontId="7" fillId="2" borderId="15" xfId="17" applyNumberFormat="1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3" fontId="7" fillId="0" borderId="11" xfId="0" applyNumberFormat="1" applyFont="1" applyBorder="1" applyAlignment="1">
      <alignment horizontal="right"/>
    </xf>
    <xf numFmtId="3" fontId="7" fillId="2" borderId="15" xfId="0" applyNumberFormat="1" applyFont="1" applyFill="1" applyBorder="1" applyAlignment="1">
      <alignment horizontal="right"/>
    </xf>
    <xf numFmtId="3" fontId="7" fillId="2" borderId="11" xfId="0" applyNumberFormat="1" applyFont="1" applyFill="1" applyBorder="1"/>
    <xf numFmtId="4" fontId="12" fillId="0" borderId="11" xfId="17" applyNumberFormat="1" applyFont="1" applyBorder="1" applyAlignment="1">
      <alignment horizontal="right"/>
    </xf>
    <xf numFmtId="4" fontId="12" fillId="0" borderId="15" xfId="17" applyNumberFormat="1" applyFont="1" applyBorder="1" applyAlignment="1">
      <alignment horizontal="right"/>
    </xf>
    <xf numFmtId="2" fontId="12" fillId="2" borderId="11" xfId="13" applyNumberFormat="1" applyFont="1" applyFill="1" applyBorder="1"/>
    <xf numFmtId="2" fontId="12" fillId="2" borderId="15" xfId="13" applyNumberFormat="1" applyFont="1" applyFill="1" applyBorder="1"/>
    <xf numFmtId="4" fontId="12" fillId="2" borderId="11" xfId="17" applyNumberFormat="1" applyFont="1" applyFill="1" applyBorder="1" applyAlignment="1">
      <alignment horizontal="right"/>
    </xf>
    <xf numFmtId="171" fontId="6" fillId="2" borderId="11" xfId="22" applyNumberFormat="1" applyFont="1" applyFill="1" applyBorder="1"/>
    <xf numFmtId="0" fontId="3" fillId="0" borderId="11" xfId="0" applyFont="1" applyBorder="1"/>
    <xf numFmtId="9" fontId="6" fillId="2" borderId="11" xfId="0" applyNumberFormat="1" applyFont="1" applyFill="1" applyBorder="1"/>
    <xf numFmtId="9" fontId="7" fillId="2" borderId="11" xfId="0" applyNumberFormat="1" applyFont="1" applyFill="1" applyBorder="1"/>
    <xf numFmtId="167" fontId="7" fillId="2" borderId="11" xfId="0" applyNumberFormat="1" applyFont="1" applyFill="1" applyBorder="1"/>
    <xf numFmtId="172" fontId="6" fillId="2" borderId="11" xfId="22" applyNumberFormat="1" applyFont="1" applyFill="1" applyBorder="1"/>
    <xf numFmtId="172" fontId="6" fillId="2" borderId="11" xfId="0" applyNumberFormat="1" applyFont="1" applyFill="1" applyBorder="1"/>
    <xf numFmtId="164" fontId="12" fillId="2" borderId="11" xfId="0" applyNumberFormat="1" applyFont="1" applyFill="1" applyBorder="1"/>
    <xf numFmtId="1" fontId="6" fillId="2" borderId="11" xfId="0" applyNumberFormat="1" applyFont="1" applyFill="1" applyBorder="1"/>
    <xf numFmtId="1" fontId="7" fillId="2" borderId="11" xfId="0" applyNumberFormat="1" applyFont="1" applyFill="1" applyBorder="1"/>
    <xf numFmtId="171" fontId="6" fillId="0" borderId="11" xfId="0" applyNumberFormat="1" applyFont="1" applyBorder="1"/>
    <xf numFmtId="188" fontId="6" fillId="2" borderId="15" xfId="22" applyNumberFormat="1" applyFont="1" applyFill="1" applyBorder="1"/>
    <xf numFmtId="188" fontId="6" fillId="2" borderId="11" xfId="22" applyNumberFormat="1" applyFont="1" applyFill="1" applyBorder="1"/>
    <xf numFmtId="167" fontId="6" fillId="0" borderId="22" xfId="11" applyNumberFormat="1" applyFont="1" applyFill="1" applyBorder="1"/>
    <xf numFmtId="2" fontId="7" fillId="0" borderId="15" xfId="0" applyNumberFormat="1" applyFont="1" applyBorder="1"/>
    <xf numFmtId="2" fontId="7" fillId="2" borderId="11" xfId="0" applyNumberFormat="1" applyFont="1" applyFill="1" applyBorder="1"/>
    <xf numFmtId="167" fontId="8" fillId="2" borderId="11" xfId="11" applyNumberFormat="1" applyFont="1" applyFill="1" applyBorder="1"/>
    <xf numFmtId="172" fontId="7" fillId="0" borderId="11" xfId="22" applyNumberFormat="1" applyFont="1" applyFill="1" applyBorder="1"/>
    <xf numFmtId="164" fontId="6" fillId="0" borderId="11" xfId="11" applyFont="1" applyFill="1" applyBorder="1"/>
    <xf numFmtId="164" fontId="7" fillId="0" borderId="11" xfId="11" applyFont="1" applyFill="1" applyBorder="1"/>
    <xf numFmtId="172" fontId="6" fillId="2" borderId="11" xfId="11" applyNumberFormat="1" applyFont="1" applyFill="1" applyBorder="1" applyAlignment="1">
      <alignment horizontal="right"/>
    </xf>
    <xf numFmtId="164" fontId="6" fillId="2" borderId="11" xfId="11" applyFont="1" applyFill="1" applyBorder="1"/>
    <xf numFmtId="9" fontId="6" fillId="2" borderId="11" xfId="22" applyFont="1" applyFill="1" applyBorder="1" applyAlignment="1">
      <alignment horizontal="right"/>
    </xf>
    <xf numFmtId="190" fontId="6" fillId="2" borderId="11" xfId="11" applyNumberFormat="1" applyFont="1" applyFill="1" applyBorder="1"/>
    <xf numFmtId="190" fontId="7" fillId="2" borderId="11" xfId="11" applyNumberFormat="1" applyFont="1" applyFill="1" applyBorder="1"/>
    <xf numFmtId="171" fontId="6" fillId="0" borderId="19" xfId="11" applyNumberFormat="1" applyFont="1" applyFill="1" applyBorder="1"/>
    <xf numFmtId="167" fontId="7" fillId="0" borderId="15" xfId="11" applyNumberFormat="1" applyFont="1" applyFill="1" applyBorder="1"/>
    <xf numFmtId="167" fontId="7" fillId="0" borderId="11" xfId="11" applyNumberFormat="1" applyFont="1" applyFill="1" applyBorder="1"/>
    <xf numFmtId="171" fontId="8" fillId="11" borderId="11" xfId="22" applyNumberFormat="1" applyFont="1" applyFill="1" applyBorder="1"/>
    <xf numFmtId="9" fontId="6" fillId="0" borderId="31" xfId="0" applyNumberFormat="1" applyFont="1" applyBorder="1"/>
    <xf numFmtId="9" fontId="6" fillId="0" borderId="35" xfId="0" applyNumberFormat="1" applyFont="1" applyBorder="1"/>
    <xf numFmtId="188" fontId="6" fillId="2" borderId="15" xfId="0" applyNumberFormat="1" applyFont="1" applyFill="1" applyBorder="1"/>
    <xf numFmtId="188" fontId="6" fillId="2" borderId="30" xfId="0" applyNumberFormat="1" applyFont="1" applyFill="1" applyBorder="1"/>
    <xf numFmtId="188" fontId="6" fillId="2" borderId="37" xfId="0" applyNumberFormat="1" applyFont="1" applyFill="1" applyBorder="1"/>
    <xf numFmtId="188" fontId="6" fillId="2" borderId="31" xfId="0" applyNumberFormat="1" applyFont="1" applyFill="1" applyBorder="1"/>
    <xf numFmtId="188" fontId="6" fillId="2" borderId="34" xfId="0" applyNumberFormat="1" applyFont="1" applyFill="1" applyBorder="1"/>
    <xf numFmtId="188" fontId="6" fillId="2" borderId="38" xfId="0" applyNumberFormat="1" applyFont="1" applyFill="1" applyBorder="1"/>
    <xf numFmtId="188" fontId="6" fillId="2" borderId="35" xfId="0" applyNumberFormat="1" applyFont="1" applyFill="1" applyBorder="1"/>
    <xf numFmtId="188" fontId="6" fillId="2" borderId="11" xfId="0" applyNumberFormat="1" applyFont="1" applyFill="1" applyBorder="1"/>
    <xf numFmtId="171" fontId="6" fillId="2" borderId="11" xfId="0" applyNumberFormat="1" applyFont="1" applyFill="1" applyBorder="1"/>
    <xf numFmtId="171" fontId="7" fillId="2" borderId="11" xfId="22" applyNumberFormat="1" applyFont="1" applyFill="1" applyBorder="1"/>
    <xf numFmtId="3" fontId="6" fillId="2" borderId="11" xfId="11" applyNumberFormat="1" applyFont="1" applyFill="1" applyBorder="1"/>
    <xf numFmtId="0" fontId="48" fillId="9" borderId="15" xfId="0" applyFont="1" applyFill="1" applyBorder="1"/>
    <xf numFmtId="0" fontId="48" fillId="9" borderId="11" xfId="0" applyFont="1" applyFill="1" applyBorder="1"/>
    <xf numFmtId="171" fontId="6" fillId="2" borderId="15" xfId="22" applyNumberFormat="1" applyFont="1" applyFill="1" applyBorder="1" applyAlignment="1">
      <alignment horizontal="right"/>
    </xf>
    <xf numFmtId="0" fontId="6" fillId="2" borderId="15" xfId="0" applyFont="1" applyFill="1" applyBorder="1" applyAlignment="1">
      <alignment horizontal="right"/>
    </xf>
    <xf numFmtId="0" fontId="6" fillId="2" borderId="11" xfId="0" applyFont="1" applyFill="1" applyBorder="1" applyAlignment="1">
      <alignment horizontal="right"/>
    </xf>
    <xf numFmtId="172" fontId="6" fillId="2" borderId="11" xfId="0" applyNumberFormat="1" applyFont="1" applyFill="1" applyBorder="1" applyAlignment="1">
      <alignment horizontal="right"/>
    </xf>
    <xf numFmtId="174" fontId="12" fillId="2" borderId="11" xfId="0" applyNumberFormat="1" applyFont="1" applyFill="1" applyBorder="1" applyAlignment="1">
      <alignment horizontal="right"/>
    </xf>
    <xf numFmtId="164" fontId="12" fillId="2" borderId="11" xfId="11" applyFont="1" applyFill="1" applyBorder="1" applyAlignment="1">
      <alignment horizontal="right"/>
    </xf>
    <xf numFmtId="9" fontId="12" fillId="2" borderId="11" xfId="22" applyFont="1" applyFill="1" applyBorder="1" applyAlignment="1">
      <alignment horizontal="right"/>
    </xf>
    <xf numFmtId="3" fontId="7" fillId="0" borderId="15" xfId="17" applyNumberFormat="1" applyFont="1" applyBorder="1" applyAlignment="1">
      <alignment horizontal="right"/>
    </xf>
    <xf numFmtId="171" fontId="12" fillId="0" borderId="15" xfId="22" applyNumberFormat="1" applyFont="1" applyFill="1" applyBorder="1" applyAlignment="1">
      <alignment horizontal="right"/>
    </xf>
    <xf numFmtId="172" fontId="6" fillId="2" borderId="11" xfId="12" applyNumberFormat="1" applyFont="1" applyFill="1" applyBorder="1" applyAlignment="1">
      <alignment horizontal="right"/>
    </xf>
    <xf numFmtId="171" fontId="6" fillId="2" borderId="11" xfId="17" applyNumberFormat="1" applyFont="1" applyFill="1" applyBorder="1"/>
    <xf numFmtId="171" fontId="6" fillId="2" borderId="15" xfId="17" applyNumberFormat="1" applyFont="1" applyFill="1" applyBorder="1"/>
    <xf numFmtId="171" fontId="6" fillId="2" borderId="11" xfId="17" applyNumberFormat="1" applyFont="1" applyFill="1" applyBorder="1" applyAlignment="1">
      <alignment horizontal="right"/>
    </xf>
    <xf numFmtId="164" fontId="42" fillId="2" borderId="15" xfId="11" applyFont="1" applyFill="1" applyBorder="1"/>
    <xf numFmtId="172" fontId="6" fillId="0" borderId="18" xfId="11" applyNumberFormat="1" applyFont="1" applyFill="1" applyBorder="1"/>
    <xf numFmtId="172" fontId="6" fillId="0" borderId="19" xfId="11" applyNumberFormat="1" applyFont="1" applyFill="1" applyBorder="1"/>
    <xf numFmtId="172" fontId="7" fillId="0" borderId="11" xfId="0" applyNumberFormat="1" applyFont="1" applyBorder="1"/>
    <xf numFmtId="0" fontId="62" fillId="0" borderId="0" xfId="0" applyFont="1" applyAlignment="1">
      <alignment horizontal="right"/>
    </xf>
    <xf numFmtId="0" fontId="62" fillId="0" borderId="15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62" fillId="0" borderId="21" xfId="0" applyFont="1" applyBorder="1"/>
    <xf numFmtId="172" fontId="6" fillId="0" borderId="22" xfId="0" applyNumberFormat="1" applyFont="1" applyBorder="1"/>
    <xf numFmtId="1" fontId="63" fillId="0" borderId="0" xfId="0" applyNumberFormat="1" applyFont="1"/>
    <xf numFmtId="1" fontId="63" fillId="0" borderId="15" xfId="0" applyNumberFormat="1" applyFont="1" applyBorder="1"/>
    <xf numFmtId="1" fontId="6" fillId="0" borderId="11" xfId="0" applyNumberFormat="1" applyFont="1" applyBorder="1"/>
    <xf numFmtId="172" fontId="6" fillId="0" borderId="11" xfId="0" applyNumberFormat="1" applyFont="1" applyBorder="1"/>
    <xf numFmtId="172" fontId="57" fillId="0" borderId="0" xfId="11" applyNumberFormat="1" applyFont="1" applyFill="1" applyBorder="1"/>
    <xf numFmtId="172" fontId="57" fillId="0" borderId="15" xfId="11" applyNumberFormat="1" applyFont="1" applyFill="1" applyBorder="1"/>
    <xf numFmtId="172" fontId="57" fillId="0" borderId="11" xfId="11" applyNumberFormat="1" applyFont="1" applyFill="1" applyBorder="1"/>
    <xf numFmtId="164" fontId="7" fillId="0" borderId="11" xfId="0" applyNumberFormat="1" applyFont="1" applyBorder="1"/>
    <xf numFmtId="172" fontId="7" fillId="0" borderId="21" xfId="11" applyNumberFormat="1" applyFont="1" applyFill="1" applyBorder="1"/>
    <xf numFmtId="172" fontId="7" fillId="0" borderId="22" xfId="11" applyNumberFormat="1" applyFont="1" applyFill="1" applyBorder="1"/>
    <xf numFmtId="0" fontId="63" fillId="0" borderId="15" xfId="0" applyFont="1" applyBorder="1"/>
    <xf numFmtId="1" fontId="7" fillId="0" borderId="15" xfId="0" applyNumberFormat="1" applyFont="1" applyBorder="1"/>
    <xf numFmtId="175" fontId="12" fillId="0" borderId="11" xfId="11" applyNumberFormat="1" applyFont="1" applyFill="1" applyBorder="1"/>
    <xf numFmtId="0" fontId="63" fillId="0" borderId="8" xfId="0" applyFont="1" applyBorder="1"/>
    <xf numFmtId="172" fontId="0" fillId="0" borderId="22" xfId="0" applyNumberFormat="1" applyBorder="1"/>
    <xf numFmtId="172" fontId="7" fillId="0" borderId="20" xfId="0" applyNumberFormat="1" applyFont="1" applyBorder="1"/>
    <xf numFmtId="172" fontId="7" fillId="0" borderId="21" xfId="0" applyNumberFormat="1" applyFont="1" applyBorder="1"/>
    <xf numFmtId="172" fontId="7" fillId="0" borderId="22" xfId="0" applyNumberFormat="1" applyFont="1" applyBorder="1"/>
    <xf numFmtId="172" fontId="3" fillId="0" borderId="11" xfId="0" applyNumberFormat="1" applyFont="1" applyBorder="1"/>
    <xf numFmtId="1" fontId="7" fillId="0" borderId="21" xfId="0" applyNumberFormat="1" applyFont="1" applyBorder="1"/>
    <xf numFmtId="1" fontId="7" fillId="0" borderId="20" xfId="0" applyNumberFormat="1" applyFont="1" applyBorder="1"/>
    <xf numFmtId="1" fontId="7" fillId="0" borderId="22" xfId="0" applyNumberFormat="1" applyFont="1" applyBorder="1"/>
    <xf numFmtId="0" fontId="7" fillId="0" borderId="11" xfId="0" applyFont="1" applyBorder="1"/>
    <xf numFmtId="172" fontId="7" fillId="0" borderId="12" xfId="0" applyNumberFormat="1" applyFont="1" applyBorder="1"/>
    <xf numFmtId="172" fontId="63" fillId="5" borderId="11" xfId="11" applyNumberFormat="1" applyFont="1" applyFill="1" applyBorder="1"/>
    <xf numFmtId="171" fontId="6" fillId="11" borderId="15" xfId="0" applyNumberFormat="1" applyFont="1" applyFill="1" applyBorder="1"/>
    <xf numFmtId="3" fontId="42" fillId="2" borderId="8" xfId="22" applyNumberFormat="1" applyFont="1" applyFill="1" applyBorder="1"/>
    <xf numFmtId="3" fontId="7" fillId="0" borderId="11" xfId="11" applyNumberFormat="1" applyFont="1" applyFill="1" applyBorder="1"/>
    <xf numFmtId="188" fontId="7" fillId="2" borderId="8" xfId="0" applyNumberFormat="1" applyFont="1" applyFill="1" applyBorder="1"/>
    <xf numFmtId="188" fontId="62" fillId="2" borderId="11" xfId="0" applyNumberFormat="1" applyFont="1" applyFill="1" applyBorder="1"/>
    <xf numFmtId="168" fontId="49" fillId="0" borderId="0" xfId="0" applyNumberFormat="1" applyFont="1"/>
    <xf numFmtId="4" fontId="57" fillId="0" borderId="11" xfId="17" applyNumberFormat="1" applyFont="1" applyBorder="1" applyAlignment="1">
      <alignment horizontal="right"/>
    </xf>
    <xf numFmtId="171" fontId="7" fillId="0" borderId="11" xfId="0" applyNumberFormat="1" applyFont="1" applyBorder="1"/>
    <xf numFmtId="172" fontId="42" fillId="2" borderId="15" xfId="11" applyNumberFormat="1" applyFont="1" applyFill="1" applyBorder="1"/>
    <xf numFmtId="172" fontId="42" fillId="2" borderId="8" xfId="11" applyNumberFormat="1" applyFont="1" applyFill="1" applyBorder="1"/>
    <xf numFmtId="9" fontId="6" fillId="0" borderId="29" xfId="0" applyNumberFormat="1" applyFont="1" applyBorder="1"/>
    <xf numFmtId="9" fontId="6" fillId="0" borderId="30" xfId="0" applyNumberFormat="1" applyFont="1" applyBorder="1"/>
    <xf numFmtId="9" fontId="6" fillId="0" borderId="33" xfId="0" applyNumberFormat="1" applyFont="1" applyBorder="1"/>
    <xf numFmtId="9" fontId="6" fillId="0" borderId="34" xfId="0" applyNumberFormat="1" applyFont="1" applyBorder="1"/>
    <xf numFmtId="164" fontId="0" fillId="0" borderId="0" xfId="11" applyFont="1"/>
    <xf numFmtId="171" fontId="7" fillId="0" borderId="11" xfId="22" applyNumberFormat="1" applyFont="1" applyFill="1" applyBorder="1"/>
    <xf numFmtId="171" fontId="42" fillId="0" borderId="11" xfId="0" applyNumberFormat="1" applyFont="1" applyBorder="1"/>
    <xf numFmtId="0" fontId="45" fillId="0" borderId="11" xfId="17" applyFont="1" applyBorder="1"/>
    <xf numFmtId="164" fontId="6" fillId="0" borderId="0" xfId="0" applyNumberFormat="1" applyFont="1"/>
    <xf numFmtId="188" fontId="42" fillId="2" borderId="11" xfId="0" applyNumberFormat="1" applyFont="1" applyFill="1" applyBorder="1"/>
    <xf numFmtId="2" fontId="49" fillId="0" borderId="11" xfId="13" applyNumberFormat="1" applyFont="1" applyFill="1" applyBorder="1"/>
    <xf numFmtId="171" fontId="61" fillId="2" borderId="0" xfId="22" applyNumberFormat="1" applyFont="1" applyFill="1" applyBorder="1"/>
    <xf numFmtId="167" fontId="63" fillId="0" borderId="39" xfId="11" applyNumberFormat="1" applyFont="1" applyFill="1" applyBorder="1"/>
    <xf numFmtId="168" fontId="42" fillId="0" borderId="39" xfId="0" applyNumberFormat="1" applyFont="1" applyBorder="1"/>
    <xf numFmtId="168" fontId="63" fillId="0" borderId="39" xfId="0" applyNumberFormat="1" applyFont="1" applyBorder="1"/>
    <xf numFmtId="168" fontId="57" fillId="0" borderId="0" xfId="0" applyNumberFormat="1" applyFont="1"/>
    <xf numFmtId="168" fontId="40" fillId="0" borderId="0" xfId="0" applyNumberFormat="1" applyFont="1"/>
    <xf numFmtId="0" fontId="8" fillId="0" borderId="39" xfId="0" applyFont="1" applyBorder="1"/>
    <xf numFmtId="172" fontId="63" fillId="0" borderId="39" xfId="11" applyNumberFormat="1" applyFont="1" applyFill="1" applyBorder="1"/>
    <xf numFmtId="168" fontId="62" fillId="0" borderId="0" xfId="22" applyNumberFormat="1" applyFont="1" applyFill="1" applyBorder="1"/>
    <xf numFmtId="168" fontId="7" fillId="0" borderId="0" xfId="22" applyNumberFormat="1" applyFont="1" applyFill="1" applyBorder="1"/>
    <xf numFmtId="169" fontId="62" fillId="0" borderId="0" xfId="11" applyNumberFormat="1" applyFont="1" applyFill="1" applyBorder="1"/>
    <xf numFmtId="164" fontId="42" fillId="0" borderId="0" xfId="11" applyFont="1" applyFill="1" applyBorder="1"/>
    <xf numFmtId="170" fontId="63" fillId="0" borderId="0" xfId="0" applyNumberFormat="1" applyFont="1"/>
    <xf numFmtId="176" fontId="8" fillId="0" borderId="0" xfId="0" applyNumberFormat="1" applyFont="1"/>
    <xf numFmtId="0" fontId="42" fillId="0" borderId="0" xfId="0" applyFont="1"/>
    <xf numFmtId="168" fontId="63" fillId="2" borderId="0" xfId="0" applyNumberFormat="1" applyFont="1" applyFill="1"/>
    <xf numFmtId="164" fontId="28" fillId="2" borderId="0" xfId="11" applyFont="1" applyFill="1"/>
    <xf numFmtId="164" fontId="12" fillId="2" borderId="0" xfId="11" applyFont="1" applyFill="1"/>
    <xf numFmtId="0" fontId="7" fillId="4" borderId="0" xfId="0" applyFont="1" applyFill="1" applyAlignment="1">
      <alignment horizontal="left"/>
    </xf>
    <xf numFmtId="168" fontId="7" fillId="4" borderId="0" xfId="0" applyNumberFormat="1" applyFont="1" applyFill="1"/>
    <xf numFmtId="168" fontId="62" fillId="4" borderId="0" xfId="0" applyNumberFormat="1" applyFont="1" applyFill="1"/>
    <xf numFmtId="172" fontId="0" fillId="2" borderId="11" xfId="11" applyNumberFormat="1" applyFont="1" applyFill="1" applyBorder="1"/>
    <xf numFmtId="9" fontId="63" fillId="2" borderId="0" xfId="11" applyNumberFormat="1" applyFont="1" applyFill="1" applyBorder="1"/>
    <xf numFmtId="9" fontId="63" fillId="2" borderId="15" xfId="11" applyNumberFormat="1" applyFont="1" applyFill="1" applyBorder="1"/>
    <xf numFmtId="9" fontId="6" fillId="2" borderId="11" xfId="11" applyNumberFormat="1" applyFont="1" applyFill="1" applyBorder="1"/>
    <xf numFmtId="9" fontId="63" fillId="2" borderId="11" xfId="11" applyNumberFormat="1" applyFont="1" applyFill="1" applyBorder="1"/>
    <xf numFmtId="3" fontId="62" fillId="0" borderId="0" xfId="11" applyNumberFormat="1" applyFont="1" applyFill="1" applyBorder="1"/>
    <xf numFmtId="3" fontId="63" fillId="0" borderId="0" xfId="11" applyNumberFormat="1" applyFont="1" applyFill="1" applyBorder="1"/>
    <xf numFmtId="188" fontId="6" fillId="2" borderId="0" xfId="0" applyNumberFormat="1" applyFont="1" applyFill="1" applyAlignment="1">
      <alignment horizontal="right"/>
    </xf>
    <xf numFmtId="183" fontId="42" fillId="0" borderId="0" xfId="11" applyNumberFormat="1" applyFont="1" applyFill="1"/>
    <xf numFmtId="164" fontId="23" fillId="0" borderId="7" xfId="11" applyFont="1" applyFill="1" applyBorder="1"/>
    <xf numFmtId="172" fontId="6" fillId="5" borderId="0" xfId="0" applyNumberFormat="1" applyFont="1" applyFill="1"/>
    <xf numFmtId="171" fontId="6" fillId="11" borderId="11" xfId="22" applyNumberFormat="1" applyFont="1" applyFill="1" applyBorder="1"/>
    <xf numFmtId="0" fontId="56" fillId="9" borderId="39" xfId="0" applyFont="1" applyFill="1" applyBorder="1" applyAlignment="1">
      <alignment horizontal="right"/>
    </xf>
    <xf numFmtId="167" fontId="6" fillId="2" borderId="39" xfId="11" applyNumberFormat="1" applyFont="1" applyFill="1" applyBorder="1"/>
    <xf numFmtId="168" fontId="6" fillId="2" borderId="39" xfId="0" applyNumberFormat="1" applyFont="1" applyFill="1" applyBorder="1"/>
    <xf numFmtId="0" fontId="6" fillId="2" borderId="39" xfId="0" applyFont="1" applyFill="1" applyBorder="1"/>
    <xf numFmtId="172" fontId="6" fillId="2" borderId="39" xfId="11" applyNumberFormat="1" applyFont="1" applyFill="1" applyBorder="1"/>
    <xf numFmtId="171" fontId="6" fillId="2" borderId="39" xfId="22" applyNumberFormat="1" applyFont="1" applyFill="1" applyBorder="1"/>
    <xf numFmtId="1" fontId="6" fillId="0" borderId="0" xfId="0" applyNumberFormat="1" applyFont="1"/>
    <xf numFmtId="0" fontId="17" fillId="2" borderId="15" xfId="0" applyFont="1" applyFill="1" applyBorder="1"/>
    <xf numFmtId="168" fontId="6" fillId="2" borderId="15" xfId="0" applyNumberFormat="1" applyFont="1" applyFill="1" applyBorder="1"/>
    <xf numFmtId="167" fontId="6" fillId="2" borderId="16" xfId="11" applyNumberFormat="1" applyFont="1" applyFill="1" applyBorder="1"/>
    <xf numFmtId="168" fontId="6" fillId="2" borderId="16" xfId="0" applyNumberFormat="1" applyFont="1" applyFill="1" applyBorder="1"/>
    <xf numFmtId="177" fontId="6" fillId="2" borderId="15" xfId="0" applyNumberFormat="1" applyFont="1" applyFill="1" applyBorder="1"/>
    <xf numFmtId="168" fontId="12" fillId="2" borderId="15" xfId="0" applyNumberFormat="1" applyFont="1" applyFill="1" applyBorder="1"/>
    <xf numFmtId="0" fontId="6" fillId="2" borderId="16" xfId="0" applyFont="1" applyFill="1" applyBorder="1"/>
    <xf numFmtId="169" fontId="6" fillId="2" borderId="15" xfId="11" applyNumberFormat="1" applyFont="1" applyFill="1" applyBorder="1"/>
    <xf numFmtId="168" fontId="6" fillId="2" borderId="15" xfId="22" applyNumberFormat="1" applyFont="1" applyFill="1" applyBorder="1"/>
    <xf numFmtId="172" fontId="6" fillId="2" borderId="16" xfId="11" applyNumberFormat="1" applyFont="1" applyFill="1" applyBorder="1"/>
    <xf numFmtId="168" fontId="7" fillId="2" borderId="15" xfId="22" applyNumberFormat="1" applyFont="1" applyFill="1" applyBorder="1"/>
    <xf numFmtId="170" fontId="6" fillId="2" borderId="15" xfId="0" applyNumberFormat="1" applyFont="1" applyFill="1" applyBorder="1"/>
    <xf numFmtId="170" fontId="6" fillId="0" borderId="15" xfId="0" applyNumberFormat="1" applyFont="1" applyBorder="1"/>
    <xf numFmtId="0" fontId="17" fillId="2" borderId="11" xfId="0" applyFont="1" applyFill="1" applyBorder="1"/>
    <xf numFmtId="168" fontId="6" fillId="2" borderId="11" xfId="0" applyNumberFormat="1" applyFont="1" applyFill="1" applyBorder="1"/>
    <xf numFmtId="167" fontId="6" fillId="2" borderId="13" xfId="11" applyNumberFormat="1" applyFont="1" applyFill="1" applyBorder="1"/>
    <xf numFmtId="168" fontId="6" fillId="2" borderId="13" xfId="0" applyNumberFormat="1" applyFont="1" applyFill="1" applyBorder="1"/>
    <xf numFmtId="168" fontId="12" fillId="2" borderId="11" xfId="0" applyNumberFormat="1" applyFont="1" applyFill="1" applyBorder="1"/>
    <xf numFmtId="168" fontId="6" fillId="2" borderId="11" xfId="22" applyNumberFormat="1" applyFont="1" applyFill="1" applyBorder="1"/>
    <xf numFmtId="0" fontId="6" fillId="2" borderId="13" xfId="0" applyFont="1" applyFill="1" applyBorder="1"/>
    <xf numFmtId="169" fontId="6" fillId="2" borderId="11" xfId="11" applyNumberFormat="1" applyFont="1" applyFill="1" applyBorder="1"/>
    <xf numFmtId="172" fontId="6" fillId="2" borderId="13" xfId="11" applyNumberFormat="1" applyFont="1" applyFill="1" applyBorder="1"/>
    <xf numFmtId="168" fontId="7" fillId="2" borderId="11" xfId="22" applyNumberFormat="1" applyFont="1" applyFill="1" applyBorder="1"/>
    <xf numFmtId="169" fontId="7" fillId="2" borderId="11" xfId="11" applyNumberFormat="1" applyFont="1" applyFill="1" applyBorder="1"/>
    <xf numFmtId="170" fontId="6" fillId="0" borderId="11" xfId="0" applyNumberFormat="1" applyFont="1" applyBorder="1"/>
    <xf numFmtId="3" fontId="6" fillId="2" borderId="15" xfId="22" applyNumberFormat="1" applyFont="1" applyFill="1" applyBorder="1"/>
    <xf numFmtId="176" fontId="6" fillId="2" borderId="15" xfId="0" applyNumberFormat="1" applyFont="1" applyFill="1" applyBorder="1"/>
    <xf numFmtId="176" fontId="6" fillId="2" borderId="11" xfId="0" applyNumberFormat="1" applyFont="1" applyFill="1" applyBorder="1"/>
    <xf numFmtId="0" fontId="56" fillId="8" borderId="39" xfId="0" applyFont="1" applyFill="1" applyBorder="1" applyAlignment="1">
      <alignment horizontal="right"/>
    </xf>
    <xf numFmtId="1" fontId="6" fillId="0" borderId="15" xfId="0" applyNumberFormat="1" applyFont="1" applyBorder="1"/>
    <xf numFmtId="0" fontId="56" fillId="8" borderId="11" xfId="0" applyFont="1" applyFill="1" applyBorder="1" applyAlignment="1">
      <alignment horizontal="right"/>
    </xf>
    <xf numFmtId="171" fontId="61" fillId="2" borderId="11" xfId="22" applyNumberFormat="1" applyFont="1" applyFill="1" applyBorder="1"/>
    <xf numFmtId="0" fontId="8" fillId="0" borderId="11" xfId="0" applyFont="1" applyBorder="1"/>
    <xf numFmtId="167" fontId="63" fillId="0" borderId="13" xfId="11" applyNumberFormat="1" applyFont="1" applyFill="1" applyBorder="1"/>
    <xf numFmtId="3" fontId="62" fillId="0" borderId="12" xfId="0" applyNumberFormat="1" applyFont="1" applyBorder="1"/>
    <xf numFmtId="167" fontId="62" fillId="0" borderId="11" xfId="0" applyNumberFormat="1" applyFont="1" applyBorder="1"/>
    <xf numFmtId="168" fontId="8" fillId="0" borderId="11" xfId="0" applyNumberFormat="1" applyFont="1" applyBorder="1"/>
    <xf numFmtId="168" fontId="42" fillId="0" borderId="11" xfId="0" applyNumberFormat="1" applyFont="1" applyBorder="1"/>
    <xf numFmtId="168" fontId="42" fillId="0" borderId="13" xfId="0" applyNumberFormat="1" applyFont="1" applyBorder="1"/>
    <xf numFmtId="168" fontId="62" fillId="0" borderId="11" xfId="0" applyNumberFormat="1" applyFont="1" applyBorder="1"/>
    <xf numFmtId="168" fontId="63" fillId="0" borderId="13" xfId="0" applyNumberFormat="1" applyFont="1" applyBorder="1"/>
    <xf numFmtId="168" fontId="57" fillId="0" borderId="11" xfId="0" applyNumberFormat="1" applyFont="1" applyBorder="1"/>
    <xf numFmtId="168" fontId="40" fillId="0" borderId="11" xfId="0" applyNumberFormat="1" applyFont="1" applyBorder="1"/>
    <xf numFmtId="168" fontId="49" fillId="0" borderId="11" xfId="0" applyNumberFormat="1" applyFont="1" applyBorder="1"/>
    <xf numFmtId="0" fontId="63" fillId="0" borderId="11" xfId="0" applyFont="1" applyBorder="1"/>
    <xf numFmtId="0" fontId="8" fillId="0" borderId="13" xfId="0" applyFont="1" applyBorder="1"/>
    <xf numFmtId="169" fontId="63" fillId="0" borderId="11" xfId="11" applyNumberFormat="1" applyFont="1" applyFill="1" applyBorder="1"/>
    <xf numFmtId="169" fontId="8" fillId="0" borderId="11" xfId="11" applyNumberFormat="1" applyFont="1" applyFill="1" applyBorder="1"/>
    <xf numFmtId="168" fontId="63" fillId="0" borderId="11" xfId="22" applyNumberFormat="1" applyFont="1" applyFill="1" applyBorder="1"/>
    <xf numFmtId="172" fontId="63" fillId="0" borderId="13" xfId="11" applyNumberFormat="1" applyFont="1" applyFill="1" applyBorder="1"/>
    <xf numFmtId="168" fontId="62" fillId="0" borderId="11" xfId="22" applyNumberFormat="1" applyFont="1" applyFill="1" applyBorder="1"/>
    <xf numFmtId="168" fontId="7" fillId="0" borderId="11" xfId="22" applyNumberFormat="1" applyFont="1" applyFill="1" applyBorder="1"/>
    <xf numFmtId="169" fontId="62" fillId="0" borderId="11" xfId="11" applyNumberFormat="1" applyFont="1" applyFill="1" applyBorder="1"/>
    <xf numFmtId="170" fontId="63" fillId="0" borderId="11" xfId="0" applyNumberFormat="1" applyFont="1" applyBorder="1"/>
    <xf numFmtId="3" fontId="8" fillId="0" borderId="11" xfId="22" applyNumberFormat="1" applyFont="1" applyFill="1" applyBorder="1"/>
    <xf numFmtId="171" fontId="13" fillId="0" borderId="11" xfId="22" applyNumberFormat="1" applyFont="1" applyFill="1" applyBorder="1"/>
    <xf numFmtId="172" fontId="8" fillId="0" borderId="11" xfId="0" applyNumberFormat="1" applyFont="1" applyBorder="1"/>
    <xf numFmtId="176" fontId="8" fillId="0" borderId="11" xfId="0" applyNumberFormat="1" applyFont="1" applyBorder="1"/>
    <xf numFmtId="0" fontId="42" fillId="0" borderId="11" xfId="0" applyFont="1" applyBorder="1"/>
    <xf numFmtId="1" fontId="63" fillId="0" borderId="11" xfId="0" applyNumberFormat="1" applyFont="1" applyBorder="1"/>
    <xf numFmtId="0" fontId="56" fillId="8" borderId="15" xfId="0" applyFont="1" applyFill="1" applyBorder="1" applyAlignment="1">
      <alignment horizontal="right"/>
    </xf>
    <xf numFmtId="171" fontId="61" fillId="2" borderId="15" xfId="22" applyNumberFormat="1" applyFont="1" applyFill="1" applyBorder="1"/>
    <xf numFmtId="0" fontId="8" fillId="0" borderId="15" xfId="0" applyFont="1" applyBorder="1"/>
    <xf numFmtId="167" fontId="63" fillId="0" borderId="16" xfId="11" applyNumberFormat="1" applyFont="1" applyFill="1" applyBorder="1"/>
    <xf numFmtId="3" fontId="62" fillId="0" borderId="23" xfId="0" applyNumberFormat="1" applyFont="1" applyBorder="1"/>
    <xf numFmtId="167" fontId="62" fillId="0" borderId="15" xfId="0" applyNumberFormat="1" applyFont="1" applyBorder="1"/>
    <xf numFmtId="168" fontId="8" fillId="0" borderId="15" xfId="0" applyNumberFormat="1" applyFont="1" applyBorder="1"/>
    <xf numFmtId="168" fontId="42" fillId="0" borderId="15" xfId="0" applyNumberFormat="1" applyFont="1" applyBorder="1"/>
    <xf numFmtId="168" fontId="62" fillId="0" borderId="15" xfId="0" applyNumberFormat="1" applyFont="1" applyBorder="1"/>
    <xf numFmtId="168" fontId="63" fillId="0" borderId="16" xfId="0" applyNumberFormat="1" applyFont="1" applyBorder="1"/>
    <xf numFmtId="168" fontId="49" fillId="0" borderId="15" xfId="0" applyNumberFormat="1" applyFont="1" applyBorder="1"/>
    <xf numFmtId="0" fontId="8" fillId="0" borderId="16" xfId="0" applyFont="1" applyBorder="1"/>
    <xf numFmtId="169" fontId="63" fillId="0" borderId="15" xfId="11" applyNumberFormat="1" applyFont="1" applyFill="1" applyBorder="1"/>
    <xf numFmtId="169" fontId="8" fillId="0" borderId="15" xfId="11" applyNumberFormat="1" applyFont="1" applyFill="1" applyBorder="1"/>
    <xf numFmtId="172" fontId="63" fillId="0" borderId="16" xfId="11" applyNumberFormat="1" applyFont="1" applyFill="1" applyBorder="1"/>
    <xf numFmtId="168" fontId="62" fillId="0" borderId="15" xfId="22" applyNumberFormat="1" applyFont="1" applyFill="1" applyBorder="1"/>
    <xf numFmtId="168" fontId="7" fillId="0" borderId="15" xfId="22" applyNumberFormat="1" applyFont="1" applyFill="1" applyBorder="1"/>
    <xf numFmtId="169" fontId="62" fillId="0" borderId="15" xfId="11" applyNumberFormat="1" applyFont="1" applyFill="1" applyBorder="1"/>
    <xf numFmtId="164" fontId="42" fillId="0" borderId="15" xfId="11" applyFont="1" applyFill="1" applyBorder="1"/>
    <xf numFmtId="170" fontId="63" fillId="0" borderId="15" xfId="0" applyNumberFormat="1" applyFont="1" applyBorder="1"/>
    <xf numFmtId="3" fontId="8" fillId="0" borderId="15" xfId="22" applyNumberFormat="1" applyFont="1" applyFill="1" applyBorder="1"/>
    <xf numFmtId="171" fontId="13" fillId="0" borderId="15" xfId="22" applyNumberFormat="1" applyFont="1" applyFill="1" applyBorder="1"/>
    <xf numFmtId="0" fontId="7" fillId="0" borderId="15" xfId="0" applyFont="1" applyBorder="1" applyAlignment="1">
      <alignment horizontal="right"/>
    </xf>
    <xf numFmtId="172" fontId="8" fillId="0" borderId="15" xfId="0" applyNumberFormat="1" applyFont="1" applyBorder="1"/>
    <xf numFmtId="176" fontId="8" fillId="0" borderId="15" xfId="0" applyNumberFormat="1" applyFont="1" applyBorder="1"/>
    <xf numFmtId="0" fontId="42" fillId="0" borderId="15" xfId="0" applyFont="1" applyBorder="1"/>
    <xf numFmtId="168" fontId="7" fillId="2" borderId="39" xfId="0" applyNumberFormat="1" applyFont="1" applyFill="1" applyBorder="1"/>
    <xf numFmtId="168" fontId="62" fillId="0" borderId="39" xfId="0" applyNumberFormat="1" applyFont="1" applyBorder="1"/>
    <xf numFmtId="179" fontId="7" fillId="2" borderId="15" xfId="0" applyNumberFormat="1" applyFont="1" applyFill="1" applyBorder="1"/>
    <xf numFmtId="168" fontId="7" fillId="2" borderId="23" xfId="0" applyNumberFormat="1" applyFont="1" applyFill="1" applyBorder="1"/>
    <xf numFmtId="168" fontId="7" fillId="4" borderId="15" xfId="0" applyNumberFormat="1" applyFont="1" applyFill="1" applyBorder="1"/>
    <xf numFmtId="168" fontId="7" fillId="2" borderId="16" xfId="0" applyNumberFormat="1" applyFont="1" applyFill="1" applyBorder="1"/>
    <xf numFmtId="179" fontId="7" fillId="2" borderId="11" xfId="0" applyNumberFormat="1" applyFont="1" applyFill="1" applyBorder="1"/>
    <xf numFmtId="168" fontId="7" fillId="2" borderId="12" xfId="0" applyNumberFormat="1" applyFont="1" applyFill="1" applyBorder="1"/>
    <xf numFmtId="168" fontId="7" fillId="4" borderId="11" xfId="0" applyNumberFormat="1" applyFont="1" applyFill="1" applyBorder="1"/>
    <xf numFmtId="168" fontId="7" fillId="2" borderId="13" xfId="0" applyNumberFormat="1" applyFont="1" applyFill="1" applyBorder="1"/>
    <xf numFmtId="9" fontId="12" fillId="2" borderId="15" xfId="22" applyFont="1" applyFill="1" applyBorder="1"/>
    <xf numFmtId="172" fontId="63" fillId="0" borderId="11" xfId="0" applyNumberFormat="1" applyFont="1" applyBorder="1"/>
    <xf numFmtId="179" fontId="62" fillId="0" borderId="11" xfId="0" applyNumberFormat="1" applyFont="1" applyBorder="1"/>
    <xf numFmtId="168" fontId="62" fillId="0" borderId="12" xfId="0" applyNumberFormat="1" applyFont="1" applyBorder="1"/>
    <xf numFmtId="0" fontId="13" fillId="0" borderId="11" xfId="0" applyFont="1" applyBorder="1"/>
    <xf numFmtId="168" fontId="63" fillId="2" borderId="11" xfId="0" applyNumberFormat="1" applyFont="1" applyFill="1" applyBorder="1"/>
    <xf numFmtId="168" fontId="42" fillId="2" borderId="11" xfId="0" applyNumberFormat="1" applyFont="1" applyFill="1" applyBorder="1"/>
    <xf numFmtId="168" fontId="62" fillId="4" borderId="11" xfId="0" applyNumberFormat="1" applyFont="1" applyFill="1" applyBorder="1"/>
    <xf numFmtId="168" fontId="12" fillId="0" borderId="11" xfId="0" applyNumberFormat="1" applyFont="1" applyBorder="1"/>
    <xf numFmtId="9" fontId="57" fillId="0" borderId="11" xfId="22" applyFont="1" applyFill="1" applyBorder="1"/>
    <xf numFmtId="168" fontId="62" fillId="0" borderId="13" xfId="0" applyNumberFormat="1" applyFont="1" applyBorder="1"/>
    <xf numFmtId="172" fontId="63" fillId="0" borderId="15" xfId="0" applyNumberFormat="1" applyFont="1" applyBorder="1"/>
    <xf numFmtId="179" fontId="62" fillId="0" borderId="15" xfId="0" applyNumberFormat="1" applyFont="1" applyBorder="1"/>
    <xf numFmtId="168" fontId="62" fillId="0" borderId="23" xfId="0" applyNumberFormat="1" applyFont="1" applyBorder="1"/>
    <xf numFmtId="168" fontId="63" fillId="2" borderId="15" xfId="0" applyNumberFormat="1" applyFont="1" applyFill="1" applyBorder="1"/>
    <xf numFmtId="168" fontId="62" fillId="4" borderId="15" xfId="0" applyNumberFormat="1" applyFont="1" applyFill="1" applyBorder="1"/>
    <xf numFmtId="168" fontId="12" fillId="0" borderId="15" xfId="0" applyNumberFormat="1" applyFont="1" applyBorder="1"/>
    <xf numFmtId="9" fontId="57" fillId="0" borderId="15" xfId="22" applyFont="1" applyFill="1" applyBorder="1"/>
    <xf numFmtId="168" fontId="62" fillId="0" borderId="16" xfId="0" applyNumberFormat="1" applyFont="1" applyBorder="1"/>
    <xf numFmtId="172" fontId="6" fillId="2" borderId="39" xfId="0" applyNumberFormat="1" applyFont="1" applyFill="1" applyBorder="1"/>
    <xf numFmtId="167" fontId="6" fillId="2" borderId="39" xfId="0" applyNumberFormat="1" applyFont="1" applyFill="1" applyBorder="1"/>
    <xf numFmtId="168" fontId="6" fillId="0" borderId="39" xfId="0" applyNumberFormat="1" applyFont="1" applyBorder="1"/>
    <xf numFmtId="167" fontId="6" fillId="0" borderId="39" xfId="11" applyNumberFormat="1" applyFont="1" applyFill="1" applyBorder="1"/>
    <xf numFmtId="168" fontId="6" fillId="2" borderId="39" xfId="11" applyNumberFormat="1" applyFont="1" applyFill="1" applyBorder="1"/>
    <xf numFmtId="168" fontId="6" fillId="0" borderId="39" xfId="11" applyNumberFormat="1" applyFont="1" applyFill="1" applyBorder="1"/>
    <xf numFmtId="167" fontId="6" fillId="0" borderId="39" xfId="0" applyNumberFormat="1" applyFont="1" applyBorder="1"/>
    <xf numFmtId="171" fontId="6" fillId="2" borderId="39" xfId="0" applyNumberFormat="1" applyFont="1" applyFill="1" applyBorder="1"/>
    <xf numFmtId="9" fontId="6" fillId="2" borderId="39" xfId="22" applyFont="1" applyFill="1" applyBorder="1"/>
    <xf numFmtId="3" fontId="6" fillId="2" borderId="39" xfId="0" applyNumberFormat="1" applyFont="1" applyFill="1" applyBorder="1"/>
    <xf numFmtId="172" fontId="63" fillId="0" borderId="39" xfId="0" applyNumberFormat="1" applyFont="1" applyBorder="1"/>
    <xf numFmtId="167" fontId="63" fillId="0" borderId="39" xfId="0" applyNumberFormat="1" applyFont="1" applyBorder="1"/>
    <xf numFmtId="171" fontId="11" fillId="0" borderId="39" xfId="0" applyNumberFormat="1" applyFont="1" applyBorder="1"/>
    <xf numFmtId="172" fontId="8" fillId="0" borderId="39" xfId="11" applyNumberFormat="1" applyFont="1" applyFill="1" applyBorder="1"/>
    <xf numFmtId="3" fontId="63" fillId="0" borderId="39" xfId="0" applyNumberFormat="1" applyFont="1" applyBorder="1"/>
    <xf numFmtId="171" fontId="63" fillId="0" borderId="39" xfId="22" applyNumberFormat="1" applyFont="1" applyFill="1" applyBorder="1"/>
    <xf numFmtId="172" fontId="6" fillId="2" borderId="16" xfId="0" applyNumberFormat="1" applyFont="1" applyFill="1" applyBorder="1"/>
    <xf numFmtId="167" fontId="6" fillId="2" borderId="16" xfId="0" applyNumberFormat="1" applyFont="1" applyFill="1" applyBorder="1"/>
    <xf numFmtId="168" fontId="6" fillId="0" borderId="16" xfId="0" applyNumberFormat="1" applyFont="1" applyBorder="1"/>
    <xf numFmtId="170" fontId="6" fillId="2" borderId="15" xfId="11" applyNumberFormat="1" applyFont="1" applyFill="1" applyBorder="1" applyAlignment="1">
      <alignment horizontal="right"/>
    </xf>
    <xf numFmtId="0" fontId="6" fillId="4" borderId="15" xfId="0" applyFont="1" applyFill="1" applyBorder="1"/>
    <xf numFmtId="167" fontId="6" fillId="0" borderId="16" xfId="11" applyNumberFormat="1" applyFont="1" applyFill="1" applyBorder="1"/>
    <xf numFmtId="168" fontId="6" fillId="2" borderId="16" xfId="11" applyNumberFormat="1" applyFont="1" applyFill="1" applyBorder="1"/>
    <xf numFmtId="168" fontId="6" fillId="0" borderId="16" xfId="11" applyNumberFormat="1" applyFont="1" applyFill="1" applyBorder="1"/>
    <xf numFmtId="167" fontId="6" fillId="0" borderId="16" xfId="0" applyNumberFormat="1" applyFont="1" applyBorder="1"/>
    <xf numFmtId="171" fontId="6" fillId="2" borderId="16" xfId="0" applyNumberFormat="1" applyFont="1" applyFill="1" applyBorder="1"/>
    <xf numFmtId="1" fontId="6" fillId="2" borderId="15" xfId="22" applyNumberFormat="1" applyFont="1" applyFill="1" applyBorder="1"/>
    <xf numFmtId="9" fontId="6" fillId="2" borderId="16" xfId="22" applyFont="1" applyFill="1" applyBorder="1"/>
    <xf numFmtId="3" fontId="6" fillId="2" borderId="16" xfId="0" applyNumberFormat="1" applyFont="1" applyFill="1" applyBorder="1"/>
    <xf numFmtId="183" fontId="6" fillId="2" borderId="15" xfId="11" applyNumberFormat="1" applyFont="1" applyFill="1" applyBorder="1"/>
    <xf numFmtId="184" fontId="6" fillId="2" borderId="15" xfId="11" applyNumberFormat="1" applyFont="1" applyFill="1" applyBorder="1"/>
    <xf numFmtId="171" fontId="6" fillId="2" borderId="16" xfId="22" applyNumberFormat="1" applyFont="1" applyFill="1" applyBorder="1"/>
    <xf numFmtId="172" fontId="6" fillId="2" borderId="13" xfId="0" applyNumberFormat="1" applyFont="1" applyFill="1" applyBorder="1"/>
    <xf numFmtId="0" fontId="7" fillId="2" borderId="11" xfId="0" applyFont="1" applyFill="1" applyBorder="1"/>
    <xf numFmtId="0" fontId="7" fillId="4" borderId="11" xfId="0" applyFont="1" applyFill="1" applyBorder="1"/>
    <xf numFmtId="167" fontId="6" fillId="2" borderId="13" xfId="0" applyNumberFormat="1" applyFont="1" applyFill="1" applyBorder="1"/>
    <xf numFmtId="168" fontId="6" fillId="0" borderId="13" xfId="0" applyNumberFormat="1" applyFont="1" applyBorder="1"/>
    <xf numFmtId="170" fontId="6" fillId="2" borderId="11" xfId="11" applyNumberFormat="1" applyFont="1" applyFill="1" applyBorder="1" applyAlignment="1">
      <alignment horizontal="right"/>
    </xf>
    <xf numFmtId="0" fontId="6" fillId="4" borderId="11" xfId="0" applyFont="1" applyFill="1" applyBorder="1"/>
    <xf numFmtId="167" fontId="6" fillId="0" borderId="11" xfId="11" applyNumberFormat="1" applyFont="1" applyFill="1" applyBorder="1"/>
    <xf numFmtId="167" fontId="6" fillId="0" borderId="13" xfId="11" applyNumberFormat="1" applyFont="1" applyFill="1" applyBorder="1"/>
    <xf numFmtId="168" fontId="6" fillId="0" borderId="13" xfId="11" applyNumberFormat="1" applyFont="1" applyFill="1" applyBorder="1"/>
    <xf numFmtId="167" fontId="6" fillId="0" borderId="13" xfId="0" applyNumberFormat="1" applyFont="1" applyBorder="1"/>
    <xf numFmtId="171" fontId="6" fillId="2" borderId="13" xfId="0" applyNumberFormat="1" applyFont="1" applyFill="1" applyBorder="1"/>
    <xf numFmtId="1" fontId="6" fillId="2" borderId="11" xfId="22" applyNumberFormat="1" applyFont="1" applyFill="1" applyBorder="1"/>
    <xf numFmtId="9" fontId="6" fillId="2" borderId="13" xfId="22" applyFont="1" applyFill="1" applyBorder="1"/>
    <xf numFmtId="3" fontId="6" fillId="2" borderId="13" xfId="0" applyNumberFormat="1" applyFont="1" applyFill="1" applyBorder="1"/>
    <xf numFmtId="183" fontId="6" fillId="2" borderId="11" xfId="11" applyNumberFormat="1" applyFont="1" applyFill="1" applyBorder="1"/>
    <xf numFmtId="184" fontId="6" fillId="2" borderId="11" xfId="11" applyNumberFormat="1" applyFont="1" applyFill="1" applyBorder="1"/>
    <xf numFmtId="171" fontId="6" fillId="2" borderId="13" xfId="22" applyNumberFormat="1" applyFont="1" applyFill="1" applyBorder="1"/>
    <xf numFmtId="167" fontId="7" fillId="4" borderId="15" xfId="0" applyNumberFormat="1" applyFont="1" applyFill="1" applyBorder="1"/>
    <xf numFmtId="172" fontId="63" fillId="0" borderId="13" xfId="0" applyNumberFormat="1" applyFont="1" applyBorder="1"/>
    <xf numFmtId="172" fontId="62" fillId="0" borderId="11" xfId="0" applyNumberFormat="1" applyFont="1" applyBorder="1"/>
    <xf numFmtId="0" fontId="24" fillId="0" borderId="11" xfId="0" applyFont="1" applyBorder="1"/>
    <xf numFmtId="167" fontId="7" fillId="4" borderId="11" xfId="0" applyNumberFormat="1" applyFont="1" applyFill="1" applyBorder="1"/>
    <xf numFmtId="167" fontId="63" fillId="0" borderId="13" xfId="0" applyNumberFormat="1" applyFont="1" applyBorder="1"/>
    <xf numFmtId="170" fontId="63" fillId="0" borderId="11" xfId="11" applyNumberFormat="1" applyFont="1" applyFill="1" applyBorder="1" applyAlignment="1">
      <alignment horizontal="right"/>
    </xf>
    <xf numFmtId="170" fontId="8" fillId="0" borderId="11" xfId="11" applyNumberFormat="1" applyFont="1" applyFill="1" applyBorder="1" applyAlignment="1">
      <alignment horizontal="right"/>
    </xf>
    <xf numFmtId="167" fontId="42" fillId="0" borderId="13" xfId="11" applyNumberFormat="1" applyFont="1" applyFill="1" applyBorder="1"/>
    <xf numFmtId="170" fontId="13" fillId="0" borderId="11" xfId="0" applyNumberFormat="1" applyFont="1" applyBorder="1"/>
    <xf numFmtId="170" fontId="63" fillId="0" borderId="11" xfId="11" applyNumberFormat="1" applyFont="1" applyFill="1" applyBorder="1"/>
    <xf numFmtId="170" fontId="8" fillId="0" borderId="11" xfId="11" applyNumberFormat="1" applyFont="1" applyFill="1" applyBorder="1"/>
    <xf numFmtId="171" fontId="42" fillId="0" borderId="11" xfId="24" applyNumberFormat="1" applyFont="1" applyFill="1" applyBorder="1"/>
    <xf numFmtId="171" fontId="11" fillId="0" borderId="11" xfId="24" applyNumberFormat="1" applyFont="1" applyFill="1" applyBorder="1"/>
    <xf numFmtId="171" fontId="11" fillId="0" borderId="11" xfId="0" applyNumberFormat="1" applyFont="1" applyBorder="1"/>
    <xf numFmtId="171" fontId="11" fillId="0" borderId="13" xfId="0" applyNumberFormat="1" applyFont="1" applyBorder="1"/>
    <xf numFmtId="3" fontId="6" fillId="0" borderId="11" xfId="24" applyNumberFormat="1" applyFont="1" applyFill="1" applyBorder="1"/>
    <xf numFmtId="172" fontId="63" fillId="0" borderId="11" xfId="24" applyNumberFormat="1" applyFont="1" applyFill="1" applyBorder="1"/>
    <xf numFmtId="172" fontId="8" fillId="0" borderId="11" xfId="11" applyNumberFormat="1" applyFont="1" applyFill="1" applyBorder="1"/>
    <xf numFmtId="0" fontId="25" fillId="0" borderId="11" xfId="0" applyFont="1" applyBorder="1"/>
    <xf numFmtId="171" fontId="13" fillId="0" borderId="11" xfId="0" applyNumberFormat="1" applyFont="1" applyBorder="1"/>
    <xf numFmtId="167" fontId="8" fillId="0" borderId="11" xfId="11" applyNumberFormat="1" applyFont="1" applyFill="1" applyBorder="1"/>
    <xf numFmtId="172" fontId="8" fillId="0" borderId="13" xfId="11" applyNumberFormat="1" applyFont="1" applyFill="1" applyBorder="1"/>
    <xf numFmtId="167" fontId="13" fillId="0" borderId="11" xfId="11" applyNumberFormat="1" applyFont="1" applyFill="1" applyBorder="1"/>
    <xf numFmtId="3" fontId="63" fillId="0" borderId="13" xfId="0" applyNumberFormat="1" applyFont="1" applyBorder="1"/>
    <xf numFmtId="37" fontId="8" fillId="0" borderId="11" xfId="0" applyNumberFormat="1" applyFont="1" applyBorder="1"/>
    <xf numFmtId="37" fontId="63" fillId="0" borderId="11" xfId="0" applyNumberFormat="1" applyFont="1" applyBorder="1"/>
    <xf numFmtId="167" fontId="8" fillId="0" borderId="11" xfId="0" applyNumberFormat="1" applyFont="1" applyBorder="1"/>
    <xf numFmtId="183" fontId="63" fillId="0" borderId="11" xfId="11" applyNumberFormat="1" applyFont="1" applyFill="1" applyBorder="1"/>
    <xf numFmtId="184" fontId="63" fillId="0" borderId="11" xfId="11" applyNumberFormat="1" applyFont="1" applyFill="1" applyBorder="1"/>
    <xf numFmtId="9" fontId="42" fillId="0" borderId="11" xfId="22" applyFont="1" applyFill="1" applyBorder="1"/>
    <xf numFmtId="167" fontId="20" fillId="0" borderId="11" xfId="11" applyNumberFormat="1" applyFont="1" applyFill="1" applyBorder="1"/>
    <xf numFmtId="171" fontId="63" fillId="0" borderId="13" xfId="22" applyNumberFormat="1" applyFont="1" applyFill="1" applyBorder="1"/>
    <xf numFmtId="0" fontId="24" fillId="0" borderId="15" xfId="0" applyFont="1" applyBorder="1"/>
    <xf numFmtId="167" fontId="63" fillId="0" borderId="16" xfId="0" applyNumberFormat="1" applyFont="1" applyBorder="1"/>
    <xf numFmtId="170" fontId="63" fillId="0" borderId="15" xfId="11" applyNumberFormat="1" applyFont="1" applyFill="1" applyBorder="1" applyAlignment="1">
      <alignment horizontal="right"/>
    </xf>
    <xf numFmtId="170" fontId="8" fillId="0" borderId="15" xfId="11" applyNumberFormat="1" applyFont="1" applyFill="1" applyBorder="1" applyAlignment="1">
      <alignment horizontal="right"/>
    </xf>
    <xf numFmtId="167" fontId="63" fillId="0" borderId="15" xfId="11" applyNumberFormat="1" applyFont="1" applyFill="1" applyBorder="1"/>
    <xf numFmtId="170" fontId="13" fillId="0" borderId="15" xfId="0" applyNumberFormat="1" applyFont="1" applyBorder="1"/>
    <xf numFmtId="171" fontId="63" fillId="0" borderId="15" xfId="0" applyNumberFormat="1" applyFont="1" applyBorder="1"/>
    <xf numFmtId="170" fontId="63" fillId="0" borderId="15" xfId="11" applyNumberFormat="1" applyFont="1" applyFill="1" applyBorder="1"/>
    <xf numFmtId="170" fontId="8" fillId="0" borderId="15" xfId="11" applyNumberFormat="1" applyFont="1" applyFill="1" applyBorder="1"/>
    <xf numFmtId="172" fontId="8" fillId="0" borderId="15" xfId="11" applyNumberFormat="1" applyFont="1" applyFill="1" applyBorder="1"/>
    <xf numFmtId="0" fontId="25" fillId="0" borderId="15" xfId="0" applyFont="1" applyBorder="1"/>
    <xf numFmtId="171" fontId="13" fillId="0" borderId="15" xfId="0" applyNumberFormat="1" applyFont="1" applyBorder="1"/>
    <xf numFmtId="171" fontId="8" fillId="0" borderId="15" xfId="0" applyNumberFormat="1" applyFont="1" applyBorder="1"/>
    <xf numFmtId="167" fontId="8" fillId="0" borderId="15" xfId="11" applyNumberFormat="1" applyFont="1" applyFill="1" applyBorder="1"/>
    <xf numFmtId="172" fontId="8" fillId="0" borderId="16" xfId="11" applyNumberFormat="1" applyFont="1" applyFill="1" applyBorder="1"/>
    <xf numFmtId="3" fontId="63" fillId="0" borderId="16" xfId="0" applyNumberFormat="1" applyFont="1" applyBorder="1"/>
    <xf numFmtId="37" fontId="8" fillId="0" borderId="15" xfId="0" applyNumberFormat="1" applyFont="1" applyBorder="1"/>
    <xf numFmtId="37" fontId="63" fillId="0" borderId="15" xfId="0" applyNumberFormat="1" applyFont="1" applyBorder="1"/>
    <xf numFmtId="171" fontId="41" fillId="0" borderId="11" xfId="24" applyNumberFormat="1" applyFont="1" applyFill="1" applyBorder="1"/>
    <xf numFmtId="171" fontId="41" fillId="0" borderId="11" xfId="0" applyNumberFormat="1" applyFont="1" applyBorder="1"/>
    <xf numFmtId="171" fontId="63" fillId="0" borderId="11" xfId="24" applyNumberFormat="1" applyFont="1" applyFill="1" applyBorder="1"/>
    <xf numFmtId="172" fontId="41" fillId="0" borderId="13" xfId="11" applyNumberFormat="1" applyFont="1" applyFill="1" applyBorder="1"/>
    <xf numFmtId="9" fontId="41" fillId="0" borderId="11" xfId="22" applyFont="1" applyFill="1" applyBorder="1"/>
    <xf numFmtId="168" fontId="63" fillId="2" borderId="39" xfId="0" applyNumberFormat="1" applyFont="1" applyFill="1" applyBorder="1"/>
    <xf numFmtId="168" fontId="63" fillId="2" borderId="16" xfId="0" applyNumberFormat="1" applyFont="1" applyFill="1" applyBorder="1"/>
    <xf numFmtId="164" fontId="63" fillId="2" borderId="0" xfId="11" applyFont="1" applyFill="1" applyBorder="1" applyAlignment="1">
      <alignment horizontal="right"/>
    </xf>
    <xf numFmtId="164" fontId="63" fillId="2" borderId="39" xfId="11" applyFont="1" applyFill="1" applyBorder="1" applyAlignment="1">
      <alignment horizontal="right"/>
    </xf>
    <xf numFmtId="172" fontId="63" fillId="2" borderId="39" xfId="11" applyNumberFormat="1" applyFont="1" applyFill="1" applyBorder="1" applyAlignment="1">
      <alignment horizontal="right"/>
    </xf>
    <xf numFmtId="172" fontId="6" fillId="0" borderId="39" xfId="11" applyNumberFormat="1" applyFont="1" applyFill="1" applyBorder="1"/>
    <xf numFmtId="172" fontId="6" fillId="0" borderId="16" xfId="11" applyNumberFormat="1" applyFont="1" applyFill="1" applyBorder="1"/>
    <xf numFmtId="169" fontId="6" fillId="0" borderId="0" xfId="11" applyNumberFormat="1" applyFont="1" applyFill="1" applyBorder="1"/>
    <xf numFmtId="169" fontId="7" fillId="0" borderId="0" xfId="11" applyNumberFormat="1" applyFont="1" applyFill="1" applyBorder="1"/>
    <xf numFmtId="164" fontId="6" fillId="0" borderId="0" xfId="11" applyFont="1" applyFill="1" applyBorder="1"/>
    <xf numFmtId="169" fontId="6" fillId="0" borderId="15" xfId="11" applyNumberFormat="1" applyFont="1" applyFill="1" applyBorder="1"/>
    <xf numFmtId="169" fontId="7" fillId="0" borderId="15" xfId="11" applyNumberFormat="1" applyFont="1" applyFill="1" applyBorder="1"/>
    <xf numFmtId="164" fontId="6" fillId="0" borderId="15" xfId="11" applyFont="1" applyFill="1" applyBorder="1"/>
    <xf numFmtId="179" fontId="7" fillId="0" borderId="0" xfId="0" applyNumberFormat="1" applyFont="1"/>
    <xf numFmtId="164" fontId="42" fillId="2" borderId="0" xfId="11" applyFont="1" applyFill="1"/>
    <xf numFmtId="172" fontId="42" fillId="2" borderId="0" xfId="11" applyNumberFormat="1" applyFont="1" applyFill="1"/>
    <xf numFmtId="0" fontId="42" fillId="2" borderId="7" xfId="0" applyFont="1" applyFill="1" applyBorder="1"/>
    <xf numFmtId="164" fontId="49" fillId="2" borderId="0" xfId="11" applyFont="1" applyFill="1"/>
    <xf numFmtId="1" fontId="6" fillId="2" borderId="0" xfId="22" applyNumberFormat="1" applyFont="1" applyFill="1" applyBorder="1"/>
    <xf numFmtId="172" fontId="63" fillId="2" borderId="39" xfId="0" applyNumberFormat="1" applyFont="1" applyFill="1" applyBorder="1"/>
    <xf numFmtId="172" fontId="63" fillId="2" borderId="16" xfId="0" applyNumberFormat="1" applyFont="1" applyFill="1" applyBorder="1"/>
    <xf numFmtId="170" fontId="63" fillId="0" borderId="0" xfId="11" applyNumberFormat="1" applyFont="1" applyFill="1" applyBorder="1" applyAlignment="1">
      <alignment horizontal="right"/>
    </xf>
    <xf numFmtId="170" fontId="63" fillId="0" borderId="0" xfId="11" applyNumberFormat="1" applyFont="1" applyFill="1" applyBorder="1"/>
    <xf numFmtId="171" fontId="63" fillId="2" borderId="39" xfId="0" applyNumberFormat="1" applyFont="1" applyFill="1" applyBorder="1"/>
    <xf numFmtId="172" fontId="63" fillId="2" borderId="0" xfId="11" applyNumberFormat="1" applyFont="1" applyFill="1"/>
    <xf numFmtId="172" fontId="63" fillId="2" borderId="39" xfId="11" applyNumberFormat="1" applyFont="1" applyFill="1" applyBorder="1"/>
    <xf numFmtId="1" fontId="63" fillId="2" borderId="0" xfId="22" applyNumberFormat="1" applyFont="1" applyFill="1"/>
    <xf numFmtId="171" fontId="63" fillId="2" borderId="16" xfId="0" applyNumberFormat="1" applyFont="1" applyFill="1" applyBorder="1"/>
    <xf numFmtId="172" fontId="63" fillId="2" borderId="16" xfId="11" applyNumberFormat="1" applyFont="1" applyFill="1" applyBorder="1"/>
    <xf numFmtId="1" fontId="63" fillId="2" borderId="15" xfId="22" applyNumberFormat="1" applyFont="1" applyFill="1" applyBorder="1"/>
    <xf numFmtId="167" fontId="63" fillId="2" borderId="39" xfId="0" applyNumberFormat="1" applyFont="1" applyFill="1" applyBorder="1"/>
    <xf numFmtId="167" fontId="62" fillId="2" borderId="0" xfId="11" applyNumberFormat="1" applyFont="1" applyFill="1"/>
    <xf numFmtId="167" fontId="63" fillId="2" borderId="16" xfId="0" applyNumberFormat="1" applyFont="1" applyFill="1" applyBorder="1"/>
    <xf numFmtId="171" fontId="63" fillId="2" borderId="39" xfId="22" applyNumberFormat="1" applyFont="1" applyFill="1" applyBorder="1"/>
    <xf numFmtId="171" fontId="63" fillId="2" borderId="16" xfId="22" applyNumberFormat="1" applyFont="1" applyFill="1" applyBorder="1"/>
    <xf numFmtId="170" fontId="8" fillId="0" borderId="0" xfId="11" applyNumberFormat="1" applyFont="1" applyFill="1" applyBorder="1" applyAlignment="1">
      <alignment horizontal="right"/>
    </xf>
    <xf numFmtId="171" fontId="41" fillId="0" borderId="0" xfId="24" applyNumberFormat="1" applyFont="1" applyFill="1" applyBorder="1"/>
    <xf numFmtId="171" fontId="11" fillId="0" borderId="0" xfId="24" applyNumberFormat="1" applyFont="1" applyFill="1" applyBorder="1"/>
    <xf numFmtId="171" fontId="41" fillId="0" borderId="0" xfId="0" applyNumberFormat="1" applyFont="1"/>
    <xf numFmtId="171" fontId="11" fillId="0" borderId="0" xfId="0" applyNumberFormat="1" applyFont="1"/>
    <xf numFmtId="3" fontId="6" fillId="0" borderId="0" xfId="24" applyNumberFormat="1" applyFont="1" applyFill="1" applyBorder="1"/>
    <xf numFmtId="171" fontId="63" fillId="0" borderId="0" xfId="24" applyNumberFormat="1" applyFont="1" applyFill="1" applyBorder="1"/>
    <xf numFmtId="171" fontId="63" fillId="0" borderId="0" xfId="24" applyNumberFormat="1" applyFont="1" applyFill="1"/>
    <xf numFmtId="172" fontId="41" fillId="0" borderId="39" xfId="11" applyNumberFormat="1" applyFont="1" applyFill="1" applyBorder="1"/>
    <xf numFmtId="179" fontId="62" fillId="2" borderId="0" xfId="0" applyNumberFormat="1" applyFont="1" applyFill="1"/>
    <xf numFmtId="168" fontId="62" fillId="2" borderId="5" xfId="0" applyNumberFormat="1" applyFont="1" applyFill="1" applyBorder="1"/>
    <xf numFmtId="164" fontId="63" fillId="2" borderId="0" xfId="11" applyFont="1" applyFill="1"/>
    <xf numFmtId="170" fontId="63" fillId="2" borderId="0" xfId="11" applyNumberFormat="1" applyFont="1" applyFill="1" applyBorder="1" applyAlignment="1">
      <alignment horizontal="right"/>
    </xf>
    <xf numFmtId="167" fontId="63" fillId="2" borderId="0" xfId="11" applyNumberFormat="1" applyFont="1" applyFill="1"/>
    <xf numFmtId="167" fontId="63" fillId="2" borderId="39" xfId="11" applyNumberFormat="1" applyFont="1" applyFill="1" applyBorder="1"/>
    <xf numFmtId="1" fontId="63" fillId="2" borderId="0" xfId="22" applyNumberFormat="1" applyFont="1" applyFill="1" applyBorder="1"/>
    <xf numFmtId="3" fontId="63" fillId="2" borderId="39" xfId="0" applyNumberFormat="1" applyFont="1" applyFill="1" applyBorder="1"/>
    <xf numFmtId="183" fontId="63" fillId="2" borderId="0" xfId="11" applyNumberFormat="1" applyFont="1" applyFill="1"/>
    <xf numFmtId="184" fontId="63" fillId="2" borderId="0" xfId="11" applyNumberFormat="1" applyFont="1" applyFill="1"/>
    <xf numFmtId="9" fontId="63" fillId="2" borderId="0" xfId="22" applyFont="1" applyFill="1"/>
    <xf numFmtId="167" fontId="63" fillId="2" borderId="16" xfId="11" applyNumberFormat="1" applyFont="1" applyFill="1" applyBorder="1"/>
    <xf numFmtId="179" fontId="7" fillId="0" borderId="15" xfId="0" applyNumberFormat="1" applyFont="1" applyBorder="1"/>
    <xf numFmtId="168" fontId="6" fillId="2" borderId="9" xfId="0" applyNumberFormat="1" applyFont="1" applyFill="1" applyBorder="1"/>
    <xf numFmtId="168" fontId="6" fillId="2" borderId="10" xfId="0" applyNumberFormat="1" applyFont="1" applyFill="1" applyBorder="1"/>
    <xf numFmtId="3" fontId="6" fillId="0" borderId="15" xfId="0" applyNumberFormat="1" applyFont="1" applyBorder="1" applyAlignment="1">
      <alignment horizontal="center"/>
    </xf>
    <xf numFmtId="3" fontId="6" fillId="0" borderId="11" xfId="17" applyNumberFormat="1" applyFont="1" applyBorder="1"/>
    <xf numFmtId="3" fontId="7" fillId="0" borderId="15" xfId="0" applyNumberFormat="1" applyFont="1" applyBorder="1" applyAlignment="1">
      <alignment horizontal="center"/>
    </xf>
    <xf numFmtId="3" fontId="7" fillId="0" borderId="11" xfId="17" applyNumberFormat="1" applyFont="1" applyBorder="1"/>
    <xf numFmtId="3" fontId="7" fillId="0" borderId="15" xfId="17" applyNumberFormat="1" applyFont="1" applyBorder="1"/>
    <xf numFmtId="3" fontId="6" fillId="0" borderId="15" xfId="17" applyNumberFormat="1" applyFont="1" applyBorder="1"/>
    <xf numFmtId="3" fontId="63" fillId="0" borderId="15" xfId="17" applyNumberFormat="1" applyFont="1" applyBorder="1"/>
    <xf numFmtId="3" fontId="62" fillId="0" borderId="15" xfId="17" applyNumberFormat="1" applyFont="1" applyBorder="1"/>
    <xf numFmtId="3" fontId="63" fillId="0" borderId="0" xfId="17" applyNumberFormat="1" applyFont="1"/>
    <xf numFmtId="3" fontId="63" fillId="0" borderId="11" xfId="17" applyNumberFormat="1" applyFont="1" applyBorder="1"/>
    <xf numFmtId="3" fontId="62" fillId="0" borderId="0" xfId="17" applyNumberFormat="1" applyFont="1"/>
    <xf numFmtId="3" fontId="62" fillId="0" borderId="11" xfId="17" applyNumberFormat="1" applyFont="1" applyBorder="1"/>
    <xf numFmtId="9" fontId="42" fillId="2" borderId="0" xfId="22" applyFont="1" applyFill="1" applyBorder="1"/>
    <xf numFmtId="9" fontId="42" fillId="2" borderId="15" xfId="22" applyFont="1" applyFill="1" applyBorder="1"/>
    <xf numFmtId="9" fontId="12" fillId="0" borderId="11" xfId="22" applyFont="1" applyFill="1" applyBorder="1"/>
    <xf numFmtId="9" fontId="6" fillId="0" borderId="8" xfId="0" applyNumberFormat="1" applyFont="1" applyBorder="1"/>
    <xf numFmtId="9" fontId="6" fillId="0" borderId="11" xfId="0" applyNumberFormat="1" applyFont="1" applyBorder="1"/>
    <xf numFmtId="164" fontId="6" fillId="6" borderId="11" xfId="11" applyFont="1" applyFill="1" applyBorder="1"/>
    <xf numFmtId="172" fontId="7" fillId="6" borderId="11" xfId="22" applyNumberFormat="1" applyFont="1" applyFill="1" applyBorder="1"/>
    <xf numFmtId="171" fontId="64" fillId="2" borderId="11" xfId="22" applyNumberFormat="1" applyFont="1" applyFill="1" applyBorder="1" applyAlignment="1">
      <alignment horizontal="right"/>
    </xf>
    <xf numFmtId="164" fontId="62" fillId="2" borderId="39" xfId="0" applyNumberFormat="1" applyFont="1" applyFill="1" applyBorder="1" applyAlignment="1">
      <alignment horizontal="right"/>
    </xf>
    <xf numFmtId="0" fontId="62" fillId="2" borderId="39" xfId="0" applyFont="1" applyFill="1" applyBorder="1" applyAlignment="1">
      <alignment horizontal="right"/>
    </xf>
    <xf numFmtId="0" fontId="7" fillId="2" borderId="39" xfId="0" applyFont="1" applyFill="1" applyBorder="1" applyAlignment="1">
      <alignment horizontal="right"/>
    </xf>
    <xf numFmtId="167" fontId="43" fillId="2" borderId="0" xfId="11" applyNumberFormat="1" applyFont="1" applyFill="1" applyBorder="1"/>
    <xf numFmtId="167" fontId="8" fillId="6" borderId="0" xfId="11" applyNumberFormat="1" applyFont="1" applyFill="1" applyBorder="1"/>
    <xf numFmtId="167" fontId="7" fillId="6" borderId="0" xfId="11" applyNumberFormat="1" applyFont="1" applyFill="1" applyBorder="1"/>
    <xf numFmtId="2" fontId="7" fillId="2" borderId="0" xfId="11" applyNumberFormat="1" applyFont="1" applyFill="1" applyBorder="1"/>
    <xf numFmtId="167" fontId="8" fillId="4" borderId="0" xfId="11" applyNumberFormat="1" applyFont="1" applyFill="1" applyBorder="1"/>
    <xf numFmtId="9" fontId="7" fillId="2" borderId="0" xfId="11" applyNumberFormat="1" applyFont="1" applyFill="1" applyBorder="1"/>
    <xf numFmtId="188" fontId="6" fillId="2" borderId="0" xfId="11" applyNumberFormat="1" applyFont="1" applyFill="1" applyBorder="1"/>
    <xf numFmtId="172" fontId="6" fillId="2" borderId="0" xfId="22" applyNumberFormat="1" applyFont="1" applyFill="1" applyBorder="1"/>
    <xf numFmtId="167" fontId="7" fillId="4" borderId="0" xfId="11" applyNumberFormat="1" applyFont="1" applyFill="1" applyBorder="1"/>
    <xf numFmtId="167" fontId="54" fillId="2" borderId="0" xfId="11" applyNumberFormat="1" applyFont="1" applyFill="1" applyBorder="1"/>
    <xf numFmtId="167" fontId="45" fillId="2" borderId="0" xfId="11" applyNumberFormat="1" applyFont="1" applyFill="1" applyBorder="1"/>
    <xf numFmtId="167" fontId="50" fillId="2" borderId="0" xfId="11" applyNumberFormat="1" applyFont="1" applyFill="1" applyBorder="1"/>
    <xf numFmtId="164" fontId="57" fillId="2" borderId="0" xfId="11" applyFont="1" applyFill="1" applyBorder="1"/>
    <xf numFmtId="164" fontId="57" fillId="2" borderId="15" xfId="11" applyFont="1" applyFill="1" applyBorder="1"/>
    <xf numFmtId="164" fontId="57" fillId="2" borderId="11" xfId="11" applyFont="1" applyFill="1" applyBorder="1"/>
    <xf numFmtId="3" fontId="7" fillId="0" borderId="20" xfId="0" applyNumberFormat="1" applyFont="1" applyBorder="1"/>
    <xf numFmtId="172" fontId="6" fillId="0" borderId="15" xfId="0" applyNumberFormat="1" applyFont="1" applyBorder="1"/>
    <xf numFmtId="3" fontId="7" fillId="0" borderId="21" xfId="0" applyNumberFormat="1" applyFont="1" applyBorder="1"/>
    <xf numFmtId="9" fontId="12" fillId="2" borderId="15" xfId="22" applyFont="1" applyFill="1" applyBorder="1" applyAlignment="1">
      <alignment horizontal="right"/>
    </xf>
    <xf numFmtId="0" fontId="62" fillId="0" borderId="15" xfId="17" applyFont="1" applyBorder="1" applyAlignment="1">
      <alignment horizontal="right"/>
    </xf>
    <xf numFmtId="175" fontId="12" fillId="0" borderId="15" xfId="11" applyNumberFormat="1" applyFont="1" applyFill="1" applyBorder="1"/>
    <xf numFmtId="0" fontId="7" fillId="0" borderId="21" xfId="0" applyFont="1" applyBorder="1"/>
    <xf numFmtId="172" fontId="3" fillId="0" borderId="22" xfId="0" applyNumberFormat="1" applyFont="1" applyBorder="1"/>
    <xf numFmtId="172" fontId="50" fillId="2" borderId="20" xfId="0" applyNumberFormat="1" applyFont="1" applyFill="1" applyBorder="1"/>
    <xf numFmtId="9" fontId="7" fillId="2" borderId="11" xfId="11" applyNumberFormat="1" applyFont="1" applyFill="1" applyBorder="1"/>
    <xf numFmtId="9" fontId="62" fillId="2" borderId="11" xfId="11" applyNumberFormat="1" applyFont="1" applyFill="1" applyBorder="1"/>
    <xf numFmtId="9" fontId="7" fillId="0" borderId="11" xfId="22" applyFont="1" applyFill="1" applyBorder="1" applyAlignment="1">
      <alignment horizontal="right"/>
    </xf>
    <xf numFmtId="9" fontId="3" fillId="2" borderId="11" xfId="22" applyFont="1" applyFill="1" applyBorder="1"/>
    <xf numFmtId="171" fontId="6" fillId="0" borderId="18" xfId="11" applyNumberFormat="1" applyFont="1" applyFill="1" applyBorder="1"/>
    <xf numFmtId="188" fontId="7" fillId="2" borderId="11" xfId="0" applyNumberFormat="1" applyFont="1" applyFill="1" applyBorder="1"/>
    <xf numFmtId="3" fontId="7" fillId="2" borderId="15" xfId="11" applyNumberFormat="1" applyFont="1" applyFill="1" applyBorder="1"/>
    <xf numFmtId="3" fontId="6" fillId="2" borderId="15" xfId="11" applyNumberFormat="1" applyFont="1" applyFill="1" applyBorder="1"/>
    <xf numFmtId="172" fontId="63" fillId="0" borderId="22" xfId="0" applyNumberFormat="1" applyFont="1" applyBorder="1"/>
    <xf numFmtId="0" fontId="62" fillId="0" borderId="11" xfId="0" applyFont="1" applyBorder="1" applyAlignment="1">
      <alignment horizontal="right"/>
    </xf>
    <xf numFmtId="0" fontId="6" fillId="10" borderId="0" xfId="0" applyFont="1" applyFill="1"/>
    <xf numFmtId="0" fontId="6" fillId="8" borderId="0" xfId="0" applyFont="1" applyFill="1"/>
    <xf numFmtId="181" fontId="6" fillId="2" borderId="0" xfId="0" applyNumberFormat="1" applyFont="1" applyFill="1"/>
    <xf numFmtId="0" fontId="6" fillId="2" borderId="0" xfId="20" applyFont="1" applyFill="1"/>
    <xf numFmtId="187" fontId="6" fillId="2" borderId="0" xfId="0" applyNumberFormat="1" applyFont="1" applyFill="1" applyAlignment="1">
      <alignment horizontal="right"/>
    </xf>
    <xf numFmtId="187" fontId="63" fillId="2" borderId="0" xfId="0" applyNumberFormat="1" applyFont="1" applyFill="1"/>
    <xf numFmtId="182" fontId="6" fillId="2" borderId="0" xfId="0" applyNumberFormat="1" applyFont="1" applyFill="1"/>
    <xf numFmtId="186" fontId="63" fillId="2" borderId="0" xfId="0" applyNumberFormat="1" applyFont="1" applyFill="1"/>
    <xf numFmtId="3" fontId="6" fillId="2" borderId="0" xfId="20" applyNumberFormat="1" applyFont="1" applyFill="1"/>
    <xf numFmtId="3" fontId="0" fillId="2" borderId="11" xfId="0" applyNumberFormat="1" applyFill="1" applyBorder="1"/>
    <xf numFmtId="9" fontId="7" fillId="0" borderId="11" xfId="0" applyNumberFormat="1" applyFont="1" applyBorder="1"/>
    <xf numFmtId="172" fontId="63" fillId="0" borderId="0" xfId="11" applyNumberFormat="1" applyFont="1"/>
    <xf numFmtId="170" fontId="6" fillId="0" borderId="0" xfId="11" applyNumberFormat="1" applyFont="1" applyFill="1" applyBorder="1"/>
    <xf numFmtId="170" fontId="6" fillId="0" borderId="0" xfId="11" applyNumberFormat="1" applyFont="1" applyFill="1" applyBorder="1" applyAlignment="1">
      <alignment horizontal="right"/>
    </xf>
    <xf numFmtId="172" fontId="6" fillId="0" borderId="13" xfId="11" applyNumberFormat="1" applyFont="1" applyFill="1" applyBorder="1"/>
    <xf numFmtId="9" fontId="6" fillId="0" borderId="39" xfId="24" applyFont="1" applyFill="1" applyBorder="1"/>
    <xf numFmtId="9" fontId="6" fillId="0" borderId="39" xfId="22" applyFont="1" applyFill="1" applyBorder="1"/>
    <xf numFmtId="9" fontId="6" fillId="0" borderId="16" xfId="22" applyFont="1" applyFill="1" applyBorder="1"/>
    <xf numFmtId="172" fontId="6" fillId="13" borderId="0" xfId="11" applyNumberFormat="1" applyFont="1" applyFill="1" applyBorder="1"/>
    <xf numFmtId="3" fontId="65" fillId="0" borderId="15" xfId="0" applyNumberFormat="1" applyFont="1" applyBorder="1"/>
    <xf numFmtId="3" fontId="6" fillId="0" borderId="0" xfId="0" applyNumberFormat="1" applyFont="1" applyAlignment="1">
      <alignment horizontal="left" indent="1"/>
    </xf>
    <xf numFmtId="172" fontId="6" fillId="13" borderId="13" xfId="11" applyNumberFormat="1" applyFont="1" applyFill="1" applyBorder="1"/>
    <xf numFmtId="9" fontId="6" fillId="13" borderId="11" xfId="22" applyFont="1" applyFill="1" applyBorder="1"/>
    <xf numFmtId="172" fontId="6" fillId="0" borderId="39" xfId="0" applyNumberFormat="1" applyFont="1" applyBorder="1"/>
    <xf numFmtId="172" fontId="78" fillId="0" borderId="0" xfId="0" applyNumberFormat="1" applyFont="1"/>
    <xf numFmtId="9" fontId="6" fillId="13" borderId="0" xfId="0" applyNumberFormat="1" applyFont="1" applyFill="1"/>
    <xf numFmtId="172" fontId="6" fillId="13" borderId="17" xfId="11" applyNumberFormat="1" applyFont="1" applyFill="1" applyBorder="1"/>
    <xf numFmtId="171" fontId="7" fillId="13" borderId="11" xfId="0" applyNumberFormat="1" applyFont="1" applyFill="1" applyBorder="1"/>
    <xf numFmtId="171" fontId="6" fillId="13" borderId="0" xfId="0" applyNumberFormat="1" applyFont="1" applyFill="1"/>
    <xf numFmtId="9" fontId="6" fillId="13" borderId="29" xfId="0" applyNumberFormat="1" applyFont="1" applyFill="1" applyBorder="1"/>
    <xf numFmtId="9" fontId="6" fillId="13" borderId="33" xfId="0" applyNumberFormat="1" applyFont="1" applyFill="1" applyBorder="1"/>
    <xf numFmtId="3" fontId="6" fillId="13" borderId="0" xfId="0" applyNumberFormat="1" applyFont="1" applyFill="1"/>
    <xf numFmtId="164" fontId="6" fillId="13" borderId="0" xfId="11" applyFont="1" applyFill="1" applyBorder="1"/>
    <xf numFmtId="9" fontId="40" fillId="13" borderId="11" xfId="24" applyFont="1" applyFill="1" applyBorder="1"/>
    <xf numFmtId="171" fontId="12" fillId="13" borderId="0" xfId="22" applyNumberFormat="1" applyFont="1" applyFill="1" applyBorder="1"/>
    <xf numFmtId="4" fontId="12" fillId="13" borderId="0" xfId="17" applyNumberFormat="1" applyFont="1" applyFill="1" applyAlignment="1">
      <alignment horizontal="right"/>
    </xf>
    <xf numFmtId="9" fontId="6" fillId="13" borderId="0" xfId="22" applyFont="1" applyFill="1" applyBorder="1"/>
    <xf numFmtId="171" fontId="6" fillId="13" borderId="0" xfId="17" applyNumberFormat="1" applyFont="1" applyFill="1"/>
    <xf numFmtId="2" fontId="12" fillId="13" borderId="0" xfId="13" applyNumberFormat="1" applyFont="1" applyFill="1" applyBorder="1"/>
    <xf numFmtId="9" fontId="6" fillId="13" borderId="0" xfId="0" applyNumberFormat="1" applyFont="1" applyFill="1" applyAlignment="1">
      <alignment horizontal="right"/>
    </xf>
    <xf numFmtId="171" fontId="12" fillId="13" borderId="0" xfId="22" applyNumberFormat="1" applyFont="1" applyFill="1" applyBorder="1" applyAlignment="1">
      <alignment horizontal="right"/>
    </xf>
    <xf numFmtId="0" fontId="8" fillId="13" borderId="11" xfId="0" applyFont="1" applyFill="1" applyBorder="1"/>
    <xf numFmtId="3" fontId="50" fillId="2" borderId="0" xfId="0" applyNumberFormat="1" applyFont="1" applyFill="1"/>
    <xf numFmtId="0" fontId="79" fillId="0" borderId="0" xfId="0" applyFont="1" applyAlignment="1">
      <alignment horizontal="center"/>
    </xf>
    <xf numFmtId="3" fontId="7" fillId="0" borderId="5" xfId="0" applyNumberFormat="1" applyFont="1" applyBorder="1"/>
    <xf numFmtId="164" fontId="6" fillId="2" borderId="0" xfId="11" applyFont="1" applyFill="1" applyBorder="1" applyAlignment="1">
      <alignment horizontal="right"/>
    </xf>
    <xf numFmtId="164" fontId="6" fillId="2" borderId="39" xfId="11" applyFont="1" applyFill="1" applyBorder="1" applyAlignment="1">
      <alignment horizontal="right"/>
    </xf>
    <xf numFmtId="9" fontId="6" fillId="2" borderId="29" xfId="0" applyNumberFormat="1" applyFont="1" applyFill="1" applyBorder="1"/>
    <xf numFmtId="9" fontId="6" fillId="2" borderId="33" xfId="0" applyNumberFormat="1" applyFont="1" applyFill="1" applyBorder="1"/>
    <xf numFmtId="1" fontId="6" fillId="0" borderId="0" xfId="0" applyNumberFormat="1" applyFont="1" applyAlignment="1">
      <alignment horizontal="right"/>
    </xf>
    <xf numFmtId="168" fontId="6" fillId="12" borderId="0" xfId="31" applyNumberFormat="1" applyFont="1" applyFill="1" applyBorder="1"/>
    <xf numFmtId="170" fontId="6" fillId="12" borderId="0" xfId="31" applyNumberFormat="1" applyFont="1" applyFill="1"/>
    <xf numFmtId="172" fontId="7" fillId="2" borderId="21" xfId="11" applyNumberFormat="1" applyFont="1" applyFill="1" applyBorder="1"/>
    <xf numFmtId="172" fontId="7" fillId="2" borderId="22" xfId="11" applyNumberFormat="1" applyFont="1" applyFill="1" applyBorder="1"/>
    <xf numFmtId="172" fontId="50" fillId="2" borderId="0" xfId="0" applyNumberFormat="1" applyFont="1" applyFill="1"/>
    <xf numFmtId="172" fontId="50" fillId="0" borderId="0" xfId="0" applyNumberFormat="1" applyFont="1"/>
    <xf numFmtId="172" fontId="50" fillId="0" borderId="0" xfId="11" applyNumberFormat="1" applyFont="1" applyFill="1" applyBorder="1"/>
    <xf numFmtId="0" fontId="61" fillId="9" borderId="0" xfId="0" applyFont="1" applyFill="1" applyAlignment="1">
      <alignment horizontal="right"/>
    </xf>
    <xf numFmtId="167" fontId="6" fillId="15" borderId="11" xfId="0" applyNumberFormat="1" applyFont="1" applyFill="1" applyBorder="1"/>
    <xf numFmtId="3" fontId="20" fillId="0" borderId="11" xfId="0" applyNumberFormat="1" applyFont="1" applyBorder="1"/>
    <xf numFmtId="0" fontId="8" fillId="0" borderId="11" xfId="11" applyNumberFormat="1" applyFont="1" applyFill="1" applyBorder="1"/>
    <xf numFmtId="9" fontId="7" fillId="0" borderId="11" xfId="22" applyFont="1" applyFill="1" applyBorder="1"/>
    <xf numFmtId="3" fontId="46" fillId="0" borderId="11" xfId="0" applyNumberFormat="1" applyFont="1" applyBorder="1"/>
    <xf numFmtId="3" fontId="45" fillId="0" borderId="11" xfId="0" applyNumberFormat="1" applyFont="1" applyBorder="1"/>
    <xf numFmtId="3" fontId="45" fillId="0" borderId="11" xfId="31" applyNumberFormat="1" applyFont="1" applyFill="1" applyBorder="1"/>
    <xf numFmtId="172" fontId="45" fillId="0" borderId="11" xfId="31" applyNumberFormat="1" applyFont="1" applyFill="1" applyBorder="1"/>
    <xf numFmtId="172" fontId="45" fillId="0" borderId="11" xfId="11" applyNumberFormat="1" applyFont="1" applyFill="1" applyBorder="1"/>
    <xf numFmtId="168" fontId="6" fillId="0" borderId="11" xfId="22" applyNumberFormat="1" applyFont="1" applyFill="1" applyBorder="1"/>
    <xf numFmtId="172" fontId="6" fillId="0" borderId="13" xfId="0" applyNumberFormat="1" applyFont="1" applyBorder="1"/>
    <xf numFmtId="167" fontId="45" fillId="0" borderId="13" xfId="0" applyNumberFormat="1" applyFont="1" applyBorder="1"/>
    <xf numFmtId="167" fontId="45" fillId="0" borderId="11" xfId="31" applyNumberFormat="1" applyFont="1" applyFill="1" applyBorder="1"/>
    <xf numFmtId="0" fontId="45" fillId="0" borderId="11" xfId="0" applyFont="1" applyBorder="1"/>
    <xf numFmtId="167" fontId="45" fillId="0" borderId="11" xfId="0" applyNumberFormat="1" applyFont="1" applyBorder="1"/>
    <xf numFmtId="168" fontId="45" fillId="0" borderId="11" xfId="0" applyNumberFormat="1" applyFont="1" applyBorder="1"/>
    <xf numFmtId="168" fontId="45" fillId="0" borderId="13" xfId="0" applyNumberFormat="1" applyFont="1" applyBorder="1"/>
    <xf numFmtId="172" fontId="45" fillId="0" borderId="11" xfId="0" applyNumberFormat="1" applyFont="1" applyBorder="1"/>
    <xf numFmtId="168" fontId="45" fillId="0" borderId="11" xfId="31" applyNumberFormat="1" applyFont="1" applyFill="1" applyBorder="1"/>
    <xf numFmtId="179" fontId="7" fillId="0" borderId="11" xfId="0" applyNumberFormat="1" applyFont="1" applyBorder="1"/>
    <xf numFmtId="168" fontId="7" fillId="0" borderId="12" xfId="0" applyNumberFormat="1" applyFont="1" applyBorder="1"/>
    <xf numFmtId="3" fontId="45" fillId="0" borderId="11" xfId="31" applyNumberFormat="1" applyFont="1" applyFill="1" applyBorder="1" applyAlignment="1">
      <alignment horizontal="right"/>
    </xf>
    <xf numFmtId="171" fontId="47" fillId="0" borderId="11" xfId="22" applyNumberFormat="1" applyFont="1" applyFill="1" applyBorder="1" applyAlignment="1">
      <alignment horizontal="right"/>
    </xf>
    <xf numFmtId="3" fontId="45" fillId="0" borderId="11" xfId="17" applyNumberFormat="1" applyFont="1" applyBorder="1" applyAlignment="1">
      <alignment horizontal="right"/>
    </xf>
    <xf numFmtId="171" fontId="47" fillId="0" borderId="11" xfId="22" applyNumberFormat="1" applyFont="1" applyFill="1" applyBorder="1"/>
    <xf numFmtId="164" fontId="47" fillId="0" borderId="11" xfId="11" applyFont="1" applyFill="1" applyBorder="1"/>
    <xf numFmtId="0" fontId="45" fillId="2" borderId="15" xfId="0" applyFont="1" applyFill="1" applyBorder="1"/>
    <xf numFmtId="168" fontId="45" fillId="2" borderId="15" xfId="0" applyNumberFormat="1" applyFont="1" applyFill="1" applyBorder="1"/>
    <xf numFmtId="0" fontId="55" fillId="0" borderId="0" xfId="0" applyFont="1"/>
    <xf numFmtId="171" fontId="45" fillId="2" borderId="0" xfId="22" applyNumberFormat="1" applyFont="1" applyFill="1" applyBorder="1"/>
    <xf numFmtId="167" fontId="45" fillId="0" borderId="0" xfId="0" applyNumberFormat="1" applyFont="1"/>
    <xf numFmtId="167" fontId="45" fillId="2" borderId="0" xfId="0" applyNumberFormat="1" applyFont="1" applyFill="1"/>
    <xf numFmtId="3" fontId="46" fillId="2" borderId="0" xfId="0" applyNumberFormat="1" applyFont="1" applyFill="1"/>
    <xf numFmtId="3" fontId="46" fillId="0" borderId="15" xfId="17" applyNumberFormat="1" applyFont="1" applyBorder="1"/>
    <xf numFmtId="0" fontId="55" fillId="0" borderId="15" xfId="0" applyFont="1" applyBorder="1"/>
    <xf numFmtId="167" fontId="46" fillId="2" borderId="15" xfId="11" applyNumberFormat="1" applyFont="1" applyFill="1" applyBorder="1"/>
    <xf numFmtId="3" fontId="45" fillId="2" borderId="0" xfId="0" applyNumberFormat="1" applyFont="1" applyFill="1"/>
    <xf numFmtId="0" fontId="45" fillId="0" borderId="0" xfId="0" applyFont="1"/>
    <xf numFmtId="171" fontId="45" fillId="2" borderId="15" xfId="22" applyNumberFormat="1" applyFont="1" applyFill="1" applyBorder="1"/>
    <xf numFmtId="167" fontId="45" fillId="2" borderId="15" xfId="11" applyNumberFormat="1" applyFont="1" applyFill="1" applyBorder="1"/>
    <xf numFmtId="171" fontId="45" fillId="2" borderId="15" xfId="0" applyNumberFormat="1" applyFont="1" applyFill="1" applyBorder="1"/>
    <xf numFmtId="171" fontId="45" fillId="2" borderId="16" xfId="0" applyNumberFormat="1" applyFont="1" applyFill="1" applyBorder="1"/>
    <xf numFmtId="172" fontId="45" fillId="2" borderId="15" xfId="11" applyNumberFormat="1" applyFont="1" applyFill="1" applyBorder="1"/>
    <xf numFmtId="1" fontId="45" fillId="2" borderId="15" xfId="22" applyNumberFormat="1" applyFont="1" applyFill="1" applyBorder="1"/>
    <xf numFmtId="172" fontId="45" fillId="0" borderId="15" xfId="11" applyNumberFormat="1" applyFont="1" applyFill="1" applyBorder="1"/>
    <xf numFmtId="9" fontId="45" fillId="2" borderId="15" xfId="22" applyFont="1" applyFill="1" applyBorder="1"/>
    <xf numFmtId="168" fontId="46" fillId="2" borderId="15" xfId="0" applyNumberFormat="1" applyFont="1" applyFill="1" applyBorder="1"/>
    <xf numFmtId="167" fontId="45" fillId="0" borderId="15" xfId="11" applyNumberFormat="1" applyFont="1" applyFill="1" applyBorder="1"/>
    <xf numFmtId="168" fontId="45" fillId="0" borderId="15" xfId="0" applyNumberFormat="1" applyFont="1" applyBorder="1"/>
    <xf numFmtId="167" fontId="45" fillId="0" borderId="0" xfId="11" applyNumberFormat="1" applyFont="1" applyFill="1"/>
    <xf numFmtId="168" fontId="45" fillId="0" borderId="0" xfId="0" applyNumberFormat="1" applyFont="1"/>
    <xf numFmtId="171" fontId="45" fillId="0" borderId="0" xfId="0" applyNumberFormat="1" applyFont="1"/>
    <xf numFmtId="164" fontId="45" fillId="0" borderId="11" xfId="11" applyFont="1" applyFill="1" applyBorder="1"/>
    <xf numFmtId="174" fontId="47" fillId="0" borderId="11" xfId="0" applyNumberFormat="1" applyFont="1" applyBorder="1" applyAlignment="1">
      <alignment horizontal="right"/>
    </xf>
    <xf numFmtId="172" fontId="45" fillId="0" borderId="11" xfId="11" applyNumberFormat="1" applyFont="1" applyFill="1" applyBorder="1" applyAlignment="1">
      <alignment horizontal="right"/>
    </xf>
    <xf numFmtId="172" fontId="45" fillId="0" borderId="11" xfId="31" applyNumberFormat="1" applyFont="1" applyFill="1" applyBorder="1" applyAlignment="1">
      <alignment horizontal="right"/>
    </xf>
    <xf numFmtId="0" fontId="46" fillId="0" borderId="11" xfId="0" applyFont="1" applyBorder="1" applyAlignment="1">
      <alignment horizontal="right"/>
    </xf>
    <xf numFmtId="171" fontId="45" fillId="0" borderId="15" xfId="0" applyNumberFormat="1" applyFont="1" applyBorder="1"/>
    <xf numFmtId="172" fontId="45" fillId="0" borderId="16" xfId="11" applyNumberFormat="1" applyFont="1" applyFill="1" applyBorder="1"/>
    <xf numFmtId="172" fontId="45" fillId="2" borderId="16" xfId="11" applyNumberFormat="1" applyFont="1" applyFill="1" applyBorder="1"/>
    <xf numFmtId="167" fontId="45" fillId="0" borderId="15" xfId="0" applyNumberFormat="1" applyFont="1" applyBorder="1"/>
    <xf numFmtId="167" fontId="45" fillId="2" borderId="15" xfId="0" applyNumberFormat="1" applyFont="1" applyFill="1" applyBorder="1"/>
    <xf numFmtId="0" fontId="45" fillId="0" borderId="15" xfId="0" applyFont="1" applyBorder="1"/>
    <xf numFmtId="9" fontId="45" fillId="0" borderId="15" xfId="22" applyFont="1" applyFill="1" applyBorder="1"/>
    <xf numFmtId="3" fontId="45" fillId="0" borderId="15" xfId="0" applyNumberFormat="1" applyFont="1" applyBorder="1"/>
    <xf numFmtId="3" fontId="45" fillId="2" borderId="15" xfId="0" applyNumberFormat="1" applyFont="1" applyFill="1" applyBorder="1"/>
    <xf numFmtId="3" fontId="46" fillId="2" borderId="15" xfId="0" applyNumberFormat="1" applyFont="1" applyFill="1" applyBorder="1"/>
    <xf numFmtId="3" fontId="45" fillId="0" borderId="0" xfId="0" applyNumberFormat="1" applyFont="1"/>
    <xf numFmtId="167" fontId="46" fillId="2" borderId="0" xfId="11" applyNumberFormat="1" applyFont="1" applyFill="1" applyBorder="1"/>
    <xf numFmtId="3" fontId="45" fillId="0" borderId="15" xfId="17" applyNumberFormat="1" applyFont="1" applyBorder="1"/>
    <xf numFmtId="168" fontId="45" fillId="2" borderId="16" xfId="0" applyNumberFormat="1" applyFont="1" applyFill="1" applyBorder="1"/>
    <xf numFmtId="167" fontId="45" fillId="2" borderId="39" xfId="0" applyNumberFormat="1" applyFont="1" applyFill="1" applyBorder="1"/>
    <xf numFmtId="167" fontId="45" fillId="0" borderId="0" xfId="11" applyNumberFormat="1" applyFont="1" applyFill="1" applyBorder="1"/>
    <xf numFmtId="172" fontId="45" fillId="0" borderId="0" xfId="11" applyNumberFormat="1" applyFont="1" applyFill="1"/>
    <xf numFmtId="172" fontId="45" fillId="0" borderId="39" xfId="11" applyNumberFormat="1" applyFont="1" applyFill="1" applyBorder="1"/>
    <xf numFmtId="167" fontId="46" fillId="2" borderId="0" xfId="11" applyNumberFormat="1" applyFont="1" applyFill="1"/>
    <xf numFmtId="3" fontId="45" fillId="0" borderId="39" xfId="0" applyNumberFormat="1" applyFont="1" applyBorder="1"/>
    <xf numFmtId="3" fontId="46" fillId="0" borderId="0" xfId="0" applyNumberFormat="1" applyFont="1"/>
    <xf numFmtId="168" fontId="46" fillId="2" borderId="0" xfId="0" applyNumberFormat="1" applyFont="1" applyFill="1"/>
    <xf numFmtId="171" fontId="45" fillId="2" borderId="0" xfId="0" applyNumberFormat="1" applyFont="1" applyFill="1"/>
    <xf numFmtId="167" fontId="45" fillId="2" borderId="16" xfId="0" applyNumberFormat="1" applyFont="1" applyFill="1" applyBorder="1"/>
    <xf numFmtId="3" fontId="45" fillId="0" borderId="16" xfId="0" applyNumberFormat="1" applyFont="1" applyBorder="1"/>
    <xf numFmtId="3" fontId="46" fillId="0" borderId="15" xfId="0" applyNumberFormat="1" applyFont="1" applyBorder="1"/>
    <xf numFmtId="172" fontId="50" fillId="2" borderId="15" xfId="0" applyNumberFormat="1" applyFont="1" applyFill="1" applyBorder="1"/>
    <xf numFmtId="172" fontId="50" fillId="0" borderId="15" xfId="0" applyNumberFormat="1" applyFont="1" applyBorder="1"/>
    <xf numFmtId="172" fontId="50" fillId="0" borderId="15" xfId="11" applyNumberFormat="1" applyFont="1" applyFill="1" applyBorder="1"/>
    <xf numFmtId="172" fontId="50" fillId="2" borderId="21" xfId="0" applyNumberFormat="1" applyFont="1" applyFill="1" applyBorder="1"/>
    <xf numFmtId="3" fontId="50" fillId="2" borderId="15" xfId="0" applyNumberFormat="1" applyFont="1" applyFill="1" applyBorder="1"/>
    <xf numFmtId="171" fontId="7" fillId="2" borderId="11" xfId="0" applyNumberFormat="1" applyFont="1" applyFill="1" applyBorder="1"/>
    <xf numFmtId="171" fontId="6" fillId="6" borderId="11" xfId="22" applyNumberFormat="1" applyFont="1" applyFill="1" applyBorder="1"/>
    <xf numFmtId="188" fontId="3" fillId="2" borderId="15" xfId="0" applyNumberFormat="1" applyFont="1" applyFill="1" applyBorder="1"/>
    <xf numFmtId="188" fontId="3" fillId="2" borderId="0" xfId="0" applyNumberFormat="1" applyFont="1" applyFill="1"/>
    <xf numFmtId="188" fontId="3" fillId="2" borderId="11" xfId="0" applyNumberFormat="1" applyFont="1" applyFill="1" applyBorder="1"/>
    <xf numFmtId="0" fontId="3" fillId="2" borderId="15" xfId="0" applyFont="1" applyFill="1" applyBorder="1"/>
    <xf numFmtId="167" fontId="7" fillId="2" borderId="11" xfId="22" applyNumberFormat="1" applyFont="1" applyFill="1" applyBorder="1"/>
    <xf numFmtId="9" fontId="6" fillId="2" borderId="15" xfId="22" applyFont="1" applyFill="1" applyBorder="1" applyAlignment="1">
      <alignment horizontal="right"/>
    </xf>
    <xf numFmtId="164" fontId="42" fillId="2" borderId="0" xfId="11" applyFont="1" applyFill="1" applyBorder="1"/>
    <xf numFmtId="167" fontId="45" fillId="0" borderId="21" xfId="11" applyNumberFormat="1" applyFont="1" applyFill="1" applyBorder="1"/>
    <xf numFmtId="171" fontId="45" fillId="0" borderId="18" xfId="11" applyNumberFormat="1" applyFont="1" applyFill="1" applyBorder="1"/>
    <xf numFmtId="171" fontId="45" fillId="0" borderId="17" xfId="11" applyNumberFormat="1" applyFont="1" applyFill="1" applyBorder="1"/>
    <xf numFmtId="167" fontId="46" fillId="0" borderId="0" xfId="11" applyNumberFormat="1" applyFont="1" applyFill="1" applyBorder="1"/>
    <xf numFmtId="167" fontId="46" fillId="2" borderId="11" xfId="11" applyNumberFormat="1" applyFont="1" applyFill="1" applyBorder="1"/>
    <xf numFmtId="167" fontId="45" fillId="0" borderId="20" xfId="11" applyNumberFormat="1" applyFont="1" applyFill="1" applyBorder="1"/>
    <xf numFmtId="167" fontId="45" fillId="0" borderId="22" xfId="11" applyNumberFormat="1" applyFont="1" applyFill="1" applyBorder="1"/>
    <xf numFmtId="3" fontId="45" fillId="2" borderId="11" xfId="0" applyNumberFormat="1" applyFont="1" applyFill="1" applyBorder="1"/>
    <xf numFmtId="9" fontId="45" fillId="2" borderId="15" xfId="0" applyNumberFormat="1" applyFont="1" applyFill="1" applyBorder="1"/>
    <xf numFmtId="9" fontId="45" fillId="2" borderId="0" xfId="0" applyNumberFormat="1" applyFont="1" applyFill="1"/>
    <xf numFmtId="9" fontId="45" fillId="2" borderId="11" xfId="0" applyNumberFormat="1" applyFont="1" applyFill="1" applyBorder="1"/>
    <xf numFmtId="171" fontId="45" fillId="2" borderId="11" xfId="0" applyNumberFormat="1" applyFont="1" applyFill="1" applyBorder="1"/>
    <xf numFmtId="3" fontId="46" fillId="2" borderId="11" xfId="0" applyNumberFormat="1" applyFont="1" applyFill="1" applyBorder="1"/>
    <xf numFmtId="188" fontId="45" fillId="2" borderId="15" xfId="0" applyNumberFormat="1" applyFont="1" applyFill="1" applyBorder="1"/>
    <xf numFmtId="188" fontId="45" fillId="2" borderId="0" xfId="0" applyNumberFormat="1" applyFont="1" applyFill="1"/>
    <xf numFmtId="188" fontId="46" fillId="2" borderId="11" xfId="0" applyNumberFormat="1" applyFont="1" applyFill="1" applyBorder="1"/>
    <xf numFmtId="171" fontId="46" fillId="2" borderId="15" xfId="22" applyNumberFormat="1" applyFont="1" applyFill="1" applyBorder="1"/>
    <xf numFmtId="171" fontId="46" fillId="2" borderId="0" xfId="22" applyNumberFormat="1" applyFont="1" applyFill="1" applyBorder="1"/>
    <xf numFmtId="171" fontId="46" fillId="2" borderId="11" xfId="22" applyNumberFormat="1" applyFont="1" applyFill="1" applyBorder="1"/>
    <xf numFmtId="9" fontId="6" fillId="2" borderId="30" xfId="0" applyNumberFormat="1" applyFont="1" applyFill="1" applyBorder="1"/>
    <xf numFmtId="9" fontId="6" fillId="2" borderId="34" xfId="0" applyNumberFormat="1" applyFont="1" applyFill="1" applyBorder="1"/>
    <xf numFmtId="171" fontId="6" fillId="2" borderId="11" xfId="40" applyNumberFormat="1" applyFont="1" applyFill="1" applyBorder="1"/>
    <xf numFmtId="167" fontId="42" fillId="0" borderId="11" xfId="0" applyNumberFormat="1" applyFont="1" applyBorder="1"/>
    <xf numFmtId="170" fontId="6" fillId="0" borderId="15" xfId="11" applyNumberFormat="1" applyFont="1" applyFill="1" applyBorder="1" applyAlignment="1">
      <alignment horizontal="right"/>
    </xf>
    <xf numFmtId="170" fontId="6" fillId="0" borderId="15" xfId="11" applyNumberFormat="1" applyFont="1" applyFill="1" applyBorder="1"/>
    <xf numFmtId="3" fontId="42" fillId="0" borderId="11" xfId="0" applyNumberFormat="1" applyFont="1" applyBorder="1"/>
    <xf numFmtId="37" fontId="6" fillId="0" borderId="0" xfId="0" applyNumberFormat="1" applyFont="1"/>
    <xf numFmtId="37" fontId="6" fillId="0" borderId="15" xfId="0" applyNumberFormat="1" applyFont="1" applyBorder="1"/>
    <xf numFmtId="167" fontId="7" fillId="0" borderId="15" xfId="0" applyNumberFormat="1" applyFont="1" applyBorder="1"/>
    <xf numFmtId="171" fontId="42" fillId="0" borderId="17" xfId="11" applyNumberFormat="1" applyFont="1" applyFill="1" applyBorder="1"/>
    <xf numFmtId="9" fontId="42" fillId="2" borderId="0" xfId="0" applyNumberFormat="1" applyFont="1" applyFill="1"/>
    <xf numFmtId="9" fontId="42" fillId="2" borderId="29" xfId="0" applyNumberFormat="1" applyFont="1" applyFill="1" applyBorder="1"/>
    <xf numFmtId="9" fontId="42" fillId="2" borderId="33" xfId="0" applyNumberFormat="1" applyFont="1" applyFill="1" applyBorder="1"/>
    <xf numFmtId="171" fontId="49" fillId="2" borderId="0" xfId="22" applyNumberFormat="1" applyFont="1" applyFill="1" applyBorder="1"/>
    <xf numFmtId="171" fontId="42" fillId="2" borderId="0" xfId="17" applyNumberFormat="1" applyFont="1" applyFill="1"/>
    <xf numFmtId="171" fontId="49" fillId="0" borderId="0" xfId="22" applyNumberFormat="1" applyFont="1" applyFill="1" applyBorder="1" applyAlignment="1">
      <alignment horizontal="right"/>
    </xf>
    <xf numFmtId="171" fontId="42" fillId="0" borderId="0" xfId="24" applyNumberFormat="1" applyFont="1" applyFill="1" applyBorder="1"/>
    <xf numFmtId="171" fontId="42" fillId="0" borderId="0" xfId="0" applyNumberFormat="1" applyFont="1"/>
    <xf numFmtId="3" fontId="6" fillId="0" borderId="39" xfId="24" applyNumberFormat="1" applyFont="1" applyFill="1" applyBorder="1"/>
    <xf numFmtId="3" fontId="6" fillId="0" borderId="39" xfId="22" applyNumberFormat="1" applyFont="1" applyFill="1" applyBorder="1"/>
    <xf numFmtId="3" fontId="6" fillId="0" borderId="16" xfId="22" applyNumberFormat="1" applyFont="1" applyFill="1" applyBorder="1"/>
    <xf numFmtId="3" fontId="6" fillId="0" borderId="13" xfId="11" applyNumberFormat="1" applyFont="1" applyFill="1" applyBorder="1"/>
    <xf numFmtId="170" fontId="6" fillId="0" borderId="0" xfId="11" applyNumberFormat="1" applyFont="1" applyFill="1"/>
    <xf numFmtId="171" fontId="6" fillId="0" borderId="0" xfId="24" applyNumberFormat="1" applyFont="1" applyFill="1" applyBorder="1"/>
    <xf numFmtId="171" fontId="6" fillId="0" borderId="39" xfId="0" applyNumberFormat="1" applyFont="1" applyBorder="1"/>
    <xf numFmtId="172" fontId="6" fillId="0" borderId="0" xfId="24" applyNumberFormat="1" applyFont="1" applyFill="1" applyBorder="1"/>
    <xf numFmtId="183" fontId="6" fillId="0" borderId="0" xfId="11" applyNumberFormat="1" applyFont="1" applyFill="1"/>
    <xf numFmtId="184" fontId="6" fillId="0" borderId="0" xfId="11" applyNumberFormat="1" applyFont="1" applyFill="1"/>
    <xf numFmtId="171" fontId="6" fillId="0" borderId="39" xfId="22" applyNumberFormat="1" applyFont="1" applyFill="1" applyBorder="1"/>
    <xf numFmtId="3" fontId="6" fillId="0" borderId="39" xfId="0" applyNumberFormat="1" applyFont="1" applyBorder="1"/>
    <xf numFmtId="171" fontId="49" fillId="0" borderId="0" xfId="22" applyNumberFormat="1" applyFont="1" applyFill="1" applyBorder="1"/>
    <xf numFmtId="4" fontId="49" fillId="0" borderId="0" xfId="17" applyNumberFormat="1" applyFont="1" applyAlignment="1">
      <alignment horizontal="right"/>
    </xf>
    <xf numFmtId="3" fontId="7" fillId="2" borderId="15" xfId="17" applyNumberFormat="1" applyFont="1" applyFill="1" applyBorder="1"/>
    <xf numFmtId="3" fontId="7" fillId="2" borderId="11" xfId="17" applyNumberFormat="1" applyFont="1" applyFill="1" applyBorder="1"/>
    <xf numFmtId="3" fontId="62" fillId="2" borderId="0" xfId="17" applyNumberFormat="1" applyFont="1" applyFill="1"/>
    <xf numFmtId="3" fontId="62" fillId="2" borderId="15" xfId="17" applyNumberFormat="1" applyFont="1" applyFill="1" applyBorder="1"/>
    <xf numFmtId="3" fontId="62" fillId="2" borderId="11" xfId="17" applyNumberFormat="1" applyFont="1" applyFill="1" applyBorder="1"/>
    <xf numFmtId="3" fontId="26" fillId="2" borderId="0" xfId="17" applyNumberFormat="1" applyFont="1" applyFill="1" applyAlignment="1">
      <alignment horizontal="right"/>
    </xf>
    <xf numFmtId="0" fontId="3" fillId="0" borderId="0" xfId="30"/>
    <xf numFmtId="171" fontId="3" fillId="0" borderId="0" xfId="22" applyNumberFormat="1" applyFont="1"/>
    <xf numFmtId="1" fontId="41" fillId="0" borderId="11" xfId="0" applyNumberFormat="1" applyFont="1" applyBorder="1"/>
    <xf numFmtId="1" fontId="8" fillId="0" borderId="15" xfId="0" applyNumberFormat="1" applyFont="1" applyBorder="1"/>
    <xf numFmtId="1" fontId="42" fillId="0" borderId="11" xfId="0" applyNumberFormat="1" applyFont="1" applyBorder="1"/>
    <xf numFmtId="188" fontId="41" fillId="0" borderId="11" xfId="22" applyNumberFormat="1" applyFont="1" applyFill="1" applyBorder="1"/>
    <xf numFmtId="169" fontId="0" fillId="0" borderId="0" xfId="0" applyNumberFormat="1"/>
    <xf numFmtId="170" fontId="41" fillId="0" borderId="11" xfId="0" applyNumberFormat="1" applyFont="1" applyBorder="1"/>
    <xf numFmtId="9" fontId="6" fillId="2" borderId="7" xfId="22" applyFont="1" applyFill="1" applyBorder="1"/>
    <xf numFmtId="172" fontId="45" fillId="0" borderId="0" xfId="0" applyNumberFormat="1" applyFont="1"/>
    <xf numFmtId="172" fontId="45" fillId="0" borderId="39" xfId="0" applyNumberFormat="1" applyFont="1" applyBorder="1"/>
    <xf numFmtId="172" fontId="46" fillId="0" borderId="0" xfId="0" applyNumberFormat="1" applyFont="1"/>
    <xf numFmtId="172" fontId="45" fillId="0" borderId="0" xfId="11" applyNumberFormat="1" applyFont="1" applyFill="1" applyBorder="1"/>
    <xf numFmtId="172" fontId="46" fillId="0" borderId="0" xfId="11" applyNumberFormat="1" applyFont="1" applyFill="1" applyBorder="1"/>
    <xf numFmtId="179" fontId="46" fillId="0" borderId="0" xfId="0" applyNumberFormat="1" applyFont="1"/>
    <xf numFmtId="168" fontId="46" fillId="0" borderId="0" xfId="0" applyNumberFormat="1" applyFont="1"/>
    <xf numFmtId="168" fontId="45" fillId="2" borderId="0" xfId="0" applyNumberFormat="1" applyFont="1" applyFill="1"/>
    <xf numFmtId="168" fontId="46" fillId="4" borderId="0" xfId="0" applyNumberFormat="1" applyFont="1" applyFill="1"/>
    <xf numFmtId="167" fontId="46" fillId="0" borderId="0" xfId="0" applyNumberFormat="1" applyFont="1"/>
    <xf numFmtId="168" fontId="47" fillId="0" borderId="0" xfId="0" applyNumberFormat="1" applyFont="1"/>
    <xf numFmtId="9" fontId="47" fillId="0" borderId="0" xfId="22" applyFont="1" applyFill="1"/>
    <xf numFmtId="168" fontId="46" fillId="0" borderId="39" xfId="0" applyNumberFormat="1" applyFont="1" applyBorder="1"/>
    <xf numFmtId="168" fontId="45" fillId="0" borderId="39" xfId="0" applyNumberFormat="1" applyFont="1" applyBorder="1"/>
    <xf numFmtId="168" fontId="46" fillId="0" borderId="5" xfId="0" applyNumberFormat="1" applyFont="1" applyBorder="1"/>
    <xf numFmtId="0" fontId="45" fillId="0" borderId="0" xfId="11" applyNumberFormat="1" applyFont="1" applyFill="1" applyBorder="1"/>
    <xf numFmtId="9" fontId="46" fillId="2" borderId="0" xfId="22" applyFont="1" applyFill="1" applyBorder="1"/>
    <xf numFmtId="172" fontId="45" fillId="2" borderId="0" xfId="11" applyNumberFormat="1" applyFont="1" applyFill="1" applyBorder="1"/>
    <xf numFmtId="172" fontId="46" fillId="2" borderId="0" xfId="11" applyNumberFormat="1" applyFont="1" applyFill="1" applyBorder="1"/>
    <xf numFmtId="171" fontId="45" fillId="0" borderId="0" xfId="22" applyNumberFormat="1" applyFont="1" applyFill="1" applyBorder="1"/>
    <xf numFmtId="171" fontId="47" fillId="0" borderId="0" xfId="22" applyNumberFormat="1" applyFont="1" applyFill="1" applyBorder="1"/>
    <xf numFmtId="0" fontId="80" fillId="0" borderId="0" xfId="0" applyFont="1"/>
    <xf numFmtId="0" fontId="45" fillId="0" borderId="0" xfId="0" applyFont="1" applyAlignment="1">
      <alignment horizontal="right"/>
    </xf>
    <xf numFmtId="3" fontId="45" fillId="0" borderId="0" xfId="0" applyNumberFormat="1" applyFont="1" applyAlignment="1">
      <alignment horizontal="right"/>
    </xf>
    <xf numFmtId="3" fontId="46" fillId="2" borderId="0" xfId="0" applyNumberFormat="1" applyFont="1" applyFill="1" applyAlignment="1">
      <alignment horizontal="right"/>
    </xf>
    <xf numFmtId="172" fontId="45" fillId="0" borderId="0" xfId="0" applyNumberFormat="1" applyFont="1" applyAlignment="1">
      <alignment horizontal="right"/>
    </xf>
    <xf numFmtId="171" fontId="47" fillId="0" borderId="0" xfId="22" applyNumberFormat="1" applyFont="1" applyFill="1" applyBorder="1" applyAlignment="1">
      <alignment horizontal="right"/>
    </xf>
    <xf numFmtId="170" fontId="47" fillId="0" borderId="0" xfId="0" applyNumberFormat="1" applyFont="1"/>
    <xf numFmtId="0" fontId="46" fillId="0" borderId="0" xfId="0" applyFont="1" applyAlignment="1">
      <alignment horizontal="right"/>
    </xf>
    <xf numFmtId="9" fontId="45" fillId="0" borderId="0" xfId="0" applyNumberFormat="1" applyFont="1" applyAlignment="1">
      <alignment horizontal="right"/>
    </xf>
    <xf numFmtId="0" fontId="6" fillId="15" borderId="0" xfId="17" applyFont="1" applyFill="1" applyAlignment="1">
      <alignment horizontal="right"/>
    </xf>
    <xf numFmtId="171" fontId="47" fillId="2" borderId="0" xfId="22" applyNumberFormat="1" applyFont="1" applyFill="1" applyBorder="1"/>
    <xf numFmtId="175" fontId="42" fillId="2" borderId="0" xfId="11" applyNumberFormat="1" applyFont="1" applyFill="1" applyBorder="1"/>
    <xf numFmtId="172" fontId="46" fillId="2" borderId="0" xfId="22" applyNumberFormat="1" applyFont="1" applyFill="1" applyBorder="1"/>
    <xf numFmtId="172" fontId="46" fillId="0" borderId="0" xfId="22" applyNumberFormat="1" applyFont="1" applyFill="1" applyBorder="1"/>
    <xf numFmtId="164" fontId="45" fillId="2" borderId="0" xfId="11" applyFont="1" applyFill="1" applyBorder="1"/>
    <xf numFmtId="164" fontId="46" fillId="2" borderId="0" xfId="11" applyFont="1" applyFill="1" applyBorder="1"/>
    <xf numFmtId="172" fontId="45" fillId="2" borderId="0" xfId="11" applyNumberFormat="1" applyFont="1" applyFill="1" applyBorder="1" applyAlignment="1">
      <alignment horizontal="right"/>
    </xf>
    <xf numFmtId="9" fontId="45" fillId="2" borderId="0" xfId="22" applyFont="1" applyFill="1" applyBorder="1" applyAlignment="1">
      <alignment horizontal="right"/>
    </xf>
    <xf numFmtId="0" fontId="55" fillId="2" borderId="0" xfId="0" applyFont="1" applyFill="1"/>
    <xf numFmtId="190" fontId="45" fillId="2" borderId="0" xfId="11" applyNumberFormat="1" applyFont="1" applyFill="1" applyBorder="1"/>
    <xf numFmtId="167" fontId="45" fillId="0" borderId="0" xfId="31" applyNumberFormat="1" applyFont="1" applyFill="1"/>
    <xf numFmtId="169" fontId="45" fillId="0" borderId="0" xfId="11" applyNumberFormat="1" applyFont="1" applyFill="1" applyBorder="1"/>
    <xf numFmtId="168" fontId="46" fillId="0" borderId="0" xfId="22" applyNumberFormat="1" applyFont="1" applyFill="1" applyBorder="1"/>
    <xf numFmtId="169" fontId="46" fillId="0" borderId="0" xfId="11" applyNumberFormat="1" applyFont="1" applyFill="1" applyBorder="1"/>
    <xf numFmtId="164" fontId="45" fillId="0" borderId="0" xfId="11" applyFont="1" applyFill="1" applyBorder="1"/>
    <xf numFmtId="172" fontId="45" fillId="0" borderId="39" xfId="11" applyNumberFormat="1" applyFont="1" applyFill="1" applyBorder="1" applyAlignment="1">
      <alignment horizontal="right"/>
    </xf>
    <xf numFmtId="3" fontId="46" fillId="0" borderId="5" xfId="0" applyNumberFormat="1" applyFont="1" applyBorder="1"/>
    <xf numFmtId="172" fontId="45" fillId="0" borderId="0" xfId="11" applyNumberFormat="1" applyFont="1" applyFill="1" applyBorder="1" applyAlignment="1">
      <alignment horizontal="right"/>
    </xf>
    <xf numFmtId="0" fontId="45" fillId="0" borderId="39" xfId="0" applyFont="1" applyBorder="1"/>
    <xf numFmtId="170" fontId="45" fillId="0" borderId="0" xfId="0" applyNumberFormat="1" applyFont="1"/>
    <xf numFmtId="172" fontId="45" fillId="2" borderId="0" xfId="0" applyNumberFormat="1" applyFont="1" applyFill="1"/>
    <xf numFmtId="168" fontId="45" fillId="2" borderId="39" xfId="0" applyNumberFormat="1" applyFont="1" applyFill="1" applyBorder="1"/>
    <xf numFmtId="179" fontId="46" fillId="2" borderId="0" xfId="0" applyNumberFormat="1" applyFont="1" applyFill="1"/>
    <xf numFmtId="168" fontId="46" fillId="2" borderId="5" xfId="0" applyNumberFormat="1" applyFont="1" applyFill="1" applyBorder="1"/>
    <xf numFmtId="172" fontId="42" fillId="2" borderId="11" xfId="11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indent="3"/>
    </xf>
    <xf numFmtId="175" fontId="7" fillId="2" borderId="0" xfId="13" applyNumberFormat="1" applyFont="1" applyFill="1" applyBorder="1"/>
    <xf numFmtId="167" fontId="62" fillId="2" borderId="11" xfId="0" applyNumberFormat="1" applyFont="1" applyFill="1" applyBorder="1"/>
    <xf numFmtId="167" fontId="44" fillId="2" borderId="0" xfId="0" applyNumberFormat="1" applyFont="1" applyFill="1"/>
    <xf numFmtId="168" fontId="41" fillId="2" borderId="39" xfId="0" applyNumberFormat="1" applyFont="1" applyFill="1" applyBorder="1"/>
    <xf numFmtId="164" fontId="8" fillId="0" borderId="7" xfId="11" applyFont="1" applyFill="1" applyBorder="1"/>
    <xf numFmtId="171" fontId="42" fillId="0" borderId="11" xfId="17" applyNumberFormat="1" applyFont="1" applyBorder="1"/>
    <xf numFmtId="9" fontId="8" fillId="2" borderId="7" xfId="0" applyNumberFormat="1" applyFont="1" applyFill="1" applyBorder="1"/>
    <xf numFmtId="172" fontId="8" fillId="0" borderId="7" xfId="11" applyNumberFormat="1" applyFont="1" applyFill="1" applyBorder="1"/>
    <xf numFmtId="9" fontId="28" fillId="2" borderId="0" xfId="22" applyFont="1" applyFill="1"/>
    <xf numFmtId="49" fontId="81" fillId="0" borderId="0" xfId="0" applyNumberFormat="1" applyFont="1"/>
    <xf numFmtId="49" fontId="82" fillId="0" borderId="0" xfId="0" applyNumberFormat="1" applyFont="1"/>
    <xf numFmtId="49" fontId="3" fillId="0" borderId="0" xfId="0" applyNumberFormat="1" applyFont="1"/>
    <xf numFmtId="49" fontId="83" fillId="0" borderId="0" xfId="0" applyNumberFormat="1" applyFont="1"/>
    <xf numFmtId="49" fontId="3" fillId="0" borderId="6" xfId="0" applyNumberFormat="1" applyFont="1" applyBorder="1"/>
    <xf numFmtId="49" fontId="3" fillId="0" borderId="0" xfId="0" applyNumberFormat="1" applyFont="1" applyAlignment="1">
      <alignment horizontal="left" vertical="center"/>
    </xf>
    <xf numFmtId="2" fontId="81" fillId="0" borderId="0" xfId="0" applyNumberFormat="1" applyFont="1"/>
    <xf numFmtId="3" fontId="84" fillId="12" borderId="0" xfId="31" applyNumberFormat="1" applyFont="1" applyFill="1"/>
    <xf numFmtId="172" fontId="84" fillId="12" borderId="0" xfId="31" applyNumberFormat="1" applyFont="1" applyFill="1" applyBorder="1"/>
    <xf numFmtId="168" fontId="84" fillId="12" borderId="0" xfId="31" applyNumberFormat="1" applyFont="1" applyFill="1"/>
    <xf numFmtId="172" fontId="84" fillId="12" borderId="11" xfId="31" applyNumberFormat="1" applyFont="1" applyFill="1" applyBorder="1"/>
    <xf numFmtId="172" fontId="84" fillId="14" borderId="0" xfId="31" applyNumberFormat="1" applyFont="1" applyFill="1" applyBorder="1"/>
    <xf numFmtId="3" fontId="84" fillId="12" borderId="11" xfId="31" applyNumberFormat="1" applyFont="1" applyFill="1" applyBorder="1"/>
    <xf numFmtId="3" fontId="84" fillId="14" borderId="11" xfId="31" applyNumberFormat="1" applyFont="1" applyFill="1" applyBorder="1"/>
    <xf numFmtId="171" fontId="85" fillId="12" borderId="11" xfId="31" applyNumberFormat="1" applyFont="1" applyFill="1" applyBorder="1"/>
    <xf numFmtId="0" fontId="84" fillId="12" borderId="0" xfId="31" applyNumberFormat="1" applyFont="1" applyFill="1" applyAlignment="1">
      <alignment horizontal="right"/>
    </xf>
    <xf numFmtId="168" fontId="84" fillId="12" borderId="39" xfId="31" applyNumberFormat="1" applyFont="1" applyFill="1" applyBorder="1"/>
    <xf numFmtId="168" fontId="84" fillId="12" borderId="0" xfId="31" applyNumberFormat="1" applyFont="1" applyFill="1" applyBorder="1"/>
    <xf numFmtId="170" fontId="84" fillId="12" borderId="0" xfId="31" applyNumberFormat="1" applyFont="1" applyFill="1"/>
    <xf numFmtId="168" fontId="84" fillId="14" borderId="0" xfId="31" applyNumberFormat="1" applyFont="1" applyFill="1"/>
    <xf numFmtId="172" fontId="84" fillId="14" borderId="39" xfId="31" applyNumberFormat="1" applyFont="1" applyFill="1" applyBorder="1"/>
    <xf numFmtId="168" fontId="84" fillId="12" borderId="0" xfId="31" applyNumberFormat="1" applyFont="1" applyFill="1" applyBorder="1" applyAlignment="1">
      <alignment horizontal="right"/>
    </xf>
    <xf numFmtId="168" fontId="84" fillId="14" borderId="39" xfId="31" applyNumberFormat="1" applyFont="1" applyFill="1" applyBorder="1" applyAlignment="1">
      <alignment horizontal="right"/>
    </xf>
    <xf numFmtId="168" fontId="85" fillId="12" borderId="0" xfId="31" applyNumberFormat="1" applyFont="1" applyFill="1"/>
    <xf numFmtId="168" fontId="84" fillId="12" borderId="11" xfId="31" applyNumberFormat="1" applyFont="1" applyFill="1" applyBorder="1"/>
    <xf numFmtId="172" fontId="84" fillId="12" borderId="0" xfId="31" applyNumberFormat="1" applyFont="1" applyFill="1"/>
    <xf numFmtId="172" fontId="85" fillId="12" borderId="0" xfId="31" applyNumberFormat="1" applyFont="1" applyFill="1"/>
    <xf numFmtId="172" fontId="84" fillId="12" borderId="39" xfId="31" applyNumberFormat="1" applyFont="1" applyFill="1" applyBorder="1"/>
    <xf numFmtId="167" fontId="84" fillId="12" borderId="0" xfId="31" applyNumberFormat="1" applyFont="1" applyFill="1"/>
    <xf numFmtId="172" fontId="84" fillId="14" borderId="0" xfId="31" applyNumberFormat="1" applyFont="1" applyFill="1"/>
    <xf numFmtId="167" fontId="84" fillId="12" borderId="11" xfId="31" applyNumberFormat="1" applyFont="1" applyFill="1" applyBorder="1"/>
    <xf numFmtId="167" fontId="84" fillId="14" borderId="11" xfId="31" applyNumberFormat="1" applyFont="1" applyFill="1" applyBorder="1"/>
    <xf numFmtId="167" fontId="84" fillId="14" borderId="0" xfId="31" applyNumberFormat="1" applyFont="1" applyFill="1"/>
    <xf numFmtId="184" fontId="84" fillId="14" borderId="11" xfId="31" applyNumberFormat="1" applyFont="1" applyFill="1" applyBorder="1"/>
    <xf numFmtId="3" fontId="84" fillId="12" borderId="0" xfId="31" applyNumberFormat="1" applyFont="1" applyFill="1" applyAlignment="1">
      <alignment horizontal="right"/>
    </xf>
    <xf numFmtId="3" fontId="84" fillId="12" borderId="11" xfId="31" applyNumberFormat="1" applyFont="1" applyFill="1" applyBorder="1" applyAlignment="1">
      <alignment horizontal="right"/>
    </xf>
    <xf numFmtId="172" fontId="84" fillId="12" borderId="0" xfId="31" applyNumberFormat="1" applyFont="1" applyFill="1" applyBorder="1" applyAlignment="1">
      <alignment horizontal="right"/>
    </xf>
    <xf numFmtId="172" fontId="84" fillId="12" borderId="11" xfId="31" applyNumberFormat="1" applyFont="1" applyFill="1" applyBorder="1" applyAlignment="1">
      <alignment horizontal="right"/>
    </xf>
    <xf numFmtId="49" fontId="3" fillId="0" borderId="6" xfId="0" applyNumberFormat="1" applyFont="1" applyBorder="1"/>
    <xf numFmtId="180" fontId="69" fillId="7" borderId="2" xfId="30" applyNumberFormat="1" applyFont="1" applyFill="1" applyBorder="1" applyAlignment="1">
      <alignment horizontal="center"/>
    </xf>
    <xf numFmtId="180" fontId="69" fillId="7" borderId="10" xfId="30" applyNumberFormat="1" applyFont="1" applyFill="1" applyBorder="1" applyAlignment="1">
      <alignment horizontal="center"/>
    </xf>
    <xf numFmtId="9" fontId="3" fillId="0" borderId="6" xfId="0" applyNumberFormat="1" applyFont="1" applyBorder="1"/>
  </cellXfs>
  <cellStyles count="61">
    <cellStyle name="_x000a_386grabber=M" xfId="1" xr:uid="{00000000-0005-0000-0000-000000000000}"/>
    <cellStyle name="_x000a_386grabber=M 2" xfId="33" xr:uid="{152E305D-6C72-4DB3-8804-5F847F377B68}"/>
    <cellStyle name="_EAD.PA_Pension Analyzer" xfId="2" xr:uid="{00000000-0005-0000-0000-000004000000}"/>
    <cellStyle name="_EAD.PA_Pension Analyzer 2" xfId="34" xr:uid="{BA23F9F4-D28B-4558-B51F-CE3D41D88F2B}"/>
    <cellStyle name="_MWA RR_1-pager " xfId="3" xr:uid="{00000000-0005-0000-0000-000005000000}"/>
    <cellStyle name="_RRS1_1_1-pager " xfId="4" xr:uid="{00000000-0005-0000-0000-000006000000}"/>
    <cellStyle name="_RRS1_1_1-pager  2" xfId="35" xr:uid="{BE59E669-4327-414A-A7D0-8659C0762468}"/>
    <cellStyle name="_RRS10_1_1-pager " xfId="5" xr:uid="{00000000-0005-0000-0000-000007000000}"/>
    <cellStyle name="_RRS10_1_1-pager  2" xfId="36" xr:uid="{4B7566B4-2A94-45BC-AFB7-DDF424E126F0}"/>
    <cellStyle name="_SUMMARY " xfId="6" xr:uid="{00000000-0005-0000-0000-000008000000}"/>
    <cellStyle name="_SUMMARY _1-pager " xfId="7" xr:uid="{00000000-0005-0000-0000-00000A000000}"/>
    <cellStyle name="_SUMMARY _1-pager  2" xfId="37" xr:uid="{5E1987F5-863D-4954-9096-1006481B47D7}"/>
    <cellStyle name="0_Capex &amp; Depreciation " xfId="8" xr:uid="{00000000-0005-0000-0000-00000C000000}"/>
    <cellStyle name="0_Valuing BP " xfId="9" xr:uid="{00000000-0005-0000-0000-00000D000000}"/>
    <cellStyle name="c_HardInc " xfId="10" xr:uid="{00000000-0005-0000-0000-00000E000000}"/>
    <cellStyle name="Comma" xfId="11" builtinId="3"/>
    <cellStyle name="Comma 2" xfId="12" xr:uid="{00000000-0005-0000-0000-000010000000}"/>
    <cellStyle name="Comma 2 2" xfId="39" xr:uid="{1D14529B-A6EB-4220-9F13-BDB02582A1CA}"/>
    <cellStyle name="Comma 2 2 2" xfId="57" xr:uid="{B9649952-64F2-42AC-BD30-32ADE341AE56}"/>
    <cellStyle name="Comma 2 3" xfId="51" xr:uid="{75EB758A-3419-4EDB-AA19-6BB3C991DAD6}"/>
    <cellStyle name="Comma 3" xfId="38" xr:uid="{E0D6DE79-C5CF-4666-BFAF-272A9082A22C}"/>
    <cellStyle name="Comma 3 2" xfId="56" xr:uid="{FAA57B88-4BD9-40EB-8111-388172A2D5FD}"/>
    <cellStyle name="Comma 4" xfId="50" xr:uid="{23223485-0203-4A7D-954F-F884C52B6B44}"/>
    <cellStyle name="Comma_eads" xfId="13" xr:uid="{00000000-0005-0000-0000-000013000000}"/>
    <cellStyle name="Hyperlink" xfId="31" builtinId="8"/>
    <cellStyle name="Hyperlink 2" xfId="14" xr:uid="{00000000-0005-0000-0000-00001B000000}"/>
    <cellStyle name="Hyperlink 3" xfId="47" xr:uid="{D7C334CA-E0C5-4B55-8134-6B11B91B424C}"/>
    <cellStyle name="Millares_2AV_M_M " xfId="15" xr:uid="{00000000-0005-0000-0000-00001D000000}"/>
    <cellStyle name="Moneda [0]_2AV_M_M " xfId="16" xr:uid="{00000000-0005-0000-0000-00001E000000}"/>
    <cellStyle name="Normal" xfId="0" builtinId="0"/>
    <cellStyle name="Normal - Style1 2 2" xfId="30" xr:uid="{25FFEC3D-FA12-4C38-9C11-7565523D4255}"/>
    <cellStyle name="Normal 2" xfId="17" xr:uid="{00000000-0005-0000-0000-000020000000}"/>
    <cellStyle name="Normal 2 2" xfId="18" xr:uid="{00000000-0005-0000-0000-000021000000}"/>
    <cellStyle name="Normal 2 2 2" xfId="41" xr:uid="{B9DB7976-CB2C-4D2B-9344-0B4629388E46}"/>
    <cellStyle name="Normal 2 3" xfId="40" xr:uid="{53C77330-5660-409B-B9E0-B19D88F95FEB}"/>
    <cellStyle name="Normal 2 3 2" xfId="58" xr:uid="{E58533A9-113D-4814-8953-98715DDC5B41}"/>
    <cellStyle name="Normal 2 4" xfId="52" xr:uid="{AEB9657D-EF86-4499-A6DA-179C036CC72C}"/>
    <cellStyle name="Normal 3" xfId="32" xr:uid="{C3DDFF68-2674-49C1-A6B9-F86F74370D89}"/>
    <cellStyle name="Normal 3 2" xfId="19" xr:uid="{00000000-0005-0000-0000-000023000000}"/>
    <cellStyle name="Normal 3 2 2" xfId="42" xr:uid="{B40418D1-CE60-4F1C-BBD9-19F7F612B360}"/>
    <cellStyle name="Normal 3 2 2 2" xfId="59" xr:uid="{D504AAB6-37C8-4C13-A63A-27EC33B06936}"/>
    <cellStyle name="Normal 3 2 3" xfId="53" xr:uid="{7727AD18-30CF-448C-B56D-5672DF648133}"/>
    <cellStyle name="Normal 4" xfId="43" xr:uid="{D36EB4F0-FB08-4D81-B31E-28F90305F684}"/>
    <cellStyle name="Normal 5" xfId="48" xr:uid="{83934D1C-6F73-423A-A21D-B899CB43A04B}"/>
    <cellStyle name="Normal 6" xfId="49" xr:uid="{11BF95FF-0DEE-4B90-BD02-8427C97D7023}"/>
    <cellStyle name="Normal 7" xfId="55" xr:uid="{2E77EB11-4761-49B4-9E6C-481E98305C5B}"/>
    <cellStyle name="Normal_WoolworthsWIP" xfId="20" xr:uid="{00000000-0005-0000-0000-000029000000}"/>
    <cellStyle name="p " xfId="21" xr:uid="{00000000-0005-0000-0000-00002A000000}"/>
    <cellStyle name="Percent" xfId="22" builtinId="5"/>
    <cellStyle name="Percent 2" xfId="23" xr:uid="{00000000-0005-0000-0000-00002C000000}"/>
    <cellStyle name="Percent 2 2" xfId="45" xr:uid="{F33F1D77-2C0F-44A0-AFF2-4A39E3F93D61}"/>
    <cellStyle name="Percent 2 2 2" xfId="60" xr:uid="{C174685B-5FEE-439B-B17B-BCF79182764F}"/>
    <cellStyle name="Percent 2 3" xfId="54" xr:uid="{78E392EF-1400-4594-9C6A-8826B76FA3DF}"/>
    <cellStyle name="Percent 3" xfId="24" xr:uid="{00000000-0005-0000-0000-00002D000000}"/>
    <cellStyle name="Percent 3 2" xfId="46" xr:uid="{57A5F48B-5658-4E76-A459-CFD0FDC141D3}"/>
    <cellStyle name="Percent 4" xfId="44" xr:uid="{4521EBDB-E487-4DCB-A81F-2016F05D263B}"/>
    <cellStyle name="s_HardInc " xfId="25" xr:uid="{00000000-0005-0000-0000-000030000000}"/>
    <cellStyle name="s_Valuation " xfId="26" xr:uid="{00000000-0005-0000-0000-000031000000}"/>
    <cellStyle name="ssp " xfId="27" xr:uid="{00000000-0005-0000-0000-000032000000}"/>
    <cellStyle name="Style 1" xfId="28" xr:uid="{00000000-0005-0000-0000-000033000000}"/>
    <cellStyle name="표준_0N-HANDLING " xfId="29" xr:uid="{00000000-0005-0000-0000-000035000000}"/>
  </cellStyles>
  <dxfs count="0"/>
  <tableStyles count="0" defaultTableStyle="TableStyleMedium2" defaultPivotStyle="PivotStyleLight16"/>
  <colors>
    <mruColors>
      <color rgb="FFFF9900"/>
      <color rgb="FFC5D9F1"/>
      <color rgb="FFABC7D3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2004E Market Share in Value</a:t>
            </a:r>
          </a:p>
        </c:rich>
      </c:tx>
      <c:layout>
        <c:manualLayout>
          <c:xMode val="edge"/>
          <c:yMode val="edge"/>
          <c:x val="0.1942490522018081"/>
          <c:y val="3.1026252983293555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496506493460872"/>
          <c:y val="0.12887828162291171"/>
          <c:w val="0.46043327209304774"/>
          <c:h val="0.67303102625298328"/>
        </c:manualLayout>
      </c:layout>
      <c:pie3DChart>
        <c:varyColors val="1"/>
        <c:ser>
          <c:idx val="0"/>
          <c:order val="0"/>
          <c:explosion val="4"/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Helicopters!$A$568:$A$573</c:f>
              <c:strCache>
                <c:ptCount val="6"/>
                <c:pt idx="0">
                  <c:v>AgustaWestland</c:v>
                </c:pt>
                <c:pt idx="1">
                  <c:v>Bell</c:v>
                </c:pt>
                <c:pt idx="2">
                  <c:v>Boeing</c:v>
                </c:pt>
                <c:pt idx="3">
                  <c:v>Eurocopter</c:v>
                </c:pt>
                <c:pt idx="4">
                  <c:v>Sikorsky</c:v>
                </c:pt>
                <c:pt idx="5">
                  <c:v>Other</c:v>
                </c:pt>
              </c:strCache>
            </c:strRef>
          </c:cat>
          <c:val>
            <c:numRef>
              <c:f>Helicopters!$B$568:$B$573</c:f>
            </c:numRef>
          </c:val>
          <c:extLst>
            <c:ext xmlns:c16="http://schemas.microsoft.com/office/drawing/2014/chart" uri="{C3380CC4-5D6E-409C-BE32-E72D297353CC}">
              <c16:uniqueId val="{00000000-2DB2-4C23-B26E-64578689294B}"/>
            </c:ext>
          </c:extLst>
        </c:ser>
        <c:ser>
          <c:idx val="2"/>
          <c:order val="1"/>
          <c:explosion val="4"/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Helicopters!$A$568:$A$573</c:f>
              <c:strCache>
                <c:ptCount val="6"/>
                <c:pt idx="0">
                  <c:v>AgustaWestland</c:v>
                </c:pt>
                <c:pt idx="1">
                  <c:v>Bell</c:v>
                </c:pt>
                <c:pt idx="2">
                  <c:v>Boeing</c:v>
                </c:pt>
                <c:pt idx="3">
                  <c:v>Eurocopter</c:v>
                </c:pt>
                <c:pt idx="4">
                  <c:v>Sikorsky</c:v>
                </c:pt>
                <c:pt idx="5">
                  <c:v>Other</c:v>
                </c:pt>
              </c:strCache>
            </c:strRef>
          </c:cat>
          <c:val>
            <c:numRef>
              <c:f>Helicopters!$C$568:$C$573</c:f>
            </c:numRef>
          </c:val>
          <c:extLst>
            <c:ext xmlns:c16="http://schemas.microsoft.com/office/drawing/2014/chart" uri="{C3380CC4-5D6E-409C-BE32-E72D297353CC}">
              <c16:uniqueId val="{00000001-2DB2-4C23-B26E-64578689294B}"/>
            </c:ext>
          </c:extLst>
        </c:ser>
        <c:ser>
          <c:idx val="1"/>
          <c:order val="2"/>
          <c:explosion val="4"/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Helicopters!$A$568:$A$573</c:f>
              <c:strCache>
                <c:ptCount val="6"/>
                <c:pt idx="0">
                  <c:v>AgustaWestland</c:v>
                </c:pt>
                <c:pt idx="1">
                  <c:v>Bell</c:v>
                </c:pt>
                <c:pt idx="2">
                  <c:v>Boeing</c:v>
                </c:pt>
                <c:pt idx="3">
                  <c:v>Eurocopter</c:v>
                </c:pt>
                <c:pt idx="4">
                  <c:v>Sikorsky</c:v>
                </c:pt>
                <c:pt idx="5">
                  <c:v>Other</c:v>
                </c:pt>
              </c:strCache>
            </c:strRef>
          </c:cat>
          <c:val>
            <c:numRef>
              <c:f>Helicopters!$D$568:$D$573</c:f>
            </c:numRef>
          </c:val>
          <c:extLst>
            <c:ext xmlns:c16="http://schemas.microsoft.com/office/drawing/2014/chart" uri="{C3380CC4-5D6E-409C-BE32-E72D297353CC}">
              <c16:uniqueId val="{00000002-2DB2-4C23-B26E-64578689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2</xdr:col>
      <xdr:colOff>406618</xdr:colOff>
      <xdr:row>1</xdr:row>
      <xdr:rowOff>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1629A6-63A6-DC10-223D-0A4BCE783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562318" cy="295316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186</xdr:row>
      <xdr:rowOff>0</xdr:rowOff>
    </xdr:from>
    <xdr:to>
      <xdr:col>10</xdr:col>
      <xdr:colOff>527050</xdr:colOff>
      <xdr:row>210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EBAA7E-7197-47C0-39E4-155B6D980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0556200"/>
          <a:ext cx="6496050" cy="396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568</xdr:row>
      <xdr:rowOff>0</xdr:rowOff>
    </xdr:from>
    <xdr:to>
      <xdr:col>12</xdr:col>
      <xdr:colOff>85725</xdr:colOff>
      <xdr:row>592</xdr:row>
      <xdr:rowOff>104775</xdr:rowOff>
    </xdr:to>
    <xdr:graphicFrame macro="">
      <xdr:nvGraphicFramePr>
        <xdr:cNvPr id="54872770" name="Chart 10">
          <a:extLst>
            <a:ext uri="{FF2B5EF4-FFF2-40B4-BE49-F238E27FC236}">
              <a16:creationId xmlns:a16="http://schemas.microsoft.com/office/drawing/2014/main" id="{00000000-0008-0000-0A00-0000C24A4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Research">
      <a:dk1>
        <a:sysClr val="windowText" lastClr="000000"/>
      </a:dk1>
      <a:lt1>
        <a:sysClr val="window" lastClr="FFFFFF"/>
      </a:lt1>
      <a:dk2>
        <a:srgbClr val="003366"/>
      </a:dk2>
      <a:lt2>
        <a:srgbClr val="C6D9E2"/>
      </a:lt2>
      <a:accent1>
        <a:srgbClr val="137CB1"/>
      </a:accent1>
      <a:accent2>
        <a:srgbClr val="EACC80"/>
      </a:accent2>
      <a:accent3>
        <a:srgbClr val="4AAC6B"/>
      </a:accent3>
      <a:accent4>
        <a:srgbClr val="A8D7E2"/>
      </a:accent4>
      <a:accent5>
        <a:srgbClr val="E58061"/>
      </a:accent5>
      <a:accent6>
        <a:srgbClr val="BCE3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7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2400C7-D450-4FA3-9143-779FAAA1F1A0}">
  <we:reference id="wa200004907" version="1.0.12.0" store="en-US" storeType="OMEX"/>
  <we:alternateReferences>
    <we:reference id="wa200004907" version="1.0.12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C6A833B-73B0-4BB1-9DEC-9650A1FB719A}">
  <we:reference id="66cfb7aa-c8b5-4285-ae4a-6140b6c8d0d6" version="1.0.14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C96F-DB37-4513-9511-DA04F0C5A3EF}">
  <dimension ref="A1:H436"/>
  <sheetViews>
    <sheetView showGridLines="0" tabSelected="1" workbookViewId="0">
      <selection activeCell="G10" sqref="G10"/>
    </sheetView>
  </sheetViews>
  <sheetFormatPr defaultRowHeight="13.2"/>
  <sheetData>
    <row r="1" spans="1:8" ht="23.25" customHeight="1">
      <c r="A1" s="2077"/>
      <c r="B1" s="2074"/>
      <c r="C1" s="2074"/>
      <c r="D1" s="2074"/>
      <c r="E1" s="2074"/>
      <c r="F1" s="2074"/>
      <c r="G1" s="2074"/>
      <c r="H1" s="2074"/>
    </row>
    <row r="2" spans="1:8">
      <c r="A2" s="2072" t="s">
        <v>949</v>
      </c>
      <c r="B2" s="2074"/>
      <c r="C2" s="2074"/>
      <c r="D2" s="2074"/>
      <c r="E2" s="2074"/>
      <c r="F2" s="2074"/>
      <c r="G2" s="2074"/>
      <c r="H2" s="2074"/>
    </row>
    <row r="3" spans="1:8">
      <c r="A3" s="2072" t="s">
        <v>950</v>
      </c>
      <c r="B3" s="2074"/>
      <c r="C3" s="2074"/>
      <c r="D3" s="2074"/>
      <c r="E3" s="2074"/>
      <c r="F3" s="2074"/>
      <c r="G3" s="2074"/>
      <c r="H3" s="2074"/>
    </row>
    <row r="4" spans="1:8">
      <c r="A4" s="2072" t="s">
        <v>951</v>
      </c>
      <c r="B4" s="2074"/>
      <c r="C4" s="2074"/>
      <c r="D4" s="2074"/>
      <c r="E4" s="2074"/>
      <c r="F4" s="2074"/>
      <c r="G4" s="2074"/>
      <c r="H4" s="2074"/>
    </row>
    <row r="5" spans="1:8">
      <c r="A5" s="2072" t="s">
        <v>952</v>
      </c>
      <c r="B5" s="2074"/>
      <c r="C5" s="2074"/>
      <c r="D5" s="2074"/>
      <c r="E5" s="2074"/>
      <c r="F5" s="2074"/>
      <c r="G5" s="2074"/>
      <c r="H5" s="2074"/>
    </row>
    <row r="6" spans="1:8">
      <c r="A6" s="2072"/>
      <c r="B6" s="2074"/>
      <c r="C6" s="2074"/>
      <c r="D6" s="2074"/>
      <c r="E6" s="2074"/>
      <c r="F6" s="2074"/>
      <c r="G6" s="2074"/>
      <c r="H6" s="2074"/>
    </row>
    <row r="7" spans="1:8">
      <c r="A7" s="2072" t="s">
        <v>953</v>
      </c>
      <c r="B7" s="2074"/>
      <c r="C7" s="2074"/>
      <c r="D7" s="2074"/>
      <c r="E7" s="2074"/>
      <c r="F7" s="2074"/>
      <c r="G7" s="2074"/>
      <c r="H7" s="2074"/>
    </row>
    <row r="8" spans="1:8">
      <c r="A8" s="2072" t="s">
        <v>954</v>
      </c>
      <c r="B8" s="2074"/>
      <c r="C8" s="2074"/>
      <c r="D8" s="2074"/>
      <c r="E8" s="2074"/>
      <c r="F8" s="2074"/>
      <c r="G8" s="2074"/>
      <c r="H8" s="2074"/>
    </row>
    <row r="9" spans="1:8">
      <c r="A9" s="2072"/>
      <c r="B9" s="2074"/>
      <c r="C9" s="2074"/>
      <c r="D9" s="2074"/>
      <c r="E9" s="2074"/>
      <c r="F9" s="2074"/>
      <c r="G9" s="2074"/>
      <c r="H9" s="2074"/>
    </row>
    <row r="10" spans="1:8">
      <c r="A10" s="2072" t="s">
        <v>955</v>
      </c>
      <c r="B10" s="2074"/>
      <c r="C10" s="2074"/>
      <c r="D10" s="2074"/>
      <c r="E10" s="2074"/>
      <c r="F10" s="2074"/>
      <c r="G10" s="2074"/>
      <c r="H10" s="2074"/>
    </row>
    <row r="11" spans="1:8">
      <c r="A11" s="2072" t="s">
        <v>956</v>
      </c>
      <c r="B11" s="2074"/>
      <c r="C11" s="2074"/>
      <c r="D11" s="2074"/>
      <c r="E11" s="2074"/>
      <c r="F11" s="2074"/>
      <c r="G11" s="2074"/>
      <c r="H11" s="2074"/>
    </row>
    <row r="12" spans="1:8">
      <c r="A12" s="2072" t="s">
        <v>957</v>
      </c>
      <c r="B12" s="2074"/>
      <c r="C12" s="2074"/>
      <c r="D12" s="2074"/>
      <c r="E12" s="2074"/>
      <c r="F12" s="2074"/>
      <c r="G12" s="2074"/>
      <c r="H12" s="2074"/>
    </row>
    <row r="13" spans="1:8">
      <c r="A13" s="2072" t="s">
        <v>958</v>
      </c>
      <c r="B13" s="2074"/>
      <c r="C13" s="2074"/>
      <c r="D13" s="2074"/>
      <c r="E13" s="2074"/>
      <c r="F13" s="2074"/>
      <c r="G13" s="2074"/>
      <c r="H13" s="2074"/>
    </row>
    <row r="14" spans="1:8">
      <c r="A14" s="2072" t="s">
        <v>959</v>
      </c>
      <c r="B14" s="2074"/>
      <c r="C14" s="2074"/>
      <c r="D14" s="2074"/>
      <c r="E14" s="2074"/>
      <c r="F14" s="2074"/>
      <c r="G14" s="2074"/>
      <c r="H14" s="2074"/>
    </row>
    <row r="15" spans="1:8">
      <c r="A15" s="2072" t="s">
        <v>960</v>
      </c>
      <c r="B15" s="2074"/>
      <c r="C15" s="2074"/>
      <c r="D15" s="2074"/>
      <c r="E15" s="2074"/>
      <c r="F15" s="2074"/>
      <c r="G15" s="2074"/>
      <c r="H15" s="2074"/>
    </row>
    <row r="16" spans="1:8">
      <c r="A16" s="2072"/>
      <c r="B16" s="2074"/>
      <c r="C16" s="2074"/>
      <c r="D16" s="2074"/>
      <c r="E16" s="2074"/>
      <c r="F16" s="2074"/>
      <c r="G16" s="2074"/>
      <c r="H16" s="2074"/>
    </row>
    <row r="17" spans="1:8">
      <c r="A17" s="2072" t="s">
        <v>961</v>
      </c>
      <c r="B17" s="2074"/>
      <c r="C17" s="2074"/>
      <c r="D17" s="2074"/>
      <c r="E17" s="2074"/>
      <c r="F17" s="2074"/>
      <c r="G17" s="2074"/>
      <c r="H17" s="2074"/>
    </row>
    <row r="18" spans="1:8">
      <c r="A18" s="2072"/>
      <c r="B18" s="2074"/>
      <c r="C18" s="2074"/>
      <c r="D18" s="2074"/>
      <c r="E18" s="2074"/>
      <c r="F18" s="2074"/>
      <c r="G18" s="2074"/>
      <c r="H18" s="2074"/>
    </row>
    <row r="19" spans="1:8">
      <c r="A19" s="2072" t="s">
        <v>962</v>
      </c>
      <c r="B19" s="2074"/>
      <c r="C19" s="2074"/>
      <c r="D19" s="2074"/>
      <c r="E19" s="2074"/>
      <c r="F19" s="2074"/>
      <c r="G19" s="2074"/>
      <c r="H19" s="2074"/>
    </row>
    <row r="20" spans="1:8">
      <c r="A20" s="2072"/>
      <c r="B20" s="2074"/>
      <c r="C20" s="2074"/>
      <c r="D20" s="2074"/>
      <c r="E20" s="2074"/>
      <c r="F20" s="2074"/>
      <c r="G20" s="2074"/>
      <c r="H20" s="2074"/>
    </row>
    <row r="21" spans="1:8">
      <c r="A21" s="2073" t="s">
        <v>963</v>
      </c>
      <c r="B21" s="2074"/>
      <c r="C21" s="2074"/>
      <c r="D21" s="2074"/>
      <c r="E21" s="2074"/>
      <c r="F21" s="2074"/>
      <c r="G21" s="2074"/>
      <c r="H21" s="2074"/>
    </row>
    <row r="22" spans="1:8">
      <c r="A22" s="2074"/>
      <c r="B22" s="2074"/>
      <c r="C22" s="2074"/>
      <c r="D22" s="2074"/>
      <c r="E22" s="2074"/>
      <c r="F22" s="2074"/>
      <c r="G22" s="2074"/>
      <c r="H22" s="2074"/>
    </row>
    <row r="23" spans="1:8">
      <c r="A23" s="2074" t="s">
        <v>964</v>
      </c>
      <c r="B23" s="2074"/>
      <c r="C23" s="2074"/>
      <c r="D23" s="2074"/>
      <c r="E23" s="2074"/>
      <c r="F23" s="2074"/>
      <c r="G23" s="2074"/>
      <c r="H23" s="2074"/>
    </row>
    <row r="24" spans="1:8">
      <c r="A24" s="2074" t="s">
        <v>965</v>
      </c>
      <c r="B24" s="2074"/>
      <c r="C24" s="2074"/>
      <c r="D24" s="2074"/>
      <c r="E24" s="2074"/>
      <c r="F24" s="2074"/>
      <c r="G24" s="2074"/>
      <c r="H24" s="2074"/>
    </row>
    <row r="25" spans="1:8">
      <c r="A25" s="2074" t="s">
        <v>966</v>
      </c>
      <c r="B25" s="2074"/>
      <c r="C25" s="2074"/>
      <c r="D25" s="2074"/>
      <c r="E25" s="2074"/>
      <c r="F25" s="2074"/>
      <c r="G25" s="2074"/>
      <c r="H25" s="2074"/>
    </row>
    <row r="26" spans="1:8">
      <c r="A26" s="2074" t="s">
        <v>967</v>
      </c>
      <c r="B26" s="2074"/>
      <c r="C26" s="2074"/>
      <c r="D26" s="2074"/>
      <c r="E26" s="2074"/>
      <c r="F26" s="2074"/>
      <c r="G26" s="2074"/>
      <c r="H26" s="2074"/>
    </row>
    <row r="27" spans="1:8">
      <c r="A27" s="2074"/>
      <c r="B27" s="2074"/>
      <c r="C27" s="2074"/>
      <c r="D27" s="2074"/>
      <c r="E27" s="2074"/>
      <c r="F27" s="2074"/>
      <c r="G27" s="2074"/>
      <c r="H27" s="2074"/>
    </row>
    <row r="28" spans="1:8">
      <c r="A28" s="2074" t="s">
        <v>968</v>
      </c>
      <c r="B28" s="2074"/>
      <c r="C28" s="2074"/>
      <c r="D28" s="2074"/>
      <c r="E28" s="2074"/>
      <c r="F28" s="2074"/>
      <c r="G28" s="2074"/>
      <c r="H28" s="2074"/>
    </row>
    <row r="29" spans="1:8">
      <c r="A29" s="2074" t="s">
        <v>969</v>
      </c>
      <c r="B29" s="2074"/>
      <c r="C29" s="2074"/>
      <c r="D29" s="2074"/>
      <c r="E29" s="2074"/>
      <c r="F29" s="2074"/>
      <c r="G29" s="2074"/>
      <c r="H29" s="2074"/>
    </row>
    <row r="30" spans="1:8">
      <c r="A30" s="2074" t="s">
        <v>970</v>
      </c>
      <c r="B30" s="2074"/>
      <c r="C30" s="2074"/>
      <c r="D30" s="2074"/>
      <c r="E30" s="2074"/>
      <c r="F30" s="2074"/>
      <c r="G30" s="2074"/>
      <c r="H30" s="2074"/>
    </row>
    <row r="31" spans="1:8">
      <c r="A31" s="2074" t="s">
        <v>971</v>
      </c>
      <c r="B31" s="2074"/>
      <c r="C31" s="2074"/>
      <c r="D31" s="2074"/>
      <c r="E31" s="2074"/>
      <c r="F31" s="2074"/>
      <c r="G31" s="2074"/>
      <c r="H31" s="2074"/>
    </row>
    <row r="32" spans="1:8">
      <c r="A32" s="2074" t="s">
        <v>972</v>
      </c>
      <c r="B32" s="2074"/>
      <c r="C32" s="2074"/>
      <c r="D32" s="2074"/>
      <c r="E32" s="2074"/>
      <c r="F32" s="2074"/>
      <c r="G32" s="2074"/>
      <c r="H32" s="2074"/>
    </row>
    <row r="33" spans="1:8">
      <c r="A33" s="2074" t="s">
        <v>973</v>
      </c>
      <c r="B33" s="2074"/>
      <c r="C33" s="2074"/>
      <c r="D33" s="2074"/>
      <c r="E33" s="2074"/>
      <c r="F33" s="2074"/>
      <c r="G33" s="2074"/>
      <c r="H33" s="2074"/>
    </row>
    <row r="34" spans="1:8">
      <c r="A34" s="2074" t="s">
        <v>974</v>
      </c>
      <c r="B34" s="2074"/>
      <c r="C34" s="2074"/>
      <c r="D34" s="2074"/>
      <c r="E34" s="2074"/>
      <c r="F34" s="2074"/>
      <c r="G34" s="2074"/>
      <c r="H34" s="2074"/>
    </row>
    <row r="35" spans="1:8">
      <c r="A35" s="2074" t="s">
        <v>975</v>
      </c>
      <c r="B35" s="2074"/>
      <c r="C35" s="2074"/>
      <c r="D35" s="2074"/>
      <c r="E35" s="2074"/>
      <c r="F35" s="2074"/>
      <c r="G35" s="2074"/>
      <c r="H35" s="2074"/>
    </row>
    <row r="36" spans="1:8">
      <c r="A36" s="2074" t="s">
        <v>976</v>
      </c>
      <c r="B36" s="2074"/>
      <c r="C36" s="2074"/>
      <c r="D36" s="2074"/>
      <c r="E36" s="2074"/>
      <c r="F36" s="2074"/>
      <c r="G36" s="2074"/>
      <c r="H36" s="2074"/>
    </row>
    <row r="37" spans="1:8">
      <c r="A37" s="2074" t="s">
        <v>977</v>
      </c>
      <c r="B37" s="2074"/>
      <c r="C37" s="2074"/>
      <c r="D37" s="2074"/>
      <c r="E37" s="2074"/>
      <c r="F37" s="2074"/>
      <c r="G37" s="2074"/>
      <c r="H37" s="2074"/>
    </row>
    <row r="38" spans="1:8">
      <c r="A38" s="2074" t="s">
        <v>978</v>
      </c>
      <c r="B38" s="2074"/>
      <c r="C38" s="2074"/>
      <c r="D38" s="2074"/>
      <c r="E38" s="2074"/>
      <c r="F38" s="2074"/>
      <c r="G38" s="2074"/>
      <c r="H38" s="2074"/>
    </row>
    <row r="39" spans="1:8">
      <c r="A39" s="2074" t="s">
        <v>979</v>
      </c>
      <c r="B39" s="2074"/>
      <c r="C39" s="2074"/>
      <c r="D39" s="2074"/>
      <c r="E39" s="2074"/>
      <c r="F39" s="2074"/>
      <c r="G39" s="2074"/>
      <c r="H39" s="2074"/>
    </row>
    <row r="40" spans="1:8">
      <c r="A40" s="2074" t="s">
        <v>980</v>
      </c>
      <c r="B40" s="2074"/>
      <c r="C40" s="2074"/>
      <c r="D40" s="2074"/>
      <c r="E40" s="2074"/>
      <c r="F40" s="2074"/>
      <c r="G40" s="2074"/>
      <c r="H40" s="2074"/>
    </row>
    <row r="41" spans="1:8">
      <c r="A41" s="2074"/>
      <c r="B41" s="2074"/>
      <c r="C41" s="2074"/>
      <c r="D41" s="2074"/>
      <c r="E41" s="2074"/>
      <c r="F41" s="2074"/>
      <c r="G41" s="2074"/>
      <c r="H41" s="2074"/>
    </row>
    <row r="42" spans="1:8">
      <c r="A42" s="2074" t="s">
        <v>981</v>
      </c>
      <c r="B42" s="2074"/>
      <c r="C42" s="2074"/>
      <c r="D42" s="2074"/>
      <c r="E42" s="2074"/>
      <c r="F42" s="2074"/>
      <c r="G42" s="2074"/>
      <c r="H42" s="2074"/>
    </row>
    <row r="43" spans="1:8">
      <c r="A43" s="2074" t="s">
        <v>982</v>
      </c>
      <c r="B43" s="2074"/>
      <c r="C43" s="2074"/>
      <c r="D43" s="2074"/>
      <c r="E43" s="2074"/>
      <c r="F43" s="2074"/>
      <c r="G43" s="2074"/>
      <c r="H43" s="2074"/>
    </row>
    <row r="44" spans="1:8">
      <c r="A44" s="2074" t="s">
        <v>983</v>
      </c>
      <c r="B44" s="2074"/>
      <c r="C44" s="2074"/>
      <c r="D44" s="2074"/>
      <c r="E44" s="2074"/>
      <c r="F44" s="2074"/>
      <c r="G44" s="2074"/>
      <c r="H44" s="2074"/>
    </row>
    <row r="45" spans="1:8">
      <c r="A45" s="2074" t="s">
        <v>984</v>
      </c>
      <c r="B45" s="2074"/>
      <c r="C45" s="2074"/>
      <c r="D45" s="2074"/>
      <c r="E45" s="2074"/>
      <c r="F45" s="2074"/>
      <c r="G45" s="2074"/>
      <c r="H45" s="2074"/>
    </row>
    <row r="46" spans="1:8">
      <c r="A46" s="2074"/>
      <c r="B46" s="2074"/>
      <c r="C46" s="2074"/>
      <c r="D46" s="2074"/>
      <c r="E46" s="2074"/>
      <c r="F46" s="2074"/>
      <c r="G46" s="2074"/>
      <c r="H46" s="2074"/>
    </row>
    <row r="47" spans="1:8">
      <c r="A47" s="2074" t="s">
        <v>985</v>
      </c>
      <c r="B47" s="2074"/>
      <c r="C47" s="2074"/>
      <c r="D47" s="2074"/>
      <c r="E47" s="2074"/>
      <c r="F47" s="2074"/>
      <c r="G47" s="2074"/>
      <c r="H47" s="2074"/>
    </row>
    <row r="48" spans="1:8">
      <c r="A48" s="2074" t="s">
        <v>986</v>
      </c>
      <c r="B48" s="2074"/>
      <c r="C48" s="2074"/>
      <c r="D48" s="2074"/>
      <c r="E48" s="2074"/>
      <c r="F48" s="2074"/>
      <c r="G48" s="2074"/>
      <c r="H48" s="2074"/>
    </row>
    <row r="49" spans="1:8">
      <c r="A49" s="2074" t="s">
        <v>987</v>
      </c>
      <c r="B49" s="2074"/>
      <c r="C49" s="2074"/>
      <c r="D49" s="2074"/>
      <c r="E49" s="2074"/>
      <c r="F49" s="2074"/>
      <c r="G49" s="2074"/>
      <c r="H49" s="2074"/>
    </row>
    <row r="50" spans="1:8">
      <c r="A50" s="2074" t="s">
        <v>988</v>
      </c>
      <c r="B50" s="2074"/>
      <c r="C50" s="2074"/>
      <c r="D50" s="2074"/>
      <c r="E50" s="2074"/>
      <c r="F50" s="2074"/>
      <c r="G50" s="2074"/>
      <c r="H50" s="2074"/>
    </row>
    <row r="51" spans="1:8">
      <c r="A51" s="2074" t="s">
        <v>989</v>
      </c>
      <c r="B51" s="2074"/>
      <c r="C51" s="2074"/>
      <c r="D51" s="2074"/>
      <c r="E51" s="2074"/>
      <c r="F51" s="2074"/>
      <c r="G51" s="2074"/>
      <c r="H51" s="2074"/>
    </row>
    <row r="52" spans="1:8">
      <c r="A52" s="2074" t="s">
        <v>990</v>
      </c>
      <c r="B52" s="2074"/>
      <c r="C52" s="2074"/>
      <c r="D52" s="2074"/>
      <c r="E52" s="2074"/>
      <c r="F52" s="2074"/>
      <c r="G52" s="2074"/>
      <c r="H52" s="2074"/>
    </row>
    <row r="53" spans="1:8">
      <c r="A53" s="2074"/>
      <c r="B53" s="2074"/>
      <c r="C53" s="2074"/>
      <c r="D53" s="2074"/>
      <c r="E53" s="2074"/>
      <c r="F53" s="2074"/>
      <c r="G53" s="2074"/>
      <c r="H53" s="2074"/>
    </row>
    <row r="54" spans="1:8" ht="15.6">
      <c r="A54" s="2075" t="s">
        <v>991</v>
      </c>
      <c r="B54" s="2074"/>
      <c r="C54" s="2074"/>
      <c r="D54" s="2074"/>
      <c r="E54" s="2074"/>
      <c r="F54" s="2074"/>
      <c r="G54" s="2074"/>
      <c r="H54" s="2074"/>
    </row>
    <row r="55" spans="1:8">
      <c r="A55" s="2074"/>
      <c r="B55" s="2074"/>
      <c r="C55" s="2074"/>
      <c r="D55" s="2074"/>
      <c r="E55" s="2074"/>
      <c r="F55" s="2074"/>
      <c r="G55" s="2074"/>
      <c r="H55" s="2074"/>
    </row>
    <row r="56" spans="1:8">
      <c r="A56" s="2074" t="s">
        <v>992</v>
      </c>
      <c r="B56" s="2074"/>
      <c r="C56" s="2074"/>
      <c r="D56" s="2074"/>
      <c r="E56" s="2074"/>
      <c r="F56" s="2074"/>
      <c r="G56" s="2074"/>
      <c r="H56" s="2074"/>
    </row>
    <row r="57" spans="1:8">
      <c r="A57" s="2074" t="s">
        <v>993</v>
      </c>
      <c r="B57" s="2074"/>
      <c r="C57" s="2074"/>
      <c r="D57" s="2074"/>
      <c r="E57" s="2074"/>
      <c r="F57" s="2074"/>
      <c r="G57" s="2074"/>
      <c r="H57" s="2074"/>
    </row>
    <row r="58" spans="1:8">
      <c r="A58" s="2074" t="s">
        <v>994</v>
      </c>
      <c r="B58" s="2074"/>
      <c r="C58" s="2074"/>
      <c r="D58" s="2074"/>
      <c r="E58" s="2074"/>
      <c r="F58" s="2074"/>
      <c r="G58" s="2074"/>
      <c r="H58" s="2074"/>
    </row>
    <row r="59" spans="1:8">
      <c r="A59" s="2074" t="s">
        <v>995</v>
      </c>
      <c r="B59" s="2074"/>
      <c r="C59" s="2074"/>
      <c r="D59" s="2074"/>
      <c r="E59" s="2074"/>
      <c r="F59" s="2074"/>
      <c r="G59" s="2074"/>
      <c r="H59" s="2074"/>
    </row>
    <row r="60" spans="1:8">
      <c r="A60" s="2074"/>
      <c r="B60" s="2074"/>
      <c r="C60" s="2074"/>
      <c r="D60" s="2074"/>
      <c r="E60" s="2074"/>
      <c r="F60" s="2074"/>
      <c r="G60" s="2074"/>
      <c r="H60" s="2074"/>
    </row>
    <row r="61" spans="1:8">
      <c r="A61" s="2074" t="s">
        <v>996</v>
      </c>
      <c r="B61" s="2074"/>
      <c r="C61" s="2074"/>
      <c r="D61" s="2074"/>
      <c r="E61" s="2074"/>
      <c r="F61" s="2074"/>
      <c r="G61" s="2074"/>
      <c r="H61" s="2074"/>
    </row>
    <row r="62" spans="1:8">
      <c r="A62" s="2074"/>
      <c r="B62" s="2074"/>
      <c r="C62" s="2074"/>
      <c r="D62" s="2074"/>
      <c r="E62" s="2074"/>
      <c r="F62" s="2074"/>
      <c r="G62" s="2074"/>
      <c r="H62" s="2074"/>
    </row>
    <row r="63" spans="1:8" ht="15.6">
      <c r="A63" s="2075" t="s">
        <v>997</v>
      </c>
      <c r="B63" s="2074"/>
      <c r="C63" s="2074"/>
      <c r="D63" s="2074"/>
      <c r="E63" s="2074"/>
      <c r="F63" s="2074"/>
      <c r="G63" s="2074"/>
      <c r="H63" s="2074"/>
    </row>
    <row r="64" spans="1:8">
      <c r="A64" s="2074"/>
      <c r="B64" s="2074"/>
      <c r="C64" s="2074"/>
      <c r="D64" s="2074"/>
      <c r="E64" s="2074"/>
      <c r="F64" s="2074"/>
      <c r="G64" s="2074"/>
      <c r="H64" s="2074"/>
    </row>
    <row r="65" spans="1:8">
      <c r="A65" s="2074" t="s">
        <v>998</v>
      </c>
      <c r="B65" s="2074"/>
      <c r="C65" s="2074"/>
      <c r="D65" s="2074"/>
      <c r="E65" s="2074"/>
      <c r="F65" s="2074"/>
      <c r="G65" s="2074"/>
      <c r="H65" s="2074"/>
    </row>
    <row r="66" spans="1:8">
      <c r="A66" s="2074" t="s">
        <v>999</v>
      </c>
      <c r="B66" s="2074"/>
      <c r="C66" s="2074"/>
      <c r="D66" s="2074"/>
      <c r="E66" s="2074"/>
      <c r="F66" s="2074"/>
      <c r="G66" s="2074"/>
      <c r="H66" s="2074"/>
    </row>
    <row r="67" spans="1:8">
      <c r="A67" s="2074" t="s">
        <v>1000</v>
      </c>
      <c r="B67" s="2074"/>
      <c r="C67" s="2074"/>
      <c r="D67" s="2074"/>
      <c r="E67" s="2074"/>
      <c r="F67" s="2074"/>
      <c r="G67" s="2074"/>
      <c r="H67" s="2074"/>
    </row>
    <row r="68" spans="1:8">
      <c r="A68" s="2074"/>
      <c r="B68" s="2074"/>
      <c r="C68" s="2074"/>
      <c r="D68" s="2074"/>
      <c r="E68" s="2074"/>
      <c r="F68" s="2074"/>
      <c r="G68" s="2074"/>
      <c r="H68" s="2074"/>
    </row>
    <row r="69" spans="1:8" ht="15.6">
      <c r="A69" s="2075" t="s">
        <v>1001</v>
      </c>
      <c r="B69" s="2074"/>
      <c r="C69" s="2074"/>
      <c r="D69" s="2074"/>
      <c r="E69" s="2074"/>
      <c r="F69" s="2074"/>
      <c r="G69" s="2074"/>
      <c r="H69" s="2074"/>
    </row>
    <row r="70" spans="1:8">
      <c r="A70" s="2074"/>
      <c r="B70" s="2074"/>
      <c r="C70" s="2074"/>
      <c r="D70" s="2074"/>
      <c r="E70" s="2074"/>
      <c r="F70" s="2074"/>
      <c r="G70" s="2074"/>
      <c r="H70" s="2074"/>
    </row>
    <row r="71" spans="1:8">
      <c r="A71" s="2074" t="s">
        <v>1002</v>
      </c>
      <c r="B71" s="2074"/>
      <c r="C71" s="2074"/>
      <c r="D71" s="2074"/>
      <c r="E71" s="2074"/>
      <c r="F71" s="2074"/>
      <c r="G71" s="2074"/>
      <c r="H71" s="2074"/>
    </row>
    <row r="72" spans="1:8">
      <c r="A72" s="2074" t="s">
        <v>1003</v>
      </c>
      <c r="B72" s="2074"/>
      <c r="C72" s="2074"/>
      <c r="D72" s="2074"/>
      <c r="E72" s="2074"/>
      <c r="F72" s="2074"/>
      <c r="G72" s="2074"/>
      <c r="H72" s="2074"/>
    </row>
    <row r="73" spans="1:8">
      <c r="A73" s="2074"/>
      <c r="B73" s="2074"/>
      <c r="C73" s="2074"/>
      <c r="D73" s="2074"/>
      <c r="E73" s="2074"/>
      <c r="F73" s="2074"/>
      <c r="G73" s="2074"/>
      <c r="H73" s="2074"/>
    </row>
    <row r="74" spans="1:8">
      <c r="A74" s="2074" t="s">
        <v>1004</v>
      </c>
      <c r="B74" s="2074"/>
      <c r="C74" s="2074"/>
      <c r="D74" s="2074"/>
      <c r="E74" s="2074"/>
      <c r="F74" s="2074"/>
      <c r="G74" s="2074"/>
      <c r="H74" s="2074"/>
    </row>
    <row r="75" spans="1:8">
      <c r="A75" s="2074" t="s">
        <v>1005</v>
      </c>
      <c r="B75" s="2074"/>
      <c r="C75" s="2074"/>
      <c r="D75" s="2074"/>
      <c r="E75" s="2074"/>
      <c r="F75" s="2074"/>
      <c r="G75" s="2074"/>
      <c r="H75" s="2074"/>
    </row>
    <row r="76" spans="1:8">
      <c r="A76" s="2074"/>
      <c r="B76" s="2074"/>
      <c r="C76" s="2074"/>
      <c r="D76" s="2074"/>
      <c r="E76" s="2074"/>
      <c r="F76" s="2074"/>
      <c r="G76" s="2074"/>
      <c r="H76" s="2074"/>
    </row>
    <row r="77" spans="1:8">
      <c r="A77" s="2074" t="s">
        <v>1006</v>
      </c>
      <c r="B77" s="2074"/>
      <c r="C77" s="2074"/>
      <c r="D77" s="2074"/>
      <c r="E77" s="2074"/>
      <c r="F77" s="2074"/>
      <c r="G77" s="2074"/>
      <c r="H77" s="2074"/>
    </row>
    <row r="78" spans="1:8">
      <c r="A78" s="2074" t="s">
        <v>1007</v>
      </c>
      <c r="B78" s="2074"/>
      <c r="C78" s="2074"/>
      <c r="D78" s="2074"/>
      <c r="E78" s="2074"/>
      <c r="F78" s="2074"/>
      <c r="G78" s="2074"/>
      <c r="H78" s="2074"/>
    </row>
    <row r="79" spans="1:8">
      <c r="A79" s="2074"/>
      <c r="B79" s="2074"/>
      <c r="C79" s="2074"/>
      <c r="D79" s="2074"/>
      <c r="E79" s="2074"/>
      <c r="F79" s="2074"/>
      <c r="G79" s="2074"/>
      <c r="H79" s="2074"/>
    </row>
    <row r="80" spans="1:8">
      <c r="A80" s="2074" t="s">
        <v>1008</v>
      </c>
      <c r="B80" s="2074"/>
      <c r="C80" s="2074"/>
      <c r="D80" s="2074"/>
      <c r="E80" s="2074"/>
      <c r="F80" s="2074"/>
      <c r="G80" s="2074"/>
      <c r="H80" s="2074"/>
    </row>
    <row r="81" spans="1:8">
      <c r="A81" s="2074" t="s">
        <v>1009</v>
      </c>
      <c r="B81" s="2074"/>
      <c r="C81" s="2074"/>
      <c r="D81" s="2074"/>
      <c r="E81" s="2074"/>
      <c r="F81" s="2074"/>
      <c r="G81" s="2074"/>
      <c r="H81" s="2074"/>
    </row>
    <row r="82" spans="1:8">
      <c r="A82" s="2074"/>
      <c r="B82" s="2074"/>
      <c r="C82" s="2074"/>
      <c r="D82" s="2074"/>
      <c r="E82" s="2074"/>
      <c r="F82" s="2074"/>
      <c r="G82" s="2074"/>
      <c r="H82" s="2074"/>
    </row>
    <row r="83" spans="1:8">
      <c r="A83" s="2074" t="s">
        <v>1010</v>
      </c>
      <c r="B83" s="2074"/>
      <c r="C83" s="2074"/>
      <c r="D83" s="2074"/>
      <c r="E83" s="2074"/>
      <c r="F83" s="2074"/>
      <c r="G83" s="2074"/>
      <c r="H83" s="2074"/>
    </row>
    <row r="84" spans="1:8">
      <c r="A84" s="2074" t="s">
        <v>1011</v>
      </c>
      <c r="B84" s="2074"/>
      <c r="C84" s="2074"/>
      <c r="D84" s="2074"/>
      <c r="E84" s="2074"/>
      <c r="F84" s="2074"/>
      <c r="G84" s="2074"/>
      <c r="H84" s="2074"/>
    </row>
    <row r="85" spans="1:8">
      <c r="A85" s="2074"/>
      <c r="B85" s="2074"/>
      <c r="C85" s="2074"/>
      <c r="D85" s="2074"/>
      <c r="E85" s="2074"/>
      <c r="F85" s="2074"/>
      <c r="G85" s="2074"/>
      <c r="H85" s="2074"/>
    </row>
    <row r="86" spans="1:8">
      <c r="A86" s="2074" t="s">
        <v>1012</v>
      </c>
      <c r="B86" s="2074"/>
      <c r="C86" s="2074"/>
      <c r="D86" s="2074"/>
      <c r="E86" s="2074"/>
      <c r="F86" s="2074"/>
      <c r="G86" s="2074"/>
      <c r="H86" s="2074"/>
    </row>
    <row r="87" spans="1:8">
      <c r="A87" s="2074" t="s">
        <v>1013</v>
      </c>
      <c r="B87" s="2074"/>
      <c r="C87" s="2074"/>
      <c r="D87" s="2074"/>
      <c r="E87" s="2074"/>
      <c r="F87" s="2074"/>
      <c r="G87" s="2074"/>
      <c r="H87" s="2074"/>
    </row>
    <row r="88" spans="1:8">
      <c r="A88" s="2074" t="s">
        <v>1014</v>
      </c>
      <c r="B88" s="2074"/>
      <c r="C88" s="2074"/>
      <c r="D88" s="2074"/>
      <c r="E88" s="2074"/>
      <c r="F88" s="2074"/>
      <c r="G88" s="2074"/>
      <c r="H88" s="2074"/>
    </row>
    <row r="89" spans="1:8">
      <c r="A89" s="2074"/>
      <c r="B89" s="2074"/>
      <c r="C89" s="2074"/>
      <c r="D89" s="2074"/>
      <c r="E89" s="2074"/>
      <c r="F89" s="2074"/>
      <c r="G89" s="2074"/>
      <c r="H89" s="2074"/>
    </row>
    <row r="90" spans="1:8">
      <c r="A90" s="2074" t="s">
        <v>1015</v>
      </c>
      <c r="B90" s="2074"/>
      <c r="C90" s="2074"/>
      <c r="D90" s="2074"/>
      <c r="E90" s="2074"/>
      <c r="F90" s="2074"/>
      <c r="G90" s="2074"/>
      <c r="H90" s="2074"/>
    </row>
    <row r="91" spans="1:8">
      <c r="A91" s="2074" t="s">
        <v>1016</v>
      </c>
      <c r="B91" s="2074"/>
      <c r="C91" s="2074"/>
      <c r="D91" s="2074"/>
      <c r="E91" s="2074"/>
      <c r="F91" s="2074"/>
      <c r="G91" s="2074"/>
      <c r="H91" s="2074"/>
    </row>
    <row r="92" spans="1:8">
      <c r="A92" s="2074" t="s">
        <v>1017</v>
      </c>
      <c r="B92" s="2074"/>
      <c r="C92" s="2074"/>
      <c r="D92" s="2074"/>
      <c r="E92" s="2074"/>
      <c r="F92" s="2074"/>
      <c r="G92" s="2074"/>
      <c r="H92" s="2074"/>
    </row>
    <row r="93" spans="1:8">
      <c r="A93" s="2074" t="s">
        <v>1018</v>
      </c>
      <c r="B93" s="2074"/>
      <c r="C93" s="2074"/>
      <c r="D93" s="2074"/>
      <c r="E93" s="2074"/>
      <c r="F93" s="2074"/>
      <c r="G93" s="2074"/>
      <c r="H93" s="2074"/>
    </row>
    <row r="94" spans="1:8">
      <c r="A94" s="2074" t="s">
        <v>1019</v>
      </c>
      <c r="B94" s="2074"/>
      <c r="C94" s="2074"/>
      <c r="D94" s="2074"/>
      <c r="E94" s="2074"/>
      <c r="F94" s="2074"/>
      <c r="G94" s="2074"/>
      <c r="H94" s="2074"/>
    </row>
    <row r="95" spans="1:8">
      <c r="A95" s="2074" t="s">
        <v>1020</v>
      </c>
      <c r="B95" s="2074"/>
      <c r="C95" s="2074"/>
      <c r="D95" s="2074"/>
      <c r="E95" s="2074"/>
      <c r="F95" s="2074"/>
      <c r="G95" s="2074"/>
      <c r="H95" s="2074"/>
    </row>
    <row r="96" spans="1:8">
      <c r="A96" s="2074"/>
      <c r="B96" s="2074"/>
      <c r="C96" s="2074"/>
      <c r="D96" s="2074"/>
      <c r="E96" s="2074"/>
      <c r="F96" s="2074"/>
      <c r="G96" s="2074"/>
      <c r="H96" s="2074"/>
    </row>
    <row r="97" spans="1:8">
      <c r="A97" s="2074" t="s">
        <v>1021</v>
      </c>
      <c r="B97" s="2074"/>
      <c r="C97" s="2074"/>
      <c r="D97" s="2074"/>
      <c r="E97" s="2074"/>
      <c r="F97" s="2074"/>
      <c r="G97" s="2074"/>
      <c r="H97" s="2074"/>
    </row>
    <row r="98" spans="1:8">
      <c r="A98" s="2074" t="s">
        <v>1022</v>
      </c>
      <c r="B98" s="2074"/>
      <c r="C98" s="2074"/>
      <c r="D98" s="2074"/>
      <c r="E98" s="2074"/>
      <c r="F98" s="2074"/>
      <c r="G98" s="2074"/>
      <c r="H98" s="2074"/>
    </row>
    <row r="99" spans="1:8">
      <c r="A99" s="2074" t="s">
        <v>1023</v>
      </c>
      <c r="B99" s="2074"/>
      <c r="C99" s="2074"/>
      <c r="D99" s="2074"/>
      <c r="E99" s="2074"/>
      <c r="F99" s="2074"/>
      <c r="G99" s="2074"/>
      <c r="H99" s="2074"/>
    </row>
    <row r="100" spans="1:8">
      <c r="A100" s="2074" t="s">
        <v>1024</v>
      </c>
      <c r="B100" s="2074"/>
      <c r="C100" s="2074"/>
      <c r="D100" s="2074"/>
      <c r="E100" s="2074"/>
      <c r="F100" s="2074"/>
      <c r="G100" s="2074"/>
      <c r="H100" s="2074"/>
    </row>
    <row r="101" spans="1:8">
      <c r="A101" s="2074" t="s">
        <v>1025</v>
      </c>
      <c r="B101" s="2074"/>
      <c r="C101" s="2074"/>
      <c r="D101" s="2074"/>
      <c r="E101" s="2074"/>
      <c r="F101" s="2074"/>
      <c r="G101" s="2074"/>
      <c r="H101" s="2074"/>
    </row>
    <row r="102" spans="1:8">
      <c r="A102" s="2074" t="s">
        <v>1026</v>
      </c>
      <c r="B102" s="2074"/>
      <c r="C102" s="2074"/>
      <c r="D102" s="2074"/>
      <c r="E102" s="2074"/>
      <c r="F102" s="2074"/>
      <c r="G102" s="2074"/>
      <c r="H102" s="2074"/>
    </row>
    <row r="103" spans="1:8">
      <c r="A103" s="2074" t="s">
        <v>1027</v>
      </c>
      <c r="B103" s="2074"/>
      <c r="C103" s="2074"/>
      <c r="D103" s="2074"/>
      <c r="E103" s="2074"/>
      <c r="F103" s="2074"/>
      <c r="G103" s="2074"/>
      <c r="H103" s="2074"/>
    </row>
    <row r="104" spans="1:8">
      <c r="A104" s="2074"/>
      <c r="B104" s="2074"/>
      <c r="C104" s="2074"/>
      <c r="D104" s="2074"/>
      <c r="E104" s="2074"/>
      <c r="F104" s="2074"/>
      <c r="G104" s="2074"/>
      <c r="H104" s="2074"/>
    </row>
    <row r="105" spans="1:8">
      <c r="A105" s="2074" t="s">
        <v>1028</v>
      </c>
      <c r="B105" s="2074"/>
      <c r="C105" s="2074"/>
      <c r="D105" s="2074"/>
      <c r="E105" s="2074"/>
      <c r="F105" s="2074"/>
      <c r="G105" s="2074"/>
      <c r="H105" s="2074"/>
    </row>
    <row r="106" spans="1:8">
      <c r="A106" s="2074" t="s">
        <v>1029</v>
      </c>
      <c r="B106" s="2074"/>
      <c r="C106" s="2074"/>
      <c r="D106" s="2074"/>
      <c r="E106" s="2074"/>
      <c r="F106" s="2074"/>
      <c r="G106" s="2074"/>
      <c r="H106" s="2074"/>
    </row>
    <row r="107" spans="1:8">
      <c r="A107" s="2074"/>
      <c r="B107" s="2074"/>
      <c r="C107" s="2074"/>
      <c r="D107" s="2074"/>
      <c r="E107" s="2074"/>
      <c r="F107" s="2074"/>
      <c r="G107" s="2074"/>
      <c r="H107" s="2074"/>
    </row>
    <row r="108" spans="1:8" ht="15.6">
      <c r="A108" s="2075" t="s">
        <v>1030</v>
      </c>
      <c r="B108" s="2074"/>
      <c r="C108" s="2074"/>
      <c r="D108" s="2074"/>
      <c r="E108" s="2074"/>
      <c r="F108" s="2074"/>
      <c r="G108" s="2074"/>
      <c r="H108" s="2074"/>
    </row>
    <row r="109" spans="1:8">
      <c r="A109" s="2074"/>
      <c r="B109" s="2074"/>
      <c r="C109" s="2074"/>
      <c r="D109" s="2074"/>
      <c r="E109" s="2074"/>
      <c r="F109" s="2074"/>
      <c r="G109" s="2074"/>
      <c r="H109" s="2074"/>
    </row>
    <row r="110" spans="1:8">
      <c r="A110" s="2074" t="s">
        <v>1031</v>
      </c>
      <c r="B110" s="2074"/>
      <c r="C110" s="2074"/>
      <c r="D110" s="2074"/>
      <c r="E110" s="2074"/>
      <c r="F110" s="2074"/>
      <c r="G110" s="2074"/>
      <c r="H110" s="2074"/>
    </row>
    <row r="111" spans="1:8">
      <c r="A111" s="2074" t="s">
        <v>1032</v>
      </c>
      <c r="B111" s="2074"/>
      <c r="C111" s="2074"/>
      <c r="D111" s="2074"/>
      <c r="E111" s="2074"/>
      <c r="F111" s="2074"/>
      <c r="G111" s="2074"/>
      <c r="H111" s="2074"/>
    </row>
    <row r="112" spans="1:8">
      <c r="A112" s="2074" t="s">
        <v>1033</v>
      </c>
      <c r="B112" s="2074"/>
      <c r="C112" s="2074"/>
      <c r="D112" s="2074"/>
      <c r="E112" s="2074"/>
      <c r="F112" s="2074"/>
      <c r="G112" s="2074"/>
      <c r="H112" s="2074"/>
    </row>
    <row r="113" spans="1:8">
      <c r="A113" s="2074" t="s">
        <v>1034</v>
      </c>
      <c r="B113" s="2074"/>
      <c r="C113" s="2074"/>
      <c r="D113" s="2074"/>
      <c r="E113" s="2074"/>
      <c r="F113" s="2074"/>
      <c r="G113" s="2074"/>
      <c r="H113" s="2074"/>
    </row>
    <row r="114" spans="1:8">
      <c r="A114" s="2074" t="s">
        <v>1035</v>
      </c>
      <c r="B114" s="2074"/>
      <c r="C114" s="2074"/>
      <c r="D114" s="2074"/>
      <c r="E114" s="2074"/>
      <c r="F114" s="2074"/>
      <c r="G114" s="2074"/>
      <c r="H114" s="2074"/>
    </row>
    <row r="115" spans="1:8">
      <c r="A115" s="2074" t="s">
        <v>1036</v>
      </c>
      <c r="B115" s="2074"/>
      <c r="C115" s="2074"/>
      <c r="D115" s="2074"/>
      <c r="E115" s="2074"/>
      <c r="F115" s="2074"/>
      <c r="G115" s="2074"/>
      <c r="H115" s="2074"/>
    </row>
    <row r="116" spans="1:8">
      <c r="A116" s="2074" t="s">
        <v>1037</v>
      </c>
      <c r="B116" s="2074"/>
      <c r="C116" s="2074"/>
      <c r="D116" s="2074"/>
      <c r="E116" s="2074"/>
      <c r="F116" s="2074"/>
      <c r="G116" s="2074"/>
      <c r="H116" s="2074"/>
    </row>
    <row r="117" spans="1:8">
      <c r="A117" s="2074" t="s">
        <v>1038</v>
      </c>
      <c r="B117" s="2074"/>
      <c r="C117" s="2074"/>
      <c r="D117" s="2074"/>
      <c r="E117" s="2074"/>
      <c r="F117" s="2074"/>
      <c r="G117" s="2074"/>
      <c r="H117" s="2074"/>
    </row>
    <row r="118" spans="1:8">
      <c r="A118" s="2074" t="s">
        <v>1039</v>
      </c>
      <c r="B118" s="2074"/>
      <c r="C118" s="2074"/>
      <c r="D118" s="2074"/>
      <c r="E118" s="2074"/>
      <c r="F118" s="2074"/>
      <c r="G118" s="2074"/>
      <c r="H118" s="2074"/>
    </row>
    <row r="119" spans="1:8">
      <c r="A119" s="2074"/>
      <c r="B119" s="2074"/>
      <c r="C119" s="2074"/>
      <c r="D119" s="2074"/>
      <c r="E119" s="2074"/>
      <c r="F119" s="2074"/>
      <c r="G119" s="2074"/>
      <c r="H119" s="2074"/>
    </row>
    <row r="120" spans="1:8" ht="15.6">
      <c r="A120" s="2075" t="s">
        <v>1040</v>
      </c>
      <c r="B120" s="2074"/>
      <c r="C120" s="2074"/>
      <c r="D120" s="2074"/>
      <c r="E120" s="2074"/>
      <c r="F120" s="2074"/>
      <c r="G120" s="2074"/>
      <c r="H120" s="2074"/>
    </row>
    <row r="121" spans="1:8">
      <c r="A121" s="2074"/>
      <c r="B121" s="2074"/>
      <c r="C121" s="2074"/>
      <c r="D121" s="2074"/>
      <c r="E121" s="2074"/>
      <c r="F121" s="2074"/>
      <c r="G121" s="2074"/>
      <c r="H121" s="2074"/>
    </row>
    <row r="122" spans="1:8">
      <c r="A122" s="2074" t="s">
        <v>1041</v>
      </c>
      <c r="B122" s="2074"/>
      <c r="C122" s="2074"/>
      <c r="D122" s="2074"/>
      <c r="E122" s="2074"/>
      <c r="F122" s="2074"/>
      <c r="G122" s="2074"/>
      <c r="H122" s="2074"/>
    </row>
    <row r="123" spans="1:8">
      <c r="A123" s="2074"/>
      <c r="B123" s="2074"/>
      <c r="C123" s="2074"/>
      <c r="D123" s="2074"/>
      <c r="E123" s="2074"/>
      <c r="F123" s="2074"/>
      <c r="G123" s="2074"/>
      <c r="H123" s="2074"/>
    </row>
    <row r="124" spans="1:8">
      <c r="A124" s="2074" t="s">
        <v>1042</v>
      </c>
      <c r="B124" s="2074"/>
      <c r="C124" s="2074"/>
      <c r="D124" s="2074"/>
      <c r="E124" s="2074"/>
      <c r="F124" s="2074"/>
      <c r="G124" s="2074"/>
      <c r="H124" s="2074"/>
    </row>
    <row r="125" spans="1:8">
      <c r="A125" s="2074" t="s">
        <v>1043</v>
      </c>
      <c r="B125" s="2074"/>
      <c r="C125" s="2074"/>
      <c r="D125" s="2074"/>
      <c r="E125" s="2074"/>
      <c r="F125" s="2074"/>
      <c r="G125" s="2074"/>
      <c r="H125" s="2074"/>
    </row>
    <row r="126" spans="1:8">
      <c r="A126" s="2074"/>
      <c r="B126" s="2074"/>
      <c r="C126" s="2074"/>
      <c r="D126" s="2074"/>
      <c r="E126" s="2074"/>
      <c r="F126" s="2074"/>
      <c r="G126" s="2074"/>
      <c r="H126" s="2074"/>
    </row>
    <row r="127" spans="1:8">
      <c r="A127" s="2074" t="s">
        <v>1044</v>
      </c>
      <c r="B127" s="2074"/>
      <c r="C127" s="2074"/>
      <c r="D127" s="2074"/>
      <c r="E127" s="2074"/>
      <c r="F127" s="2074"/>
      <c r="G127" s="2074"/>
      <c r="H127" s="2074"/>
    </row>
    <row r="128" spans="1:8">
      <c r="A128" s="2074" t="s">
        <v>1045</v>
      </c>
      <c r="B128" s="2074"/>
      <c r="C128" s="2074"/>
      <c r="D128" s="2074"/>
      <c r="E128" s="2074"/>
      <c r="F128" s="2074"/>
      <c r="G128" s="2074"/>
      <c r="H128" s="2074"/>
    </row>
    <row r="129" spans="1:8">
      <c r="A129" s="2074" t="s">
        <v>1046</v>
      </c>
      <c r="B129" s="2074"/>
      <c r="C129" s="2074"/>
      <c r="D129" s="2074"/>
      <c r="E129" s="2074"/>
      <c r="F129" s="2074"/>
      <c r="G129" s="2074"/>
      <c r="H129" s="2074"/>
    </row>
    <row r="130" spans="1:8">
      <c r="A130" s="2074" t="s">
        <v>1047</v>
      </c>
      <c r="B130" s="2074"/>
      <c r="C130" s="2074"/>
      <c r="D130" s="2074"/>
      <c r="E130" s="2074"/>
      <c r="F130" s="2074"/>
      <c r="G130" s="2074"/>
      <c r="H130" s="2074"/>
    </row>
    <row r="131" spans="1:8">
      <c r="A131" s="2074" t="s">
        <v>1048</v>
      </c>
      <c r="B131" s="2074"/>
      <c r="C131" s="2074"/>
      <c r="D131" s="2074"/>
      <c r="E131" s="2074"/>
      <c r="F131" s="2074"/>
      <c r="G131" s="2074"/>
      <c r="H131" s="2074"/>
    </row>
    <row r="132" spans="1:8">
      <c r="A132" s="2074" t="s">
        <v>1049</v>
      </c>
      <c r="B132" s="2074"/>
      <c r="C132" s="2074"/>
      <c r="D132" s="2074"/>
      <c r="E132" s="2074"/>
      <c r="F132" s="2074"/>
      <c r="G132" s="2074"/>
      <c r="H132" s="2074"/>
    </row>
    <row r="133" spans="1:8">
      <c r="A133" s="2074" t="s">
        <v>1050</v>
      </c>
      <c r="B133" s="2074"/>
      <c r="C133" s="2074"/>
      <c r="D133" s="2074"/>
      <c r="E133" s="2074"/>
      <c r="F133" s="2074"/>
      <c r="G133" s="2074"/>
      <c r="H133" s="2074"/>
    </row>
    <row r="134" spans="1:8">
      <c r="A134" s="2074"/>
      <c r="B134" s="2074"/>
      <c r="C134" s="2074"/>
      <c r="D134" s="2074"/>
      <c r="E134" s="2074"/>
      <c r="F134" s="2074"/>
      <c r="G134" s="2074"/>
      <c r="H134" s="2074"/>
    </row>
    <row r="135" spans="1:8">
      <c r="A135" s="2076"/>
      <c r="B135" s="2110" t="s">
        <v>1051</v>
      </c>
      <c r="C135" s="2110"/>
      <c r="D135" s="2110" t="s">
        <v>1052</v>
      </c>
      <c r="E135" s="2110"/>
      <c r="F135" s="2110"/>
      <c r="G135" s="2110" t="s">
        <v>1053</v>
      </c>
      <c r="H135" s="2110"/>
    </row>
    <row r="136" spans="1:8">
      <c r="A136" s="2076" t="s">
        <v>1054</v>
      </c>
      <c r="B136" s="2076" t="s">
        <v>1055</v>
      </c>
      <c r="C136" s="2076" t="s">
        <v>402</v>
      </c>
      <c r="D136" s="2076" t="s">
        <v>1055</v>
      </c>
      <c r="E136" s="2076" t="s">
        <v>1056</v>
      </c>
      <c r="F136" s="2076" t="s">
        <v>1057</v>
      </c>
      <c r="G136" s="2076" t="s">
        <v>1055</v>
      </c>
      <c r="H136" s="2076" t="s">
        <v>1058</v>
      </c>
    </row>
    <row r="137" spans="1:8">
      <c r="A137" s="2076" t="s">
        <v>1059</v>
      </c>
      <c r="B137" s="2076">
        <v>1529</v>
      </c>
      <c r="C137" s="2113">
        <v>0.42</v>
      </c>
      <c r="D137" s="2076">
        <v>442</v>
      </c>
      <c r="E137" s="2113">
        <v>0.47</v>
      </c>
      <c r="F137" s="2113">
        <v>0.28999999999999998</v>
      </c>
      <c r="G137" s="2076">
        <v>750</v>
      </c>
      <c r="H137" s="2113">
        <v>0.43</v>
      </c>
    </row>
    <row r="138" spans="1:8">
      <c r="A138" s="2076" t="s">
        <v>1060</v>
      </c>
      <c r="B138" s="2076">
        <v>1582</v>
      </c>
      <c r="C138" s="2113">
        <v>0.43</v>
      </c>
      <c r="D138" s="2076">
        <v>396</v>
      </c>
      <c r="E138" s="2113">
        <v>0.42</v>
      </c>
      <c r="F138" s="2113">
        <v>0.25</v>
      </c>
      <c r="G138" s="2076">
        <v>773</v>
      </c>
      <c r="H138" s="2113">
        <v>0.44</v>
      </c>
    </row>
    <row r="139" spans="1:8">
      <c r="A139" s="2076" t="s">
        <v>1061</v>
      </c>
      <c r="B139" s="2076">
        <v>3</v>
      </c>
      <c r="C139" s="2113">
        <v>0</v>
      </c>
      <c r="D139" s="2076">
        <v>1</v>
      </c>
      <c r="E139" s="2113">
        <v>0</v>
      </c>
      <c r="F139" s="2113">
        <v>0.33</v>
      </c>
      <c r="G139" s="2076">
        <v>1</v>
      </c>
      <c r="H139" s="2113">
        <v>0</v>
      </c>
    </row>
    <row r="140" spans="1:8">
      <c r="A140" s="2076" t="s">
        <v>1062</v>
      </c>
      <c r="B140" s="2076">
        <v>560</v>
      </c>
      <c r="C140" s="2113">
        <v>0.15</v>
      </c>
      <c r="D140" s="2076">
        <v>97</v>
      </c>
      <c r="E140" s="2113">
        <v>0.1</v>
      </c>
      <c r="F140" s="2113">
        <v>0.17</v>
      </c>
      <c r="G140" s="2076">
        <v>217</v>
      </c>
      <c r="H140" s="2113">
        <v>0.12</v>
      </c>
    </row>
    <row r="141" spans="1:8">
      <c r="A141" s="2076" t="s">
        <v>167</v>
      </c>
      <c r="B141" s="2076">
        <v>3674</v>
      </c>
      <c r="C141" s="2076"/>
      <c r="D141" s="2076">
        <v>936</v>
      </c>
      <c r="E141" s="2076"/>
      <c r="F141" s="2076"/>
      <c r="G141" s="2076">
        <v>1741</v>
      </c>
      <c r="H141" s="2076"/>
    </row>
    <row r="142" spans="1:8">
      <c r="A142" s="2074"/>
      <c r="B142" s="2074"/>
      <c r="C142" s="2074"/>
      <c r="D142" s="2074"/>
      <c r="E142" s="2074"/>
      <c r="F142" s="2074"/>
      <c r="G142" s="2074"/>
      <c r="H142" s="2074"/>
    </row>
    <row r="143" spans="1:8">
      <c r="A143" s="2074" t="s">
        <v>1063</v>
      </c>
      <c r="B143" s="2074"/>
      <c r="C143" s="2074"/>
      <c r="D143" s="2074"/>
      <c r="E143" s="2074"/>
      <c r="F143" s="2074"/>
      <c r="G143" s="2074"/>
      <c r="H143" s="2074"/>
    </row>
    <row r="144" spans="1:8">
      <c r="A144" s="2074" t="s">
        <v>1064</v>
      </c>
      <c r="B144" s="2074"/>
      <c r="C144" s="2074"/>
      <c r="D144" s="2074"/>
      <c r="E144" s="2074"/>
      <c r="F144" s="2074"/>
      <c r="G144" s="2074"/>
      <c r="H144" s="2074"/>
    </row>
    <row r="145" spans="1:8">
      <c r="A145" s="2074" t="s">
        <v>1065</v>
      </c>
      <c r="B145" s="2074"/>
      <c r="C145" s="2074"/>
      <c r="D145" s="2074"/>
      <c r="E145" s="2074"/>
      <c r="F145" s="2074"/>
      <c r="G145" s="2074"/>
      <c r="H145" s="2074"/>
    </row>
    <row r="146" spans="1:8">
      <c r="A146" s="2074" t="s">
        <v>1066</v>
      </c>
      <c r="B146" s="2074"/>
      <c r="C146" s="2074"/>
      <c r="D146" s="2074"/>
      <c r="E146" s="2074"/>
      <c r="F146" s="2074"/>
      <c r="G146" s="2074"/>
      <c r="H146" s="2074"/>
    </row>
    <row r="147" spans="1:8">
      <c r="A147" s="2074"/>
      <c r="B147" s="2074"/>
      <c r="C147" s="2074"/>
      <c r="D147" s="2074"/>
      <c r="E147" s="2074"/>
      <c r="F147" s="2074"/>
      <c r="G147" s="2074"/>
      <c r="H147" s="2074"/>
    </row>
    <row r="148" spans="1:8" ht="15.6">
      <c r="A148" s="2075" t="s">
        <v>1067</v>
      </c>
      <c r="B148" s="2074"/>
      <c r="C148" s="2074"/>
      <c r="D148" s="2074"/>
      <c r="E148" s="2074"/>
      <c r="F148" s="2074"/>
      <c r="G148" s="2074"/>
      <c r="H148" s="2074"/>
    </row>
    <row r="149" spans="1:8">
      <c r="A149" s="2074"/>
      <c r="B149" s="2074"/>
      <c r="C149" s="2074"/>
      <c r="D149" s="2074"/>
      <c r="E149" s="2074"/>
      <c r="F149" s="2074"/>
      <c r="G149" s="2074"/>
      <c r="H149" s="2074"/>
    </row>
    <row r="150" spans="1:8">
      <c r="A150" s="2074" t="s">
        <v>1068</v>
      </c>
      <c r="B150" s="2074"/>
      <c r="C150" s="2074"/>
      <c r="D150" s="2074"/>
      <c r="E150" s="2074"/>
      <c r="F150" s="2074"/>
      <c r="G150" s="2074"/>
      <c r="H150" s="2074"/>
    </row>
    <row r="151" spans="1:8">
      <c r="A151" s="2074" t="s">
        <v>1069</v>
      </c>
      <c r="B151" s="2074"/>
      <c r="C151" s="2074"/>
      <c r="D151" s="2074"/>
      <c r="E151" s="2074"/>
      <c r="F151" s="2074"/>
      <c r="G151" s="2074"/>
      <c r="H151" s="2074"/>
    </row>
    <row r="152" spans="1:8">
      <c r="A152" s="2074"/>
      <c r="B152" s="2074"/>
      <c r="C152" s="2074"/>
      <c r="D152" s="2074"/>
      <c r="E152" s="2074"/>
      <c r="F152" s="2074"/>
      <c r="G152" s="2074"/>
      <c r="H152" s="2074"/>
    </row>
    <row r="153" spans="1:8">
      <c r="A153" s="2074" t="s">
        <v>1070</v>
      </c>
      <c r="B153" s="2074"/>
      <c r="C153" s="2074"/>
      <c r="D153" s="2074"/>
      <c r="E153" s="2074"/>
      <c r="F153" s="2074"/>
      <c r="G153" s="2074"/>
      <c r="H153" s="2074"/>
    </row>
    <row r="154" spans="1:8">
      <c r="A154" s="2074" t="s">
        <v>1071</v>
      </c>
      <c r="B154" s="2074"/>
      <c r="C154" s="2074"/>
      <c r="D154" s="2074"/>
      <c r="E154" s="2074"/>
      <c r="F154" s="2074"/>
      <c r="G154" s="2074"/>
      <c r="H154" s="2074"/>
    </row>
    <row r="155" spans="1:8">
      <c r="A155" s="2074" t="s">
        <v>1072</v>
      </c>
      <c r="B155" s="2074"/>
      <c r="C155" s="2074"/>
      <c r="D155" s="2074"/>
      <c r="E155" s="2074"/>
      <c r="F155" s="2074"/>
      <c r="G155" s="2074"/>
      <c r="H155" s="2074"/>
    </row>
    <row r="156" spans="1:8">
      <c r="A156" s="2074"/>
      <c r="B156" s="2074"/>
      <c r="C156" s="2074"/>
      <c r="D156" s="2074"/>
      <c r="E156" s="2074"/>
      <c r="F156" s="2074"/>
      <c r="G156" s="2074"/>
      <c r="H156" s="2074"/>
    </row>
    <row r="157" spans="1:8">
      <c r="A157" s="2074" t="s">
        <v>1073</v>
      </c>
      <c r="B157" s="2074"/>
      <c r="C157" s="2074"/>
      <c r="D157" s="2074"/>
      <c r="E157" s="2074"/>
      <c r="F157" s="2074"/>
      <c r="G157" s="2074"/>
      <c r="H157" s="2074"/>
    </row>
    <row r="158" spans="1:8">
      <c r="A158" s="2074" t="s">
        <v>1074</v>
      </c>
      <c r="B158" s="2074"/>
      <c r="C158" s="2074"/>
      <c r="D158" s="2074"/>
      <c r="E158" s="2074"/>
      <c r="F158" s="2074"/>
      <c r="G158" s="2074"/>
      <c r="H158" s="2074"/>
    </row>
    <row r="159" spans="1:8">
      <c r="A159" s="2074" t="s">
        <v>1075</v>
      </c>
      <c r="B159" s="2074"/>
      <c r="C159" s="2074"/>
      <c r="D159" s="2074"/>
      <c r="E159" s="2074"/>
      <c r="F159" s="2074"/>
      <c r="G159" s="2074"/>
      <c r="H159" s="2074"/>
    </row>
    <row r="160" spans="1:8">
      <c r="A160" s="2074"/>
      <c r="B160" s="2074"/>
      <c r="C160" s="2074"/>
      <c r="D160" s="2074"/>
      <c r="E160" s="2074"/>
      <c r="F160" s="2074"/>
      <c r="G160" s="2074"/>
      <c r="H160" s="2074"/>
    </row>
    <row r="161" spans="1:8">
      <c r="A161" s="2074" t="s">
        <v>1076</v>
      </c>
      <c r="B161" s="2074"/>
      <c r="C161" s="2074"/>
      <c r="D161" s="2074"/>
      <c r="E161" s="2074"/>
      <c r="F161" s="2074"/>
      <c r="G161" s="2074"/>
      <c r="H161" s="2074"/>
    </row>
    <row r="162" spans="1:8">
      <c r="A162" s="2074" t="s">
        <v>1077</v>
      </c>
      <c r="B162" s="2074"/>
      <c r="C162" s="2074"/>
      <c r="D162" s="2074"/>
      <c r="E162" s="2074"/>
      <c r="F162" s="2074"/>
      <c r="G162" s="2074"/>
      <c r="H162" s="2074"/>
    </row>
    <row r="163" spans="1:8">
      <c r="A163" s="2074" t="s">
        <v>1078</v>
      </c>
      <c r="B163" s="2074"/>
      <c r="C163" s="2074"/>
      <c r="D163" s="2074"/>
      <c r="E163" s="2074"/>
      <c r="F163" s="2074"/>
      <c r="G163" s="2074"/>
      <c r="H163" s="2074"/>
    </row>
    <row r="164" spans="1:8">
      <c r="A164" s="2074"/>
      <c r="B164" s="2074"/>
      <c r="C164" s="2074"/>
      <c r="D164" s="2074"/>
      <c r="E164" s="2074"/>
      <c r="F164" s="2074"/>
      <c r="G164" s="2074"/>
      <c r="H164" s="2074"/>
    </row>
    <row r="165" spans="1:8">
      <c r="A165" s="2074" t="s">
        <v>1079</v>
      </c>
      <c r="B165" s="2074"/>
      <c r="C165" s="2074"/>
      <c r="D165" s="2074"/>
      <c r="E165" s="2074"/>
      <c r="F165" s="2074"/>
      <c r="G165" s="2074"/>
      <c r="H165" s="2074"/>
    </row>
    <row r="166" spans="1:8">
      <c r="A166" s="2074" t="s">
        <v>1080</v>
      </c>
      <c r="B166" s="2074"/>
      <c r="C166" s="2074"/>
      <c r="D166" s="2074"/>
      <c r="E166" s="2074"/>
      <c r="F166" s="2074"/>
      <c r="G166" s="2074"/>
      <c r="H166" s="2074"/>
    </row>
    <row r="167" spans="1:8">
      <c r="A167" s="2074"/>
      <c r="B167" s="2074"/>
      <c r="C167" s="2074"/>
      <c r="D167" s="2074"/>
      <c r="E167" s="2074"/>
      <c r="F167" s="2074"/>
      <c r="G167" s="2074"/>
      <c r="H167" s="2074"/>
    </row>
    <row r="168" spans="1:8" ht="15.6">
      <c r="A168" s="2075" t="s">
        <v>1081</v>
      </c>
      <c r="B168" s="2074"/>
      <c r="C168" s="2074"/>
      <c r="D168" s="2074"/>
      <c r="E168" s="2074"/>
      <c r="F168" s="2074"/>
      <c r="G168" s="2074"/>
      <c r="H168" s="2074"/>
    </row>
    <row r="169" spans="1:8">
      <c r="A169" s="2074"/>
      <c r="B169" s="2074"/>
      <c r="C169" s="2074"/>
      <c r="D169" s="2074"/>
      <c r="E169" s="2074"/>
      <c r="F169" s="2074"/>
      <c r="G169" s="2074"/>
      <c r="H169" s="2074"/>
    </row>
    <row r="170" spans="1:8">
      <c r="A170" s="2074" t="s">
        <v>1082</v>
      </c>
      <c r="B170" s="2074"/>
      <c r="C170" s="2074"/>
      <c r="D170" s="2074"/>
      <c r="E170" s="2074"/>
      <c r="F170" s="2074"/>
      <c r="G170" s="2074"/>
      <c r="H170" s="2074"/>
    </row>
    <row r="171" spans="1:8">
      <c r="A171" s="2074" t="s">
        <v>1083</v>
      </c>
      <c r="B171" s="2074"/>
      <c r="C171" s="2074"/>
      <c r="D171" s="2074"/>
      <c r="E171" s="2074"/>
      <c r="F171" s="2074"/>
      <c r="G171" s="2074"/>
      <c r="H171" s="2074"/>
    </row>
    <row r="172" spans="1:8">
      <c r="A172" s="2074"/>
      <c r="B172" s="2074"/>
      <c r="C172" s="2074"/>
      <c r="D172" s="2074"/>
      <c r="E172" s="2074"/>
      <c r="F172" s="2074"/>
      <c r="G172" s="2074"/>
      <c r="H172" s="2074"/>
    </row>
    <row r="173" spans="1:8">
      <c r="A173" s="2074" t="s">
        <v>1084</v>
      </c>
      <c r="B173" s="2074"/>
      <c r="C173" s="2074"/>
      <c r="D173" s="2074"/>
      <c r="E173" s="2074"/>
      <c r="F173" s="2074"/>
      <c r="G173" s="2074"/>
      <c r="H173" s="2074"/>
    </row>
    <row r="174" spans="1:8">
      <c r="A174" s="2074" t="s">
        <v>1085</v>
      </c>
      <c r="B174" s="2074"/>
      <c r="C174" s="2074"/>
      <c r="D174" s="2074"/>
      <c r="E174" s="2074"/>
      <c r="F174" s="2074"/>
      <c r="G174" s="2074"/>
      <c r="H174" s="2074"/>
    </row>
    <row r="175" spans="1:8">
      <c r="A175" s="2074"/>
      <c r="B175" s="2074"/>
      <c r="C175" s="2074"/>
      <c r="D175" s="2074"/>
      <c r="E175" s="2074"/>
      <c r="F175" s="2074"/>
      <c r="G175" s="2074"/>
      <c r="H175" s="2074"/>
    </row>
    <row r="176" spans="1:8">
      <c r="A176" s="2074" t="s">
        <v>1086</v>
      </c>
      <c r="B176" s="2074"/>
      <c r="C176" s="2074"/>
      <c r="D176" s="2074"/>
      <c r="E176" s="2074"/>
      <c r="F176" s="2074"/>
      <c r="G176" s="2074"/>
      <c r="H176" s="2074"/>
    </row>
    <row r="177" spans="1:8">
      <c r="A177" s="2074" t="s">
        <v>1087</v>
      </c>
      <c r="B177" s="2074"/>
      <c r="C177" s="2074"/>
      <c r="D177" s="2074"/>
      <c r="E177" s="2074"/>
      <c r="F177" s="2074"/>
      <c r="G177" s="2074"/>
      <c r="H177" s="2074"/>
    </row>
    <row r="178" spans="1:8">
      <c r="A178" s="2074"/>
      <c r="B178" s="2074"/>
      <c r="C178" s="2074"/>
      <c r="D178" s="2074"/>
      <c r="E178" s="2074"/>
      <c r="F178" s="2074"/>
      <c r="G178" s="2074"/>
      <c r="H178" s="2074"/>
    </row>
    <row r="179" spans="1:8">
      <c r="A179" s="2074" t="s">
        <v>1088</v>
      </c>
      <c r="B179" s="2074"/>
      <c r="C179" s="2074"/>
      <c r="D179" s="2074"/>
      <c r="E179" s="2074"/>
      <c r="F179" s="2074"/>
      <c r="G179" s="2074"/>
      <c r="H179" s="2074"/>
    </row>
    <row r="180" spans="1:8">
      <c r="A180" s="2074" t="s">
        <v>1089</v>
      </c>
      <c r="B180" s="2074"/>
      <c r="C180" s="2074"/>
      <c r="D180" s="2074"/>
      <c r="E180" s="2074"/>
      <c r="F180" s="2074"/>
      <c r="G180" s="2074"/>
      <c r="H180" s="2074"/>
    </row>
    <row r="181" spans="1:8">
      <c r="A181" s="2074" t="s">
        <v>1090</v>
      </c>
      <c r="B181" s="2074"/>
      <c r="C181" s="2074"/>
      <c r="D181" s="2074"/>
      <c r="E181" s="2074"/>
      <c r="F181" s="2074"/>
      <c r="G181" s="2074"/>
      <c r="H181" s="2074"/>
    </row>
    <row r="182" spans="1:8">
      <c r="A182" s="2074"/>
      <c r="B182" s="2074"/>
      <c r="C182" s="2074"/>
      <c r="D182" s="2074"/>
      <c r="E182" s="2074"/>
      <c r="F182" s="2074"/>
      <c r="G182" s="2074"/>
      <c r="H182" s="2074"/>
    </row>
    <row r="183" spans="1:8">
      <c r="A183" s="2074" t="s">
        <v>996</v>
      </c>
      <c r="B183" s="2074"/>
      <c r="C183" s="2074"/>
      <c r="D183" s="2074"/>
      <c r="E183" s="2074"/>
      <c r="F183" s="2074"/>
      <c r="G183" s="2074"/>
      <c r="H183" s="2074"/>
    </row>
    <row r="184" spans="1:8">
      <c r="A184" s="2074"/>
      <c r="B184" s="2074"/>
      <c r="C184" s="2074"/>
      <c r="D184" s="2074"/>
      <c r="E184" s="2074"/>
      <c r="F184" s="2074"/>
      <c r="G184" s="2074"/>
      <c r="H184" s="2074"/>
    </row>
    <row r="185" spans="1:8" ht="15.6">
      <c r="A185" s="2075" t="s">
        <v>1091</v>
      </c>
      <c r="B185" s="2074"/>
      <c r="C185" s="2074"/>
      <c r="D185" s="2074"/>
      <c r="E185" s="2074"/>
      <c r="F185" s="2074"/>
      <c r="G185" s="2074"/>
      <c r="H185" s="2074"/>
    </row>
    <row r="186" spans="1:8">
      <c r="A186" s="2074"/>
      <c r="B186" s="2074"/>
      <c r="C186" s="2074"/>
      <c r="D186" s="2074"/>
      <c r="E186" s="2074"/>
      <c r="F186" s="2074"/>
      <c r="G186" s="2074"/>
      <c r="H186" s="2074"/>
    </row>
    <row r="187" spans="1:8">
      <c r="A187" s="2074"/>
      <c r="B187" s="2074"/>
      <c r="C187" s="2074"/>
      <c r="D187" s="2074"/>
      <c r="E187" s="2074"/>
      <c r="F187" s="2074"/>
      <c r="G187" s="2074"/>
      <c r="H187" s="2074"/>
    </row>
    <row r="188" spans="1:8">
      <c r="A188" s="2074"/>
      <c r="B188" s="2074"/>
      <c r="C188" s="2074"/>
      <c r="D188" s="2074"/>
      <c r="E188" s="2074"/>
      <c r="F188" s="2074"/>
      <c r="G188" s="2074"/>
      <c r="H188" s="2074"/>
    </row>
    <row r="189" spans="1:8">
      <c r="A189" s="2074"/>
      <c r="B189" s="2074"/>
      <c r="C189" s="2074"/>
      <c r="D189" s="2074"/>
      <c r="E189" s="2074"/>
      <c r="F189" s="2074"/>
      <c r="G189" s="2074"/>
      <c r="H189" s="2074"/>
    </row>
    <row r="190" spans="1:8">
      <c r="A190" s="2074"/>
      <c r="B190" s="2074"/>
      <c r="C190" s="2074"/>
      <c r="D190" s="2074"/>
      <c r="E190" s="2074"/>
      <c r="F190" s="2074"/>
      <c r="G190" s="2074"/>
      <c r="H190" s="2074"/>
    </row>
    <row r="191" spans="1:8">
      <c r="A191" s="2074"/>
      <c r="B191" s="2074"/>
      <c r="C191" s="2074"/>
      <c r="D191" s="2074"/>
      <c r="E191" s="2074"/>
      <c r="F191" s="2074"/>
      <c r="G191" s="2074"/>
      <c r="H191" s="2074"/>
    </row>
    <row r="192" spans="1:8">
      <c r="A192" s="2074"/>
      <c r="B192" s="2074"/>
      <c r="C192" s="2074"/>
      <c r="D192" s="2074"/>
      <c r="E192" s="2074"/>
      <c r="F192" s="2074"/>
      <c r="G192" s="2074"/>
      <c r="H192" s="2074"/>
    </row>
    <row r="193" spans="1:8">
      <c r="A193" s="2074"/>
      <c r="B193" s="2074"/>
      <c r="C193" s="2074"/>
      <c r="D193" s="2074"/>
      <c r="E193" s="2074"/>
      <c r="F193" s="2074"/>
      <c r="G193" s="2074"/>
      <c r="H193" s="2074"/>
    </row>
    <row r="194" spans="1:8">
      <c r="A194" s="2074"/>
      <c r="B194" s="2074"/>
      <c r="C194" s="2074"/>
      <c r="D194" s="2074"/>
      <c r="E194" s="2074"/>
      <c r="F194" s="2074"/>
      <c r="G194" s="2074"/>
      <c r="H194" s="2074"/>
    </row>
    <row r="195" spans="1:8">
      <c r="A195" s="2074"/>
      <c r="B195" s="2074"/>
      <c r="C195" s="2074"/>
      <c r="D195" s="2074"/>
      <c r="E195" s="2074"/>
      <c r="F195" s="2074"/>
      <c r="G195" s="2074"/>
      <c r="H195" s="2074"/>
    </row>
    <row r="196" spans="1:8">
      <c r="A196" s="2074"/>
      <c r="B196" s="2074"/>
      <c r="C196" s="2074"/>
      <c r="D196" s="2074"/>
      <c r="E196" s="2074"/>
      <c r="F196" s="2074"/>
      <c r="G196" s="2074"/>
      <c r="H196" s="2074"/>
    </row>
    <row r="197" spans="1:8">
      <c r="A197" s="2074"/>
      <c r="B197" s="2074"/>
      <c r="C197" s="2074"/>
      <c r="D197" s="2074"/>
      <c r="E197" s="2074"/>
      <c r="F197" s="2074"/>
      <c r="G197" s="2074"/>
      <c r="H197" s="2074"/>
    </row>
    <row r="198" spans="1:8">
      <c r="A198" s="2074"/>
      <c r="B198" s="2074"/>
      <c r="C198" s="2074"/>
      <c r="D198" s="2074"/>
      <c r="E198" s="2074"/>
      <c r="F198" s="2074"/>
      <c r="G198" s="2074"/>
      <c r="H198" s="2074"/>
    </row>
    <row r="199" spans="1:8">
      <c r="A199" s="2074"/>
      <c r="B199" s="2074"/>
      <c r="C199" s="2074"/>
      <c r="D199" s="2074"/>
      <c r="E199" s="2074"/>
      <c r="F199" s="2074"/>
      <c r="G199" s="2074"/>
      <c r="H199" s="2074"/>
    </row>
    <row r="200" spans="1:8">
      <c r="A200" s="2074"/>
      <c r="B200" s="2074"/>
      <c r="C200" s="2074"/>
      <c r="D200" s="2074"/>
      <c r="E200" s="2074"/>
      <c r="F200" s="2074"/>
      <c r="G200" s="2074"/>
      <c r="H200" s="2074"/>
    </row>
    <row r="201" spans="1:8">
      <c r="A201" s="2074"/>
      <c r="B201" s="2074"/>
      <c r="C201" s="2074"/>
      <c r="D201" s="2074"/>
      <c r="E201" s="2074"/>
      <c r="F201" s="2074"/>
      <c r="G201" s="2074"/>
      <c r="H201" s="2074"/>
    </row>
    <row r="202" spans="1:8">
      <c r="A202" s="2074"/>
      <c r="B202" s="2074"/>
      <c r="C202" s="2074"/>
      <c r="D202" s="2074"/>
      <c r="E202" s="2074"/>
      <c r="F202" s="2074"/>
      <c r="G202" s="2074"/>
      <c r="H202" s="2074"/>
    </row>
    <row r="203" spans="1:8">
      <c r="A203" s="2074"/>
      <c r="B203" s="2074"/>
      <c r="C203" s="2074"/>
      <c r="D203" s="2074"/>
      <c r="E203" s="2074"/>
      <c r="F203" s="2074"/>
      <c r="G203" s="2074"/>
      <c r="H203" s="2074"/>
    </row>
    <row r="204" spans="1:8">
      <c r="A204" s="2074"/>
      <c r="B204" s="2074"/>
      <c r="C204" s="2074"/>
      <c r="D204" s="2074"/>
      <c r="E204" s="2074"/>
      <c r="F204" s="2074"/>
      <c r="G204" s="2074"/>
      <c r="H204" s="2074"/>
    </row>
    <row r="205" spans="1:8">
      <c r="A205" s="2074"/>
      <c r="B205" s="2074"/>
      <c r="C205" s="2074"/>
      <c r="D205" s="2074"/>
      <c r="E205" s="2074"/>
      <c r="F205" s="2074"/>
      <c r="G205" s="2074"/>
      <c r="H205" s="2074"/>
    </row>
    <row r="206" spans="1:8">
      <c r="A206" s="2074"/>
      <c r="B206" s="2074"/>
      <c r="C206" s="2074"/>
      <c r="D206" s="2074"/>
      <c r="E206" s="2074"/>
      <c r="F206" s="2074"/>
      <c r="G206" s="2074"/>
      <c r="H206" s="2074"/>
    </row>
    <row r="207" spans="1:8">
      <c r="A207" s="2074"/>
      <c r="B207" s="2074"/>
      <c r="C207" s="2074"/>
      <c r="D207" s="2074"/>
      <c r="E207" s="2074"/>
      <c r="F207" s="2074"/>
      <c r="G207" s="2074"/>
      <c r="H207" s="2074"/>
    </row>
    <row r="208" spans="1:8">
      <c r="A208" s="2074"/>
      <c r="B208" s="2074"/>
      <c r="C208" s="2074"/>
      <c r="D208" s="2074"/>
      <c r="E208" s="2074"/>
      <c r="F208" s="2074"/>
      <c r="G208" s="2074"/>
      <c r="H208" s="2074"/>
    </row>
    <row r="209" spans="1:8">
      <c r="A209" s="2074"/>
      <c r="B209" s="2074"/>
      <c r="C209" s="2074"/>
      <c r="D209" s="2074"/>
      <c r="E209" s="2074"/>
      <c r="F209" s="2074"/>
      <c r="G209" s="2074"/>
      <c r="H209" s="2074"/>
    </row>
    <row r="210" spans="1:8">
      <c r="A210" s="2074"/>
      <c r="B210" s="2074"/>
      <c r="C210" s="2074"/>
      <c r="D210" s="2074"/>
      <c r="E210" s="2074"/>
      <c r="F210" s="2074"/>
      <c r="G210" s="2074"/>
      <c r="H210" s="2074"/>
    </row>
    <row r="211" spans="1:8">
      <c r="A211" s="2074"/>
      <c r="B211" s="2074"/>
      <c r="C211" s="2074"/>
      <c r="D211" s="2074"/>
      <c r="E211" s="2074"/>
      <c r="F211" s="2074"/>
      <c r="G211" s="2074"/>
      <c r="H211" s="2074"/>
    </row>
    <row r="212" spans="1:8">
      <c r="A212" s="2074"/>
      <c r="B212" s="2074"/>
      <c r="C212" s="2074"/>
      <c r="D212" s="2074"/>
      <c r="E212" s="2074"/>
      <c r="F212" s="2074"/>
      <c r="G212" s="2074"/>
      <c r="H212" s="2074"/>
    </row>
    <row r="213" spans="1:8" ht="15.6">
      <c r="A213" s="2075" t="s">
        <v>1092</v>
      </c>
      <c r="B213" s="2074"/>
      <c r="C213" s="2074"/>
      <c r="D213" s="2074"/>
      <c r="E213" s="2074"/>
      <c r="F213" s="2074"/>
      <c r="G213" s="2074"/>
      <c r="H213" s="2074"/>
    </row>
    <row r="214" spans="1:8">
      <c r="A214" s="2074"/>
      <c r="B214" s="2074"/>
      <c r="C214" s="2074"/>
      <c r="D214" s="2074"/>
      <c r="E214" s="2074"/>
      <c r="F214" s="2074"/>
      <c r="G214" s="2074"/>
      <c r="H214" s="2074"/>
    </row>
    <row r="215" spans="1:8">
      <c r="A215" s="2074" t="s">
        <v>1093</v>
      </c>
      <c r="B215" s="2074"/>
      <c r="C215" s="2074"/>
      <c r="D215" s="2074"/>
      <c r="E215" s="2074"/>
      <c r="F215" s="2074"/>
      <c r="G215" s="2074"/>
      <c r="H215" s="2074"/>
    </row>
    <row r="216" spans="1:8">
      <c r="A216" s="2074" t="s">
        <v>1094</v>
      </c>
      <c r="B216" s="2074"/>
      <c r="C216" s="2074"/>
      <c r="D216" s="2074"/>
      <c r="E216" s="2074"/>
      <c r="F216" s="2074"/>
      <c r="G216" s="2074"/>
      <c r="H216" s="2074"/>
    </row>
    <row r="217" spans="1:8">
      <c r="A217" s="2074" t="s">
        <v>1095</v>
      </c>
      <c r="B217" s="2074"/>
      <c r="C217" s="2074"/>
      <c r="D217" s="2074"/>
      <c r="E217" s="2074"/>
      <c r="F217" s="2074"/>
      <c r="G217" s="2074"/>
      <c r="H217" s="2074"/>
    </row>
    <row r="218" spans="1:8">
      <c r="A218" s="2074" t="s">
        <v>1096</v>
      </c>
      <c r="B218" s="2074"/>
      <c r="C218" s="2074"/>
      <c r="D218" s="2074"/>
      <c r="E218" s="2074"/>
      <c r="F218" s="2074"/>
      <c r="G218" s="2074"/>
      <c r="H218" s="2074"/>
    </row>
    <row r="219" spans="1:8">
      <c r="A219" s="2074" t="s">
        <v>1097</v>
      </c>
      <c r="B219" s="2074"/>
      <c r="C219" s="2074"/>
      <c r="D219" s="2074"/>
      <c r="E219" s="2074"/>
      <c r="F219" s="2074"/>
      <c r="G219" s="2074"/>
      <c r="H219" s="2074"/>
    </row>
    <row r="220" spans="1:8">
      <c r="A220" s="2074"/>
      <c r="B220" s="2074"/>
      <c r="C220" s="2074"/>
      <c r="D220" s="2074"/>
      <c r="E220" s="2074"/>
      <c r="F220" s="2074"/>
      <c r="G220" s="2074"/>
      <c r="H220" s="2074"/>
    </row>
    <row r="221" spans="1:8">
      <c r="A221" s="2074" t="s">
        <v>1098</v>
      </c>
      <c r="B221" s="2074"/>
      <c r="C221" s="2074"/>
      <c r="D221" s="2074"/>
      <c r="E221" s="2074"/>
      <c r="F221" s="2074"/>
      <c r="G221" s="2074"/>
      <c r="H221" s="2074"/>
    </row>
    <row r="222" spans="1:8">
      <c r="A222" s="2074" t="s">
        <v>1099</v>
      </c>
      <c r="B222" s="2074"/>
      <c r="C222" s="2074"/>
      <c r="D222" s="2074"/>
      <c r="E222" s="2074"/>
      <c r="F222" s="2074"/>
      <c r="G222" s="2074"/>
      <c r="H222" s="2074"/>
    </row>
    <row r="223" spans="1:8">
      <c r="A223" s="2074" t="s">
        <v>1100</v>
      </c>
      <c r="B223" s="2074"/>
      <c r="C223" s="2074"/>
      <c r="D223" s="2074"/>
      <c r="E223" s="2074"/>
      <c r="F223" s="2074"/>
      <c r="G223" s="2074"/>
      <c r="H223" s="2074"/>
    </row>
    <row r="224" spans="1:8">
      <c r="A224" s="2074"/>
      <c r="B224" s="2074"/>
      <c r="C224" s="2074"/>
      <c r="D224" s="2074"/>
      <c r="E224" s="2074"/>
      <c r="F224" s="2074"/>
      <c r="G224" s="2074"/>
      <c r="H224" s="2074"/>
    </row>
    <row r="225" spans="1:8" ht="15.6">
      <c r="A225" s="2075" t="s">
        <v>1101</v>
      </c>
      <c r="B225" s="2074"/>
      <c r="C225" s="2074"/>
      <c r="D225" s="2074"/>
      <c r="E225" s="2074"/>
      <c r="F225" s="2074"/>
      <c r="G225" s="2074"/>
      <c r="H225" s="2074"/>
    </row>
    <row r="226" spans="1:8">
      <c r="A226" s="2074"/>
      <c r="B226" s="2074"/>
      <c r="C226" s="2074"/>
      <c r="D226" s="2074"/>
      <c r="E226" s="2074"/>
      <c r="F226" s="2074"/>
      <c r="G226" s="2074"/>
      <c r="H226" s="2074"/>
    </row>
    <row r="227" spans="1:8">
      <c r="A227" s="2074" t="s">
        <v>1102</v>
      </c>
      <c r="B227" s="2074"/>
      <c r="C227" s="2074"/>
      <c r="D227" s="2074"/>
      <c r="E227" s="2074"/>
      <c r="F227" s="2074"/>
      <c r="G227" s="2074"/>
      <c r="H227" s="2074"/>
    </row>
    <row r="228" spans="1:8">
      <c r="A228" s="2074" t="s">
        <v>1103</v>
      </c>
      <c r="B228" s="2074"/>
      <c r="C228" s="2074"/>
      <c r="D228" s="2074"/>
      <c r="E228" s="2074"/>
      <c r="F228" s="2074"/>
      <c r="G228" s="2074"/>
      <c r="H228" s="2074"/>
    </row>
    <row r="229" spans="1:8">
      <c r="A229" s="2074" t="s">
        <v>1104</v>
      </c>
      <c r="B229" s="2074"/>
      <c r="C229" s="2074"/>
      <c r="D229" s="2074"/>
      <c r="E229" s="2074"/>
      <c r="F229" s="2074"/>
      <c r="G229" s="2074"/>
      <c r="H229" s="2074"/>
    </row>
    <row r="230" spans="1:8">
      <c r="A230" s="2074" t="s">
        <v>1105</v>
      </c>
      <c r="B230" s="2074"/>
      <c r="C230" s="2074"/>
      <c r="D230" s="2074"/>
      <c r="E230" s="2074"/>
      <c r="F230" s="2074"/>
      <c r="G230" s="2074"/>
      <c r="H230" s="2074"/>
    </row>
    <row r="231" spans="1:8">
      <c r="A231" s="2074" t="s">
        <v>1106</v>
      </c>
      <c r="B231" s="2074"/>
      <c r="C231" s="2074"/>
      <c r="D231" s="2074"/>
      <c r="E231" s="2074"/>
      <c r="F231" s="2074"/>
      <c r="G231" s="2074"/>
      <c r="H231" s="2074"/>
    </row>
    <row r="232" spans="1:8">
      <c r="A232" s="2074" t="s">
        <v>1107</v>
      </c>
      <c r="B232" s="2074"/>
      <c r="C232" s="2074"/>
      <c r="D232" s="2074"/>
      <c r="E232" s="2074"/>
      <c r="F232" s="2074"/>
      <c r="G232" s="2074"/>
      <c r="H232" s="2074"/>
    </row>
    <row r="233" spans="1:8">
      <c r="A233" s="2074" t="s">
        <v>1108</v>
      </c>
      <c r="B233" s="2074"/>
      <c r="C233" s="2074"/>
      <c r="D233" s="2074"/>
      <c r="E233" s="2074"/>
      <c r="F233" s="2074"/>
      <c r="G233" s="2074"/>
      <c r="H233" s="2074"/>
    </row>
    <row r="234" spans="1:8">
      <c r="A234" s="2074"/>
      <c r="B234" s="2074"/>
      <c r="C234" s="2074"/>
      <c r="D234" s="2074"/>
      <c r="E234" s="2074"/>
      <c r="F234" s="2074"/>
      <c r="G234" s="2074"/>
      <c r="H234" s="2074"/>
    </row>
    <row r="235" spans="1:8">
      <c r="A235" s="2074" t="s">
        <v>1109</v>
      </c>
      <c r="B235" s="2074"/>
      <c r="C235" s="2074"/>
      <c r="D235" s="2074"/>
      <c r="E235" s="2074"/>
      <c r="F235" s="2074"/>
      <c r="G235" s="2074"/>
      <c r="H235" s="2074"/>
    </row>
    <row r="236" spans="1:8">
      <c r="A236" s="2074" t="s">
        <v>1110</v>
      </c>
      <c r="B236" s="2074"/>
      <c r="C236" s="2074"/>
      <c r="D236" s="2074"/>
      <c r="E236" s="2074"/>
      <c r="F236" s="2074"/>
      <c r="G236" s="2074"/>
      <c r="H236" s="2074"/>
    </row>
    <row r="237" spans="1:8">
      <c r="A237" s="2074" t="s">
        <v>1111</v>
      </c>
      <c r="B237" s="2074"/>
      <c r="C237" s="2074"/>
      <c r="D237" s="2074"/>
      <c r="E237" s="2074"/>
      <c r="F237" s="2074"/>
      <c r="G237" s="2074"/>
      <c r="H237" s="2074"/>
    </row>
    <row r="238" spans="1:8">
      <c r="A238" s="2074"/>
      <c r="B238" s="2074"/>
      <c r="C238" s="2074"/>
      <c r="D238" s="2074"/>
      <c r="E238" s="2074"/>
      <c r="F238" s="2074"/>
      <c r="G238" s="2074"/>
      <c r="H238" s="2074"/>
    </row>
    <row r="239" spans="1:8">
      <c r="A239" s="2074" t="s">
        <v>1112</v>
      </c>
      <c r="B239" s="2074"/>
      <c r="C239" s="2074"/>
      <c r="D239" s="2074"/>
      <c r="E239" s="2074"/>
      <c r="F239" s="2074"/>
      <c r="G239" s="2074"/>
      <c r="H239" s="2074"/>
    </row>
    <row r="240" spans="1:8">
      <c r="A240" s="2074" t="s">
        <v>1113</v>
      </c>
      <c r="B240" s="2074"/>
      <c r="C240" s="2074"/>
      <c r="D240" s="2074"/>
      <c r="E240" s="2074"/>
      <c r="F240" s="2074"/>
      <c r="G240" s="2074"/>
      <c r="H240" s="2074"/>
    </row>
    <row r="241" spans="1:8">
      <c r="A241" s="2074" t="s">
        <v>1114</v>
      </c>
      <c r="B241" s="2074"/>
      <c r="C241" s="2074"/>
      <c r="D241" s="2074"/>
      <c r="E241" s="2074"/>
      <c r="F241" s="2074"/>
      <c r="G241" s="2074"/>
      <c r="H241" s="2074"/>
    </row>
    <row r="242" spans="1:8">
      <c r="A242" s="2074" t="s">
        <v>1115</v>
      </c>
      <c r="B242" s="2074"/>
      <c r="C242" s="2074"/>
      <c r="D242" s="2074"/>
      <c r="E242" s="2074"/>
      <c r="F242" s="2074"/>
      <c r="G242" s="2074"/>
      <c r="H242" s="2074"/>
    </row>
    <row r="243" spans="1:8">
      <c r="A243" s="2074" t="s">
        <v>1116</v>
      </c>
      <c r="B243" s="2074"/>
      <c r="C243" s="2074"/>
      <c r="D243" s="2074"/>
      <c r="E243" s="2074"/>
      <c r="F243" s="2074"/>
      <c r="G243" s="2074"/>
      <c r="H243" s="2074"/>
    </row>
    <row r="244" spans="1:8">
      <c r="A244" s="2074"/>
      <c r="B244" s="2074"/>
      <c r="C244" s="2074"/>
      <c r="D244" s="2074"/>
      <c r="E244" s="2074"/>
      <c r="F244" s="2074"/>
      <c r="G244" s="2074"/>
      <c r="H244" s="2074"/>
    </row>
    <row r="245" spans="1:8">
      <c r="A245" s="2074" t="s">
        <v>1117</v>
      </c>
      <c r="B245" s="2074"/>
      <c r="C245" s="2074"/>
      <c r="D245" s="2074"/>
      <c r="E245" s="2074"/>
      <c r="F245" s="2074"/>
      <c r="G245" s="2074"/>
      <c r="H245" s="2074"/>
    </row>
    <row r="246" spans="1:8">
      <c r="A246" s="2074" t="s">
        <v>1118</v>
      </c>
      <c r="B246" s="2074"/>
      <c r="C246" s="2074"/>
      <c r="D246" s="2074"/>
      <c r="E246" s="2074"/>
      <c r="F246" s="2074"/>
      <c r="G246" s="2074"/>
      <c r="H246" s="2074"/>
    </row>
    <row r="247" spans="1:8">
      <c r="A247" s="2074" t="s">
        <v>1119</v>
      </c>
      <c r="B247" s="2074"/>
      <c r="C247" s="2074"/>
      <c r="D247" s="2074"/>
      <c r="E247" s="2074"/>
      <c r="F247" s="2074"/>
      <c r="G247" s="2074"/>
      <c r="H247" s="2074"/>
    </row>
    <row r="248" spans="1:8">
      <c r="A248" s="2074" t="s">
        <v>1120</v>
      </c>
      <c r="B248" s="2074"/>
      <c r="C248" s="2074"/>
      <c r="D248" s="2074"/>
      <c r="E248" s="2074"/>
      <c r="F248" s="2074"/>
      <c r="G248" s="2074"/>
      <c r="H248" s="2074"/>
    </row>
    <row r="249" spans="1:8">
      <c r="A249" s="2074" t="s">
        <v>1121</v>
      </c>
      <c r="B249" s="2074"/>
      <c r="C249" s="2074"/>
      <c r="D249" s="2074"/>
      <c r="E249" s="2074"/>
      <c r="F249" s="2074"/>
      <c r="G249" s="2074"/>
      <c r="H249" s="2074"/>
    </row>
    <row r="250" spans="1:8">
      <c r="A250" s="2074" t="s">
        <v>1122</v>
      </c>
      <c r="B250" s="2074"/>
      <c r="C250" s="2074"/>
      <c r="D250" s="2074"/>
      <c r="E250" s="2074"/>
      <c r="F250" s="2074"/>
      <c r="G250" s="2074"/>
      <c r="H250" s="2074"/>
    </row>
    <row r="251" spans="1:8">
      <c r="A251" s="2074"/>
      <c r="B251" s="2074"/>
      <c r="C251" s="2074"/>
      <c r="D251" s="2074"/>
      <c r="E251" s="2074"/>
      <c r="F251" s="2074"/>
      <c r="G251" s="2074"/>
      <c r="H251" s="2074"/>
    </row>
    <row r="252" spans="1:8">
      <c r="A252" s="2074" t="s">
        <v>1123</v>
      </c>
      <c r="B252" s="2074"/>
      <c r="C252" s="2074"/>
      <c r="D252" s="2074"/>
      <c r="E252" s="2074"/>
      <c r="F252" s="2074"/>
      <c r="G252" s="2074"/>
      <c r="H252" s="2074"/>
    </row>
    <row r="253" spans="1:8">
      <c r="A253" s="2074" t="s">
        <v>1124</v>
      </c>
      <c r="B253" s="2074"/>
      <c r="C253" s="2074"/>
      <c r="D253" s="2074"/>
      <c r="E253" s="2074"/>
      <c r="F253" s="2074"/>
      <c r="G253" s="2074"/>
      <c r="H253" s="2074"/>
    </row>
    <row r="254" spans="1:8">
      <c r="A254" s="2074" t="s">
        <v>1125</v>
      </c>
      <c r="B254" s="2074"/>
      <c r="C254" s="2074"/>
      <c r="D254" s="2074"/>
      <c r="E254" s="2074"/>
      <c r="F254" s="2074"/>
      <c r="G254" s="2074"/>
      <c r="H254" s="2074"/>
    </row>
    <row r="255" spans="1:8">
      <c r="A255" s="2074" t="s">
        <v>1126</v>
      </c>
      <c r="B255" s="2074"/>
      <c r="C255" s="2074"/>
      <c r="D255" s="2074"/>
      <c r="E255" s="2074"/>
      <c r="F255" s="2074"/>
      <c r="G255" s="2074"/>
      <c r="H255" s="2074"/>
    </row>
    <row r="256" spans="1:8">
      <c r="A256" s="2074" t="s">
        <v>1127</v>
      </c>
      <c r="B256" s="2074"/>
      <c r="C256" s="2074"/>
      <c r="D256" s="2074"/>
      <c r="E256" s="2074"/>
      <c r="F256" s="2074"/>
      <c r="G256" s="2074"/>
      <c r="H256" s="2074"/>
    </row>
    <row r="257" spans="1:8">
      <c r="A257" s="2074" t="s">
        <v>1128</v>
      </c>
      <c r="B257" s="2074"/>
      <c r="C257" s="2074"/>
      <c r="D257" s="2074"/>
      <c r="E257" s="2074"/>
      <c r="F257" s="2074"/>
      <c r="G257" s="2074"/>
      <c r="H257" s="2074"/>
    </row>
    <row r="258" spans="1:8">
      <c r="A258" s="2074" t="s">
        <v>1129</v>
      </c>
      <c r="B258" s="2074"/>
      <c r="C258" s="2074"/>
      <c r="D258" s="2074"/>
      <c r="E258" s="2074"/>
      <c r="F258" s="2074"/>
      <c r="G258" s="2074"/>
      <c r="H258" s="2074"/>
    </row>
    <row r="259" spans="1:8">
      <c r="A259" s="2074" t="s">
        <v>1130</v>
      </c>
      <c r="B259" s="2074"/>
      <c r="C259" s="2074"/>
      <c r="D259" s="2074"/>
      <c r="E259" s="2074"/>
      <c r="F259" s="2074"/>
      <c r="G259" s="2074"/>
      <c r="H259" s="2074"/>
    </row>
    <row r="260" spans="1:8">
      <c r="A260" s="2074" t="s">
        <v>1131</v>
      </c>
      <c r="B260" s="2074"/>
      <c r="C260" s="2074"/>
      <c r="D260" s="2074"/>
      <c r="E260" s="2074"/>
      <c r="F260" s="2074"/>
      <c r="G260" s="2074"/>
      <c r="H260" s="2074"/>
    </row>
    <row r="261" spans="1:8">
      <c r="A261" s="2074" t="s">
        <v>1132</v>
      </c>
      <c r="B261" s="2074"/>
      <c r="C261" s="2074"/>
      <c r="D261" s="2074"/>
      <c r="E261" s="2074"/>
      <c r="F261" s="2074"/>
      <c r="G261" s="2074"/>
      <c r="H261" s="2074"/>
    </row>
    <row r="262" spans="1:8">
      <c r="A262" s="2074" t="s">
        <v>1133</v>
      </c>
      <c r="B262" s="2074"/>
      <c r="C262" s="2074"/>
      <c r="D262" s="2074"/>
      <c r="E262" s="2074"/>
      <c r="F262" s="2074"/>
      <c r="G262" s="2074"/>
      <c r="H262" s="2074"/>
    </row>
    <row r="263" spans="1:8">
      <c r="A263" s="2074" t="s">
        <v>1134</v>
      </c>
      <c r="B263" s="2074"/>
      <c r="C263" s="2074"/>
      <c r="D263" s="2074"/>
      <c r="E263" s="2074"/>
      <c r="F263" s="2074"/>
      <c r="G263" s="2074"/>
      <c r="H263" s="2074"/>
    </row>
    <row r="264" spans="1:8">
      <c r="A264" s="2074" t="s">
        <v>1135</v>
      </c>
      <c r="B264" s="2074"/>
      <c r="C264" s="2074"/>
      <c r="D264" s="2074"/>
      <c r="E264" s="2074"/>
      <c r="F264" s="2074"/>
      <c r="G264" s="2074"/>
      <c r="H264" s="2074"/>
    </row>
    <row r="265" spans="1:8">
      <c r="A265" s="2074" t="s">
        <v>1136</v>
      </c>
      <c r="B265" s="2074"/>
      <c r="C265" s="2074"/>
      <c r="D265" s="2074"/>
      <c r="E265" s="2074"/>
      <c r="F265" s="2074"/>
      <c r="G265" s="2074"/>
      <c r="H265" s="2074"/>
    </row>
    <row r="266" spans="1:8">
      <c r="A266" s="2074"/>
      <c r="B266" s="2074"/>
      <c r="C266" s="2074"/>
      <c r="D266" s="2074"/>
      <c r="E266" s="2074"/>
      <c r="F266" s="2074"/>
      <c r="G266" s="2074"/>
      <c r="H266" s="2074"/>
    </row>
    <row r="267" spans="1:8">
      <c r="A267" s="2074" t="s">
        <v>1137</v>
      </c>
      <c r="B267" s="2074"/>
      <c r="C267" s="2074"/>
      <c r="D267" s="2074"/>
      <c r="E267" s="2074"/>
      <c r="F267" s="2074"/>
      <c r="G267" s="2074"/>
      <c r="H267" s="2074"/>
    </row>
    <row r="268" spans="1:8">
      <c r="A268" s="2074" t="s">
        <v>1138</v>
      </c>
      <c r="B268" s="2074"/>
      <c r="C268" s="2074"/>
      <c r="D268" s="2074"/>
      <c r="E268" s="2074"/>
      <c r="F268" s="2074"/>
      <c r="G268" s="2074"/>
      <c r="H268" s="2074"/>
    </row>
    <row r="269" spans="1:8">
      <c r="A269" s="2074"/>
      <c r="B269" s="2074"/>
      <c r="C269" s="2074"/>
      <c r="D269" s="2074"/>
      <c r="E269" s="2074"/>
      <c r="F269" s="2074"/>
      <c r="G269" s="2074"/>
      <c r="H269" s="2074"/>
    </row>
    <row r="270" spans="1:8">
      <c r="A270" s="2074" t="s">
        <v>1139</v>
      </c>
      <c r="B270" s="2074"/>
      <c r="C270" s="2074"/>
      <c r="D270" s="2074"/>
      <c r="E270" s="2074"/>
      <c r="F270" s="2074"/>
      <c r="G270" s="2074"/>
      <c r="H270" s="2074"/>
    </row>
    <row r="271" spans="1:8">
      <c r="A271" s="2074" t="s">
        <v>1140</v>
      </c>
      <c r="B271" s="2074"/>
      <c r="C271" s="2074"/>
      <c r="D271" s="2074"/>
      <c r="E271" s="2074"/>
      <c r="F271" s="2074"/>
      <c r="G271" s="2074"/>
      <c r="H271" s="2074"/>
    </row>
    <row r="272" spans="1:8">
      <c r="A272" s="2074" t="s">
        <v>1141</v>
      </c>
      <c r="B272" s="2074"/>
      <c r="C272" s="2074"/>
      <c r="D272" s="2074"/>
      <c r="E272" s="2074"/>
      <c r="F272" s="2074"/>
      <c r="G272" s="2074"/>
      <c r="H272" s="2074"/>
    </row>
    <row r="273" spans="1:8">
      <c r="A273" s="2074" t="s">
        <v>1142</v>
      </c>
      <c r="B273" s="2074"/>
      <c r="C273" s="2074"/>
      <c r="D273" s="2074"/>
      <c r="E273" s="2074"/>
      <c r="F273" s="2074"/>
      <c r="G273" s="2074"/>
      <c r="H273" s="2074"/>
    </row>
    <row r="274" spans="1:8">
      <c r="A274" s="2074" t="s">
        <v>1143</v>
      </c>
      <c r="B274" s="2074"/>
      <c r="C274" s="2074"/>
      <c r="D274" s="2074"/>
      <c r="E274" s="2074"/>
      <c r="F274" s="2074"/>
      <c r="G274" s="2074"/>
      <c r="H274" s="2074"/>
    </row>
    <row r="275" spans="1:8">
      <c r="A275" s="2074" t="s">
        <v>1144</v>
      </c>
      <c r="B275" s="2074"/>
      <c r="C275" s="2074"/>
      <c r="D275" s="2074"/>
      <c r="E275" s="2074"/>
      <c r="F275" s="2074"/>
      <c r="G275" s="2074"/>
      <c r="H275" s="2074"/>
    </row>
    <row r="276" spans="1:8">
      <c r="A276" s="2074" t="s">
        <v>1145</v>
      </c>
      <c r="B276" s="2074"/>
      <c r="C276" s="2074"/>
      <c r="D276" s="2074"/>
      <c r="E276" s="2074"/>
      <c r="F276" s="2074"/>
      <c r="G276" s="2074"/>
      <c r="H276" s="2074"/>
    </row>
    <row r="277" spans="1:8">
      <c r="A277" s="2074" t="s">
        <v>1146</v>
      </c>
      <c r="B277" s="2074"/>
      <c r="C277" s="2074"/>
      <c r="D277" s="2074"/>
      <c r="E277" s="2074"/>
      <c r="F277" s="2074"/>
      <c r="G277" s="2074"/>
      <c r="H277" s="2074"/>
    </row>
    <row r="278" spans="1:8">
      <c r="A278" s="2074" t="s">
        <v>1147</v>
      </c>
      <c r="B278" s="2074"/>
      <c r="C278" s="2074"/>
      <c r="D278" s="2074"/>
      <c r="E278" s="2074"/>
      <c r="F278" s="2074"/>
      <c r="G278" s="2074"/>
      <c r="H278" s="2074"/>
    </row>
    <row r="279" spans="1:8">
      <c r="A279" s="2074" t="s">
        <v>1148</v>
      </c>
      <c r="B279" s="2074"/>
      <c r="C279" s="2074"/>
      <c r="D279" s="2074"/>
      <c r="E279" s="2074"/>
      <c r="F279" s="2074"/>
      <c r="G279" s="2074"/>
      <c r="H279" s="2074"/>
    </row>
    <row r="280" spans="1:8">
      <c r="A280" s="2074" t="s">
        <v>1149</v>
      </c>
      <c r="B280" s="2074"/>
      <c r="C280" s="2074"/>
      <c r="D280" s="2074"/>
      <c r="E280" s="2074"/>
      <c r="F280" s="2074"/>
      <c r="G280" s="2074"/>
      <c r="H280" s="2074"/>
    </row>
    <row r="281" spans="1:8">
      <c r="A281" s="2074" t="s">
        <v>1150</v>
      </c>
      <c r="B281" s="2074"/>
      <c r="C281" s="2074"/>
      <c r="D281" s="2074"/>
      <c r="E281" s="2074"/>
      <c r="F281" s="2074"/>
      <c r="G281" s="2074"/>
      <c r="H281" s="2074"/>
    </row>
    <row r="282" spans="1:8">
      <c r="A282" s="2074" t="s">
        <v>1151</v>
      </c>
      <c r="B282" s="2074"/>
      <c r="C282" s="2074"/>
      <c r="D282" s="2074"/>
      <c r="E282" s="2074"/>
      <c r="F282" s="2074"/>
      <c r="G282" s="2074"/>
      <c r="H282" s="2074"/>
    </row>
    <row r="283" spans="1:8">
      <c r="A283" s="2074" t="s">
        <v>1152</v>
      </c>
      <c r="B283" s="2074"/>
      <c r="C283" s="2074"/>
      <c r="D283" s="2074"/>
      <c r="E283" s="2074"/>
      <c r="F283" s="2074"/>
      <c r="G283" s="2074"/>
      <c r="H283" s="2074"/>
    </row>
    <row r="284" spans="1:8">
      <c r="A284" s="2074" t="s">
        <v>1153</v>
      </c>
      <c r="B284" s="2074"/>
      <c r="C284" s="2074"/>
      <c r="D284" s="2074"/>
      <c r="E284" s="2074"/>
      <c r="F284" s="2074"/>
      <c r="G284" s="2074"/>
      <c r="H284" s="2074"/>
    </row>
    <row r="285" spans="1:8">
      <c r="A285" s="2074" t="s">
        <v>1154</v>
      </c>
      <c r="B285" s="2074"/>
      <c r="C285" s="2074"/>
      <c r="D285" s="2074"/>
      <c r="E285" s="2074"/>
      <c r="F285" s="2074"/>
      <c r="G285" s="2074"/>
      <c r="H285" s="2074"/>
    </row>
    <row r="286" spans="1:8">
      <c r="A286" s="2074"/>
      <c r="B286" s="2074"/>
      <c r="C286" s="2074"/>
      <c r="D286" s="2074"/>
      <c r="E286" s="2074"/>
      <c r="F286" s="2074"/>
      <c r="G286" s="2074"/>
      <c r="H286" s="2074"/>
    </row>
    <row r="287" spans="1:8">
      <c r="A287" s="2074" t="s">
        <v>1155</v>
      </c>
      <c r="B287" s="2074"/>
      <c r="C287" s="2074"/>
      <c r="D287" s="2074"/>
      <c r="E287" s="2074"/>
      <c r="F287" s="2074"/>
      <c r="G287" s="2074"/>
      <c r="H287" s="2074"/>
    </row>
    <row r="288" spans="1:8">
      <c r="A288" s="2074" t="s">
        <v>1156</v>
      </c>
      <c r="B288" s="2074"/>
      <c r="C288" s="2074"/>
      <c r="D288" s="2074"/>
      <c r="E288" s="2074"/>
      <c r="F288" s="2074"/>
      <c r="G288" s="2074"/>
      <c r="H288" s="2074"/>
    </row>
    <row r="289" spans="1:8">
      <c r="A289" s="2074" t="s">
        <v>1157</v>
      </c>
      <c r="B289" s="2074"/>
      <c r="C289" s="2074"/>
      <c r="D289" s="2074"/>
      <c r="E289" s="2074"/>
      <c r="F289" s="2074"/>
      <c r="G289" s="2074"/>
      <c r="H289" s="2074"/>
    </row>
    <row r="290" spans="1:8">
      <c r="A290" s="2074" t="s">
        <v>1158</v>
      </c>
      <c r="B290" s="2074"/>
      <c r="C290" s="2074"/>
      <c r="D290" s="2074"/>
      <c r="E290" s="2074"/>
      <c r="F290" s="2074"/>
      <c r="G290" s="2074"/>
      <c r="H290" s="2074"/>
    </row>
    <row r="291" spans="1:8">
      <c r="A291" s="2074" t="s">
        <v>1159</v>
      </c>
      <c r="B291" s="2074"/>
      <c r="C291" s="2074"/>
      <c r="D291" s="2074"/>
      <c r="E291" s="2074"/>
      <c r="F291" s="2074"/>
      <c r="G291" s="2074"/>
      <c r="H291" s="2074"/>
    </row>
    <row r="292" spans="1:8">
      <c r="A292" s="2074" t="s">
        <v>1160</v>
      </c>
      <c r="B292" s="2074"/>
      <c r="C292" s="2074"/>
      <c r="D292" s="2074"/>
      <c r="E292" s="2074"/>
      <c r="F292" s="2074"/>
      <c r="G292" s="2074"/>
      <c r="H292" s="2074"/>
    </row>
    <row r="293" spans="1:8">
      <c r="A293" s="2074" t="s">
        <v>1020</v>
      </c>
      <c r="B293" s="2074"/>
      <c r="C293" s="2074"/>
      <c r="D293" s="2074"/>
      <c r="E293" s="2074"/>
      <c r="F293" s="2074"/>
      <c r="G293" s="2074"/>
      <c r="H293" s="2074"/>
    </row>
    <row r="294" spans="1:8">
      <c r="A294" s="2074"/>
      <c r="B294" s="2074"/>
      <c r="C294" s="2074"/>
      <c r="D294" s="2074"/>
      <c r="E294" s="2074"/>
      <c r="F294" s="2074"/>
      <c r="G294" s="2074"/>
      <c r="H294" s="2074"/>
    </row>
    <row r="295" spans="1:8">
      <c r="A295" s="2074" t="s">
        <v>1161</v>
      </c>
      <c r="B295" s="2074"/>
      <c r="C295" s="2074"/>
      <c r="D295" s="2074"/>
      <c r="E295" s="2074"/>
      <c r="F295" s="2074"/>
      <c r="G295" s="2074"/>
      <c r="H295" s="2074"/>
    </row>
    <row r="296" spans="1:8">
      <c r="A296" s="2074" t="s">
        <v>1162</v>
      </c>
      <c r="B296" s="2074"/>
      <c r="C296" s="2074"/>
      <c r="D296" s="2074"/>
      <c r="E296" s="2074"/>
      <c r="F296" s="2074"/>
      <c r="G296" s="2074"/>
      <c r="H296" s="2074"/>
    </row>
    <row r="297" spans="1:8">
      <c r="A297" s="2074" t="s">
        <v>1163</v>
      </c>
      <c r="B297" s="2074"/>
      <c r="C297" s="2074"/>
      <c r="D297" s="2074"/>
      <c r="E297" s="2074"/>
      <c r="F297" s="2074"/>
      <c r="G297" s="2074"/>
      <c r="H297" s="2074"/>
    </row>
    <row r="298" spans="1:8">
      <c r="A298" s="2074" t="s">
        <v>1164</v>
      </c>
      <c r="B298" s="2074"/>
      <c r="C298" s="2074"/>
      <c r="D298" s="2074"/>
      <c r="E298" s="2074"/>
      <c r="F298" s="2074"/>
      <c r="G298" s="2074"/>
      <c r="H298" s="2074"/>
    </row>
    <row r="299" spans="1:8">
      <c r="A299" s="2074" t="s">
        <v>1165</v>
      </c>
      <c r="B299" s="2074"/>
      <c r="C299" s="2074"/>
      <c r="D299" s="2074"/>
      <c r="E299" s="2074"/>
      <c r="F299" s="2074"/>
      <c r="G299" s="2074"/>
      <c r="H299" s="2074"/>
    </row>
    <row r="300" spans="1:8">
      <c r="A300" s="2074" t="s">
        <v>1166</v>
      </c>
      <c r="B300" s="2074"/>
      <c r="C300" s="2074"/>
      <c r="D300" s="2074"/>
      <c r="E300" s="2074"/>
      <c r="F300" s="2074"/>
      <c r="G300" s="2074"/>
      <c r="H300" s="2074"/>
    </row>
    <row r="301" spans="1:8">
      <c r="A301" s="2074" t="s">
        <v>1167</v>
      </c>
      <c r="B301" s="2074"/>
      <c r="C301" s="2074"/>
      <c r="D301" s="2074"/>
      <c r="E301" s="2074"/>
      <c r="F301" s="2074"/>
      <c r="G301" s="2074"/>
      <c r="H301" s="2074"/>
    </row>
    <row r="302" spans="1:8">
      <c r="A302" s="2074" t="s">
        <v>1168</v>
      </c>
      <c r="B302" s="2074"/>
      <c r="C302" s="2074"/>
      <c r="D302" s="2074"/>
      <c r="E302" s="2074"/>
      <c r="F302" s="2074"/>
      <c r="G302" s="2074"/>
      <c r="H302" s="2074"/>
    </row>
    <row r="303" spans="1:8">
      <c r="A303" s="2074" t="s">
        <v>1169</v>
      </c>
      <c r="B303" s="2074"/>
      <c r="C303" s="2074"/>
      <c r="D303" s="2074"/>
      <c r="E303" s="2074"/>
      <c r="F303" s="2074"/>
      <c r="G303" s="2074"/>
      <c r="H303" s="2074"/>
    </row>
    <row r="304" spans="1:8">
      <c r="A304" s="2074"/>
      <c r="B304" s="2074"/>
      <c r="C304" s="2074"/>
      <c r="D304" s="2074"/>
      <c r="E304" s="2074"/>
      <c r="F304" s="2074"/>
      <c r="G304" s="2074"/>
      <c r="H304" s="2074"/>
    </row>
    <row r="305" spans="1:8">
      <c r="A305" s="2074" t="s">
        <v>1170</v>
      </c>
      <c r="B305" s="2074"/>
      <c r="C305" s="2074"/>
      <c r="D305" s="2074"/>
      <c r="E305" s="2074"/>
      <c r="F305" s="2074"/>
      <c r="G305" s="2074"/>
      <c r="H305" s="2074"/>
    </row>
    <row r="306" spans="1:8">
      <c r="A306" s="2074" t="s">
        <v>1171</v>
      </c>
      <c r="B306" s="2074"/>
      <c r="C306" s="2074"/>
      <c r="D306" s="2074"/>
      <c r="E306" s="2074"/>
      <c r="F306" s="2074"/>
      <c r="G306" s="2074"/>
      <c r="H306" s="2074"/>
    </row>
    <row r="307" spans="1:8">
      <c r="A307" s="2074" t="s">
        <v>1172</v>
      </c>
      <c r="B307" s="2074"/>
      <c r="C307" s="2074"/>
      <c r="D307" s="2074"/>
      <c r="E307" s="2074"/>
      <c r="F307" s="2074"/>
      <c r="G307" s="2074"/>
      <c r="H307" s="2074"/>
    </row>
    <row r="308" spans="1:8">
      <c r="A308" s="2074" t="s">
        <v>1173</v>
      </c>
      <c r="B308" s="2074"/>
      <c r="C308" s="2074"/>
      <c r="D308" s="2074"/>
      <c r="E308" s="2074"/>
      <c r="F308" s="2074"/>
      <c r="G308" s="2074"/>
      <c r="H308" s="2074"/>
    </row>
    <row r="309" spans="1:8">
      <c r="A309" s="2074" t="s">
        <v>1174</v>
      </c>
      <c r="B309" s="2074"/>
      <c r="C309" s="2074"/>
      <c r="D309" s="2074"/>
      <c r="E309" s="2074"/>
      <c r="F309" s="2074"/>
      <c r="G309" s="2074"/>
      <c r="H309" s="2074"/>
    </row>
    <row r="310" spans="1:8">
      <c r="A310" s="2074" t="s">
        <v>1175</v>
      </c>
      <c r="B310" s="2074"/>
      <c r="C310" s="2074"/>
      <c r="D310" s="2074"/>
      <c r="E310" s="2074"/>
      <c r="F310" s="2074"/>
      <c r="G310" s="2074"/>
      <c r="H310" s="2074"/>
    </row>
    <row r="311" spans="1:8">
      <c r="A311" s="2074" t="s">
        <v>1176</v>
      </c>
      <c r="B311" s="2074"/>
      <c r="C311" s="2074"/>
      <c r="D311" s="2074"/>
      <c r="E311" s="2074"/>
      <c r="F311" s="2074"/>
      <c r="G311" s="2074"/>
      <c r="H311" s="2074"/>
    </row>
    <row r="312" spans="1:8">
      <c r="A312" s="2074"/>
      <c r="B312" s="2074"/>
      <c r="C312" s="2074"/>
      <c r="D312" s="2074"/>
      <c r="E312" s="2074"/>
      <c r="F312" s="2074"/>
      <c r="G312" s="2074"/>
      <c r="H312" s="2074"/>
    </row>
    <row r="313" spans="1:8">
      <c r="A313" s="2074" t="s">
        <v>1177</v>
      </c>
      <c r="B313" s="2074"/>
      <c r="C313" s="2074"/>
      <c r="D313" s="2074"/>
      <c r="E313" s="2074"/>
      <c r="F313" s="2074"/>
      <c r="G313" s="2074"/>
      <c r="H313" s="2074"/>
    </row>
    <row r="314" spans="1:8">
      <c r="A314" s="2074" t="s">
        <v>1178</v>
      </c>
      <c r="B314" s="2074"/>
      <c r="C314" s="2074"/>
      <c r="D314" s="2074"/>
      <c r="E314" s="2074"/>
      <c r="F314" s="2074"/>
      <c r="G314" s="2074"/>
      <c r="H314" s="2074"/>
    </row>
    <row r="315" spans="1:8">
      <c r="A315" s="2074" t="s">
        <v>1179</v>
      </c>
      <c r="B315" s="2074"/>
      <c r="C315" s="2074"/>
      <c r="D315" s="2074"/>
      <c r="E315" s="2074"/>
      <c r="F315" s="2074"/>
      <c r="G315" s="2074"/>
      <c r="H315" s="2074"/>
    </row>
    <row r="316" spans="1:8">
      <c r="A316" s="2074"/>
      <c r="B316" s="2074"/>
      <c r="C316" s="2074"/>
      <c r="D316" s="2074"/>
      <c r="E316" s="2074"/>
      <c r="F316" s="2074"/>
      <c r="G316" s="2074"/>
      <c r="H316" s="2074"/>
    </row>
    <row r="317" spans="1:8">
      <c r="A317" s="2074" t="s">
        <v>1180</v>
      </c>
      <c r="B317" s="2074"/>
      <c r="C317" s="2074"/>
      <c r="D317" s="2074"/>
      <c r="E317" s="2074"/>
      <c r="F317" s="2074"/>
      <c r="G317" s="2074"/>
      <c r="H317" s="2074"/>
    </row>
    <row r="318" spans="1:8">
      <c r="A318" s="2074" t="s">
        <v>1181</v>
      </c>
      <c r="B318" s="2074"/>
      <c r="C318" s="2074"/>
      <c r="D318" s="2074"/>
      <c r="E318" s="2074"/>
      <c r="F318" s="2074"/>
      <c r="G318" s="2074"/>
      <c r="H318" s="2074"/>
    </row>
    <row r="319" spans="1:8">
      <c r="A319" s="2074"/>
      <c r="B319" s="2074"/>
      <c r="C319" s="2074"/>
      <c r="D319" s="2074"/>
      <c r="E319" s="2074"/>
      <c r="F319" s="2074"/>
      <c r="G319" s="2074"/>
      <c r="H319" s="2074"/>
    </row>
    <row r="320" spans="1:8">
      <c r="A320" s="2074" t="s">
        <v>1182</v>
      </c>
      <c r="B320" s="2074"/>
      <c r="C320" s="2074"/>
      <c r="D320" s="2074"/>
      <c r="E320" s="2074"/>
      <c r="F320" s="2074"/>
      <c r="G320" s="2074"/>
      <c r="H320" s="2074"/>
    </row>
    <row r="321" spans="1:8">
      <c r="A321" s="2074" t="s">
        <v>1183</v>
      </c>
      <c r="B321" s="2074"/>
      <c r="C321" s="2074"/>
      <c r="D321" s="2074"/>
      <c r="E321" s="2074"/>
      <c r="F321" s="2074"/>
      <c r="G321" s="2074"/>
      <c r="H321" s="2074"/>
    </row>
    <row r="322" spans="1:8">
      <c r="A322" s="2074" t="s">
        <v>1184</v>
      </c>
      <c r="B322" s="2074"/>
      <c r="C322" s="2074"/>
      <c r="D322" s="2074"/>
      <c r="E322" s="2074"/>
      <c r="F322" s="2074"/>
      <c r="G322" s="2074"/>
      <c r="H322" s="2074"/>
    </row>
    <row r="323" spans="1:8">
      <c r="A323" s="2074" t="s">
        <v>1185</v>
      </c>
      <c r="B323" s="2074"/>
      <c r="C323" s="2074"/>
      <c r="D323" s="2074"/>
      <c r="E323" s="2074"/>
      <c r="F323" s="2074"/>
      <c r="G323" s="2074"/>
      <c r="H323" s="2074"/>
    </row>
    <row r="324" spans="1:8">
      <c r="A324" s="2074" t="s">
        <v>1186</v>
      </c>
      <c r="B324" s="2074"/>
      <c r="C324" s="2074"/>
      <c r="D324" s="2074"/>
      <c r="E324" s="2074"/>
      <c r="F324" s="2074"/>
      <c r="G324" s="2074"/>
      <c r="H324" s="2074"/>
    </row>
    <row r="325" spans="1:8">
      <c r="A325" s="2074" t="s">
        <v>1187</v>
      </c>
      <c r="B325" s="2074"/>
      <c r="C325" s="2074"/>
      <c r="D325" s="2074"/>
      <c r="E325" s="2074"/>
      <c r="F325" s="2074"/>
      <c r="G325" s="2074"/>
      <c r="H325" s="2074"/>
    </row>
    <row r="326" spans="1:8">
      <c r="A326" s="2074" t="s">
        <v>1188</v>
      </c>
      <c r="B326" s="2074"/>
      <c r="C326" s="2074"/>
      <c r="D326" s="2074"/>
      <c r="E326" s="2074"/>
      <c r="F326" s="2074"/>
      <c r="G326" s="2074"/>
      <c r="H326" s="2074"/>
    </row>
    <row r="327" spans="1:8">
      <c r="A327" s="2074" t="s">
        <v>1189</v>
      </c>
      <c r="B327" s="2074"/>
      <c r="C327" s="2074"/>
      <c r="D327" s="2074"/>
      <c r="E327" s="2074"/>
      <c r="F327" s="2074"/>
      <c r="G327" s="2074"/>
      <c r="H327" s="2074"/>
    </row>
    <row r="328" spans="1:8">
      <c r="A328" s="2074" t="s">
        <v>1190</v>
      </c>
      <c r="B328" s="2074"/>
      <c r="C328" s="2074"/>
      <c r="D328" s="2074"/>
      <c r="E328" s="2074"/>
      <c r="F328" s="2074"/>
      <c r="G328" s="2074"/>
      <c r="H328" s="2074"/>
    </row>
    <row r="329" spans="1:8">
      <c r="A329" s="2074" t="s">
        <v>1191</v>
      </c>
      <c r="B329" s="2074"/>
      <c r="C329" s="2074"/>
      <c r="D329" s="2074"/>
      <c r="E329" s="2074"/>
      <c r="F329" s="2074"/>
      <c r="G329" s="2074"/>
      <c r="H329" s="2074"/>
    </row>
    <row r="330" spans="1:8">
      <c r="A330" s="2074" t="s">
        <v>1192</v>
      </c>
      <c r="B330" s="2074"/>
      <c r="C330" s="2074"/>
      <c r="D330" s="2074"/>
      <c r="E330" s="2074"/>
      <c r="F330" s="2074"/>
      <c r="G330" s="2074"/>
      <c r="H330" s="2074"/>
    </row>
    <row r="331" spans="1:8">
      <c r="A331" s="2074" t="s">
        <v>1193</v>
      </c>
      <c r="B331" s="2074"/>
      <c r="C331" s="2074"/>
      <c r="D331" s="2074"/>
      <c r="E331" s="2074"/>
      <c r="F331" s="2074"/>
      <c r="G331" s="2074"/>
      <c r="H331" s="2074"/>
    </row>
    <row r="332" spans="1:8">
      <c r="A332" s="2074" t="s">
        <v>1194</v>
      </c>
      <c r="B332" s="2074"/>
      <c r="C332" s="2074"/>
      <c r="D332" s="2074"/>
      <c r="E332" s="2074"/>
      <c r="F332" s="2074"/>
      <c r="G332" s="2074"/>
      <c r="H332" s="2074"/>
    </row>
    <row r="333" spans="1:8">
      <c r="A333" s="2074"/>
      <c r="B333" s="2074"/>
      <c r="C333" s="2074"/>
      <c r="D333" s="2074"/>
      <c r="E333" s="2074"/>
      <c r="F333" s="2074"/>
      <c r="G333" s="2074"/>
      <c r="H333" s="2074"/>
    </row>
    <row r="334" spans="1:8">
      <c r="A334" s="2074" t="s">
        <v>1195</v>
      </c>
      <c r="B334" s="2074"/>
      <c r="C334" s="2074"/>
      <c r="D334" s="2074"/>
      <c r="E334" s="2074"/>
      <c r="F334" s="2074"/>
      <c r="G334" s="2074"/>
      <c r="H334" s="2074"/>
    </row>
    <row r="335" spans="1:8">
      <c r="A335" s="2074" t="s">
        <v>1196</v>
      </c>
      <c r="B335" s="2074"/>
      <c r="C335" s="2074"/>
      <c r="D335" s="2074"/>
      <c r="E335" s="2074"/>
      <c r="F335" s="2074"/>
      <c r="G335" s="2074"/>
      <c r="H335" s="2074"/>
    </row>
    <row r="336" spans="1:8">
      <c r="A336" s="2074" t="s">
        <v>1197</v>
      </c>
      <c r="B336" s="2074"/>
      <c r="C336" s="2074"/>
      <c r="D336" s="2074"/>
      <c r="E336" s="2074"/>
      <c r="F336" s="2074"/>
      <c r="G336" s="2074"/>
      <c r="H336" s="2074"/>
    </row>
    <row r="337" spans="1:8">
      <c r="A337" s="2074" t="s">
        <v>1198</v>
      </c>
      <c r="B337" s="2074"/>
      <c r="C337" s="2074"/>
      <c r="D337" s="2074"/>
      <c r="E337" s="2074"/>
      <c r="F337" s="2074"/>
      <c r="G337" s="2074"/>
      <c r="H337" s="2074"/>
    </row>
    <row r="338" spans="1:8">
      <c r="A338" s="2074" t="s">
        <v>1199</v>
      </c>
      <c r="B338" s="2074"/>
      <c r="C338" s="2074"/>
      <c r="D338" s="2074"/>
      <c r="E338" s="2074"/>
      <c r="F338" s="2074"/>
      <c r="G338" s="2074"/>
      <c r="H338" s="2074"/>
    </row>
    <row r="339" spans="1:8">
      <c r="A339" s="2074" t="s">
        <v>1200</v>
      </c>
      <c r="B339" s="2074"/>
      <c r="C339" s="2074"/>
      <c r="D339" s="2074"/>
      <c r="E339" s="2074"/>
      <c r="F339" s="2074"/>
      <c r="G339" s="2074"/>
      <c r="H339" s="2074"/>
    </row>
    <row r="340" spans="1:8">
      <c r="A340" s="2074" t="s">
        <v>1201</v>
      </c>
      <c r="B340" s="2074"/>
      <c r="C340" s="2074"/>
      <c r="D340" s="2074"/>
      <c r="E340" s="2074"/>
      <c r="F340" s="2074"/>
      <c r="G340" s="2074"/>
      <c r="H340" s="2074"/>
    </row>
    <row r="341" spans="1:8">
      <c r="A341" s="2074" t="s">
        <v>1202</v>
      </c>
      <c r="B341" s="2074"/>
      <c r="C341" s="2074"/>
      <c r="D341" s="2074"/>
      <c r="E341" s="2074"/>
      <c r="F341" s="2074"/>
      <c r="G341" s="2074"/>
      <c r="H341" s="2074"/>
    </row>
    <row r="342" spans="1:8">
      <c r="A342" s="2074"/>
      <c r="B342" s="2074"/>
      <c r="C342" s="2074"/>
      <c r="D342" s="2074"/>
      <c r="E342" s="2074"/>
      <c r="F342" s="2074"/>
      <c r="G342" s="2074"/>
      <c r="H342" s="2074"/>
    </row>
    <row r="343" spans="1:8">
      <c r="A343" s="2074" t="s">
        <v>1203</v>
      </c>
      <c r="B343" s="2074"/>
      <c r="C343" s="2074"/>
      <c r="D343" s="2074"/>
      <c r="E343" s="2074"/>
      <c r="F343" s="2074"/>
      <c r="G343" s="2074"/>
      <c r="H343" s="2074"/>
    </row>
    <row r="344" spans="1:8">
      <c r="A344" s="2074" t="s">
        <v>1204</v>
      </c>
      <c r="B344" s="2074"/>
      <c r="C344" s="2074"/>
      <c r="D344" s="2074"/>
      <c r="E344" s="2074"/>
      <c r="F344" s="2074"/>
      <c r="G344" s="2074"/>
      <c r="H344" s="2074"/>
    </row>
    <row r="345" spans="1:8">
      <c r="A345" s="2074" t="s">
        <v>1205</v>
      </c>
      <c r="B345" s="2074"/>
      <c r="C345" s="2074"/>
      <c r="D345" s="2074"/>
      <c r="E345" s="2074"/>
      <c r="F345" s="2074"/>
      <c r="G345" s="2074"/>
      <c r="H345" s="2074"/>
    </row>
    <row r="346" spans="1:8">
      <c r="A346" s="2074" t="s">
        <v>1206</v>
      </c>
      <c r="B346" s="2074"/>
      <c r="C346" s="2074"/>
      <c r="D346" s="2074"/>
      <c r="E346" s="2074"/>
      <c r="F346" s="2074"/>
      <c r="G346" s="2074"/>
      <c r="H346" s="2074"/>
    </row>
    <row r="347" spans="1:8">
      <c r="A347" s="2074" t="s">
        <v>1207</v>
      </c>
      <c r="B347" s="2074"/>
      <c r="C347" s="2074"/>
      <c r="D347" s="2074"/>
      <c r="E347" s="2074"/>
      <c r="F347" s="2074"/>
      <c r="G347" s="2074"/>
      <c r="H347" s="2074"/>
    </row>
    <row r="348" spans="1:8">
      <c r="A348" s="2074" t="s">
        <v>1208</v>
      </c>
      <c r="B348" s="2074"/>
      <c r="C348" s="2074"/>
      <c r="D348" s="2074"/>
      <c r="E348" s="2074"/>
      <c r="F348" s="2074"/>
      <c r="G348" s="2074"/>
      <c r="H348" s="2074"/>
    </row>
    <row r="349" spans="1:8">
      <c r="A349" s="2074" t="s">
        <v>1209</v>
      </c>
      <c r="B349" s="2074"/>
      <c r="C349" s="2074"/>
      <c r="D349" s="2074"/>
      <c r="E349" s="2074"/>
      <c r="F349" s="2074"/>
      <c r="G349" s="2074"/>
      <c r="H349" s="2074"/>
    </row>
    <row r="350" spans="1:8">
      <c r="A350" s="2074" t="s">
        <v>1210</v>
      </c>
      <c r="B350" s="2074"/>
      <c r="C350" s="2074"/>
      <c r="D350" s="2074"/>
      <c r="E350" s="2074"/>
      <c r="F350" s="2074"/>
      <c r="G350" s="2074"/>
      <c r="H350" s="2074"/>
    </row>
    <row r="351" spans="1:8">
      <c r="A351" s="2074" t="s">
        <v>1211</v>
      </c>
      <c r="B351" s="2074"/>
      <c r="C351" s="2074"/>
      <c r="D351" s="2074"/>
      <c r="E351" s="2074"/>
      <c r="F351" s="2074"/>
      <c r="G351" s="2074"/>
      <c r="H351" s="2074"/>
    </row>
    <row r="352" spans="1:8">
      <c r="A352" s="2074" t="s">
        <v>1212</v>
      </c>
      <c r="B352" s="2074"/>
      <c r="C352" s="2074"/>
      <c r="D352" s="2074"/>
      <c r="E352" s="2074"/>
      <c r="F352" s="2074"/>
      <c r="G352" s="2074"/>
      <c r="H352" s="2074"/>
    </row>
    <row r="353" spans="1:8">
      <c r="A353" s="2074" t="s">
        <v>1213</v>
      </c>
      <c r="B353" s="2074"/>
      <c r="C353" s="2074"/>
      <c r="D353" s="2074"/>
      <c r="E353" s="2074"/>
      <c r="F353" s="2074"/>
      <c r="G353" s="2074"/>
      <c r="H353" s="2074"/>
    </row>
    <row r="354" spans="1:8">
      <c r="A354" s="2074" t="s">
        <v>1214</v>
      </c>
      <c r="B354" s="2074"/>
      <c r="C354" s="2074"/>
      <c r="D354" s="2074"/>
      <c r="E354" s="2074"/>
      <c r="F354" s="2074"/>
      <c r="G354" s="2074"/>
      <c r="H354" s="2074"/>
    </row>
    <row r="355" spans="1:8">
      <c r="A355" s="2074" t="s">
        <v>1215</v>
      </c>
      <c r="B355" s="2074"/>
      <c r="C355" s="2074"/>
      <c r="D355" s="2074"/>
      <c r="E355" s="2074"/>
      <c r="F355" s="2074"/>
      <c r="G355" s="2074"/>
      <c r="H355" s="2074"/>
    </row>
    <row r="356" spans="1:8">
      <c r="A356" s="2074" t="s">
        <v>1216</v>
      </c>
      <c r="B356" s="2074"/>
      <c r="C356" s="2074"/>
      <c r="D356" s="2074"/>
      <c r="E356" s="2074"/>
      <c r="F356" s="2074"/>
      <c r="G356" s="2074"/>
      <c r="H356" s="2074"/>
    </row>
    <row r="357" spans="1:8">
      <c r="A357" s="2074" t="s">
        <v>1217</v>
      </c>
      <c r="B357" s="2074"/>
      <c r="C357" s="2074"/>
      <c r="D357" s="2074"/>
      <c r="E357" s="2074"/>
      <c r="F357" s="2074"/>
      <c r="G357" s="2074"/>
      <c r="H357" s="2074"/>
    </row>
    <row r="358" spans="1:8">
      <c r="A358" s="2074" t="s">
        <v>1218</v>
      </c>
      <c r="B358" s="2074"/>
      <c r="C358" s="2074"/>
      <c r="D358" s="2074"/>
      <c r="E358" s="2074"/>
      <c r="F358" s="2074"/>
      <c r="G358" s="2074"/>
      <c r="H358" s="2074"/>
    </row>
    <row r="359" spans="1:8">
      <c r="A359" s="2074" t="s">
        <v>1219</v>
      </c>
      <c r="B359" s="2074"/>
      <c r="C359" s="2074"/>
      <c r="D359" s="2074"/>
      <c r="E359" s="2074"/>
      <c r="F359" s="2074"/>
      <c r="G359" s="2074"/>
      <c r="H359" s="2074"/>
    </row>
    <row r="360" spans="1:8">
      <c r="A360" s="2074" t="s">
        <v>1220</v>
      </c>
      <c r="B360" s="2074"/>
      <c r="C360" s="2074"/>
      <c r="D360" s="2074"/>
      <c r="E360" s="2074"/>
      <c r="F360" s="2074"/>
      <c r="G360" s="2074"/>
      <c r="H360" s="2074"/>
    </row>
    <row r="361" spans="1:8">
      <c r="A361" s="2074" t="s">
        <v>1221</v>
      </c>
      <c r="B361" s="2074"/>
      <c r="C361" s="2074"/>
      <c r="D361" s="2074"/>
      <c r="E361" s="2074"/>
      <c r="F361" s="2074"/>
      <c r="G361" s="2074"/>
      <c r="H361" s="2074"/>
    </row>
    <row r="362" spans="1:8">
      <c r="A362" s="2074" t="s">
        <v>1222</v>
      </c>
      <c r="B362" s="2074"/>
      <c r="C362" s="2074"/>
      <c r="D362" s="2074"/>
      <c r="E362" s="2074"/>
      <c r="F362" s="2074"/>
      <c r="G362" s="2074"/>
      <c r="H362" s="2074"/>
    </row>
    <row r="363" spans="1:8">
      <c r="A363" s="2074" t="s">
        <v>1223</v>
      </c>
      <c r="B363" s="2074"/>
      <c r="C363" s="2074"/>
      <c r="D363" s="2074"/>
      <c r="E363" s="2074"/>
      <c r="F363" s="2074"/>
      <c r="G363" s="2074"/>
      <c r="H363" s="2074"/>
    </row>
    <row r="364" spans="1:8">
      <c r="A364" s="2074" t="s">
        <v>1224</v>
      </c>
      <c r="B364" s="2074"/>
      <c r="C364" s="2074"/>
      <c r="D364" s="2074"/>
      <c r="E364" s="2074"/>
      <c r="F364" s="2074"/>
      <c r="G364" s="2074"/>
      <c r="H364" s="2074"/>
    </row>
    <row r="365" spans="1:8">
      <c r="A365" s="2074" t="s">
        <v>1225</v>
      </c>
      <c r="B365" s="2074"/>
      <c r="C365" s="2074"/>
      <c r="D365" s="2074"/>
      <c r="E365" s="2074"/>
      <c r="F365" s="2074"/>
      <c r="G365" s="2074"/>
      <c r="H365" s="2074"/>
    </row>
    <row r="366" spans="1:8">
      <c r="A366" s="2074" t="s">
        <v>1226</v>
      </c>
      <c r="B366" s="2074"/>
      <c r="C366" s="2074"/>
      <c r="D366" s="2074"/>
      <c r="E366" s="2074"/>
      <c r="F366" s="2074"/>
      <c r="G366" s="2074"/>
      <c r="H366" s="2074"/>
    </row>
    <row r="367" spans="1:8">
      <c r="A367" s="2074" t="s">
        <v>1227</v>
      </c>
      <c r="B367" s="2074"/>
      <c r="C367" s="2074"/>
      <c r="D367" s="2074"/>
      <c r="E367" s="2074"/>
      <c r="F367" s="2074"/>
      <c r="G367" s="2074"/>
      <c r="H367" s="2074"/>
    </row>
    <row r="368" spans="1:8">
      <c r="A368" s="2074" t="s">
        <v>1228</v>
      </c>
      <c r="B368" s="2074"/>
      <c r="C368" s="2074"/>
      <c r="D368" s="2074"/>
      <c r="E368" s="2074"/>
      <c r="F368" s="2074"/>
      <c r="G368" s="2074"/>
      <c r="H368" s="2074"/>
    </row>
    <row r="369" spans="1:8">
      <c r="A369" s="2074" t="s">
        <v>1229</v>
      </c>
      <c r="B369" s="2074"/>
      <c r="C369" s="2074"/>
      <c r="D369" s="2074"/>
      <c r="E369" s="2074"/>
      <c r="F369" s="2074"/>
      <c r="G369" s="2074"/>
      <c r="H369" s="2074"/>
    </row>
    <row r="370" spans="1:8">
      <c r="A370" s="2074" t="s">
        <v>1230</v>
      </c>
      <c r="B370" s="2074"/>
      <c r="C370" s="2074"/>
      <c r="D370" s="2074"/>
      <c r="E370" s="2074"/>
      <c r="F370" s="2074"/>
      <c r="G370" s="2074"/>
      <c r="H370" s="2074"/>
    </row>
    <row r="371" spans="1:8">
      <c r="A371" s="2074" t="s">
        <v>1231</v>
      </c>
      <c r="B371" s="2074"/>
      <c r="C371" s="2074"/>
      <c r="D371" s="2074"/>
      <c r="E371" s="2074"/>
      <c r="F371" s="2074"/>
      <c r="G371" s="2074"/>
      <c r="H371" s="2074"/>
    </row>
    <row r="372" spans="1:8">
      <c r="A372" s="2074" t="s">
        <v>1232</v>
      </c>
      <c r="B372" s="2074"/>
      <c r="C372" s="2074"/>
      <c r="D372" s="2074"/>
      <c r="E372" s="2074"/>
      <c r="F372" s="2074"/>
      <c r="G372" s="2074"/>
      <c r="H372" s="2074"/>
    </row>
    <row r="373" spans="1:8">
      <c r="A373" s="2074" t="s">
        <v>1233</v>
      </c>
      <c r="B373" s="2074"/>
      <c r="C373" s="2074"/>
      <c r="D373" s="2074"/>
      <c r="E373" s="2074"/>
      <c r="F373" s="2074"/>
      <c r="G373" s="2074"/>
      <c r="H373" s="2074"/>
    </row>
    <row r="374" spans="1:8">
      <c r="A374" s="2074" t="s">
        <v>1234</v>
      </c>
      <c r="B374" s="2074"/>
      <c r="C374" s="2074"/>
      <c r="D374" s="2074"/>
      <c r="E374" s="2074"/>
      <c r="F374" s="2074"/>
      <c r="G374" s="2074"/>
      <c r="H374" s="2074"/>
    </row>
    <row r="375" spans="1:8">
      <c r="A375" s="2074" t="s">
        <v>1235</v>
      </c>
      <c r="B375" s="2074"/>
      <c r="C375" s="2074"/>
      <c r="D375" s="2074"/>
      <c r="E375" s="2074"/>
      <c r="F375" s="2074"/>
      <c r="G375" s="2074"/>
      <c r="H375" s="2074"/>
    </row>
    <row r="376" spans="1:8">
      <c r="A376" s="2074" t="s">
        <v>1236</v>
      </c>
      <c r="B376" s="2074"/>
      <c r="C376" s="2074"/>
      <c r="D376" s="2074"/>
      <c r="E376" s="2074"/>
      <c r="F376" s="2074"/>
      <c r="G376" s="2074"/>
      <c r="H376" s="2074"/>
    </row>
    <row r="377" spans="1:8">
      <c r="A377" s="2074" t="s">
        <v>1237</v>
      </c>
      <c r="B377" s="2074"/>
      <c r="C377" s="2074"/>
      <c r="D377" s="2074"/>
      <c r="E377" s="2074"/>
      <c r="F377" s="2074"/>
      <c r="G377" s="2074"/>
      <c r="H377" s="2074"/>
    </row>
    <row r="378" spans="1:8">
      <c r="A378" s="2074" t="s">
        <v>1238</v>
      </c>
      <c r="B378" s="2074"/>
      <c r="C378" s="2074"/>
      <c r="D378" s="2074"/>
      <c r="E378" s="2074"/>
      <c r="F378" s="2074"/>
      <c r="G378" s="2074"/>
      <c r="H378" s="2074"/>
    </row>
    <row r="379" spans="1:8">
      <c r="A379" s="2074" t="s">
        <v>1239</v>
      </c>
      <c r="B379" s="2074"/>
      <c r="C379" s="2074"/>
      <c r="D379" s="2074"/>
      <c r="E379" s="2074"/>
      <c r="F379" s="2074"/>
      <c r="G379" s="2074"/>
      <c r="H379" s="2074"/>
    </row>
    <row r="380" spans="1:8">
      <c r="A380" s="2074" t="s">
        <v>1240</v>
      </c>
      <c r="B380" s="2074"/>
      <c r="C380" s="2074"/>
      <c r="D380" s="2074"/>
      <c r="E380" s="2074"/>
      <c r="F380" s="2074"/>
      <c r="G380" s="2074"/>
      <c r="H380" s="2074"/>
    </row>
    <row r="381" spans="1:8">
      <c r="A381" s="2074" t="s">
        <v>1241</v>
      </c>
      <c r="B381" s="2074"/>
      <c r="C381" s="2074"/>
      <c r="D381" s="2074"/>
      <c r="E381" s="2074"/>
      <c r="F381" s="2074"/>
      <c r="G381" s="2074"/>
      <c r="H381" s="2074"/>
    </row>
    <row r="382" spans="1:8">
      <c r="A382" s="2074" t="s">
        <v>1242</v>
      </c>
      <c r="B382" s="2074"/>
      <c r="C382" s="2074"/>
      <c r="D382" s="2074"/>
      <c r="E382" s="2074"/>
      <c r="F382" s="2074"/>
      <c r="G382" s="2074"/>
      <c r="H382" s="2074"/>
    </row>
    <row r="383" spans="1:8">
      <c r="A383" s="2074" t="s">
        <v>1243</v>
      </c>
      <c r="B383" s="2074"/>
      <c r="C383" s="2074"/>
      <c r="D383" s="2074"/>
      <c r="E383" s="2074"/>
      <c r="F383" s="2074"/>
      <c r="G383" s="2074"/>
      <c r="H383" s="2074"/>
    </row>
    <row r="384" spans="1:8">
      <c r="A384" s="2074" t="s">
        <v>1244</v>
      </c>
      <c r="B384" s="2074"/>
      <c r="C384" s="2074"/>
      <c r="D384" s="2074"/>
      <c r="E384" s="2074"/>
      <c r="F384" s="2074"/>
      <c r="G384" s="2074"/>
      <c r="H384" s="2074"/>
    </row>
    <row r="385" spans="1:8">
      <c r="A385" s="2074" t="s">
        <v>1245</v>
      </c>
      <c r="B385" s="2074"/>
      <c r="C385" s="2074"/>
      <c r="D385" s="2074"/>
      <c r="E385" s="2074"/>
      <c r="F385" s="2074"/>
      <c r="G385" s="2074"/>
      <c r="H385" s="2074"/>
    </row>
    <row r="386" spans="1:8">
      <c r="A386" s="2074" t="s">
        <v>1246</v>
      </c>
      <c r="B386" s="2074"/>
      <c r="C386" s="2074"/>
      <c r="D386" s="2074"/>
      <c r="E386" s="2074"/>
      <c r="F386" s="2074"/>
      <c r="G386" s="2074"/>
      <c r="H386" s="2074"/>
    </row>
    <row r="387" spans="1:8">
      <c r="A387" s="2074" t="s">
        <v>1247</v>
      </c>
      <c r="B387" s="2074"/>
      <c r="C387" s="2074"/>
      <c r="D387" s="2074"/>
      <c r="E387" s="2074"/>
      <c r="F387" s="2074"/>
      <c r="G387" s="2074"/>
      <c r="H387" s="2074"/>
    </row>
    <row r="388" spans="1:8">
      <c r="A388" s="2074" t="s">
        <v>1248</v>
      </c>
      <c r="B388" s="2074"/>
      <c r="C388" s="2074"/>
      <c r="D388" s="2074"/>
      <c r="E388" s="2074"/>
      <c r="F388" s="2074"/>
      <c r="G388" s="2074"/>
      <c r="H388" s="2074"/>
    </row>
    <row r="389" spans="1:8">
      <c r="A389" s="2074"/>
      <c r="B389" s="2074"/>
      <c r="C389" s="2074"/>
      <c r="D389" s="2074"/>
      <c r="E389" s="2074"/>
      <c r="F389" s="2074"/>
      <c r="G389" s="2074"/>
      <c r="H389" s="2074"/>
    </row>
    <row r="390" spans="1:8">
      <c r="A390" s="2074" t="s">
        <v>1249</v>
      </c>
      <c r="B390" s="2074"/>
      <c r="C390" s="2074"/>
      <c r="D390" s="2074"/>
      <c r="E390" s="2074"/>
      <c r="F390" s="2074"/>
      <c r="G390" s="2074"/>
      <c r="H390" s="2074"/>
    </row>
    <row r="391" spans="1:8">
      <c r="A391" s="2074" t="s">
        <v>1250</v>
      </c>
      <c r="B391" s="2074"/>
      <c r="C391" s="2074"/>
      <c r="D391" s="2074"/>
      <c r="E391" s="2074"/>
      <c r="F391" s="2074"/>
      <c r="G391" s="2074"/>
      <c r="H391" s="2074"/>
    </row>
    <row r="392" spans="1:8">
      <c r="A392" s="2074" t="s">
        <v>1251</v>
      </c>
      <c r="B392" s="2074"/>
      <c r="C392" s="2074"/>
      <c r="D392" s="2074"/>
      <c r="E392" s="2074"/>
      <c r="F392" s="2074"/>
      <c r="G392" s="2074"/>
      <c r="H392" s="2074"/>
    </row>
    <row r="393" spans="1:8">
      <c r="A393" s="2074" t="s">
        <v>1252</v>
      </c>
      <c r="B393" s="2074"/>
      <c r="C393" s="2074"/>
      <c r="D393" s="2074"/>
      <c r="E393" s="2074"/>
      <c r="F393" s="2074"/>
      <c r="G393" s="2074"/>
      <c r="H393" s="2074"/>
    </row>
    <row r="394" spans="1:8">
      <c r="A394" s="2074" t="s">
        <v>1253</v>
      </c>
      <c r="B394" s="2074"/>
      <c r="C394" s="2074"/>
      <c r="D394" s="2074"/>
      <c r="E394" s="2074"/>
      <c r="F394" s="2074"/>
      <c r="G394" s="2074"/>
      <c r="H394" s="2074"/>
    </row>
    <row r="395" spans="1:8">
      <c r="A395" s="2074" t="s">
        <v>1254</v>
      </c>
      <c r="B395" s="2074"/>
      <c r="C395" s="2074"/>
      <c r="D395" s="2074"/>
      <c r="E395" s="2074"/>
      <c r="F395" s="2074"/>
      <c r="G395" s="2074"/>
      <c r="H395" s="2074"/>
    </row>
    <row r="396" spans="1:8">
      <c r="A396" s="2074" t="s">
        <v>1255</v>
      </c>
      <c r="B396" s="2074"/>
      <c r="C396" s="2074"/>
      <c r="D396" s="2074"/>
      <c r="E396" s="2074"/>
      <c r="F396" s="2074"/>
      <c r="G396" s="2074"/>
      <c r="H396" s="2074"/>
    </row>
    <row r="397" spans="1:8">
      <c r="A397" s="2074" t="s">
        <v>1256</v>
      </c>
      <c r="B397" s="2074"/>
      <c r="C397" s="2074"/>
      <c r="D397" s="2074"/>
      <c r="E397" s="2074"/>
      <c r="F397" s="2074"/>
      <c r="G397" s="2074"/>
      <c r="H397" s="2074"/>
    </row>
    <row r="398" spans="1:8">
      <c r="A398" s="2074"/>
      <c r="B398" s="2074"/>
      <c r="C398" s="2074"/>
      <c r="D398" s="2074"/>
      <c r="E398" s="2074"/>
      <c r="F398" s="2074"/>
      <c r="G398" s="2074"/>
      <c r="H398" s="2074"/>
    </row>
    <row r="399" spans="1:8">
      <c r="A399" s="2074" t="s">
        <v>1249</v>
      </c>
      <c r="B399" s="2074"/>
      <c r="C399" s="2074"/>
      <c r="D399" s="2074"/>
      <c r="E399" s="2074"/>
      <c r="F399" s="2074"/>
      <c r="G399" s="2074"/>
      <c r="H399" s="2074"/>
    </row>
    <row r="400" spans="1:8">
      <c r="A400" s="2074" t="s">
        <v>1257</v>
      </c>
      <c r="B400" s="2074"/>
      <c r="C400" s="2074"/>
      <c r="D400" s="2074"/>
      <c r="E400" s="2074"/>
      <c r="F400" s="2074"/>
      <c r="G400" s="2074"/>
      <c r="H400" s="2074"/>
    </row>
    <row r="401" spans="1:8">
      <c r="A401" s="2074" t="s">
        <v>1258</v>
      </c>
      <c r="B401" s="2074"/>
      <c r="C401" s="2074"/>
      <c r="D401" s="2074"/>
      <c r="E401" s="2074"/>
      <c r="F401" s="2074"/>
      <c r="G401" s="2074"/>
      <c r="H401" s="2074"/>
    </row>
    <row r="402" spans="1:8">
      <c r="A402" s="2074" t="s">
        <v>1259</v>
      </c>
      <c r="B402" s="2074"/>
      <c r="C402" s="2074"/>
      <c r="D402" s="2074"/>
      <c r="E402" s="2074"/>
      <c r="F402" s="2074"/>
      <c r="G402" s="2074"/>
      <c r="H402" s="2074"/>
    </row>
    <row r="403" spans="1:8">
      <c r="A403" s="2074"/>
      <c r="B403" s="2074"/>
      <c r="C403" s="2074"/>
      <c r="D403" s="2074"/>
      <c r="E403" s="2074"/>
      <c r="F403" s="2074"/>
      <c r="G403" s="2074"/>
      <c r="H403" s="2074"/>
    </row>
    <row r="404" spans="1:8">
      <c r="A404" s="2074" t="s">
        <v>1260</v>
      </c>
      <c r="B404" s="2074"/>
      <c r="C404" s="2074"/>
      <c r="D404" s="2074"/>
      <c r="E404" s="2074"/>
      <c r="F404" s="2074"/>
      <c r="G404" s="2074"/>
      <c r="H404" s="2074"/>
    </row>
    <row r="405" spans="1:8">
      <c r="A405" s="2074" t="s">
        <v>1261</v>
      </c>
      <c r="B405" s="2074"/>
      <c r="C405" s="2074"/>
      <c r="D405" s="2074"/>
      <c r="E405" s="2074"/>
      <c r="F405" s="2074"/>
      <c r="G405" s="2074"/>
      <c r="H405" s="2074"/>
    </row>
    <row r="406" spans="1:8">
      <c r="A406" s="2074" t="s">
        <v>1262</v>
      </c>
      <c r="B406" s="2074"/>
      <c r="C406" s="2074"/>
      <c r="D406" s="2074"/>
      <c r="E406" s="2074"/>
      <c r="F406" s="2074"/>
      <c r="G406" s="2074"/>
      <c r="H406" s="2074"/>
    </row>
    <row r="407" spans="1:8">
      <c r="A407" s="2074" t="s">
        <v>1263</v>
      </c>
      <c r="B407" s="2074"/>
      <c r="C407" s="2074"/>
      <c r="D407" s="2074"/>
      <c r="E407" s="2074"/>
      <c r="F407" s="2074"/>
      <c r="G407" s="2074"/>
      <c r="H407" s="2074"/>
    </row>
    <row r="408" spans="1:8">
      <c r="A408" s="2074" t="s">
        <v>1264</v>
      </c>
      <c r="B408" s="2074"/>
      <c r="C408" s="2074"/>
      <c r="D408" s="2074"/>
      <c r="E408" s="2074"/>
      <c r="F408" s="2074"/>
      <c r="G408" s="2074"/>
      <c r="H408" s="2074"/>
    </row>
    <row r="409" spans="1:8">
      <c r="A409" s="2074" t="s">
        <v>1265</v>
      </c>
      <c r="B409" s="2074"/>
      <c r="C409" s="2074"/>
      <c r="D409" s="2074"/>
      <c r="E409" s="2074"/>
      <c r="F409" s="2074"/>
      <c r="G409" s="2074"/>
      <c r="H409" s="2074"/>
    </row>
    <row r="410" spans="1:8">
      <c r="A410" s="2074"/>
      <c r="B410" s="2074"/>
      <c r="C410" s="2074"/>
      <c r="D410" s="2074"/>
      <c r="E410" s="2074"/>
      <c r="F410" s="2074"/>
      <c r="G410" s="2074"/>
      <c r="H410" s="2074"/>
    </row>
    <row r="411" spans="1:8">
      <c r="A411" s="2074" t="s">
        <v>1266</v>
      </c>
      <c r="B411" s="2074"/>
      <c r="C411" s="2074"/>
      <c r="D411" s="2074"/>
      <c r="E411" s="2074"/>
      <c r="F411" s="2074"/>
      <c r="G411" s="2074"/>
      <c r="H411" s="2074"/>
    </row>
    <row r="412" spans="1:8">
      <c r="A412" s="2074" t="s">
        <v>1267</v>
      </c>
      <c r="B412" s="2074"/>
      <c r="C412" s="2074"/>
      <c r="D412" s="2074"/>
      <c r="E412" s="2074"/>
      <c r="F412" s="2074"/>
      <c r="G412" s="2074"/>
      <c r="H412" s="2074"/>
    </row>
    <row r="413" spans="1:8">
      <c r="A413" s="2074" t="s">
        <v>1268</v>
      </c>
      <c r="B413" s="2074"/>
      <c r="C413" s="2074"/>
      <c r="D413" s="2074"/>
      <c r="E413" s="2074"/>
      <c r="F413" s="2074"/>
      <c r="G413" s="2074"/>
      <c r="H413" s="2074"/>
    </row>
    <row r="414" spans="1:8">
      <c r="A414" s="2074" t="s">
        <v>1269</v>
      </c>
      <c r="B414" s="2074"/>
      <c r="C414" s="2074"/>
      <c r="D414" s="2074"/>
      <c r="E414" s="2074"/>
      <c r="F414" s="2074"/>
      <c r="G414" s="2074"/>
      <c r="H414" s="2074"/>
    </row>
    <row r="415" spans="1:8">
      <c r="A415" s="2074" t="s">
        <v>1270</v>
      </c>
      <c r="B415" s="2074"/>
      <c r="C415" s="2074"/>
      <c r="D415" s="2074"/>
      <c r="E415" s="2074"/>
      <c r="F415" s="2074"/>
      <c r="G415" s="2074"/>
      <c r="H415" s="2074"/>
    </row>
    <row r="416" spans="1:8">
      <c r="A416" s="2074"/>
      <c r="B416" s="2074"/>
      <c r="C416" s="2074"/>
      <c r="D416" s="2074"/>
      <c r="E416" s="2074"/>
      <c r="F416" s="2074"/>
      <c r="G416" s="2074"/>
      <c r="H416" s="2074"/>
    </row>
    <row r="417" spans="1:8">
      <c r="A417" s="2074" t="s">
        <v>1271</v>
      </c>
      <c r="B417" s="2074"/>
      <c r="C417" s="2074"/>
      <c r="D417" s="2074"/>
      <c r="E417" s="2074"/>
      <c r="F417" s="2074"/>
      <c r="G417" s="2074"/>
      <c r="H417" s="2074"/>
    </row>
    <row r="418" spans="1:8">
      <c r="A418" s="2074" t="s">
        <v>1272</v>
      </c>
      <c r="B418" s="2074"/>
      <c r="C418" s="2074"/>
      <c r="D418" s="2074"/>
      <c r="E418" s="2074"/>
      <c r="F418" s="2074"/>
      <c r="G418" s="2074"/>
      <c r="H418" s="2074"/>
    </row>
    <row r="419" spans="1:8">
      <c r="A419" s="2074"/>
      <c r="B419" s="2074"/>
      <c r="C419" s="2074"/>
      <c r="D419" s="2074"/>
      <c r="E419" s="2074"/>
      <c r="F419" s="2074"/>
      <c r="G419" s="2074"/>
      <c r="H419" s="2074"/>
    </row>
    <row r="420" spans="1:8">
      <c r="A420" s="2074" t="s">
        <v>1273</v>
      </c>
      <c r="B420" s="2074"/>
      <c r="C420" s="2074"/>
      <c r="D420" s="2074"/>
      <c r="E420" s="2074"/>
      <c r="F420" s="2074"/>
      <c r="G420" s="2074"/>
      <c r="H420" s="2074"/>
    </row>
    <row r="421" spans="1:8">
      <c r="A421" s="2074" t="s">
        <v>1274</v>
      </c>
      <c r="B421" s="2074"/>
      <c r="C421" s="2074"/>
      <c r="D421" s="2074"/>
      <c r="E421" s="2074"/>
      <c r="F421" s="2074"/>
      <c r="G421" s="2074"/>
      <c r="H421" s="2074"/>
    </row>
    <row r="422" spans="1:8">
      <c r="A422" s="2074"/>
      <c r="B422" s="2074"/>
      <c r="C422" s="2074"/>
      <c r="D422" s="2074"/>
      <c r="E422" s="2074"/>
      <c r="F422" s="2074"/>
      <c r="G422" s="2074"/>
      <c r="H422" s="2074"/>
    </row>
    <row r="423" spans="1:8">
      <c r="A423" s="2074" t="s">
        <v>1275</v>
      </c>
      <c r="B423" s="2074"/>
      <c r="C423" s="2074"/>
      <c r="D423" s="2074"/>
      <c r="E423" s="2074"/>
      <c r="F423" s="2074"/>
      <c r="G423" s="2074"/>
      <c r="H423" s="2074"/>
    </row>
    <row r="424" spans="1:8">
      <c r="A424" s="2074" t="s">
        <v>1276</v>
      </c>
      <c r="B424" s="2074"/>
      <c r="C424" s="2074"/>
      <c r="D424" s="2074"/>
      <c r="E424" s="2074"/>
      <c r="F424" s="2074"/>
      <c r="G424" s="2074"/>
      <c r="H424" s="2074"/>
    </row>
    <row r="425" spans="1:8">
      <c r="A425" s="2074" t="s">
        <v>1277</v>
      </c>
      <c r="B425" s="2074"/>
      <c r="C425" s="2074"/>
      <c r="D425" s="2074"/>
      <c r="E425" s="2074"/>
      <c r="F425" s="2074"/>
      <c r="G425" s="2074"/>
      <c r="H425" s="2074"/>
    </row>
    <row r="426" spans="1:8">
      <c r="A426" s="2074" t="s">
        <v>1278</v>
      </c>
      <c r="B426" s="2074"/>
      <c r="C426" s="2074"/>
      <c r="D426" s="2074"/>
      <c r="E426" s="2074"/>
      <c r="F426" s="2074"/>
      <c r="G426" s="2074"/>
      <c r="H426" s="2074"/>
    </row>
    <row r="427" spans="1:8">
      <c r="A427" s="2074"/>
      <c r="B427" s="2074"/>
      <c r="C427" s="2074"/>
      <c r="D427" s="2074"/>
      <c r="E427" s="2074"/>
      <c r="F427" s="2074"/>
      <c r="G427" s="2074"/>
      <c r="H427" s="2074"/>
    </row>
    <row r="428" spans="1:8">
      <c r="A428" s="2074" t="s">
        <v>1279</v>
      </c>
      <c r="B428" s="2074"/>
      <c r="C428" s="2074"/>
      <c r="D428" s="2074"/>
      <c r="E428" s="2074"/>
      <c r="F428" s="2074"/>
      <c r="G428" s="2074"/>
      <c r="H428" s="2074"/>
    </row>
    <row r="429" spans="1:8">
      <c r="A429" s="2074" t="s">
        <v>1280</v>
      </c>
      <c r="B429" s="2074"/>
      <c r="C429" s="2074"/>
      <c r="D429" s="2074"/>
      <c r="E429" s="2074"/>
      <c r="F429" s="2074"/>
      <c r="G429" s="2074"/>
      <c r="H429" s="2074"/>
    </row>
    <row r="430" spans="1:8">
      <c r="A430" s="2074"/>
      <c r="B430" s="2074"/>
      <c r="C430" s="2074"/>
      <c r="D430" s="2074"/>
      <c r="E430" s="2074"/>
      <c r="F430" s="2074"/>
      <c r="G430" s="2074"/>
      <c r="H430" s="2074"/>
    </row>
    <row r="431" spans="1:8">
      <c r="A431" s="2074" t="s">
        <v>1281</v>
      </c>
      <c r="B431" s="2074"/>
      <c r="C431" s="2074"/>
      <c r="D431" s="2074"/>
      <c r="E431" s="2074"/>
      <c r="F431" s="2074"/>
      <c r="G431" s="2074"/>
      <c r="H431" s="2074"/>
    </row>
    <row r="432" spans="1:8">
      <c r="A432" s="2074" t="s">
        <v>1282</v>
      </c>
      <c r="B432" s="2074"/>
      <c r="C432" s="2074"/>
      <c r="D432" s="2074"/>
      <c r="E432" s="2074"/>
      <c r="F432" s="2074"/>
      <c r="G432" s="2074"/>
      <c r="H432" s="2074"/>
    </row>
    <row r="433" spans="1:8">
      <c r="A433" s="2074" t="s">
        <v>1283</v>
      </c>
      <c r="B433" s="2074"/>
      <c r="C433" s="2074"/>
      <c r="D433" s="2074"/>
      <c r="E433" s="2074"/>
      <c r="F433" s="2074"/>
      <c r="G433" s="2074"/>
      <c r="H433" s="2074"/>
    </row>
    <row r="434" spans="1:8">
      <c r="A434" s="2074" t="s">
        <v>1284</v>
      </c>
      <c r="B434" s="2074"/>
      <c r="C434" s="2074"/>
      <c r="D434" s="2074"/>
      <c r="E434" s="2074"/>
      <c r="F434" s="2074"/>
      <c r="G434" s="2074"/>
      <c r="H434" s="2074"/>
    </row>
    <row r="436" spans="1:8">
      <c r="A436" s="21" t="s">
        <v>1285</v>
      </c>
    </row>
  </sheetData>
  <mergeCells count="3">
    <mergeCell ref="B135:C135"/>
    <mergeCell ref="D135:F135"/>
    <mergeCell ref="G135:H1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>
    <tabColor theme="4"/>
    <pageSetUpPr autoPageBreaks="0" fitToPage="1"/>
  </sheetPr>
  <dimension ref="A1:AG99"/>
  <sheetViews>
    <sheetView showGridLines="0" zoomScaleNormal="100" workbookViewId="0">
      <pane xSplit="1" ySplit="3" topLeftCell="Q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ColWidth="8.88671875" defaultRowHeight="10.199999999999999" customHeight="1" outlineLevelRow="1" outlineLevelCol="1"/>
  <cols>
    <col min="1" max="1" width="30.109375" bestFit="1" customWidth="1"/>
    <col min="2" max="7" width="9.44140625" hidden="1" customWidth="1" outlineLevel="1"/>
    <col min="8" max="8" width="9.44140625" hidden="1" customWidth="1" outlineLevel="1" collapsed="1"/>
    <col min="9" max="16" width="9.44140625" hidden="1" customWidth="1" outlineLevel="1"/>
    <col min="17" max="17" width="9.44140625" customWidth="1" collapsed="1"/>
    <col min="18" max="28" width="9.44140625" customWidth="1"/>
    <col min="30" max="31" width="9.88671875" bestFit="1" customWidth="1"/>
  </cols>
  <sheetData>
    <row r="1" spans="1:33" ht="18" customHeight="1">
      <c r="A1" s="1258" t="s">
        <v>323</v>
      </c>
      <c r="B1" s="1251"/>
      <c r="C1" s="1251"/>
      <c r="D1" s="1251"/>
      <c r="E1" s="1251"/>
      <c r="F1" s="1251"/>
      <c r="G1" s="1251"/>
      <c r="H1" s="1251"/>
      <c r="I1" s="1251"/>
      <c r="J1" s="1251"/>
      <c r="K1" s="1251"/>
      <c r="L1" s="1251"/>
      <c r="M1" s="1251"/>
      <c r="N1" s="1251"/>
      <c r="O1" s="1251"/>
      <c r="P1" s="1251"/>
      <c r="Q1" s="1251"/>
      <c r="R1" s="1251"/>
      <c r="S1" s="1251"/>
      <c r="T1" s="1251"/>
      <c r="U1" s="1251"/>
      <c r="V1" s="1251"/>
      <c r="W1" s="1251"/>
      <c r="X1" s="803"/>
      <c r="Y1" s="803"/>
      <c r="Z1" s="803"/>
      <c r="AA1" s="803"/>
      <c r="AB1" s="803"/>
      <c r="AC1" s="216"/>
      <c r="AD1" s="1" t="s">
        <v>795</v>
      </c>
      <c r="AE1" s="108" t="s">
        <v>796</v>
      </c>
      <c r="AF1" s="108" t="s">
        <v>797</v>
      </c>
      <c r="AG1" s="108" t="s">
        <v>798</v>
      </c>
    </row>
    <row r="2" spans="1:33" ht="11.25" customHeight="1">
      <c r="A2" s="1250" t="s">
        <v>838</v>
      </c>
      <c r="B2" s="1251"/>
      <c r="C2" s="1251"/>
      <c r="D2" s="1251"/>
      <c r="E2" s="1251"/>
      <c r="F2" s="1251"/>
      <c r="G2" s="1251"/>
      <c r="H2" s="1251"/>
      <c r="I2" s="1251"/>
      <c r="J2" s="1251"/>
      <c r="K2" s="1251"/>
      <c r="L2" s="1251"/>
      <c r="M2" s="1251"/>
      <c r="N2" s="1251"/>
      <c r="O2" s="1251"/>
      <c r="P2" s="1251"/>
      <c r="Q2" s="1251"/>
      <c r="R2" s="1251"/>
      <c r="S2" s="1251"/>
      <c r="T2" s="1251"/>
      <c r="U2" s="1251"/>
      <c r="V2" s="1251"/>
      <c r="W2" s="1251"/>
      <c r="X2" s="803"/>
      <c r="Y2" s="803"/>
      <c r="Z2" s="803"/>
      <c r="AA2" s="803"/>
      <c r="AB2" s="803"/>
      <c r="AC2" s="216"/>
      <c r="AD2" s="1"/>
      <c r="AE2" s="108"/>
      <c r="AF2" s="108"/>
      <c r="AG2" s="108"/>
    </row>
    <row r="3" spans="1:33" ht="11.25" customHeight="1">
      <c r="A3" s="1250" t="s">
        <v>407</v>
      </c>
      <c r="B3" s="1251">
        <v>2004</v>
      </c>
      <c r="C3" s="1251">
        <v>2005</v>
      </c>
      <c r="D3" s="1251">
        <v>2006</v>
      </c>
      <c r="E3" s="1251">
        <f>D3+1</f>
        <v>2007</v>
      </c>
      <c r="F3" s="1251">
        <f t="shared" ref="F3" si="0">E3+1</f>
        <v>2008</v>
      </c>
      <c r="G3" s="1251">
        <f>F3+1</f>
        <v>2009</v>
      </c>
      <c r="H3" s="1251">
        <f>G3+1</f>
        <v>2010</v>
      </c>
      <c r="I3" s="1251">
        <f t="shared" ref="I3" si="1">H3+1</f>
        <v>2011</v>
      </c>
      <c r="J3" s="1251">
        <f t="shared" ref="J3" si="2">I3+1</f>
        <v>2012</v>
      </c>
      <c r="K3" s="1251">
        <f t="shared" ref="K3" si="3">J3+1</f>
        <v>2013</v>
      </c>
      <c r="L3" s="1251">
        <f t="shared" ref="L3" si="4">K3+1</f>
        <v>2014</v>
      </c>
      <c r="M3" s="1251">
        <f t="shared" ref="M3" si="5">L3+1</f>
        <v>2015</v>
      </c>
      <c r="N3" s="1251">
        <f t="shared" ref="N3" si="6">M3+1</f>
        <v>2016</v>
      </c>
      <c r="O3" s="1251">
        <f t="shared" ref="O3" si="7">N3+1</f>
        <v>2017</v>
      </c>
      <c r="P3" s="1251">
        <f t="shared" ref="P3" si="8">O3+1</f>
        <v>2018</v>
      </c>
      <c r="Q3" s="1251">
        <f t="shared" ref="Q3" si="9">P3+1</f>
        <v>2019</v>
      </c>
      <c r="R3" s="1251">
        <f t="shared" ref="R3" si="10">Q3+1</f>
        <v>2020</v>
      </c>
      <c r="S3" s="1251">
        <f t="shared" ref="S3" si="11">R3+1</f>
        <v>2021</v>
      </c>
      <c r="T3" s="1251">
        <f t="shared" ref="T3" si="12">S3+1</f>
        <v>2022</v>
      </c>
      <c r="U3" s="1251">
        <f t="shared" ref="U3" si="13">T3+1</f>
        <v>2023</v>
      </c>
      <c r="V3" s="1251">
        <f t="shared" ref="V3" si="14">U3+1</f>
        <v>2024</v>
      </c>
      <c r="W3" s="1251">
        <f t="shared" ref="W3" si="15">V3+1</f>
        <v>2025</v>
      </c>
      <c r="X3" s="803">
        <f t="shared" ref="X3" si="16">W3+1</f>
        <v>2026</v>
      </c>
      <c r="Y3" s="803">
        <f t="shared" ref="Y3" si="17">X3+1</f>
        <v>2027</v>
      </c>
      <c r="Z3" s="803">
        <f t="shared" ref="Z3" si="18">Y3+1</f>
        <v>2028</v>
      </c>
      <c r="AA3" s="803">
        <f t="shared" ref="AA3" si="19">Z3+1</f>
        <v>2029</v>
      </c>
      <c r="AB3" s="803">
        <f t="shared" ref="AB3" si="20">AA3+1</f>
        <v>2030</v>
      </c>
      <c r="AC3" s="216"/>
      <c r="AD3" s="1"/>
      <c r="AE3" s="108"/>
      <c r="AF3" s="108"/>
      <c r="AG3" s="108"/>
    </row>
    <row r="4" spans="1:33" ht="11.25" customHeight="1">
      <c r="A4" s="108" t="s">
        <v>492</v>
      </c>
      <c r="B4" s="1255">
        <v>20.690999999999999</v>
      </c>
      <c r="C4" s="1255">
        <v>26.146000000000001</v>
      </c>
      <c r="D4" s="1255">
        <v>26.3216</v>
      </c>
      <c r="E4" s="1255">
        <v>23.064900000000002</v>
      </c>
      <c r="F4" s="1255">
        <v>14.35</v>
      </c>
      <c r="G4" s="1255">
        <v>12.478</v>
      </c>
      <c r="H4" s="1255">
        <v>16.585999999999999</v>
      </c>
      <c r="I4" s="1255">
        <v>21.513000000000002</v>
      </c>
      <c r="J4" s="1255">
        <v>27.905999999999999</v>
      </c>
      <c r="K4" s="1255">
        <v>43.38</v>
      </c>
      <c r="L4" s="1255">
        <v>49.05</v>
      </c>
      <c r="M4" s="1255">
        <v>58.84</v>
      </c>
      <c r="N4" s="1255">
        <v>70</v>
      </c>
      <c r="O4" s="1255">
        <v>85</v>
      </c>
      <c r="P4" s="1255">
        <v>100</v>
      </c>
      <c r="Q4" s="1255">
        <v>120</v>
      </c>
      <c r="R4" s="1255">
        <v>120</v>
      </c>
      <c r="S4" s="1255">
        <v>102</v>
      </c>
      <c r="T4" s="1255">
        <v>95</v>
      </c>
      <c r="U4" s="1255">
        <v>139.78</v>
      </c>
      <c r="V4" s="1255">
        <v>154.78</v>
      </c>
      <c r="W4" s="1255">
        <v>176.88910000000001</v>
      </c>
      <c r="X4" s="1256">
        <v>212.9</v>
      </c>
      <c r="Y4" s="1257">
        <f t="shared" ref="Y4:AB4" si="21">X4</f>
        <v>212.9</v>
      </c>
      <c r="Z4" s="1257">
        <f t="shared" si="21"/>
        <v>212.9</v>
      </c>
      <c r="AA4" s="1257">
        <f t="shared" si="21"/>
        <v>212.9</v>
      </c>
      <c r="AB4" s="1257">
        <f t="shared" si="21"/>
        <v>212.9</v>
      </c>
      <c r="AC4" s="108"/>
      <c r="AD4" s="1"/>
      <c r="AE4" s="108"/>
      <c r="AF4" s="108"/>
      <c r="AG4" s="108"/>
    </row>
    <row r="5" spans="1:33" ht="11.25" customHeight="1">
      <c r="A5" s="108" t="s">
        <v>493</v>
      </c>
      <c r="B5" s="804">
        <v>804.08287199999995</v>
      </c>
      <c r="C5" s="804">
        <v>800.21635300000003</v>
      </c>
      <c r="D5" s="804">
        <v>804.31566299999997</v>
      </c>
      <c r="E5" s="804">
        <v>805.54840100000001</v>
      </c>
      <c r="F5" s="804">
        <v>807.59694200000001</v>
      </c>
      <c r="G5" s="804">
        <v>811.190113</v>
      </c>
      <c r="H5" s="804">
        <v>810.69333900000004</v>
      </c>
      <c r="I5" s="804">
        <v>813.702</v>
      </c>
      <c r="J5" s="804">
        <v>820.55193099999997</v>
      </c>
      <c r="K5" s="804">
        <v>794.12781199999995</v>
      </c>
      <c r="L5" s="804">
        <f>IS!AA70</f>
        <v>782.96238500000004</v>
      </c>
      <c r="M5" s="804">
        <f>IS!AH70</f>
        <v>785.62109899999996</v>
      </c>
      <c r="N5" s="804">
        <f>IS!AO70</f>
        <v>773.79883700000005</v>
      </c>
      <c r="O5" s="804">
        <f>IS!AV70</f>
        <v>773.77270199999998</v>
      </c>
      <c r="P5" s="804">
        <f>IS!BJ70</f>
        <v>775.16794100000004</v>
      </c>
      <c r="Q5" s="804">
        <f>IS!BQ70</f>
        <v>777.03985799999998</v>
      </c>
      <c r="R5" s="804">
        <f>IS!BX70</f>
        <v>783.17819099999997</v>
      </c>
      <c r="S5" s="804">
        <f>IS!CE70</f>
        <v>785.32607399999995</v>
      </c>
      <c r="T5" s="804">
        <f>IS!CL70</f>
        <v>787.08057899999994</v>
      </c>
      <c r="U5" s="804">
        <f>IS!CS70</f>
        <v>788.72077899999999</v>
      </c>
      <c r="V5" s="804">
        <f>IS!CZ70</f>
        <v>789.96167100000002</v>
      </c>
      <c r="W5" s="804">
        <f>IS!DG70</f>
        <v>789.57321300000001</v>
      </c>
      <c r="X5" s="814">
        <f>IS!DN70</f>
        <v>786.06495430232553</v>
      </c>
      <c r="Y5" s="814">
        <f>IS!DU70</f>
        <v>781.86879656723954</v>
      </c>
      <c r="Z5" s="814">
        <f>IS!EB70</f>
        <v>776.19771906251367</v>
      </c>
      <c r="AA5" s="814">
        <f>IS!EI70</f>
        <v>771.26634731927379</v>
      </c>
      <c r="AB5" s="814">
        <f>IS!EP70</f>
        <v>768.97268604334818</v>
      </c>
      <c r="AC5" s="108"/>
      <c r="AD5" s="1"/>
      <c r="AE5" s="108"/>
      <c r="AF5" s="108"/>
      <c r="AG5" s="108"/>
    </row>
    <row r="6" spans="1:33" ht="11.25" customHeight="1" thickBot="1">
      <c r="A6" s="1252" t="s">
        <v>427</v>
      </c>
      <c r="B6" s="1253">
        <f>B4*B5</f>
        <v>16637.278704551998</v>
      </c>
      <c r="C6" s="1253">
        <f t="shared" ref="C6:M6" si="22">C4*C5</f>
        <v>20922.456765538001</v>
      </c>
      <c r="D6" s="1253">
        <f t="shared" si="22"/>
        <v>21170.875155220798</v>
      </c>
      <c r="E6" s="1253">
        <f t="shared" si="22"/>
        <v>18579.893314224901</v>
      </c>
      <c r="F6" s="1253">
        <f t="shared" si="22"/>
        <v>11589.016117699999</v>
      </c>
      <c r="G6" s="1253">
        <f t="shared" si="22"/>
        <v>10122.030230013999</v>
      </c>
      <c r="H6" s="1253">
        <f t="shared" si="22"/>
        <v>13446.159720653999</v>
      </c>
      <c r="I6" s="1253">
        <f t="shared" si="22"/>
        <v>17505.171126000001</v>
      </c>
      <c r="J6" s="1253">
        <f t="shared" si="22"/>
        <v>22898.322186485999</v>
      </c>
      <c r="K6" s="1253">
        <f t="shared" si="22"/>
        <v>34449.264484560001</v>
      </c>
      <c r="L6" s="1253">
        <f>L4*L5</f>
        <v>38404.304984249997</v>
      </c>
      <c r="M6" s="1253">
        <f t="shared" si="22"/>
        <v>46225.945465160003</v>
      </c>
      <c r="N6" s="1253">
        <f>N4*N5</f>
        <v>54165.918590000001</v>
      </c>
      <c r="O6" s="1253">
        <f>O4*O5</f>
        <v>65770.679669999998</v>
      </c>
      <c r="P6" s="1253">
        <f t="shared" ref="P6:U6" si="23">P4*P5</f>
        <v>77516.794099999999</v>
      </c>
      <c r="Q6" s="1253">
        <f t="shared" si="23"/>
        <v>93244.782959999997</v>
      </c>
      <c r="R6" s="1253">
        <f t="shared" si="23"/>
        <v>93981.382920000004</v>
      </c>
      <c r="S6" s="1253">
        <f t="shared" si="23"/>
        <v>80103.259548000002</v>
      </c>
      <c r="T6" s="1253">
        <f t="shared" si="23"/>
        <v>74772.655004999993</v>
      </c>
      <c r="U6" s="1253">
        <f t="shared" si="23"/>
        <v>110247.39048862</v>
      </c>
      <c r="V6" s="1253">
        <f t="shared" ref="V6:AB6" si="24">V4*V5</f>
        <v>122270.26743738001</v>
      </c>
      <c r="W6" s="1253">
        <f t="shared" si="24"/>
        <v>139666.89503167832</v>
      </c>
      <c r="X6" s="1254">
        <f t="shared" si="24"/>
        <v>167353.2287709651</v>
      </c>
      <c r="Y6" s="1254">
        <f t="shared" si="24"/>
        <v>166459.8667891653</v>
      </c>
      <c r="Z6" s="1254">
        <f t="shared" si="24"/>
        <v>165252.49438840916</v>
      </c>
      <c r="AA6" s="1254">
        <f t="shared" si="24"/>
        <v>164202.60534427338</v>
      </c>
      <c r="AB6" s="1254">
        <f t="shared" si="24"/>
        <v>163714.28485862885</v>
      </c>
      <c r="AC6" s="108"/>
      <c r="AD6" s="856"/>
      <c r="AE6" s="812"/>
      <c r="AF6" s="108"/>
      <c r="AG6" s="108"/>
    </row>
    <row r="7" spans="1:33" ht="11.25" customHeight="1">
      <c r="A7" s="218" t="s">
        <v>538</v>
      </c>
      <c r="B7" s="235">
        <f>B62+B63+B64+B65+B68+B69+B66</f>
        <v>3916</v>
      </c>
      <c r="C7" s="235">
        <f t="shared" ref="C7:M7" si="25">C62+C63+C64+C65+C68+C69+C66</f>
        <v>3589</v>
      </c>
      <c r="D7" s="235">
        <f t="shared" si="25"/>
        <v>3400</v>
      </c>
      <c r="E7" s="235">
        <f t="shared" si="25"/>
        <v>-1011</v>
      </c>
      <c r="F7" s="235">
        <f t="shared" si="25"/>
        <v>-4638</v>
      </c>
      <c r="G7" s="235">
        <f t="shared" si="25"/>
        <v>-4476</v>
      </c>
      <c r="H7" s="235">
        <f t="shared" si="25"/>
        <v>-6850</v>
      </c>
      <c r="I7" s="235">
        <f t="shared" si="25"/>
        <v>-6331</v>
      </c>
      <c r="J7" s="235">
        <f t="shared" si="25"/>
        <v>-2554</v>
      </c>
      <c r="K7" s="235">
        <f t="shared" si="25"/>
        <v>-2700</v>
      </c>
      <c r="L7" s="235">
        <f t="shared" si="25"/>
        <v>-3810</v>
      </c>
      <c r="M7" s="235">
        <f t="shared" si="25"/>
        <v>-6052</v>
      </c>
      <c r="N7" s="235">
        <f t="shared" ref="N7:S7" si="26">N62+N63+N64+N65+N68+N69+N66</f>
        <v>-8308</v>
      </c>
      <c r="O7" s="235">
        <f>O62+O63+O64+O65+O68+O69+O66</f>
        <v>-6891</v>
      </c>
      <c r="P7" s="235">
        <f t="shared" si="26"/>
        <v>-8965</v>
      </c>
      <c r="Q7" s="235">
        <f>Q62+Q63+Q64+Q65+Q68+Q69+Q66</f>
        <v>-8952</v>
      </c>
      <c r="R7" s="235">
        <f t="shared" si="26"/>
        <v>2164</v>
      </c>
      <c r="S7" s="235">
        <f t="shared" si="26"/>
        <v>-4898</v>
      </c>
      <c r="T7" s="235">
        <f>T62+T63+T64+T65+T68+T69+T66</f>
        <v>-12136</v>
      </c>
      <c r="U7" s="235">
        <f>U62+U63+U64+U65+U68+U69+U66</f>
        <v>-12887</v>
      </c>
      <c r="V7" s="235">
        <f t="shared" ref="V7:AB7" si="27">V62+V63+V64+V65+V68+V69+V66</f>
        <v>-15124</v>
      </c>
      <c r="W7" s="235">
        <f t="shared" si="27"/>
        <v>-14230</v>
      </c>
      <c r="X7" s="815">
        <f t="shared" si="27"/>
        <v>-16299.315290264629</v>
      </c>
      <c r="Y7" s="815">
        <f t="shared" si="27"/>
        <v>-18952.264435215046</v>
      </c>
      <c r="Z7" s="815">
        <f t="shared" si="27"/>
        <v>-23575.961050330181</v>
      </c>
      <c r="AA7" s="815">
        <f t="shared" si="27"/>
        <v>-28282.263487631164</v>
      </c>
      <c r="AB7" s="815">
        <f t="shared" si="27"/>
        <v>-35016.021652357987</v>
      </c>
      <c r="AC7" s="235"/>
      <c r="AD7" s="1404"/>
      <c r="AE7" s="1"/>
      <c r="AF7" s="108"/>
      <c r="AG7" s="108"/>
    </row>
    <row r="8" spans="1:33" ht="11.25" customHeight="1">
      <c r="A8" s="218" t="s">
        <v>539</v>
      </c>
      <c r="B8" s="235">
        <v>-1901</v>
      </c>
      <c r="C8" s="235">
        <v>-2484</v>
      </c>
      <c r="D8" s="235">
        <v>-2896</v>
      </c>
      <c r="E8" s="235">
        <v>-3359</v>
      </c>
      <c r="F8" s="235">
        <v>-2421</v>
      </c>
      <c r="G8" s="235">
        <v>-1921</v>
      </c>
      <c r="H8" s="235">
        <v>-2725</v>
      </c>
      <c r="I8" s="235">
        <v>-3027</v>
      </c>
      <c r="J8" s="235">
        <v>-3223</v>
      </c>
      <c r="K8" s="235">
        <v>-4167</v>
      </c>
      <c r="L8" s="235">
        <v>-3981</v>
      </c>
      <c r="M8" s="235">
        <v>-2443</v>
      </c>
      <c r="N8" s="235">
        <v>-876</v>
      </c>
      <c r="O8" s="235">
        <v>-1071</v>
      </c>
      <c r="P8" s="235">
        <v>-999</v>
      </c>
      <c r="Q8" s="235">
        <v>-968</v>
      </c>
      <c r="R8" s="235">
        <v>-742</v>
      </c>
      <c r="S8" s="235">
        <v>-786</v>
      </c>
      <c r="T8" s="813">
        <v>-1309</v>
      </c>
      <c r="U8" s="813">
        <v>-1483</v>
      </c>
      <c r="V8" s="813">
        <v>-1632</v>
      </c>
      <c r="W8" s="813">
        <v>-2146.5107909200001</v>
      </c>
      <c r="X8" s="816">
        <v>-2441.1154282275797</v>
      </c>
      <c r="Y8" s="816">
        <f t="shared" ref="Y8:AB8" si="28">X8</f>
        <v>-2441.1154282275797</v>
      </c>
      <c r="Z8" s="816">
        <f t="shared" si="28"/>
        <v>-2441.1154282275797</v>
      </c>
      <c r="AA8" s="816">
        <f t="shared" si="28"/>
        <v>-2441.1154282275797</v>
      </c>
      <c r="AB8" s="816">
        <f t="shared" si="28"/>
        <v>-2441.1154282275797</v>
      </c>
      <c r="AC8" s="108"/>
      <c r="AD8" s="1"/>
      <c r="AE8" s="108"/>
      <c r="AF8" s="108"/>
      <c r="AG8" s="108"/>
    </row>
    <row r="9" spans="1:33" ht="11.25" customHeight="1" thickBot="1">
      <c r="A9" s="1252" t="s">
        <v>442</v>
      </c>
      <c r="B9" s="1253">
        <f t="shared" ref="B9:M9" si="29">B6+B7+B8</f>
        <v>18652.278704551998</v>
      </c>
      <c r="C9" s="1253">
        <f t="shared" si="29"/>
        <v>22027.456765538001</v>
      </c>
      <c r="D9" s="1253">
        <f t="shared" si="29"/>
        <v>21674.875155220798</v>
      </c>
      <c r="E9" s="1253">
        <f t="shared" si="29"/>
        <v>14209.893314224901</v>
      </c>
      <c r="F9" s="1253">
        <f t="shared" si="29"/>
        <v>4530.0161176999991</v>
      </c>
      <c r="G9" s="1253">
        <f t="shared" si="29"/>
        <v>3725.0302300139992</v>
      </c>
      <c r="H9" s="1253">
        <f t="shared" si="29"/>
        <v>3871.1597206539991</v>
      </c>
      <c r="I9" s="1253">
        <f t="shared" si="29"/>
        <v>8147.1711260000011</v>
      </c>
      <c r="J9" s="1253">
        <f t="shared" si="29"/>
        <v>17121.322186485999</v>
      </c>
      <c r="K9" s="1253">
        <f t="shared" si="29"/>
        <v>27582.264484560001</v>
      </c>
      <c r="L9" s="1253">
        <f t="shared" si="29"/>
        <v>30613.304984249997</v>
      </c>
      <c r="M9" s="1253">
        <f t="shared" si="29"/>
        <v>37730.945465160003</v>
      </c>
      <c r="N9" s="1253">
        <f t="shared" ref="N9:U9" si="30">N6+N7+N8</f>
        <v>44981.918590000001</v>
      </c>
      <c r="O9" s="1253">
        <f>O6+O7+O8</f>
        <v>57808.679669999998</v>
      </c>
      <c r="P9" s="1253">
        <f t="shared" si="30"/>
        <v>67552.794099999999</v>
      </c>
      <c r="Q9" s="1253">
        <f t="shared" si="30"/>
        <v>83324.782959999997</v>
      </c>
      <c r="R9" s="1253">
        <f t="shared" si="30"/>
        <v>95403.382920000004</v>
      </c>
      <c r="S9" s="1253">
        <f t="shared" si="30"/>
        <v>74419.259548000002</v>
      </c>
      <c r="T9" s="1253">
        <f>T6+T7+T8</f>
        <v>61327.655004999993</v>
      </c>
      <c r="U9" s="1253">
        <f t="shared" si="30"/>
        <v>95877.390488620003</v>
      </c>
      <c r="V9" s="1253">
        <f t="shared" ref="V9:AB9" si="31">V6+V7+V8</f>
        <v>105514.26743738001</v>
      </c>
      <c r="W9" s="1253">
        <f t="shared" si="31"/>
        <v>123290.38424075831</v>
      </c>
      <c r="X9" s="1254">
        <f t="shared" si="31"/>
        <v>148612.79805247288</v>
      </c>
      <c r="Y9" s="1254">
        <f t="shared" si="31"/>
        <v>145066.48692572268</v>
      </c>
      <c r="Z9" s="1254">
        <f t="shared" si="31"/>
        <v>139235.41790985141</v>
      </c>
      <c r="AA9" s="1254">
        <f t="shared" si="31"/>
        <v>133479.22642841464</v>
      </c>
      <c r="AB9" s="1254">
        <f t="shared" si="31"/>
        <v>126257.14777804328</v>
      </c>
      <c r="AC9" s="108"/>
      <c r="AD9" s="1"/>
      <c r="AE9" s="108"/>
      <c r="AF9" s="108"/>
      <c r="AG9" s="108"/>
    </row>
    <row r="10" spans="1:33" ht="11.25" customHeight="1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227"/>
      <c r="M10" s="108"/>
      <c r="N10" s="108"/>
      <c r="O10" s="108"/>
      <c r="P10" s="108"/>
      <c r="Q10" s="108"/>
      <c r="R10" s="108"/>
      <c r="S10" s="108"/>
      <c r="T10" s="227"/>
      <c r="U10" s="227"/>
      <c r="V10" s="227"/>
      <c r="W10" s="227"/>
      <c r="X10" s="108"/>
      <c r="Y10" s="108"/>
      <c r="Z10" s="108"/>
      <c r="AA10" s="108"/>
      <c r="AB10" s="108"/>
      <c r="AC10" s="108"/>
      <c r="AD10" s="1"/>
      <c r="AE10" s="108"/>
      <c r="AF10" s="108"/>
      <c r="AG10" s="108"/>
    </row>
    <row r="11" spans="1:33" ht="11.25" customHeight="1">
      <c r="A11" s="1250" t="s">
        <v>428</v>
      </c>
      <c r="B11" s="1784"/>
      <c r="C11" s="1784"/>
      <c r="D11" s="1784"/>
      <c r="E11" s="1784"/>
      <c r="F11" s="1784"/>
      <c r="G11" s="1784"/>
      <c r="H11" s="1784"/>
      <c r="I11" s="1784"/>
      <c r="J11" s="1784"/>
      <c r="K11" s="1784"/>
      <c r="L11" s="1784"/>
      <c r="M11" s="1784"/>
      <c r="N11" s="1784"/>
      <c r="O11" s="1784"/>
      <c r="P11" s="1784"/>
      <c r="Q11" s="1784"/>
      <c r="R11" s="1784"/>
      <c r="S11" s="1784"/>
      <c r="T11" s="1784"/>
      <c r="U11" s="1784"/>
      <c r="V11" s="1784"/>
      <c r="W11" s="1784"/>
      <c r="X11" s="1785"/>
      <c r="Y11" s="1785"/>
      <c r="Z11" s="1785"/>
      <c r="AA11" s="1785"/>
      <c r="AB11" s="1785"/>
      <c r="AC11" s="108"/>
      <c r="AD11" s="1"/>
      <c r="AE11" s="108"/>
      <c r="AF11" s="108"/>
      <c r="AG11" s="108"/>
    </row>
    <row r="12" spans="1:33" ht="11.25" customHeight="1">
      <c r="A12" s="108" t="s">
        <v>29</v>
      </c>
      <c r="B12" s="158">
        <f>+IS!E8</f>
        <v>31761</v>
      </c>
      <c r="C12" s="158">
        <f>+IS!F8</f>
        <v>34206</v>
      </c>
      <c r="D12" s="158">
        <f>+IS!G8</f>
        <v>39434</v>
      </c>
      <c r="E12" s="158">
        <f>+IS!H8</f>
        <v>39123</v>
      </c>
      <c r="F12" s="158">
        <f>+IS!I8</f>
        <v>43265</v>
      </c>
      <c r="G12" s="158">
        <f>+IS!J8</f>
        <v>42822</v>
      </c>
      <c r="H12" s="158">
        <f>+IS!K8</f>
        <v>45752</v>
      </c>
      <c r="I12" s="158">
        <f>+IS!L8</f>
        <v>49128</v>
      </c>
      <c r="J12" s="158">
        <f>+IS!M8</f>
        <v>56480</v>
      </c>
      <c r="K12" s="158">
        <f>+IS!T8</f>
        <v>57567</v>
      </c>
      <c r="L12" s="158">
        <f>+IS!AA8</f>
        <v>60713</v>
      </c>
      <c r="M12" s="158">
        <f>+IS!AH8</f>
        <v>64450</v>
      </c>
      <c r="N12" s="158">
        <f>+IS!AO8</f>
        <v>66581</v>
      </c>
      <c r="O12" s="158">
        <f>+IS!AV8</f>
        <v>66767</v>
      </c>
      <c r="P12" s="158">
        <f>+IS!BJ8</f>
        <v>63707</v>
      </c>
      <c r="Q12" s="158">
        <f>+IS!BQ8</f>
        <v>70478</v>
      </c>
      <c r="R12" s="158">
        <f>+IS!BX8</f>
        <v>49912</v>
      </c>
      <c r="S12" s="158">
        <f>+IS!CE8</f>
        <v>52149</v>
      </c>
      <c r="T12" s="158">
        <f>+IS!CL8</f>
        <v>58763</v>
      </c>
      <c r="U12" s="158">
        <f>+IS!CS8</f>
        <v>65446</v>
      </c>
      <c r="V12" s="158">
        <f>+IS!CZ8</f>
        <v>69230</v>
      </c>
      <c r="W12" s="158">
        <f>+IS!DG8</f>
        <v>73420</v>
      </c>
      <c r="X12" s="327">
        <f>+IS!DN8</f>
        <v>80558.143830657194</v>
      </c>
      <c r="Y12" s="327">
        <f>+IS!DU8</f>
        <v>89656.987035582541</v>
      </c>
      <c r="Z12" s="327">
        <f>+IS!EB8</f>
        <v>97614.941122656455</v>
      </c>
      <c r="AA12" s="327">
        <f>+IS!EI8</f>
        <v>102018.2111152782</v>
      </c>
      <c r="AB12" s="327">
        <f>+IS!EP8</f>
        <v>105534.11714739233</v>
      </c>
      <c r="AC12" s="193"/>
      <c r="AD12" s="900">
        <f>(W12/T12)^(1/3)-1</f>
        <v>7.7052335718586606E-2</v>
      </c>
      <c r="AE12" s="900">
        <f>(Y12/T12)^(1/5)-1</f>
        <v>8.8168214869162043E-2</v>
      </c>
      <c r="AF12" s="900">
        <f>(X12/U12)^(1/3)-1</f>
        <v>7.1705470674653826E-2</v>
      </c>
      <c r="AG12" s="900">
        <f>(Z12/U12)^(1/5)-1</f>
        <v>8.3244861865683362E-2</v>
      </c>
    </row>
    <row r="13" spans="1:33" ht="11.25" customHeight="1">
      <c r="A13" s="108" t="s">
        <v>778</v>
      </c>
      <c r="B13" s="158">
        <f>IS!E18</f>
        <v>3836</v>
      </c>
      <c r="C13" s="158">
        <f>IS!F18</f>
        <v>4365</v>
      </c>
      <c r="D13" s="158">
        <f>IS!G18</f>
        <v>2033</v>
      </c>
      <c r="E13" s="158">
        <f>IS!H18</f>
        <v>1751</v>
      </c>
      <c r="F13" s="158">
        <f>IS!I18</f>
        <v>4439</v>
      </c>
      <c r="G13" s="158">
        <f>IS!J18</f>
        <v>1446</v>
      </c>
      <c r="H13" s="158">
        <f>IS!K18</f>
        <v>2769</v>
      </c>
      <c r="I13" s="158">
        <f>IS!L18</f>
        <v>3539</v>
      </c>
      <c r="J13" s="158">
        <f>IS!M18</f>
        <v>4201</v>
      </c>
      <c r="K13" s="158">
        <f>IS!T18</f>
        <v>4512</v>
      </c>
      <c r="L13" s="158">
        <f>IS!AA18</f>
        <v>6147</v>
      </c>
      <c r="M13" s="158">
        <f>IS!AH18</f>
        <v>6528</v>
      </c>
      <c r="N13" s="158">
        <f>IS!AO18</f>
        <v>4508</v>
      </c>
      <c r="O13" s="158">
        <f>IS!AV18</f>
        <v>5719</v>
      </c>
      <c r="P13" s="158">
        <f>IS!BJ18</f>
        <v>7492</v>
      </c>
      <c r="Q13" s="158">
        <f>IS!BQ18</f>
        <v>4266</v>
      </c>
      <c r="R13" s="158">
        <f>IS!BX18</f>
        <v>2321</v>
      </c>
      <c r="S13" s="158">
        <f>IS!CE18</f>
        <v>7667</v>
      </c>
      <c r="T13" s="158">
        <f>IS!CL18</f>
        <v>8041</v>
      </c>
      <c r="U13" s="158">
        <f>IS!CS18</f>
        <v>6845</v>
      </c>
      <c r="V13" s="158">
        <f>IS!CZ18</f>
        <v>8157</v>
      </c>
      <c r="W13" s="158">
        <f>IS!DG18</f>
        <v>9257</v>
      </c>
      <c r="X13" s="327">
        <f>IS!DN18</f>
        <v>11412.543521478845</v>
      </c>
      <c r="Y13" s="327">
        <f>IS!DU18</f>
        <v>13580.968444421291</v>
      </c>
      <c r="Z13" s="327">
        <f>IS!EB18</f>
        <v>16236.924838708457</v>
      </c>
      <c r="AA13" s="327">
        <f>IS!EI18</f>
        <v>17426.398274327141</v>
      </c>
      <c r="AB13" s="327">
        <f>IS!EP18</f>
        <v>18344.759260218536</v>
      </c>
      <c r="AC13" s="193"/>
      <c r="AD13" s="900">
        <f>(W13/T13)^(1/3)-1</f>
        <v>4.8061418380315635E-2</v>
      </c>
      <c r="AE13" s="900">
        <f t="shared" ref="AE13:AE25" si="32">(Y13/T13)^(1/5)-1</f>
        <v>0.11051424964591638</v>
      </c>
      <c r="AF13" s="900">
        <f t="shared" ref="AF13:AF25" si="33">(X13/U13)^(1/3)-1</f>
        <v>0.1857769339605797</v>
      </c>
      <c r="AG13" s="900">
        <f t="shared" ref="AG13:AG25" si="34">(Z13/U13)^(1/5)-1</f>
        <v>0.18857356133435399</v>
      </c>
    </row>
    <row r="14" spans="1:33" ht="11.25" hidden="1" customHeight="1" outlineLevel="1">
      <c r="A14" s="108" t="s">
        <v>779</v>
      </c>
      <c r="B14" s="158">
        <f>IS!E18-IS!E17</f>
        <v>3752</v>
      </c>
      <c r="C14" s="158">
        <f>IS!F18-IS!F17</f>
        <v>4140</v>
      </c>
      <c r="D14" s="158">
        <f>IS!G18-IS!G17</f>
        <v>1844</v>
      </c>
      <c r="E14" s="158">
        <f>IS!H18-IS!H17</f>
        <v>1455</v>
      </c>
      <c r="F14" s="158">
        <f>IS!I18-IS!I17</f>
        <v>4228</v>
      </c>
      <c r="G14" s="158">
        <f>IS!J18-IS!J17</f>
        <v>1312</v>
      </c>
      <c r="H14" s="158">
        <f>IS!K18-IS!K17</f>
        <v>2624</v>
      </c>
      <c r="I14" s="158">
        <f>IS!L18-IS!L17</f>
        <v>3347</v>
      </c>
      <c r="J14" s="158">
        <f>IS!M18-IS!M17</f>
        <v>3954</v>
      </c>
      <c r="K14" s="158">
        <f>IS!T18-IS!T17</f>
        <v>4029</v>
      </c>
      <c r="L14" s="158">
        <f>IS!AA18-IS!AA17</f>
        <v>5252</v>
      </c>
      <c r="M14" s="158">
        <f>IS!AH18-IS!AH17</f>
        <v>5458</v>
      </c>
      <c r="N14" s="158">
        <f>IS!AO18-IS!AO17</f>
        <v>4256</v>
      </c>
      <c r="O14" s="158">
        <f>IS!AV18-IS!AV17</f>
        <v>5304</v>
      </c>
      <c r="P14" s="158">
        <f>IS!BJ18-IS!BJ17</f>
        <v>7053</v>
      </c>
      <c r="Q14" s="158">
        <f>IS!BQ18-IS!BQ17</f>
        <v>3963</v>
      </c>
      <c r="R14" s="158">
        <f>IS!BX18-IS!BX17</f>
        <v>2169</v>
      </c>
      <c r="S14" s="158">
        <f>IS!CE18-IS!CE17</f>
        <v>7551</v>
      </c>
      <c r="T14" s="158">
        <f>IS!CL18-IS!CL17</f>
        <v>7849</v>
      </c>
      <c r="U14" s="158">
        <f>IS!CS18-IS!CS17</f>
        <v>6542</v>
      </c>
      <c r="V14" s="158">
        <f>IS!CZ18-IS!CZ17</f>
        <v>7763</v>
      </c>
      <c r="W14" s="158">
        <f>IS!DG18-IS!DG17</f>
        <v>8902</v>
      </c>
      <c r="X14" s="327">
        <f>IS!DN18-IS!DN17</f>
        <v>11023.029205762647</v>
      </c>
      <c r="Y14" s="327">
        <f>IS!DU18-IS!DU17</f>
        <v>13147.459449629248</v>
      </c>
      <c r="Z14" s="327">
        <f>IS!EB18-IS!EB17</f>
        <v>15764.937585936146</v>
      </c>
      <c r="AA14" s="327">
        <f>IS!EI18-IS!EI17</f>
        <v>16933.120353516413</v>
      </c>
      <c r="AB14" s="327">
        <f>IS!EP18-IS!EP17</f>
        <v>17834.48124895016</v>
      </c>
      <c r="AC14" s="158"/>
      <c r="AD14" s="900">
        <f>(W14/T14)^(1/3)-1</f>
        <v>4.2856182786574992E-2</v>
      </c>
      <c r="AE14" s="900">
        <f t="shared" si="32"/>
        <v>0.10867818500908544</v>
      </c>
      <c r="AF14" s="900">
        <f t="shared" si="33"/>
        <v>0.18995390744083895</v>
      </c>
      <c r="AG14" s="900">
        <f t="shared" si="34"/>
        <v>0.19232964826639654</v>
      </c>
    </row>
    <row r="15" spans="1:33" ht="11.25" customHeight="1" collapsed="1">
      <c r="A15" s="108" t="s">
        <v>780</v>
      </c>
      <c r="B15" s="158">
        <f>Divisional!G31-IS!F20</f>
        <v>1912</v>
      </c>
      <c r="C15" s="158">
        <f>Divisional!H31-IS!G20</f>
        <v>5704</v>
      </c>
      <c r="D15" s="158">
        <f>Divisional!I31-IS!H20</f>
        <v>5029</v>
      </c>
      <c r="E15" s="158">
        <f>Divisional!J31-IS!I20</f>
        <v>3757</v>
      </c>
      <c r="F15" s="158">
        <f>Divisional!K31-IS!J20</f>
        <v>3109</v>
      </c>
      <c r="G15" s="158">
        <f>Divisional!L31-IS!K20</f>
        <v>3324</v>
      </c>
      <c r="H15" s="158">
        <f>Divisional!M31-IS!L20</f>
        <v>4849</v>
      </c>
      <c r="I15" s="158">
        <f>Divisional!T31-IS!M20</f>
        <v>5552</v>
      </c>
      <c r="J15" s="158">
        <f>Divisional!AA31-IS!T20</f>
        <v>5954</v>
      </c>
      <c r="K15" s="158">
        <f>Divisional!AH31-IS!AA20</f>
        <v>6239</v>
      </c>
      <c r="L15" s="158">
        <f>Divisional!AO31-IS!AH20</f>
        <v>6397</v>
      </c>
      <c r="M15" s="158">
        <f>Divisional!AV31-IS!AO20</f>
        <v>6503</v>
      </c>
      <c r="N15" s="158">
        <f>Divisional!BC31-IS!AV20</f>
        <v>5488</v>
      </c>
      <c r="O15" s="158">
        <f>Divisional!BJ31-IS!BC20</f>
        <v>8132</v>
      </c>
      <c r="P15" s="158">
        <f>Divisional!BQ31-IS!BJ20</f>
        <v>9390</v>
      </c>
      <c r="Q15" s="158">
        <f>Divisional!BX31-IS!BQ20</f>
        <v>9873</v>
      </c>
      <c r="R15" s="158">
        <f>Divisional!CE31-IS!BX20</f>
        <v>4537</v>
      </c>
      <c r="S15" s="158">
        <f>Divisional!CL31-IS!CE20</f>
        <v>7190</v>
      </c>
      <c r="T15" s="158">
        <f>Divisional!CS31-IS!CL20</f>
        <v>8343</v>
      </c>
      <c r="U15" s="158">
        <f>Divisional!CZ31-IS!CS20</f>
        <v>8080</v>
      </c>
      <c r="V15" s="158">
        <f>Divisional!DG31-IS!CZ20</f>
        <v>8207</v>
      </c>
      <c r="W15" s="158">
        <f>Divisional!DN31-IS!DG20</f>
        <v>10303</v>
      </c>
      <c r="X15" s="327">
        <f>Divisional!DU31-IS!DN20</f>
        <v>11544.543521478845</v>
      </c>
      <c r="Y15" s="327">
        <f>Divisional!EB31-IS!DU20</f>
        <v>13580.968444421291</v>
      </c>
      <c r="Z15" s="327">
        <f>Divisional!EI31-IS!EB20</f>
        <v>16236.924838708455</v>
      </c>
      <c r="AA15" s="327">
        <f>Divisional!EP31-IS!EI20</f>
        <v>17426.398274327141</v>
      </c>
      <c r="AB15" s="327">
        <f>Divisional!EW31-IS!EP20</f>
        <v>18344.759260218536</v>
      </c>
      <c r="AC15" s="158"/>
      <c r="AD15" s="900">
        <f t="shared" ref="AD15:AD25" si="35">(W15/T15)^(1/3)-1</f>
        <v>7.2870124822105975E-2</v>
      </c>
      <c r="AE15" s="900">
        <f t="shared" si="32"/>
        <v>0.10235556608473195</v>
      </c>
      <c r="AF15" s="900">
        <f t="shared" si="33"/>
        <v>0.12630272497759409</v>
      </c>
      <c r="AG15" s="900">
        <f t="shared" si="34"/>
        <v>0.14978988548672967</v>
      </c>
    </row>
    <row r="16" spans="1:33" ht="11.25" customHeight="1">
      <c r="A16" s="108" t="s">
        <v>332</v>
      </c>
      <c r="B16" s="158">
        <f>IS!E22</f>
        <v>2432</v>
      </c>
      <c r="C16" s="158">
        <f>IS!F22</f>
        <v>2852</v>
      </c>
      <c r="D16" s="158">
        <f>IS!G22</f>
        <v>399</v>
      </c>
      <c r="E16" s="158">
        <f>IS!H22</f>
        <v>52</v>
      </c>
      <c r="F16" s="158">
        <f>IS!I22</f>
        <v>2830</v>
      </c>
      <c r="G16" s="158">
        <f>IS!J22</f>
        <v>-322</v>
      </c>
      <c r="H16" s="158">
        <f>IS!K22</f>
        <v>1231</v>
      </c>
      <c r="I16" s="158">
        <f>IS!L22</f>
        <v>1696</v>
      </c>
      <c r="J16" s="158">
        <f>IS!M22</f>
        <v>2186</v>
      </c>
      <c r="K16" s="158">
        <f>IS!T22</f>
        <v>2624</v>
      </c>
      <c r="L16" s="158">
        <f>IS!AA22</f>
        <v>4040</v>
      </c>
      <c r="M16" s="158">
        <f>IS!AH22</f>
        <v>4086</v>
      </c>
      <c r="N16" s="158">
        <f>IS!AO22</f>
        <v>2258</v>
      </c>
      <c r="O16" s="158">
        <f>IS!BC22</f>
        <v>2665</v>
      </c>
      <c r="P16" s="158">
        <f>IS!BJ22</f>
        <v>5048</v>
      </c>
      <c r="Q16" s="158">
        <f>IS!BQ22</f>
        <v>1339</v>
      </c>
      <c r="R16" s="158">
        <f>IS!BX22</f>
        <v>-510</v>
      </c>
      <c r="S16" s="158">
        <f>IS!CE22</f>
        <v>5342</v>
      </c>
      <c r="T16" s="158">
        <f>IS!CL22</f>
        <v>5325</v>
      </c>
      <c r="U16" s="158">
        <f>IS!CS22</f>
        <v>4603</v>
      </c>
      <c r="V16" s="158">
        <f>IS!CZ22</f>
        <v>5304</v>
      </c>
      <c r="W16" s="158">
        <f>IS!DG22</f>
        <v>6082</v>
      </c>
      <c r="X16" s="327">
        <f>IS!DN22</f>
        <v>7779.6031943424014</v>
      </c>
      <c r="Y16" s="327">
        <f>IS!DU22</f>
        <v>9531.401709947635</v>
      </c>
      <c r="Z16" s="327">
        <f>IS!EB22</f>
        <v>11824.435609931144</v>
      </c>
      <c r="AA16" s="327">
        <f>IS!EI22</f>
        <v>12814.390648748971</v>
      </c>
      <c r="AB16" s="327">
        <f>IS!EP22</f>
        <v>13574.103853854858</v>
      </c>
      <c r="AC16" s="158"/>
      <c r="AD16" s="900">
        <f t="shared" si="35"/>
        <v>4.5303171093130867E-2</v>
      </c>
      <c r="AE16" s="900">
        <f t="shared" si="32"/>
        <v>0.12348539818526816</v>
      </c>
      <c r="AF16" s="900">
        <f t="shared" si="33"/>
        <v>0.19116563897902772</v>
      </c>
      <c r="AG16" s="900">
        <f t="shared" si="34"/>
        <v>0.20766891863683834</v>
      </c>
    </row>
    <row r="17" spans="1:33" ht="11.25" customHeight="1">
      <c r="A17" s="1" t="s">
        <v>769</v>
      </c>
      <c r="B17" s="818">
        <v>2432</v>
      </c>
      <c r="C17" s="818">
        <v>2852</v>
      </c>
      <c r="D17" s="818">
        <v>399</v>
      </c>
      <c r="E17" s="818">
        <v>52</v>
      </c>
      <c r="F17" s="818">
        <v>3300</v>
      </c>
      <c r="G17" s="818">
        <v>2150</v>
      </c>
      <c r="H17" s="818">
        <v>1340</v>
      </c>
      <c r="I17" s="818">
        <v>1794</v>
      </c>
      <c r="J17" s="818">
        <v>2964</v>
      </c>
      <c r="K17" s="818">
        <v>3574</v>
      </c>
      <c r="L17" s="818">
        <f>Divisional!AA31</f>
        <v>4066</v>
      </c>
      <c r="M17" s="818">
        <f>Divisional!AH31</f>
        <v>4132</v>
      </c>
      <c r="N17" s="818">
        <f>Divisional!AO31</f>
        <v>3955</v>
      </c>
      <c r="O17" s="818">
        <f>Divisional!BC31</f>
        <v>3190</v>
      </c>
      <c r="P17" s="818">
        <f>Divisional!BJ31</f>
        <v>5834</v>
      </c>
      <c r="Q17" s="818">
        <f>Divisional!BX31</f>
        <v>6946</v>
      </c>
      <c r="R17" s="818">
        <f>Divisional!CE31</f>
        <v>1706</v>
      </c>
      <c r="S17" s="818">
        <f>Divisional!CL31</f>
        <v>4865</v>
      </c>
      <c r="T17" s="818">
        <f>Divisional!CS31</f>
        <v>5627</v>
      </c>
      <c r="U17" s="818">
        <f>Divisional!CZ31</f>
        <v>5838</v>
      </c>
      <c r="V17" s="818">
        <f>Divisional!DG31</f>
        <v>5354</v>
      </c>
      <c r="W17" s="818">
        <f>Divisional!DN31</f>
        <v>7128</v>
      </c>
      <c r="X17" s="819">
        <f>Divisional!DU31</f>
        <v>7911.6031943424005</v>
      </c>
      <c r="Y17" s="819">
        <f>Divisional!EB31</f>
        <v>9531.401709947635</v>
      </c>
      <c r="Z17" s="819">
        <f>Divisional!EI31</f>
        <v>11824.435609931143</v>
      </c>
      <c r="AA17" s="819">
        <f>Divisional!EP31</f>
        <v>12814.390648748971</v>
      </c>
      <c r="AB17" s="819">
        <f>Divisional!EW31</f>
        <v>13574.103853854858</v>
      </c>
      <c r="AC17" s="818"/>
      <c r="AD17" s="900">
        <f t="shared" si="35"/>
        <v>8.2007468871426514E-2</v>
      </c>
      <c r="AE17" s="900">
        <f t="shared" si="32"/>
        <v>0.11115839479494549</v>
      </c>
      <c r="AF17" s="900">
        <f t="shared" si="33"/>
        <v>0.10662412923407993</v>
      </c>
      <c r="AG17" s="900">
        <f t="shared" si="34"/>
        <v>0.15160426863915433</v>
      </c>
    </row>
    <row r="18" spans="1:33" ht="11.25" hidden="1" customHeight="1" outlineLevel="1">
      <c r="A18" s="108" t="s">
        <v>781</v>
      </c>
      <c r="B18" s="158">
        <v>2348</v>
      </c>
      <c r="C18" s="158">
        <v>2642</v>
      </c>
      <c r="D18" s="158">
        <v>247</v>
      </c>
      <c r="E18" s="158">
        <v>-158</v>
      </c>
      <c r="F18" s="158">
        <v>3112</v>
      </c>
      <c r="G18" s="158">
        <v>2035</v>
      </c>
      <c r="H18" s="158">
        <v>1213</v>
      </c>
      <c r="I18" s="158">
        <v>1630</v>
      </c>
      <c r="J18" s="158">
        <v>2723</v>
      </c>
      <c r="K18" s="158">
        <v>3279</v>
      </c>
      <c r="L18" s="158">
        <v>3561</v>
      </c>
      <c r="M18" s="158">
        <v>3818</v>
      </c>
      <c r="N18" s="158">
        <v>3703</v>
      </c>
      <c r="O18" s="158">
        <v>3838</v>
      </c>
      <c r="P18" s="158">
        <v>5395</v>
      </c>
      <c r="Q18" s="158">
        <v>6643</v>
      </c>
      <c r="R18" s="158">
        <v>1554</v>
      </c>
      <c r="S18" s="158">
        <v>4749</v>
      </c>
      <c r="T18" s="158">
        <v>5435</v>
      </c>
      <c r="U18" s="158">
        <v>5535</v>
      </c>
      <c r="V18" s="158">
        <v>4960</v>
      </c>
      <c r="W18" s="158">
        <v>6773</v>
      </c>
      <c r="X18" s="327">
        <v>7522.0888786262021</v>
      </c>
      <c r="Y18" s="327">
        <v>9097.8927151555927</v>
      </c>
      <c r="Z18" s="327">
        <v>11352.448357158832</v>
      </c>
      <c r="AA18" s="327">
        <v>12321.112727938242</v>
      </c>
      <c r="AB18" s="327">
        <v>13063.825842586481</v>
      </c>
      <c r="AC18" s="193"/>
      <c r="AD18" s="900">
        <f t="shared" si="35"/>
        <v>7.611951955025642E-2</v>
      </c>
      <c r="AE18" s="900">
        <f t="shared" si="32"/>
        <v>0.10853204631118096</v>
      </c>
      <c r="AF18" s="900">
        <f t="shared" si="33"/>
        <v>0.10766120497091025</v>
      </c>
      <c r="AG18" s="900">
        <f t="shared" si="34"/>
        <v>0.15450118214600517</v>
      </c>
    </row>
    <row r="19" spans="1:33" ht="11.25" customHeight="1" collapsed="1">
      <c r="A19" s="108" t="s">
        <v>782</v>
      </c>
      <c r="B19" s="158">
        <f>Divisional!E31+IS!E36+IS!E55</f>
        <v>2102</v>
      </c>
      <c r="C19" s="158">
        <f>Divisional!F31+IS!F36+IS!F55</f>
        <v>2675</v>
      </c>
      <c r="D19" s="158">
        <f>Divisional!G31+IS!G36+IS!G55</f>
        <v>155</v>
      </c>
      <c r="E19" s="158">
        <f>Divisional!H31+IS!H36+IS!H55</f>
        <v>3333</v>
      </c>
      <c r="F19" s="158">
        <f>Divisional!I31+IS!I36+IS!I55</f>
        <v>2858</v>
      </c>
      <c r="G19" s="158">
        <f>Divisional!J31+IS!J36+IS!J55</f>
        <v>1649</v>
      </c>
      <c r="H19" s="158">
        <f>Divisional!K31+IS!K36+IS!K55</f>
        <v>929</v>
      </c>
      <c r="I19" s="158">
        <f>Divisional!L31+IS!L36+IS!L55</f>
        <v>1507</v>
      </c>
      <c r="J19" s="158">
        <f>Divisional!M31+IS!M36+IS!M55</f>
        <v>2541</v>
      </c>
      <c r="K19" s="158">
        <f>Divisional!T31+IS!T36+IS!T55</f>
        <v>3034</v>
      </c>
      <c r="L19" s="158">
        <f>Divisional!AA31+IS!AA36+IS!AA55</f>
        <v>3629</v>
      </c>
      <c r="M19" s="158">
        <f>Divisional!AH31+IS!AH36+IS!AH55</f>
        <v>3663</v>
      </c>
      <c r="N19" s="158">
        <f>Divisional!AO31+IS!AO36+IS!AO55</f>
        <v>3615</v>
      </c>
      <c r="O19" s="158">
        <f>Divisional!AV31+IS!AV36+IS!AV55</f>
        <v>3864</v>
      </c>
      <c r="P19" s="158">
        <f>Divisional!BJ31+IS!BJ36+IS!BJ55</f>
        <v>5558</v>
      </c>
      <c r="Q19" s="158">
        <f>Divisional!BQ31+IS!BQ36+IS!BQ55</f>
        <v>6789</v>
      </c>
      <c r="R19" s="158">
        <f>Divisional!CE31+IS!BX36+IS!BX55</f>
        <v>1410</v>
      </c>
      <c r="S19" s="158">
        <f>Divisional!CL31+IS!CE36+IS!CE55</f>
        <v>4600</v>
      </c>
      <c r="T19" s="158">
        <f>Divisional!CS31+IS!CL36+IS!CL55</f>
        <v>5403</v>
      </c>
      <c r="U19" s="158">
        <f>Divisional!CZ31+IS!CS36+IS!CS55</f>
        <v>5810</v>
      </c>
      <c r="V19" s="158">
        <f>Divisional!DG31+IS!CZ36+IS!CZ55</f>
        <v>5339</v>
      </c>
      <c r="W19" s="158">
        <f>Divisional!DN31+IS!DG36+IS!DG55</f>
        <v>7336</v>
      </c>
      <c r="X19" s="327">
        <f>Divisional!DU31+IS!DN36+IS!DN55</f>
        <v>7698.6031943424005</v>
      </c>
      <c r="Y19" s="327">
        <f>Divisional!EB31+IS!DU36+IS!DU55</f>
        <v>9364.509592204251</v>
      </c>
      <c r="Z19" s="327">
        <f>Divisional!EI31+IS!EB36+IS!EB55</f>
        <v>11718.242220811519</v>
      </c>
      <c r="AA19" s="327">
        <f>Divisional!EP31+IS!EI36+IS!EI55</f>
        <v>12818.164675007225</v>
      </c>
      <c r="AB19" s="327">
        <f>Divisional!EW31+IS!EP36+IS!EP55</f>
        <v>13689.910441045637</v>
      </c>
      <c r="AC19" s="193"/>
      <c r="AD19" s="900">
        <f t="shared" si="35"/>
        <v>0.10732418403804833</v>
      </c>
      <c r="AE19" s="900">
        <f t="shared" si="32"/>
        <v>0.11627195631722054</v>
      </c>
      <c r="AF19" s="900">
        <f t="shared" si="33"/>
        <v>9.8361414542301961E-2</v>
      </c>
      <c r="AG19" s="900">
        <f t="shared" si="34"/>
        <v>0.15063417186433448</v>
      </c>
    </row>
    <row r="20" spans="1:33" ht="11.25" customHeight="1">
      <c r="A20" s="108" t="s">
        <v>783</v>
      </c>
      <c r="B20" s="158">
        <v>1342</v>
      </c>
      <c r="C20" s="158">
        <v>1769</v>
      </c>
      <c r="D20" s="158">
        <v>199</v>
      </c>
      <c r="E20" s="158">
        <v>-433</v>
      </c>
      <c r="F20" s="158">
        <v>1613</v>
      </c>
      <c r="G20" s="158">
        <v>1219.8971193415637</v>
      </c>
      <c r="H20" s="158">
        <v>632.5</v>
      </c>
      <c r="I20" s="158">
        <v>1132</v>
      </c>
      <c r="J20" s="158">
        <v>1807</v>
      </c>
      <c r="K20" s="158">
        <v>2236</v>
      </c>
      <c r="L20" s="158">
        <f>IS!AA57</f>
        <v>2601</v>
      </c>
      <c r="M20" s="158">
        <f>IS!AH57</f>
        <v>2662</v>
      </c>
      <c r="N20" s="158">
        <f>IS!AO57</f>
        <v>2562</v>
      </c>
      <c r="O20" s="158">
        <f>IS!AV57</f>
        <v>2836</v>
      </c>
      <c r="P20" s="158">
        <f>IS!BJ57</f>
        <v>4045</v>
      </c>
      <c r="Q20" s="158">
        <f>IS!BQ57</f>
        <v>4715</v>
      </c>
      <c r="R20" s="158">
        <f>IS!BX57</f>
        <v>1068</v>
      </c>
      <c r="S20" s="158">
        <f>IS!CE57</f>
        <v>3397</v>
      </c>
      <c r="T20" s="158">
        <f>IS!CL57</f>
        <v>4055</v>
      </c>
      <c r="U20" s="158">
        <f>IS!CS57</f>
        <v>4417</v>
      </c>
      <c r="V20" s="158">
        <f>IS!CZ57</f>
        <v>3992</v>
      </c>
      <c r="W20" s="158">
        <f>IS!DG57</f>
        <v>5437</v>
      </c>
      <c r="X20" s="327">
        <f>IS!DN57</f>
        <v>6023.9523957568008</v>
      </c>
      <c r="Y20" s="327">
        <f>IS!DU57</f>
        <v>7273.3821941531878</v>
      </c>
      <c r="Z20" s="327">
        <f>IS!EB57</f>
        <v>9038.6816656086412</v>
      </c>
      <c r="AA20" s="327">
        <f>IS!EI57</f>
        <v>9863.6235062554188</v>
      </c>
      <c r="AB20" s="327">
        <f>IS!EP57</f>
        <v>10517.432830784228</v>
      </c>
      <c r="AC20" s="108"/>
      <c r="AD20" s="900">
        <f t="shared" si="35"/>
        <v>0.10269691143312021</v>
      </c>
      <c r="AE20" s="900">
        <f t="shared" si="32"/>
        <v>0.12395548252195643</v>
      </c>
      <c r="AF20" s="900">
        <f t="shared" si="33"/>
        <v>0.10896552184295549</v>
      </c>
      <c r="AG20" s="900">
        <f t="shared" si="34"/>
        <v>0.15397270990176914</v>
      </c>
    </row>
    <row r="21" spans="1:33" ht="11.25" customHeight="1">
      <c r="A21" s="108" t="s">
        <v>786</v>
      </c>
      <c r="B21" s="227">
        <f>IS!E61</f>
        <v>1.5018069715265325</v>
      </c>
      <c r="C21" s="227">
        <f>IS!F61</f>
        <v>2.1101399727325534</v>
      </c>
      <c r="D21" s="227">
        <f>IS!G61</f>
        <v>0.12365247571745704</v>
      </c>
      <c r="E21" s="227">
        <f>IS!H61</f>
        <v>-0.5591482533771609</v>
      </c>
      <c r="F21" s="227">
        <f>IS!I61</f>
        <v>1.9480065623186056</v>
      </c>
      <c r="G21" s="227">
        <f>IS!J61</f>
        <v>1.50660568846147</v>
      </c>
      <c r="H21" s="227">
        <f>IS!K65</f>
        <v>0.78019669591324958</v>
      </c>
      <c r="I21" s="227">
        <f>IS!L65</f>
        <v>1.3932187661152458</v>
      </c>
      <c r="J21" s="227">
        <f>IS!M65</f>
        <v>2.2431642145684259</v>
      </c>
      <c r="K21" s="227">
        <f>IS!T65</f>
        <v>2.8114740272887273</v>
      </c>
      <c r="L21" s="227">
        <f>IS!AA65</f>
        <v>3.3641462865422325</v>
      </c>
      <c r="M21" s="227">
        <f>IS!AH65</f>
        <v>3.4100407988151553</v>
      </c>
      <c r="N21" s="227">
        <f>IS!AO65</f>
        <v>3.3109380338859307</v>
      </c>
      <c r="O21" s="227">
        <f>IS!AV65</f>
        <v>3.6651590223714043</v>
      </c>
      <c r="P21" s="227">
        <f>IS!BJ65</f>
        <v>5.2182240596557383</v>
      </c>
      <c r="Q21" s="227">
        <f>IS!BQ65</f>
        <v>6.0678998013509879</v>
      </c>
      <c r="R21" s="227">
        <f>IS!BX65</f>
        <v>1.3636743365342257</v>
      </c>
      <c r="S21" s="227">
        <f>IS!CE65</f>
        <v>4.3255917668665109</v>
      </c>
      <c r="T21" s="227">
        <f>IS!CL65</f>
        <v>5.151950268105904</v>
      </c>
      <c r="U21" s="227">
        <f>IS!CS65</f>
        <v>5.6002074721553647</v>
      </c>
      <c r="V21" s="227">
        <f>IS!CZ65</f>
        <v>5.0534097368883613</v>
      </c>
      <c r="W21" s="227">
        <f>IS!DG65</f>
        <v>6.8859985502066419</v>
      </c>
      <c r="X21" s="479">
        <f>IS!DN65</f>
        <v>7.6634282736893917</v>
      </c>
      <c r="Y21" s="479">
        <f>IS!DU65</f>
        <v>9.3025610256946578</v>
      </c>
      <c r="Z21" s="479">
        <f>IS!EB65</f>
        <v>11.644818637866521</v>
      </c>
      <c r="AA21" s="479">
        <f>IS!EI65</f>
        <v>12.78886799681961</v>
      </c>
      <c r="AB21" s="479">
        <f>IS!EP65</f>
        <v>13.677251509283574</v>
      </c>
      <c r="AC21" s="227"/>
      <c r="AD21" s="900">
        <f t="shared" si="35"/>
        <v>0.10153530612567407</v>
      </c>
      <c r="AE21" s="900">
        <f t="shared" si="32"/>
        <v>0.12544991607340394</v>
      </c>
      <c r="AF21" s="900">
        <f t="shared" si="33"/>
        <v>0.11021304694932099</v>
      </c>
      <c r="AG21" s="900">
        <f t="shared" si="34"/>
        <v>0.15767251471391863</v>
      </c>
    </row>
    <row r="22" spans="1:33" ht="11.25" customHeight="1">
      <c r="A22" s="108" t="s">
        <v>787</v>
      </c>
      <c r="B22" s="1786">
        <f>IS!E62</f>
        <v>1.4961144452782227</v>
      </c>
      <c r="C22" s="1786">
        <f>IS!F62</f>
        <v>2.0944335787649169</v>
      </c>
      <c r="D22" s="1786">
        <f>IS!G62</f>
        <v>0.1230860028645246</v>
      </c>
      <c r="E22" s="1786">
        <f>IS!H62</f>
        <v>-0.55366008975542613</v>
      </c>
      <c r="F22" s="1786">
        <f>IS!I62</f>
        <v>1.9465155428981304</v>
      </c>
      <c r="G22" s="1786">
        <f>IS!J62</f>
        <v>1.5038362768378115</v>
      </c>
      <c r="H22" s="227">
        <f>IS!K66</f>
        <v>0.78019636966574357</v>
      </c>
      <c r="I22" s="227">
        <f>IS!L66</f>
        <v>1.3911726897562007</v>
      </c>
      <c r="J22" s="227">
        <f>IS!M66</f>
        <v>2.2399557304801467</v>
      </c>
      <c r="K22" s="227">
        <f>IS!T66</f>
        <v>2.8055937171987626</v>
      </c>
      <c r="L22" s="227">
        <f>IS!AA66</f>
        <v>3.3590265752167556</v>
      </c>
      <c r="M22" s="227">
        <f>IS!AH66</f>
        <v>3.3976261565253583</v>
      </c>
      <c r="N22" s="227">
        <f>IS!AO66</f>
        <v>3.288369041012269</v>
      </c>
      <c r="O22" s="227">
        <f>IS!AV66</f>
        <v>3.6391576172391198</v>
      </c>
      <c r="P22" s="227">
        <f>IS!BJ66</f>
        <v>5.1796351374861738</v>
      </c>
      <c r="Q22" s="227">
        <f>IS!BQ66</f>
        <v>6.0678998013509879</v>
      </c>
      <c r="R22" s="227">
        <f>IS!BX66</f>
        <v>1.3636743365342257</v>
      </c>
      <c r="S22" s="227">
        <f>IS!CE66</f>
        <v>4.3224218795727714</v>
      </c>
      <c r="T22" s="227">
        <f>IS!CL66</f>
        <v>5.1475494265823531</v>
      </c>
      <c r="U22" s="227">
        <f>IS!CS66</f>
        <v>5.5928340887008474</v>
      </c>
      <c r="V22" s="227">
        <f>IS!CZ66</f>
        <v>5.0468331642127993</v>
      </c>
      <c r="W22" s="227">
        <f>IS!DG66</f>
        <v>6.8745152562701959</v>
      </c>
      <c r="X22" s="479">
        <f>IS!DN66</f>
        <v>7.6505915737065111</v>
      </c>
      <c r="Y22" s="479">
        <f>IS!DU66</f>
        <v>9.2868951934886699</v>
      </c>
      <c r="Z22" s="479">
        <f>IS!EB66</f>
        <v>11.625065329318621</v>
      </c>
      <c r="AA22" s="479">
        <f>IS!EI66</f>
        <v>12.767035545882884</v>
      </c>
      <c r="AB22" s="479">
        <f>IS!EP66</f>
        <v>13.653832933578046</v>
      </c>
      <c r="AC22" s="108"/>
      <c r="AD22" s="900">
        <f t="shared" si="35"/>
        <v>0.10123629912329646</v>
      </c>
      <c r="AE22" s="900">
        <f t="shared" si="32"/>
        <v>0.12526290884159286</v>
      </c>
      <c r="AF22" s="900">
        <f t="shared" si="33"/>
        <v>0.1100802105620442</v>
      </c>
      <c r="AG22" s="900">
        <f t="shared" si="34"/>
        <v>0.15758447395772257</v>
      </c>
    </row>
    <row r="23" spans="1:33" ht="11.25" customHeight="1">
      <c r="A23" s="108" t="s">
        <v>210</v>
      </c>
      <c r="B23" s="227">
        <f>BS!E261</f>
        <v>0.5</v>
      </c>
      <c r="C23" s="227">
        <f>BS!F261</f>
        <v>0.65</v>
      </c>
      <c r="D23" s="227">
        <f>BS!G261</f>
        <v>0.12</v>
      </c>
      <c r="E23" s="227">
        <f>BS!H261</f>
        <v>0.12</v>
      </c>
      <c r="F23" s="227">
        <f>BS!I261</f>
        <v>0.2</v>
      </c>
      <c r="G23" s="227">
        <f>BS!J261</f>
        <v>0</v>
      </c>
      <c r="H23" s="227">
        <f>BS!K261</f>
        <v>0.22</v>
      </c>
      <c r="I23" s="227">
        <f>BS!L261</f>
        <v>0.45</v>
      </c>
      <c r="J23" s="227">
        <f>BS!M261</f>
        <v>0.6</v>
      </c>
      <c r="K23" s="227">
        <f>BS!T261</f>
        <v>0.75</v>
      </c>
      <c r="L23" s="227">
        <f>BS!AA261</f>
        <v>1.2</v>
      </c>
      <c r="M23" s="227">
        <f>BS!AH261</f>
        <v>1.3</v>
      </c>
      <c r="N23" s="227">
        <f>BS!AO261</f>
        <v>1.35</v>
      </c>
      <c r="O23" s="227">
        <f>BS!AV261</f>
        <v>1.5</v>
      </c>
      <c r="P23" s="227">
        <f>BS!BJ261</f>
        <v>1.65</v>
      </c>
      <c r="Q23" s="227">
        <f>BS!BQ261</f>
        <v>0</v>
      </c>
      <c r="R23" s="227">
        <f>BS!BX261</f>
        <v>0</v>
      </c>
      <c r="S23" s="227">
        <f>BS!CE261</f>
        <v>1.5</v>
      </c>
      <c r="T23" s="227">
        <f>BS!CL261</f>
        <v>1.8</v>
      </c>
      <c r="U23" s="227">
        <f>BS!CS261</f>
        <v>2.8</v>
      </c>
      <c r="V23" s="227">
        <f>BS!CZ261</f>
        <v>3</v>
      </c>
      <c r="W23" s="227">
        <f>BS!DG261</f>
        <v>3.2</v>
      </c>
      <c r="X23" s="479">
        <f>BS!DN261</f>
        <v>3.0653713094757569</v>
      </c>
      <c r="Y23" s="479">
        <f>BS!DU261</f>
        <v>3.7210244102778631</v>
      </c>
      <c r="Z23" s="479">
        <f>BS!EB261</f>
        <v>4.6579274551466083</v>
      </c>
      <c r="AA23" s="479">
        <f>BS!EI261</f>
        <v>5.1155471987278442</v>
      </c>
      <c r="AB23" s="479">
        <f>BS!EP261</f>
        <v>5.4709006037134298</v>
      </c>
      <c r="AC23" s="108"/>
      <c r="AD23" s="900">
        <f t="shared" si="35"/>
        <v>0.21141372855475971</v>
      </c>
      <c r="AE23" s="900">
        <f t="shared" si="32"/>
        <v>0.15631990791469197</v>
      </c>
      <c r="AF23" s="900">
        <f t="shared" si="33"/>
        <v>3.0643223978443102E-2</v>
      </c>
      <c r="AG23" s="900">
        <f t="shared" si="34"/>
        <v>0.10715120688277602</v>
      </c>
    </row>
    <row r="24" spans="1:33" ht="11.25" customHeight="1">
      <c r="A24" s="108" t="s">
        <v>52</v>
      </c>
      <c r="B24" s="1438">
        <v>1714</v>
      </c>
      <c r="C24" s="1438">
        <v>2544</v>
      </c>
      <c r="D24" s="1438">
        <v>2111</v>
      </c>
      <c r="E24" s="1438">
        <v>3354</v>
      </c>
      <c r="F24" s="1438">
        <v>2824</v>
      </c>
      <c r="G24" s="1438">
        <v>606</v>
      </c>
      <c r="H24" s="1438">
        <v>2745</v>
      </c>
      <c r="I24" s="1438">
        <v>2493</v>
      </c>
      <c r="J24" s="1438">
        <v>1449</v>
      </c>
      <c r="K24" s="1438">
        <v>-818</v>
      </c>
      <c r="L24" s="1438">
        <f>CFS!AA74</f>
        <v>1109</v>
      </c>
      <c r="M24" s="1438">
        <f>CFS!AH74</f>
        <v>1175</v>
      </c>
      <c r="N24" s="1438">
        <f>CFS!AO74</f>
        <v>1156</v>
      </c>
      <c r="O24" s="1438">
        <f>CFS!AV74</f>
        <v>2849</v>
      </c>
      <c r="P24" s="1438">
        <f>CFS!BJ74</f>
        <v>2991</v>
      </c>
      <c r="Q24" s="818">
        <f>CFS!BQ74</f>
        <v>3567</v>
      </c>
      <c r="R24" s="818">
        <f>CFS!BX74</f>
        <v>-6811</v>
      </c>
      <c r="S24" s="158">
        <f>CFS!CE58</f>
        <v>3425</v>
      </c>
      <c r="T24" s="158">
        <f>CFS!CL58</f>
        <v>4670</v>
      </c>
      <c r="U24" s="158">
        <f>CFS!CS58</f>
        <v>4097</v>
      </c>
      <c r="V24" s="158">
        <f>CFS!CZ58</f>
        <v>4461</v>
      </c>
      <c r="W24" s="158">
        <f>CFS!DG58</f>
        <v>4753</v>
      </c>
      <c r="X24" s="327">
        <f>CFS!DN58</f>
        <v>5119.7231440320711</v>
      </c>
      <c r="Y24" s="327">
        <f>CFS!DU58</f>
        <v>6599.6673217219686</v>
      </c>
      <c r="Z24" s="327">
        <f>CFS!EB58</f>
        <v>9061.947274948745</v>
      </c>
      <c r="AA24" s="327">
        <f>CFS!EI58</f>
        <v>9848.8051317100744</v>
      </c>
      <c r="AB24" s="327">
        <f>CFS!EP58</f>
        <v>10717.474234714093</v>
      </c>
      <c r="AC24" s="158"/>
      <c r="AD24" s="900">
        <f t="shared" si="35"/>
        <v>5.8895844545279186E-3</v>
      </c>
      <c r="AE24" s="900">
        <f t="shared" si="32"/>
        <v>7.1620548521333927E-2</v>
      </c>
      <c r="AF24" s="900">
        <f t="shared" si="33"/>
        <v>7.7110280060081804E-2</v>
      </c>
      <c r="AG24" s="900">
        <f t="shared" si="34"/>
        <v>0.17206342417529541</v>
      </c>
    </row>
    <row r="25" spans="1:33" ht="11.25" customHeight="1">
      <c r="A25" s="108" t="s">
        <v>853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438">
        <f>CFS!AO76</f>
        <v>1408</v>
      </c>
      <c r="O25" s="1438">
        <f>CFS!BC76</f>
        <v>2949</v>
      </c>
      <c r="P25" s="1438">
        <f>CFS!BJ76</f>
        <v>2912</v>
      </c>
      <c r="Q25" s="818">
        <f>CFS!BQ76</f>
        <v>3509</v>
      </c>
      <c r="R25" s="818">
        <f>CFS!BX76</f>
        <v>-6935</v>
      </c>
      <c r="S25" s="158">
        <f>CFS!CE60</f>
        <v>3397</v>
      </c>
      <c r="T25" s="158">
        <f>CFS!CL60</f>
        <v>4816</v>
      </c>
      <c r="U25" s="158">
        <f>CFS!CS60</f>
        <v>4533</v>
      </c>
      <c r="V25" s="158">
        <f>CFS!CZ60</f>
        <v>4463</v>
      </c>
      <c r="W25" s="158">
        <f>CFS!DG60</f>
        <v>4574</v>
      </c>
      <c r="X25" s="327">
        <f>CFS!DN60</f>
        <v>4996.7231440320711</v>
      </c>
      <c r="Y25" s="327">
        <f>CFS!DU60</f>
        <v>6599.6673217219686</v>
      </c>
      <c r="Z25" s="327">
        <f>CFS!EB60</f>
        <v>9061.947274948745</v>
      </c>
      <c r="AA25" s="327">
        <f>CFS!EI60</f>
        <v>9848.8051317100744</v>
      </c>
      <c r="AB25" s="327">
        <f>CFS!EP60</f>
        <v>10717.474234714093</v>
      </c>
      <c r="AC25" s="158"/>
      <c r="AD25" s="900">
        <f t="shared" si="35"/>
        <v>-1.7038380780934448E-2</v>
      </c>
      <c r="AE25" s="900">
        <f t="shared" si="32"/>
        <v>6.5042928490861573E-2</v>
      </c>
      <c r="AF25" s="900">
        <f t="shared" si="33"/>
        <v>3.2998892631384225E-2</v>
      </c>
      <c r="AG25" s="900">
        <f t="shared" si="34"/>
        <v>0.14859563734323178</v>
      </c>
    </row>
    <row r="26" spans="1:33" ht="11.25" customHeight="1">
      <c r="A26" s="108"/>
      <c r="B26" s="1786"/>
      <c r="C26" s="1786"/>
      <c r="D26" s="1786"/>
      <c r="E26" s="1786"/>
      <c r="F26" s="1786"/>
      <c r="G26" s="1786"/>
      <c r="H26" s="227"/>
      <c r="I26" s="227"/>
      <c r="J26" s="227"/>
      <c r="K26" s="227"/>
      <c r="L26" s="227"/>
      <c r="M26" s="227"/>
      <c r="N26" s="227"/>
      <c r="O26" s="227"/>
      <c r="P26" s="119"/>
      <c r="Q26" s="119"/>
      <c r="R26" s="119"/>
      <c r="S26" s="119"/>
      <c r="T26" s="277"/>
      <c r="U26" s="277"/>
      <c r="V26" s="277"/>
      <c r="W26" s="277"/>
      <c r="X26" s="112"/>
      <c r="Y26" s="112"/>
      <c r="Z26" s="112"/>
      <c r="AA26" s="112"/>
      <c r="AB26" s="112"/>
      <c r="AC26" s="108"/>
      <c r="AD26" s="134"/>
      <c r="AE26" s="108"/>
      <c r="AF26" s="108"/>
      <c r="AG26" s="108"/>
    </row>
    <row r="27" spans="1:33" ht="11.25" customHeight="1">
      <c r="A27" s="1250" t="s">
        <v>37</v>
      </c>
      <c r="B27" s="1784"/>
      <c r="C27" s="1784"/>
      <c r="D27" s="1784"/>
      <c r="E27" s="1784"/>
      <c r="F27" s="1784"/>
      <c r="G27" s="1784"/>
      <c r="H27" s="1784"/>
      <c r="I27" s="1784"/>
      <c r="J27" s="1784"/>
      <c r="K27" s="1784"/>
      <c r="L27" s="1784"/>
      <c r="M27" s="1784"/>
      <c r="N27" s="1784"/>
      <c r="O27" s="1784"/>
      <c r="P27" s="1784"/>
      <c r="Q27" s="1784"/>
      <c r="R27" s="1784"/>
      <c r="S27" s="1784"/>
      <c r="T27" s="1784"/>
      <c r="U27" s="1784"/>
      <c r="V27" s="1784"/>
      <c r="W27" s="1784"/>
      <c r="X27" s="1785"/>
      <c r="Y27" s="1785"/>
      <c r="Z27" s="1785"/>
      <c r="AA27" s="1785"/>
      <c r="AB27" s="1785"/>
      <c r="AC27" s="108"/>
      <c r="AD27" s="134"/>
      <c r="AE27" s="108"/>
      <c r="AF27" s="108"/>
      <c r="AG27" s="108"/>
    </row>
    <row r="28" spans="1:33" ht="11.25" customHeight="1">
      <c r="A28" s="193" t="s">
        <v>415</v>
      </c>
      <c r="B28" s="193"/>
      <c r="C28" s="193">
        <f>C12/B12-1</f>
        <v>7.6981203362614492E-2</v>
      </c>
      <c r="D28" s="193">
        <f t="shared" ref="D28:S28" si="36">D12/C12-1</f>
        <v>0.15283868327194061</v>
      </c>
      <c r="E28" s="193">
        <f t="shared" si="36"/>
        <v>-7.8865953238321795E-3</v>
      </c>
      <c r="F28" s="193">
        <f t="shared" si="36"/>
        <v>0.10587122664417348</v>
      </c>
      <c r="G28" s="193">
        <f t="shared" si="36"/>
        <v>-1.0239223390731578E-2</v>
      </c>
      <c r="H28" s="193">
        <f t="shared" si="36"/>
        <v>6.8422773340806042E-2</v>
      </c>
      <c r="I28" s="193">
        <f t="shared" si="36"/>
        <v>7.3789123972722415E-2</v>
      </c>
      <c r="J28" s="193">
        <f t="shared" si="36"/>
        <v>0.1496498941540465</v>
      </c>
      <c r="K28" s="193">
        <f t="shared" si="36"/>
        <v>1.9245750708215326E-2</v>
      </c>
      <c r="L28" s="193">
        <f t="shared" si="36"/>
        <v>5.4649365087636959E-2</v>
      </c>
      <c r="M28" s="193">
        <f t="shared" si="36"/>
        <v>6.1551891687118054E-2</v>
      </c>
      <c r="N28" s="193">
        <f t="shared" si="36"/>
        <v>3.3064391000775739E-2</v>
      </c>
      <c r="O28" s="193">
        <f t="shared" si="36"/>
        <v>2.7935897628452722E-3</v>
      </c>
      <c r="P28" s="193">
        <f t="shared" si="36"/>
        <v>-4.5831024308415791E-2</v>
      </c>
      <c r="Q28" s="193">
        <f t="shared" si="36"/>
        <v>0.10628345393755789</v>
      </c>
      <c r="R28" s="193">
        <f t="shared" si="36"/>
        <v>-0.29180737251340849</v>
      </c>
      <c r="S28" s="193">
        <f t="shared" si="36"/>
        <v>4.4818881230966445E-2</v>
      </c>
      <c r="T28" s="193">
        <f t="shared" ref="T28:AB28" si="37">T12/S12-1</f>
        <v>0.12682889413028064</v>
      </c>
      <c r="U28" s="193">
        <f t="shared" si="37"/>
        <v>0.11372802613889688</v>
      </c>
      <c r="V28" s="193">
        <f t="shared" si="37"/>
        <v>5.7818659658344318E-2</v>
      </c>
      <c r="W28" s="193">
        <f t="shared" si="37"/>
        <v>6.0522894698829877E-2</v>
      </c>
      <c r="X28" s="599">
        <f t="shared" si="37"/>
        <v>9.7223424552672189E-2</v>
      </c>
      <c r="Y28" s="599">
        <f t="shared" si="37"/>
        <v>0.11294752798738994</v>
      </c>
      <c r="Z28" s="599">
        <f t="shared" si="37"/>
        <v>8.8759999083123375E-2</v>
      </c>
      <c r="AA28" s="599">
        <f t="shared" si="37"/>
        <v>4.5108565778766208E-2</v>
      </c>
      <c r="AB28" s="599">
        <f t="shared" si="37"/>
        <v>3.4463513853827843E-2</v>
      </c>
      <c r="AC28" s="193"/>
      <c r="AD28" s="157"/>
      <c r="AE28" s="193"/>
      <c r="AF28" s="193"/>
      <c r="AG28" s="193"/>
    </row>
    <row r="29" spans="1:33" ht="11.25" customHeight="1">
      <c r="A29" s="193" t="s">
        <v>784</v>
      </c>
      <c r="B29" s="193"/>
      <c r="C29" s="193">
        <f>C15/B15-1</f>
        <v>1.98326359832636</v>
      </c>
      <c r="D29" s="193">
        <f t="shared" ref="D29:S29" si="38">D15/C15-1</f>
        <v>-0.1183380084151473</v>
      </c>
      <c r="E29" s="193">
        <f t="shared" si="38"/>
        <v>-0.25293298866573877</v>
      </c>
      <c r="F29" s="193">
        <f t="shared" si="38"/>
        <v>-0.17247804099015174</v>
      </c>
      <c r="G29" s="193">
        <f t="shared" si="38"/>
        <v>6.9154068832421922E-2</v>
      </c>
      <c r="H29" s="193">
        <f t="shared" si="38"/>
        <v>0.4587845968712394</v>
      </c>
      <c r="I29" s="193">
        <f t="shared" si="38"/>
        <v>0.14497834605073212</v>
      </c>
      <c r="J29" s="193">
        <f t="shared" si="38"/>
        <v>7.2406340057636909E-2</v>
      </c>
      <c r="K29" s="193">
        <f t="shared" si="38"/>
        <v>4.7866980181390684E-2</v>
      </c>
      <c r="L29" s="193">
        <f t="shared" si="38"/>
        <v>2.532457124539178E-2</v>
      </c>
      <c r="M29" s="193">
        <f t="shared" si="38"/>
        <v>1.6570267312802978E-2</v>
      </c>
      <c r="N29" s="193">
        <f t="shared" si="38"/>
        <v>-0.15608180839612484</v>
      </c>
      <c r="O29" s="193">
        <f t="shared" si="38"/>
        <v>0.48177842565597673</v>
      </c>
      <c r="P29" s="193">
        <f t="shared" si="38"/>
        <v>0.15469749139203137</v>
      </c>
      <c r="Q29" s="193">
        <f t="shared" si="38"/>
        <v>5.1437699680511262E-2</v>
      </c>
      <c r="R29" s="193">
        <f t="shared" si="38"/>
        <v>-0.54046389142104734</v>
      </c>
      <c r="S29" s="193">
        <f t="shared" si="38"/>
        <v>0.58474763059290269</v>
      </c>
      <c r="T29" s="193">
        <f t="shared" ref="T29:AB29" si="39">T15/S15-1</f>
        <v>0.16036161335187771</v>
      </c>
      <c r="U29" s="193">
        <f t="shared" si="39"/>
        <v>-3.1523432817931241E-2</v>
      </c>
      <c r="V29" s="193">
        <f t="shared" si="39"/>
        <v>1.5717821782178287E-2</v>
      </c>
      <c r="W29" s="193">
        <f t="shared" si="39"/>
        <v>0.25539173875959542</v>
      </c>
      <c r="X29" s="599">
        <f t="shared" si="39"/>
        <v>0.12050310797620556</v>
      </c>
      <c r="Y29" s="599">
        <f t="shared" si="39"/>
        <v>0.17639718011835104</v>
      </c>
      <c r="Z29" s="599">
        <f t="shared" si="39"/>
        <v>0.19556458032844937</v>
      </c>
      <c r="AA29" s="599">
        <f t="shared" si="39"/>
        <v>7.3257309954592342E-2</v>
      </c>
      <c r="AB29" s="599">
        <f t="shared" si="39"/>
        <v>5.2699414499457475E-2</v>
      </c>
      <c r="AC29" s="193"/>
      <c r="AD29" s="157"/>
      <c r="AE29" s="193"/>
      <c r="AF29" s="193"/>
      <c r="AG29" s="193"/>
    </row>
    <row r="30" spans="1:33" ht="11.25" customHeight="1">
      <c r="A30" s="193" t="s">
        <v>785</v>
      </c>
      <c r="B30" s="193"/>
      <c r="C30" s="193">
        <f>C17/B17-1</f>
        <v>0.17269736842105265</v>
      </c>
      <c r="D30" s="193">
        <f t="shared" ref="D30:S30" si="40">D17/C17-1</f>
        <v>-0.86009817671809263</v>
      </c>
      <c r="E30" s="193">
        <f t="shared" si="40"/>
        <v>-0.86967418546365916</v>
      </c>
      <c r="F30" s="193">
        <f t="shared" si="40"/>
        <v>62.46153846153846</v>
      </c>
      <c r="G30" s="193">
        <f t="shared" si="40"/>
        <v>-0.34848484848484851</v>
      </c>
      <c r="H30" s="193">
        <f t="shared" si="40"/>
        <v>-0.37674418604651161</v>
      </c>
      <c r="I30" s="193">
        <f t="shared" si="40"/>
        <v>0.33880597014925362</v>
      </c>
      <c r="J30" s="193">
        <f t="shared" si="40"/>
        <v>0.65217391304347827</v>
      </c>
      <c r="K30" s="193">
        <f t="shared" si="40"/>
        <v>0.20580296896086381</v>
      </c>
      <c r="L30" s="193">
        <f t="shared" si="40"/>
        <v>0.13766088416340239</v>
      </c>
      <c r="M30" s="193">
        <f t="shared" si="40"/>
        <v>1.6232169208066916E-2</v>
      </c>
      <c r="N30" s="193">
        <f t="shared" si="40"/>
        <v>-4.2836398838334899E-2</v>
      </c>
      <c r="O30" s="193">
        <f t="shared" si="40"/>
        <v>-0.19342604298356514</v>
      </c>
      <c r="P30" s="193">
        <f t="shared" si="40"/>
        <v>0.82884012539184959</v>
      </c>
      <c r="Q30" s="193">
        <f t="shared" si="40"/>
        <v>0.19060678779568052</v>
      </c>
      <c r="R30" s="193">
        <f t="shared" si="40"/>
        <v>-0.75439101641232365</v>
      </c>
      <c r="S30" s="193">
        <f t="shared" si="40"/>
        <v>1.8516998827667059</v>
      </c>
      <c r="T30" s="193">
        <f t="shared" ref="T30:AB30" si="41">T17/S17-1</f>
        <v>0.15662898252826318</v>
      </c>
      <c r="U30" s="193">
        <f t="shared" si="41"/>
        <v>3.7497778567620488E-2</v>
      </c>
      <c r="V30" s="193">
        <f t="shared" si="41"/>
        <v>-8.2905104487838277E-2</v>
      </c>
      <c r="W30" s="193">
        <f t="shared" si="41"/>
        <v>0.33134105341800524</v>
      </c>
      <c r="X30" s="599">
        <f t="shared" si="41"/>
        <v>0.10993310807272727</v>
      </c>
      <c r="Y30" s="599">
        <f t="shared" si="41"/>
        <v>0.20473707740594915</v>
      </c>
      <c r="Z30" s="599">
        <f t="shared" si="41"/>
        <v>0.2405767766130702</v>
      </c>
      <c r="AA30" s="599">
        <f t="shared" si="41"/>
        <v>8.3721123906022488E-2</v>
      </c>
      <c r="AB30" s="599">
        <f t="shared" si="41"/>
        <v>5.9285940777843882E-2</v>
      </c>
      <c r="AC30" s="193"/>
      <c r="AD30" s="157"/>
      <c r="AE30" s="193"/>
      <c r="AF30" s="193"/>
      <c r="AG30" s="193"/>
    </row>
    <row r="31" spans="1:33" ht="11.25" customHeight="1">
      <c r="A31" s="1787" t="s">
        <v>825</v>
      </c>
      <c r="B31" s="1786"/>
      <c r="C31" s="201">
        <f>C21/B21-1</f>
        <v>0.40506737066726517</v>
      </c>
      <c r="D31" s="201">
        <f t="shared" ref="D31:Q31" si="42">D21/C21-1</f>
        <v>-0.94140081827968425</v>
      </c>
      <c r="E31" s="201">
        <f t="shared" si="42"/>
        <v>-5.5219333469295133</v>
      </c>
      <c r="F31" s="201">
        <f t="shared" si="42"/>
        <v>-4.4838820483708481</v>
      </c>
      <c r="G31" s="201">
        <f t="shared" si="42"/>
        <v>-0.22659106103408622</v>
      </c>
      <c r="H31" s="201">
        <f t="shared" si="42"/>
        <v>-0.48214937598571106</v>
      </c>
      <c r="I31" s="201">
        <f t="shared" si="42"/>
        <v>0.78572759076405818</v>
      </c>
      <c r="J31" s="201">
        <f t="shared" si="42"/>
        <v>0.61005885732009535</v>
      </c>
      <c r="K31" s="201">
        <f t="shared" si="42"/>
        <v>0.25335185405926319</v>
      </c>
      <c r="L31" s="201">
        <f t="shared" si="42"/>
        <v>0.19657740170784366</v>
      </c>
      <c r="M31" s="201">
        <f t="shared" si="42"/>
        <v>1.3642246312687734E-2</v>
      </c>
      <c r="N31" s="201">
        <f t="shared" si="42"/>
        <v>-2.906204669564616E-2</v>
      </c>
      <c r="O31" s="201">
        <f t="shared" si="42"/>
        <v>0.10698508545318108</v>
      </c>
      <c r="P31" s="201">
        <f t="shared" si="42"/>
        <v>0.42373742252511626</v>
      </c>
      <c r="Q31" s="201">
        <f t="shared" si="42"/>
        <v>0.16282852786342517</v>
      </c>
      <c r="R31" s="201">
        <f t="shared" ref="R31:AB31" si="43">R21/Q21-1</f>
        <v>-0.77526419664500557</v>
      </c>
      <c r="S31" s="201">
        <f t="shared" si="43"/>
        <v>2.172012298669483</v>
      </c>
      <c r="T31" s="201">
        <f t="shared" si="43"/>
        <v>0.19103941050775886</v>
      </c>
      <c r="U31" s="201">
        <f t="shared" si="43"/>
        <v>8.7007284760584724E-2</v>
      </c>
      <c r="V31" s="201">
        <f t="shared" si="43"/>
        <v>-9.7638835344176278E-2</v>
      </c>
      <c r="W31" s="201">
        <f t="shared" si="43"/>
        <v>0.36264401834288984</v>
      </c>
      <c r="X31" s="333">
        <f t="shared" si="43"/>
        <v>0.11290007074709885</v>
      </c>
      <c r="Y31" s="333">
        <f t="shared" si="43"/>
        <v>0.21389027122924209</v>
      </c>
      <c r="Z31" s="333">
        <f t="shared" si="43"/>
        <v>0.2517863205306905</v>
      </c>
      <c r="AA31" s="333">
        <f t="shared" si="43"/>
        <v>9.824535654276989E-2</v>
      </c>
      <c r="AB31" s="333">
        <f t="shared" si="43"/>
        <v>6.9465375096911641E-2</v>
      </c>
      <c r="AC31" s="108"/>
      <c r="AD31" s="108"/>
      <c r="AE31" s="108"/>
      <c r="AF31" s="108"/>
      <c r="AG31" s="108"/>
    </row>
    <row r="32" spans="1:33" ht="11.25" customHeight="1">
      <c r="A32" s="1787"/>
      <c r="B32" s="1786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108"/>
      <c r="AD32" s="108"/>
      <c r="AE32" s="108"/>
      <c r="AF32" s="108"/>
      <c r="AG32" s="108"/>
    </row>
    <row r="33" spans="1:33" ht="11.25" customHeight="1">
      <c r="A33" s="1250" t="s">
        <v>788</v>
      </c>
      <c r="B33" s="1784"/>
      <c r="C33" s="1784"/>
      <c r="D33" s="1784"/>
      <c r="E33" s="1784"/>
      <c r="F33" s="1784"/>
      <c r="G33" s="1784"/>
      <c r="H33" s="1784"/>
      <c r="I33" s="1784"/>
      <c r="J33" s="1784"/>
      <c r="K33" s="1784"/>
      <c r="L33" s="1784"/>
      <c r="M33" s="1784"/>
      <c r="N33" s="1784"/>
      <c r="O33" s="1784"/>
      <c r="P33" s="1784"/>
      <c r="Q33" s="1784"/>
      <c r="R33" s="1784"/>
      <c r="S33" s="1784"/>
      <c r="T33" s="1784"/>
      <c r="U33" s="1784"/>
      <c r="V33" s="1784"/>
      <c r="W33" s="1784"/>
      <c r="X33" s="1785"/>
      <c r="Y33" s="1785"/>
      <c r="Z33" s="1785"/>
      <c r="AA33" s="1785"/>
      <c r="AB33" s="1785"/>
      <c r="AC33" s="108"/>
      <c r="AD33" s="134"/>
      <c r="AE33" s="108"/>
      <c r="AF33" s="108"/>
      <c r="AG33" s="108"/>
    </row>
    <row r="34" spans="1:33" ht="11.25" customHeight="1">
      <c r="A34" s="1787" t="s">
        <v>826</v>
      </c>
      <c r="B34" s="201">
        <f t="shared" ref="B34:T34" si="44">B15/B12</f>
        <v>6.0199615881112056E-2</v>
      </c>
      <c r="C34" s="201">
        <f t="shared" si="44"/>
        <v>0.16675437057826112</v>
      </c>
      <c r="D34" s="201">
        <f t="shared" si="44"/>
        <v>0.1275295430339301</v>
      </c>
      <c r="E34" s="201">
        <f t="shared" si="44"/>
        <v>9.6030468011144343E-2</v>
      </c>
      <c r="F34" s="201">
        <f t="shared" si="44"/>
        <v>7.185947070380215E-2</v>
      </c>
      <c r="G34" s="201">
        <f t="shared" si="44"/>
        <v>7.7623651394143192E-2</v>
      </c>
      <c r="H34" s="201">
        <f t="shared" si="44"/>
        <v>0.105984437838783</v>
      </c>
      <c r="I34" s="201">
        <f t="shared" si="44"/>
        <v>0.11301091027519948</v>
      </c>
      <c r="J34" s="201">
        <f t="shared" si="44"/>
        <v>0.10541784702549575</v>
      </c>
      <c r="K34" s="201">
        <f t="shared" si="44"/>
        <v>0.10837806382128651</v>
      </c>
      <c r="L34" s="201">
        <f t="shared" si="44"/>
        <v>0.10536458419119464</v>
      </c>
      <c r="M34" s="201">
        <f t="shared" si="44"/>
        <v>0.10089992242048099</v>
      </c>
      <c r="N34" s="201">
        <f t="shared" si="44"/>
        <v>8.2425917303735302E-2</v>
      </c>
      <c r="O34" s="201">
        <f t="shared" si="44"/>
        <v>0.12179669597256129</v>
      </c>
      <c r="P34" s="201">
        <f t="shared" si="44"/>
        <v>0.14739353603214717</v>
      </c>
      <c r="Q34" s="201">
        <f t="shared" si="44"/>
        <v>0.14008626805527966</v>
      </c>
      <c r="R34" s="201">
        <f t="shared" si="44"/>
        <v>9.0899983971790346E-2</v>
      </c>
      <c r="S34" s="201">
        <f t="shared" si="44"/>
        <v>0.13787416824867207</v>
      </c>
      <c r="T34" s="201">
        <f t="shared" si="44"/>
        <v>0.14197709443016865</v>
      </c>
      <c r="U34" s="201">
        <f>U15/U12</f>
        <v>0.12346056290682395</v>
      </c>
      <c r="V34" s="201">
        <f t="shared" ref="V34:AB34" si="45">V15/V12</f>
        <v>0.11854687274303048</v>
      </c>
      <c r="W34" s="201">
        <f t="shared" si="45"/>
        <v>0.14032961046036502</v>
      </c>
      <c r="X34" s="333">
        <f t="shared" si="45"/>
        <v>0.14330697025178299</v>
      </c>
      <c r="Y34" s="333">
        <f t="shared" si="45"/>
        <v>0.15147696675364916</v>
      </c>
      <c r="Z34" s="333">
        <f t="shared" si="45"/>
        <v>0.16633647115871547</v>
      </c>
      <c r="AA34" s="333">
        <f t="shared" si="45"/>
        <v>0.1708165442602764</v>
      </c>
      <c r="AB34" s="333">
        <f t="shared" si="45"/>
        <v>0.17382776069086414</v>
      </c>
      <c r="AC34" s="108"/>
      <c r="AD34" s="108"/>
      <c r="AE34" s="108"/>
      <c r="AF34" s="108"/>
      <c r="AG34" s="108"/>
    </row>
    <row r="35" spans="1:33" ht="11.25" customHeight="1">
      <c r="A35" s="1787" t="s">
        <v>827</v>
      </c>
      <c r="B35" s="201">
        <f>B17/B12</f>
        <v>7.6571896350870569E-2</v>
      </c>
      <c r="C35" s="201">
        <f t="shared" ref="C35:M35" si="46">C17/C12</f>
        <v>8.3377185289130559E-2</v>
      </c>
      <c r="D35" s="193">
        <f t="shared" si="46"/>
        <v>1.0118172135720443E-2</v>
      </c>
      <c r="E35" s="193">
        <f t="shared" si="46"/>
        <v>1.3291414257597832E-3</v>
      </c>
      <c r="F35" s="193">
        <f t="shared" si="46"/>
        <v>7.6274124581070149E-2</v>
      </c>
      <c r="G35" s="193">
        <f t="shared" si="46"/>
        <v>5.0207837093082998E-2</v>
      </c>
      <c r="H35" s="193">
        <f t="shared" si="46"/>
        <v>2.9288337121874453E-2</v>
      </c>
      <c r="I35" s="193">
        <f t="shared" si="46"/>
        <v>3.6516853932584269E-2</v>
      </c>
      <c r="J35" s="193">
        <f t="shared" si="46"/>
        <v>5.2478753541076485E-2</v>
      </c>
      <c r="K35" s="193">
        <f t="shared" si="46"/>
        <v>6.2084180172668368E-2</v>
      </c>
      <c r="L35" s="193">
        <f t="shared" si="46"/>
        <v>6.6970829970517023E-2</v>
      </c>
      <c r="M35" s="193">
        <f t="shared" si="46"/>
        <v>6.4111714507370049E-2</v>
      </c>
      <c r="N35" s="193">
        <f>N17/N12</f>
        <v>5.9401330709962299E-2</v>
      </c>
      <c r="O35" s="193">
        <f>O17/O12</f>
        <v>4.7778093968577288E-2</v>
      </c>
      <c r="P35" s="193">
        <f t="shared" ref="P35:U35" si="47">P17/P12</f>
        <v>9.1575494058737661E-2</v>
      </c>
      <c r="Q35" s="193">
        <f t="shared" si="47"/>
        <v>9.8555577627060922E-2</v>
      </c>
      <c r="R35" s="193">
        <f t="shared" si="47"/>
        <v>3.4180157076454561E-2</v>
      </c>
      <c r="S35" s="193">
        <f t="shared" si="47"/>
        <v>9.3290379489539582E-2</v>
      </c>
      <c r="T35" s="193">
        <f t="shared" si="47"/>
        <v>9.5757534503003588E-2</v>
      </c>
      <c r="U35" s="193">
        <f t="shared" si="47"/>
        <v>8.9203312654707698E-2</v>
      </c>
      <c r="V35" s="193">
        <f t="shared" ref="V35:AB35" si="48">V17/V12</f>
        <v>7.7336414849053875E-2</v>
      </c>
      <c r="W35" s="193">
        <f t="shared" si="48"/>
        <v>9.7085262871152281E-2</v>
      </c>
      <c r="X35" s="599">
        <f t="shared" si="48"/>
        <v>9.8209849658074694E-2</v>
      </c>
      <c r="Y35" s="599">
        <f t="shared" si="48"/>
        <v>0.10630963659491333</v>
      </c>
      <c r="Z35" s="599">
        <f t="shared" si="48"/>
        <v>0.12113346045123709</v>
      </c>
      <c r="AA35" s="599">
        <f t="shared" si="48"/>
        <v>0.12560885462174012</v>
      </c>
      <c r="AB35" s="599">
        <f t="shared" si="48"/>
        <v>0.12862289675382255</v>
      </c>
      <c r="AC35" s="157"/>
      <c r="AD35" s="193"/>
      <c r="AE35" s="108"/>
      <c r="AF35" s="108"/>
      <c r="AG35" s="108"/>
    </row>
    <row r="36" spans="1:33" ht="11.25" customHeight="1">
      <c r="A36" s="1787" t="s">
        <v>429</v>
      </c>
      <c r="B36" s="805">
        <f>B21/B23</f>
        <v>3.0036139430530651</v>
      </c>
      <c r="C36" s="805">
        <f>C21/C23</f>
        <v>3.2463691888193127</v>
      </c>
      <c r="D36" s="805">
        <f>D21/D23</f>
        <v>1.0304372976454754</v>
      </c>
      <c r="E36" s="805">
        <f>E21/E23</f>
        <v>-4.659568778143008</v>
      </c>
      <c r="F36" s="805">
        <f>F21/F23</f>
        <v>9.7400328115930268</v>
      </c>
      <c r="G36" s="1788" t="s">
        <v>443</v>
      </c>
      <c r="H36" s="805">
        <f t="shared" ref="H36:M36" si="49">H21/H23</f>
        <v>3.5463486177874981</v>
      </c>
      <c r="I36" s="805">
        <f t="shared" si="49"/>
        <v>3.096041702478324</v>
      </c>
      <c r="J36" s="805">
        <f t="shared" si="49"/>
        <v>3.7386070242807099</v>
      </c>
      <c r="K36" s="805">
        <f t="shared" si="49"/>
        <v>3.7486320363849699</v>
      </c>
      <c r="L36" s="805">
        <f t="shared" si="49"/>
        <v>2.8034552387851939</v>
      </c>
      <c r="M36" s="805">
        <f t="shared" si="49"/>
        <v>2.6231083067808885</v>
      </c>
      <c r="N36" s="805">
        <f>N21/N23</f>
        <v>2.4525466917673557</v>
      </c>
      <c r="O36" s="805">
        <f>O21/O23</f>
        <v>2.4434393482476029</v>
      </c>
      <c r="P36" s="805">
        <f>P21/P23</f>
        <v>3.1625600361549933</v>
      </c>
      <c r="Q36" s="805">
        <f t="shared" ref="Q36:W36" si="50">IFERROR(Q21/Q23,0)</f>
        <v>0</v>
      </c>
      <c r="R36" s="805">
        <f t="shared" si="50"/>
        <v>0</v>
      </c>
      <c r="S36" s="805">
        <f t="shared" si="50"/>
        <v>2.8837278445776739</v>
      </c>
      <c r="T36" s="805">
        <f t="shared" si="50"/>
        <v>2.8621945933921689</v>
      </c>
      <c r="U36" s="805">
        <f t="shared" si="50"/>
        <v>2.0000740971983446</v>
      </c>
      <c r="V36" s="805">
        <f t="shared" si="50"/>
        <v>1.6844699122961204</v>
      </c>
      <c r="W36" s="805">
        <f t="shared" si="50"/>
        <v>2.1518745469395753</v>
      </c>
      <c r="X36" s="1789">
        <f>IFERROR(X21/X23,0)</f>
        <v>2.5</v>
      </c>
      <c r="Y36" s="1789">
        <f>IFERROR(Y21/Y23,0)</f>
        <v>2.5</v>
      </c>
      <c r="Z36" s="1789">
        <f>IFERROR(Z21/Z23,0)</f>
        <v>2.5</v>
      </c>
      <c r="AA36" s="1789">
        <f>IFERROR(AA21/AA23,0)</f>
        <v>2.5</v>
      </c>
      <c r="AB36" s="1789">
        <f>IFERROR(AB21/AB23,0)</f>
        <v>2.5</v>
      </c>
      <c r="AC36" s="108"/>
      <c r="AD36" s="108"/>
      <c r="AE36" s="108"/>
      <c r="AF36" s="108"/>
      <c r="AG36" s="108"/>
    </row>
    <row r="37" spans="1:33" ht="11.25" customHeight="1">
      <c r="A37" s="1787" t="s">
        <v>430</v>
      </c>
      <c r="B37" s="201">
        <f t="shared" ref="B37:M37" si="51">B23/B22</f>
        <v>0.3341990324189526</v>
      </c>
      <c r="C37" s="201">
        <f t="shared" si="51"/>
        <v>0.31034643761933173</v>
      </c>
      <c r="D37" s="201">
        <f t="shared" si="51"/>
        <v>0.97492807636363621</v>
      </c>
      <c r="E37" s="201">
        <f t="shared" si="51"/>
        <v>-0.21673948008968608</v>
      </c>
      <c r="F37" s="201">
        <f t="shared" si="51"/>
        <v>0.10274770254452927</v>
      </c>
      <c r="G37" s="201">
        <f t="shared" si="51"/>
        <v>0</v>
      </c>
      <c r="H37" s="201">
        <f t="shared" si="51"/>
        <v>0.28198029182608697</v>
      </c>
      <c r="I37" s="201">
        <f t="shared" si="51"/>
        <v>0.32346810954063604</v>
      </c>
      <c r="J37" s="201">
        <f t="shared" si="51"/>
        <v>0.2678624366702938</v>
      </c>
      <c r="K37" s="201">
        <f t="shared" si="51"/>
        <v>0.2673230964991023</v>
      </c>
      <c r="L37" s="201">
        <f t="shared" si="51"/>
        <v>0.35724635489749429</v>
      </c>
      <c r="M37" s="201">
        <f t="shared" si="51"/>
        <v>0.3826200824076148</v>
      </c>
      <c r="N37" s="201">
        <f>N23/N22</f>
        <v>0.41053786334894615</v>
      </c>
      <c r="O37" s="201">
        <f>O23/O22</f>
        <v>0.41218330112834978</v>
      </c>
      <c r="P37" s="201">
        <f t="shared" ref="P37:U37" si="52">P23/P22</f>
        <v>0.3185552565389369</v>
      </c>
      <c r="Q37" s="201">
        <f t="shared" si="52"/>
        <v>0</v>
      </c>
      <c r="R37" s="201">
        <f>R23/R22</f>
        <v>0</v>
      </c>
      <c r="S37" s="201">
        <f t="shared" si="52"/>
        <v>0.34702767147483071</v>
      </c>
      <c r="T37" s="201">
        <f t="shared" si="52"/>
        <v>0.34968095511713931</v>
      </c>
      <c r="U37" s="201">
        <f t="shared" si="52"/>
        <v>0.50064063328050701</v>
      </c>
      <c r="V37" s="201">
        <f t="shared" ref="V37:AB37" si="53">V23/V22</f>
        <v>0.59443217209418842</v>
      </c>
      <c r="W37" s="201">
        <f t="shared" si="53"/>
        <v>0.46548736612102259</v>
      </c>
      <c r="X37" s="333">
        <f t="shared" si="53"/>
        <v>0.400671148099292</v>
      </c>
      <c r="Y37" s="333">
        <f t="shared" si="53"/>
        <v>0.40067475003775088</v>
      </c>
      <c r="Z37" s="333">
        <f t="shared" si="53"/>
        <v>0.40067967991536635</v>
      </c>
      <c r="AA37" s="333">
        <f t="shared" si="53"/>
        <v>0.40068402569596567</v>
      </c>
      <c r="AB37" s="333">
        <f t="shared" si="53"/>
        <v>0.40068606598072359</v>
      </c>
      <c r="AC37" s="108"/>
      <c r="AD37" s="108"/>
      <c r="AE37" s="108"/>
      <c r="AF37" s="108"/>
      <c r="AG37" s="108"/>
    </row>
    <row r="38" spans="1:33" ht="11.25" hidden="1" customHeight="1" outlineLevel="1">
      <c r="A38" s="1787" t="s">
        <v>497</v>
      </c>
      <c r="B38" s="158">
        <f>IS!E40+IS!E56+IS!E24+IS!E26+IS!E50</f>
        <v>-881</v>
      </c>
      <c r="C38" s="158">
        <f>IS!F40+IS!F56+IS!F24+IS!F26+IS!F50</f>
        <v>-965</v>
      </c>
      <c r="D38" s="158">
        <f>IS!G40+IS!G56+IS!G24+IS!G26+IS!G50</f>
        <v>24</v>
      </c>
      <c r="E38" s="158">
        <f>IS!H40+IS!H56+IS!H24+IS!H26+IS!H50</f>
        <v>260</v>
      </c>
      <c r="F38" s="158">
        <f>IS!I40+IS!I56+IS!I24+IS!I26+IS!I50</f>
        <v>-761</v>
      </c>
      <c r="G38" s="158">
        <f>IS!J40+IS!J56+IS!J24+IS!J26+IS!J50</f>
        <v>-418.10288065843622</v>
      </c>
      <c r="H38" s="158">
        <f>IS!K40+IS!K56+IS!K24+IS!K26+IS!K50</f>
        <v>-280.5</v>
      </c>
      <c r="I38" s="158">
        <f>IS!L40+IS!L56+IS!L24+IS!L26+IS!L50</f>
        <v>-379</v>
      </c>
      <c r="J38" s="158">
        <f>IS!M40+IS!M56+IS!M24+IS!M26+IS!M50</f>
        <v>-702</v>
      </c>
      <c r="K38" s="158">
        <f>IS!T40+IS!T56+IS!T24+IS!T26+IS!T50</f>
        <v>-796</v>
      </c>
      <c r="L38" s="158">
        <f>IS!AA40+IS!AA56+IS!AA24+IS!AA26+IS!AA50</f>
        <v>-988</v>
      </c>
      <c r="M38" s="158">
        <f>IS!AH40+IS!AH56+IS!AH24+IS!AH26+IS!AH50</f>
        <v>-982</v>
      </c>
      <c r="N38" s="158">
        <f>IS!AO40+IS!AO56+IS!AO24+IS!AO26+IS!AO50</f>
        <v>-1048</v>
      </c>
      <c r="O38" s="158">
        <f>IS!AV40+IS!AV56+IS!AV24+IS!AV26+IS!AV50</f>
        <v>-1024</v>
      </c>
      <c r="P38" s="158">
        <f>IS!BJ40+IS!BJ56+IS!BJ24+IS!BJ26+IS!BJ50</f>
        <v>-1556</v>
      </c>
      <c r="Q38" s="158">
        <f>IS!BQ40+IS!BQ56+IS!BQ24+IS!BQ26+IS!BQ50</f>
        <v>-2037</v>
      </c>
      <c r="R38" s="158">
        <f>IS!BX40+IS!BX56+IS!BX24+IS!BX26+IS!BX50</f>
        <v>-378</v>
      </c>
      <c r="S38" s="158">
        <f>IS!CE40+IS!CE56+IS!CE24+IS!CE26+IS!CE50</f>
        <v>-1242</v>
      </c>
      <c r="T38" s="158">
        <f>IS!CL40+IS!CL56+IS!CL24+IS!CL26+IS!CL50</f>
        <v>-1459</v>
      </c>
      <c r="U38" s="158">
        <f>IS!CS40+IS!CS56+IS!CS24+IS!CS26+IS!CS50</f>
        <v>-1569</v>
      </c>
      <c r="V38" s="158">
        <f>IS!CZ40+IS!CZ56+IS!CZ24+IS!CZ26+IS!CZ50</f>
        <v>-1501</v>
      </c>
      <c r="W38" s="158">
        <f>IS!DG40+IS!DG56+IS!DG24+IS!DG26+IS!DG50</f>
        <v>-2160</v>
      </c>
      <c r="X38" s="327">
        <f>IS!DN40+IS!DN56+IS!DN24+IS!DN26+IS!DN50</f>
        <v>-1924.6507985856003</v>
      </c>
      <c r="Y38" s="327">
        <f>IS!DU40+IS!DU56+IS!DU24+IS!DU26+IS!DU50</f>
        <v>-2341.1273980510628</v>
      </c>
      <c r="Z38" s="327">
        <f>IS!EB40+IS!EB56+IS!EB24+IS!EB26+IS!EB50</f>
        <v>-2929.5605552028801</v>
      </c>
      <c r="AA38" s="327">
        <f>IS!EI40+IS!EI56+IS!EI24+IS!EI26+IS!EI50</f>
        <v>-3204.5411687518063</v>
      </c>
      <c r="AB38" s="327">
        <f>IS!EP40+IS!EP56+IS!EP24+IS!EP26+IS!EP50</f>
        <v>-3422.4776102614092</v>
      </c>
      <c r="AC38" s="108"/>
      <c r="AD38" s="108"/>
      <c r="AE38" s="227"/>
      <c r="AF38" s="108"/>
      <c r="AG38" s="108"/>
    </row>
    <row r="39" spans="1:33" ht="11.25" hidden="1" customHeight="1" outlineLevel="1">
      <c r="A39" s="1787" t="s">
        <v>456</v>
      </c>
      <c r="B39" s="158">
        <f>IS!E40+CFS!E8</f>
        <v>-127</v>
      </c>
      <c r="C39" s="158">
        <f>IS!F40+CFS!F8</f>
        <v>-265</v>
      </c>
      <c r="D39" s="158">
        <f>IS!G40+CFS!G8</f>
        <v>-239</v>
      </c>
      <c r="E39" s="158">
        <f>IS!H40+CFS!H8</f>
        <v>36</v>
      </c>
      <c r="F39" s="158">
        <f>IS!I40+CFS!I8</f>
        <v>-252</v>
      </c>
      <c r="G39" s="158">
        <f>IS!J40+CFS!J8</f>
        <v>4</v>
      </c>
      <c r="H39" s="158">
        <f>IS!K40+CFS!K8</f>
        <v>-140</v>
      </c>
      <c r="I39" s="158">
        <f>IS!L40+CFS!L8</f>
        <v>-100</v>
      </c>
      <c r="J39" s="158">
        <f>IS!M40+CFS!M8</f>
        <v>-409</v>
      </c>
      <c r="K39" s="158">
        <f>IS!T40+CFS!T8</f>
        <v>-243</v>
      </c>
      <c r="L39" s="158">
        <f>IS!AA40+CFS!AA8</f>
        <v>-115</v>
      </c>
      <c r="M39" s="158">
        <f>IS!AH40+CFS!AH8</f>
        <v>-595</v>
      </c>
      <c r="N39" s="158">
        <f>IS!AO40+CFS!AO8</f>
        <v>-559</v>
      </c>
      <c r="O39" s="158">
        <f>IS!AV40+CFS!AV8</f>
        <v>-152</v>
      </c>
      <c r="P39" s="158">
        <f>IS!BJ40+CFS!BJ8</f>
        <v>-897</v>
      </c>
      <c r="Q39" s="158">
        <f>IS!BQ40+CFS!BQ8</f>
        <v>-1476</v>
      </c>
      <c r="R39" s="158">
        <f>IS!BX40+CFS!BX8</f>
        <v>79</v>
      </c>
      <c r="S39" s="158">
        <f>IS!CE40+CFS!CE8</f>
        <v>-321</v>
      </c>
      <c r="T39" s="158">
        <f>IS!CL40+CFS!CL8</f>
        <v>-790</v>
      </c>
      <c r="U39" s="158">
        <f>IS!CS40+CFS!CS8</f>
        <v>-544</v>
      </c>
      <c r="V39" s="158">
        <f>IS!CZ40+CFS!CZ8</f>
        <v>-947</v>
      </c>
      <c r="W39" s="158">
        <f>IS!DG40+CFS!DG8</f>
        <v>-965</v>
      </c>
      <c r="X39" s="327">
        <f>IS!DN40+CFS!DN8</f>
        <v>-1936.9007985856003</v>
      </c>
      <c r="Y39" s="327">
        <f>IS!DU40+CFS!DU8</f>
        <v>-2341.1273980510628</v>
      </c>
      <c r="Z39" s="327">
        <f>IS!EB40+CFS!EB8</f>
        <v>-2929.5605552028801</v>
      </c>
      <c r="AA39" s="327">
        <f>IS!EI40+CFS!EI8</f>
        <v>-3204.5411687518063</v>
      </c>
      <c r="AB39" s="327">
        <f>IS!EP40+CFS!EP8</f>
        <v>-3422.4776102614092</v>
      </c>
      <c r="AC39" s="108"/>
      <c r="AD39" s="108"/>
      <c r="AE39" s="108"/>
      <c r="AF39" s="108"/>
      <c r="AG39" s="108"/>
    </row>
    <row r="40" spans="1:33" ht="11.25" customHeight="1" collapsed="1">
      <c r="A40" s="1787" t="s">
        <v>495</v>
      </c>
      <c r="B40" s="201">
        <f>-B38/B19</f>
        <v>0.4191246431969553</v>
      </c>
      <c r="C40" s="201">
        <f t="shared" ref="C40:S40" si="54">-C38/C19</f>
        <v>0.36074766355140186</v>
      </c>
      <c r="D40" s="201">
        <f t="shared" si="54"/>
        <v>-0.15483870967741936</v>
      </c>
      <c r="E40" s="201">
        <f t="shared" si="54"/>
        <v>-7.8007800780078004E-2</v>
      </c>
      <c r="F40" s="201">
        <f t="shared" si="54"/>
        <v>0.26627011896431069</v>
      </c>
      <c r="G40" s="201">
        <f t="shared" si="54"/>
        <v>0.25354935152118629</v>
      </c>
      <c r="H40" s="201">
        <f t="shared" si="54"/>
        <v>0.30193756727664156</v>
      </c>
      <c r="I40" s="201">
        <f t="shared" si="54"/>
        <v>0.25149303251493033</v>
      </c>
      <c r="J40" s="201">
        <f t="shared" si="54"/>
        <v>0.27626918536009443</v>
      </c>
      <c r="K40" s="201">
        <f t="shared" si="54"/>
        <v>0.26235992089650628</v>
      </c>
      <c r="L40" s="201">
        <f t="shared" si="54"/>
        <v>0.27225130890052357</v>
      </c>
      <c r="M40" s="201">
        <f t="shared" si="54"/>
        <v>0.26808626808626806</v>
      </c>
      <c r="N40" s="201">
        <f>-N38/N19</f>
        <v>0.28990318118948827</v>
      </c>
      <c r="O40" s="201">
        <f>-O38/O19</f>
        <v>0.26501035196687373</v>
      </c>
      <c r="P40" s="201">
        <f t="shared" si="54"/>
        <v>0.27995681899964014</v>
      </c>
      <c r="Q40" s="201">
        <f t="shared" si="54"/>
        <v>0.30004418912947417</v>
      </c>
      <c r="R40" s="201">
        <f t="shared" si="54"/>
        <v>0.26808510638297872</v>
      </c>
      <c r="S40" s="201">
        <f t="shared" si="54"/>
        <v>0.27</v>
      </c>
      <c r="T40" s="201">
        <f t="shared" ref="T40:AB40" si="55">-T38/T19</f>
        <v>0.27003516564871366</v>
      </c>
      <c r="U40" s="201">
        <f t="shared" si="55"/>
        <v>0.27005163511187608</v>
      </c>
      <c r="V40" s="201">
        <f t="shared" si="55"/>
        <v>0.28113879003558717</v>
      </c>
      <c r="W40" s="201">
        <f t="shared" si="55"/>
        <v>0.29443838604143946</v>
      </c>
      <c r="X40" s="333">
        <f t="shared" si="55"/>
        <v>0.25000000000000006</v>
      </c>
      <c r="Y40" s="333">
        <f t="shared" si="55"/>
        <v>0.25</v>
      </c>
      <c r="Z40" s="333">
        <f t="shared" si="55"/>
        <v>0.25000000000000006</v>
      </c>
      <c r="AA40" s="333">
        <f t="shared" si="55"/>
        <v>0.25</v>
      </c>
      <c r="AB40" s="333">
        <f t="shared" si="55"/>
        <v>0.25</v>
      </c>
      <c r="AC40" s="108"/>
      <c r="AD40" s="108"/>
      <c r="AE40" s="108"/>
      <c r="AF40" s="108"/>
      <c r="AG40" s="108"/>
    </row>
    <row r="41" spans="1:33" ht="11.25" customHeight="1">
      <c r="A41" s="1787" t="s">
        <v>496</v>
      </c>
      <c r="B41" s="201">
        <f>-B39/B19</f>
        <v>6.0418648905804E-2</v>
      </c>
      <c r="C41" s="201">
        <f t="shared" ref="C41:S41" si="56">-C39/C19</f>
        <v>9.9065420560747658E-2</v>
      </c>
      <c r="D41" s="201">
        <f t="shared" si="56"/>
        <v>1.5419354838709678</v>
      </c>
      <c r="E41" s="201">
        <f t="shared" si="56"/>
        <v>-1.0801080108010801E-2</v>
      </c>
      <c r="F41" s="201">
        <f t="shared" si="56"/>
        <v>8.8173547935619309E-2</v>
      </c>
      <c r="G41" s="201">
        <f t="shared" si="56"/>
        <v>-2.4257125530624622E-3</v>
      </c>
      <c r="H41" s="201">
        <f t="shared" si="56"/>
        <v>0.15069967707212056</v>
      </c>
      <c r="I41" s="201">
        <f>-I39/I19</f>
        <v>6.6357000663570004E-2</v>
      </c>
      <c r="J41" s="201">
        <f t="shared" si="56"/>
        <v>0.16096025186934279</v>
      </c>
      <c r="K41" s="201">
        <f t="shared" si="56"/>
        <v>8.0092287409360585E-2</v>
      </c>
      <c r="L41" s="201">
        <f t="shared" si="56"/>
        <v>3.1689170570405073E-2</v>
      </c>
      <c r="M41" s="201">
        <f t="shared" si="56"/>
        <v>0.16243516243516243</v>
      </c>
      <c r="N41" s="201">
        <f>-N39/N19</f>
        <v>0.15463347164591978</v>
      </c>
      <c r="O41" s="201">
        <f>-O39/O19</f>
        <v>3.9337474120082816E-2</v>
      </c>
      <c r="P41" s="201">
        <f t="shared" si="56"/>
        <v>0.16138898884490824</v>
      </c>
      <c r="Q41" s="201">
        <f t="shared" si="56"/>
        <v>0.21741051701281486</v>
      </c>
      <c r="R41" s="201">
        <f t="shared" si="56"/>
        <v>-5.6028368794326239E-2</v>
      </c>
      <c r="S41" s="201">
        <f t="shared" si="56"/>
        <v>6.9782608695652171E-2</v>
      </c>
      <c r="T41" s="201">
        <f t="shared" ref="T41:AB41" si="57">-T39/T19</f>
        <v>0.14621506570423839</v>
      </c>
      <c r="U41" s="201">
        <f t="shared" si="57"/>
        <v>9.3631669535283998E-2</v>
      </c>
      <c r="V41" s="201">
        <f t="shared" si="57"/>
        <v>0.17737404008241245</v>
      </c>
      <c r="W41" s="201">
        <f t="shared" si="57"/>
        <v>0.13154307524536532</v>
      </c>
      <c r="X41" s="333">
        <f t="shared" si="57"/>
        <v>0.25159119773948119</v>
      </c>
      <c r="Y41" s="333">
        <f t="shared" si="57"/>
        <v>0.25</v>
      </c>
      <c r="Z41" s="333">
        <f t="shared" si="57"/>
        <v>0.25000000000000006</v>
      </c>
      <c r="AA41" s="333">
        <f t="shared" si="57"/>
        <v>0.25</v>
      </c>
      <c r="AB41" s="333">
        <f t="shared" si="57"/>
        <v>0.25</v>
      </c>
      <c r="AC41" s="108"/>
      <c r="AD41" s="108"/>
      <c r="AE41" s="108"/>
      <c r="AF41" s="108"/>
      <c r="AG41" s="108"/>
    </row>
    <row r="42" spans="1:33" ht="11.25" customHeight="1">
      <c r="A42" s="1787" t="s">
        <v>631</v>
      </c>
      <c r="B42" s="601">
        <f>+B24/B12</f>
        <v>5.3965555240704011E-2</v>
      </c>
      <c r="C42" s="601">
        <f>+C24/C12</f>
        <v>7.4372917032099625E-2</v>
      </c>
      <c r="D42" s="601">
        <f>+D24/D12</f>
        <v>5.353248465790942E-2</v>
      </c>
      <c r="E42" s="601">
        <f>+E24/E12</f>
        <v>8.572962196150602E-2</v>
      </c>
      <c r="F42" s="601">
        <f>+F24/F12</f>
        <v>6.527215994452791E-2</v>
      </c>
      <c r="G42" s="601">
        <f t="shared" ref="G42:M42" si="58">+G24/G12</f>
        <v>1.4151604315538743E-2</v>
      </c>
      <c r="H42" s="601">
        <f t="shared" si="58"/>
        <v>5.9997377163839835E-2</v>
      </c>
      <c r="I42" s="601">
        <f t="shared" si="58"/>
        <v>5.0744992672203226E-2</v>
      </c>
      <c r="J42" s="601">
        <f t="shared" si="58"/>
        <v>2.5655099150141643E-2</v>
      </c>
      <c r="K42" s="601">
        <f t="shared" si="58"/>
        <v>-1.4209529765316935E-2</v>
      </c>
      <c r="L42" s="601">
        <f t="shared" si="58"/>
        <v>1.8266269168052969E-2</v>
      </c>
      <c r="M42" s="601">
        <f t="shared" si="58"/>
        <v>1.8231186966640806E-2</v>
      </c>
      <c r="N42" s="193">
        <f>+N25/N12</f>
        <v>2.1147174118742583E-2</v>
      </c>
      <c r="O42" s="193">
        <f t="shared" ref="O42:AB42" si="59">+O25/O12</f>
        <v>4.4168526367816437E-2</v>
      </c>
      <c r="P42" s="193">
        <f t="shared" si="59"/>
        <v>4.5709262718382597E-2</v>
      </c>
      <c r="Q42" s="193">
        <f t="shared" si="59"/>
        <v>4.9788586509265299E-2</v>
      </c>
      <c r="R42" s="193">
        <f t="shared" si="59"/>
        <v>-0.13894454239461451</v>
      </c>
      <c r="S42" s="193">
        <f t="shared" si="59"/>
        <v>6.5140271146138948E-2</v>
      </c>
      <c r="T42" s="193">
        <f t="shared" si="59"/>
        <v>8.1956333066725659E-2</v>
      </c>
      <c r="U42" s="193">
        <f t="shared" si="59"/>
        <v>6.9263209363444669E-2</v>
      </c>
      <c r="V42" s="193">
        <f t="shared" si="59"/>
        <v>6.4466271847464979E-2</v>
      </c>
      <c r="W42" s="193">
        <f t="shared" si="59"/>
        <v>6.2299101062380825E-2</v>
      </c>
      <c r="X42" s="599">
        <f t="shared" si="59"/>
        <v>6.2026294381059451E-2</v>
      </c>
      <c r="Y42" s="599">
        <f t="shared" si="59"/>
        <v>7.3610184102023538E-2</v>
      </c>
      <c r="Z42" s="599">
        <f t="shared" si="59"/>
        <v>9.2833608981662999E-2</v>
      </c>
      <c r="AA42" s="599">
        <f t="shared" si="59"/>
        <v>9.6539676828690454E-2</v>
      </c>
      <c r="AB42" s="599">
        <f t="shared" si="59"/>
        <v>0.10155459224381178</v>
      </c>
      <c r="AC42" s="108"/>
      <c r="AD42" s="108"/>
      <c r="AE42" s="108"/>
      <c r="AF42" s="108"/>
      <c r="AG42" s="108"/>
    </row>
    <row r="43" spans="1:33" ht="11.25" customHeight="1">
      <c r="A43" s="1787" t="s">
        <v>579</v>
      </c>
      <c r="B43" s="601">
        <f>+B24/B20</f>
        <v>1.2771982116244411</v>
      </c>
      <c r="C43" s="601">
        <f>+C24/C20</f>
        <v>1.4381006218202375</v>
      </c>
      <c r="D43" s="601">
        <f>+D24/D20</f>
        <v>10.608040201005025</v>
      </c>
      <c r="E43" s="601">
        <f>+E24/E20</f>
        <v>-7.7459584295612007</v>
      </c>
      <c r="F43" s="601">
        <f>+F24/F20</f>
        <v>1.7507749535027899</v>
      </c>
      <c r="G43" s="601">
        <f t="shared" ref="G43:M43" si="60">+G24/G20</f>
        <v>0.49676320272572405</v>
      </c>
      <c r="H43" s="601">
        <f t="shared" si="60"/>
        <v>4.3399209486166006</v>
      </c>
      <c r="I43" s="601">
        <f t="shared" si="60"/>
        <v>2.202296819787986</v>
      </c>
      <c r="J43" s="601">
        <f t="shared" si="60"/>
        <v>0.80188157166574436</v>
      </c>
      <c r="K43" s="601">
        <f t="shared" si="60"/>
        <v>-0.36583184257602863</v>
      </c>
      <c r="L43" s="601">
        <f t="shared" si="60"/>
        <v>0.42637447135717033</v>
      </c>
      <c r="M43" s="601">
        <f t="shared" si="60"/>
        <v>0.44139744552967691</v>
      </c>
      <c r="N43" s="193">
        <f>+N25/N20</f>
        <v>0.54957064793130372</v>
      </c>
      <c r="O43" s="193">
        <f t="shared" ref="O43:AB43" si="61">+O25/O20</f>
        <v>1.0398448519040904</v>
      </c>
      <c r="P43" s="193">
        <f t="shared" si="61"/>
        <v>0.7199011124845488</v>
      </c>
      <c r="Q43" s="193">
        <f t="shared" si="61"/>
        <v>0.744220572640509</v>
      </c>
      <c r="R43" s="193">
        <f t="shared" si="61"/>
        <v>-6.4934456928838955</v>
      </c>
      <c r="S43" s="193">
        <f t="shared" si="61"/>
        <v>1</v>
      </c>
      <c r="T43" s="193">
        <f t="shared" si="61"/>
        <v>1.1876695437731195</v>
      </c>
      <c r="U43" s="193">
        <f t="shared" si="61"/>
        <v>1.0262621688929137</v>
      </c>
      <c r="V43" s="193">
        <f t="shared" si="61"/>
        <v>1.1179859719438878</v>
      </c>
      <c r="W43" s="193">
        <f t="shared" si="61"/>
        <v>0.84127276071362889</v>
      </c>
      <c r="X43" s="599">
        <f t="shared" si="61"/>
        <v>0.82947586829399622</v>
      </c>
      <c r="Y43" s="599">
        <f t="shared" si="61"/>
        <v>0.90737254630001507</v>
      </c>
      <c r="Z43" s="599">
        <f t="shared" si="61"/>
        <v>1.002574004727772</v>
      </c>
      <c r="AA43" s="599">
        <f t="shared" si="61"/>
        <v>0.99849767435507386</v>
      </c>
      <c r="AB43" s="599">
        <f t="shared" si="61"/>
        <v>1.0190199839778724</v>
      </c>
      <c r="AC43" s="108"/>
      <c r="AD43" s="108"/>
      <c r="AE43" s="108"/>
      <c r="AF43" s="108"/>
      <c r="AG43" s="108"/>
    </row>
    <row r="44" spans="1:33" ht="11.25" customHeight="1">
      <c r="A44" s="108"/>
      <c r="B44" s="1786"/>
      <c r="C44" s="1786"/>
      <c r="D44" s="1786"/>
      <c r="E44" s="1786"/>
      <c r="F44" s="1786"/>
      <c r="G44" s="1786"/>
      <c r="H44" s="227"/>
      <c r="I44" s="227" t="s">
        <v>189</v>
      </c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1790"/>
      <c r="Y44" s="1790"/>
      <c r="Z44" s="1790"/>
      <c r="AA44" s="1790"/>
      <c r="AB44" s="1790"/>
      <c r="AC44" s="108"/>
      <c r="AD44" s="108"/>
      <c r="AE44" s="108"/>
      <c r="AF44" s="108"/>
      <c r="AG44" s="108"/>
    </row>
    <row r="45" spans="1:33" ht="11.25" customHeight="1">
      <c r="A45" s="1250" t="s">
        <v>789</v>
      </c>
      <c r="B45" s="1784"/>
      <c r="C45" s="1784"/>
      <c r="D45" s="1784"/>
      <c r="E45" s="1784"/>
      <c r="F45" s="1784"/>
      <c r="G45" s="1784"/>
      <c r="H45" s="1784"/>
      <c r="I45" s="1784"/>
      <c r="J45" s="1784"/>
      <c r="K45" s="1784"/>
      <c r="L45" s="1784"/>
      <c r="M45" s="1784"/>
      <c r="N45" s="1784"/>
      <c r="O45" s="1784"/>
      <c r="P45" s="1784"/>
      <c r="Q45" s="1784"/>
      <c r="R45" s="1784"/>
      <c r="S45" s="1784"/>
      <c r="T45" s="1784"/>
      <c r="U45" s="1784"/>
      <c r="V45" s="1784"/>
      <c r="W45" s="1784"/>
      <c r="X45" s="1785"/>
      <c r="Y45" s="1785"/>
      <c r="Z45" s="1785"/>
      <c r="AA45" s="1785"/>
      <c r="AB45" s="1785"/>
      <c r="AC45" s="108"/>
      <c r="AD45" s="108"/>
      <c r="AE45" s="108"/>
      <c r="AF45" s="108"/>
      <c r="AG45" s="108"/>
    </row>
    <row r="46" spans="1:33" ht="11.25" customHeight="1">
      <c r="A46" s="1787" t="s">
        <v>431</v>
      </c>
      <c r="B46" s="805">
        <f t="shared" ref="B46:AB46" si="62">B6/B61</f>
        <v>1.0263589577144971</v>
      </c>
      <c r="C46" s="805">
        <f t="shared" si="62"/>
        <v>1.5242938048621595</v>
      </c>
      <c r="D46" s="805">
        <f t="shared" si="62"/>
        <v>1.6266519519954512</v>
      </c>
      <c r="E46" s="805">
        <f t="shared" si="62"/>
        <v>1.4193959751126739</v>
      </c>
      <c r="F46" s="805">
        <f t="shared" si="62"/>
        <v>1.051444031727454</v>
      </c>
      <c r="G46" s="805">
        <f t="shared" si="62"/>
        <v>0.9608002116766966</v>
      </c>
      <c r="H46" s="805">
        <f t="shared" si="62"/>
        <v>1.5208867459172037</v>
      </c>
      <c r="I46" s="805">
        <f t="shared" si="62"/>
        <v>1.9779854379661017</v>
      </c>
      <c r="J46" s="805">
        <f t="shared" si="62"/>
        <v>2.1998580254093572</v>
      </c>
      <c r="K46" s="805">
        <f t="shared" si="62"/>
        <v>3.1709558619808544</v>
      </c>
      <c r="L46" s="805">
        <f t="shared" si="62"/>
        <v>5.4389328684676386</v>
      </c>
      <c r="M46" s="805">
        <f t="shared" si="62"/>
        <v>7.7482308858799867</v>
      </c>
      <c r="N46" s="805">
        <f t="shared" si="62"/>
        <v>14.811571941482089</v>
      </c>
      <c r="O46" s="805">
        <f t="shared" si="62"/>
        <v>6.1238994106145253</v>
      </c>
      <c r="P46" s="805">
        <f t="shared" si="62"/>
        <v>7.9716982825997533</v>
      </c>
      <c r="Q46" s="805">
        <f t="shared" si="62"/>
        <v>15.60582141589958</v>
      </c>
      <c r="R46" s="805">
        <f t="shared" si="62"/>
        <v>14.582060965089218</v>
      </c>
      <c r="S46" s="805">
        <f t="shared" si="62"/>
        <v>8.4622078542150856</v>
      </c>
      <c r="T46" s="805">
        <f t="shared" si="62"/>
        <v>5.7739501934362929</v>
      </c>
      <c r="U46" s="805">
        <f t="shared" si="62"/>
        <v>6.2304261366838096</v>
      </c>
      <c r="V46" s="805">
        <f t="shared" si="62"/>
        <v>6.2363698580730391</v>
      </c>
      <c r="W46" s="805">
        <f t="shared" si="62"/>
        <v>5.3504020468770426</v>
      </c>
      <c r="X46" s="1789">
        <f t="shared" si="62"/>
        <v>5.6137524834839772</v>
      </c>
      <c r="Y46" s="1789">
        <f t="shared" si="62"/>
        <v>5.0156705629055178</v>
      </c>
      <c r="Z46" s="1789">
        <f t="shared" si="62"/>
        <v>4.3673236701550255</v>
      </c>
      <c r="AA46" s="1789">
        <f t="shared" si="62"/>
        <v>3.8536609290149699</v>
      </c>
      <c r="AB46" s="1789">
        <f t="shared" si="62"/>
        <v>3.3279842446617334</v>
      </c>
      <c r="AC46" s="108"/>
      <c r="AD46" s="108"/>
      <c r="AE46" s="108"/>
      <c r="AF46" s="108"/>
      <c r="AG46" s="108"/>
    </row>
    <row r="47" spans="1:33" ht="11.25" customHeight="1">
      <c r="A47" s="1787" t="s">
        <v>432</v>
      </c>
      <c r="B47" s="805">
        <f t="shared" ref="B47:AB47" si="63">B9/B71</f>
        <v>0.45235191115467815</v>
      </c>
      <c r="C47" s="805">
        <f t="shared" si="63"/>
        <v>0.57005400392168948</v>
      </c>
      <c r="D47" s="805">
        <f t="shared" si="63"/>
        <v>0.52967608697785484</v>
      </c>
      <c r="E47" s="805">
        <f t="shared" si="63"/>
        <v>0.34333365502621294</v>
      </c>
      <c r="F47" s="805">
        <f t="shared" si="63"/>
        <v>0.11489337825149637</v>
      </c>
      <c r="G47" s="805">
        <f t="shared" si="63"/>
        <v>9.821319948360048E-2</v>
      </c>
      <c r="H47" s="805">
        <f t="shared" si="63"/>
        <v>9.8210409738285487E-2</v>
      </c>
      <c r="I47" s="805">
        <f t="shared" si="63"/>
        <v>0.19880847061981458</v>
      </c>
      <c r="J47" s="805">
        <f t="shared" si="63"/>
        <v>0.3940102680187324</v>
      </c>
      <c r="K47" s="805">
        <f t="shared" si="63"/>
        <v>0.62796859241308656</v>
      </c>
      <c r="L47" s="805">
        <f t="shared" si="63"/>
        <v>0.6387752735367761</v>
      </c>
      <c r="M47" s="805">
        <f t="shared" si="63"/>
        <v>0.71632421667951329</v>
      </c>
      <c r="N47" s="805">
        <f t="shared" si="63"/>
        <v>0.8262507777226723</v>
      </c>
      <c r="O47" s="805">
        <f t="shared" si="63"/>
        <v>1.0792450091479351</v>
      </c>
      <c r="P47" s="805">
        <f t="shared" si="63"/>
        <v>1.2415054418143057</v>
      </c>
      <c r="Q47" s="805">
        <f t="shared" si="63"/>
        <v>1.6013218595176324</v>
      </c>
      <c r="R47" s="805">
        <f t="shared" si="63"/>
        <v>1.5815161945494332</v>
      </c>
      <c r="S47" s="805">
        <f t="shared" si="63"/>
        <v>1.256233280688724</v>
      </c>
      <c r="T47" s="805">
        <f t="shared" si="63"/>
        <v>0.96809191944624218</v>
      </c>
      <c r="U47" s="805">
        <f t="shared" si="63"/>
        <v>1.4722960410408317</v>
      </c>
      <c r="V47" s="805">
        <f t="shared" si="63"/>
        <v>1.5383331015801138</v>
      </c>
      <c r="W47" s="805">
        <f t="shared" si="63"/>
        <v>1.7260791880041204</v>
      </c>
      <c r="X47" s="1789">
        <f t="shared" si="63"/>
        <v>1.96229778812567</v>
      </c>
      <c r="Y47" s="1789">
        <f t="shared" si="63"/>
        <v>1.82384761860096</v>
      </c>
      <c r="Z47" s="1789">
        <f t="shared" si="63"/>
        <v>1.6485259883007648</v>
      </c>
      <c r="AA47" s="1789">
        <f t="shared" si="63"/>
        <v>1.4859218315118328</v>
      </c>
      <c r="AB47" s="1789">
        <f t="shared" si="63"/>
        <v>1.3021766211976429</v>
      </c>
      <c r="AC47" s="108"/>
      <c r="AD47" s="108"/>
      <c r="AE47" s="108"/>
      <c r="AF47" s="108"/>
      <c r="AG47" s="108"/>
    </row>
    <row r="48" spans="1:33" ht="11.25" customHeight="1">
      <c r="A48" s="1787" t="s">
        <v>794</v>
      </c>
      <c r="B48" s="805">
        <f t="shared" ref="B48:AB48" si="64">B4/B21</f>
        <v>13.777403083279301</v>
      </c>
      <c r="C48" s="805">
        <f t="shared" si="64"/>
        <v>12.390647226184667</v>
      </c>
      <c r="D48" s="805">
        <f t="shared" si="64"/>
        <v>212.86755357930909</v>
      </c>
      <c r="E48" s="805">
        <f t="shared" si="64"/>
        <v>-41.250061787177025</v>
      </c>
      <c r="F48" s="805">
        <f t="shared" si="64"/>
        <v>7.366504958237913</v>
      </c>
      <c r="G48" s="805">
        <f t="shared" si="64"/>
        <v>8.2821936061733599</v>
      </c>
      <c r="H48" s="805">
        <f t="shared" si="64"/>
        <v>21.258741656916992</v>
      </c>
      <c r="I48" s="805">
        <f t="shared" si="64"/>
        <v>15.441221811837456</v>
      </c>
      <c r="J48" s="805">
        <f t="shared" si="64"/>
        <v>12.440462369523393</v>
      </c>
      <c r="K48" s="805">
        <f t="shared" si="64"/>
        <v>15.429628578797129</v>
      </c>
      <c r="L48" s="805">
        <f t="shared" si="64"/>
        <v>14.580222089692484</v>
      </c>
      <c r="M48" s="805">
        <f t="shared" si="64"/>
        <v>17.254925518910042</v>
      </c>
      <c r="N48" s="805">
        <f t="shared" si="64"/>
        <v>21.142044726775957</v>
      </c>
      <c r="O48" s="805">
        <f t="shared" si="64"/>
        <v>23.19135390338505</v>
      </c>
      <c r="P48" s="805">
        <f t="shared" si="64"/>
        <v>19.163607935723114</v>
      </c>
      <c r="Q48" s="805">
        <f t="shared" si="64"/>
        <v>19.776199991516439</v>
      </c>
      <c r="R48" s="805">
        <f t="shared" si="64"/>
        <v>87.9975495505618</v>
      </c>
      <c r="S48" s="805">
        <f t="shared" si="64"/>
        <v>23.580588621725049</v>
      </c>
      <c r="T48" s="805">
        <f t="shared" si="64"/>
        <v>18.439618990135635</v>
      </c>
      <c r="U48" s="805">
        <f t="shared" si="64"/>
        <v>24.959789560475436</v>
      </c>
      <c r="V48" s="805">
        <f t="shared" si="64"/>
        <v>30.628824508361721</v>
      </c>
      <c r="W48" s="805">
        <f t="shared" si="64"/>
        <v>25.688227888850157</v>
      </c>
      <c r="X48" s="1789">
        <f t="shared" si="64"/>
        <v>27.781300013068943</v>
      </c>
      <c r="Y48" s="1789">
        <f t="shared" si="64"/>
        <v>22.886170745018244</v>
      </c>
      <c r="Z48" s="1789">
        <f t="shared" si="64"/>
        <v>18.282809429740162</v>
      </c>
      <c r="AA48" s="1789">
        <f t="shared" si="64"/>
        <v>16.647290444544808</v>
      </c>
      <c r="AB48" s="1789">
        <f t="shared" si="64"/>
        <v>15.565992908406486</v>
      </c>
      <c r="AC48" s="108"/>
      <c r="AD48" s="227"/>
      <c r="AE48" s="108"/>
      <c r="AF48" s="108"/>
      <c r="AG48" s="108"/>
    </row>
    <row r="49" spans="1:33" ht="11.25" customHeight="1">
      <c r="A49" s="1787" t="s">
        <v>244</v>
      </c>
      <c r="B49" s="806">
        <f t="shared" ref="B49:AB49" si="65">B9/B12</f>
        <v>0.58726988144428693</v>
      </c>
      <c r="C49" s="806">
        <f t="shared" si="65"/>
        <v>0.64396470693849039</v>
      </c>
      <c r="D49" s="806">
        <f t="shared" si="65"/>
        <v>0.54964941814730428</v>
      </c>
      <c r="E49" s="806">
        <f t="shared" si="65"/>
        <v>0.36321072806852495</v>
      </c>
      <c r="F49" s="806">
        <f t="shared" si="65"/>
        <v>0.10470394355021377</v>
      </c>
      <c r="G49" s="806">
        <f t="shared" si="65"/>
        <v>8.6988702769931328E-2</v>
      </c>
      <c r="H49" s="806">
        <f t="shared" si="65"/>
        <v>8.4611814142638547E-2</v>
      </c>
      <c r="I49" s="806">
        <f t="shared" si="65"/>
        <v>0.1658355953020681</v>
      </c>
      <c r="J49" s="806">
        <f t="shared" si="65"/>
        <v>0.30313955712616852</v>
      </c>
      <c r="K49" s="806">
        <f t="shared" si="65"/>
        <v>0.47913326184376465</v>
      </c>
      <c r="L49" s="806">
        <f t="shared" si="65"/>
        <v>0.50422981872498474</v>
      </c>
      <c r="M49" s="806">
        <f t="shared" si="65"/>
        <v>0.58542972017315753</v>
      </c>
      <c r="N49" s="806">
        <f t="shared" si="65"/>
        <v>0.675596920893348</v>
      </c>
      <c r="O49" s="806">
        <f t="shared" si="65"/>
        <v>0.86582712522653404</v>
      </c>
      <c r="P49" s="806">
        <f t="shared" si="65"/>
        <v>1.0603669000266847</v>
      </c>
      <c r="Q49" s="806">
        <f t="shared" si="65"/>
        <v>1.1822807537103777</v>
      </c>
      <c r="R49" s="806">
        <f t="shared" si="65"/>
        <v>1.9114317783298607</v>
      </c>
      <c r="S49" s="806">
        <f t="shared" si="65"/>
        <v>1.4270505579781012</v>
      </c>
      <c r="T49" s="806">
        <f t="shared" si="65"/>
        <v>1.0436440448071065</v>
      </c>
      <c r="U49" s="806">
        <f t="shared" si="65"/>
        <v>1.4649847276933656</v>
      </c>
      <c r="V49" s="806">
        <f t="shared" si="65"/>
        <v>1.5241119086722521</v>
      </c>
      <c r="W49" s="806">
        <f t="shared" si="65"/>
        <v>1.6792479466188819</v>
      </c>
      <c r="X49" s="1791">
        <f t="shared" si="65"/>
        <v>1.8447892538943631</v>
      </c>
      <c r="Y49" s="1791">
        <f t="shared" si="65"/>
        <v>1.6180165285740591</v>
      </c>
      <c r="Z49" s="1791">
        <f t="shared" si="65"/>
        <v>1.4263740397578832</v>
      </c>
      <c r="AA49" s="1791">
        <f t="shared" si="65"/>
        <v>1.3083862672085695</v>
      </c>
      <c r="AB49" s="1791">
        <f t="shared" si="65"/>
        <v>1.1963633296112999</v>
      </c>
      <c r="AC49" s="108"/>
      <c r="AD49" s="227"/>
      <c r="AE49" s="108"/>
      <c r="AF49" s="108"/>
      <c r="AG49" s="108"/>
    </row>
    <row r="50" spans="1:33" ht="11.25" customHeight="1">
      <c r="A50" s="1787" t="s">
        <v>790</v>
      </c>
      <c r="B50" s="805">
        <f t="shared" ref="B50:AB50" si="66">B9/B15</f>
        <v>9.7553758915020907</v>
      </c>
      <c r="C50" s="805">
        <f t="shared" si="66"/>
        <v>3.8617560949400422</v>
      </c>
      <c r="D50" s="805">
        <f t="shared" si="66"/>
        <v>4.3099771634958834</v>
      </c>
      <c r="E50" s="805">
        <f t="shared" si="66"/>
        <v>3.7822446936984031</v>
      </c>
      <c r="F50" s="805">
        <f t="shared" si="66"/>
        <v>1.4570653321646829</v>
      </c>
      <c r="G50" s="805">
        <f t="shared" si="66"/>
        <v>1.1206468802689529</v>
      </c>
      <c r="H50" s="805">
        <f t="shared" si="66"/>
        <v>0.7983418685613527</v>
      </c>
      <c r="I50" s="805">
        <f t="shared" si="66"/>
        <v>1.4674299578530261</v>
      </c>
      <c r="J50" s="805">
        <f t="shared" si="66"/>
        <v>2.8755999641394019</v>
      </c>
      <c r="K50" s="805">
        <f t="shared" si="66"/>
        <v>4.4209431775220391</v>
      </c>
      <c r="L50" s="805">
        <f t="shared" si="66"/>
        <v>4.7855721407300296</v>
      </c>
      <c r="M50" s="805">
        <f t="shared" si="66"/>
        <v>5.8020829563524527</v>
      </c>
      <c r="N50" s="805">
        <f t="shared" si="66"/>
        <v>8.1964137372448977</v>
      </c>
      <c r="O50" s="805">
        <f t="shared" si="66"/>
        <v>7.1087899249877022</v>
      </c>
      <c r="P50" s="805">
        <f t="shared" si="66"/>
        <v>7.19412077742279</v>
      </c>
      <c r="Q50" s="805">
        <f t="shared" si="66"/>
        <v>8.4396620034437344</v>
      </c>
      <c r="R50" s="805">
        <f t="shared" si="66"/>
        <v>21.027856054661672</v>
      </c>
      <c r="S50" s="805">
        <f t="shared" si="66"/>
        <v>10.350383803616134</v>
      </c>
      <c r="T50" s="805">
        <f t="shared" si="66"/>
        <v>7.350791682248591</v>
      </c>
      <c r="U50" s="805">
        <f t="shared" si="66"/>
        <v>11.866013674334159</v>
      </c>
      <c r="V50" s="805">
        <f t="shared" si="66"/>
        <v>12.856618427851835</v>
      </c>
      <c r="W50" s="805">
        <f t="shared" si="66"/>
        <v>11.966454842352549</v>
      </c>
      <c r="X50" s="1789">
        <f t="shared" si="66"/>
        <v>12.872990411095589</v>
      </c>
      <c r="Y50" s="1789">
        <f t="shared" si="66"/>
        <v>10.681601059555678</v>
      </c>
      <c r="Z50" s="1789">
        <f t="shared" si="66"/>
        <v>8.5752332595589387</v>
      </c>
      <c r="AA50" s="1789">
        <f t="shared" si="66"/>
        <v>7.6595992084640034</v>
      </c>
      <c r="AB50" s="1789">
        <f t="shared" si="66"/>
        <v>6.8824641406899119</v>
      </c>
      <c r="AC50" s="108"/>
      <c r="AD50" s="108"/>
      <c r="AE50" s="108"/>
      <c r="AF50" s="108"/>
      <c r="AG50" s="108"/>
    </row>
    <row r="51" spans="1:33" ht="11.25" customHeight="1">
      <c r="A51" s="1787" t="s">
        <v>791</v>
      </c>
      <c r="B51" s="805">
        <f t="shared" ref="B51:AB51" si="67">B9/B17</f>
        <v>7.6695224936480253</v>
      </c>
      <c r="C51" s="805">
        <f t="shared" si="67"/>
        <v>7.7235121898800845</v>
      </c>
      <c r="D51" s="805">
        <f t="shared" si="67"/>
        <v>54.322995376493225</v>
      </c>
      <c r="E51" s="805">
        <f t="shared" si="67"/>
        <v>273.26717911970962</v>
      </c>
      <c r="F51" s="805">
        <f t="shared" si="67"/>
        <v>1.3727321568787876</v>
      </c>
      <c r="G51" s="805">
        <f t="shared" si="67"/>
        <v>1.7325722000065114</v>
      </c>
      <c r="H51" s="805">
        <f t="shared" si="67"/>
        <v>2.8889251646671634</v>
      </c>
      <c r="I51" s="805">
        <f t="shared" si="67"/>
        <v>4.5413439944258647</v>
      </c>
      <c r="J51" s="805">
        <f t="shared" si="67"/>
        <v>5.7764244893677459</v>
      </c>
      <c r="K51" s="805">
        <f t="shared" si="67"/>
        <v>7.717477471897034</v>
      </c>
      <c r="L51" s="805">
        <f t="shared" si="67"/>
        <v>7.529096159431873</v>
      </c>
      <c r="M51" s="805">
        <f t="shared" si="67"/>
        <v>9.1314001609777353</v>
      </c>
      <c r="N51" s="805">
        <f t="shared" si="67"/>
        <v>11.373430743362832</v>
      </c>
      <c r="O51" s="805">
        <f t="shared" si="67"/>
        <v>18.121843156739811</v>
      </c>
      <c r="P51" s="805">
        <f t="shared" si="67"/>
        <v>11.5791556564964</v>
      </c>
      <c r="Q51" s="805">
        <f t="shared" si="67"/>
        <v>11.996081623956233</v>
      </c>
      <c r="R51" s="805">
        <f t="shared" si="67"/>
        <v>55.922264314185227</v>
      </c>
      <c r="S51" s="805">
        <f t="shared" si="67"/>
        <v>15.296867327440905</v>
      </c>
      <c r="T51" s="805">
        <f t="shared" si="67"/>
        <v>10.898819087435577</v>
      </c>
      <c r="U51" s="805">
        <f t="shared" si="67"/>
        <v>16.422985695207263</v>
      </c>
      <c r="V51" s="805">
        <f t="shared" si="67"/>
        <v>19.707558355879719</v>
      </c>
      <c r="W51" s="805">
        <f t="shared" si="67"/>
        <v>17.296630785740504</v>
      </c>
      <c r="X51" s="1789">
        <f t="shared" si="67"/>
        <v>18.784157193164859</v>
      </c>
      <c r="Y51" s="1789">
        <f t="shared" si="67"/>
        <v>15.2198481755649</v>
      </c>
      <c r="Z51" s="1789">
        <f t="shared" si="67"/>
        <v>11.775227376849172</v>
      </c>
      <c r="AA51" s="1789">
        <f t="shared" si="67"/>
        <v>10.416353776560245</v>
      </c>
      <c r="AB51" s="1789">
        <f t="shared" si="67"/>
        <v>9.3013247237082233</v>
      </c>
      <c r="AC51" s="108"/>
      <c r="AD51" s="108"/>
      <c r="AE51" s="108"/>
      <c r="AF51" s="108"/>
      <c r="AG51" s="108"/>
    </row>
    <row r="52" spans="1:33" ht="11.25" customHeight="1">
      <c r="A52" s="1787" t="s">
        <v>433</v>
      </c>
      <c r="B52" s="809">
        <f t="shared" ref="B52:M52" si="68">B24/B6</f>
        <v>0.10302165579104265</v>
      </c>
      <c r="C52" s="809">
        <f t="shared" si="68"/>
        <v>0.12159183926193112</v>
      </c>
      <c r="D52" s="809">
        <f t="shared" si="68"/>
        <v>9.9712458012366167E-2</v>
      </c>
      <c r="E52" s="809">
        <f t="shared" si="68"/>
        <v>0.18051772113417644</v>
      </c>
      <c r="F52" s="809">
        <f t="shared" si="68"/>
        <v>0.24367901220595264</v>
      </c>
      <c r="G52" s="809">
        <f t="shared" si="68"/>
        <v>5.9869412186013778E-2</v>
      </c>
      <c r="H52" s="809">
        <f t="shared" si="68"/>
        <v>0.20414750806384796</v>
      </c>
      <c r="I52" s="809">
        <f t="shared" si="68"/>
        <v>0.14241506021596145</v>
      </c>
      <c r="J52" s="809">
        <f t="shared" si="68"/>
        <v>6.3279745485246189E-2</v>
      </c>
      <c r="K52" s="809">
        <f t="shared" si="68"/>
        <v>-2.3745064292058363E-2</v>
      </c>
      <c r="L52" s="809">
        <f t="shared" si="68"/>
        <v>2.8876970966010513E-2</v>
      </c>
      <c r="M52" s="809">
        <f t="shared" si="68"/>
        <v>2.5418625583019928E-2</v>
      </c>
      <c r="N52" s="251">
        <f t="shared" ref="N52:AB52" si="69">N25/N6</f>
        <v>2.599420515061554E-2</v>
      </c>
      <c r="O52" s="251">
        <f t="shared" si="69"/>
        <v>4.4837608715561569E-2</v>
      </c>
      <c r="P52" s="251">
        <f t="shared" si="69"/>
        <v>3.7566053057398047E-2</v>
      </c>
      <c r="Q52" s="251">
        <f t="shared" si="69"/>
        <v>3.7632132207388862E-2</v>
      </c>
      <c r="R52" s="251">
        <f t="shared" si="69"/>
        <v>-7.3791210392203918E-2</v>
      </c>
      <c r="S52" s="251">
        <f t="shared" si="69"/>
        <v>4.2407762420259905E-2</v>
      </c>
      <c r="T52" s="251">
        <f t="shared" si="69"/>
        <v>6.4408572889085691E-2</v>
      </c>
      <c r="U52" s="251">
        <f t="shared" si="69"/>
        <v>4.1116619449309388E-2</v>
      </c>
      <c r="V52" s="251">
        <f t="shared" si="69"/>
        <v>3.6501106062319683E-2</v>
      </c>
      <c r="W52" s="251">
        <f t="shared" si="69"/>
        <v>3.2749349793754316E-2</v>
      </c>
      <c r="X52" s="449">
        <f t="shared" si="69"/>
        <v>2.985734533314828E-2</v>
      </c>
      <c r="Y52" s="449">
        <f t="shared" si="69"/>
        <v>3.9647198144649329E-2</v>
      </c>
      <c r="Z52" s="449">
        <f t="shared" si="69"/>
        <v>5.4836977247977634E-2</v>
      </c>
      <c r="AA52" s="449">
        <f t="shared" si="69"/>
        <v>5.9979591134140031E-2</v>
      </c>
      <c r="AB52" s="449">
        <f t="shared" si="69"/>
        <v>6.5464502648433426E-2</v>
      </c>
      <c r="AC52" s="108"/>
      <c r="AD52" s="227"/>
      <c r="AE52" s="108"/>
      <c r="AF52" s="108"/>
      <c r="AG52" s="108"/>
    </row>
    <row r="53" spans="1:33" ht="11.25" customHeight="1">
      <c r="A53" s="1787" t="s">
        <v>434</v>
      </c>
      <c r="B53" s="251">
        <f t="shared" ref="B53:AB53" si="70">B23/B4</f>
        <v>2.4165095935430866E-2</v>
      </c>
      <c r="C53" s="251">
        <f t="shared" si="70"/>
        <v>2.4860399296259467E-2</v>
      </c>
      <c r="D53" s="251">
        <f t="shared" si="70"/>
        <v>4.5589933742629625E-3</v>
      </c>
      <c r="E53" s="251">
        <f t="shared" si="70"/>
        <v>5.2027106122289708E-3</v>
      </c>
      <c r="F53" s="251">
        <f t="shared" si="70"/>
        <v>1.3937282229965159E-2</v>
      </c>
      <c r="G53" s="251">
        <f t="shared" si="70"/>
        <v>0</v>
      </c>
      <c r="H53" s="251">
        <f t="shared" si="70"/>
        <v>1.3264198721813579E-2</v>
      </c>
      <c r="I53" s="251">
        <f t="shared" si="70"/>
        <v>2.0917584716218098E-2</v>
      </c>
      <c r="J53" s="251">
        <f t="shared" si="70"/>
        <v>2.1500752526338422E-2</v>
      </c>
      <c r="K53" s="251">
        <f t="shared" si="70"/>
        <v>1.7289073305670814E-2</v>
      </c>
      <c r="L53" s="251">
        <f t="shared" si="70"/>
        <v>2.4464831804281346E-2</v>
      </c>
      <c r="M53" s="251">
        <f t="shared" si="70"/>
        <v>2.2093813732154997E-2</v>
      </c>
      <c r="N53" s="251">
        <f t="shared" si="70"/>
        <v>1.9285714285714288E-2</v>
      </c>
      <c r="O53" s="251">
        <f t="shared" si="70"/>
        <v>1.7647058823529412E-2</v>
      </c>
      <c r="P53" s="251">
        <f t="shared" si="70"/>
        <v>1.6500000000000001E-2</v>
      </c>
      <c r="Q53" s="251">
        <f t="shared" si="70"/>
        <v>0</v>
      </c>
      <c r="R53" s="251">
        <f t="shared" si="70"/>
        <v>0</v>
      </c>
      <c r="S53" s="251">
        <f t="shared" si="70"/>
        <v>1.4705882352941176E-2</v>
      </c>
      <c r="T53" s="251">
        <f t="shared" si="70"/>
        <v>1.8947368421052633E-2</v>
      </c>
      <c r="U53" s="251">
        <f t="shared" si="70"/>
        <v>2.003147803691515E-2</v>
      </c>
      <c r="V53" s="251">
        <f t="shared" si="70"/>
        <v>1.9382349140715856E-2</v>
      </c>
      <c r="W53" s="251">
        <f t="shared" si="70"/>
        <v>1.8090430670968421E-2</v>
      </c>
      <c r="X53" s="449">
        <f t="shared" si="70"/>
        <v>1.4398174304724081E-2</v>
      </c>
      <c r="Y53" s="449">
        <f t="shared" si="70"/>
        <v>1.7477803711967416E-2</v>
      </c>
      <c r="Z53" s="449">
        <f t="shared" si="70"/>
        <v>2.1878475599561336E-2</v>
      </c>
      <c r="AA53" s="449">
        <f t="shared" si="70"/>
        <v>2.4027934235452533E-2</v>
      </c>
      <c r="AB53" s="449">
        <f t="shared" si="70"/>
        <v>2.5697043699922168E-2</v>
      </c>
      <c r="AC53" s="108"/>
      <c r="AD53" s="108"/>
      <c r="AE53" s="108"/>
      <c r="AF53" s="108"/>
      <c r="AG53" s="108"/>
    </row>
    <row r="54" spans="1:33" ht="11.25" customHeight="1">
      <c r="A54" s="108"/>
      <c r="B54" s="1786"/>
      <c r="C54" s="1786"/>
      <c r="D54" s="1786"/>
      <c r="E54" s="1786"/>
      <c r="F54" s="1786"/>
      <c r="G54" s="1786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108"/>
      <c r="AD54" s="108"/>
      <c r="AE54" s="108"/>
      <c r="AF54" s="108"/>
      <c r="AG54" s="108"/>
    </row>
    <row r="55" spans="1:33" ht="11.25" customHeight="1">
      <c r="A55" s="1250" t="s">
        <v>792</v>
      </c>
      <c r="B55" s="1784"/>
      <c r="C55" s="1784"/>
      <c r="D55" s="1784"/>
      <c r="E55" s="1784"/>
      <c r="F55" s="1784"/>
      <c r="G55" s="1784"/>
      <c r="H55" s="1784"/>
      <c r="I55" s="1784"/>
      <c r="J55" s="1784"/>
      <c r="K55" s="1784"/>
      <c r="L55" s="1784"/>
      <c r="M55" s="1784"/>
      <c r="N55" s="1784"/>
      <c r="O55" s="1784"/>
      <c r="P55" s="1784"/>
      <c r="Q55" s="1784"/>
      <c r="R55" s="1784"/>
      <c r="S55" s="1784"/>
      <c r="T55" s="1784"/>
      <c r="U55" s="1784"/>
      <c r="V55" s="1784"/>
      <c r="W55" s="1784"/>
      <c r="X55" s="1785"/>
      <c r="Y55" s="1785"/>
      <c r="Z55" s="1785"/>
      <c r="AA55" s="1785"/>
      <c r="AB55" s="1785"/>
      <c r="AC55" s="108"/>
      <c r="AD55" s="108"/>
      <c r="AE55" s="108"/>
      <c r="AF55" s="108"/>
      <c r="AG55" s="108"/>
    </row>
    <row r="56" spans="1:33" ht="11.25" customHeight="1">
      <c r="A56" s="281" t="s">
        <v>441</v>
      </c>
      <c r="B56" s="818">
        <v>-3961</v>
      </c>
      <c r="C56" s="818">
        <v>-5489</v>
      </c>
      <c r="D56" s="818">
        <v>-4229</v>
      </c>
      <c r="E56" s="818">
        <v>-7024</v>
      </c>
      <c r="F56" s="818">
        <v>-9193</v>
      </c>
      <c r="G56" s="818">
        <v>-9797</v>
      </c>
      <c r="H56" s="818">
        <v>-11918</v>
      </c>
      <c r="I56" s="818">
        <v>-11681</v>
      </c>
      <c r="J56" s="158">
        <f>-CFS!M86</f>
        <v>-12292</v>
      </c>
      <c r="K56" s="158">
        <f>-CFS!T86</f>
        <v>-8454</v>
      </c>
      <c r="L56" s="158">
        <f>-CFS!AA86</f>
        <v>-9092</v>
      </c>
      <c r="M56" s="158">
        <f>-CFS!AH86</f>
        <v>-10003</v>
      </c>
      <c r="N56" s="158">
        <f>-CFS!AO86</f>
        <v>-11113</v>
      </c>
      <c r="O56" s="158">
        <f>-CFS!AV86</f>
        <v>-13391</v>
      </c>
      <c r="P56" s="158">
        <f>-CFS!BJ86</f>
        <v>-13281</v>
      </c>
      <c r="Q56" s="158">
        <f>-CFS!BQ86</f>
        <v>-12534</v>
      </c>
      <c r="R56" s="158">
        <f>-CFS!BX86</f>
        <v>-4312</v>
      </c>
      <c r="S56" s="158">
        <f>-CFS!CE86</f>
        <v>-7740</v>
      </c>
      <c r="T56" s="158">
        <f>-CFS!CL86</f>
        <v>-9431</v>
      </c>
      <c r="U56" s="158">
        <f>-CFS!CS86</f>
        <v>-10726</v>
      </c>
      <c r="V56" s="158">
        <f>-CFS!CZ86</f>
        <v>-11753</v>
      </c>
      <c r="W56" s="158">
        <f>-CFS!DG86</f>
        <v>-12171</v>
      </c>
      <c r="X56" s="327">
        <f>-CFS!DN86</f>
        <v>-14013.315290264629</v>
      </c>
      <c r="Y56" s="327">
        <f>-CFS!DU86</f>
        <v>-16441.264435215046</v>
      </c>
      <c r="Z56" s="327">
        <f>-CFS!EB86</f>
        <v>-20839.961050330181</v>
      </c>
      <c r="AA56" s="327">
        <f>-CFS!EI86</f>
        <v>-25321.263487631164</v>
      </c>
      <c r="AB56" s="327">
        <f>-CFS!EP86</f>
        <v>-31830.021652357987</v>
      </c>
      <c r="AC56" s="108"/>
      <c r="AD56" s="108"/>
      <c r="AE56" s="108"/>
      <c r="AF56" s="108"/>
      <c r="AG56" s="108"/>
    </row>
    <row r="57" spans="1:33" ht="11.25" customHeight="1">
      <c r="A57" s="1787" t="s">
        <v>828</v>
      </c>
      <c r="B57" s="805">
        <f t="shared" ref="B57:AB57" si="71">B56/B15</f>
        <v>-2.0716527196652721</v>
      </c>
      <c r="C57" s="805">
        <f t="shared" si="71"/>
        <v>-0.96230715287517532</v>
      </c>
      <c r="D57" s="805">
        <f t="shared" si="71"/>
        <v>-0.84092264863790023</v>
      </c>
      <c r="E57" s="805">
        <f t="shared" si="71"/>
        <v>-1.8695767899920148</v>
      </c>
      <c r="F57" s="805">
        <f t="shared" si="71"/>
        <v>-2.9568993245416531</v>
      </c>
      <c r="G57" s="805">
        <f t="shared" si="71"/>
        <v>-2.9473525872442838</v>
      </c>
      <c r="H57" s="805">
        <f t="shared" si="71"/>
        <v>-2.4578263559496802</v>
      </c>
      <c r="I57" s="805">
        <f t="shared" si="71"/>
        <v>-2.1039265129682998</v>
      </c>
      <c r="J57" s="805">
        <f t="shared" si="71"/>
        <v>-2.0644944575075579</v>
      </c>
      <c r="K57" s="805">
        <f t="shared" si="71"/>
        <v>-1.3550248437249559</v>
      </c>
      <c r="L57" s="805">
        <f t="shared" si="71"/>
        <v>-1.4212912302641862</v>
      </c>
      <c r="M57" s="805">
        <f t="shared" si="71"/>
        <v>-1.5382131324004307</v>
      </c>
      <c r="N57" s="805">
        <f t="shared" si="71"/>
        <v>-2.0249635568513118</v>
      </c>
      <c r="O57" s="805">
        <f t="shared" si="71"/>
        <v>-1.6467043777668471</v>
      </c>
      <c r="P57" s="805">
        <f t="shared" si="71"/>
        <v>-1.4143769968051119</v>
      </c>
      <c r="Q57" s="805">
        <f t="shared" si="71"/>
        <v>-1.2695229413552112</v>
      </c>
      <c r="R57" s="805">
        <f t="shared" si="71"/>
        <v>-0.95040775843068104</v>
      </c>
      <c r="S57" s="805">
        <f t="shared" si="71"/>
        <v>-1.0764951321279554</v>
      </c>
      <c r="T57" s="805">
        <f t="shared" si="71"/>
        <v>-1.1304087258779816</v>
      </c>
      <c r="U57" s="805">
        <f t="shared" si="71"/>
        <v>-1.3274752475247524</v>
      </c>
      <c r="V57" s="805">
        <f t="shared" si="71"/>
        <v>-1.4320701839892775</v>
      </c>
      <c r="W57" s="805">
        <f t="shared" si="71"/>
        <v>-1.1813064156071047</v>
      </c>
      <c r="X57" s="1789">
        <f t="shared" si="71"/>
        <v>-1.2138474998333704</v>
      </c>
      <c r="Y57" s="1789">
        <f t="shared" si="71"/>
        <v>-1.2106106057531332</v>
      </c>
      <c r="Z57" s="1789">
        <f t="shared" si="71"/>
        <v>-1.2834918716041719</v>
      </c>
      <c r="AA57" s="1789">
        <f t="shared" si="71"/>
        <v>-1.4530405588706685</v>
      </c>
      <c r="AB57" s="1789">
        <f t="shared" si="71"/>
        <v>-1.7351016277102567</v>
      </c>
      <c r="AC57" s="108"/>
      <c r="AD57" s="108"/>
      <c r="AE57" s="108"/>
      <c r="AF57" s="108"/>
      <c r="AG57" s="108"/>
    </row>
    <row r="58" spans="1:33" ht="11.25" customHeight="1">
      <c r="A58" s="1787" t="s">
        <v>91</v>
      </c>
      <c r="B58" s="805">
        <f t="shared" ref="B58:M58" si="72">B56/B61</f>
        <v>-0.24435533621221467</v>
      </c>
      <c r="C58" s="805">
        <f t="shared" si="72"/>
        <v>-0.39989800378843071</v>
      </c>
      <c r="D58" s="805">
        <f t="shared" si="72"/>
        <v>-0.32493276988090664</v>
      </c>
      <c r="E58" s="805">
        <f t="shared" si="72"/>
        <v>-0.53659281894576016</v>
      </c>
      <c r="F58" s="805">
        <f t="shared" si="72"/>
        <v>-0.83405915441843581</v>
      </c>
      <c r="G58" s="805">
        <f t="shared" si="72"/>
        <v>-0.92994779307071662</v>
      </c>
      <c r="H58" s="805">
        <f t="shared" si="72"/>
        <v>-1.3480375523130868</v>
      </c>
      <c r="I58" s="805">
        <f t="shared" si="72"/>
        <v>-1.3198870056497176</v>
      </c>
      <c r="J58" s="805">
        <f t="shared" si="72"/>
        <v>-1.1809011432414256</v>
      </c>
      <c r="K58" s="805">
        <f t="shared" si="72"/>
        <v>-0.77816642120765833</v>
      </c>
      <c r="L58" s="805">
        <f t="shared" si="72"/>
        <v>-1.2876363121370911</v>
      </c>
      <c r="M58" s="805">
        <f t="shared" si="72"/>
        <v>-1.6766677841099564</v>
      </c>
      <c r="N58" s="805">
        <f>N56/N61</f>
        <v>-3.0388296417828822</v>
      </c>
      <c r="O58" s="805">
        <f>O56/O61</f>
        <v>-1.2468342644320298</v>
      </c>
      <c r="P58" s="805">
        <f t="shared" ref="P58:U58" si="73">P56/P61</f>
        <v>-1.3657959687371453</v>
      </c>
      <c r="Q58" s="805">
        <f t="shared" si="73"/>
        <v>-2.0977405857740585</v>
      </c>
      <c r="R58" s="805">
        <f t="shared" si="73"/>
        <v>-0.66904577191621417</v>
      </c>
      <c r="S58" s="805">
        <f t="shared" si="73"/>
        <v>-0.81766321571941691</v>
      </c>
      <c r="T58" s="805">
        <f t="shared" si="73"/>
        <v>-0.72826254826254821</v>
      </c>
      <c r="U58" s="805">
        <f t="shared" si="73"/>
        <v>-0.60615993218423281</v>
      </c>
      <c r="V58" s="805">
        <f t="shared" ref="V58:AB58" si="74">V56/V61</f>
        <v>-0.59945934917882282</v>
      </c>
      <c r="W58" s="805">
        <f t="shared" si="74"/>
        <v>-0.46625038308305239</v>
      </c>
      <c r="X58" s="1789">
        <f t="shared" si="74"/>
        <v>-0.47006731863075601</v>
      </c>
      <c r="Y58" s="1789">
        <f t="shared" si="74"/>
        <v>-0.49539848634566497</v>
      </c>
      <c r="Z58" s="1789">
        <f t="shared" si="74"/>
        <v>-0.55076236832041181</v>
      </c>
      <c r="AA58" s="1789">
        <f t="shared" si="74"/>
        <v>-0.59426318827882518</v>
      </c>
      <c r="AB58" s="1789">
        <f t="shared" si="74"/>
        <v>-0.64704073109907367</v>
      </c>
      <c r="AC58" s="108"/>
      <c r="AD58" s="108"/>
      <c r="AE58" s="108"/>
      <c r="AF58" s="108"/>
      <c r="AG58" s="108"/>
    </row>
    <row r="59" spans="1:33" ht="11.25" customHeight="1">
      <c r="A59" s="108"/>
      <c r="B59" s="1786"/>
      <c r="C59" s="1786"/>
      <c r="D59" s="1786"/>
      <c r="E59" s="1786"/>
      <c r="F59" s="1786"/>
      <c r="G59" s="1786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108"/>
      <c r="AD59" s="108"/>
      <c r="AE59" s="108"/>
      <c r="AF59" s="108"/>
      <c r="AG59" s="108"/>
    </row>
    <row r="60" spans="1:33" ht="11.25" customHeight="1">
      <c r="A60" s="1250" t="s">
        <v>793</v>
      </c>
      <c r="B60" s="1784"/>
      <c r="C60" s="1784"/>
      <c r="D60" s="1784"/>
      <c r="E60" s="1784"/>
      <c r="F60" s="1784"/>
      <c r="G60" s="1784"/>
      <c r="H60" s="1784"/>
      <c r="I60" s="1784"/>
      <c r="J60" s="1784"/>
      <c r="K60" s="1784"/>
      <c r="L60" s="1784"/>
      <c r="M60" s="1784"/>
      <c r="N60" s="1784"/>
      <c r="O60" s="1784"/>
      <c r="P60" s="1784"/>
      <c r="Q60" s="1784"/>
      <c r="R60" s="1784"/>
      <c r="S60" s="1784"/>
      <c r="T60" s="1784"/>
      <c r="U60" s="1784"/>
      <c r="V60" s="1784"/>
      <c r="W60" s="1784"/>
      <c r="X60" s="1785"/>
      <c r="Y60" s="1785"/>
      <c r="Z60" s="1785"/>
      <c r="AA60" s="1785"/>
      <c r="AB60" s="1785"/>
      <c r="AC60" s="108"/>
      <c r="AD60" s="108"/>
      <c r="AE60" s="108"/>
      <c r="AF60" s="108"/>
      <c r="AG60" s="108"/>
    </row>
    <row r="61" spans="1:33" ht="11.25" customHeight="1">
      <c r="A61" s="218" t="s">
        <v>422</v>
      </c>
      <c r="B61" s="130">
        <f>BS!E56-BS!E51</f>
        <v>16210</v>
      </c>
      <c r="C61" s="130">
        <f>BS!F56-BS!F51</f>
        <v>13726</v>
      </c>
      <c r="D61" s="130">
        <f>BS!G56-BS!G51</f>
        <v>13015</v>
      </c>
      <c r="E61" s="130">
        <f>BS!H56-BS!H51</f>
        <v>13090</v>
      </c>
      <c r="F61" s="130">
        <f>BS!I56-BS!I51</f>
        <v>11022</v>
      </c>
      <c r="G61" s="130">
        <f>BS!J56-BS!J51</f>
        <v>10535</v>
      </c>
      <c r="H61" s="130">
        <f>BS!K56-BS!K51</f>
        <v>8841</v>
      </c>
      <c r="I61" s="130">
        <f>BS!L56-BS!L51</f>
        <v>8850</v>
      </c>
      <c r="J61" s="130">
        <f>BS!M56-BS!M51</f>
        <v>10409</v>
      </c>
      <c r="K61" s="130">
        <f>BS!T56-BS!T51</f>
        <v>10864</v>
      </c>
      <c r="L61" s="130">
        <f>BS!AA56-BS!AA51</f>
        <v>7061</v>
      </c>
      <c r="M61" s="130">
        <f>BS!AH56-BS!AH51</f>
        <v>5966</v>
      </c>
      <c r="N61" s="317">
        <f>BS!AO56-BS!AO51</f>
        <v>3657</v>
      </c>
      <c r="O61" s="130">
        <f>BS!BC56-BS!BC51</f>
        <v>10740</v>
      </c>
      <c r="P61" s="130">
        <f>BS!BJ56-BS!BJ51</f>
        <v>9724</v>
      </c>
      <c r="Q61" s="130">
        <f>BS!BQ56-BS!BQ51</f>
        <v>5975</v>
      </c>
      <c r="R61" s="130">
        <f>BS!BX56-BS!BX51</f>
        <v>6445</v>
      </c>
      <c r="S61" s="130">
        <f>BS!CE56-BS!CE51</f>
        <v>9466</v>
      </c>
      <c r="T61" s="317">
        <f>BS!CL56-BS!CL51</f>
        <v>12950</v>
      </c>
      <c r="U61" s="317">
        <f>BS!CS56-BS!CS51</f>
        <v>17695</v>
      </c>
      <c r="V61" s="317">
        <f>BS!CZ56-BS!CZ51</f>
        <v>19606</v>
      </c>
      <c r="W61" s="317">
        <f>BS!DG56-BS!DG51</f>
        <v>26104</v>
      </c>
      <c r="X61" s="617">
        <f>BS!DN56-BS!DN51</f>
        <v>29811.294541989359</v>
      </c>
      <c r="Y61" s="617">
        <f>BS!DU56-BS!DU51</f>
        <v>33187.958559370993</v>
      </c>
      <c r="Z61" s="617">
        <f>BS!EB56-BS!EB51</f>
        <v>37838.389565146026</v>
      </c>
      <c r="AA61" s="617">
        <f>BS!EI56-BS!EI51</f>
        <v>42609.510376992359</v>
      </c>
      <c r="AB61" s="617">
        <f>BS!EP56-BS!EP51</f>
        <v>49193.227137789312</v>
      </c>
      <c r="AC61" s="108"/>
      <c r="AD61" s="108"/>
      <c r="AE61" s="108"/>
      <c r="AF61" s="108"/>
      <c r="AG61" s="108"/>
    </row>
    <row r="62" spans="1:33" ht="11.25" customHeight="1" outlineLevel="1">
      <c r="A62" s="218" t="s">
        <v>124</v>
      </c>
      <c r="B62" s="158">
        <f>BS!E51</f>
        <v>144</v>
      </c>
      <c r="C62" s="158">
        <f>BS!F51</f>
        <v>176</v>
      </c>
      <c r="D62" s="158">
        <f>BS!G51</f>
        <v>137</v>
      </c>
      <c r="E62" s="158">
        <f>BS!H51</f>
        <v>85</v>
      </c>
      <c r="F62" s="158">
        <f>BS!I51</f>
        <v>104</v>
      </c>
      <c r="G62" s="158">
        <f>BS!J51</f>
        <v>106</v>
      </c>
      <c r="H62" s="158">
        <f>BS!K51</f>
        <v>95</v>
      </c>
      <c r="I62" s="158">
        <f>BS!L51</f>
        <v>15</v>
      </c>
      <c r="J62" s="158">
        <f>BS!M51</f>
        <v>25</v>
      </c>
      <c r="K62" s="158">
        <f>BS!T51</f>
        <v>42</v>
      </c>
      <c r="L62" s="158">
        <f>BS!AA51</f>
        <v>18</v>
      </c>
      <c r="M62" s="158">
        <f>BS!AH51</f>
        <v>7</v>
      </c>
      <c r="N62" s="818">
        <f>BS!AO51</f>
        <v>-5</v>
      </c>
      <c r="O62" s="158">
        <f>BS!BC51</f>
        <v>2</v>
      </c>
      <c r="P62" s="158">
        <f>BS!BJ51</f>
        <v>-5</v>
      </c>
      <c r="Q62" s="158">
        <f>BS!BQ51</f>
        <v>15</v>
      </c>
      <c r="R62" s="158">
        <f>BS!BX51</f>
        <v>11</v>
      </c>
      <c r="S62" s="158">
        <f>BS!CE51</f>
        <v>20</v>
      </c>
      <c r="T62" s="818">
        <f>BS!CL51</f>
        <v>32</v>
      </c>
      <c r="U62" s="818">
        <f>BS!CS51</f>
        <v>35</v>
      </c>
      <c r="V62" s="818">
        <f>BS!CZ51</f>
        <v>90</v>
      </c>
      <c r="W62" s="818">
        <f>BS!DG51</f>
        <v>80</v>
      </c>
      <c r="X62" s="327">
        <f>BS!DN51</f>
        <v>-145</v>
      </c>
      <c r="Y62" s="327">
        <f>BS!DU51</f>
        <v>-370</v>
      </c>
      <c r="Z62" s="327">
        <f>BS!EB51</f>
        <v>-595</v>
      </c>
      <c r="AA62" s="327">
        <f>BS!EI51</f>
        <v>-820</v>
      </c>
      <c r="AB62" s="327">
        <f>BS!EP51</f>
        <v>-1045</v>
      </c>
      <c r="AC62" s="108"/>
      <c r="AD62" s="108"/>
      <c r="AE62" s="108"/>
      <c r="AF62" s="108"/>
      <c r="AG62" s="108"/>
    </row>
    <row r="63" spans="1:33" ht="11.25" customHeight="1" outlineLevel="1">
      <c r="A63" s="218" t="s">
        <v>420</v>
      </c>
      <c r="B63" s="158">
        <f>+BS!E39</f>
        <v>4535</v>
      </c>
      <c r="C63" s="158">
        <f>+BS!F39</f>
        <v>5128</v>
      </c>
      <c r="D63" s="158">
        <f>+BS!G39</f>
        <v>5751</v>
      </c>
      <c r="E63" s="158">
        <f>+BS!H39</f>
        <v>4542</v>
      </c>
      <c r="F63" s="158">
        <f>+BS!I39</f>
        <v>4442</v>
      </c>
      <c r="G63" s="158">
        <f>+BS!J39</f>
        <v>5139</v>
      </c>
      <c r="H63" s="158">
        <f>+BS!K39</f>
        <v>4983</v>
      </c>
      <c r="I63" s="158">
        <f>+BS!L39</f>
        <v>5504</v>
      </c>
      <c r="J63" s="158">
        <f>+BS!M39</f>
        <v>6024</v>
      </c>
      <c r="K63" s="158">
        <f>+BS!T39</f>
        <v>5866</v>
      </c>
      <c r="L63" s="158">
        <f>+BS!AA39</f>
        <v>7864</v>
      </c>
      <c r="M63" s="158">
        <f>+BS!AH39</f>
        <v>7172</v>
      </c>
      <c r="N63" s="818">
        <f>+BS!AO39</f>
        <v>8656</v>
      </c>
      <c r="O63" s="158">
        <f>+BS!BC39</f>
        <v>8361</v>
      </c>
      <c r="P63" s="158">
        <f>+BS!BJ39</f>
        <v>7072</v>
      </c>
      <c r="Q63" s="158">
        <f>+BS!BQ39</f>
        <v>8353</v>
      </c>
      <c r="R63" s="158">
        <f>+BS!BX39</f>
        <v>9980</v>
      </c>
      <c r="S63" s="158">
        <f>+BS!CE39</f>
        <v>7072</v>
      </c>
      <c r="T63" s="818">
        <f>+BS!CL39</f>
        <v>3509</v>
      </c>
      <c r="U63" s="818">
        <f>+BS!CS39</f>
        <v>2715</v>
      </c>
      <c r="V63" s="818">
        <f>+BS!CZ39</f>
        <v>1821</v>
      </c>
      <c r="W63" s="818">
        <f>+BS!DG39</f>
        <v>1255</v>
      </c>
      <c r="X63" s="327">
        <f>+BS!DN39</f>
        <v>1255</v>
      </c>
      <c r="Y63" s="327">
        <f>+BS!DU39</f>
        <v>1255</v>
      </c>
      <c r="Z63" s="327">
        <f>+BS!EB39</f>
        <v>1255</v>
      </c>
      <c r="AA63" s="327">
        <f>+BS!EI39</f>
        <v>1255</v>
      </c>
      <c r="AB63" s="327">
        <f>+BS!EP39</f>
        <v>1255</v>
      </c>
      <c r="AC63" s="108"/>
      <c r="AD63" s="108"/>
      <c r="AE63" s="108"/>
      <c r="AF63" s="108"/>
      <c r="AG63" s="108"/>
    </row>
    <row r="64" spans="1:33" ht="11.25" customHeight="1" outlineLevel="1">
      <c r="A64" s="218" t="s">
        <v>439</v>
      </c>
      <c r="B64" s="158">
        <f>BS!E42-BS!E16</f>
        <v>1591</v>
      </c>
      <c r="C64" s="158">
        <f>BS!F42-BS!F16</f>
        <v>-181</v>
      </c>
      <c r="D64" s="158">
        <f>BS!G42-BS!G16</f>
        <v>-159</v>
      </c>
      <c r="E64" s="158">
        <f>BS!H42-BS!H16</f>
        <v>-517</v>
      </c>
      <c r="F64" s="158">
        <f>BS!I42-BS!I16</f>
        <v>-1803</v>
      </c>
      <c r="G64" s="158">
        <f>BS!J42-BS!J16</f>
        <v>-1905</v>
      </c>
      <c r="H64" s="158">
        <f>BS!K42-BS!K16</f>
        <v>-3055</v>
      </c>
      <c r="I64" s="158">
        <f>BS!L42-BS!L16</f>
        <v>-3268</v>
      </c>
      <c r="J64" s="158">
        <f>BS!M42-BS!M16</f>
        <v>-3295</v>
      </c>
      <c r="K64" s="158">
        <f>BS!T42-BS!T16</f>
        <v>-2279</v>
      </c>
      <c r="L64" s="158">
        <f>BS!AA42-BS!AA16</f>
        <v>-4587</v>
      </c>
      <c r="M64" s="158">
        <f>BS!AH42-BS!AH16</f>
        <v>-5559</v>
      </c>
      <c r="N64" s="818">
        <f>BS!AO42-BS!AO16</f>
        <v>-6265</v>
      </c>
      <c r="O64" s="158">
        <f>BS!BC42-BS!BC16</f>
        <v>-3560</v>
      </c>
      <c r="P64" s="158">
        <f>BS!BJ42-BS!BJ16</f>
        <v>-3517</v>
      </c>
      <c r="Q64" s="158">
        <f>BS!BQ42-BS!BQ16</f>
        <v>-4610</v>
      </c>
      <c r="R64" s="158">
        <f>BS!BX42-BS!BX16</f>
        <v>-3572</v>
      </c>
      <c r="S64" s="158">
        <f>BS!CE42-BS!CE16</f>
        <v>-4207</v>
      </c>
      <c r="T64" s="818">
        <f>BS!CL42-BS!CL16</f>
        <v>-4519</v>
      </c>
      <c r="U64" s="818">
        <f>BS!CS42-BS!CS16</f>
        <v>-3087</v>
      </c>
      <c r="V64" s="818">
        <f>BS!CZ42-BS!CZ16</f>
        <v>-3234</v>
      </c>
      <c r="W64" s="818">
        <f>BS!DG42-BS!DG16</f>
        <v>-1380</v>
      </c>
      <c r="X64" s="327">
        <f>BS!DN42-BS!DN16</f>
        <v>-1380</v>
      </c>
      <c r="Y64" s="327">
        <f>BS!DU42-BS!DU16</f>
        <v>-1380</v>
      </c>
      <c r="Z64" s="327">
        <f>BS!EB42-BS!EB16</f>
        <v>-1380</v>
      </c>
      <c r="AA64" s="327">
        <f>BS!EI42-BS!EI16</f>
        <v>-1380</v>
      </c>
      <c r="AB64" s="327">
        <f>BS!EP42-BS!EP16</f>
        <v>-1380</v>
      </c>
      <c r="AC64" s="108"/>
      <c r="AD64" s="108"/>
      <c r="AE64" s="108"/>
      <c r="AF64" s="108"/>
      <c r="AG64" s="108"/>
    </row>
    <row r="65" spans="1:33" ht="11.25" customHeight="1" outlineLevel="1">
      <c r="A65" s="218" t="s">
        <v>423</v>
      </c>
      <c r="B65" s="818">
        <v>5223</v>
      </c>
      <c r="C65" s="818">
        <v>5097</v>
      </c>
      <c r="D65" s="818">
        <v>5757</v>
      </c>
      <c r="E65" s="818">
        <v>4814</v>
      </c>
      <c r="F65" s="818">
        <v>4504</v>
      </c>
      <c r="G65" s="818">
        <v>5296</v>
      </c>
      <c r="H65" s="818">
        <v>4278</v>
      </c>
      <c r="I65" s="818">
        <v>5104</v>
      </c>
      <c r="J65" s="158">
        <f>-CFS!M83-CFS!M84</f>
        <v>4779</v>
      </c>
      <c r="K65" s="158">
        <f>-CFS!T83-CFS!T84</f>
        <v>5630</v>
      </c>
      <c r="L65" s="158">
        <f>-CFS!AA83-CFS!AA84</f>
        <v>7351</v>
      </c>
      <c r="M65" s="158">
        <f>-CFS!AH83-CFS!AH84</f>
        <v>9125</v>
      </c>
      <c r="N65" s="818">
        <f>-CFS!AO83-CFS!AO84</f>
        <v>10478</v>
      </c>
      <c r="O65" s="158">
        <f>-CFS!BC83-CFS!BC84</f>
        <v>11196</v>
      </c>
      <c r="P65" s="158">
        <f>-CFS!BJ83-CFS!BJ84</f>
        <v>8926</v>
      </c>
      <c r="Q65" s="158">
        <f>-CFS!BQ83-CFS!BQ84</f>
        <v>10148</v>
      </c>
      <c r="R65" s="158">
        <f>-CFS!BX83-CFS!BX84</f>
        <v>17095</v>
      </c>
      <c r="S65" s="158">
        <f>-CFS!CE83-CFS!CE84</f>
        <v>15040</v>
      </c>
      <c r="T65" s="818">
        <f>-CFS!CL83-CFS!CL84</f>
        <v>12773</v>
      </c>
      <c r="U65" s="818">
        <f>-CFS!CS83-CFS!CS84</f>
        <v>13591</v>
      </c>
      <c r="V65" s="818">
        <f>-CFS!CZ83-CFS!CZ84</f>
        <v>14279</v>
      </c>
      <c r="W65" s="818">
        <f>-CFS!DG83-CFS!DG84</f>
        <v>14249</v>
      </c>
      <c r="X65" s="327">
        <f>-CFS!DN83-CFS!DN84</f>
        <v>14249</v>
      </c>
      <c r="Y65" s="327">
        <f>-CFS!DU83-CFS!DU84</f>
        <v>14249</v>
      </c>
      <c r="Z65" s="327">
        <f>-CFS!EB83-CFS!EB84</f>
        <v>14249</v>
      </c>
      <c r="AA65" s="327">
        <f>-CFS!EI83-CFS!EI84</f>
        <v>14249</v>
      </c>
      <c r="AB65" s="327">
        <f>-CFS!EP83-CFS!EP84</f>
        <v>14249</v>
      </c>
      <c r="AC65" s="108"/>
      <c r="AD65" s="108"/>
      <c r="AE65" s="108"/>
      <c r="AF65" s="108"/>
      <c r="AG65" s="108"/>
    </row>
    <row r="66" spans="1:33" ht="11.25" customHeight="1" outlineLevel="1">
      <c r="A66" s="218" t="s">
        <v>447</v>
      </c>
      <c r="B66" s="158">
        <f>-BS!F6-BS!F7-BS!F18</f>
        <v>-10586</v>
      </c>
      <c r="C66" s="158">
        <f>-BS!G6-BS!G7-BS!G18</f>
        <v>-9986</v>
      </c>
      <c r="D66" s="158">
        <f>-BS!H6-BS!H7-BS!H18</f>
        <v>-11838</v>
      </c>
      <c r="E66" s="158">
        <f>-BS!I6-BS!I7-BS!I18</f>
        <v>-13697</v>
      </c>
      <c r="F66" s="158">
        <f>-BS!J6-BS!J7-BS!J18</f>
        <v>-15093</v>
      </c>
      <c r="G66" s="158">
        <f>-BS!K6-BS!K7-BS!K18</f>
        <v>-16196</v>
      </c>
      <c r="H66" s="158">
        <f>-BS!L6-BS!L7-BS!L18</f>
        <v>-16785</v>
      </c>
      <c r="I66" s="158">
        <f>-BS!M6-BS!M7-BS!M18</f>
        <v>-17071</v>
      </c>
      <c r="J66" s="818">
        <f>-BS!T6-BS!T7-BS!T18</f>
        <v>-14084</v>
      </c>
      <c r="K66" s="818">
        <f>-BS!AA6-BS!AA7-BS!AA18</f>
        <v>-16461</v>
      </c>
      <c r="L66" s="818">
        <f>-BS!AH6-BS!AH7-BS!AH18</f>
        <v>-19215</v>
      </c>
      <c r="M66" s="818">
        <f>-BS!AO6-BS!AO7-BS!AO18</f>
        <v>-21591</v>
      </c>
      <c r="N66" s="818">
        <f>-BS!AV6-BS!AV7-BS!AV18</f>
        <v>-24587</v>
      </c>
      <c r="O66" s="818">
        <f>-BS!BC6-BS!BC7-BS!BC18</f>
        <v>-24587</v>
      </c>
      <c r="P66" s="818">
        <f>-BS!BJ6-BS!BJ7-BS!BJ18</f>
        <v>-22207</v>
      </c>
      <c r="Q66" s="818">
        <f>-BS!BQ6-BS!BQ7-BS!BQ18</f>
        <v>-22682</v>
      </c>
      <c r="R66" s="818">
        <f>-BS!BX6-BS!BX7-BS!BX18</f>
        <v>-21407</v>
      </c>
      <c r="S66" s="818">
        <f>-BS!CE6-BS!CE7-BS!CE18</f>
        <v>-22683</v>
      </c>
      <c r="T66" s="818">
        <f>-BS!CL6-BS!CL7-BS!CL18</f>
        <v>-23598</v>
      </c>
      <c r="U66" s="818">
        <f>-BS!CS6-BS!CS7-BS!CS18</f>
        <v>-25278</v>
      </c>
      <c r="V66" s="818">
        <f>-BS!CZ6-BS!CZ7-BS!CZ18</f>
        <v>-26864</v>
      </c>
      <c r="W66" s="818">
        <f>-BS!DG6-BS!DG7-BS!DG18</f>
        <v>-27218</v>
      </c>
      <c r="X66" s="327">
        <f>-BS!DN6-BS!DN7-BS!DN18</f>
        <v>-29062.315290264629</v>
      </c>
      <c r="Y66" s="327">
        <f>-BS!DU6-BS!DU7-BS!DU18</f>
        <v>-31490.264435215046</v>
      </c>
      <c r="Z66" s="327">
        <f>-BS!EB6-BS!EB7-BS!EB18</f>
        <v>-35888.961050330181</v>
      </c>
      <c r="AA66" s="327">
        <f>-BS!EI6-BS!EI7-BS!EI18</f>
        <v>-40370.263487631164</v>
      </c>
      <c r="AB66" s="327">
        <f>-BS!EP6-BS!EP7-BS!EP18</f>
        <v>-46879.021652357987</v>
      </c>
      <c r="AC66" s="108"/>
      <c r="AD66" s="108"/>
      <c r="AE66" s="108"/>
      <c r="AF66" s="108"/>
      <c r="AG66" s="108"/>
    </row>
    <row r="67" spans="1:33" ht="11.25" customHeight="1" outlineLevel="1">
      <c r="A67" s="807" t="s">
        <v>440</v>
      </c>
      <c r="B67" s="158">
        <f>-BS!E15</f>
        <v>-1738</v>
      </c>
      <c r="C67" s="158">
        <f>-BS!F15</f>
        <v>-1908</v>
      </c>
      <c r="D67" s="158">
        <f>-BS!G15</f>
        <v>-2095</v>
      </c>
      <c r="E67" s="158">
        <f>-BS!H15</f>
        <v>-2238</v>
      </c>
      <c r="F67" s="158">
        <f>-BS!I15</f>
        <v>-2356</v>
      </c>
      <c r="G67" s="158">
        <f>-BS!J15</f>
        <v>-2514</v>
      </c>
      <c r="H67" s="158">
        <f>-BS!K15</f>
        <v>-2451</v>
      </c>
      <c r="I67" s="158">
        <f>-BS!L15</f>
        <v>-2677</v>
      </c>
      <c r="J67" s="158">
        <f>-BS!M15</f>
        <v>-2662</v>
      </c>
      <c r="K67" s="158">
        <f>-BS!T15</f>
        <v>-3858</v>
      </c>
      <c r="L67" s="158">
        <f>-BS!AA15</f>
        <v>-3391</v>
      </c>
      <c r="M67" s="158">
        <f>-BS!AH15</f>
        <v>-1326</v>
      </c>
      <c r="N67" s="818">
        <f>-BS!AO15</f>
        <v>-1608</v>
      </c>
      <c r="O67" s="158">
        <f>-BS!BC15</f>
        <v>-1617</v>
      </c>
      <c r="P67" s="158">
        <f>-BS!BJ15</f>
        <v>-1693</v>
      </c>
      <c r="Q67" s="158">
        <f>-BS!BQ15</f>
        <v>-1626</v>
      </c>
      <c r="R67" s="158">
        <f>-BS!BX15</f>
        <v>-1578</v>
      </c>
      <c r="S67" s="158">
        <f>-BS!CE15</f>
        <v>-1672</v>
      </c>
      <c r="T67" s="818">
        <f>-BS!CL15</f>
        <v>-2067</v>
      </c>
      <c r="U67" s="818">
        <f>-BS!CS15</f>
        <v>-2228</v>
      </c>
      <c r="V67" s="818">
        <f>-BS!CZ15</f>
        <v>-2433</v>
      </c>
      <c r="W67" s="818">
        <f>-BS!DG15</f>
        <v>-2360</v>
      </c>
      <c r="X67" s="327">
        <f>-BS!DN15</f>
        <v>-2324.8888504143147</v>
      </c>
      <c r="Y67" s="327">
        <f>-BS!DU15</f>
        <v>-2285.8119832781304</v>
      </c>
      <c r="Z67" s="327">
        <f>-BS!EB15</f>
        <v>-2243.2666534507671</v>
      </c>
      <c r="AA67" s="327">
        <f>-BS!EI15</f>
        <v>-2198.8021648143072</v>
      </c>
      <c r="AB67" s="327">
        <f>-BS!EP15</f>
        <v>-2152.805273657721</v>
      </c>
      <c r="AC67" s="108"/>
      <c r="AD67" s="108"/>
      <c r="AE67" s="108"/>
      <c r="AF67" s="108"/>
      <c r="AG67" s="108"/>
    </row>
    <row r="68" spans="1:33" ht="11.25" customHeight="1" outlineLevel="1">
      <c r="A68" s="807" t="s">
        <v>494</v>
      </c>
      <c r="B68" s="158">
        <v>-2110</v>
      </c>
      <c r="C68" s="158">
        <v>-1938</v>
      </c>
      <c r="D68" s="158">
        <v>-1666</v>
      </c>
      <c r="E68" s="158">
        <v>-1553</v>
      </c>
      <c r="F68" s="158">
        <v>-1712</v>
      </c>
      <c r="G68" s="158">
        <v>-2210</v>
      </c>
      <c r="H68" s="158">
        <v>-2386</v>
      </c>
      <c r="I68" s="158">
        <v>-2352</v>
      </c>
      <c r="J68" s="158">
        <v>-2115</v>
      </c>
      <c r="K68" s="158">
        <v>-1864</v>
      </c>
      <c r="L68" s="158">
        <v>-1769</v>
      </c>
      <c r="M68" s="158">
        <v>-2492</v>
      </c>
      <c r="N68" s="158">
        <v>-3655</v>
      </c>
      <c r="O68" s="158">
        <v>-4204</v>
      </c>
      <c r="P68" s="158">
        <v>-3811</v>
      </c>
      <c r="Q68" s="158">
        <v>-4453</v>
      </c>
      <c r="R68" s="158">
        <v>-3855</v>
      </c>
      <c r="S68" s="158">
        <v>-4001</v>
      </c>
      <c r="T68" s="158">
        <v>-4190</v>
      </c>
      <c r="U68" s="158">
        <v>-4719</v>
      </c>
      <c r="V68" s="158">
        <v>-5077</v>
      </c>
      <c r="W68" s="158">
        <v>-5077</v>
      </c>
      <c r="X68" s="327">
        <v>-5077</v>
      </c>
      <c r="Y68" s="327">
        <v>-5077</v>
      </c>
      <c r="Z68" s="327">
        <v>-5077</v>
      </c>
      <c r="AA68" s="327">
        <v>-5077</v>
      </c>
      <c r="AB68" s="327">
        <v>-5077</v>
      </c>
      <c r="AC68" s="108"/>
      <c r="AD68" s="108"/>
      <c r="AE68" s="108"/>
      <c r="AF68" s="108"/>
      <c r="AG68" s="108"/>
    </row>
    <row r="69" spans="1:33" ht="11.25" customHeight="1" outlineLevel="1">
      <c r="A69" s="807" t="s">
        <v>491</v>
      </c>
      <c r="B69" s="158">
        <v>5119</v>
      </c>
      <c r="C69" s="158">
        <v>5293</v>
      </c>
      <c r="D69" s="158">
        <v>5418</v>
      </c>
      <c r="E69" s="158">
        <v>5315</v>
      </c>
      <c r="F69" s="158">
        <v>4920</v>
      </c>
      <c r="G69" s="158">
        <v>5294</v>
      </c>
      <c r="H69" s="158">
        <v>6020</v>
      </c>
      <c r="I69" s="158">
        <v>5737</v>
      </c>
      <c r="J69" s="158">
        <v>6112</v>
      </c>
      <c r="K69" s="158">
        <v>6366</v>
      </c>
      <c r="L69" s="158">
        <v>6528</v>
      </c>
      <c r="M69" s="158">
        <v>7286</v>
      </c>
      <c r="N69" s="158">
        <v>7070</v>
      </c>
      <c r="O69" s="158">
        <v>5901</v>
      </c>
      <c r="P69" s="158">
        <v>4577</v>
      </c>
      <c r="Q69" s="158">
        <v>4277</v>
      </c>
      <c r="R69" s="158">
        <v>3912</v>
      </c>
      <c r="S69" s="158">
        <v>3861</v>
      </c>
      <c r="T69" s="158">
        <v>3857</v>
      </c>
      <c r="U69" s="158">
        <v>3856</v>
      </c>
      <c r="V69" s="158">
        <v>3861</v>
      </c>
      <c r="W69" s="158">
        <v>3861</v>
      </c>
      <c r="X69" s="327">
        <v>3861</v>
      </c>
      <c r="Y69" s="327">
        <v>3861</v>
      </c>
      <c r="Z69" s="327">
        <v>3861</v>
      </c>
      <c r="AA69" s="327">
        <v>3861</v>
      </c>
      <c r="AB69" s="327">
        <v>3861</v>
      </c>
      <c r="AC69" s="108"/>
      <c r="AD69" s="108"/>
      <c r="AE69" s="108"/>
      <c r="AF69" s="108"/>
      <c r="AG69" s="108"/>
    </row>
    <row r="70" spans="1:33" ht="11.25" customHeight="1">
      <c r="A70" s="281" t="s">
        <v>457</v>
      </c>
      <c r="B70" s="158">
        <f>SUM(B62:B69)</f>
        <v>2178</v>
      </c>
      <c r="C70" s="158">
        <f t="shared" ref="C70:M70" si="75">SUM(C62:C69)</f>
        <v>1681</v>
      </c>
      <c r="D70" s="158">
        <f t="shared" si="75"/>
        <v>1305</v>
      </c>
      <c r="E70" s="158">
        <f t="shared" si="75"/>
        <v>-3249</v>
      </c>
      <c r="F70" s="158">
        <f t="shared" si="75"/>
        <v>-6994</v>
      </c>
      <c r="G70" s="158">
        <f t="shared" si="75"/>
        <v>-6990</v>
      </c>
      <c r="H70" s="158">
        <f t="shared" si="75"/>
        <v>-9301</v>
      </c>
      <c r="I70" s="158">
        <f t="shared" si="75"/>
        <v>-9008</v>
      </c>
      <c r="J70" s="158">
        <f t="shared" si="75"/>
        <v>-5216</v>
      </c>
      <c r="K70" s="158">
        <f t="shared" si="75"/>
        <v>-6558</v>
      </c>
      <c r="L70" s="158">
        <f t="shared" si="75"/>
        <v>-7201</v>
      </c>
      <c r="M70" s="158">
        <f t="shared" si="75"/>
        <v>-7378</v>
      </c>
      <c r="N70" s="158">
        <f t="shared" ref="N70:T70" si="76">SUM(N62:N69)</f>
        <v>-9916</v>
      </c>
      <c r="O70" s="158">
        <f t="shared" si="76"/>
        <v>-8508</v>
      </c>
      <c r="P70" s="158">
        <f t="shared" si="76"/>
        <v>-10658</v>
      </c>
      <c r="Q70" s="158">
        <f t="shared" si="76"/>
        <v>-10578</v>
      </c>
      <c r="R70" s="158">
        <f t="shared" si="76"/>
        <v>586</v>
      </c>
      <c r="S70" s="158">
        <f t="shared" si="76"/>
        <v>-6570</v>
      </c>
      <c r="T70" s="158">
        <f t="shared" si="76"/>
        <v>-14203</v>
      </c>
      <c r="U70" s="158">
        <f t="shared" ref="U70:AB70" si="77">SUM(U62:U69)</f>
        <v>-15115</v>
      </c>
      <c r="V70" s="158">
        <f t="shared" si="77"/>
        <v>-17557</v>
      </c>
      <c r="W70" s="158">
        <f t="shared" si="77"/>
        <v>-16590</v>
      </c>
      <c r="X70" s="327">
        <f t="shared" si="77"/>
        <v>-18624.204140678943</v>
      </c>
      <c r="Y70" s="327">
        <f t="shared" si="77"/>
        <v>-21238.076418493176</v>
      </c>
      <c r="Z70" s="327">
        <f t="shared" si="77"/>
        <v>-25819.227703780947</v>
      </c>
      <c r="AA70" s="327">
        <f t="shared" si="77"/>
        <v>-30481.065652445468</v>
      </c>
      <c r="AB70" s="327">
        <f t="shared" si="77"/>
        <v>-37168.82692601571</v>
      </c>
      <c r="AC70" s="108"/>
      <c r="AD70" s="108"/>
      <c r="AE70" s="108"/>
      <c r="AF70" s="108"/>
      <c r="AG70" s="108"/>
    </row>
    <row r="71" spans="1:33" ht="11.25" customHeight="1">
      <c r="A71" s="2" t="s">
        <v>424</v>
      </c>
      <c r="B71" s="24">
        <f>BS!E24-BS!E35</f>
        <v>41234</v>
      </c>
      <c r="C71" s="24">
        <f>BS!F24-BS!F35</f>
        <v>38641</v>
      </c>
      <c r="D71" s="24">
        <f>BS!G24-BS!G35</f>
        <v>40921</v>
      </c>
      <c r="E71" s="24">
        <f>BS!H24-BS!H35</f>
        <v>41388</v>
      </c>
      <c r="F71" s="24">
        <f>BS!I24-BS!I35</f>
        <v>39428</v>
      </c>
      <c r="G71" s="24">
        <f>BS!J24-BS!J35</f>
        <v>37928</v>
      </c>
      <c r="H71" s="24">
        <f>BS!K24-BS!K35</f>
        <v>39417</v>
      </c>
      <c r="I71" s="24">
        <f>BS!L24-BS!L35</f>
        <v>40980</v>
      </c>
      <c r="J71" s="24">
        <f>BS!M24-BS!M35</f>
        <v>43454</v>
      </c>
      <c r="K71" s="24">
        <f>BS!T24-BS!T35</f>
        <v>43923</v>
      </c>
      <c r="L71" s="24">
        <f>BS!AA24-BS!AA35</f>
        <v>47925</v>
      </c>
      <c r="M71" s="24">
        <f>BS!AH24-BS!AH35</f>
        <v>52673</v>
      </c>
      <c r="N71" s="24">
        <f>BS!AO24-BS!AO35</f>
        <v>54441</v>
      </c>
      <c r="O71" s="24">
        <f>BS!BC24-BS!BC35</f>
        <v>53564</v>
      </c>
      <c r="P71" s="24">
        <f>BS!BJ24-BS!BJ35</f>
        <v>54412</v>
      </c>
      <c r="Q71" s="24">
        <f>BS!BQ24-BS!BQ35</f>
        <v>52035</v>
      </c>
      <c r="R71" s="24">
        <f>BS!BX24-BS!BX35</f>
        <v>60324</v>
      </c>
      <c r="S71" s="24">
        <f>BS!CE24-BS!CE35</f>
        <v>59240</v>
      </c>
      <c r="T71" s="24">
        <f>BS!CL24-BS!CL35</f>
        <v>63349</v>
      </c>
      <c r="U71" s="24">
        <f>BS!CS24-BS!CS35</f>
        <v>65121</v>
      </c>
      <c r="V71" s="24">
        <f>BS!CZ24-BS!CZ35</f>
        <v>68590</v>
      </c>
      <c r="W71" s="24">
        <f>BS!DG24-BS!DG35</f>
        <v>71428</v>
      </c>
      <c r="X71" s="464">
        <f>BS!DN24-BS!DN35</f>
        <v>75734.070002914043</v>
      </c>
      <c r="Y71" s="464">
        <f>BS!DU24-BS!DU35</f>
        <v>79538.710057916192</v>
      </c>
      <c r="Z71" s="464">
        <f>BS!EB24-BS!EB35</f>
        <v>84460.553790462087</v>
      </c>
      <c r="AA71" s="464">
        <f>BS!EI24-BS!EI35</f>
        <v>89829.238387733931</v>
      </c>
      <c r="AB71" s="464">
        <f>BS!EP24-BS!EP35</f>
        <v>96958.542890995508</v>
      </c>
      <c r="AC71" s="108"/>
      <c r="AD71" s="108"/>
      <c r="AE71" s="108"/>
      <c r="AF71" s="108"/>
      <c r="AG71" s="108"/>
    </row>
    <row r="72" spans="1:33" ht="11.25" customHeight="1">
      <c r="A72" s="807" t="s">
        <v>392</v>
      </c>
      <c r="B72" s="158">
        <f>BS!E66</f>
        <v>9460</v>
      </c>
      <c r="C72" s="158">
        <f>BS!F66</f>
        <v>10159</v>
      </c>
      <c r="D72" s="158">
        <f>BS!G66</f>
        <v>9571</v>
      </c>
      <c r="E72" s="158">
        <f>BS!H66</f>
        <v>9519</v>
      </c>
      <c r="F72" s="158">
        <f>BS!I66</f>
        <v>9760</v>
      </c>
      <c r="G72" s="158">
        <f>BS!J66</f>
        <v>9741</v>
      </c>
      <c r="H72" s="158">
        <f>BS!K66</f>
        <v>9809</v>
      </c>
      <c r="I72" s="158">
        <f>BS!L66</f>
        <v>10812</v>
      </c>
      <c r="J72" s="158">
        <f>BS!M66</f>
        <v>11017</v>
      </c>
      <c r="K72" s="158">
        <f>BS!T66</f>
        <v>9872</v>
      </c>
      <c r="L72" s="158">
        <f>BS!AA66</f>
        <v>9979</v>
      </c>
      <c r="M72" s="158">
        <f>BS!AH66</f>
        <v>9907</v>
      </c>
      <c r="N72" s="158">
        <f>BS!AO66</f>
        <v>9425</v>
      </c>
      <c r="O72" s="158">
        <f>BS!BC66</f>
        <v>9141</v>
      </c>
      <c r="P72" s="158">
        <f>BS!BJ66</f>
        <v>13039</v>
      </c>
      <c r="Q72" s="158">
        <f>BS!BQ66</f>
        <v>13019</v>
      </c>
      <c r="R72" s="158">
        <f>BS!BX66</f>
        <v>12999</v>
      </c>
      <c r="S72" s="158">
        <f>BS!CE66</f>
        <v>13028</v>
      </c>
      <c r="T72" s="158">
        <f>BS!CL66</f>
        <v>13165</v>
      </c>
      <c r="U72" s="158">
        <f>BS!CS66</f>
        <v>13141</v>
      </c>
      <c r="V72" s="158">
        <f>BS!CZ66</f>
        <v>13449</v>
      </c>
      <c r="W72" s="158">
        <f>BS!DG66</f>
        <v>13556</v>
      </c>
      <c r="X72" s="327">
        <f>BS!DN66</f>
        <v>13556</v>
      </c>
      <c r="Y72" s="327">
        <f>BS!DU66</f>
        <v>13556</v>
      </c>
      <c r="Z72" s="327">
        <f>BS!EB66</f>
        <v>13556</v>
      </c>
      <c r="AA72" s="327">
        <f>BS!EI66</f>
        <v>13556</v>
      </c>
      <c r="AB72" s="327">
        <f>BS!EP66</f>
        <v>13556</v>
      </c>
      <c r="AC72" s="108"/>
      <c r="AD72" s="108"/>
      <c r="AE72" s="108"/>
      <c r="AF72" s="108"/>
      <c r="AG72" s="108"/>
    </row>
    <row r="73" spans="1:33" ht="11.25" customHeight="1">
      <c r="A73" s="808" t="s">
        <v>425</v>
      </c>
      <c r="B73" s="119">
        <f>B71-B72</f>
        <v>31774</v>
      </c>
      <c r="C73" s="119">
        <f t="shared" ref="C73:L73" si="78">C71-C72</f>
        <v>28482</v>
      </c>
      <c r="D73" s="119">
        <f t="shared" si="78"/>
        <v>31350</v>
      </c>
      <c r="E73" s="119">
        <f t="shared" si="78"/>
        <v>31869</v>
      </c>
      <c r="F73" s="119">
        <f t="shared" si="78"/>
        <v>29668</v>
      </c>
      <c r="G73" s="119">
        <f t="shared" si="78"/>
        <v>28187</v>
      </c>
      <c r="H73" s="119">
        <f t="shared" si="78"/>
        <v>29608</v>
      </c>
      <c r="I73" s="119">
        <f t="shared" si="78"/>
        <v>30168</v>
      </c>
      <c r="J73" s="119">
        <f t="shared" si="78"/>
        <v>32437</v>
      </c>
      <c r="K73" s="119">
        <f t="shared" si="78"/>
        <v>34051</v>
      </c>
      <c r="L73" s="119">
        <f t="shared" si="78"/>
        <v>37946</v>
      </c>
      <c r="M73" s="119">
        <f t="shared" ref="M73:T73" si="79">M71-M72</f>
        <v>42766</v>
      </c>
      <c r="N73" s="119">
        <f t="shared" si="79"/>
        <v>45016</v>
      </c>
      <c r="O73" s="119">
        <f t="shared" si="79"/>
        <v>44423</v>
      </c>
      <c r="P73" s="119">
        <f t="shared" si="79"/>
        <v>41373</v>
      </c>
      <c r="Q73" s="119">
        <f t="shared" si="79"/>
        <v>39016</v>
      </c>
      <c r="R73" s="119">
        <f t="shared" si="79"/>
        <v>47325</v>
      </c>
      <c r="S73" s="119">
        <f t="shared" si="79"/>
        <v>46212</v>
      </c>
      <c r="T73" s="119">
        <f t="shared" si="79"/>
        <v>50184</v>
      </c>
      <c r="U73" s="119">
        <f t="shared" ref="U73:AB73" si="80">U71-U72</f>
        <v>51980</v>
      </c>
      <c r="V73" s="119">
        <f t="shared" si="80"/>
        <v>55141</v>
      </c>
      <c r="W73" s="119">
        <f t="shared" si="80"/>
        <v>57872</v>
      </c>
      <c r="X73" s="462">
        <f t="shared" si="80"/>
        <v>62178.070002914043</v>
      </c>
      <c r="Y73" s="462">
        <f t="shared" si="80"/>
        <v>65982.710057916192</v>
      </c>
      <c r="Z73" s="462">
        <f t="shared" si="80"/>
        <v>70904.553790462087</v>
      </c>
      <c r="AA73" s="462">
        <f t="shared" si="80"/>
        <v>76273.238387733931</v>
      </c>
      <c r="AB73" s="462">
        <f t="shared" si="80"/>
        <v>83402.542890995508</v>
      </c>
      <c r="AC73" s="108"/>
      <c r="AD73" s="108"/>
      <c r="AE73" s="108"/>
      <c r="AF73" s="108"/>
      <c r="AG73" s="108"/>
    </row>
    <row r="74" spans="1:33" ht="11.25" customHeight="1">
      <c r="A74" s="108"/>
      <c r="B74" s="1786"/>
      <c r="C74" s="1786"/>
      <c r="D74" s="1786"/>
      <c r="E74" s="1786"/>
      <c r="F74" s="1786"/>
      <c r="G74" s="1786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479"/>
      <c r="Y74" s="479"/>
      <c r="Z74" s="479"/>
      <c r="AA74" s="479"/>
      <c r="AB74" s="479"/>
      <c r="AC74" s="108"/>
      <c r="AD74" s="108"/>
      <c r="AE74" s="108"/>
      <c r="AF74" s="108"/>
      <c r="AG74" s="108"/>
    </row>
    <row r="75" spans="1:33" ht="11.25" customHeight="1">
      <c r="A75" s="108" t="s">
        <v>444</v>
      </c>
      <c r="B75" s="251">
        <f t="shared" ref="B75:AB75" si="81">B17/(AVERAGE(A71:B71))</f>
        <v>5.8980453024203329E-2</v>
      </c>
      <c r="C75" s="251">
        <f t="shared" si="81"/>
        <v>7.1411580594679183E-2</v>
      </c>
      <c r="D75" s="251">
        <f t="shared" si="81"/>
        <v>1.0029913777934189E-2</v>
      </c>
      <c r="E75" s="251">
        <f t="shared" si="81"/>
        <v>1.2635313270723736E-3</v>
      </c>
      <c r="F75" s="251">
        <f t="shared" si="81"/>
        <v>8.166699663432983E-2</v>
      </c>
      <c r="G75" s="251">
        <f t="shared" si="81"/>
        <v>5.5587155488908427E-2</v>
      </c>
      <c r="H75" s="251">
        <f t="shared" si="81"/>
        <v>3.4649945051393106E-2</v>
      </c>
      <c r="I75" s="251">
        <f t="shared" si="81"/>
        <v>4.4628530915332663E-2</v>
      </c>
      <c r="J75" s="251">
        <f t="shared" si="81"/>
        <v>7.0208683705616226E-2</v>
      </c>
      <c r="K75" s="251">
        <f t="shared" si="81"/>
        <v>8.1806425031758931E-2</v>
      </c>
      <c r="L75" s="251">
        <f t="shared" si="81"/>
        <v>8.8537583834160785E-2</v>
      </c>
      <c r="M75" s="251">
        <f t="shared" si="81"/>
        <v>8.2148750472176388E-2</v>
      </c>
      <c r="N75" s="251">
        <f t="shared" si="81"/>
        <v>7.384655600575088E-2</v>
      </c>
      <c r="O75" s="251">
        <f t="shared" si="81"/>
        <v>5.9071339289847695E-2</v>
      </c>
      <c r="P75" s="251">
        <f t="shared" si="81"/>
        <v>0.10806105060383789</v>
      </c>
      <c r="Q75" s="251">
        <f t="shared" si="81"/>
        <v>0.13050626133193044</v>
      </c>
      <c r="R75" s="251">
        <f t="shared" si="81"/>
        <v>3.0366948798049111E-2</v>
      </c>
      <c r="S75" s="251">
        <f t="shared" si="81"/>
        <v>8.1379010404469571E-2</v>
      </c>
      <c r="T75" s="251">
        <f t="shared" si="81"/>
        <v>9.1802690290319691E-2</v>
      </c>
      <c r="U75" s="251">
        <f t="shared" si="81"/>
        <v>9.0885031524869625E-2</v>
      </c>
      <c r="V75" s="251">
        <f t="shared" si="81"/>
        <v>8.0083164436732954E-2</v>
      </c>
      <c r="W75" s="251">
        <f t="shared" si="81"/>
        <v>0.1018154808667457</v>
      </c>
      <c r="X75" s="449">
        <f t="shared" si="81"/>
        <v>0.10752231460437785</v>
      </c>
      <c r="Y75" s="449">
        <f t="shared" si="81"/>
        <v>0.12276976951418758</v>
      </c>
      <c r="Z75" s="449">
        <f t="shared" si="81"/>
        <v>0.14420108154708733</v>
      </c>
      <c r="AA75" s="449">
        <f t="shared" si="81"/>
        <v>0.14704694392712778</v>
      </c>
      <c r="AB75" s="449">
        <f t="shared" si="81"/>
        <v>0.14534252466545697</v>
      </c>
      <c r="AC75" s="108"/>
      <c r="AD75" s="108"/>
      <c r="AE75" s="108"/>
      <c r="AF75" s="108"/>
      <c r="AG75" s="108"/>
    </row>
    <row r="76" spans="1:33" ht="11.25" customHeight="1">
      <c r="A76" s="108" t="s">
        <v>445</v>
      </c>
      <c r="B76" s="251">
        <f t="shared" ref="B76:AB76" si="82">B17/(AVERAGE(A73:B73))</f>
        <v>7.6540567759803613E-2</v>
      </c>
      <c r="C76" s="251">
        <f t="shared" si="82"/>
        <v>9.4662772172065854E-2</v>
      </c>
      <c r="D76" s="251">
        <f t="shared" si="82"/>
        <v>1.3337344564781388E-2</v>
      </c>
      <c r="E76" s="251">
        <f t="shared" si="82"/>
        <v>1.645075056549455E-3</v>
      </c>
      <c r="F76" s="251">
        <f t="shared" si="82"/>
        <v>0.10725254724799714</v>
      </c>
      <c r="G76" s="251">
        <f t="shared" si="82"/>
        <v>7.4323740385446369E-2</v>
      </c>
      <c r="H76" s="251">
        <f t="shared" si="82"/>
        <v>4.6370793321221557E-2</v>
      </c>
      <c r="I76" s="251">
        <f t="shared" si="82"/>
        <v>6.0024089935760173E-2</v>
      </c>
      <c r="J76" s="251">
        <f t="shared" si="82"/>
        <v>9.4688922610015172E-2</v>
      </c>
      <c r="K76" s="251">
        <f t="shared" si="82"/>
        <v>0.10750812176633377</v>
      </c>
      <c r="L76" s="251">
        <f t="shared" si="82"/>
        <v>0.11294915065905524</v>
      </c>
      <c r="M76" s="251">
        <f t="shared" si="82"/>
        <v>0.10238874021211219</v>
      </c>
      <c r="N76" s="251">
        <f t="shared" si="82"/>
        <v>9.0109589665307244E-2</v>
      </c>
      <c r="O76" s="251">
        <f t="shared" si="82"/>
        <v>7.133353458781963E-2</v>
      </c>
      <c r="P76" s="251">
        <f t="shared" si="82"/>
        <v>0.13599701617791038</v>
      </c>
      <c r="Q76" s="251">
        <f t="shared" si="82"/>
        <v>0.17280971277164786</v>
      </c>
      <c r="R76" s="251">
        <f t="shared" si="82"/>
        <v>3.951772622508426E-2</v>
      </c>
      <c r="S76" s="251">
        <f t="shared" si="82"/>
        <v>0.10402300693843078</v>
      </c>
      <c r="T76" s="251">
        <f t="shared" si="82"/>
        <v>0.11674758288725673</v>
      </c>
      <c r="U76" s="251">
        <f t="shared" si="82"/>
        <v>0.11428683293528052</v>
      </c>
      <c r="V76" s="251">
        <f t="shared" si="82"/>
        <v>9.9961725525340508E-2</v>
      </c>
      <c r="W76" s="251">
        <f t="shared" si="82"/>
        <v>0.12614477980409333</v>
      </c>
      <c r="X76" s="449">
        <f t="shared" si="82"/>
        <v>0.13180505757556588</v>
      </c>
      <c r="Y76" s="449">
        <f t="shared" si="82"/>
        <v>0.14874131860657605</v>
      </c>
      <c r="Z76" s="449">
        <f t="shared" si="82"/>
        <v>0.17276166207877972</v>
      </c>
      <c r="AA76" s="449">
        <f t="shared" si="82"/>
        <v>0.17413484003393534</v>
      </c>
      <c r="AB76" s="449">
        <f t="shared" si="82"/>
        <v>0.17002082275908773</v>
      </c>
      <c r="AC76" s="108"/>
      <c r="AD76" s="108"/>
      <c r="AE76" s="108"/>
      <c r="AF76" s="108"/>
      <c r="AG76" s="108"/>
    </row>
    <row r="77" spans="1:33" ht="11.25" customHeight="1">
      <c r="A77" s="108" t="s">
        <v>446</v>
      </c>
      <c r="B77" s="251">
        <f t="shared" ref="B77:AB77" si="83">B17/AVERAGE(A61:B61)</f>
        <v>0.1500308451573103</v>
      </c>
      <c r="C77" s="251">
        <f t="shared" si="83"/>
        <v>0.19053981827899519</v>
      </c>
      <c r="D77" s="251">
        <f t="shared" si="83"/>
        <v>2.9841815938072624E-2</v>
      </c>
      <c r="E77" s="251">
        <f t="shared" si="83"/>
        <v>3.9839111281363727E-3</v>
      </c>
      <c r="F77" s="251">
        <f t="shared" si="83"/>
        <v>0.27372262773722628</v>
      </c>
      <c r="G77" s="251">
        <f t="shared" si="83"/>
        <v>0.19947116945771676</v>
      </c>
      <c r="H77" s="251">
        <f t="shared" si="83"/>
        <v>0.13831544178364988</v>
      </c>
      <c r="I77" s="251">
        <f t="shared" si="83"/>
        <v>0.20281499067322367</v>
      </c>
      <c r="J77" s="251">
        <f t="shared" si="83"/>
        <v>0.30780414351731655</v>
      </c>
      <c r="K77" s="251">
        <f t="shared" si="83"/>
        <v>0.33601278616086117</v>
      </c>
      <c r="L77" s="251">
        <f t="shared" si="83"/>
        <v>0.45366806136680615</v>
      </c>
      <c r="M77" s="251">
        <f t="shared" si="83"/>
        <v>0.63437476011361016</v>
      </c>
      <c r="N77" s="251">
        <f t="shared" si="83"/>
        <v>0.82198898472409854</v>
      </c>
      <c r="O77" s="251">
        <f t="shared" si="83"/>
        <v>0.44314787803014516</v>
      </c>
      <c r="P77" s="251">
        <f t="shared" si="83"/>
        <v>0.57017200938232993</v>
      </c>
      <c r="Q77" s="251">
        <f t="shared" si="83"/>
        <v>0.88489712720555447</v>
      </c>
      <c r="R77" s="251">
        <f t="shared" si="83"/>
        <v>0.27471819645732687</v>
      </c>
      <c r="S77" s="251">
        <f t="shared" si="83"/>
        <v>0.6115266168059833</v>
      </c>
      <c r="T77" s="251">
        <f t="shared" si="83"/>
        <v>0.5020521056388294</v>
      </c>
      <c r="U77" s="251">
        <f t="shared" si="83"/>
        <v>0.38100832109642685</v>
      </c>
      <c r="V77" s="251">
        <f t="shared" si="83"/>
        <v>0.28707005174124017</v>
      </c>
      <c r="W77" s="251">
        <f t="shared" si="83"/>
        <v>0.3118792386786261</v>
      </c>
      <c r="X77" s="449">
        <f t="shared" si="83"/>
        <v>0.28298529978774284</v>
      </c>
      <c r="Y77" s="449">
        <f t="shared" si="83"/>
        <v>0.30258776860774633</v>
      </c>
      <c r="Z77" s="449">
        <f t="shared" si="83"/>
        <v>0.33295913198864185</v>
      </c>
      <c r="AA77" s="449">
        <f t="shared" si="83"/>
        <v>0.31857613829486259</v>
      </c>
      <c r="AB77" s="449">
        <f t="shared" si="83"/>
        <v>0.29572329151228666</v>
      </c>
      <c r="AC77" s="108"/>
      <c r="AD77" s="108"/>
      <c r="AE77" s="108"/>
      <c r="AF77" s="108"/>
      <c r="AG77" s="108"/>
    </row>
    <row r="78" spans="1:33" ht="11.25" customHeight="1">
      <c r="A78" s="108"/>
      <c r="B78" s="1786"/>
      <c r="C78" s="1786"/>
      <c r="D78" s="1786"/>
      <c r="E78" s="1786"/>
      <c r="F78" s="1786"/>
      <c r="G78" s="1786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108"/>
      <c r="AD78" s="108"/>
      <c r="AE78" s="108"/>
      <c r="AF78" s="108"/>
      <c r="AG78" s="108"/>
    </row>
    <row r="79" spans="1:33" ht="11.25" customHeight="1">
      <c r="A79" s="1250" t="s">
        <v>426</v>
      </c>
      <c r="B79" s="1784"/>
      <c r="C79" s="1784"/>
      <c r="D79" s="1784"/>
      <c r="E79" s="1784"/>
      <c r="F79" s="1784"/>
      <c r="G79" s="1784"/>
      <c r="H79" s="1784"/>
      <c r="I79" s="1784"/>
      <c r="J79" s="1784"/>
      <c r="K79" s="1784"/>
      <c r="L79" s="1784"/>
      <c r="M79" s="1784"/>
      <c r="N79" s="1784"/>
      <c r="O79" s="1784"/>
      <c r="P79" s="1784"/>
      <c r="Q79" s="1784"/>
      <c r="R79" s="1784"/>
      <c r="S79" s="1784"/>
      <c r="T79" s="1784"/>
      <c r="U79" s="1784"/>
      <c r="V79" s="1784"/>
      <c r="W79" s="1784"/>
      <c r="X79" s="1785"/>
      <c r="Y79" s="1785"/>
      <c r="Z79" s="1785"/>
      <c r="AA79" s="1785"/>
      <c r="AB79" s="1785"/>
      <c r="AC79" s="108"/>
      <c r="AD79" s="108"/>
      <c r="AE79" s="108"/>
      <c r="AF79" s="108"/>
      <c r="AG79" s="108"/>
    </row>
    <row r="80" spans="1:33" ht="11.25" customHeight="1">
      <c r="A80" s="1792" t="s">
        <v>435</v>
      </c>
      <c r="B80" s="130">
        <v>3673</v>
      </c>
      <c r="C80" s="130">
        <v>2858</v>
      </c>
      <c r="D80" s="130">
        <v>2851</v>
      </c>
      <c r="E80" s="130">
        <v>2062</v>
      </c>
      <c r="F80" s="130">
        <v>1837</v>
      </c>
      <c r="G80" s="130">
        <v>1959</v>
      </c>
      <c r="H80" s="130">
        <v>2542</v>
      </c>
      <c r="I80" s="130">
        <v>2437</v>
      </c>
      <c r="J80" s="130">
        <v>3634</v>
      </c>
      <c r="K80" s="130">
        <v>3129</v>
      </c>
      <c r="L80" s="130">
        <f>BS!AA108+BS!AA89</f>
        <v>2633</v>
      </c>
      <c r="M80" s="130">
        <f>BS!AH108+BS!AH89</f>
        <v>3400</v>
      </c>
      <c r="N80" s="130">
        <f>BS!AO108+BS!AO89</f>
        <v>3315</v>
      </c>
      <c r="O80" s="130">
        <f>BS!AV108+BS!AV89</f>
        <v>2748</v>
      </c>
      <c r="P80" s="130">
        <f>BS!BJ108+BS!BJ89</f>
        <v>2327</v>
      </c>
      <c r="Q80" s="130">
        <f>BS!BQ108+BS!BQ89</f>
        <v>2340</v>
      </c>
      <c r="R80" s="130">
        <f>BS!BX108+BS!BX89</f>
        <v>1759</v>
      </c>
      <c r="S80" s="130">
        <f>BS!CE108+BS!CE89</f>
        <v>1928</v>
      </c>
      <c r="T80" s="130">
        <f>BS!CL108+BS!CL89</f>
        <v>2464</v>
      </c>
      <c r="U80" s="130">
        <f>BS!CS108+BS!CS89</f>
        <v>3051</v>
      </c>
      <c r="V80" s="130">
        <f>BS!CZ108+BS!CZ89</f>
        <v>3669</v>
      </c>
      <c r="W80" s="130">
        <f>BS!DG108+BS!DG89</f>
        <v>3964</v>
      </c>
      <c r="X80" s="617">
        <f>BS!DN108+BS!DN89</f>
        <v>4214.2181925637333</v>
      </c>
      <c r="Y80" s="617">
        <f>BS!DU108+BS!DU89</f>
        <v>4376.9821854210213</v>
      </c>
      <c r="Z80" s="617">
        <f>BS!EB108+BS!EB89</f>
        <v>4577.0665824982589</v>
      </c>
      <c r="AA80" s="617">
        <f>BS!EI108+BS!EI89</f>
        <v>4612.0076255781696</v>
      </c>
      <c r="AB80" s="617">
        <f>BS!EP108+BS!EP89</f>
        <v>4770.6554063636777</v>
      </c>
      <c r="AC80" s="130"/>
      <c r="AD80" s="130"/>
      <c r="AE80" s="130"/>
      <c r="AF80" s="130"/>
      <c r="AG80" s="130"/>
    </row>
    <row r="81" spans="1:33" ht="11.25" customHeight="1">
      <c r="A81" s="1787" t="s">
        <v>436</v>
      </c>
      <c r="B81" s="251">
        <f t="shared" ref="B81:AB81" si="84">B80/B12</f>
        <v>0.11564497339504423</v>
      </c>
      <c r="C81" s="251">
        <f t="shared" si="84"/>
        <v>8.3552593112319481E-2</v>
      </c>
      <c r="D81" s="251">
        <f t="shared" si="84"/>
        <v>7.2298016939696702E-2</v>
      </c>
      <c r="E81" s="251">
        <f t="shared" si="84"/>
        <v>5.2705569613782172E-2</v>
      </c>
      <c r="F81" s="251">
        <f t="shared" si="84"/>
        <v>4.2459262683462382E-2</v>
      </c>
      <c r="G81" s="251">
        <f t="shared" si="84"/>
        <v>4.5747512960627713E-2</v>
      </c>
      <c r="H81" s="251">
        <f t="shared" si="84"/>
        <v>5.5560412659555865E-2</v>
      </c>
      <c r="I81" s="251">
        <f t="shared" si="84"/>
        <v>4.9605113173750201E-2</v>
      </c>
      <c r="J81" s="251">
        <f t="shared" si="84"/>
        <v>6.4341359773371104E-2</v>
      </c>
      <c r="K81" s="251">
        <f t="shared" si="84"/>
        <v>5.4354057011829694E-2</v>
      </c>
      <c r="L81" s="251">
        <f t="shared" si="84"/>
        <v>4.3367977204223147E-2</v>
      </c>
      <c r="M81" s="251">
        <f t="shared" si="84"/>
        <v>5.2754072924747868E-2</v>
      </c>
      <c r="N81" s="251">
        <f t="shared" si="84"/>
        <v>4.9788978837806579E-2</v>
      </c>
      <c r="O81" s="251">
        <f t="shared" si="84"/>
        <v>4.1158057124028334E-2</v>
      </c>
      <c r="P81" s="251">
        <f t="shared" si="84"/>
        <v>3.6526598332993238E-2</v>
      </c>
      <c r="Q81" s="251">
        <f t="shared" si="84"/>
        <v>3.3201850222764548E-2</v>
      </c>
      <c r="R81" s="251">
        <f t="shared" si="84"/>
        <v>3.5242025965699635E-2</v>
      </c>
      <c r="S81" s="251">
        <f t="shared" si="84"/>
        <v>3.6970986979616101E-2</v>
      </c>
      <c r="T81" s="251">
        <f t="shared" si="84"/>
        <v>4.1931147150417777E-2</v>
      </c>
      <c r="U81" s="251">
        <f t="shared" si="84"/>
        <v>4.6618586315435626E-2</v>
      </c>
      <c r="V81" s="251">
        <f t="shared" si="84"/>
        <v>5.299725552506139E-2</v>
      </c>
      <c r="W81" s="251">
        <f t="shared" si="84"/>
        <v>5.399073821846908E-2</v>
      </c>
      <c r="X81" s="449">
        <f t="shared" si="84"/>
        <v>5.2312751910254057E-2</v>
      </c>
      <c r="Y81" s="449">
        <f t="shared" si="84"/>
        <v>4.88191978131488E-2</v>
      </c>
      <c r="Z81" s="449">
        <f t="shared" si="84"/>
        <v>4.6888995986249897E-2</v>
      </c>
      <c r="AA81" s="449">
        <f t="shared" si="84"/>
        <v>4.5207689638536282E-2</v>
      </c>
      <c r="AB81" s="449">
        <f t="shared" si="84"/>
        <v>4.5204863937041588E-2</v>
      </c>
      <c r="AC81" s="108"/>
      <c r="AD81" s="108"/>
      <c r="AE81" s="108"/>
      <c r="AF81" s="108"/>
      <c r="AG81" s="108"/>
    </row>
    <row r="82" spans="1:33" ht="11.25" customHeight="1">
      <c r="A82" s="1787" t="s">
        <v>437</v>
      </c>
      <c r="B82" s="806">
        <v>2.4260237780713343</v>
      </c>
      <c r="C82" s="806">
        <v>2.0070224719101124</v>
      </c>
      <c r="D82" s="806">
        <v>1.7320777642770353</v>
      </c>
      <c r="E82" s="806">
        <v>1.20023282887078</v>
      </c>
      <c r="F82" s="806">
        <v>1.1663492063492062</v>
      </c>
      <c r="G82" s="806">
        <v>1.1194285714285714</v>
      </c>
      <c r="H82" s="806">
        <v>1.7665045170257123</v>
      </c>
      <c r="I82" s="806">
        <v>1.4143934997098084</v>
      </c>
      <c r="J82" s="806">
        <v>1.7857493857493858</v>
      </c>
      <c r="K82" s="806">
        <v>1.6390780513357779</v>
      </c>
      <c r="L82" s="806">
        <f>L80/(BS!AA116+BS!AA96)</f>
        <v>1.247276172430128</v>
      </c>
      <c r="M82" s="806">
        <f>M80/(BS!AH116+BS!AH96)</f>
        <v>1.4131338320864506</v>
      </c>
      <c r="N82" s="806">
        <f>N80/(BS!AO116+BS!AO96)</f>
        <v>1.4655172413793103</v>
      </c>
      <c r="O82" s="806">
        <f>O80/(BS!AV116+BS!AV96)</f>
        <v>1.2020997375328084</v>
      </c>
      <c r="P82" s="806">
        <f>P80/(BS!BJ116+BS!BJ96)</f>
        <v>0.96958333333333335</v>
      </c>
      <c r="Q82" s="806">
        <f>Q80/(BS!BQ116+BS!BQ96)</f>
        <v>0.79945336522036214</v>
      </c>
      <c r="R82" s="806">
        <f>R80/(BS!BX116+BS!BX96)</f>
        <v>0.62133521723772522</v>
      </c>
      <c r="S82" s="806">
        <f>S80/(BS!CE116+BS!CE96)</f>
        <v>0.82924731182795697</v>
      </c>
      <c r="T82" s="806">
        <f>T80/(BS!CL116+BS!CL96)</f>
        <v>0.90721649484536082</v>
      </c>
      <c r="U82" s="806">
        <f>U80/(BS!CS116+BS!CS96)</f>
        <v>1.3608385370205174</v>
      </c>
      <c r="V82" s="806">
        <f>V80/(BS!CZ116+BS!CZ96)</f>
        <v>1.2860147213459516</v>
      </c>
      <c r="W82" s="806">
        <f>W80/(BS!DG116+BS!DG96)</f>
        <v>1.2485039370078741</v>
      </c>
      <c r="X82" s="1791">
        <f>X80/(BS!DN116+BS!DN96)</f>
        <v>1.1600020405194664</v>
      </c>
      <c r="Y82" s="1791">
        <f>Y80/(BS!DU116+BS!DU96)</f>
        <v>1.0808519706960507</v>
      </c>
      <c r="Z82" s="1791">
        <f>Z80/(BS!EB116+BS!EB96)</f>
        <v>1.0372980748933296</v>
      </c>
      <c r="AA82" s="1791">
        <f>AA80/(BS!EI116+BS!EI96)</f>
        <v>1</v>
      </c>
      <c r="AB82" s="1791">
        <f>AB80/(BS!EP116+BS!EP96)</f>
        <v>1</v>
      </c>
      <c r="AC82" s="108"/>
      <c r="AD82" s="108"/>
      <c r="AE82" s="108"/>
      <c r="AF82" s="108"/>
      <c r="AG82" s="108"/>
    </row>
    <row r="83" spans="1:33" ht="11.25" customHeight="1">
      <c r="A83" s="108"/>
      <c r="B83" s="1786"/>
      <c r="C83" s="1786"/>
      <c r="D83" s="1786"/>
      <c r="E83" s="1786"/>
      <c r="F83" s="1786"/>
      <c r="G83" s="1786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108"/>
      <c r="AD83" s="108"/>
      <c r="AE83" s="108"/>
      <c r="AF83" s="108"/>
      <c r="AG83" s="108"/>
    </row>
    <row r="84" spans="1:33" ht="11.25" customHeight="1">
      <c r="A84" s="1250" t="s">
        <v>834</v>
      </c>
      <c r="B84" s="1784"/>
      <c r="C84" s="1784"/>
      <c r="D84" s="1784"/>
      <c r="E84" s="1784"/>
      <c r="F84" s="1784"/>
      <c r="G84" s="1784"/>
      <c r="H84" s="1784"/>
      <c r="I84" s="1784"/>
      <c r="J84" s="1784"/>
      <c r="K84" s="1784"/>
      <c r="L84" s="1784"/>
      <c r="M84" s="1784"/>
      <c r="N84" s="1784"/>
      <c r="O84" s="1784"/>
      <c r="P84" s="1784"/>
      <c r="Q84" s="1784"/>
      <c r="R84" s="1784"/>
      <c r="S84" s="1784"/>
      <c r="T84" s="1784"/>
      <c r="U84" s="1784"/>
      <c r="V84" s="1784"/>
      <c r="W84" s="1784"/>
      <c r="X84" s="1785"/>
      <c r="Y84" s="1785"/>
      <c r="Z84" s="1785"/>
      <c r="AA84" s="1785"/>
      <c r="AB84" s="1785"/>
      <c r="AC84" s="108"/>
      <c r="AD84" s="108"/>
      <c r="AE84" s="108"/>
      <c r="AF84" s="108"/>
      <c r="AG84" s="108"/>
    </row>
    <row r="85" spans="1:33" ht="11.25" customHeight="1">
      <c r="A85" s="108" t="s">
        <v>323</v>
      </c>
      <c r="B85" s="158">
        <f>Divisional!E4</f>
        <v>20224</v>
      </c>
      <c r="C85" s="158">
        <f>Divisional!F4</f>
        <v>22179</v>
      </c>
      <c r="D85" s="158">
        <f>Divisional!G4</f>
        <v>25190</v>
      </c>
      <c r="E85" s="158">
        <f>Divisional!H4</f>
        <v>25216</v>
      </c>
      <c r="F85" s="158">
        <f>Divisional!I4</f>
        <v>26524</v>
      </c>
      <c r="G85" s="158">
        <f>Divisional!J4</f>
        <v>26370</v>
      </c>
      <c r="H85" s="158">
        <f>Divisional!K4</f>
        <v>27673</v>
      </c>
      <c r="I85" s="158">
        <f>Divisional!L4</f>
        <v>31159</v>
      </c>
      <c r="J85" s="158">
        <f>Divisional!M4</f>
        <v>36943</v>
      </c>
      <c r="K85" s="158">
        <f>Divisional!T4</f>
        <v>39494</v>
      </c>
      <c r="L85" s="158">
        <f>Divisional!AA4</f>
        <v>42280</v>
      </c>
      <c r="M85" s="158">
        <f>Divisional!AH4</f>
        <v>45854</v>
      </c>
      <c r="N85" s="158">
        <f>Divisional!AO4</f>
        <v>49237</v>
      </c>
      <c r="O85" s="158">
        <f>Divisional!AV4</f>
        <v>50958</v>
      </c>
      <c r="P85" s="158">
        <f>Divisional!BJ4</f>
        <v>47970</v>
      </c>
      <c r="Q85" s="158">
        <f>Divisional!BQ4</f>
        <v>54775</v>
      </c>
      <c r="R85" s="158">
        <f>Divisional!CE4</f>
        <v>34250</v>
      </c>
      <c r="S85" s="158">
        <f>Divisional!CL4</f>
        <v>36164</v>
      </c>
      <c r="T85" s="158">
        <f>Divisional!CS4</f>
        <v>41428</v>
      </c>
      <c r="U85" s="158">
        <f>Divisional!CZ4</f>
        <v>47763</v>
      </c>
      <c r="V85" s="158">
        <f>Divisional!DG4</f>
        <v>50646</v>
      </c>
      <c r="W85" s="158">
        <f>Divisional!DN4</f>
        <v>52577</v>
      </c>
      <c r="X85" s="327">
        <f>Divisional!DU4</f>
        <v>58338.75934792099</v>
      </c>
      <c r="Y85" s="327">
        <f>Divisional!EB4</f>
        <v>66232.987590396966</v>
      </c>
      <c r="Z85" s="327">
        <f>Divisional!EI4</f>
        <v>73145.490542642801</v>
      </c>
      <c r="AA85" s="327">
        <f>Divisional!EP4</f>
        <v>76370.600544967674</v>
      </c>
      <c r="AB85" s="327">
        <f>Divisional!EW4</f>
        <v>78628.53213740619</v>
      </c>
      <c r="AC85" s="193"/>
      <c r="AD85" s="900"/>
      <c r="AE85" s="900"/>
      <c r="AF85" s="900"/>
      <c r="AG85" s="900"/>
    </row>
    <row r="86" spans="1:33" ht="11.25" customHeight="1">
      <c r="A86" s="108" t="s">
        <v>325</v>
      </c>
      <c r="B86" s="158">
        <f>Divisional!E5</f>
        <v>2786</v>
      </c>
      <c r="C86" s="158">
        <f>Divisional!F5</f>
        <v>3211</v>
      </c>
      <c r="D86" s="158">
        <f>Divisional!G5</f>
        <v>3803</v>
      </c>
      <c r="E86" s="158">
        <f>Divisional!H5</f>
        <v>4172</v>
      </c>
      <c r="F86" s="158">
        <f>Divisional!I5</f>
        <v>4486</v>
      </c>
      <c r="G86" s="158">
        <f>Divisional!J5</f>
        <v>4570</v>
      </c>
      <c r="H86" s="158">
        <f>Divisional!K5</f>
        <v>4830</v>
      </c>
      <c r="I86" s="158">
        <f>Divisional!L5</f>
        <v>5415</v>
      </c>
      <c r="J86" s="158">
        <f>Divisional!M5</f>
        <v>6264</v>
      </c>
      <c r="K86" s="158">
        <f>Divisional!T5</f>
        <v>6297</v>
      </c>
      <c r="L86" s="158">
        <f>Divisional!AA5</f>
        <v>6524</v>
      </c>
      <c r="M86" s="158">
        <f>Divisional!AH5</f>
        <v>6786</v>
      </c>
      <c r="N86" s="158">
        <f>Divisional!AO5</f>
        <v>6652</v>
      </c>
      <c r="O86" s="158">
        <f>Divisional!AV5</f>
        <v>6450</v>
      </c>
      <c r="P86" s="158">
        <f>Divisional!BJ5</f>
        <v>5934</v>
      </c>
      <c r="Q86" s="158">
        <f>Divisional!BQ5</f>
        <v>6007</v>
      </c>
      <c r="R86" s="158">
        <f>Divisional!CE5</f>
        <v>6251</v>
      </c>
      <c r="S86" s="158">
        <f>Divisional!CL5</f>
        <v>6509</v>
      </c>
      <c r="T86" s="158">
        <f>Divisional!CS5</f>
        <v>7048</v>
      </c>
      <c r="U86" s="158">
        <f>Divisional!CZ5</f>
        <v>7337</v>
      </c>
      <c r="V86" s="158">
        <f>Divisional!DG5</f>
        <v>7941</v>
      </c>
      <c r="W86" s="158">
        <f>Divisional!DN5</f>
        <v>8972</v>
      </c>
      <c r="X86" s="327">
        <f>Divisional!DU5</f>
        <v>9371.5052160000014</v>
      </c>
      <c r="Y86" s="327">
        <f>Divisional!EB5</f>
        <v>9789.0022635264013</v>
      </c>
      <c r="Z86" s="327">
        <f>Divisional!EI5</f>
        <v>10225.310603612868</v>
      </c>
      <c r="AA86" s="327">
        <f>Divisional!EP5</f>
        <v>10681.287433070829</v>
      </c>
      <c r="AB86" s="327">
        <f>Divisional!EW5</f>
        <v>11157.829440492489</v>
      </c>
      <c r="AC86" s="193"/>
      <c r="AD86" s="900"/>
      <c r="AE86" s="900"/>
      <c r="AF86" s="900"/>
      <c r="AG86" s="900"/>
    </row>
    <row r="87" spans="1:33" ht="11.25" customHeight="1">
      <c r="A87" s="108" t="s">
        <v>324</v>
      </c>
      <c r="B87" s="158">
        <f>Divisional!E6</f>
        <v>0</v>
      </c>
      <c r="C87" s="158">
        <f>Divisional!F6</f>
        <v>0</v>
      </c>
      <c r="D87" s="158">
        <f>Divisional!G6</f>
        <v>0</v>
      </c>
      <c r="E87" s="158">
        <f>Divisional!H6</f>
        <v>0</v>
      </c>
      <c r="F87" s="158">
        <f>Divisional!I6</f>
        <v>0</v>
      </c>
      <c r="G87" s="158">
        <f>Divisional!J6</f>
        <v>0</v>
      </c>
      <c r="H87" s="158">
        <f>Divisional!K6</f>
        <v>0</v>
      </c>
      <c r="I87" s="158">
        <f>Divisional!L6</f>
        <v>0</v>
      </c>
      <c r="J87" s="158">
        <f>Divisional!M6</f>
        <v>0</v>
      </c>
      <c r="K87" s="158">
        <f>Divisional!T6</f>
        <v>13121</v>
      </c>
      <c r="L87" s="158">
        <f>Divisional!AA6</f>
        <v>13025</v>
      </c>
      <c r="M87" s="158">
        <f>Divisional!AH6</f>
        <v>13080</v>
      </c>
      <c r="N87" s="158">
        <f>Divisional!AO6</f>
        <v>11854</v>
      </c>
      <c r="O87" s="158">
        <f>Divisional!AV6</f>
        <v>10804</v>
      </c>
      <c r="P87" s="158">
        <f>Divisional!BJ6</f>
        <v>11063</v>
      </c>
      <c r="Q87" s="158">
        <f>Divisional!BQ6</f>
        <v>10907</v>
      </c>
      <c r="R87" s="158">
        <f>Divisional!CE6</f>
        <v>10446</v>
      </c>
      <c r="S87" s="158">
        <f>Divisional!CL6</f>
        <v>10186</v>
      </c>
      <c r="T87" s="158">
        <f>Divisional!CS6</f>
        <v>11259</v>
      </c>
      <c r="U87" s="158">
        <f>Divisional!CZ6</f>
        <v>11495</v>
      </c>
      <c r="V87" s="158">
        <f>Divisional!DG6</f>
        <v>12082</v>
      </c>
      <c r="W87" s="158">
        <f>Divisional!DN6</f>
        <v>13405</v>
      </c>
      <c r="X87" s="327">
        <f>Divisional!DU6</f>
        <v>14531.02</v>
      </c>
      <c r="Y87" s="327">
        <f>Divisional!EB6</f>
        <v>15508.244500000001</v>
      </c>
      <c r="Z87" s="327">
        <f>Divisional!EI6</f>
        <v>16283.656725000004</v>
      </c>
      <c r="AA87" s="327">
        <f>Divisional!EP6</f>
        <v>17097.839561250003</v>
      </c>
      <c r="AB87" s="327">
        <f>Divisional!EW6</f>
        <v>17952.731539312506</v>
      </c>
      <c r="AC87" s="193"/>
      <c r="AD87" s="900"/>
      <c r="AE87" s="900"/>
      <c r="AF87" s="900"/>
      <c r="AG87" s="900"/>
    </row>
    <row r="88" spans="1:33" ht="11.25" customHeight="1">
      <c r="A88" s="1" t="s">
        <v>326</v>
      </c>
      <c r="B88" s="158">
        <f>Divisional!E12</f>
        <v>-1620</v>
      </c>
      <c r="C88" s="158">
        <f>Divisional!F12</f>
        <v>-1436</v>
      </c>
      <c r="D88" s="158">
        <f>Divisional!G12</f>
        <v>-2092</v>
      </c>
      <c r="E88" s="158">
        <f>Divisional!H12</f>
        <v>-1754</v>
      </c>
      <c r="F88" s="158">
        <f>Divisional!I12</f>
        <v>-1799</v>
      </c>
      <c r="G88" s="158">
        <f>Divisional!J12</f>
        <v>-1611</v>
      </c>
      <c r="H88" s="158">
        <f>Divisional!K12</f>
        <v>-1553</v>
      </c>
      <c r="I88" s="158">
        <f>Divisional!L12</f>
        <v>-1969</v>
      </c>
      <c r="J88" s="158">
        <f>Divisional!M12</f>
        <v>-1939</v>
      </c>
      <c r="K88" s="158">
        <f>Divisional!T12</f>
        <v>-1345</v>
      </c>
      <c r="L88" s="158">
        <f>Divisional!AA12</f>
        <v>-1116</v>
      </c>
      <c r="M88" s="158">
        <f>Divisional!AH12</f>
        <v>-1270</v>
      </c>
      <c r="N88" s="158">
        <f>Divisional!AO12</f>
        <v>-1162</v>
      </c>
      <c r="O88" s="158">
        <f>Divisional!AV12</f>
        <v>-1445</v>
      </c>
      <c r="P88" s="158">
        <f>Divisional!BJ12</f>
        <v>-1260</v>
      </c>
      <c r="Q88" s="158">
        <f>Divisional!BQ12</f>
        <v>-1211</v>
      </c>
      <c r="R88" s="158">
        <f>Divisional!CE12</f>
        <v>-1035</v>
      </c>
      <c r="S88" s="158">
        <f>Divisional!CL12</f>
        <v>-710</v>
      </c>
      <c r="T88" s="158">
        <f>Divisional!CS12</f>
        <v>-972</v>
      </c>
      <c r="U88" s="158">
        <f>Divisional!CZ12</f>
        <v>-1149</v>
      </c>
      <c r="V88" s="158">
        <f>Divisional!DG12</f>
        <v>-1439</v>
      </c>
      <c r="W88" s="158">
        <f>Divisional!DN12</f>
        <v>-1534</v>
      </c>
      <c r="X88" s="327">
        <f>Divisional!DU12</f>
        <v>-1683.1407332637991</v>
      </c>
      <c r="Y88" s="327">
        <f>Divisional!EB12</f>
        <v>-1873.2473183408281</v>
      </c>
      <c r="Z88" s="327">
        <f>Divisional!EI12</f>
        <v>-2039.5167485992233</v>
      </c>
      <c r="AA88" s="327">
        <f>Divisional!EP12</f>
        <v>-2131.5164240103068</v>
      </c>
      <c r="AB88" s="327">
        <f>Divisional!EW12</f>
        <v>-2204.9759698188477</v>
      </c>
      <c r="AC88" s="1"/>
      <c r="AD88" s="1"/>
      <c r="AE88" s="1"/>
      <c r="AF88" s="1"/>
      <c r="AG88" s="1"/>
    </row>
    <row r="89" spans="1:33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1.25" customHeight="1">
      <c r="A90" s="1250" t="s">
        <v>835</v>
      </c>
      <c r="B90" s="1784"/>
      <c r="C90" s="1784"/>
      <c r="D90" s="1784"/>
      <c r="E90" s="1784"/>
      <c r="F90" s="1784"/>
      <c r="G90" s="1784"/>
      <c r="H90" s="1784"/>
      <c r="I90" s="1784"/>
      <c r="J90" s="1784"/>
      <c r="K90" s="1784"/>
      <c r="L90" s="1784"/>
      <c r="M90" s="1784"/>
      <c r="N90" s="1784"/>
      <c r="O90" s="1784"/>
      <c r="P90" s="1784"/>
      <c r="Q90" s="1784"/>
      <c r="R90" s="1784"/>
      <c r="S90" s="1784"/>
      <c r="T90" s="1784"/>
      <c r="U90" s="1784"/>
      <c r="V90" s="1784"/>
      <c r="W90" s="1784"/>
      <c r="X90" s="1785"/>
      <c r="Y90" s="1785"/>
      <c r="Z90" s="1785"/>
      <c r="AA90" s="1785"/>
      <c r="AB90" s="1785"/>
      <c r="AC90" s="108"/>
      <c r="AD90" s="108"/>
      <c r="AE90" s="108"/>
      <c r="AF90" s="108"/>
      <c r="AG90" s="108"/>
    </row>
    <row r="91" spans="1:33" ht="11.25" customHeight="1">
      <c r="A91" s="108" t="s">
        <v>323</v>
      </c>
      <c r="B91" s="158"/>
      <c r="C91" s="158"/>
      <c r="D91" s="158"/>
      <c r="E91" s="158"/>
      <c r="F91" s="158"/>
      <c r="G91" s="158"/>
      <c r="H91" s="158"/>
      <c r="I91" s="158"/>
      <c r="J91" s="158"/>
      <c r="K91" s="158">
        <f>Divisional!T26</f>
        <v>2214</v>
      </c>
      <c r="L91" s="158">
        <f>Divisional!AA26</f>
        <v>2529</v>
      </c>
      <c r="M91" s="158">
        <f>Divisional!AH26</f>
        <v>2780</v>
      </c>
      <c r="N91" s="158">
        <f>Divisional!AO26</f>
        <v>2811</v>
      </c>
      <c r="O91" s="158">
        <f>Divisional!AV26</f>
        <v>3554</v>
      </c>
      <c r="P91" s="158">
        <f>Divisional!BJ26</f>
        <v>4808</v>
      </c>
      <c r="Q91" s="158">
        <f>Divisional!BQ26</f>
        <v>6358</v>
      </c>
      <c r="R91" s="158">
        <f>Divisional!CE26</f>
        <v>618</v>
      </c>
      <c r="S91" s="158">
        <f>Divisional!CL26</f>
        <v>3570</v>
      </c>
      <c r="T91" s="158">
        <f>Divisional!CS26</f>
        <v>4600</v>
      </c>
      <c r="U91" s="158">
        <f>Divisional!CZ26</f>
        <v>4818</v>
      </c>
      <c r="V91" s="158">
        <f>Divisional!DG26</f>
        <v>5093</v>
      </c>
      <c r="W91" s="158">
        <f>Divisional!DN26</f>
        <v>5470</v>
      </c>
      <c r="X91" s="327">
        <f>Divisional!DU26</f>
        <v>5917.6780366624007</v>
      </c>
      <c r="Y91" s="327">
        <f>Divisional!EB26</f>
        <v>7312.7601279597311</v>
      </c>
      <c r="Z91" s="327">
        <f>Divisional!EI26</f>
        <v>9368.1627072406627</v>
      </c>
      <c r="AA91" s="327">
        <f>Divisional!EP26</f>
        <v>10185.632558752972</v>
      </c>
      <c r="AB91" s="327">
        <f>Divisional!EW26</f>
        <v>10793.436856114384</v>
      </c>
      <c r="AC91" s="193"/>
      <c r="AD91" s="900"/>
      <c r="AE91" s="900"/>
      <c r="AF91" s="900"/>
      <c r="AG91" s="900"/>
    </row>
    <row r="92" spans="1:33" ht="11.25" customHeight="1">
      <c r="A92" s="108" t="s">
        <v>325</v>
      </c>
      <c r="B92" s="158"/>
      <c r="C92" s="158"/>
      <c r="D92" s="158"/>
      <c r="E92" s="158"/>
      <c r="F92" s="158"/>
      <c r="G92" s="158"/>
      <c r="H92" s="158"/>
      <c r="I92" s="158"/>
      <c r="J92" s="158"/>
      <c r="K92" s="158">
        <f>Divisional!T27</f>
        <v>397</v>
      </c>
      <c r="L92" s="158">
        <f>Divisional!AA27</f>
        <v>413</v>
      </c>
      <c r="M92" s="158">
        <f>Divisional!AH27</f>
        <v>427</v>
      </c>
      <c r="N92" s="158">
        <f>Divisional!AO27</f>
        <v>350</v>
      </c>
      <c r="O92" s="158">
        <f>Divisional!AV27</f>
        <v>337</v>
      </c>
      <c r="P92" s="158">
        <f>Divisional!BJ27</f>
        <v>380</v>
      </c>
      <c r="Q92" s="158">
        <f>Divisional!BQ27</f>
        <v>422</v>
      </c>
      <c r="R92" s="158">
        <f>Divisional!CE27</f>
        <v>471</v>
      </c>
      <c r="S92" s="158">
        <f>Divisional!CL27</f>
        <v>535</v>
      </c>
      <c r="T92" s="158">
        <f>Divisional!CS27</f>
        <v>639</v>
      </c>
      <c r="U92" s="158">
        <f>Divisional!CZ27</f>
        <v>735</v>
      </c>
      <c r="V92" s="158">
        <f>Divisional!DG27</f>
        <v>818</v>
      </c>
      <c r="W92" s="158">
        <f>Divisional!DN27</f>
        <v>925</v>
      </c>
      <c r="X92" s="327">
        <f>Divisional!DU27</f>
        <v>963.75375768000004</v>
      </c>
      <c r="Y92" s="327">
        <f>Divisional!EB27</f>
        <v>1055.5232444879041</v>
      </c>
      <c r="Z92" s="327">
        <f>Divisional!EI27</f>
        <v>1153.5803646904799</v>
      </c>
      <c r="AA92" s="327">
        <f>Divisional!EP27</f>
        <v>1234.8607470459992</v>
      </c>
      <c r="AB92" s="327">
        <f>Divisional!EW27</f>
        <v>1289.7011006904736</v>
      </c>
      <c r="AC92" s="193"/>
      <c r="AD92" s="900"/>
      <c r="AE92" s="900"/>
      <c r="AF92" s="900"/>
      <c r="AG92" s="900"/>
    </row>
    <row r="93" spans="1:33" ht="11.25" customHeight="1">
      <c r="A93" s="108" t="s">
        <v>324</v>
      </c>
      <c r="B93" s="158"/>
      <c r="C93" s="158"/>
      <c r="D93" s="158"/>
      <c r="E93" s="158"/>
      <c r="F93" s="158"/>
      <c r="G93" s="158"/>
      <c r="H93" s="158"/>
      <c r="I93" s="158"/>
      <c r="J93" s="158"/>
      <c r="K93" s="158">
        <f>Divisional!T28</f>
        <v>911</v>
      </c>
      <c r="L93" s="158">
        <f>Divisional!AA28</f>
        <v>920</v>
      </c>
      <c r="M93" s="158">
        <f>Divisional!AH28</f>
        <v>1060</v>
      </c>
      <c r="N93" s="158">
        <f>Divisional!AO28</f>
        <v>1002</v>
      </c>
      <c r="O93" s="158">
        <f>Divisional!AV28</f>
        <v>872</v>
      </c>
      <c r="P93" s="158">
        <f>Divisional!BJ28</f>
        <v>935</v>
      </c>
      <c r="Q93" s="158">
        <f>Divisional!BQ28</f>
        <v>565</v>
      </c>
      <c r="R93" s="158">
        <f>Divisional!CE28</f>
        <v>660</v>
      </c>
      <c r="S93" s="158">
        <f>Divisional!CL28</f>
        <v>696</v>
      </c>
      <c r="T93" s="158">
        <f>Divisional!CS28</f>
        <v>384</v>
      </c>
      <c r="U93" s="158">
        <f>Divisional!CZ28</f>
        <v>229</v>
      </c>
      <c r="V93" s="158">
        <f>Divisional!DG28</f>
        <v>-566</v>
      </c>
      <c r="W93" s="158">
        <f>Divisional!DN28</f>
        <v>798</v>
      </c>
      <c r="X93" s="327">
        <f>Divisional!DU28</f>
        <v>1017.1714000000002</v>
      </c>
      <c r="Y93" s="327">
        <f>Divisional!EB28</f>
        <v>1163.1183375000001</v>
      </c>
      <c r="Z93" s="327">
        <f>Divisional!EI28</f>
        <v>1302.6925380000002</v>
      </c>
      <c r="AA93" s="327">
        <f>Divisional!EP28</f>
        <v>1393.8973429500004</v>
      </c>
      <c r="AB93" s="327">
        <f>Divisional!EW28</f>
        <v>1490.9658970500004</v>
      </c>
      <c r="AC93" s="193"/>
      <c r="AD93" s="900"/>
      <c r="AE93" s="900"/>
      <c r="AF93" s="900"/>
      <c r="AG93" s="900"/>
    </row>
    <row r="94" spans="1:33" ht="11.25" customHeight="1">
      <c r="A94" s="1" t="s">
        <v>326</v>
      </c>
      <c r="B94" s="158"/>
      <c r="C94" s="158"/>
      <c r="D94" s="158"/>
      <c r="E94" s="158"/>
      <c r="F94" s="158"/>
      <c r="G94" s="158"/>
      <c r="H94" s="158"/>
      <c r="I94" s="158"/>
      <c r="J94" s="158"/>
      <c r="K94" s="158">
        <f>Divisional!T30</f>
        <v>15</v>
      </c>
      <c r="L94" s="158">
        <f>Divisional!AA30</f>
        <v>204</v>
      </c>
      <c r="M94" s="158">
        <f>Divisional!AH30</f>
        <v>-135</v>
      </c>
      <c r="N94" s="158">
        <f>Divisional!AO30</f>
        <v>-208</v>
      </c>
      <c r="O94" s="158">
        <f>Divisional!AV30</f>
        <v>-510</v>
      </c>
      <c r="P94" s="158">
        <f>Divisional!BJ30</f>
        <v>-289</v>
      </c>
      <c r="Q94" s="158">
        <f>Divisional!BQ30</f>
        <v>-399</v>
      </c>
      <c r="R94" s="158">
        <f>Divisional!CE30</f>
        <v>-43</v>
      </c>
      <c r="S94" s="158">
        <f>Divisional!CL30</f>
        <v>64</v>
      </c>
      <c r="T94" s="158">
        <f>Divisional!CS30</f>
        <v>4</v>
      </c>
      <c r="U94" s="158">
        <f>Divisional!CZ30</f>
        <v>56</v>
      </c>
      <c r="V94" s="158">
        <f>Divisional!DG30</f>
        <v>9</v>
      </c>
      <c r="W94" s="158">
        <f>Divisional!DN30</f>
        <v>-65</v>
      </c>
      <c r="X94" s="327">
        <f>Divisional!DU30</f>
        <v>13</v>
      </c>
      <c r="Y94" s="327">
        <f>Divisional!EB30</f>
        <v>0</v>
      </c>
      <c r="Z94" s="327">
        <f>Divisional!EI30</f>
        <v>0</v>
      </c>
      <c r="AA94" s="327">
        <f>Divisional!EP30</f>
        <v>0</v>
      </c>
      <c r="AB94" s="327">
        <f>Divisional!EW30</f>
        <v>0</v>
      </c>
      <c r="AC94" s="1"/>
      <c r="AD94" s="1"/>
      <c r="AE94" s="1"/>
      <c r="AF94" s="1"/>
      <c r="AG94" s="1"/>
    </row>
    <row r="95" spans="1:33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1.25" customHeight="1">
      <c r="A96" s="1250" t="s">
        <v>836</v>
      </c>
      <c r="B96" s="1784"/>
      <c r="C96" s="1784"/>
      <c r="D96" s="1784"/>
      <c r="E96" s="1784"/>
      <c r="F96" s="1784"/>
      <c r="G96" s="1784"/>
      <c r="H96" s="1784"/>
      <c r="I96" s="1784"/>
      <c r="J96" s="1784"/>
      <c r="K96" s="1784"/>
      <c r="L96" s="1784"/>
      <c r="M96" s="1784"/>
      <c r="N96" s="1784"/>
      <c r="O96" s="1784"/>
      <c r="P96" s="1784"/>
      <c r="Q96" s="1784"/>
      <c r="R96" s="1784"/>
      <c r="S96" s="1784"/>
      <c r="T96" s="1784"/>
      <c r="U96" s="1784"/>
      <c r="V96" s="1784"/>
      <c r="W96" s="1784"/>
      <c r="X96" s="1785"/>
      <c r="Y96" s="1785"/>
      <c r="Z96" s="1785"/>
      <c r="AA96" s="1785"/>
      <c r="AB96" s="1785"/>
      <c r="AC96" s="108"/>
      <c r="AD96" s="108"/>
      <c r="AE96" s="108"/>
      <c r="AF96" s="108"/>
      <c r="AG96" s="108"/>
    </row>
    <row r="97" spans="1:33" ht="11.25" customHeight="1">
      <c r="A97" s="108" t="s">
        <v>323</v>
      </c>
      <c r="B97" s="251"/>
      <c r="C97" s="251"/>
      <c r="D97" s="251"/>
      <c r="E97" s="251"/>
      <c r="F97" s="251"/>
      <c r="G97" s="251"/>
      <c r="H97" s="251"/>
      <c r="I97" s="251"/>
      <c r="J97" s="251"/>
      <c r="K97" s="251">
        <f>K91/K85</f>
        <v>5.6059148225046845E-2</v>
      </c>
      <c r="L97" s="251">
        <f t="shared" ref="L97:AB97" si="85">L91/L85</f>
        <v>5.9815515610217598E-2</v>
      </c>
      <c r="M97" s="251">
        <f t="shared" si="85"/>
        <v>6.0627208095258865E-2</v>
      </c>
      <c r="N97" s="251">
        <f t="shared" si="85"/>
        <v>5.7091211893494732E-2</v>
      </c>
      <c r="O97" s="251">
        <f t="shared" si="85"/>
        <v>6.9743710506691786E-2</v>
      </c>
      <c r="P97" s="251">
        <f t="shared" si="85"/>
        <v>0.10022930998540755</v>
      </c>
      <c r="Q97" s="251">
        <f t="shared" si="85"/>
        <v>0.11607485166590598</v>
      </c>
      <c r="R97" s="251">
        <f t="shared" si="85"/>
        <v>1.8043795620437956E-2</v>
      </c>
      <c r="S97" s="251">
        <f t="shared" si="85"/>
        <v>9.871695608892822E-2</v>
      </c>
      <c r="T97" s="251">
        <f t="shared" si="85"/>
        <v>0.11103601428985227</v>
      </c>
      <c r="U97" s="251">
        <f t="shared" si="85"/>
        <v>0.10087306073739087</v>
      </c>
      <c r="V97" s="251">
        <f t="shared" si="85"/>
        <v>0.10056075504482091</v>
      </c>
      <c r="W97" s="251">
        <f t="shared" si="85"/>
        <v>0.10403788728911882</v>
      </c>
      <c r="X97" s="449">
        <f t="shared" si="85"/>
        <v>0.1014364738435818</v>
      </c>
      <c r="Y97" s="449">
        <f t="shared" si="85"/>
        <v>0.11040963716122627</v>
      </c>
      <c r="Z97" s="449">
        <f t="shared" si="85"/>
        <v>0.12807573833658487</v>
      </c>
      <c r="AA97" s="449">
        <f t="shared" si="85"/>
        <v>0.13337112037970139</v>
      </c>
      <c r="AB97" s="449">
        <f t="shared" si="85"/>
        <v>0.13727124954148279</v>
      </c>
      <c r="AC97" s="108"/>
      <c r="AD97" s="108"/>
      <c r="AE97" s="108"/>
      <c r="AF97" s="108"/>
      <c r="AG97" s="108"/>
    </row>
    <row r="98" spans="1:33" ht="11.25" customHeight="1">
      <c r="A98" s="108" t="s">
        <v>325</v>
      </c>
      <c r="B98" s="251"/>
      <c r="C98" s="251"/>
      <c r="D98" s="251"/>
      <c r="E98" s="251"/>
      <c r="F98" s="251"/>
      <c r="G98" s="251"/>
      <c r="H98" s="251"/>
      <c r="I98" s="251"/>
      <c r="J98" s="251"/>
      <c r="K98" s="251">
        <f>K92/K86</f>
        <v>6.3045894870573285E-2</v>
      </c>
      <c r="L98" s="251">
        <f t="shared" ref="L98:AB98" si="86">L92/L86</f>
        <v>6.3304721030042921E-2</v>
      </c>
      <c r="M98" s="251">
        <f t="shared" si="86"/>
        <v>6.292366637194223E-2</v>
      </c>
      <c r="N98" s="251">
        <f t="shared" si="86"/>
        <v>5.2615754660252555E-2</v>
      </c>
      <c r="O98" s="251">
        <f t="shared" si="86"/>
        <v>5.2248062015503874E-2</v>
      </c>
      <c r="P98" s="251">
        <f t="shared" si="86"/>
        <v>6.4037748567576672E-2</v>
      </c>
      <c r="Q98" s="251">
        <f t="shared" si="86"/>
        <v>7.0251373397702682E-2</v>
      </c>
      <c r="R98" s="251">
        <f t="shared" si="86"/>
        <v>7.5347944328907374E-2</v>
      </c>
      <c r="S98" s="251">
        <f t="shared" si="86"/>
        <v>8.219388538946075E-2</v>
      </c>
      <c r="T98" s="251">
        <f t="shared" si="86"/>
        <v>9.0664018161180471E-2</v>
      </c>
      <c r="U98" s="251">
        <f t="shared" si="86"/>
        <v>0.10017718413520513</v>
      </c>
      <c r="V98" s="251">
        <f t="shared" si="86"/>
        <v>0.10300969651177433</v>
      </c>
      <c r="W98" s="251">
        <f t="shared" si="86"/>
        <v>0.10309852875613018</v>
      </c>
      <c r="X98" s="449">
        <f t="shared" si="86"/>
        <v>0.10283873673084876</v>
      </c>
      <c r="Y98" s="449">
        <f t="shared" si="86"/>
        <v>0.10782745943585686</v>
      </c>
      <c r="Z98" s="449">
        <f t="shared" si="86"/>
        <v>0.11281616856537247</v>
      </c>
      <c r="AA98" s="449">
        <f t="shared" si="86"/>
        <v>0.11560972914395035</v>
      </c>
      <c r="AB98" s="449">
        <f t="shared" si="86"/>
        <v>0.1155870958208112</v>
      </c>
      <c r="AC98" s="108"/>
      <c r="AD98" s="108"/>
      <c r="AE98" s="108"/>
      <c r="AF98" s="108"/>
      <c r="AG98" s="108"/>
    </row>
    <row r="99" spans="1:33" ht="11.25" customHeight="1">
      <c r="A99" s="108" t="s">
        <v>324</v>
      </c>
      <c r="B99" s="251"/>
      <c r="C99" s="251"/>
      <c r="D99" s="251"/>
      <c r="E99" s="251"/>
      <c r="F99" s="251"/>
      <c r="G99" s="251"/>
      <c r="H99" s="251"/>
      <c r="I99" s="251"/>
      <c r="J99" s="251"/>
      <c r="K99" s="251">
        <f>K93/K87</f>
        <v>6.9430683636917914E-2</v>
      </c>
      <c r="L99" s="251">
        <f t="shared" ref="L99:AB99" si="87">L93/L87</f>
        <v>7.0633397312859891E-2</v>
      </c>
      <c r="M99" s="251">
        <f t="shared" si="87"/>
        <v>8.1039755351681952E-2</v>
      </c>
      <c r="N99" s="251">
        <f t="shared" si="87"/>
        <v>8.452842922220348E-2</v>
      </c>
      <c r="O99" s="251">
        <f t="shared" si="87"/>
        <v>8.0710847834135499E-2</v>
      </c>
      <c r="P99" s="251">
        <f t="shared" si="87"/>
        <v>8.4515954081171477E-2</v>
      </c>
      <c r="Q99" s="251">
        <f t="shared" si="87"/>
        <v>5.1801595305766938E-2</v>
      </c>
      <c r="R99" s="251">
        <f t="shared" si="87"/>
        <v>6.3182079264790345E-2</v>
      </c>
      <c r="S99" s="251">
        <f t="shared" si="87"/>
        <v>6.8329079128215203E-2</v>
      </c>
      <c r="T99" s="251">
        <f t="shared" si="87"/>
        <v>3.4106048494537702E-2</v>
      </c>
      <c r="U99" s="251">
        <f t="shared" si="87"/>
        <v>1.9921705089169205E-2</v>
      </c>
      <c r="V99" s="251">
        <f t="shared" si="87"/>
        <v>-4.684654858467141E-2</v>
      </c>
      <c r="W99" s="251">
        <f t="shared" si="87"/>
        <v>5.9530026109660572E-2</v>
      </c>
      <c r="X99" s="449">
        <f t="shared" si="87"/>
        <v>7.0000000000000007E-2</v>
      </c>
      <c r="Y99" s="449">
        <f t="shared" si="87"/>
        <v>7.4999999999999997E-2</v>
      </c>
      <c r="Z99" s="449">
        <f t="shared" si="87"/>
        <v>7.9999999999999988E-2</v>
      </c>
      <c r="AA99" s="449">
        <f t="shared" si="87"/>
        <v>8.1524764456737842E-2</v>
      </c>
      <c r="AB99" s="449">
        <f t="shared" si="87"/>
        <v>8.3049528913475668E-2</v>
      </c>
      <c r="AC99" s="108"/>
      <c r="AD99" s="108"/>
      <c r="AE99" s="108"/>
      <c r="AF99" s="108"/>
      <c r="AG99" s="108"/>
    </row>
  </sheetData>
  <dataConsolidate/>
  <phoneticPr fontId="6" type="noConversion"/>
  <pageMargins left="0" right="0" top="0" bottom="0" header="0" footer="0"/>
  <pageSetup paperSize="9" fitToHeight="0" orientation="landscape" r:id="rId1"/>
  <headerFooter alignWithMargins="0"/>
  <webPublishItems count="3">
    <webPublishItem id="13158" divId="AIRBUS INTERNAL WIP_13158" sourceType="range" sourceRef="A1:R77" destinationFile="C:\Users\ayooljos\AppData\Local\Temp\ExcelPreview\ay-20160411152456U902681861409ef.html"/>
    <webPublishItem id="24032" divId="AIRBUS INTERNAL WIP_24032" sourceType="range" sourceRef="A1:R77" destinationFile="C:\Users\ayooljos\AppData\Local\Temp\ExcelPreview\ay-20160411152750U902681861409ZcE.html"/>
    <webPublishItem id="31440" divId="AIRBUS INTERNAL WIP - PLAY_31440" sourceType="range" sourceRef="A1:R77" destinationFile="C:\Users\ayooljos\AppData\Local\Temp\ExcelPreview\ay-20160505110457U902967147841bgD.html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tabColor theme="4"/>
    <pageSetUpPr fitToPage="1"/>
  </sheetPr>
  <dimension ref="A1:EW255"/>
  <sheetViews>
    <sheetView showGridLines="0" zoomScaleNormal="100" workbookViewId="0">
      <pane xSplit="1" ySplit="2" topLeftCell="T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9.109375" defaultRowHeight="10.199999999999999" customHeight="1" outlineLevelRow="2" outlineLevelCol="2"/>
  <cols>
    <col min="1" max="1" width="44.5546875" customWidth="1"/>
    <col min="2" max="13" width="7.5546875" hidden="1" customWidth="1" outlineLevel="1"/>
    <col min="14" max="17" width="7.5546875" hidden="1" customWidth="1" outlineLevel="2"/>
    <col min="18" max="19" width="7.5546875" hidden="1" customWidth="1" outlineLevel="1"/>
    <col min="20" max="20" width="7.5546875" customWidth="1" collapsed="1"/>
    <col min="21" max="24" width="7.5546875" hidden="1" customWidth="1" outlineLevel="2"/>
    <col min="25" max="26" width="7.5546875" hidden="1" customWidth="1" outlineLevel="1"/>
    <col min="27" max="27" width="7.5546875" customWidth="1" collapsed="1"/>
    <col min="28" max="31" width="7.5546875" hidden="1" customWidth="1" outlineLevel="2"/>
    <col min="32" max="33" width="7.5546875" hidden="1" customWidth="1" outlineLevel="1"/>
    <col min="34" max="34" width="7.5546875" customWidth="1" collapsed="1"/>
    <col min="35" max="38" width="7.5546875" hidden="1" customWidth="1" outlineLevel="2"/>
    <col min="39" max="40" width="7.5546875" hidden="1" customWidth="1" outlineLevel="1"/>
    <col min="41" max="41" width="7.5546875" customWidth="1" collapsed="1"/>
    <col min="42" max="45" width="7.5546875" hidden="1" customWidth="1" outlineLevel="2"/>
    <col min="46" max="47" width="7.5546875" hidden="1" customWidth="1" outlineLevel="1"/>
    <col min="48" max="48" width="7.5546875" customWidth="1" collapsed="1"/>
    <col min="49" max="52" width="7.5546875" hidden="1" customWidth="1" outlineLevel="2"/>
    <col min="53" max="54" width="7.5546875" hidden="1" customWidth="1" outlineLevel="1"/>
    <col min="55" max="55" width="7.5546875" customWidth="1" collapsed="1"/>
    <col min="56" max="59" width="7.5546875" hidden="1" customWidth="1" outlineLevel="2"/>
    <col min="60" max="61" width="7.5546875" hidden="1" customWidth="1" outlineLevel="1"/>
    <col min="62" max="62" width="7.5546875" customWidth="1" collapsed="1"/>
    <col min="63" max="66" width="7.5546875" hidden="1" customWidth="1" outlineLevel="2"/>
    <col min="67" max="68" width="7.5546875" hidden="1" customWidth="1" outlineLevel="1"/>
    <col min="69" max="69" width="7.5546875" customWidth="1" collapsed="1"/>
    <col min="70" max="73" width="7.5546875" hidden="1" customWidth="1" outlineLevel="2"/>
    <col min="74" max="75" width="7.5546875" hidden="1" customWidth="1" outlineLevel="1"/>
    <col min="76" max="76" width="7.5546875" customWidth="1" collapsed="1"/>
    <col min="77" max="80" width="7.5546875" hidden="1" customWidth="1" outlineLevel="2"/>
    <col min="81" max="82" width="7.5546875" hidden="1" customWidth="1" outlineLevel="1"/>
    <col min="83" max="83" width="7.5546875" customWidth="1" collapsed="1"/>
    <col min="84" max="87" width="7.5546875" hidden="1" customWidth="1" outlineLevel="2"/>
    <col min="88" max="89" width="7.5546875" hidden="1" customWidth="1" outlineLevel="1"/>
    <col min="90" max="90" width="7.5546875" customWidth="1" collapsed="1"/>
    <col min="91" max="94" width="7.5546875" hidden="1" customWidth="1" outlineLevel="2"/>
    <col min="95" max="96" width="7.5546875" hidden="1" customWidth="1" outlineLevel="1"/>
    <col min="97" max="97" width="7.5546875" customWidth="1" collapsed="1"/>
    <col min="98" max="101" width="7.5546875" hidden="1" customWidth="1" outlineLevel="2"/>
    <col min="102" max="103" width="7.5546875" hidden="1" customWidth="1" outlineLevel="1"/>
    <col min="104" max="104" width="7.5546875" customWidth="1" collapsed="1"/>
    <col min="105" max="108" width="7.5546875" hidden="1" customWidth="1" outlineLevel="2"/>
    <col min="109" max="110" width="7.5546875" hidden="1" customWidth="1" outlineLevel="1"/>
    <col min="111" max="111" width="7.5546875" customWidth="1" collapsed="1"/>
    <col min="112" max="115" width="7.5546875" hidden="1" customWidth="1" outlineLevel="2"/>
    <col min="116" max="117" width="7.5546875" hidden="1" customWidth="1" outlineLevel="1"/>
    <col min="118" max="118" width="7.5546875" customWidth="1" collapsed="1"/>
    <col min="119" max="122" width="7.5546875" hidden="1" customWidth="1" outlineLevel="2"/>
    <col min="123" max="124" width="7.5546875" hidden="1" customWidth="1" outlineLevel="1"/>
    <col min="125" max="125" width="7.5546875" customWidth="1" collapsed="1"/>
    <col min="126" max="129" width="7.5546875" hidden="1" customWidth="1" outlineLevel="2"/>
    <col min="130" max="131" width="7.5546875" hidden="1" customWidth="1" outlineLevel="1"/>
    <col min="132" max="132" width="7.5546875" customWidth="1" collapsed="1"/>
    <col min="133" max="136" width="7.5546875" hidden="1" customWidth="1" outlineLevel="2"/>
    <col min="137" max="138" width="7.5546875" hidden="1" customWidth="1" outlineLevel="1"/>
    <col min="139" max="139" width="7.5546875" customWidth="1" collapsed="1"/>
    <col min="140" max="143" width="7.5546875" hidden="1" customWidth="1" outlineLevel="2"/>
    <col min="144" max="145" width="7.5546875" hidden="1" customWidth="1" outlineLevel="1"/>
    <col min="146" max="146" width="7.5546875" customWidth="1" collapsed="1"/>
    <col min="147" max="150" width="7.5546875" hidden="1" customWidth="1" outlineLevel="2"/>
    <col min="151" max="152" width="7.5546875" hidden="1" customWidth="1" outlineLevel="1"/>
    <col min="153" max="153" width="7.5546875" customWidth="1" collapsed="1"/>
  </cols>
  <sheetData>
    <row r="1" spans="1:153" ht="10.199999999999999" customHeight="1">
      <c r="A1" s="902"/>
      <c r="B1" s="1075"/>
      <c r="C1" s="1075"/>
      <c r="D1" s="1075"/>
      <c r="E1" s="1075"/>
      <c r="F1" s="1075"/>
      <c r="G1" s="1075"/>
      <c r="H1" s="1075"/>
      <c r="I1" s="1075"/>
      <c r="J1" s="1075"/>
      <c r="K1" s="1075"/>
      <c r="L1" s="1075"/>
      <c r="M1" s="1075"/>
      <c r="N1" s="1207"/>
      <c r="O1" s="1207"/>
      <c r="P1" s="1207"/>
      <c r="Q1" s="1265"/>
      <c r="R1" s="1207"/>
      <c r="S1" s="1207"/>
      <c r="T1" s="1266"/>
      <c r="U1" s="1207"/>
      <c r="V1" s="1207"/>
      <c r="W1" s="1207"/>
      <c r="X1" s="1265"/>
      <c r="Y1" s="1207"/>
      <c r="Z1" s="1207"/>
      <c r="AA1" s="1266"/>
      <c r="AB1" s="1207"/>
      <c r="AC1" s="1207"/>
      <c r="AD1" s="1207"/>
      <c r="AE1" s="1265"/>
      <c r="AF1" s="1207"/>
      <c r="AG1" s="1207"/>
      <c r="AH1" s="1266"/>
      <c r="AI1" s="1207"/>
      <c r="AJ1" s="1207"/>
      <c r="AK1" s="1207"/>
      <c r="AL1" s="1265"/>
      <c r="AM1" s="1207"/>
      <c r="AN1" s="1207"/>
      <c r="AO1" s="1266"/>
      <c r="AP1" s="1207"/>
      <c r="AQ1" s="1207"/>
      <c r="AR1" s="1207"/>
      <c r="AS1" s="1265"/>
      <c r="AT1" s="1207"/>
      <c r="AU1" s="1207"/>
      <c r="AV1" s="1266" t="s">
        <v>640</v>
      </c>
      <c r="AW1" s="1207"/>
      <c r="AX1" s="1207"/>
      <c r="AY1" s="1207"/>
      <c r="AZ1" s="1265"/>
      <c r="BA1" s="1207"/>
      <c r="BB1" s="1207"/>
      <c r="BC1" s="1266" t="s">
        <v>639</v>
      </c>
      <c r="BD1" s="1207"/>
      <c r="BE1" s="1207"/>
      <c r="BF1" s="1207"/>
      <c r="BG1" s="1265"/>
      <c r="BH1" s="1207"/>
      <c r="BI1" s="1207"/>
      <c r="BJ1" s="1266" t="s">
        <v>639</v>
      </c>
      <c r="BK1" s="1207"/>
      <c r="BL1" s="1207"/>
      <c r="BM1" s="1207"/>
      <c r="BN1" s="1265"/>
      <c r="BO1" s="1207"/>
      <c r="BP1" s="1207"/>
      <c r="BQ1" s="1266" t="s">
        <v>639</v>
      </c>
      <c r="BR1" s="1207"/>
      <c r="BS1" s="1207"/>
      <c r="BT1" s="1207"/>
      <c r="BU1" s="1265"/>
      <c r="BV1" s="1207"/>
      <c r="BW1" s="1207"/>
      <c r="BX1" s="1266" t="s">
        <v>639</v>
      </c>
      <c r="BY1" s="1207"/>
      <c r="BZ1" s="1207"/>
      <c r="CA1" s="1207"/>
      <c r="CB1" s="1265"/>
      <c r="CC1" s="1207"/>
      <c r="CD1" s="1207"/>
      <c r="CE1" s="1266" t="s">
        <v>639</v>
      </c>
      <c r="CF1" s="1207"/>
      <c r="CG1" s="1207"/>
      <c r="CH1" s="1207"/>
      <c r="CI1" s="1265"/>
      <c r="CJ1" s="1207"/>
      <c r="CK1" s="1207"/>
      <c r="CL1" s="1266" t="s">
        <v>639</v>
      </c>
      <c r="CM1" s="1207"/>
      <c r="CN1" s="1207"/>
      <c r="CO1" s="1207"/>
      <c r="CP1" s="1265"/>
      <c r="CQ1" s="1207"/>
      <c r="CR1" s="1207"/>
      <c r="CS1" s="1266" t="s">
        <v>639</v>
      </c>
      <c r="CT1" s="1207"/>
      <c r="CU1" s="1207"/>
      <c r="CV1" s="1207"/>
      <c r="CW1" s="1265"/>
      <c r="CX1" s="1207"/>
      <c r="CY1" s="1207"/>
      <c r="CZ1" s="1266" t="s">
        <v>639</v>
      </c>
      <c r="DA1" s="1207"/>
      <c r="DB1" s="1207"/>
      <c r="DC1" s="1207"/>
      <c r="DD1" s="1265"/>
      <c r="DE1" s="1207"/>
      <c r="DF1" s="1207"/>
      <c r="DG1" s="1266" t="s">
        <v>639</v>
      </c>
      <c r="DH1" s="1841" t="s">
        <v>887</v>
      </c>
      <c r="DI1" s="1841" t="s">
        <v>888</v>
      </c>
      <c r="DJ1" s="1841" t="s">
        <v>889</v>
      </c>
      <c r="DK1" s="1265"/>
      <c r="DL1" s="1207"/>
      <c r="DM1" s="1207"/>
      <c r="DN1" s="1266" t="s">
        <v>639</v>
      </c>
      <c r="DO1" s="1841" t="s">
        <v>893</v>
      </c>
      <c r="DP1" s="1841" t="s">
        <v>888</v>
      </c>
      <c r="DQ1" s="1077"/>
      <c r="DR1" s="1093"/>
      <c r="DS1" s="1207"/>
      <c r="DT1" s="1077"/>
      <c r="DU1" s="1078" t="s">
        <v>639</v>
      </c>
      <c r="DV1" s="1077"/>
      <c r="DW1" s="1077"/>
      <c r="DX1" s="1077"/>
      <c r="DY1" s="1093"/>
      <c r="DZ1" s="1077"/>
      <c r="EA1" s="1077"/>
      <c r="EB1" s="1078" t="s">
        <v>639</v>
      </c>
      <c r="EC1" s="1077"/>
      <c r="ED1" s="1077"/>
      <c r="EE1" s="1077"/>
      <c r="EF1" s="1093"/>
      <c r="EG1" s="1077"/>
      <c r="EH1" s="1077"/>
      <c r="EI1" s="1078" t="s">
        <v>639</v>
      </c>
      <c r="EJ1" s="1077"/>
      <c r="EK1" s="1077"/>
      <c r="EL1" s="1077"/>
      <c r="EM1" s="1093"/>
      <c r="EN1" s="1077"/>
      <c r="EO1" s="1077"/>
      <c r="EP1" s="1078" t="s">
        <v>639</v>
      </c>
      <c r="EQ1" s="1077"/>
      <c r="ER1" s="1077"/>
      <c r="ES1" s="1077"/>
      <c r="ET1" s="1093"/>
      <c r="EU1" s="1077"/>
      <c r="EV1" s="1077"/>
      <c r="EW1" s="1078" t="s">
        <v>639</v>
      </c>
    </row>
    <row r="2" spans="1:153" ht="10.199999999999999" customHeight="1">
      <c r="A2" s="941" t="s">
        <v>189</v>
      </c>
      <c r="B2" s="848">
        <v>2001</v>
      </c>
      <c r="C2" s="848">
        <v>2002</v>
      </c>
      <c r="D2" s="848">
        <v>2003</v>
      </c>
      <c r="E2" s="848">
        <v>2004</v>
      </c>
      <c r="F2" s="848">
        <v>2005</v>
      </c>
      <c r="G2" s="848">
        <v>2006</v>
      </c>
      <c r="H2" s="848">
        <v>2007</v>
      </c>
      <c r="I2" s="848">
        <v>2008</v>
      </c>
      <c r="J2" s="848">
        <v>2009</v>
      </c>
      <c r="K2" s="848">
        <v>2010</v>
      </c>
      <c r="L2" s="848">
        <v>2011</v>
      </c>
      <c r="M2" s="848">
        <v>2012</v>
      </c>
      <c r="N2" s="848" t="s">
        <v>693</v>
      </c>
      <c r="O2" s="848" t="s">
        <v>694</v>
      </c>
      <c r="P2" s="848" t="s">
        <v>695</v>
      </c>
      <c r="Q2" s="914" t="s">
        <v>696</v>
      </c>
      <c r="R2" s="848" t="s">
        <v>697</v>
      </c>
      <c r="S2" s="848" t="s">
        <v>698</v>
      </c>
      <c r="T2" s="1267">
        <v>2013</v>
      </c>
      <c r="U2" s="848" t="s">
        <v>693</v>
      </c>
      <c r="V2" s="848" t="s">
        <v>694</v>
      </c>
      <c r="W2" s="848" t="s">
        <v>695</v>
      </c>
      <c r="X2" s="914" t="s">
        <v>696</v>
      </c>
      <c r="Y2" s="848" t="s">
        <v>697</v>
      </c>
      <c r="Z2" s="848" t="s">
        <v>698</v>
      </c>
      <c r="AA2" s="1267">
        <v>2014</v>
      </c>
      <c r="AB2" s="848" t="s">
        <v>693</v>
      </c>
      <c r="AC2" s="848" t="s">
        <v>694</v>
      </c>
      <c r="AD2" s="848" t="s">
        <v>695</v>
      </c>
      <c r="AE2" s="914" t="s">
        <v>696</v>
      </c>
      <c r="AF2" s="848" t="s">
        <v>697</v>
      </c>
      <c r="AG2" s="848" t="s">
        <v>698</v>
      </c>
      <c r="AH2" s="1267">
        <v>2015</v>
      </c>
      <c r="AI2" s="848" t="s">
        <v>693</v>
      </c>
      <c r="AJ2" s="848" t="s">
        <v>694</v>
      </c>
      <c r="AK2" s="848" t="s">
        <v>695</v>
      </c>
      <c r="AL2" s="914" t="s">
        <v>696</v>
      </c>
      <c r="AM2" s="848" t="s">
        <v>697</v>
      </c>
      <c r="AN2" s="848" t="s">
        <v>698</v>
      </c>
      <c r="AO2" s="1267">
        <v>2016</v>
      </c>
      <c r="AP2" s="848" t="s">
        <v>693</v>
      </c>
      <c r="AQ2" s="848" t="s">
        <v>694</v>
      </c>
      <c r="AR2" s="848" t="s">
        <v>695</v>
      </c>
      <c r="AS2" s="914" t="s">
        <v>696</v>
      </c>
      <c r="AT2" s="848" t="s">
        <v>697</v>
      </c>
      <c r="AU2" s="848" t="s">
        <v>698</v>
      </c>
      <c r="AV2" s="1267">
        <v>2017</v>
      </c>
      <c r="AW2" s="848" t="s">
        <v>693</v>
      </c>
      <c r="AX2" s="848" t="s">
        <v>694</v>
      </c>
      <c r="AY2" s="848" t="s">
        <v>695</v>
      </c>
      <c r="AZ2" s="914" t="s">
        <v>696</v>
      </c>
      <c r="BA2" s="848" t="s">
        <v>697</v>
      </c>
      <c r="BB2" s="848" t="s">
        <v>698</v>
      </c>
      <c r="BC2" s="1267">
        <v>2017</v>
      </c>
      <c r="BD2" s="848" t="s">
        <v>693</v>
      </c>
      <c r="BE2" s="848" t="s">
        <v>694</v>
      </c>
      <c r="BF2" s="848" t="s">
        <v>695</v>
      </c>
      <c r="BG2" s="914" t="s">
        <v>696</v>
      </c>
      <c r="BH2" s="848" t="s">
        <v>697</v>
      </c>
      <c r="BI2" s="848" t="s">
        <v>698</v>
      </c>
      <c r="BJ2" s="1267">
        <v>2018</v>
      </c>
      <c r="BK2" s="848" t="s">
        <v>693</v>
      </c>
      <c r="BL2" s="848" t="s">
        <v>694</v>
      </c>
      <c r="BM2" s="848" t="s">
        <v>695</v>
      </c>
      <c r="BN2" s="914" t="s">
        <v>696</v>
      </c>
      <c r="BO2" s="848" t="s">
        <v>697</v>
      </c>
      <c r="BP2" s="848" t="s">
        <v>698</v>
      </c>
      <c r="BQ2" s="1267">
        <v>2019</v>
      </c>
      <c r="BR2" s="848" t="s">
        <v>693</v>
      </c>
      <c r="BS2" s="848" t="s">
        <v>694</v>
      </c>
      <c r="BT2" s="848" t="s">
        <v>695</v>
      </c>
      <c r="BU2" s="914" t="s">
        <v>696</v>
      </c>
      <c r="BV2" s="848" t="s">
        <v>697</v>
      </c>
      <c r="BW2" s="848" t="s">
        <v>698</v>
      </c>
      <c r="BX2" s="1267" t="s">
        <v>678</v>
      </c>
      <c r="BY2" s="848" t="s">
        <v>693</v>
      </c>
      <c r="BZ2" s="848" t="s">
        <v>694</v>
      </c>
      <c r="CA2" s="848" t="s">
        <v>695</v>
      </c>
      <c r="CB2" s="914" t="s">
        <v>696</v>
      </c>
      <c r="CC2" s="848" t="s">
        <v>697</v>
      </c>
      <c r="CD2" s="848" t="s">
        <v>698</v>
      </c>
      <c r="CE2" s="1267">
        <v>2020</v>
      </c>
      <c r="CF2" s="848" t="s">
        <v>693</v>
      </c>
      <c r="CG2" s="848" t="s">
        <v>694</v>
      </c>
      <c r="CH2" s="848" t="s">
        <v>695</v>
      </c>
      <c r="CI2" s="914" t="s">
        <v>696</v>
      </c>
      <c r="CJ2" s="848" t="s">
        <v>697</v>
      </c>
      <c r="CK2" s="848" t="s">
        <v>698</v>
      </c>
      <c r="CL2" s="1267">
        <v>2021</v>
      </c>
      <c r="CM2" s="848" t="s">
        <v>693</v>
      </c>
      <c r="CN2" s="848" t="s">
        <v>694</v>
      </c>
      <c r="CO2" s="848" t="s">
        <v>695</v>
      </c>
      <c r="CP2" s="914" t="s">
        <v>696</v>
      </c>
      <c r="CQ2" s="848" t="s">
        <v>697</v>
      </c>
      <c r="CR2" s="848" t="s">
        <v>698</v>
      </c>
      <c r="CS2" s="1267">
        <v>2022</v>
      </c>
      <c r="CT2" s="848" t="s">
        <v>693</v>
      </c>
      <c r="CU2" s="848" t="s">
        <v>694</v>
      </c>
      <c r="CV2" s="848" t="s">
        <v>695</v>
      </c>
      <c r="CW2" s="914" t="s">
        <v>696</v>
      </c>
      <c r="CX2" s="848" t="s">
        <v>697</v>
      </c>
      <c r="CY2" s="848" t="s">
        <v>698</v>
      </c>
      <c r="CZ2" s="1267">
        <v>2023</v>
      </c>
      <c r="DA2" s="848" t="s">
        <v>693</v>
      </c>
      <c r="DB2" s="848" t="s">
        <v>694</v>
      </c>
      <c r="DC2" s="848" t="s">
        <v>695</v>
      </c>
      <c r="DD2" s="914" t="s">
        <v>696</v>
      </c>
      <c r="DE2" s="848" t="s">
        <v>697</v>
      </c>
      <c r="DF2" s="848" t="s">
        <v>698</v>
      </c>
      <c r="DG2" s="1267">
        <v>2024</v>
      </c>
      <c r="DH2" s="848" t="s">
        <v>693</v>
      </c>
      <c r="DI2" s="848" t="s">
        <v>694</v>
      </c>
      <c r="DJ2" s="848" t="s">
        <v>695</v>
      </c>
      <c r="DK2" s="914" t="s">
        <v>696</v>
      </c>
      <c r="DL2" s="848" t="s">
        <v>697</v>
      </c>
      <c r="DM2" s="848" t="s">
        <v>698</v>
      </c>
      <c r="DN2" s="1267">
        <v>2025</v>
      </c>
      <c r="DO2" s="848" t="s">
        <v>693</v>
      </c>
      <c r="DP2" s="848" t="s">
        <v>694</v>
      </c>
      <c r="DQ2" s="903" t="s">
        <v>695</v>
      </c>
      <c r="DR2" s="915" t="s">
        <v>696</v>
      </c>
      <c r="DS2" s="848" t="s">
        <v>697</v>
      </c>
      <c r="DT2" s="903" t="s">
        <v>698</v>
      </c>
      <c r="DU2" s="916" t="s">
        <v>692</v>
      </c>
      <c r="DV2" s="903" t="s">
        <v>693</v>
      </c>
      <c r="DW2" s="903" t="s">
        <v>694</v>
      </c>
      <c r="DX2" s="903" t="s">
        <v>695</v>
      </c>
      <c r="DY2" s="915" t="s">
        <v>696</v>
      </c>
      <c r="DZ2" s="903" t="s">
        <v>697</v>
      </c>
      <c r="EA2" s="903" t="s">
        <v>698</v>
      </c>
      <c r="EB2" s="916" t="s">
        <v>705</v>
      </c>
      <c r="EC2" s="903" t="s">
        <v>693</v>
      </c>
      <c r="ED2" s="903" t="s">
        <v>694</v>
      </c>
      <c r="EE2" s="903" t="s">
        <v>695</v>
      </c>
      <c r="EF2" s="915" t="s">
        <v>696</v>
      </c>
      <c r="EG2" s="903" t="s">
        <v>697</v>
      </c>
      <c r="EH2" s="903" t="s">
        <v>698</v>
      </c>
      <c r="EI2" s="916" t="s">
        <v>706</v>
      </c>
      <c r="EJ2" s="903" t="s">
        <v>693</v>
      </c>
      <c r="EK2" s="903" t="s">
        <v>694</v>
      </c>
      <c r="EL2" s="903" t="s">
        <v>695</v>
      </c>
      <c r="EM2" s="915" t="s">
        <v>696</v>
      </c>
      <c r="EN2" s="903" t="s">
        <v>697</v>
      </c>
      <c r="EO2" s="903" t="s">
        <v>698</v>
      </c>
      <c r="EP2" s="916" t="s">
        <v>707</v>
      </c>
      <c r="EQ2" s="903" t="s">
        <v>693</v>
      </c>
      <c r="ER2" s="903" t="s">
        <v>694</v>
      </c>
      <c r="ES2" s="903" t="s">
        <v>695</v>
      </c>
      <c r="ET2" s="915" t="s">
        <v>696</v>
      </c>
      <c r="EU2" s="903" t="s">
        <v>697</v>
      </c>
      <c r="EV2" s="903" t="s">
        <v>698</v>
      </c>
      <c r="EW2" s="916" t="s">
        <v>708</v>
      </c>
    </row>
    <row r="3" spans="1:153" ht="10.199999999999999" customHeight="1">
      <c r="A3" s="48" t="s">
        <v>236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1"/>
      <c r="O3" s="1"/>
      <c r="P3" s="1"/>
      <c r="Q3" s="1094"/>
      <c r="R3" s="1"/>
      <c r="S3" s="1"/>
      <c r="T3" s="353"/>
      <c r="U3" s="1"/>
      <c r="V3" s="1"/>
      <c r="W3" s="1"/>
      <c r="X3" s="1094"/>
      <c r="Y3" s="1"/>
      <c r="Z3" s="1"/>
      <c r="AA3" s="353"/>
      <c r="AB3" s="1"/>
      <c r="AC3" s="1"/>
      <c r="AD3" s="1"/>
      <c r="AE3" s="1094"/>
      <c r="AF3" s="1"/>
      <c r="AG3" s="1"/>
      <c r="AH3" s="353"/>
      <c r="AI3" s="1"/>
      <c r="AJ3" s="1"/>
      <c r="AK3" s="1"/>
      <c r="AL3" s="1094"/>
      <c r="AM3" s="1"/>
      <c r="AN3" s="1"/>
      <c r="AO3" s="353"/>
      <c r="AP3" s="1"/>
      <c r="AQ3" s="1"/>
      <c r="AR3" s="1"/>
      <c r="AS3" s="1094"/>
      <c r="AT3" s="1"/>
      <c r="AU3" s="1"/>
      <c r="AV3" s="353"/>
      <c r="AW3" s="1"/>
      <c r="AX3" s="1"/>
      <c r="AY3" s="1"/>
      <c r="AZ3" s="1094"/>
      <c r="BA3" s="1"/>
      <c r="BB3" s="1"/>
      <c r="BC3" s="353"/>
      <c r="BD3" s="1"/>
      <c r="BE3" s="1"/>
      <c r="BF3" s="1"/>
      <c r="BG3" s="1094"/>
      <c r="BH3" s="1"/>
      <c r="BI3" s="1"/>
      <c r="BJ3" s="353"/>
      <c r="BK3" s="1"/>
      <c r="BL3" s="1"/>
      <c r="BM3" s="1"/>
      <c r="BN3" s="1094"/>
      <c r="BO3" s="1"/>
      <c r="BP3" s="1"/>
      <c r="BQ3" s="353"/>
      <c r="BR3" s="1"/>
      <c r="BS3" s="1"/>
      <c r="BT3" s="1"/>
      <c r="BU3" s="1094"/>
      <c r="BV3" s="1"/>
      <c r="BW3" s="1"/>
      <c r="BX3" s="353"/>
      <c r="BY3" s="1"/>
      <c r="BZ3" s="1"/>
      <c r="CA3" s="1"/>
      <c r="CB3" s="1094"/>
      <c r="CC3" s="1"/>
      <c r="CD3" s="1"/>
      <c r="CE3" s="353"/>
      <c r="CF3" s="1"/>
      <c r="CG3" s="1"/>
      <c r="CH3" s="1"/>
      <c r="CI3" s="1094"/>
      <c r="CJ3" s="1"/>
      <c r="CK3" s="1"/>
      <c r="CL3" s="353"/>
      <c r="CM3" s="1"/>
      <c r="CN3" s="1"/>
      <c r="CO3" s="1"/>
      <c r="CP3" s="1094"/>
      <c r="CQ3" s="1"/>
      <c r="CR3" s="1"/>
      <c r="CS3" s="353"/>
      <c r="CT3" s="1"/>
      <c r="CU3" s="1"/>
      <c r="CV3" s="1"/>
      <c r="CW3" s="1094"/>
      <c r="CX3" s="1"/>
      <c r="CY3" s="1"/>
      <c r="CZ3" s="353"/>
      <c r="DA3" s="1"/>
      <c r="DB3" s="1"/>
      <c r="DC3" s="1"/>
      <c r="DD3" s="1094"/>
      <c r="DE3" s="1"/>
      <c r="DF3" s="1"/>
      <c r="DG3" s="353"/>
      <c r="DH3" s="1"/>
      <c r="DI3" s="1"/>
      <c r="DJ3" s="1"/>
      <c r="DK3" s="1094"/>
      <c r="DL3" s="1"/>
      <c r="DM3" s="1"/>
      <c r="DN3" s="353"/>
      <c r="DO3" s="1"/>
      <c r="DP3" s="1"/>
      <c r="DQ3" s="1"/>
      <c r="DR3" s="1094"/>
      <c r="DS3" s="1879"/>
      <c r="DT3" s="1"/>
      <c r="DU3" s="353"/>
      <c r="DV3" s="1"/>
      <c r="DW3" s="1"/>
      <c r="DX3" s="1"/>
      <c r="DY3" s="1094"/>
      <c r="DZ3" s="1"/>
      <c r="EA3" s="1"/>
      <c r="EB3" s="353"/>
      <c r="EC3" s="1"/>
      <c r="ED3" s="1"/>
      <c r="EE3" s="1"/>
      <c r="EF3" s="1094"/>
      <c r="EG3" s="1"/>
      <c r="EH3" s="1"/>
      <c r="EI3" s="353"/>
      <c r="EJ3" s="1"/>
      <c r="EK3" s="1"/>
      <c r="EL3" s="1"/>
      <c r="EM3" s="1094"/>
      <c r="EN3" s="1"/>
      <c r="EO3" s="1"/>
      <c r="EP3" s="353"/>
      <c r="EQ3" s="1"/>
      <c r="ER3" s="1"/>
      <c r="ES3" s="1"/>
      <c r="ET3" s="1094"/>
      <c r="EU3" s="1"/>
      <c r="EV3" s="1"/>
      <c r="EW3" s="353"/>
    </row>
    <row r="4" spans="1:153" ht="10.199999999999999" customHeight="1">
      <c r="A4" s="108" t="s">
        <v>323</v>
      </c>
      <c r="B4" s="317">
        <v>20549</v>
      </c>
      <c r="C4" s="317">
        <v>19512</v>
      </c>
      <c r="D4" s="317">
        <v>19048</v>
      </c>
      <c r="E4" s="317">
        <v>20224</v>
      </c>
      <c r="F4" s="317">
        <v>22179</v>
      </c>
      <c r="G4" s="317">
        <v>25190</v>
      </c>
      <c r="H4" s="317">
        <v>25216</v>
      </c>
      <c r="I4" s="317">
        <v>26524</v>
      </c>
      <c r="J4" s="317">
        <v>26370</v>
      </c>
      <c r="K4" s="317">
        <v>27673</v>
      </c>
      <c r="L4" s="317">
        <v>31159</v>
      </c>
      <c r="M4" s="317">
        <v>36943</v>
      </c>
      <c r="N4" s="317">
        <v>8759</v>
      </c>
      <c r="O4" s="130">
        <f>R4-N4</f>
        <v>9343</v>
      </c>
      <c r="P4" s="317">
        <f>27328-R4</f>
        <v>9226</v>
      </c>
      <c r="Q4" s="698">
        <f>S4-P4</f>
        <v>12166</v>
      </c>
      <c r="R4" s="317">
        <v>18102</v>
      </c>
      <c r="S4" s="130">
        <f>T4-R4</f>
        <v>21392</v>
      </c>
      <c r="T4" s="314">
        <v>39494</v>
      </c>
      <c r="U4" s="317">
        <v>8937</v>
      </c>
      <c r="V4" s="130">
        <f>Y4-U4</f>
        <v>10492</v>
      </c>
      <c r="W4" s="317">
        <f>28820-Y4</f>
        <v>9391</v>
      </c>
      <c r="X4" s="698">
        <f>Z4-W4</f>
        <v>13460</v>
      </c>
      <c r="Y4" s="317">
        <v>19429</v>
      </c>
      <c r="Z4" s="130">
        <f>AA4-Y4</f>
        <v>22851</v>
      </c>
      <c r="AA4" s="314">
        <v>42280</v>
      </c>
      <c r="AB4" s="317">
        <v>8565</v>
      </c>
      <c r="AC4" s="130">
        <f>AF4-AB4</f>
        <v>12516</v>
      </c>
      <c r="AD4" s="317">
        <f>31119-AF4</f>
        <v>10038</v>
      </c>
      <c r="AE4" s="698">
        <f>AG4-AD4</f>
        <v>14735</v>
      </c>
      <c r="AF4" s="317">
        <v>21081</v>
      </c>
      <c r="AG4" s="130">
        <f>AH4-AF4</f>
        <v>24773</v>
      </c>
      <c r="AH4" s="314">
        <v>45854</v>
      </c>
      <c r="AI4" s="317">
        <v>8668</v>
      </c>
      <c r="AJ4" s="130">
        <f t="shared" ref="AJ4:AJ6" si="0">AM4-AI4</f>
        <v>12393</v>
      </c>
      <c r="AK4" s="317">
        <f>31511-AM4</f>
        <v>10450</v>
      </c>
      <c r="AL4" s="698">
        <f>AN4-AK4</f>
        <v>17726</v>
      </c>
      <c r="AM4" s="317">
        <v>21061</v>
      </c>
      <c r="AN4" s="130">
        <f>AO4-AM4</f>
        <v>28176</v>
      </c>
      <c r="AO4" s="314">
        <v>49237</v>
      </c>
      <c r="AP4" s="317">
        <v>9825</v>
      </c>
      <c r="AQ4" s="130">
        <f>AT4-AP4</f>
        <v>11964</v>
      </c>
      <c r="AR4" s="317">
        <v>10854</v>
      </c>
      <c r="AS4" s="698">
        <f>AU4-AR4</f>
        <v>18315</v>
      </c>
      <c r="AT4" s="317">
        <v>21789</v>
      </c>
      <c r="AU4" s="130">
        <f>AV4-AT4</f>
        <v>29169</v>
      </c>
      <c r="AV4" s="314">
        <v>50958</v>
      </c>
      <c r="AW4" s="317">
        <v>8166</v>
      </c>
      <c r="AX4" s="130">
        <f>BA4-AW4</f>
        <v>10016</v>
      </c>
      <c r="AY4" s="317">
        <f>27579-BA4</f>
        <v>9397</v>
      </c>
      <c r="AZ4" s="698">
        <f>BB4-AY4</f>
        <v>15907</v>
      </c>
      <c r="BA4" s="317">
        <v>18182</v>
      </c>
      <c r="BB4" s="130">
        <f>BC4-BA4</f>
        <v>25304</v>
      </c>
      <c r="BC4" s="314">
        <v>43486</v>
      </c>
      <c r="BD4" s="317">
        <v>7222</v>
      </c>
      <c r="BE4" s="130">
        <v>11324</v>
      </c>
      <c r="BF4" s="317">
        <f>30478-BH4</f>
        <v>11932</v>
      </c>
      <c r="BG4" s="698">
        <f>BI4-BF4</f>
        <v>17492</v>
      </c>
      <c r="BH4" s="317">
        <f>BD4+BE4</f>
        <v>18546</v>
      </c>
      <c r="BI4" s="130">
        <f>BJ4-BH4</f>
        <v>29424</v>
      </c>
      <c r="BJ4" s="314">
        <v>47970</v>
      </c>
      <c r="BK4" s="317">
        <v>9697</v>
      </c>
      <c r="BL4" s="130">
        <v>14346</v>
      </c>
      <c r="BM4" s="317">
        <v>11529</v>
      </c>
      <c r="BN4" s="698">
        <f>BP4-BM4</f>
        <v>19203</v>
      </c>
      <c r="BO4" s="317">
        <f>BK4+BL4</f>
        <v>24043</v>
      </c>
      <c r="BP4" s="130">
        <f>BQ4-BO4</f>
        <v>30732</v>
      </c>
      <c r="BQ4" s="314">
        <v>54775</v>
      </c>
      <c r="BR4" s="317">
        <v>9697</v>
      </c>
      <c r="BS4" s="130">
        <v>14346</v>
      </c>
      <c r="BT4" s="317">
        <v>11529</v>
      </c>
      <c r="BU4" s="698">
        <f>BW4-BT4</f>
        <v>19203</v>
      </c>
      <c r="BV4" s="317">
        <f>BR4+BS4</f>
        <v>24043</v>
      </c>
      <c r="BW4" s="130">
        <f>BX4-BV4</f>
        <v>30732</v>
      </c>
      <c r="BX4" s="314">
        <f>BQ4</f>
        <v>54775</v>
      </c>
      <c r="BY4" s="317">
        <v>7569</v>
      </c>
      <c r="BZ4" s="130">
        <v>4964</v>
      </c>
      <c r="CA4" s="317">
        <v>7738</v>
      </c>
      <c r="CB4" s="698">
        <f>CD4-CA4</f>
        <v>13979</v>
      </c>
      <c r="CC4" s="317">
        <f>BY4+BZ4</f>
        <v>12533</v>
      </c>
      <c r="CD4" s="130">
        <f>CE4-CC4</f>
        <v>21717</v>
      </c>
      <c r="CE4" s="314">
        <v>34250</v>
      </c>
      <c r="CF4" s="317">
        <v>7272</v>
      </c>
      <c r="CG4" s="130">
        <f>CJ4-CF4</f>
        <v>10541</v>
      </c>
      <c r="CH4" s="317">
        <v>6805</v>
      </c>
      <c r="CI4" s="698">
        <f>CK4-CH4</f>
        <v>11546</v>
      </c>
      <c r="CJ4" s="317">
        <v>17813</v>
      </c>
      <c r="CK4" s="130">
        <f>CL4-CJ4</f>
        <v>18351</v>
      </c>
      <c r="CL4" s="314">
        <v>36164</v>
      </c>
      <c r="CM4" s="317">
        <v>8541</v>
      </c>
      <c r="CN4" s="130">
        <v>8992</v>
      </c>
      <c r="CO4" s="317">
        <v>9121</v>
      </c>
      <c r="CP4" s="698">
        <f>CR4-CO4</f>
        <v>14774</v>
      </c>
      <c r="CQ4" s="317">
        <f t="shared" ref="CQ4:CQ6" si="1">+CM4+CN4</f>
        <v>17533</v>
      </c>
      <c r="CR4" s="130">
        <f>CS4-CQ4</f>
        <v>23895</v>
      </c>
      <c r="CS4" s="314">
        <v>41428</v>
      </c>
      <c r="CT4" s="317">
        <v>8110</v>
      </c>
      <c r="CU4" s="130">
        <f>CX4-CT4</f>
        <v>12239</v>
      </c>
      <c r="CV4" s="317">
        <v>11158</v>
      </c>
      <c r="CW4" s="698">
        <f>CY4-CV4</f>
        <v>16256</v>
      </c>
      <c r="CX4" s="317">
        <v>20349</v>
      </c>
      <c r="CY4" s="130">
        <f>CZ4-CX4</f>
        <v>27414</v>
      </c>
      <c r="CZ4" s="314">
        <v>47763</v>
      </c>
      <c r="DA4" s="317">
        <v>9167</v>
      </c>
      <c r="DB4" s="130">
        <f>DE4-DA4</f>
        <v>12048</v>
      </c>
      <c r="DC4" s="130">
        <v>11664</v>
      </c>
      <c r="DD4" s="698">
        <f>DF4-DC4</f>
        <v>17767</v>
      </c>
      <c r="DE4" s="317">
        <v>21215</v>
      </c>
      <c r="DF4" s="130">
        <f>DG4-DE4</f>
        <v>29431</v>
      </c>
      <c r="DG4" s="314">
        <v>50646</v>
      </c>
      <c r="DH4" s="130">
        <v>9521</v>
      </c>
      <c r="DI4" s="130">
        <f>DL4-DH4</f>
        <v>11308</v>
      </c>
      <c r="DJ4" s="130">
        <v>13057</v>
      </c>
      <c r="DK4" s="698">
        <f>DM4-DJ4</f>
        <v>18691</v>
      </c>
      <c r="DL4" s="2079">
        <v>20829</v>
      </c>
      <c r="DM4" s="130">
        <f>DN4-DL4</f>
        <v>31748</v>
      </c>
      <c r="DN4" s="314">
        <v>52577</v>
      </c>
      <c r="DO4" s="317">
        <v>8436</v>
      </c>
      <c r="DP4" s="130">
        <f>DS4-DO4</f>
        <v>15441</v>
      </c>
      <c r="DQ4" s="617">
        <f>Airbus!DK11</f>
        <v>14465.159374942479</v>
      </c>
      <c r="DR4" s="618">
        <f>Airbus!DL11</f>
        <v>19996.599972978511</v>
      </c>
      <c r="DS4" s="1878">
        <v>23877</v>
      </c>
      <c r="DT4" s="617">
        <f>Airbus!DN11</f>
        <v>34461.75934792099</v>
      </c>
      <c r="DU4" s="651">
        <f>Airbus!DO11</f>
        <v>58338.75934792099</v>
      </c>
      <c r="DV4" s="617">
        <f>Airbus!DP11</f>
        <v>15947.903480844785</v>
      </c>
      <c r="DW4" s="617">
        <f>Airbus!DQ11</f>
        <v>16847.493062443657</v>
      </c>
      <c r="DX4" s="617">
        <f>Airbus!DR11</f>
        <v>16890.458627828706</v>
      </c>
      <c r="DY4" s="618">
        <f>Airbus!DS11</f>
        <v>16547.132419279817</v>
      </c>
      <c r="DZ4" s="617">
        <f>Airbus!DT11</f>
        <v>32795.396543288443</v>
      </c>
      <c r="EA4" s="617">
        <f>Airbus!DU11</f>
        <v>33437.591047108523</v>
      </c>
      <c r="EB4" s="651">
        <f>Airbus!DV11</f>
        <v>66232.987590396966</v>
      </c>
      <c r="EC4" s="617">
        <f>Airbus!DW11</f>
        <v>17483.516113039725</v>
      </c>
      <c r="ED4" s="617">
        <f>Airbus!DX11</f>
        <v>18521.309142763625</v>
      </c>
      <c r="EE4" s="617">
        <f>Airbus!DY11</f>
        <v>18566.922653250138</v>
      </c>
      <c r="EF4" s="618">
        <f>Airbus!DZ11</f>
        <v>18573.742633589314</v>
      </c>
      <c r="EG4" s="617">
        <f>Airbus!EA11</f>
        <v>36004.825255803349</v>
      </c>
      <c r="EH4" s="617">
        <f>Airbus!EB11</f>
        <v>37140.665286839452</v>
      </c>
      <c r="EI4" s="651">
        <f>Airbus!EC11</f>
        <v>73145.490542642801</v>
      </c>
      <c r="EJ4" s="617">
        <f>Airbus!ED11</f>
        <v>18860.931525780885</v>
      </c>
      <c r="EK4" s="617">
        <f>Airbus!EE11</f>
        <v>19139.547824434798</v>
      </c>
      <c r="EL4" s="617">
        <f>Airbus!EF11</f>
        <v>19187.187906652489</v>
      </c>
      <c r="EM4" s="618">
        <f>Airbus!EG11</f>
        <v>19182.933288099495</v>
      </c>
      <c r="EN4" s="617">
        <f>Airbus!EH11</f>
        <v>38000.479350215683</v>
      </c>
      <c r="EO4" s="617">
        <f>Airbus!EI11</f>
        <v>38370.121194751984</v>
      </c>
      <c r="EP4" s="651">
        <f>Airbus!EJ11</f>
        <v>76370.600544967674</v>
      </c>
      <c r="EQ4" s="617">
        <f>Airbus!EK11</f>
        <v>19414.718418889872</v>
      </c>
      <c r="ER4" s="617">
        <f>Airbus!EL11</f>
        <v>19711.988291482878</v>
      </c>
      <c r="ES4" s="617">
        <f>Airbus!EM11</f>
        <v>19762.592797427096</v>
      </c>
      <c r="ET4" s="618">
        <f>Airbus!EN11</f>
        <v>19739.232629606347</v>
      </c>
      <c r="EU4" s="617">
        <f>Airbus!EO11</f>
        <v>39126.706710372746</v>
      </c>
      <c r="EV4" s="617">
        <f>Airbus!EP11</f>
        <v>39501.825427033444</v>
      </c>
      <c r="EW4" s="651">
        <f>Airbus!EQ11</f>
        <v>78628.53213740619</v>
      </c>
    </row>
    <row r="5" spans="1:153" ht="10.199999999999999" customHeight="1">
      <c r="A5" s="108" t="s">
        <v>325</v>
      </c>
      <c r="B5" s="317">
        <f>5065*0.55</f>
        <v>2785.75</v>
      </c>
      <c r="C5" s="317">
        <f>3834*0.7</f>
        <v>2683.7999999999997</v>
      </c>
      <c r="D5" s="317">
        <v>2586</v>
      </c>
      <c r="E5" s="317">
        <v>2786</v>
      </c>
      <c r="F5" s="317">
        <v>3211</v>
      </c>
      <c r="G5" s="317">
        <v>3803</v>
      </c>
      <c r="H5" s="317">
        <v>4172</v>
      </c>
      <c r="I5" s="317">
        <v>4486</v>
      </c>
      <c r="J5" s="317">
        <v>4570</v>
      </c>
      <c r="K5" s="317">
        <v>4830</v>
      </c>
      <c r="L5" s="317">
        <v>5415</v>
      </c>
      <c r="M5" s="317">
        <v>6264</v>
      </c>
      <c r="N5" s="317">
        <v>1038</v>
      </c>
      <c r="O5" s="130">
        <f>R5-N5</f>
        <v>1546</v>
      </c>
      <c r="P5" s="317">
        <f>4132-R5</f>
        <v>1548</v>
      </c>
      <c r="Q5" s="698">
        <f t="shared" ref="Q5:Q6" si="2">S5-P5</f>
        <v>2165</v>
      </c>
      <c r="R5" s="317">
        <v>2584</v>
      </c>
      <c r="S5" s="130">
        <f t="shared" ref="S5:S6" si="3">T5-R5</f>
        <v>3713</v>
      </c>
      <c r="T5" s="314">
        <v>6297</v>
      </c>
      <c r="U5" s="317">
        <v>1182</v>
      </c>
      <c r="V5" s="130">
        <f>Y5-U5</f>
        <v>1619</v>
      </c>
      <c r="W5" s="317">
        <f>4260-Y5</f>
        <v>1459</v>
      </c>
      <c r="X5" s="698">
        <f t="shared" ref="X5:X6" si="4">Z5-W5</f>
        <v>2264</v>
      </c>
      <c r="Y5" s="317">
        <v>2801</v>
      </c>
      <c r="Z5" s="130">
        <f t="shared" ref="Z5:Z6" si="5">AA5-Y5</f>
        <v>3723</v>
      </c>
      <c r="AA5" s="314">
        <v>6524</v>
      </c>
      <c r="AB5" s="317">
        <v>1285</v>
      </c>
      <c r="AC5" s="130">
        <f>AF5-AB5</f>
        <v>1665</v>
      </c>
      <c r="AD5" s="317">
        <f>4423-AF5</f>
        <v>1473</v>
      </c>
      <c r="AE5" s="698">
        <f t="shared" ref="AE5:AE6" si="6">AG5-AD5</f>
        <v>2363</v>
      </c>
      <c r="AF5" s="317">
        <v>2950</v>
      </c>
      <c r="AG5" s="130">
        <f t="shared" ref="AG5:AG6" si="7">AH5-AF5</f>
        <v>3836</v>
      </c>
      <c r="AH5" s="314">
        <v>6786</v>
      </c>
      <c r="AI5" s="317">
        <v>1158</v>
      </c>
      <c r="AJ5" s="130">
        <f>AM5-AI5</f>
        <v>1529</v>
      </c>
      <c r="AK5" s="317">
        <f>4282-AM5</f>
        <v>1595</v>
      </c>
      <c r="AL5" s="698">
        <f t="shared" ref="AL5:AL6" si="8">AN5-AK5</f>
        <v>2370</v>
      </c>
      <c r="AM5" s="317">
        <v>2687</v>
      </c>
      <c r="AN5" s="130">
        <f t="shared" ref="AN5:AN6" si="9">AO5-AM5</f>
        <v>3965</v>
      </c>
      <c r="AO5" s="314">
        <v>6652</v>
      </c>
      <c r="AP5" s="317">
        <v>1291</v>
      </c>
      <c r="AQ5" s="130">
        <f>AT5-AP5</f>
        <v>1630</v>
      </c>
      <c r="AR5" s="317">
        <v>1467</v>
      </c>
      <c r="AS5" s="698">
        <f t="shared" ref="AS5:AS6" si="10">AU5-AR5</f>
        <v>2062</v>
      </c>
      <c r="AT5" s="317">
        <v>2921</v>
      </c>
      <c r="AU5" s="130">
        <f t="shared" ref="AU5:AU6" si="11">AV5-AT5</f>
        <v>3529</v>
      </c>
      <c r="AV5" s="314">
        <v>6450</v>
      </c>
      <c r="AW5" s="317">
        <v>1176</v>
      </c>
      <c r="AX5" s="130">
        <f>BA5-AW5</f>
        <v>1540</v>
      </c>
      <c r="AY5" s="317">
        <f>4197-BA5</f>
        <v>1481</v>
      </c>
      <c r="AZ5" s="698">
        <f t="shared" ref="AZ5:AZ6" si="12">BB5-AY5</f>
        <v>2138</v>
      </c>
      <c r="BA5" s="317">
        <v>2716</v>
      </c>
      <c r="BB5" s="130">
        <f t="shared" ref="BB5:BB6" si="13">BC5-BA5</f>
        <v>3619</v>
      </c>
      <c r="BC5" s="314">
        <v>6335</v>
      </c>
      <c r="BD5" s="317">
        <v>961</v>
      </c>
      <c r="BE5" s="130">
        <v>1427</v>
      </c>
      <c r="BF5" s="317">
        <f>3755-BH5</f>
        <v>1367</v>
      </c>
      <c r="BG5" s="698">
        <f t="shared" ref="BG5:BG6" si="14">BI5-BF5</f>
        <v>2179</v>
      </c>
      <c r="BH5" s="317">
        <f>BD5+BE5</f>
        <v>2388</v>
      </c>
      <c r="BI5" s="130">
        <f t="shared" ref="BI5:BI6" si="15">BJ5-BH5</f>
        <v>3546</v>
      </c>
      <c r="BJ5" s="314">
        <v>5934</v>
      </c>
      <c r="BK5" s="317">
        <v>1007</v>
      </c>
      <c r="BL5" s="130">
        <v>1364</v>
      </c>
      <c r="BM5" s="317">
        <v>1341</v>
      </c>
      <c r="BN5" s="698">
        <f t="shared" ref="BN5:BN6" si="16">BP5-BM5</f>
        <v>2295</v>
      </c>
      <c r="BO5" s="317">
        <f>BK5+BL5</f>
        <v>2371</v>
      </c>
      <c r="BP5" s="130">
        <f t="shared" ref="BP5:BP6" si="17">BQ5-BO5</f>
        <v>3636</v>
      </c>
      <c r="BQ5" s="314">
        <v>6007</v>
      </c>
      <c r="BR5" s="317">
        <v>1007</v>
      </c>
      <c r="BS5" s="130">
        <v>1364</v>
      </c>
      <c r="BT5" s="317">
        <v>1341</v>
      </c>
      <c r="BU5" s="698">
        <f t="shared" ref="BU5:BU6" si="18">BW5-BT5</f>
        <v>2295</v>
      </c>
      <c r="BV5" s="317">
        <f>BR5+BS5</f>
        <v>2371</v>
      </c>
      <c r="BW5" s="130">
        <f t="shared" ref="BW5:BW6" si="19">BX5-BV5</f>
        <v>3636</v>
      </c>
      <c r="BX5" s="314">
        <f>BQ5</f>
        <v>6007</v>
      </c>
      <c r="BY5" s="317">
        <v>1202</v>
      </c>
      <c r="BZ5" s="130">
        <v>1131</v>
      </c>
      <c r="CA5" s="317">
        <v>1290</v>
      </c>
      <c r="CB5" s="698">
        <f t="shared" ref="CB5:CB6" si="20">CD5-CA5</f>
        <v>2628</v>
      </c>
      <c r="CC5" s="317">
        <f>BY5+BZ5</f>
        <v>2333</v>
      </c>
      <c r="CD5" s="130">
        <f t="shared" ref="CD5:CD6" si="21">CE5-CC5</f>
        <v>3918</v>
      </c>
      <c r="CE5" s="314">
        <v>6251</v>
      </c>
      <c r="CF5" s="317">
        <v>1177</v>
      </c>
      <c r="CG5" s="130">
        <f>CJ5-CF5</f>
        <v>1417</v>
      </c>
      <c r="CH5" s="317">
        <v>1543</v>
      </c>
      <c r="CI5" s="698">
        <f t="shared" ref="CI5:CI6" si="22">CK5-CH5</f>
        <v>2372</v>
      </c>
      <c r="CJ5" s="317">
        <v>2594</v>
      </c>
      <c r="CK5" s="130">
        <f t="shared" ref="CK5:CK6" si="23">CL5-CJ5</f>
        <v>3915</v>
      </c>
      <c r="CL5" s="314">
        <v>6509</v>
      </c>
      <c r="CM5" s="317">
        <v>1265</v>
      </c>
      <c r="CN5" s="130">
        <v>1479</v>
      </c>
      <c r="CO5" s="317">
        <v>1771</v>
      </c>
      <c r="CP5" s="698">
        <f t="shared" ref="CP5:CP6" si="24">CR5-CO5</f>
        <v>2533</v>
      </c>
      <c r="CQ5" s="317">
        <f t="shared" si="1"/>
        <v>2744</v>
      </c>
      <c r="CR5" s="130">
        <f t="shared" ref="CR5:CR6" si="25">CS5-CQ5</f>
        <v>4304</v>
      </c>
      <c r="CS5" s="314">
        <v>7048</v>
      </c>
      <c r="CT5" s="317">
        <v>1598</v>
      </c>
      <c r="CU5" s="130">
        <f t="shared" ref="CU5:CU6" si="26">CX5-CT5</f>
        <v>1596</v>
      </c>
      <c r="CV5" s="317">
        <v>1468</v>
      </c>
      <c r="CW5" s="698">
        <f>CY5-CV5</f>
        <v>2675</v>
      </c>
      <c r="CX5" s="317">
        <v>3194</v>
      </c>
      <c r="CY5" s="130">
        <f t="shared" ref="CY5:CY6" si="27">CZ5-CX5</f>
        <v>4143</v>
      </c>
      <c r="CZ5" s="314">
        <v>7337</v>
      </c>
      <c r="DA5" s="317">
        <v>1461</v>
      </c>
      <c r="DB5" s="130">
        <f t="shared" ref="DB5:DB6" si="28">DE5-DA5</f>
        <v>1730</v>
      </c>
      <c r="DC5" s="130">
        <v>1684</v>
      </c>
      <c r="DD5" s="698">
        <f>DF5-DC5</f>
        <v>3066</v>
      </c>
      <c r="DE5" s="317">
        <v>3191</v>
      </c>
      <c r="DF5" s="130">
        <f t="shared" ref="DF5:DF6" si="29">DG5-DE5</f>
        <v>4750</v>
      </c>
      <c r="DG5" s="314">
        <v>7941</v>
      </c>
      <c r="DH5" s="130">
        <v>1600</v>
      </c>
      <c r="DI5" s="130">
        <f t="shared" ref="DI5:DI6" si="30">DL5-DH5</f>
        <v>2093</v>
      </c>
      <c r="DJ5" s="130">
        <v>1959</v>
      </c>
      <c r="DK5" s="698">
        <f>DM5-DJ5</f>
        <v>3320</v>
      </c>
      <c r="DL5" s="2079">
        <v>3693</v>
      </c>
      <c r="DM5" s="130">
        <f t="shared" ref="DM5:DM6" si="31">DN5-DL5</f>
        <v>5279</v>
      </c>
      <c r="DN5" s="314">
        <v>8972</v>
      </c>
      <c r="DO5" s="317">
        <v>1604</v>
      </c>
      <c r="DP5" s="130">
        <f t="shared" ref="DP5:DP6" si="32">DS5-DO5</f>
        <v>2076</v>
      </c>
      <c r="DQ5" s="617">
        <f>Helicopters!DC4</f>
        <v>2081.9272499999997</v>
      </c>
      <c r="DR5" s="618">
        <f>Helicopters!DD4</f>
        <v>3609.5779660000007</v>
      </c>
      <c r="DS5" s="1878">
        <v>3680</v>
      </c>
      <c r="DT5" s="617">
        <f>Helicopters!DF4</f>
        <v>5691.5052160000005</v>
      </c>
      <c r="DU5" s="651">
        <f>Helicopters!DG4</f>
        <v>9371.5052160000014</v>
      </c>
      <c r="DV5" s="617">
        <f>Helicopters!DH4</f>
        <v>1677.8866560000001</v>
      </c>
      <c r="DW5" s="617">
        <f>Helicopters!DI4</f>
        <v>2169.5091839999995</v>
      </c>
      <c r="DX5" s="617">
        <f>Helicopters!DJ4</f>
        <v>2175.7130036999997</v>
      </c>
      <c r="DY5" s="618">
        <f>Helicopters!DK4</f>
        <v>3765.8934198264014</v>
      </c>
      <c r="DZ5" s="617">
        <f>Helicopters!DL4</f>
        <v>3847.3958400000001</v>
      </c>
      <c r="EA5" s="617">
        <f>Helicopters!DM4</f>
        <v>5941.6064235264012</v>
      </c>
      <c r="EB5" s="651">
        <f>Helicopters!DN4</f>
        <v>9789.0022635264013</v>
      </c>
      <c r="EC5" s="617">
        <f>Helicopters!DO4</f>
        <v>1755.2125857024002</v>
      </c>
      <c r="ED5" s="617">
        <f>Helicopters!DP4</f>
        <v>2267.2780782335999</v>
      </c>
      <c r="EE5" s="617">
        <f>Helicopters!DQ4</f>
        <v>2273.7714964894803</v>
      </c>
      <c r="EF5" s="618">
        <f>Helicopters!DR4</f>
        <v>3929.0484431873879</v>
      </c>
      <c r="EG5" s="617">
        <f>Helicopters!DS4</f>
        <v>4022.4906639360001</v>
      </c>
      <c r="EH5" s="617">
        <f>Helicopters!DT4</f>
        <v>6202.8199396768687</v>
      </c>
      <c r="EI5" s="651">
        <f>Helicopters!DU4</f>
        <v>10225.310603612868</v>
      </c>
      <c r="EJ5" s="617">
        <f>Helicopters!DV4</f>
        <v>1836.1394484047773</v>
      </c>
      <c r="EK5" s="617">
        <f>Helicopters!DW4</f>
        <v>2369.5028719542379</v>
      </c>
      <c r="EL5" s="617">
        <f>Helicopters!DX4</f>
        <v>2376.299536759655</v>
      </c>
      <c r="EM5" s="618">
        <f>Helicopters!DY4</f>
        <v>4099.3455759521585</v>
      </c>
      <c r="EN5" s="617">
        <f>Helicopters!DZ4</f>
        <v>4205.6423203590148</v>
      </c>
      <c r="EO5" s="617">
        <f>Helicopters!EA4</f>
        <v>6475.6451127118135</v>
      </c>
      <c r="EP5" s="651">
        <f>Helicopters!EB4</f>
        <v>10681.287433070829</v>
      </c>
      <c r="EQ5" s="617">
        <f>Helicopters!EC4</f>
        <v>1920.8365700723302</v>
      </c>
      <c r="ER5" s="617">
        <f>Helicopters!ED4</f>
        <v>2476.3888853091885</v>
      </c>
      <c r="ES5" s="617">
        <f>Helicopters!EE4</f>
        <v>2483.5030934473452</v>
      </c>
      <c r="ET5" s="618">
        <f>Helicopters!EF4</f>
        <v>4277.1008916636256</v>
      </c>
      <c r="EU5" s="617">
        <f>Helicopters!EG4</f>
        <v>4397.2254553815192</v>
      </c>
      <c r="EV5" s="617">
        <f>Helicopters!EH4</f>
        <v>6760.6039851109708</v>
      </c>
      <c r="EW5" s="651">
        <f>Helicopters!EI4</f>
        <v>11157.829440492489</v>
      </c>
    </row>
    <row r="6" spans="1:153" ht="10.199999999999999" customHeight="1">
      <c r="A6" s="108" t="s">
        <v>324</v>
      </c>
      <c r="B6" s="317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>
        <v>2664</v>
      </c>
      <c r="O6" s="130">
        <f>R6-N6</f>
        <v>2900</v>
      </c>
      <c r="P6" s="317">
        <f>8382-R6</f>
        <v>2818</v>
      </c>
      <c r="Q6" s="698">
        <f t="shared" si="2"/>
        <v>4739</v>
      </c>
      <c r="R6" s="317">
        <v>5564</v>
      </c>
      <c r="S6" s="130">
        <f t="shared" si="3"/>
        <v>7557</v>
      </c>
      <c r="T6" s="314">
        <v>13121</v>
      </c>
      <c r="U6" s="317">
        <v>2743</v>
      </c>
      <c r="V6" s="130">
        <f>Y6-U6</f>
        <v>2773</v>
      </c>
      <c r="W6" s="317">
        <f>8197-Y6</f>
        <v>2681</v>
      </c>
      <c r="X6" s="698">
        <f t="shared" si="4"/>
        <v>4828</v>
      </c>
      <c r="Y6" s="317">
        <v>5516</v>
      </c>
      <c r="Z6" s="130">
        <f t="shared" si="5"/>
        <v>7509</v>
      </c>
      <c r="AA6" s="314">
        <v>13025</v>
      </c>
      <c r="AB6" s="317">
        <v>2603</v>
      </c>
      <c r="AC6" s="130">
        <f>AF6-AB6</f>
        <v>2928</v>
      </c>
      <c r="AD6" s="317">
        <f>8383-AF6</f>
        <v>2852</v>
      </c>
      <c r="AE6" s="698">
        <f t="shared" si="6"/>
        <v>4697</v>
      </c>
      <c r="AF6" s="317">
        <v>5531</v>
      </c>
      <c r="AG6" s="130">
        <f t="shared" si="7"/>
        <v>7549</v>
      </c>
      <c r="AH6" s="314">
        <v>13080</v>
      </c>
      <c r="AI6" s="317">
        <v>2534</v>
      </c>
      <c r="AJ6" s="130">
        <f t="shared" si="0"/>
        <v>2906</v>
      </c>
      <c r="AK6" s="317">
        <f>7714-AM6</f>
        <v>2274</v>
      </c>
      <c r="AL6" s="698">
        <f t="shared" si="8"/>
        <v>4140</v>
      </c>
      <c r="AM6" s="317">
        <v>5440</v>
      </c>
      <c r="AN6" s="130">
        <f t="shared" si="9"/>
        <v>6414</v>
      </c>
      <c r="AO6" s="314">
        <v>11854</v>
      </c>
      <c r="AP6" s="317">
        <v>2114</v>
      </c>
      <c r="AQ6" s="130">
        <f>AT6-AP6</f>
        <v>2511</v>
      </c>
      <c r="AR6" s="317">
        <v>2108</v>
      </c>
      <c r="AS6" s="698">
        <f t="shared" si="10"/>
        <v>4071</v>
      </c>
      <c r="AT6" s="317">
        <v>4625</v>
      </c>
      <c r="AU6" s="130">
        <f t="shared" si="11"/>
        <v>6179</v>
      </c>
      <c r="AV6" s="314">
        <v>10804</v>
      </c>
      <c r="AW6" s="317">
        <v>2340</v>
      </c>
      <c r="AX6" s="130">
        <f>BA6-AW6</f>
        <v>2560</v>
      </c>
      <c r="AY6" s="317">
        <f>7052-BA6</f>
        <v>2152</v>
      </c>
      <c r="AZ6" s="698">
        <f t="shared" si="12"/>
        <v>3544</v>
      </c>
      <c r="BA6" s="317">
        <v>4900</v>
      </c>
      <c r="BB6" s="130">
        <f t="shared" si="13"/>
        <v>5696</v>
      </c>
      <c r="BC6" s="314">
        <v>10596</v>
      </c>
      <c r="BD6" s="317">
        <v>2217</v>
      </c>
      <c r="BE6" s="130">
        <v>2435</v>
      </c>
      <c r="BF6" s="317">
        <f>7051-BH6</f>
        <v>2399</v>
      </c>
      <c r="BG6" s="698">
        <f t="shared" si="14"/>
        <v>4012</v>
      </c>
      <c r="BH6" s="317">
        <f>BD6+BE6</f>
        <v>4652</v>
      </c>
      <c r="BI6" s="130">
        <f t="shared" si="15"/>
        <v>6411</v>
      </c>
      <c r="BJ6" s="314">
        <v>11063</v>
      </c>
      <c r="BK6" s="317">
        <v>2112</v>
      </c>
      <c r="BL6" s="130">
        <v>2903</v>
      </c>
      <c r="BM6" s="317">
        <v>2691</v>
      </c>
      <c r="BN6" s="698">
        <f t="shared" si="16"/>
        <v>3201</v>
      </c>
      <c r="BO6" s="317">
        <f>BK6+BL6</f>
        <v>5015</v>
      </c>
      <c r="BP6" s="130">
        <f t="shared" si="17"/>
        <v>5892</v>
      </c>
      <c r="BQ6" s="314">
        <v>10907</v>
      </c>
      <c r="BR6" s="317">
        <v>2112</v>
      </c>
      <c r="BS6" s="130">
        <v>2903</v>
      </c>
      <c r="BT6" s="317">
        <v>2691</v>
      </c>
      <c r="BU6" s="698">
        <f t="shared" si="18"/>
        <v>3201</v>
      </c>
      <c r="BV6" s="317">
        <f>BR6+BS6</f>
        <v>5015</v>
      </c>
      <c r="BW6" s="130">
        <f t="shared" si="19"/>
        <v>5892</v>
      </c>
      <c r="BX6" s="314">
        <f>BQ6</f>
        <v>10907</v>
      </c>
      <c r="BY6" s="317">
        <v>2111</v>
      </c>
      <c r="BZ6" s="130">
        <v>2440</v>
      </c>
      <c r="CA6" s="317">
        <v>2385</v>
      </c>
      <c r="CB6" s="698">
        <f t="shared" si="20"/>
        <v>3510</v>
      </c>
      <c r="CC6" s="317">
        <f>BY6+BZ6</f>
        <v>4551</v>
      </c>
      <c r="CD6" s="130">
        <f t="shared" si="21"/>
        <v>5895</v>
      </c>
      <c r="CE6" s="314">
        <v>10446</v>
      </c>
      <c r="CF6" s="317">
        <v>2115</v>
      </c>
      <c r="CG6" s="130">
        <f>CJ6-CF6</f>
        <v>2423</v>
      </c>
      <c r="CH6" s="317">
        <v>2343</v>
      </c>
      <c r="CI6" s="698">
        <f t="shared" si="22"/>
        <v>3305</v>
      </c>
      <c r="CJ6" s="317">
        <v>4538</v>
      </c>
      <c r="CK6" s="130">
        <f t="shared" si="23"/>
        <v>5648</v>
      </c>
      <c r="CL6" s="314">
        <v>10186</v>
      </c>
      <c r="CM6" s="317">
        <v>2453</v>
      </c>
      <c r="CN6" s="130">
        <v>2603</v>
      </c>
      <c r="CO6" s="317">
        <v>2537</v>
      </c>
      <c r="CP6" s="698">
        <f t="shared" si="24"/>
        <v>3666</v>
      </c>
      <c r="CQ6" s="317">
        <f t="shared" si="1"/>
        <v>5056</v>
      </c>
      <c r="CR6" s="130">
        <f t="shared" si="25"/>
        <v>6203</v>
      </c>
      <c r="CS6" s="314">
        <v>11259</v>
      </c>
      <c r="CT6" s="317">
        <v>2299</v>
      </c>
      <c r="CU6" s="130">
        <f t="shared" si="26"/>
        <v>2354</v>
      </c>
      <c r="CV6" s="317">
        <v>2480</v>
      </c>
      <c r="CW6" s="698">
        <f>CY6-CV6</f>
        <v>4362</v>
      </c>
      <c r="CX6" s="317">
        <v>4653</v>
      </c>
      <c r="CY6" s="130">
        <f t="shared" si="27"/>
        <v>6842</v>
      </c>
      <c r="CZ6" s="314">
        <v>11495</v>
      </c>
      <c r="DA6" s="317">
        <v>2399</v>
      </c>
      <c r="DB6" s="130">
        <f t="shared" si="28"/>
        <v>2586</v>
      </c>
      <c r="DC6" s="130">
        <v>2624</v>
      </c>
      <c r="DD6" s="698">
        <f>DF6-DC6</f>
        <v>4473</v>
      </c>
      <c r="DE6" s="317">
        <v>4985</v>
      </c>
      <c r="DF6" s="130">
        <f t="shared" si="29"/>
        <v>7097</v>
      </c>
      <c r="DG6" s="314">
        <v>12082</v>
      </c>
      <c r="DH6" s="130">
        <v>2656</v>
      </c>
      <c r="DI6" s="130">
        <f t="shared" si="30"/>
        <v>3157</v>
      </c>
      <c r="DJ6" s="130">
        <v>3063</v>
      </c>
      <c r="DK6" s="698">
        <f>DM6-DJ6</f>
        <v>4529</v>
      </c>
      <c r="DL6" s="2079">
        <v>5813</v>
      </c>
      <c r="DM6" s="130">
        <f t="shared" si="31"/>
        <v>7592</v>
      </c>
      <c r="DN6" s="314">
        <v>13405</v>
      </c>
      <c r="DO6" s="317">
        <v>2832</v>
      </c>
      <c r="DP6" s="130">
        <f t="shared" si="32"/>
        <v>3484</v>
      </c>
      <c r="DQ6" s="617">
        <f>'Defence &amp; Space'!CQ4</f>
        <v>3343.2645000000002</v>
      </c>
      <c r="DR6" s="618">
        <f>'Defence &amp; Space'!CR4</f>
        <v>4871.7555000000011</v>
      </c>
      <c r="DS6" s="1878">
        <v>6316</v>
      </c>
      <c r="DT6" s="617">
        <f>'Defence &amp; Space'!CT4</f>
        <v>8215.02</v>
      </c>
      <c r="DU6" s="651">
        <f>'Defence &amp; Space'!CU4</f>
        <v>14531.02</v>
      </c>
      <c r="DV6" s="617">
        <f>'Defence &amp; Space'!CV4</f>
        <v>3021.0360000000001</v>
      </c>
      <c r="DW6" s="617">
        <f>'Defence &amp; Space'!CW4</f>
        <v>3719.7150000000001</v>
      </c>
      <c r="DX6" s="617">
        <f>'Defence &amp; Space'!CX4</f>
        <v>3566.0211749999999</v>
      </c>
      <c r="DY6" s="618">
        <f>'Defence &amp; Space'!CY4</f>
        <v>5201.4723250000015</v>
      </c>
      <c r="DZ6" s="617">
        <f>'Defence &amp; Space'!CZ4</f>
        <v>6740.7510000000002</v>
      </c>
      <c r="EA6" s="617">
        <f>'Defence &amp; Space'!DA4</f>
        <v>8767.4935000000005</v>
      </c>
      <c r="EB6" s="651">
        <f>'Defence &amp; Space'!DB4</f>
        <v>15508.244500000001</v>
      </c>
      <c r="EC6" s="617">
        <f>'Defence &amp; Space'!DC4</f>
        <v>3172.0878000000002</v>
      </c>
      <c r="ED6" s="617">
        <f>'Defence &amp; Space'!DD4</f>
        <v>3905.7007500000009</v>
      </c>
      <c r="EE6" s="617">
        <f>'Defence &amp; Space'!DE4</f>
        <v>3744.3222337500001</v>
      </c>
      <c r="EF6" s="618">
        <f>'Defence &amp; Space'!DF4</f>
        <v>5461.5459412500022</v>
      </c>
      <c r="EG6" s="617">
        <f>'Defence &amp; Space'!DG4</f>
        <v>7077.7885500000011</v>
      </c>
      <c r="EH6" s="617">
        <f>'Defence &amp; Space'!DH4</f>
        <v>9205.8681750000032</v>
      </c>
      <c r="EI6" s="651">
        <f>'Defence &amp; Space'!DI4</f>
        <v>16283.656725000004</v>
      </c>
      <c r="EJ6" s="617">
        <f>'Defence &amp; Space'!DJ4</f>
        <v>3330.6921899999998</v>
      </c>
      <c r="EK6" s="617">
        <f>'Defence &amp; Space'!DK4</f>
        <v>4100.9857875000016</v>
      </c>
      <c r="EL6" s="617">
        <f>'Defence &amp; Space'!DL4</f>
        <v>3931.5383454375005</v>
      </c>
      <c r="EM6" s="618">
        <f>'Defence &amp; Space'!DM4</f>
        <v>5734.6232383125025</v>
      </c>
      <c r="EN6" s="617">
        <f>'Defence &amp; Space'!DN4</f>
        <v>7431.6779775000014</v>
      </c>
      <c r="EO6" s="617">
        <f>'Defence &amp; Space'!DO4</f>
        <v>9666.161583750003</v>
      </c>
      <c r="EP6" s="651">
        <f>'Defence &amp; Space'!DP4</f>
        <v>17097.839561250003</v>
      </c>
      <c r="EQ6" s="617">
        <f>'Defence &amp; Space'!DQ4</f>
        <v>3497.2267995000002</v>
      </c>
      <c r="ER6" s="617">
        <f>'Defence &amp; Space'!DR4</f>
        <v>4306.0350768750013</v>
      </c>
      <c r="ES6" s="617">
        <f>'Defence &amp; Space'!DS4</f>
        <v>4128.1152627093761</v>
      </c>
      <c r="ET6" s="618">
        <f>'Defence &amp; Space'!DT4</f>
        <v>6021.3544002281269</v>
      </c>
      <c r="EU6" s="617">
        <f>'Defence &amp; Space'!DU4</f>
        <v>7803.2618763750015</v>
      </c>
      <c r="EV6" s="617">
        <f>'Defence &amp; Space'!DV4</f>
        <v>10149.469662937503</v>
      </c>
      <c r="EW6" s="651">
        <f>'Defence &amp; Space'!DW4</f>
        <v>17952.731539312506</v>
      </c>
    </row>
    <row r="7" spans="1:153" ht="10.199999999999999" hidden="1" customHeight="1" outlineLevel="1">
      <c r="A7" s="127" t="s">
        <v>156</v>
      </c>
      <c r="B7" s="317">
        <v>547</v>
      </c>
      <c r="C7" s="317">
        <v>524</v>
      </c>
      <c r="D7" s="317">
        <v>934</v>
      </c>
      <c r="E7" s="317">
        <v>1304</v>
      </c>
      <c r="F7" s="317">
        <v>763</v>
      </c>
      <c r="G7" s="317">
        <v>2200</v>
      </c>
      <c r="H7" s="317">
        <v>1140</v>
      </c>
      <c r="I7" s="317">
        <v>2759</v>
      </c>
      <c r="J7" s="317">
        <v>2235</v>
      </c>
      <c r="K7" s="317">
        <v>2684</v>
      </c>
      <c r="L7" s="317">
        <v>2504</v>
      </c>
      <c r="M7" s="317">
        <v>2131</v>
      </c>
      <c r="N7" s="317"/>
      <c r="O7" s="317"/>
      <c r="P7" s="317"/>
      <c r="Q7" s="714"/>
      <c r="R7" s="317"/>
      <c r="S7" s="317"/>
      <c r="T7" s="619"/>
      <c r="U7" s="317"/>
      <c r="V7" s="317"/>
      <c r="W7" s="317"/>
      <c r="X7" s="714"/>
      <c r="Y7" s="317"/>
      <c r="Z7" s="317"/>
      <c r="AA7" s="619"/>
      <c r="AB7" s="317"/>
      <c r="AC7" s="317"/>
      <c r="AD7" s="317"/>
      <c r="AE7" s="714"/>
      <c r="AF7" s="317"/>
      <c r="AG7" s="317"/>
      <c r="AH7" s="619"/>
      <c r="AI7" s="317"/>
      <c r="AJ7" s="317"/>
      <c r="AK7" s="317"/>
      <c r="AL7" s="714"/>
      <c r="AM7" s="317"/>
      <c r="AN7" s="317"/>
      <c r="AO7" s="619"/>
      <c r="AP7" s="317"/>
      <c r="AQ7" s="317"/>
      <c r="AR7" s="317"/>
      <c r="AS7" s="714"/>
      <c r="AT7" s="317"/>
      <c r="AU7" s="317"/>
      <c r="AV7" s="619"/>
      <c r="AW7" s="317"/>
      <c r="AX7" s="317"/>
      <c r="AY7" s="317"/>
      <c r="AZ7" s="714"/>
      <c r="BA7" s="317"/>
      <c r="BB7" s="317"/>
      <c r="BC7" s="619"/>
      <c r="BD7" s="317"/>
      <c r="BE7" s="317"/>
      <c r="BF7" s="317"/>
      <c r="BG7" s="714"/>
      <c r="BH7" s="317"/>
      <c r="BI7" s="317"/>
      <c r="BJ7" s="619"/>
      <c r="BK7" s="317"/>
      <c r="BL7" s="317"/>
      <c r="BM7" s="317"/>
      <c r="BN7" s="714"/>
      <c r="BO7" s="317"/>
      <c r="BP7" s="317"/>
      <c r="BQ7" s="619"/>
      <c r="BR7" s="317"/>
      <c r="BS7" s="317"/>
      <c r="BT7" s="317"/>
      <c r="BU7" s="714"/>
      <c r="BV7" s="317"/>
      <c r="BW7" s="317"/>
      <c r="BX7" s="619"/>
      <c r="BY7" s="317"/>
      <c r="BZ7" s="317"/>
      <c r="CA7" s="317"/>
      <c r="CB7" s="714"/>
      <c r="CC7" s="317"/>
      <c r="CD7" s="317"/>
      <c r="CE7" s="619"/>
      <c r="CF7" s="317"/>
      <c r="CG7" s="317"/>
      <c r="CH7" s="317"/>
      <c r="CI7" s="714"/>
      <c r="CJ7" s="317"/>
      <c r="CK7" s="317"/>
      <c r="CL7" s="619"/>
      <c r="CM7" s="317"/>
      <c r="CN7" s="317"/>
      <c r="CO7" s="317"/>
      <c r="CP7" s="714"/>
      <c r="CQ7" s="317"/>
      <c r="CR7" s="317"/>
      <c r="CS7" s="619"/>
      <c r="CT7" s="317"/>
      <c r="CU7" s="317"/>
      <c r="CV7" s="317"/>
      <c r="CW7" s="714"/>
      <c r="CX7" s="317"/>
      <c r="CY7" s="317"/>
      <c r="CZ7" s="619"/>
      <c r="DA7" s="317"/>
      <c r="DB7" s="317"/>
      <c r="DC7" s="317"/>
      <c r="DD7" s="714"/>
      <c r="DE7" s="317"/>
      <c r="DF7" s="317"/>
      <c r="DG7" s="619"/>
      <c r="DH7" s="317"/>
      <c r="DI7" s="317"/>
      <c r="DJ7" s="317"/>
      <c r="DK7" s="714"/>
      <c r="DL7" s="317"/>
      <c r="DM7" s="317"/>
      <c r="DN7" s="314"/>
      <c r="DO7" s="317"/>
      <c r="DP7" s="317"/>
      <c r="DQ7" s="317"/>
      <c r="DR7" s="714"/>
      <c r="DS7" s="1909"/>
      <c r="DT7" s="317"/>
      <c r="DU7" s="619"/>
      <c r="DV7" s="317"/>
      <c r="DW7" s="317"/>
      <c r="DX7" s="317"/>
      <c r="DY7" s="714"/>
      <c r="DZ7" s="317"/>
      <c r="EA7" s="317"/>
      <c r="EB7" s="619"/>
      <c r="EC7" s="317"/>
      <c r="ED7" s="317"/>
      <c r="EE7" s="317"/>
      <c r="EF7" s="714"/>
      <c r="EG7" s="317"/>
      <c r="EH7" s="317"/>
      <c r="EI7" s="619"/>
      <c r="EJ7" s="317"/>
      <c r="EK7" s="317"/>
      <c r="EL7" s="317"/>
      <c r="EM7" s="714"/>
      <c r="EN7" s="317"/>
      <c r="EO7" s="317"/>
      <c r="EP7" s="619"/>
      <c r="EQ7" s="317"/>
      <c r="ER7" s="317"/>
      <c r="ES7" s="317"/>
      <c r="ET7" s="714"/>
      <c r="EU7" s="317"/>
      <c r="EV7" s="317"/>
      <c r="EW7" s="619"/>
    </row>
    <row r="8" spans="1:153" ht="10.199999999999999" hidden="1" customHeight="1" outlineLevel="1">
      <c r="A8" s="127" t="s">
        <v>36</v>
      </c>
      <c r="B8" s="317">
        <v>3345</v>
      </c>
      <c r="C8" s="317">
        <v>4770</v>
      </c>
      <c r="D8" s="317">
        <v>5165</v>
      </c>
      <c r="E8" s="317">
        <v>5385</v>
      </c>
      <c r="F8" s="317">
        <v>5636</v>
      </c>
      <c r="G8" s="317">
        <v>5864</v>
      </c>
      <c r="H8" s="317">
        <v>5392</v>
      </c>
      <c r="I8" s="317">
        <v>5668</v>
      </c>
      <c r="J8" s="317">
        <v>5363</v>
      </c>
      <c r="K8" s="317">
        <v>5933</v>
      </c>
      <c r="L8" s="317">
        <v>5803</v>
      </c>
      <c r="M8" s="317">
        <v>5740</v>
      </c>
      <c r="N8" s="317"/>
      <c r="O8" s="317"/>
      <c r="P8" s="317"/>
      <c r="Q8" s="714"/>
      <c r="R8" s="317"/>
      <c r="S8" s="317"/>
      <c r="T8" s="619"/>
      <c r="U8" s="317"/>
      <c r="V8" s="317"/>
      <c r="W8" s="317"/>
      <c r="X8" s="714"/>
      <c r="Y8" s="317"/>
      <c r="Z8" s="317"/>
      <c r="AA8" s="619"/>
      <c r="AB8" s="317"/>
      <c r="AC8" s="317"/>
      <c r="AD8" s="317"/>
      <c r="AE8" s="714"/>
      <c r="AF8" s="317"/>
      <c r="AG8" s="317"/>
      <c r="AH8" s="619"/>
      <c r="AI8" s="317"/>
      <c r="AJ8" s="317"/>
      <c r="AK8" s="317"/>
      <c r="AL8" s="714"/>
      <c r="AM8" s="317"/>
      <c r="AN8" s="317"/>
      <c r="AO8" s="619"/>
      <c r="AP8" s="317"/>
      <c r="AQ8" s="317"/>
      <c r="AR8" s="317"/>
      <c r="AS8" s="714"/>
      <c r="AT8" s="317"/>
      <c r="AU8" s="317"/>
      <c r="AV8" s="619"/>
      <c r="AW8" s="317"/>
      <c r="AX8" s="317"/>
      <c r="AY8" s="317"/>
      <c r="AZ8" s="714"/>
      <c r="BA8" s="317"/>
      <c r="BB8" s="317"/>
      <c r="BC8" s="619"/>
      <c r="BD8" s="317"/>
      <c r="BE8" s="317"/>
      <c r="BF8" s="317"/>
      <c r="BG8" s="714"/>
      <c r="BH8" s="317"/>
      <c r="BI8" s="317"/>
      <c r="BJ8" s="619"/>
      <c r="BK8" s="317"/>
      <c r="BL8" s="317"/>
      <c r="BM8" s="317"/>
      <c r="BN8" s="714"/>
      <c r="BO8" s="317"/>
      <c r="BP8" s="317"/>
      <c r="BQ8" s="619"/>
      <c r="BR8" s="317"/>
      <c r="BS8" s="317"/>
      <c r="BT8" s="317"/>
      <c r="BU8" s="714"/>
      <c r="BV8" s="317"/>
      <c r="BW8" s="317"/>
      <c r="BX8" s="619"/>
      <c r="BY8" s="317"/>
      <c r="BZ8" s="317"/>
      <c r="CA8" s="317"/>
      <c r="CB8" s="714"/>
      <c r="CC8" s="317"/>
      <c r="CD8" s="317"/>
      <c r="CE8" s="619"/>
      <c r="CF8" s="317"/>
      <c r="CG8" s="317"/>
      <c r="CH8" s="317"/>
      <c r="CI8" s="714"/>
      <c r="CJ8" s="317"/>
      <c r="CK8" s="317"/>
      <c r="CL8" s="619"/>
      <c r="CM8" s="317"/>
      <c r="CN8" s="317"/>
      <c r="CO8" s="317"/>
      <c r="CP8" s="714"/>
      <c r="CQ8" s="317"/>
      <c r="CR8" s="317"/>
      <c r="CS8" s="619"/>
      <c r="CT8" s="317"/>
      <c r="CU8" s="317"/>
      <c r="CV8" s="317"/>
      <c r="CW8" s="714"/>
      <c r="CX8" s="317"/>
      <c r="CY8" s="317"/>
      <c r="CZ8" s="619"/>
      <c r="DA8" s="317"/>
      <c r="DB8" s="317"/>
      <c r="DC8" s="317"/>
      <c r="DD8" s="714"/>
      <c r="DE8" s="317"/>
      <c r="DF8" s="317"/>
      <c r="DG8" s="619"/>
      <c r="DH8" s="317"/>
      <c r="DI8" s="317"/>
      <c r="DJ8" s="317"/>
      <c r="DK8" s="714"/>
      <c r="DL8" s="317"/>
      <c r="DM8" s="317"/>
      <c r="DN8" s="314"/>
      <c r="DO8" s="317"/>
      <c r="DP8" s="317"/>
      <c r="DQ8" s="317"/>
      <c r="DR8" s="714"/>
      <c r="DS8" s="1909"/>
      <c r="DT8" s="317"/>
      <c r="DU8" s="619"/>
      <c r="DV8" s="317"/>
      <c r="DW8" s="317"/>
      <c r="DX8" s="317"/>
      <c r="DY8" s="714"/>
      <c r="DZ8" s="317"/>
      <c r="EA8" s="317"/>
      <c r="EB8" s="619"/>
      <c r="EC8" s="317"/>
      <c r="ED8" s="317"/>
      <c r="EE8" s="317"/>
      <c r="EF8" s="714"/>
      <c r="EG8" s="317"/>
      <c r="EH8" s="317"/>
      <c r="EI8" s="619"/>
      <c r="EJ8" s="317"/>
      <c r="EK8" s="317"/>
      <c r="EL8" s="317"/>
      <c r="EM8" s="714"/>
      <c r="EN8" s="317"/>
      <c r="EO8" s="317"/>
      <c r="EP8" s="619"/>
      <c r="EQ8" s="317"/>
      <c r="ER8" s="317"/>
      <c r="ES8" s="317"/>
      <c r="ET8" s="714"/>
      <c r="EU8" s="317"/>
      <c r="EV8" s="317"/>
      <c r="EW8" s="619"/>
    </row>
    <row r="9" spans="1:153" ht="10.199999999999999" hidden="1" customHeight="1" outlineLevel="1">
      <c r="A9" s="127" t="s">
        <v>299</v>
      </c>
      <c r="B9" s="317">
        <v>2439</v>
      </c>
      <c r="C9" s="317">
        <v>2216</v>
      </c>
      <c r="D9" s="317">
        <v>2424</v>
      </c>
      <c r="E9" s="317">
        <v>2592</v>
      </c>
      <c r="F9" s="317">
        <v>2698</v>
      </c>
      <c r="G9" s="317">
        <v>3212</v>
      </c>
      <c r="H9" s="317">
        <v>3550</v>
      </c>
      <c r="I9" s="317">
        <v>4289</v>
      </c>
      <c r="J9" s="317">
        <v>4799</v>
      </c>
      <c r="K9" s="317">
        <v>5003</v>
      </c>
      <c r="L9" s="317">
        <v>4964</v>
      </c>
      <c r="M9" s="317">
        <v>5817</v>
      </c>
      <c r="N9" s="317"/>
      <c r="O9" s="317"/>
      <c r="P9" s="317"/>
      <c r="Q9" s="714"/>
      <c r="R9" s="317"/>
      <c r="S9" s="317"/>
      <c r="T9" s="619"/>
      <c r="U9" s="317"/>
      <c r="V9" s="317"/>
      <c r="W9" s="317"/>
      <c r="X9" s="714"/>
      <c r="Y9" s="317"/>
      <c r="Z9" s="317"/>
      <c r="AA9" s="619"/>
      <c r="AB9" s="317"/>
      <c r="AC9" s="317"/>
      <c r="AD9" s="317"/>
      <c r="AE9" s="714"/>
      <c r="AF9" s="317"/>
      <c r="AG9" s="317"/>
      <c r="AH9" s="619"/>
      <c r="AI9" s="317"/>
      <c r="AJ9" s="317"/>
      <c r="AK9" s="317"/>
      <c r="AL9" s="714"/>
      <c r="AM9" s="317"/>
      <c r="AN9" s="317"/>
      <c r="AO9" s="619"/>
      <c r="AP9" s="317"/>
      <c r="AQ9" s="317"/>
      <c r="AR9" s="317"/>
      <c r="AS9" s="714"/>
      <c r="AT9" s="317"/>
      <c r="AU9" s="317"/>
      <c r="AV9" s="619"/>
      <c r="AW9" s="317"/>
      <c r="AX9" s="317"/>
      <c r="AY9" s="317"/>
      <c r="AZ9" s="714"/>
      <c r="BA9" s="317"/>
      <c r="BB9" s="317"/>
      <c r="BC9" s="619"/>
      <c r="BD9" s="317"/>
      <c r="BE9" s="317"/>
      <c r="BF9" s="317"/>
      <c r="BG9" s="714"/>
      <c r="BH9" s="317"/>
      <c r="BI9" s="317"/>
      <c r="BJ9" s="619"/>
      <c r="BK9" s="317"/>
      <c r="BL9" s="317"/>
      <c r="BM9" s="317"/>
      <c r="BN9" s="714"/>
      <c r="BO9" s="317"/>
      <c r="BP9" s="317"/>
      <c r="BQ9" s="619"/>
      <c r="BR9" s="317"/>
      <c r="BS9" s="317"/>
      <c r="BT9" s="317"/>
      <c r="BU9" s="714"/>
      <c r="BV9" s="317"/>
      <c r="BW9" s="317"/>
      <c r="BX9" s="619"/>
      <c r="BY9" s="317"/>
      <c r="BZ9" s="317"/>
      <c r="CA9" s="317"/>
      <c r="CB9" s="714"/>
      <c r="CC9" s="317"/>
      <c r="CD9" s="317"/>
      <c r="CE9" s="619"/>
      <c r="CF9" s="317"/>
      <c r="CG9" s="317"/>
      <c r="CH9" s="317"/>
      <c r="CI9" s="714"/>
      <c r="CJ9" s="317"/>
      <c r="CK9" s="317"/>
      <c r="CL9" s="619"/>
      <c r="CM9" s="317"/>
      <c r="CN9" s="317"/>
      <c r="CO9" s="317"/>
      <c r="CP9" s="714"/>
      <c r="CQ9" s="317"/>
      <c r="CR9" s="317"/>
      <c r="CS9" s="619"/>
      <c r="CT9" s="317"/>
      <c r="CU9" s="317"/>
      <c r="CV9" s="317"/>
      <c r="CW9" s="714"/>
      <c r="CX9" s="317"/>
      <c r="CY9" s="317"/>
      <c r="CZ9" s="619"/>
      <c r="DA9" s="317"/>
      <c r="DB9" s="317"/>
      <c r="DC9" s="317"/>
      <c r="DD9" s="714"/>
      <c r="DE9" s="317"/>
      <c r="DF9" s="317"/>
      <c r="DG9" s="619"/>
      <c r="DH9" s="317"/>
      <c r="DI9" s="317"/>
      <c r="DJ9" s="317"/>
      <c r="DK9" s="714"/>
      <c r="DL9" s="317"/>
      <c r="DM9" s="317"/>
      <c r="DN9" s="314"/>
      <c r="DO9" s="317"/>
      <c r="DP9" s="317"/>
      <c r="DQ9" s="317"/>
      <c r="DR9" s="714"/>
      <c r="DS9" s="1909"/>
      <c r="DT9" s="317"/>
      <c r="DU9" s="619"/>
      <c r="DV9" s="317"/>
      <c r="DW9" s="317"/>
      <c r="DX9" s="317"/>
      <c r="DY9" s="714"/>
      <c r="DZ9" s="317"/>
      <c r="EA9" s="317"/>
      <c r="EB9" s="619"/>
      <c r="EC9" s="317"/>
      <c r="ED9" s="317"/>
      <c r="EE9" s="317"/>
      <c r="EF9" s="714"/>
      <c r="EG9" s="317"/>
      <c r="EH9" s="317"/>
      <c r="EI9" s="619"/>
      <c r="EJ9" s="317"/>
      <c r="EK9" s="317"/>
      <c r="EL9" s="317"/>
      <c r="EM9" s="714"/>
      <c r="EN9" s="317"/>
      <c r="EO9" s="317"/>
      <c r="EP9" s="619"/>
      <c r="EQ9" s="317"/>
      <c r="ER9" s="317"/>
      <c r="ES9" s="317"/>
      <c r="ET9" s="714"/>
      <c r="EU9" s="317"/>
      <c r="EV9" s="317"/>
      <c r="EW9" s="619"/>
    </row>
    <row r="10" spans="1:153" ht="10.199999999999999" hidden="1" customHeight="1" outlineLevel="1">
      <c r="A10" s="127" t="s">
        <v>211</v>
      </c>
      <c r="B10" s="317">
        <f>5065*0.45</f>
        <v>2279.25</v>
      </c>
      <c r="C10" s="317">
        <f>3834*0.3</f>
        <v>1150.2</v>
      </c>
      <c r="D10" s="317">
        <v>1217</v>
      </c>
      <c r="E10" s="317">
        <v>1090</v>
      </c>
      <c r="F10" s="317">
        <v>1155</v>
      </c>
      <c r="G10" s="317">
        <v>1257</v>
      </c>
      <c r="H10" s="317">
        <v>1407</v>
      </c>
      <c r="I10" s="317">
        <v>1338</v>
      </c>
      <c r="J10" s="317">
        <v>1096</v>
      </c>
      <c r="K10" s="317">
        <v>1182</v>
      </c>
      <c r="L10" s="317">
        <v>1252</v>
      </c>
      <c r="M10" s="317">
        <v>1524</v>
      </c>
      <c r="N10" s="317"/>
      <c r="O10" s="317"/>
      <c r="P10" s="317"/>
      <c r="Q10" s="714"/>
      <c r="R10" s="317"/>
      <c r="S10" s="317"/>
      <c r="T10" s="1079"/>
      <c r="U10" s="317"/>
      <c r="V10" s="317"/>
      <c r="W10" s="317"/>
      <c r="X10" s="714"/>
      <c r="Y10" s="317"/>
      <c r="Z10" s="317"/>
      <c r="AA10" s="1079"/>
      <c r="AB10" s="317"/>
      <c r="AC10" s="317"/>
      <c r="AD10" s="317"/>
      <c r="AE10" s="714"/>
      <c r="AF10" s="317"/>
      <c r="AG10" s="317"/>
      <c r="AH10" s="1079"/>
      <c r="AI10" s="317"/>
      <c r="AJ10" s="317"/>
      <c r="AK10" s="317"/>
      <c r="AL10" s="714"/>
      <c r="AM10" s="317"/>
      <c r="AN10" s="317"/>
      <c r="AO10" s="1079"/>
      <c r="AP10" s="317"/>
      <c r="AQ10" s="317"/>
      <c r="AR10" s="317"/>
      <c r="AS10" s="714"/>
      <c r="AT10" s="317"/>
      <c r="AU10" s="317"/>
      <c r="AV10" s="1079"/>
      <c r="AW10" s="317"/>
      <c r="AX10" s="317"/>
      <c r="AY10" s="317"/>
      <c r="AZ10" s="714"/>
      <c r="BA10" s="317"/>
      <c r="BB10" s="317"/>
      <c r="BC10" s="1079"/>
      <c r="BD10" s="317"/>
      <c r="BE10" s="317"/>
      <c r="BF10" s="317"/>
      <c r="BG10" s="714"/>
      <c r="BH10" s="317"/>
      <c r="BI10" s="317"/>
      <c r="BJ10" s="1079"/>
      <c r="BK10" s="317"/>
      <c r="BL10" s="317"/>
      <c r="BM10" s="317"/>
      <c r="BN10" s="714"/>
      <c r="BO10" s="317"/>
      <c r="BP10" s="317"/>
      <c r="BQ10" s="1079"/>
      <c r="BR10" s="317"/>
      <c r="BS10" s="317"/>
      <c r="BT10" s="317"/>
      <c r="BU10" s="714"/>
      <c r="BV10" s="317"/>
      <c r="BW10" s="317"/>
      <c r="BX10" s="1079"/>
      <c r="BY10" s="317"/>
      <c r="BZ10" s="317"/>
      <c r="CA10" s="317"/>
      <c r="CB10" s="714"/>
      <c r="CC10" s="317"/>
      <c r="CD10" s="317"/>
      <c r="CE10" s="1079"/>
      <c r="CF10" s="317"/>
      <c r="CG10" s="317"/>
      <c r="CH10" s="317"/>
      <c r="CI10" s="714"/>
      <c r="CJ10" s="317"/>
      <c r="CK10" s="317"/>
      <c r="CL10" s="1079"/>
      <c r="CM10" s="317"/>
      <c r="CN10" s="317"/>
      <c r="CO10" s="317"/>
      <c r="CP10" s="714"/>
      <c r="CQ10" s="317"/>
      <c r="CR10" s="317"/>
      <c r="CS10" s="1079"/>
      <c r="CT10" s="317"/>
      <c r="CU10" s="317"/>
      <c r="CV10" s="317"/>
      <c r="CW10" s="714"/>
      <c r="CX10" s="317"/>
      <c r="CY10" s="317"/>
      <c r="CZ10" s="1079"/>
      <c r="DA10" s="317"/>
      <c r="DB10" s="317"/>
      <c r="DC10" s="317"/>
      <c r="DD10" s="714"/>
      <c r="DE10" s="317"/>
      <c r="DF10" s="317"/>
      <c r="DG10" s="1079"/>
      <c r="DH10" s="317"/>
      <c r="DI10" s="317"/>
      <c r="DJ10" s="317"/>
      <c r="DK10" s="714"/>
      <c r="DL10" s="317"/>
      <c r="DM10" s="317"/>
      <c r="DN10" s="1843"/>
      <c r="DO10" s="317"/>
      <c r="DP10" s="317"/>
      <c r="DQ10" s="317"/>
      <c r="DR10" s="714"/>
      <c r="DS10" s="1909"/>
      <c r="DT10" s="317"/>
      <c r="DU10" s="1079"/>
      <c r="DV10" s="317"/>
      <c r="DW10" s="317"/>
      <c r="DX10" s="317"/>
      <c r="DY10" s="714"/>
      <c r="DZ10" s="317"/>
      <c r="EA10" s="317"/>
      <c r="EB10" s="1079"/>
      <c r="EC10" s="317"/>
      <c r="ED10" s="317"/>
      <c r="EE10" s="317"/>
      <c r="EF10" s="714"/>
      <c r="EG10" s="317"/>
      <c r="EH10" s="317"/>
      <c r="EI10" s="1079"/>
      <c r="EJ10" s="317"/>
      <c r="EK10" s="317"/>
      <c r="EL10" s="317"/>
      <c r="EM10" s="714"/>
      <c r="EN10" s="317"/>
      <c r="EO10" s="317"/>
      <c r="EP10" s="1079"/>
      <c r="EQ10" s="317"/>
      <c r="ER10" s="317"/>
      <c r="ES10" s="317"/>
      <c r="ET10" s="714"/>
      <c r="EU10" s="317"/>
      <c r="EV10" s="317"/>
      <c r="EW10" s="1079"/>
    </row>
    <row r="11" spans="1:153" ht="10.199999999999999" customHeight="1" collapsed="1">
      <c r="A11" s="48" t="s">
        <v>182</v>
      </c>
      <c r="B11" s="319">
        <f t="shared" ref="B11:AV11" si="33">+SUM(B4:B10)</f>
        <v>31945</v>
      </c>
      <c r="C11" s="319">
        <f t="shared" si="33"/>
        <v>30856</v>
      </c>
      <c r="D11" s="319">
        <f t="shared" si="33"/>
        <v>31374</v>
      </c>
      <c r="E11" s="319">
        <f t="shared" si="33"/>
        <v>33381</v>
      </c>
      <c r="F11" s="319">
        <f t="shared" si="33"/>
        <v>35642</v>
      </c>
      <c r="G11" s="319">
        <f t="shared" si="33"/>
        <v>41526</v>
      </c>
      <c r="H11" s="319">
        <f t="shared" si="33"/>
        <v>40877</v>
      </c>
      <c r="I11" s="319">
        <f t="shared" si="33"/>
        <v>45064</v>
      </c>
      <c r="J11" s="319">
        <f t="shared" si="33"/>
        <v>44433</v>
      </c>
      <c r="K11" s="319">
        <f t="shared" si="33"/>
        <v>47305</v>
      </c>
      <c r="L11" s="319">
        <f t="shared" si="33"/>
        <v>51097</v>
      </c>
      <c r="M11" s="319">
        <f t="shared" si="33"/>
        <v>58419</v>
      </c>
      <c r="N11" s="319">
        <f t="shared" ref="N11:S11" si="34">+SUM(N4:N10)</f>
        <v>12461</v>
      </c>
      <c r="O11" s="319">
        <f t="shared" si="34"/>
        <v>13789</v>
      </c>
      <c r="P11" s="319">
        <f t="shared" si="34"/>
        <v>13592</v>
      </c>
      <c r="Q11" s="760">
        <f t="shared" si="34"/>
        <v>19070</v>
      </c>
      <c r="R11" s="319">
        <f t="shared" si="34"/>
        <v>26250</v>
      </c>
      <c r="S11" s="319">
        <f t="shared" si="34"/>
        <v>32662</v>
      </c>
      <c r="T11" s="1268">
        <f t="shared" si="33"/>
        <v>58912</v>
      </c>
      <c r="U11" s="319">
        <f t="shared" ref="U11:Z11" si="35">+SUM(U4:U10)</f>
        <v>12862</v>
      </c>
      <c r="V11" s="319">
        <f t="shared" si="35"/>
        <v>14884</v>
      </c>
      <c r="W11" s="319">
        <f t="shared" si="35"/>
        <v>13531</v>
      </c>
      <c r="X11" s="760">
        <f t="shared" si="35"/>
        <v>20552</v>
      </c>
      <c r="Y11" s="319">
        <f t="shared" si="35"/>
        <v>27746</v>
      </c>
      <c r="Z11" s="319">
        <f t="shared" si="35"/>
        <v>34083</v>
      </c>
      <c r="AA11" s="1268">
        <f t="shared" si="33"/>
        <v>61829</v>
      </c>
      <c r="AB11" s="319">
        <f t="shared" ref="AB11:AG11" si="36">+SUM(AB4:AB10)</f>
        <v>12453</v>
      </c>
      <c r="AC11" s="319">
        <f t="shared" si="36"/>
        <v>17109</v>
      </c>
      <c r="AD11" s="319">
        <f t="shared" si="36"/>
        <v>14363</v>
      </c>
      <c r="AE11" s="760">
        <f t="shared" si="36"/>
        <v>21795</v>
      </c>
      <c r="AF11" s="319">
        <f t="shared" si="36"/>
        <v>29562</v>
      </c>
      <c r="AG11" s="319">
        <f t="shared" si="36"/>
        <v>36158</v>
      </c>
      <c r="AH11" s="1268">
        <f t="shared" si="33"/>
        <v>65720</v>
      </c>
      <c r="AI11" s="319">
        <f t="shared" ref="AI11:AN11" si="37">+SUM(AI4:AI10)</f>
        <v>12360</v>
      </c>
      <c r="AJ11" s="319">
        <f t="shared" si="37"/>
        <v>16828</v>
      </c>
      <c r="AK11" s="319">
        <f t="shared" si="37"/>
        <v>14319</v>
      </c>
      <c r="AL11" s="760">
        <f t="shared" si="37"/>
        <v>24236</v>
      </c>
      <c r="AM11" s="319">
        <f t="shared" si="37"/>
        <v>29188</v>
      </c>
      <c r="AN11" s="319">
        <f t="shared" si="37"/>
        <v>38555</v>
      </c>
      <c r="AO11" s="1268">
        <f t="shared" si="33"/>
        <v>67743</v>
      </c>
      <c r="AP11" s="319">
        <f t="shared" ref="AP11:AS11" si="38">+SUM(AP4:AP10)</f>
        <v>13230</v>
      </c>
      <c r="AQ11" s="319">
        <f t="shared" si="38"/>
        <v>16105</v>
      </c>
      <c r="AR11" s="319">
        <f t="shared" si="38"/>
        <v>14429</v>
      </c>
      <c r="AS11" s="760">
        <f t="shared" si="38"/>
        <v>24448</v>
      </c>
      <c r="AT11" s="319">
        <f t="shared" ref="AT11:AU11" si="39">+SUM(AT4:AT10)</f>
        <v>29335</v>
      </c>
      <c r="AU11" s="319">
        <f t="shared" si="39"/>
        <v>38877</v>
      </c>
      <c r="AV11" s="1268">
        <f t="shared" si="33"/>
        <v>68212</v>
      </c>
      <c r="AW11" s="319">
        <f t="shared" ref="AW11:BB11" si="40">+SUM(AW4:AW10)</f>
        <v>11682</v>
      </c>
      <c r="AX11" s="319">
        <f t="shared" si="40"/>
        <v>14116</v>
      </c>
      <c r="AY11" s="319">
        <f t="shared" si="40"/>
        <v>13030</v>
      </c>
      <c r="AZ11" s="760">
        <f t="shared" si="40"/>
        <v>21589</v>
      </c>
      <c r="BA11" s="319">
        <f t="shared" si="40"/>
        <v>25798</v>
      </c>
      <c r="BB11" s="319">
        <f t="shared" si="40"/>
        <v>34619</v>
      </c>
      <c r="BC11" s="1268">
        <f>+BC4+BC6+BC5</f>
        <v>60417</v>
      </c>
      <c r="BD11" s="319">
        <f t="shared" ref="BD11:BI11" si="41">+SUM(BD4:BD10)</f>
        <v>10400</v>
      </c>
      <c r="BE11" s="319">
        <f t="shared" si="41"/>
        <v>15186</v>
      </c>
      <c r="BF11" s="319">
        <f t="shared" si="41"/>
        <v>15698</v>
      </c>
      <c r="BG11" s="760">
        <f t="shared" si="41"/>
        <v>23683</v>
      </c>
      <c r="BH11" s="319">
        <f t="shared" si="41"/>
        <v>25586</v>
      </c>
      <c r="BI11" s="319">
        <f t="shared" si="41"/>
        <v>39381</v>
      </c>
      <c r="BJ11" s="1268">
        <f t="shared" ref="BJ11:DJ11" si="42">+SUM(BJ4:BJ10)</f>
        <v>64967</v>
      </c>
      <c r="BK11" s="319">
        <f>+SUM(BK4:BK10)</f>
        <v>12816</v>
      </c>
      <c r="BL11" s="319">
        <f>+SUM(BL4:BL10)</f>
        <v>18613</v>
      </c>
      <c r="BM11" s="319">
        <f>+SUM(BM4:BM10)</f>
        <v>15561</v>
      </c>
      <c r="BN11" s="699">
        <f t="shared" ref="BN11" si="43">+SUM(BN4:BN10)</f>
        <v>24699</v>
      </c>
      <c r="BO11" s="319">
        <f>+SUM(BO4:BO10)</f>
        <v>31429</v>
      </c>
      <c r="BP11" s="92">
        <f t="shared" ref="BP11" si="44">+SUM(BP4:BP10)</f>
        <v>40260</v>
      </c>
      <c r="BQ11" s="1268">
        <f t="shared" si="42"/>
        <v>71689</v>
      </c>
      <c r="BR11" s="319">
        <f>+SUM(BR4:BR10)</f>
        <v>12816</v>
      </c>
      <c r="BS11" s="319">
        <f>+SUM(BS4:BS10)</f>
        <v>18613</v>
      </c>
      <c r="BT11" s="319">
        <f>+SUM(BT4:BT10)</f>
        <v>15561</v>
      </c>
      <c r="BU11" s="699">
        <f t="shared" si="42"/>
        <v>24699</v>
      </c>
      <c r="BV11" s="319">
        <f>+SUM(BV4:BV10)</f>
        <v>31429</v>
      </c>
      <c r="BW11" s="92">
        <f t="shared" si="42"/>
        <v>40260</v>
      </c>
      <c r="BX11" s="1268">
        <f t="shared" si="42"/>
        <v>71689</v>
      </c>
      <c r="BY11" s="319">
        <f>+SUM(BY4:BY10)</f>
        <v>10882</v>
      </c>
      <c r="BZ11" s="319">
        <f>+SUM(BZ4:BZ10)</f>
        <v>8535</v>
      </c>
      <c r="CA11" s="319">
        <f>+SUM(CA4:CA10)</f>
        <v>11413</v>
      </c>
      <c r="CB11" s="699">
        <f t="shared" si="42"/>
        <v>20117</v>
      </c>
      <c r="CC11" s="319">
        <f>+SUM(CC4:CC10)</f>
        <v>19417</v>
      </c>
      <c r="CD11" s="92">
        <f t="shared" si="42"/>
        <v>31530</v>
      </c>
      <c r="CE11" s="1268">
        <f t="shared" si="42"/>
        <v>50947</v>
      </c>
      <c r="CF11" s="319">
        <f>+SUM(CF4:CF10)</f>
        <v>10564</v>
      </c>
      <c r="CG11" s="319">
        <f>+SUM(CG4:CG10)</f>
        <v>14381</v>
      </c>
      <c r="CH11" s="319">
        <f>+SUM(CH4:CH10)</f>
        <v>10691</v>
      </c>
      <c r="CI11" s="699">
        <f t="shared" si="42"/>
        <v>17223</v>
      </c>
      <c r="CJ11" s="319">
        <f>+SUM(CJ4:CJ10)</f>
        <v>24945</v>
      </c>
      <c r="CK11" s="92">
        <f t="shared" si="42"/>
        <v>27914</v>
      </c>
      <c r="CL11" s="1268">
        <f t="shared" si="42"/>
        <v>52859</v>
      </c>
      <c r="CM11" s="319">
        <f>+SUM(CM4:CM10)</f>
        <v>12259</v>
      </c>
      <c r="CN11" s="319">
        <f>+SUM(CN4:CN10)</f>
        <v>13074</v>
      </c>
      <c r="CO11" s="319">
        <f>+SUM(CO4:CO10)</f>
        <v>13429</v>
      </c>
      <c r="CP11" s="699">
        <f t="shared" si="42"/>
        <v>20973</v>
      </c>
      <c r="CQ11" s="319">
        <f>+SUM(CQ4:CQ10)</f>
        <v>25333</v>
      </c>
      <c r="CR11" s="92">
        <f t="shared" si="42"/>
        <v>34402</v>
      </c>
      <c r="CS11" s="1268">
        <f t="shared" si="42"/>
        <v>59735</v>
      </c>
      <c r="CT11" s="319">
        <f>+SUM(CT4:CT10)</f>
        <v>12007</v>
      </c>
      <c r="CU11" s="319">
        <f>+SUM(CU4:CU10)</f>
        <v>16189</v>
      </c>
      <c r="CV11" s="319">
        <f>+SUM(CV4:CV10)</f>
        <v>15106</v>
      </c>
      <c r="CW11" s="699">
        <f t="shared" si="42"/>
        <v>23293</v>
      </c>
      <c r="CX11" s="319">
        <f>+SUM(CX4:CX10)</f>
        <v>28196</v>
      </c>
      <c r="CY11" s="92">
        <f t="shared" si="42"/>
        <v>38399</v>
      </c>
      <c r="CZ11" s="1268">
        <f t="shared" ref="CZ11" si="45">+SUM(CZ4:CZ10)</f>
        <v>66595</v>
      </c>
      <c r="DA11" s="319">
        <f>+SUM(DA4:DA10)</f>
        <v>13027</v>
      </c>
      <c r="DB11" s="319">
        <f>+SUM(DB4:DB10)</f>
        <v>16364</v>
      </c>
      <c r="DC11" s="319">
        <f>+SUM(DC4:DC10)</f>
        <v>15972</v>
      </c>
      <c r="DD11" s="699">
        <f t="shared" ref="DD11" si="46">+SUM(DD4:DD10)</f>
        <v>25306</v>
      </c>
      <c r="DE11" s="319">
        <f>+SUM(DE4:DE10)</f>
        <v>29391</v>
      </c>
      <c r="DF11" s="92">
        <f t="shared" ref="DF11" si="47">+SUM(DF4:DF10)</f>
        <v>41278</v>
      </c>
      <c r="DG11" s="1268">
        <f t="shared" ref="DG11" si="48">+SUM(DG4:DG10)</f>
        <v>70669</v>
      </c>
      <c r="DH11" s="92">
        <f t="shared" si="42"/>
        <v>13777</v>
      </c>
      <c r="DI11" s="319">
        <f>+SUM(DI4:DI10)</f>
        <v>16558</v>
      </c>
      <c r="DJ11" s="319">
        <f t="shared" si="42"/>
        <v>18079</v>
      </c>
      <c r="DK11" s="699">
        <f t="shared" ref="DK11" si="49">+SUM(DK4:DK10)</f>
        <v>26540</v>
      </c>
      <c r="DL11" s="319">
        <f>+SUM(DL4:DL10)</f>
        <v>30335</v>
      </c>
      <c r="DM11" s="92">
        <f t="shared" ref="DM11" si="50">+SUM(DM4:DM10)</f>
        <v>44619</v>
      </c>
      <c r="DN11" s="1268">
        <f t="shared" ref="DN11" si="51">+SUM(DN4:DN10)</f>
        <v>74954</v>
      </c>
      <c r="DO11" s="319">
        <f t="shared" ref="DO11:DU11" si="52">+SUM(DO4:DO10)</f>
        <v>12872</v>
      </c>
      <c r="DP11" s="319">
        <f>+SUM(DP4:DP10)</f>
        <v>21001</v>
      </c>
      <c r="DQ11" s="622">
        <f t="shared" si="52"/>
        <v>19890.351124942481</v>
      </c>
      <c r="DR11" s="623">
        <f t="shared" si="52"/>
        <v>28477.933438978514</v>
      </c>
      <c r="DS11" s="1874">
        <f>+SUM(DS4:DS10)</f>
        <v>33873</v>
      </c>
      <c r="DT11" s="622">
        <f t="shared" si="52"/>
        <v>48368.284563920985</v>
      </c>
      <c r="DU11" s="652">
        <f t="shared" si="52"/>
        <v>82241.284563920999</v>
      </c>
      <c r="DV11" s="622">
        <f t="shared" ref="DV11:EB11" si="53">+SUM(DV4:DV10)</f>
        <v>20646.826136844786</v>
      </c>
      <c r="DW11" s="622">
        <f t="shared" si="53"/>
        <v>22736.717246443655</v>
      </c>
      <c r="DX11" s="622">
        <f t="shared" si="53"/>
        <v>22632.192806528707</v>
      </c>
      <c r="DY11" s="623">
        <f t="shared" si="53"/>
        <v>25514.498164106219</v>
      </c>
      <c r="DZ11" s="622">
        <f t="shared" si="53"/>
        <v>43383.543383288445</v>
      </c>
      <c r="EA11" s="622">
        <f t="shared" si="53"/>
        <v>48146.690970634925</v>
      </c>
      <c r="EB11" s="652">
        <f t="shared" si="53"/>
        <v>91530.23435392337</v>
      </c>
      <c r="EC11" s="622">
        <f t="shared" ref="EC11:EI11" si="54">+SUM(EC4:EC10)</f>
        <v>22410.816498742126</v>
      </c>
      <c r="ED11" s="622">
        <f t="shared" si="54"/>
        <v>24694.287970997226</v>
      </c>
      <c r="EE11" s="622">
        <f t="shared" si="54"/>
        <v>24585.016383489619</v>
      </c>
      <c r="EF11" s="623">
        <f t="shared" si="54"/>
        <v>27964.337018026705</v>
      </c>
      <c r="EG11" s="622">
        <f t="shared" si="54"/>
        <v>47105.104469739352</v>
      </c>
      <c r="EH11" s="622">
        <f t="shared" si="54"/>
        <v>52549.353401516324</v>
      </c>
      <c r="EI11" s="652">
        <f t="shared" si="54"/>
        <v>99654.457871255683</v>
      </c>
      <c r="EJ11" s="622">
        <f t="shared" ref="EJ11:EP11" si="55">+SUM(EJ4:EJ10)</f>
        <v>24027.763164185664</v>
      </c>
      <c r="EK11" s="622">
        <f t="shared" si="55"/>
        <v>25610.036483889038</v>
      </c>
      <c r="EL11" s="622">
        <f t="shared" si="55"/>
        <v>25495.025788849645</v>
      </c>
      <c r="EM11" s="623">
        <f t="shared" si="55"/>
        <v>29016.902102364154</v>
      </c>
      <c r="EN11" s="622">
        <f t="shared" si="55"/>
        <v>49637.799648074702</v>
      </c>
      <c r="EO11" s="622">
        <f t="shared" si="55"/>
        <v>54511.927891213796</v>
      </c>
      <c r="EP11" s="652">
        <f t="shared" si="55"/>
        <v>104149.72753928851</v>
      </c>
      <c r="EQ11" s="622">
        <f t="shared" ref="EQ11:EW11" si="56">+SUM(EQ4:EQ10)</f>
        <v>24832.781788462202</v>
      </c>
      <c r="ER11" s="622">
        <f t="shared" si="56"/>
        <v>26494.412253667069</v>
      </c>
      <c r="ES11" s="622">
        <f t="shared" si="56"/>
        <v>26374.211153583819</v>
      </c>
      <c r="ET11" s="623">
        <f t="shared" si="56"/>
        <v>30037.687921498102</v>
      </c>
      <c r="EU11" s="622">
        <f t="shared" si="56"/>
        <v>51327.194042129267</v>
      </c>
      <c r="EV11" s="622">
        <f t="shared" si="56"/>
        <v>56411.899075081914</v>
      </c>
      <c r="EW11" s="652">
        <f t="shared" si="56"/>
        <v>107739.09311721117</v>
      </c>
    </row>
    <row r="12" spans="1:153" ht="10.199999999999999" customHeight="1">
      <c r="A12" s="108" t="s">
        <v>326</v>
      </c>
      <c r="B12" s="834">
        <v>-1147</v>
      </c>
      <c r="C12" s="834">
        <v>-955</v>
      </c>
      <c r="D12" s="834">
        <v>-1241</v>
      </c>
      <c r="E12" s="834">
        <v>-1620</v>
      </c>
      <c r="F12" s="834">
        <v>-1436</v>
      </c>
      <c r="G12" s="834">
        <v>-2092</v>
      </c>
      <c r="H12" s="834">
        <v>-1754</v>
      </c>
      <c r="I12" s="834">
        <v>-1799</v>
      </c>
      <c r="J12" s="834">
        <f>-1639+28</f>
        <v>-1611</v>
      </c>
      <c r="K12" s="834">
        <f>-1582+29</f>
        <v>-1553</v>
      </c>
      <c r="L12" s="834">
        <v>-1969</v>
      </c>
      <c r="M12" s="834">
        <v>-1939</v>
      </c>
      <c r="N12" s="834">
        <v>-367</v>
      </c>
      <c r="O12" s="834">
        <f>R12-N12</f>
        <v>-213</v>
      </c>
      <c r="P12" s="834">
        <f>-895-R12</f>
        <v>-315</v>
      </c>
      <c r="Q12" s="1095">
        <f>S12-P12</f>
        <v>-450</v>
      </c>
      <c r="R12" s="834">
        <v>-580</v>
      </c>
      <c r="S12" s="834">
        <f>T12-R12</f>
        <v>-765</v>
      </c>
      <c r="T12" s="1269">
        <v>-1345</v>
      </c>
      <c r="U12" s="834">
        <v>-214</v>
      </c>
      <c r="V12" s="834">
        <f>Y12-U12</f>
        <v>-332</v>
      </c>
      <c r="W12" s="834">
        <f>-780-Y12</f>
        <v>-234</v>
      </c>
      <c r="X12" s="1095">
        <f>Z12-W12</f>
        <v>-336</v>
      </c>
      <c r="Y12" s="834">
        <v>-546</v>
      </c>
      <c r="Z12" s="834">
        <f>AA12-Y12</f>
        <v>-570</v>
      </c>
      <c r="AA12" s="1269">
        <f>482-1598</f>
        <v>-1116</v>
      </c>
      <c r="AB12" s="834">
        <v>-375</v>
      </c>
      <c r="AC12" s="834">
        <f>AF12-AB12</f>
        <v>-294</v>
      </c>
      <c r="AD12" s="834">
        <f>-960-AF12</f>
        <v>-291</v>
      </c>
      <c r="AE12" s="1095">
        <f>AG12-AD12</f>
        <v>-310</v>
      </c>
      <c r="AF12" s="834">
        <f>-792+123</f>
        <v>-669</v>
      </c>
      <c r="AG12" s="834">
        <f>AH12-AF12</f>
        <v>-601</v>
      </c>
      <c r="AH12" s="1269">
        <f>296-1566</f>
        <v>-1270</v>
      </c>
      <c r="AI12" s="834">
        <v>-177</v>
      </c>
      <c r="AJ12" s="834">
        <f t="shared" ref="AJ12" si="57">AM12-AI12</f>
        <v>-256</v>
      </c>
      <c r="AK12" s="834">
        <f>-802-AM12</f>
        <v>-369</v>
      </c>
      <c r="AL12" s="1095">
        <f>AN12-AK12</f>
        <v>-360</v>
      </c>
      <c r="AM12" s="834">
        <f>-588+155</f>
        <v>-433</v>
      </c>
      <c r="AN12" s="834">
        <f>AO12-AM12</f>
        <v>-729</v>
      </c>
      <c r="AO12" s="1269">
        <f>57-1219</f>
        <v>-1162</v>
      </c>
      <c r="AP12" s="834">
        <v>-242</v>
      </c>
      <c r="AQ12" s="834">
        <f>AT12-AP12</f>
        <v>-384</v>
      </c>
      <c r="AR12" s="834">
        <v>-185</v>
      </c>
      <c r="AS12" s="1095">
        <f>AU12-AR12</f>
        <v>-634</v>
      </c>
      <c r="AT12" s="834">
        <v>-626</v>
      </c>
      <c r="AU12" s="834">
        <f>AV12-AT12</f>
        <v>-819</v>
      </c>
      <c r="AV12" s="1269">
        <v>-1445</v>
      </c>
      <c r="AW12" s="834">
        <v>-240</v>
      </c>
      <c r="AX12" s="834">
        <f>BA12-AW12</f>
        <v>-383</v>
      </c>
      <c r="AY12" s="834">
        <f>-821-BA12</f>
        <v>-198</v>
      </c>
      <c r="AZ12" s="1095">
        <f>BB12-AY12</f>
        <v>-574</v>
      </c>
      <c r="BA12" s="834">
        <v>-623</v>
      </c>
      <c r="BB12" s="834">
        <f>BC12-BA12</f>
        <v>-772</v>
      </c>
      <c r="BC12" s="1269">
        <v>-1395</v>
      </c>
      <c r="BD12" s="834">
        <v>-281</v>
      </c>
      <c r="BE12" s="834">
        <v>-335</v>
      </c>
      <c r="BF12" s="834">
        <f>-863-BH12</f>
        <v>-247</v>
      </c>
      <c r="BG12" s="1095">
        <f>BI12-BF12</f>
        <v>-397</v>
      </c>
      <c r="BH12" s="834">
        <f>BD12+BE12</f>
        <v>-616</v>
      </c>
      <c r="BI12" s="834">
        <f>BJ12-BH12</f>
        <v>-644</v>
      </c>
      <c r="BJ12" s="1269">
        <v>-1260</v>
      </c>
      <c r="BK12" s="834">
        <v>-267</v>
      </c>
      <c r="BL12" s="834">
        <v>-296</v>
      </c>
      <c r="BM12" s="834">
        <v>-259</v>
      </c>
      <c r="BN12" s="1095">
        <f>BP12-BM12</f>
        <v>-389</v>
      </c>
      <c r="BO12" s="834">
        <f>BK12+BL12</f>
        <v>-563</v>
      </c>
      <c r="BP12" s="834">
        <f>BQ12-BO12</f>
        <v>-648</v>
      </c>
      <c r="BQ12" s="1269">
        <v>-1211</v>
      </c>
      <c r="BR12" s="834">
        <v>-267</v>
      </c>
      <c r="BS12" s="834">
        <v>-296</v>
      </c>
      <c r="BT12" s="834">
        <v>-259</v>
      </c>
      <c r="BU12" s="1095">
        <f>BW12-BT12</f>
        <v>-389</v>
      </c>
      <c r="BV12" s="834">
        <f>BR12+BS12</f>
        <v>-563</v>
      </c>
      <c r="BW12" s="834">
        <f>BX12-BV12</f>
        <v>-648</v>
      </c>
      <c r="BX12" s="1269">
        <v>-1211</v>
      </c>
      <c r="BY12" s="834">
        <v>-251</v>
      </c>
      <c r="BZ12" s="834">
        <v>-218</v>
      </c>
      <c r="CA12" s="834">
        <v>-200</v>
      </c>
      <c r="CB12" s="1095">
        <f>CD12-CA12</f>
        <v>-366</v>
      </c>
      <c r="CC12" s="834">
        <f>BY12+BZ12</f>
        <v>-469</v>
      </c>
      <c r="CD12" s="834">
        <f>CE12-CC12</f>
        <v>-566</v>
      </c>
      <c r="CE12" s="1269">
        <v>-1035</v>
      </c>
      <c r="CF12" s="834">
        <v>-104</v>
      </c>
      <c r="CG12" s="834">
        <f>CJ12-CF12</f>
        <v>-204</v>
      </c>
      <c r="CH12" s="834">
        <v>-173</v>
      </c>
      <c r="CI12" s="1095">
        <f>CK12-CH12</f>
        <v>-229</v>
      </c>
      <c r="CJ12" s="834">
        <v>-308</v>
      </c>
      <c r="CK12" s="834">
        <f>CL12-CJ12</f>
        <v>-402</v>
      </c>
      <c r="CL12" s="1269">
        <v>-710</v>
      </c>
      <c r="CM12" s="834">
        <v>-259</v>
      </c>
      <c r="CN12" s="834">
        <v>-264</v>
      </c>
      <c r="CO12" s="834">
        <v>-120</v>
      </c>
      <c r="CP12" s="1095">
        <f>CR12-CO12</f>
        <v>-329</v>
      </c>
      <c r="CQ12" s="834">
        <f t="shared" ref="CQ12" si="58">+CM12+CN12</f>
        <v>-523</v>
      </c>
      <c r="CR12" s="834">
        <f>CS12-CQ12</f>
        <v>-449</v>
      </c>
      <c r="CS12" s="1269">
        <v>-972</v>
      </c>
      <c r="CT12" s="834">
        <v>-244</v>
      </c>
      <c r="CU12" s="834">
        <f>CX12-CT12</f>
        <v>-289</v>
      </c>
      <c r="CV12" s="834">
        <v>-209</v>
      </c>
      <c r="CW12" s="1095">
        <f>CY12-CV12</f>
        <v>-407</v>
      </c>
      <c r="CX12" s="834">
        <v>-533</v>
      </c>
      <c r="CY12" s="834">
        <f>CZ12-CX12</f>
        <v>-616</v>
      </c>
      <c r="CZ12" s="1269">
        <v>-1149</v>
      </c>
      <c r="DA12" s="834">
        <v>-197</v>
      </c>
      <c r="DB12" s="834">
        <f>DE12-DA12</f>
        <v>-369</v>
      </c>
      <c r="DC12" s="834">
        <v>-283</v>
      </c>
      <c r="DD12" s="1095">
        <f>DF12-DC12</f>
        <v>-590</v>
      </c>
      <c r="DE12" s="834">
        <v>-566</v>
      </c>
      <c r="DF12" s="834">
        <f>DG12-DE12</f>
        <v>-873</v>
      </c>
      <c r="DG12" s="1269">
        <v>-1439</v>
      </c>
      <c r="DH12" s="834">
        <v>-235</v>
      </c>
      <c r="DI12" s="834">
        <f>DL12-DH12</f>
        <v>-490</v>
      </c>
      <c r="DJ12" s="834">
        <v>-253</v>
      </c>
      <c r="DK12" s="1095">
        <f>DM12-DJ12</f>
        <v>-556</v>
      </c>
      <c r="DL12" s="2081">
        <v>-725</v>
      </c>
      <c r="DM12" s="834">
        <f>DN12-DL12</f>
        <v>-809</v>
      </c>
      <c r="DN12" s="1269">
        <v>-1534</v>
      </c>
      <c r="DO12" s="834">
        <v>-221</v>
      </c>
      <c r="DP12" s="834">
        <f>DS12-DO12</f>
        <v>-476</v>
      </c>
      <c r="DQ12" s="860">
        <f>DT12/2</f>
        <v>-493.07036663189956</v>
      </c>
      <c r="DR12" s="1109">
        <f>DT12-DQ12</f>
        <v>-493.07036663189956</v>
      </c>
      <c r="DS12" s="1892">
        <v>-697</v>
      </c>
      <c r="DT12" s="860">
        <f>DU12-DS12</f>
        <v>-986.14073326379912</v>
      </c>
      <c r="DU12" s="1119">
        <f>DN12*(1+((DU11/DN11)-1))</f>
        <v>-1683.1407332637991</v>
      </c>
      <c r="DV12" s="860">
        <f>DZ12/2</f>
        <v>-468.31182958520702</v>
      </c>
      <c r="DW12" s="860">
        <f>DZ12-DV12</f>
        <v>-468.31182958520702</v>
      </c>
      <c r="DX12" s="860">
        <f>EA12/2</f>
        <v>-468.31182958520702</v>
      </c>
      <c r="DY12" s="1109">
        <f>EA12-DX12</f>
        <v>-468.31182958520702</v>
      </c>
      <c r="DZ12" s="860">
        <f>EB12/2</f>
        <v>-936.62365917041404</v>
      </c>
      <c r="EA12" s="860">
        <f>EB12-DZ12</f>
        <v>-936.62365917041404</v>
      </c>
      <c r="EB12" s="1119">
        <f>DU12*(1+((EB11/DU11)-1))</f>
        <v>-1873.2473183408281</v>
      </c>
      <c r="EC12" s="860">
        <f>EG12/2</f>
        <v>-509.87918714980583</v>
      </c>
      <c r="ED12" s="860">
        <f>EG12-EC12</f>
        <v>-509.87918714980583</v>
      </c>
      <c r="EE12" s="860">
        <f>EH12/2</f>
        <v>-509.87918714980583</v>
      </c>
      <c r="EF12" s="1109">
        <f>EH12-EE12</f>
        <v>-509.87918714980583</v>
      </c>
      <c r="EG12" s="860">
        <f>EI12/2</f>
        <v>-1019.7583742996117</v>
      </c>
      <c r="EH12" s="860">
        <f>EI12-EG12</f>
        <v>-1019.7583742996117</v>
      </c>
      <c r="EI12" s="1119">
        <f>EB12*(1+((EI11/EB11)-1))</f>
        <v>-2039.5167485992233</v>
      </c>
      <c r="EJ12" s="860">
        <f>EN12/2</f>
        <v>-532.87910600257669</v>
      </c>
      <c r="EK12" s="860">
        <f>EN12-EJ12</f>
        <v>-532.87910600257669</v>
      </c>
      <c r="EL12" s="860">
        <f>EO12/2</f>
        <v>-532.87910600257669</v>
      </c>
      <c r="EM12" s="1109">
        <f>EO12-EL12</f>
        <v>-532.87910600257669</v>
      </c>
      <c r="EN12" s="860">
        <f>EP12/2</f>
        <v>-1065.7582120051534</v>
      </c>
      <c r="EO12" s="860">
        <f>EP12-EN12</f>
        <v>-1065.7582120051534</v>
      </c>
      <c r="EP12" s="1119">
        <f>EI12*(1+((EP11/EI11)-1))</f>
        <v>-2131.5164240103068</v>
      </c>
      <c r="EQ12" s="860">
        <f>EU12/2</f>
        <v>-551.24399245471193</v>
      </c>
      <c r="ER12" s="860">
        <f>EU12-EQ12</f>
        <v>-551.24399245471193</v>
      </c>
      <c r="ES12" s="860">
        <f>EV12/2</f>
        <v>-551.24399245471193</v>
      </c>
      <c r="ET12" s="1109">
        <f>EV12-ES12</f>
        <v>-551.24399245471193</v>
      </c>
      <c r="EU12" s="860">
        <f>EW12/2</f>
        <v>-1102.4879849094239</v>
      </c>
      <c r="EV12" s="860">
        <f>EW12-EU12</f>
        <v>-1102.4879849094239</v>
      </c>
      <c r="EW12" s="1119">
        <f>EP12*(1+((EW11/EP11)-1))</f>
        <v>-2204.9759698188477</v>
      </c>
    </row>
    <row r="13" spans="1:153" ht="10.199999999999999" customHeight="1">
      <c r="A13" s="48" t="s">
        <v>164</v>
      </c>
      <c r="B13" s="319">
        <f t="shared" ref="B13:AS13" si="59">+B11+B12</f>
        <v>30798</v>
      </c>
      <c r="C13" s="319">
        <f t="shared" si="59"/>
        <v>29901</v>
      </c>
      <c r="D13" s="319">
        <f t="shared" si="59"/>
        <v>30133</v>
      </c>
      <c r="E13" s="319">
        <f t="shared" si="59"/>
        <v>31761</v>
      </c>
      <c r="F13" s="319">
        <f t="shared" si="59"/>
        <v>34206</v>
      </c>
      <c r="G13" s="319">
        <f t="shared" si="59"/>
        <v>39434</v>
      </c>
      <c r="H13" s="319">
        <f t="shared" si="59"/>
        <v>39123</v>
      </c>
      <c r="I13" s="319">
        <f t="shared" si="59"/>
        <v>43265</v>
      </c>
      <c r="J13" s="319">
        <f t="shared" si="59"/>
        <v>42822</v>
      </c>
      <c r="K13" s="319">
        <f t="shared" si="59"/>
        <v>45752</v>
      </c>
      <c r="L13" s="319">
        <f t="shared" si="59"/>
        <v>49128</v>
      </c>
      <c r="M13" s="319">
        <f t="shared" si="59"/>
        <v>56480</v>
      </c>
      <c r="N13" s="319">
        <f t="shared" ref="N13:S13" si="60">+N11+N12</f>
        <v>12094</v>
      </c>
      <c r="O13" s="319">
        <f t="shared" si="60"/>
        <v>13576</v>
      </c>
      <c r="P13" s="319">
        <f t="shared" si="60"/>
        <v>13277</v>
      </c>
      <c r="Q13" s="760">
        <f t="shared" si="60"/>
        <v>18620</v>
      </c>
      <c r="R13" s="319">
        <f t="shared" si="60"/>
        <v>25670</v>
      </c>
      <c r="S13" s="319">
        <f t="shared" si="60"/>
        <v>31897</v>
      </c>
      <c r="T13" s="1268">
        <f t="shared" si="59"/>
        <v>57567</v>
      </c>
      <c r="U13" s="319">
        <f t="shared" si="59"/>
        <v>12648</v>
      </c>
      <c r="V13" s="319">
        <f t="shared" si="59"/>
        <v>14552</v>
      </c>
      <c r="W13" s="319">
        <f t="shared" si="59"/>
        <v>13297</v>
      </c>
      <c r="X13" s="760">
        <f t="shared" si="59"/>
        <v>20216</v>
      </c>
      <c r="Y13" s="319">
        <f t="shared" si="59"/>
        <v>27200</v>
      </c>
      <c r="Z13" s="319">
        <f t="shared" si="59"/>
        <v>33513</v>
      </c>
      <c r="AA13" s="1268">
        <f>+AA11+AA12</f>
        <v>60713</v>
      </c>
      <c r="AB13" s="319">
        <f t="shared" ref="AB13:AG13" si="61">+AB11+AB12</f>
        <v>12078</v>
      </c>
      <c r="AC13" s="319">
        <f t="shared" si="61"/>
        <v>16815</v>
      </c>
      <c r="AD13" s="319">
        <f t="shared" si="61"/>
        <v>14072</v>
      </c>
      <c r="AE13" s="760">
        <f t="shared" si="61"/>
        <v>21485</v>
      </c>
      <c r="AF13" s="319">
        <f t="shared" si="61"/>
        <v>28893</v>
      </c>
      <c r="AG13" s="319">
        <f t="shared" si="61"/>
        <v>35557</v>
      </c>
      <c r="AH13" s="1268">
        <f t="shared" si="59"/>
        <v>64450</v>
      </c>
      <c r="AI13" s="319">
        <f t="shared" si="59"/>
        <v>12183</v>
      </c>
      <c r="AJ13" s="319">
        <f t="shared" si="59"/>
        <v>16572</v>
      </c>
      <c r="AK13" s="319">
        <f t="shared" si="59"/>
        <v>13950</v>
      </c>
      <c r="AL13" s="760">
        <f t="shared" si="59"/>
        <v>23876</v>
      </c>
      <c r="AM13" s="319">
        <f t="shared" si="59"/>
        <v>28755</v>
      </c>
      <c r="AN13" s="319">
        <f t="shared" si="59"/>
        <v>37826</v>
      </c>
      <c r="AO13" s="1268">
        <f t="shared" si="59"/>
        <v>66581</v>
      </c>
      <c r="AP13" s="319">
        <f t="shared" si="59"/>
        <v>12988</v>
      </c>
      <c r="AQ13" s="319">
        <f t="shared" si="59"/>
        <v>15721</v>
      </c>
      <c r="AR13" s="319">
        <f t="shared" si="59"/>
        <v>14244</v>
      </c>
      <c r="AS13" s="760">
        <f t="shared" si="59"/>
        <v>23814</v>
      </c>
      <c r="AT13" s="319">
        <f t="shared" ref="AT13:AU13" si="62">+AT11+AT12</f>
        <v>28709</v>
      </c>
      <c r="AU13" s="319">
        <f t="shared" si="62"/>
        <v>38058</v>
      </c>
      <c r="AV13" s="1268">
        <f t="shared" ref="AV13:DN13" si="63">+AV11+AV12</f>
        <v>66767</v>
      </c>
      <c r="AW13" s="319">
        <f t="shared" si="63"/>
        <v>11442</v>
      </c>
      <c r="AX13" s="319">
        <f t="shared" si="63"/>
        <v>13733</v>
      </c>
      <c r="AY13" s="319">
        <f t="shared" si="63"/>
        <v>12832</v>
      </c>
      <c r="AZ13" s="760">
        <f t="shared" si="63"/>
        <v>21015</v>
      </c>
      <c r="BA13" s="319">
        <f t="shared" si="63"/>
        <v>25175</v>
      </c>
      <c r="BB13" s="319">
        <f t="shared" si="63"/>
        <v>33847</v>
      </c>
      <c r="BC13" s="1268">
        <f>+BC11+BC12</f>
        <v>59022</v>
      </c>
      <c r="BD13" s="319">
        <f t="shared" si="63"/>
        <v>10119</v>
      </c>
      <c r="BE13" s="319">
        <f t="shared" si="63"/>
        <v>14851</v>
      </c>
      <c r="BF13" s="319">
        <f t="shared" si="63"/>
        <v>15451</v>
      </c>
      <c r="BG13" s="760">
        <f t="shared" si="63"/>
        <v>23286</v>
      </c>
      <c r="BH13" s="319">
        <f t="shared" si="63"/>
        <v>24970</v>
      </c>
      <c r="BI13" s="319">
        <f t="shared" si="63"/>
        <v>38737</v>
      </c>
      <c r="BJ13" s="1268">
        <f t="shared" si="63"/>
        <v>63707</v>
      </c>
      <c r="BK13" s="319">
        <f>+BK11+BK12</f>
        <v>12549</v>
      </c>
      <c r="BL13" s="319">
        <f>+BL11+BL12</f>
        <v>18317</v>
      </c>
      <c r="BM13" s="319">
        <f>+BM11+BM12</f>
        <v>15302</v>
      </c>
      <c r="BN13" s="699">
        <f t="shared" ref="BN13" si="64">+BN11+BN12</f>
        <v>24310</v>
      </c>
      <c r="BO13" s="319">
        <f>+BO11+BO12</f>
        <v>30866</v>
      </c>
      <c r="BP13" s="92">
        <f t="shared" ref="BP13" si="65">+BP11+BP12</f>
        <v>39612</v>
      </c>
      <c r="BQ13" s="1268">
        <f t="shared" si="63"/>
        <v>70478</v>
      </c>
      <c r="BR13" s="319">
        <f>+BR11+BR12</f>
        <v>12549</v>
      </c>
      <c r="BS13" s="319">
        <f>+BS11+BS12</f>
        <v>18317</v>
      </c>
      <c r="BT13" s="319">
        <f>+BT11+BT12</f>
        <v>15302</v>
      </c>
      <c r="BU13" s="699">
        <f t="shared" si="63"/>
        <v>24310</v>
      </c>
      <c r="BV13" s="319">
        <f>+BV11+BV12</f>
        <v>30866</v>
      </c>
      <c r="BW13" s="92">
        <f t="shared" si="63"/>
        <v>39612</v>
      </c>
      <c r="BX13" s="1268">
        <f t="shared" si="63"/>
        <v>70478</v>
      </c>
      <c r="BY13" s="319">
        <f>+BY11+BY12</f>
        <v>10631</v>
      </c>
      <c r="BZ13" s="319">
        <f>+BZ11+BZ12</f>
        <v>8317</v>
      </c>
      <c r="CA13" s="319">
        <f>+CA11+CA12</f>
        <v>11213</v>
      </c>
      <c r="CB13" s="699">
        <f t="shared" si="63"/>
        <v>19751</v>
      </c>
      <c r="CC13" s="319">
        <f>+CC11+CC12</f>
        <v>18948</v>
      </c>
      <c r="CD13" s="92">
        <f t="shared" si="63"/>
        <v>30964</v>
      </c>
      <c r="CE13" s="1268">
        <f t="shared" si="63"/>
        <v>49912</v>
      </c>
      <c r="CF13" s="319">
        <f>+CF11+CF12</f>
        <v>10460</v>
      </c>
      <c r="CG13" s="319">
        <f>+CG11+CG12</f>
        <v>14177</v>
      </c>
      <c r="CH13" s="319">
        <f>+CH11+CH12</f>
        <v>10518</v>
      </c>
      <c r="CI13" s="699">
        <f t="shared" si="63"/>
        <v>16994</v>
      </c>
      <c r="CJ13" s="319">
        <f>+CJ11+CJ12</f>
        <v>24637</v>
      </c>
      <c r="CK13" s="92">
        <f t="shared" si="63"/>
        <v>27512</v>
      </c>
      <c r="CL13" s="1268">
        <f t="shared" si="63"/>
        <v>52149</v>
      </c>
      <c r="CM13" s="319">
        <f>+CM11+CM12</f>
        <v>12000</v>
      </c>
      <c r="CN13" s="319">
        <f>+CN11+CN12</f>
        <v>12810</v>
      </c>
      <c r="CO13" s="319">
        <f>+CO11+CO12</f>
        <v>13309</v>
      </c>
      <c r="CP13" s="699">
        <f t="shared" si="63"/>
        <v>20644</v>
      </c>
      <c r="CQ13" s="319">
        <f>+CQ11+CQ12</f>
        <v>24810</v>
      </c>
      <c r="CR13" s="92">
        <f t="shared" si="63"/>
        <v>33953</v>
      </c>
      <c r="CS13" s="1268">
        <f t="shared" si="63"/>
        <v>58763</v>
      </c>
      <c r="CT13" s="319">
        <f>+CT11+CT12</f>
        <v>11763</v>
      </c>
      <c r="CU13" s="319">
        <f>+CU11+CU12</f>
        <v>15900</v>
      </c>
      <c r="CV13" s="319">
        <f>+CV11+CV12</f>
        <v>14897</v>
      </c>
      <c r="CW13" s="699">
        <f t="shared" si="63"/>
        <v>22886</v>
      </c>
      <c r="CX13" s="319">
        <f>+CX11+CX12</f>
        <v>27663</v>
      </c>
      <c r="CY13" s="92">
        <f t="shared" si="63"/>
        <v>37783</v>
      </c>
      <c r="CZ13" s="1268">
        <f t="shared" ref="CZ13" si="66">+CZ11+CZ12</f>
        <v>65446</v>
      </c>
      <c r="DA13" s="319">
        <f>+DA11+DA12</f>
        <v>12830</v>
      </c>
      <c r="DB13" s="319">
        <f>+DB11+DB12</f>
        <v>15995</v>
      </c>
      <c r="DC13" s="319">
        <f>+DC11+DC12</f>
        <v>15689</v>
      </c>
      <c r="DD13" s="699">
        <f t="shared" ref="DD13" si="67">+DD11+DD12</f>
        <v>24716</v>
      </c>
      <c r="DE13" s="319">
        <f>+DE11+DE12</f>
        <v>28825</v>
      </c>
      <c r="DF13" s="92">
        <f t="shared" ref="DF13" si="68">+DF11+DF12</f>
        <v>40405</v>
      </c>
      <c r="DG13" s="1268">
        <f t="shared" ref="DG13" si="69">+DG11+DG12</f>
        <v>69230</v>
      </c>
      <c r="DH13" s="92">
        <f t="shared" si="63"/>
        <v>13542</v>
      </c>
      <c r="DI13" s="319">
        <f>+DI11+DI12</f>
        <v>16068</v>
      </c>
      <c r="DJ13" s="319">
        <f t="shared" si="63"/>
        <v>17826</v>
      </c>
      <c r="DK13" s="699">
        <f t="shared" si="63"/>
        <v>25984</v>
      </c>
      <c r="DL13" s="319">
        <f>+DL11+DL12</f>
        <v>29610</v>
      </c>
      <c r="DM13" s="92">
        <f t="shared" ref="DM13" si="70">+DM11+DM12</f>
        <v>43810</v>
      </c>
      <c r="DN13" s="1268">
        <f t="shared" si="63"/>
        <v>73420</v>
      </c>
      <c r="DO13" s="319">
        <f t="shared" ref="DO13:DU13" si="71">+DO11+DO12</f>
        <v>12651</v>
      </c>
      <c r="DP13" s="319">
        <f>+DP11+DP12</f>
        <v>20525</v>
      </c>
      <c r="DQ13" s="622">
        <f t="shared" si="71"/>
        <v>19397.280758310582</v>
      </c>
      <c r="DR13" s="623">
        <f t="shared" si="71"/>
        <v>27984.863072346616</v>
      </c>
      <c r="DS13" s="1874">
        <f>+DS11+DS12</f>
        <v>33176</v>
      </c>
      <c r="DT13" s="622">
        <f t="shared" si="71"/>
        <v>47382.143830657187</v>
      </c>
      <c r="DU13" s="652">
        <f t="shared" si="71"/>
        <v>80558.143830657194</v>
      </c>
      <c r="DV13" s="622">
        <f t="shared" ref="DV13:EB13" si="72">+DV11+DV12</f>
        <v>20178.514307259578</v>
      </c>
      <c r="DW13" s="622">
        <f t="shared" si="72"/>
        <v>22268.405416858448</v>
      </c>
      <c r="DX13" s="622">
        <f t="shared" si="72"/>
        <v>22163.880976943499</v>
      </c>
      <c r="DY13" s="623">
        <f t="shared" si="72"/>
        <v>25046.186334521011</v>
      </c>
      <c r="DZ13" s="622">
        <f t="shared" si="72"/>
        <v>42446.91972411803</v>
      </c>
      <c r="EA13" s="622">
        <f t="shared" si="72"/>
        <v>47210.067311464511</v>
      </c>
      <c r="EB13" s="652">
        <f t="shared" si="72"/>
        <v>89656.987035582541</v>
      </c>
      <c r="EC13" s="622">
        <f t="shared" ref="EC13:EI13" si="73">+EC11+EC12</f>
        <v>21900.937311592319</v>
      </c>
      <c r="ED13" s="622">
        <f t="shared" si="73"/>
        <v>24184.408783847419</v>
      </c>
      <c r="EE13" s="622">
        <f t="shared" si="73"/>
        <v>24075.137196339812</v>
      </c>
      <c r="EF13" s="623">
        <f t="shared" si="73"/>
        <v>27454.457830876898</v>
      </c>
      <c r="EG13" s="622">
        <f t="shared" si="73"/>
        <v>46085.346095439738</v>
      </c>
      <c r="EH13" s="622">
        <f t="shared" si="73"/>
        <v>51529.59502721671</v>
      </c>
      <c r="EI13" s="652">
        <f t="shared" si="73"/>
        <v>97614.941122656455</v>
      </c>
      <c r="EJ13" s="622">
        <f t="shared" ref="EJ13:EP13" si="74">+EJ11+EJ12</f>
        <v>23494.884058183088</v>
      </c>
      <c r="EK13" s="622">
        <f t="shared" si="74"/>
        <v>25077.157377886462</v>
      </c>
      <c r="EL13" s="622">
        <f t="shared" si="74"/>
        <v>24962.146682847069</v>
      </c>
      <c r="EM13" s="623">
        <f t="shared" si="74"/>
        <v>28484.022996361578</v>
      </c>
      <c r="EN13" s="622">
        <f t="shared" si="74"/>
        <v>48572.04143606955</v>
      </c>
      <c r="EO13" s="622">
        <f t="shared" si="74"/>
        <v>53446.169679208644</v>
      </c>
      <c r="EP13" s="652">
        <f t="shared" si="74"/>
        <v>102018.2111152782</v>
      </c>
      <c r="EQ13" s="622">
        <f t="shared" ref="EQ13:EW13" si="75">+EQ11+EQ12</f>
        <v>24281.537796007491</v>
      </c>
      <c r="ER13" s="622">
        <f t="shared" si="75"/>
        <v>25943.168261212359</v>
      </c>
      <c r="ES13" s="622">
        <f t="shared" si="75"/>
        <v>25822.967161129109</v>
      </c>
      <c r="ET13" s="623">
        <f t="shared" si="75"/>
        <v>29486.443929043391</v>
      </c>
      <c r="EU13" s="622">
        <f t="shared" si="75"/>
        <v>50224.706057219846</v>
      </c>
      <c r="EV13" s="622">
        <f t="shared" si="75"/>
        <v>55309.411090172493</v>
      </c>
      <c r="EW13" s="652">
        <f t="shared" si="75"/>
        <v>105534.11714739233</v>
      </c>
    </row>
    <row r="14" spans="1:153" ht="10.199999999999999" customHeight="1">
      <c r="A14" s="108"/>
      <c r="B14" s="1068"/>
      <c r="C14" s="1068"/>
      <c r="D14" s="1068"/>
      <c r="E14" s="1068"/>
      <c r="F14" s="1068"/>
      <c r="G14" s="1068"/>
      <c r="H14" s="1068"/>
      <c r="I14" s="1068"/>
      <c r="J14" s="1068"/>
      <c r="K14" s="1068"/>
      <c r="L14" s="1068"/>
      <c r="M14" s="1068"/>
      <c r="N14" s="1069"/>
      <c r="O14" s="1069"/>
      <c r="P14" s="1069"/>
      <c r="Q14" s="1096"/>
      <c r="R14" s="1069"/>
      <c r="S14" s="1069"/>
      <c r="T14" s="1080"/>
      <c r="U14" s="1069"/>
      <c r="V14" s="1069"/>
      <c r="W14" s="1069"/>
      <c r="X14" s="1096"/>
      <c r="Y14" s="1069"/>
      <c r="Z14" s="1069"/>
      <c r="AA14" s="1080"/>
      <c r="AB14" s="1069"/>
      <c r="AC14" s="1069"/>
      <c r="AD14" s="1069"/>
      <c r="AE14" s="1096"/>
      <c r="AF14" s="1069"/>
      <c r="AG14" s="1069"/>
      <c r="AH14" s="1080"/>
      <c r="AI14" s="1069"/>
      <c r="AJ14" s="1069"/>
      <c r="AK14" s="1069"/>
      <c r="AL14" s="1096"/>
      <c r="AM14" s="1069"/>
      <c r="AN14" s="1069"/>
      <c r="AO14" s="1080"/>
      <c r="AP14" s="1069"/>
      <c r="AQ14" s="1069"/>
      <c r="AR14" s="1069"/>
      <c r="AS14" s="1096"/>
      <c r="AT14" s="1069"/>
      <c r="AU14" s="1069"/>
      <c r="AV14" s="1080"/>
      <c r="AW14" s="1069"/>
      <c r="AX14" s="1069"/>
      <c r="AY14" s="1069"/>
      <c r="AZ14" s="1096"/>
      <c r="BA14" s="1069"/>
      <c r="BB14" s="1069"/>
      <c r="BC14" s="1080"/>
      <c r="BD14" s="1069"/>
      <c r="BE14" s="1069"/>
      <c r="BF14" s="1069"/>
      <c r="BG14" s="1096"/>
      <c r="BH14" s="1069"/>
      <c r="BI14" s="1069"/>
      <c r="BJ14" s="1080"/>
      <c r="BK14" s="1069"/>
      <c r="BL14" s="1069"/>
      <c r="BM14" s="1069"/>
      <c r="BN14" s="1096"/>
      <c r="BO14" s="1069"/>
      <c r="BP14" s="1069"/>
      <c r="BQ14" s="1080"/>
      <c r="BR14" s="1069"/>
      <c r="BS14" s="1069"/>
      <c r="BT14" s="1069"/>
      <c r="BU14" s="1096"/>
      <c r="BV14" s="1069"/>
      <c r="BW14" s="1069"/>
      <c r="BX14" s="1080"/>
      <c r="BY14" s="1069"/>
      <c r="BZ14" s="1069"/>
      <c r="CA14" s="1069"/>
      <c r="CB14" s="1096"/>
      <c r="CC14" s="1069"/>
      <c r="CD14" s="1069"/>
      <c r="CE14" s="1080"/>
      <c r="CF14" s="1069"/>
      <c r="CG14" s="1069"/>
      <c r="CH14" s="1069"/>
      <c r="CI14" s="1096"/>
      <c r="CJ14" s="1069"/>
      <c r="CK14" s="1069"/>
      <c r="CL14" s="1080"/>
      <c r="CM14" s="1069"/>
      <c r="CN14" s="1069"/>
      <c r="CO14" s="1069"/>
      <c r="CP14" s="1096"/>
      <c r="CQ14" s="1069"/>
      <c r="CR14" s="1069"/>
      <c r="CS14" s="1080"/>
      <c r="CT14" s="1069"/>
      <c r="CU14" s="1069"/>
      <c r="CV14" s="1069"/>
      <c r="CW14" s="1096"/>
      <c r="CX14" s="1069"/>
      <c r="CY14" s="1069"/>
      <c r="CZ14" s="1080"/>
      <c r="DA14" s="1069"/>
      <c r="DB14" s="1069"/>
      <c r="DC14" s="1069"/>
      <c r="DD14" s="1096"/>
      <c r="DE14" s="1069"/>
      <c r="DF14" s="1069"/>
      <c r="DG14" s="1080"/>
      <c r="DH14" s="1069"/>
      <c r="DI14" s="1069"/>
      <c r="DJ14" s="1069"/>
      <c r="DK14" s="1096"/>
      <c r="DL14" s="1069"/>
      <c r="DM14" s="1069"/>
      <c r="DN14" s="1844"/>
      <c r="DO14" s="1069"/>
      <c r="DP14" s="1069"/>
      <c r="DQ14" s="1069"/>
      <c r="DR14" s="1096"/>
      <c r="DS14" s="2021"/>
      <c r="DT14" s="1069"/>
      <c r="DU14" s="1080"/>
      <c r="DV14" s="1069"/>
      <c r="DW14" s="1069"/>
      <c r="DX14" s="1069"/>
      <c r="DY14" s="1096"/>
      <c r="DZ14" s="1069"/>
      <c r="EA14" s="1069"/>
      <c r="EB14" s="1080"/>
      <c r="EC14" s="1069"/>
      <c r="ED14" s="1069"/>
      <c r="EE14" s="1069"/>
      <c r="EF14" s="1096"/>
      <c r="EG14" s="1069"/>
      <c r="EH14" s="1069"/>
      <c r="EI14" s="1080"/>
      <c r="EJ14" s="1069"/>
      <c r="EK14" s="1069"/>
      <c r="EL14" s="1069"/>
      <c r="EM14" s="1096"/>
      <c r="EN14" s="1069"/>
      <c r="EO14" s="1069"/>
      <c r="EP14" s="1080"/>
      <c r="EQ14" s="1069"/>
      <c r="ER14" s="1069"/>
      <c r="ES14" s="1069"/>
      <c r="ET14" s="1096"/>
      <c r="EU14" s="1069"/>
      <c r="EV14" s="1069"/>
      <c r="EW14" s="1080"/>
    </row>
    <row r="15" spans="1:153" ht="10.199999999999999" customHeight="1">
      <c r="A15" s="48" t="s">
        <v>165</v>
      </c>
      <c r="B15" s="812"/>
      <c r="C15" s="812"/>
      <c r="D15" s="812"/>
      <c r="E15" s="812"/>
      <c r="F15" s="812"/>
      <c r="G15" s="812"/>
      <c r="H15" s="812"/>
      <c r="I15" s="812"/>
      <c r="J15" s="812"/>
      <c r="K15" s="812"/>
      <c r="L15" s="812"/>
      <c r="M15" s="812"/>
      <c r="N15" s="1067"/>
      <c r="O15" s="1067"/>
      <c r="P15" s="1067"/>
      <c r="Q15" s="1097"/>
      <c r="R15" s="1067"/>
      <c r="S15" s="1067"/>
      <c r="T15" s="343"/>
      <c r="U15" s="1067"/>
      <c r="V15" s="1067"/>
      <c r="W15" s="1067"/>
      <c r="X15" s="1097"/>
      <c r="Y15" s="1067"/>
      <c r="Z15" s="1067"/>
      <c r="AA15" s="343"/>
      <c r="AB15" s="1067"/>
      <c r="AC15" s="1067"/>
      <c r="AD15" s="1067"/>
      <c r="AE15" s="1097"/>
      <c r="AF15" s="1067"/>
      <c r="AG15" s="1067"/>
      <c r="AH15" s="343"/>
      <c r="AI15" s="1067"/>
      <c r="AJ15" s="1067"/>
      <c r="AK15" s="1067"/>
      <c r="AL15" s="1097"/>
      <c r="AM15" s="1067"/>
      <c r="AN15" s="1067"/>
      <c r="AO15" s="343"/>
      <c r="AP15" s="1067"/>
      <c r="AQ15" s="1067"/>
      <c r="AR15" s="1067"/>
      <c r="AS15" s="1097"/>
      <c r="AT15" s="1067"/>
      <c r="AU15" s="1067"/>
      <c r="AV15" s="343"/>
      <c r="AW15" s="1067"/>
      <c r="AX15" s="1067"/>
      <c r="AY15" s="1067"/>
      <c r="AZ15" s="1097"/>
      <c r="BA15" s="1067"/>
      <c r="BB15" s="1067"/>
      <c r="BC15" s="343"/>
      <c r="BD15" s="1067"/>
      <c r="BE15" s="1067"/>
      <c r="BF15" s="1067"/>
      <c r="BG15" s="1097"/>
      <c r="BH15" s="1067"/>
      <c r="BI15" s="1067"/>
      <c r="BJ15" s="343"/>
      <c r="BK15" s="1067"/>
      <c r="BL15" s="1067"/>
      <c r="BM15" s="1067"/>
      <c r="BN15" s="1097"/>
      <c r="BO15" s="1067"/>
      <c r="BP15" s="1067"/>
      <c r="BQ15" s="343"/>
      <c r="BR15" s="1067"/>
      <c r="BS15" s="1067"/>
      <c r="BT15" s="1067"/>
      <c r="BU15" s="1097"/>
      <c r="BV15" s="1067"/>
      <c r="BW15" s="1067"/>
      <c r="BX15" s="343"/>
      <c r="BY15" s="1067"/>
      <c r="BZ15" s="1067"/>
      <c r="CA15" s="1067"/>
      <c r="CB15" s="1097"/>
      <c r="CC15" s="1067"/>
      <c r="CD15" s="1067"/>
      <c r="CE15" s="343"/>
      <c r="CF15" s="1067"/>
      <c r="CG15" s="1067"/>
      <c r="CH15" s="1067"/>
      <c r="CI15" s="1097"/>
      <c r="CJ15" s="1067"/>
      <c r="CK15" s="1067"/>
      <c r="CL15" s="343"/>
      <c r="CM15" s="1067"/>
      <c r="CN15" s="1067"/>
      <c r="CO15" s="1067"/>
      <c r="CP15" s="1097"/>
      <c r="CQ15" s="1067"/>
      <c r="CR15" s="1067"/>
      <c r="CS15" s="343"/>
      <c r="CT15" s="1067"/>
      <c r="CU15" s="1067"/>
      <c r="CV15" s="1067"/>
      <c r="CW15" s="1097"/>
      <c r="CX15" s="1067"/>
      <c r="CY15" s="1067"/>
      <c r="CZ15" s="343"/>
      <c r="DA15" s="1067"/>
      <c r="DB15" s="1067"/>
      <c r="DC15" s="1067"/>
      <c r="DD15" s="1097"/>
      <c r="DE15" s="1067"/>
      <c r="DF15" s="1067"/>
      <c r="DG15" s="343"/>
      <c r="DH15" s="1067"/>
      <c r="DI15" s="1067"/>
      <c r="DJ15" s="1067"/>
      <c r="DK15" s="1097"/>
      <c r="DL15" s="1067"/>
      <c r="DM15" s="1067"/>
      <c r="DN15" s="1084"/>
      <c r="DO15" s="1067"/>
      <c r="DP15" s="1067"/>
      <c r="DQ15" s="1067"/>
      <c r="DR15" s="1097"/>
      <c r="DS15" s="1205"/>
      <c r="DT15" s="1067"/>
      <c r="DU15" s="343"/>
      <c r="DV15" s="1067"/>
      <c r="DW15" s="1067"/>
      <c r="DX15" s="1067"/>
      <c r="DY15" s="1097"/>
      <c r="DZ15" s="1067"/>
      <c r="EA15" s="1067"/>
      <c r="EB15" s="343"/>
      <c r="EC15" s="1067"/>
      <c r="ED15" s="1067"/>
      <c r="EE15" s="1067"/>
      <c r="EF15" s="1097"/>
      <c r="EG15" s="1067"/>
      <c r="EH15" s="1067"/>
      <c r="EI15" s="343"/>
      <c r="EJ15" s="1067"/>
      <c r="EK15" s="1067"/>
      <c r="EL15" s="1067"/>
      <c r="EM15" s="1097"/>
      <c r="EN15" s="1067"/>
      <c r="EO15" s="1067"/>
      <c r="EP15" s="343"/>
      <c r="EQ15" s="1067"/>
      <c r="ER15" s="1067"/>
      <c r="ES15" s="1067"/>
      <c r="ET15" s="1097"/>
      <c r="EU15" s="1067"/>
      <c r="EV15" s="1067"/>
      <c r="EW15" s="343"/>
    </row>
    <row r="16" spans="1:153" ht="10.199999999999999" customHeight="1">
      <c r="A16" s="108" t="str">
        <f>A4</f>
        <v>Airbus</v>
      </c>
      <c r="B16" s="812"/>
      <c r="C16" s="812">
        <f t="shared" ref="C16:M16" si="76">C4/B4-1</f>
        <v>-5.0464742809869123E-2</v>
      </c>
      <c r="D16" s="812">
        <f t="shared" si="76"/>
        <v>-2.3780237802378035E-2</v>
      </c>
      <c r="E16" s="812">
        <f t="shared" si="76"/>
        <v>6.1738765224695458E-2</v>
      </c>
      <c r="F16" s="812">
        <f t="shared" si="76"/>
        <v>9.6667325949367111E-2</v>
      </c>
      <c r="G16" s="812">
        <f t="shared" si="76"/>
        <v>0.1357590513548852</v>
      </c>
      <c r="H16" s="812">
        <f t="shared" si="76"/>
        <v>1.0321556173085167E-3</v>
      </c>
      <c r="I16" s="812">
        <f t="shared" si="76"/>
        <v>5.1871827411167581E-2</v>
      </c>
      <c r="J16" s="812">
        <f t="shared" si="76"/>
        <v>-5.8060624340220413E-3</v>
      </c>
      <c r="K16" s="812">
        <f t="shared" si="76"/>
        <v>4.9412210845658056E-2</v>
      </c>
      <c r="L16" s="812">
        <f t="shared" si="76"/>
        <v>0.12597116322769497</v>
      </c>
      <c r="M16" s="812">
        <f t="shared" si="76"/>
        <v>0.18562855033858594</v>
      </c>
      <c r="N16" s="1067"/>
      <c r="O16" s="1067"/>
      <c r="P16" s="1067"/>
      <c r="Q16" s="1097"/>
      <c r="R16" s="1067"/>
      <c r="S16" s="1067"/>
      <c r="T16" s="1270">
        <f>T4/M4-1</f>
        <v>6.9052323850255837E-2</v>
      </c>
      <c r="U16" s="223">
        <f t="shared" ref="U16:U18" si="77">U4/N4-1</f>
        <v>2.0321954561022926E-2</v>
      </c>
      <c r="V16" s="223">
        <f t="shared" ref="V16:V18" si="78">V4/O4-1</f>
        <v>0.12297977095151458</v>
      </c>
      <c r="W16" s="223">
        <f t="shared" ref="W16:W18" si="79">W4/P4-1</f>
        <v>1.7884240190765288E-2</v>
      </c>
      <c r="X16" s="717">
        <f t="shared" ref="X16:X18" si="80">X4/Q4-1</f>
        <v>0.10636199243794175</v>
      </c>
      <c r="Y16" s="223">
        <f t="shared" ref="Y16:Y18" si="81">Y4/R4-1</f>
        <v>7.3306816926306473E-2</v>
      </c>
      <c r="Z16" s="223">
        <f t="shared" ref="Z16:Z18" si="82">Z4/S4-1</f>
        <v>6.8203066566940862E-2</v>
      </c>
      <c r="AA16" s="1270">
        <f>AA4/T4-1</f>
        <v>7.0542360864941589E-2</v>
      </c>
      <c r="AB16" s="223">
        <f t="shared" ref="AB16:AB18" si="83">AB4/U4-1</f>
        <v>-4.1624706277274215E-2</v>
      </c>
      <c r="AC16" s="223">
        <f t="shared" ref="AC16:AC18" si="84">AC4/V4-1</f>
        <v>0.19290888295844444</v>
      </c>
      <c r="AD16" s="223">
        <f t="shared" ref="AD16:AD18" si="85">AD4/W4-1</f>
        <v>6.8895751251197845E-2</v>
      </c>
      <c r="AE16" s="717">
        <f t="shared" ref="AE16:AE18" si="86">AE4/X4-1</f>
        <v>9.4725111441307686E-2</v>
      </c>
      <c r="AF16" s="223">
        <f t="shared" ref="AF16:AF18" si="87">AF4/Y4-1</f>
        <v>8.5027536157290751E-2</v>
      </c>
      <c r="AG16" s="223">
        <f t="shared" ref="AG16:AG18" si="88">AG4/Z4-1</f>
        <v>8.4110104590608747E-2</v>
      </c>
      <c r="AH16" s="1270">
        <f>AH4/AA4-1</f>
        <v>8.4531693472090774E-2</v>
      </c>
      <c r="AI16" s="223">
        <f t="shared" ref="AI16:AI18" si="89">AI4/AB4-1</f>
        <v>1.2025685931114971E-2</v>
      </c>
      <c r="AJ16" s="223">
        <f t="shared" ref="AJ16:AJ18" si="90">AJ4/AC4-1</f>
        <v>-9.827420901246442E-3</v>
      </c>
      <c r="AK16" s="223">
        <f t="shared" ref="AK16:AK18" si="91">AK4/AD4-1</f>
        <v>4.1044032675831899E-2</v>
      </c>
      <c r="AL16" s="717">
        <f t="shared" ref="AL16:AL18" si="92">AL4/AE4-1</f>
        <v>0.20298608754665759</v>
      </c>
      <c r="AM16" s="223">
        <f t="shared" ref="AM16:AM18" si="93">AM4/AF4-1</f>
        <v>-9.487215976471397E-4</v>
      </c>
      <c r="AN16" s="223">
        <f t="shared" ref="AN16:AN18" si="94">AN4/AG4-1</f>
        <v>0.13736729503895373</v>
      </c>
      <c r="AO16" s="1270">
        <f>AO4/AH4-1</f>
        <v>7.3777642081388706E-2</v>
      </c>
      <c r="AP16" s="223">
        <f t="shared" ref="AP16:AU16" si="95">AP4/AI4-1</f>
        <v>0.13347946469773886</v>
      </c>
      <c r="AQ16" s="223">
        <f t="shared" si="95"/>
        <v>-3.4616315662067243E-2</v>
      </c>
      <c r="AR16" s="223">
        <f t="shared" si="95"/>
        <v>3.8660287081339728E-2</v>
      </c>
      <c r="AS16" s="717">
        <f t="shared" si="95"/>
        <v>3.3228026627552643E-2</v>
      </c>
      <c r="AT16" s="223">
        <f t="shared" si="95"/>
        <v>3.456625991168516E-2</v>
      </c>
      <c r="AU16" s="223">
        <f t="shared" si="95"/>
        <v>3.5242759795570677E-2</v>
      </c>
      <c r="AV16" s="1270">
        <f>AV4/AO4-1</f>
        <v>3.4953388711741251E-2</v>
      </c>
      <c r="AW16" s="223">
        <f t="shared" ref="AW16:BB16" si="96">AW4/AI4-1</f>
        <v>-5.7914167051222876E-2</v>
      </c>
      <c r="AX16" s="223">
        <f t="shared" si="96"/>
        <v>-0.19180182361010245</v>
      </c>
      <c r="AY16" s="223">
        <f t="shared" si="96"/>
        <v>-0.1007655502392345</v>
      </c>
      <c r="AZ16" s="717">
        <f t="shared" si="96"/>
        <v>-0.10261762382940309</v>
      </c>
      <c r="BA16" s="223">
        <f t="shared" si="96"/>
        <v>-0.136698162480414</v>
      </c>
      <c r="BB16" s="223">
        <f t="shared" si="96"/>
        <v>-0.1019307211811471</v>
      </c>
      <c r="BC16" s="1270">
        <f>BC4/AO4-1</f>
        <v>-0.11680240469565573</v>
      </c>
      <c r="BD16" s="223">
        <f t="shared" ref="BD16:BD18" si="97">BD4/AW4-1</f>
        <v>-0.11560127357335293</v>
      </c>
      <c r="BE16" s="223">
        <f t="shared" ref="BE16:BE18" si="98">BE4/AX4-1</f>
        <v>0.13059105431309903</v>
      </c>
      <c r="BF16" s="223">
        <f t="shared" ref="BF16:BF18" si="99">BF4/AY4-1</f>
        <v>0.26976694689794622</v>
      </c>
      <c r="BG16" s="717">
        <f t="shared" ref="BG16:BG18" si="100">BG4/AZ4-1</f>
        <v>9.9641667190545125E-2</v>
      </c>
      <c r="BH16" s="223">
        <f t="shared" ref="BH16:BH18" si="101">BH4/BA4-1</f>
        <v>2.001979980200197E-2</v>
      </c>
      <c r="BI16" s="223">
        <f t="shared" ref="BI16:BI18" si="102">BI4/BB4-1</f>
        <v>0.16282010749288656</v>
      </c>
      <c r="BJ16" s="1270">
        <f>BJ4/BC4-1</f>
        <v>0.10311364577105264</v>
      </c>
      <c r="BK16" s="223">
        <f t="shared" ref="BK16:BK18" si="103">BK4/BD4-1</f>
        <v>0.34270285239545828</v>
      </c>
      <c r="BL16" s="223">
        <f t="shared" ref="BL16:BL18" si="104">BL4/BE4-1</f>
        <v>0.26686683150830093</v>
      </c>
      <c r="BM16" s="223">
        <f t="shared" ref="BM16:BM18" si="105">BM4/BF4-1</f>
        <v>-3.3774723432785758E-2</v>
      </c>
      <c r="BN16" s="717">
        <f t="shared" ref="BN16:BN18" si="106">BN4/BG4-1</f>
        <v>9.7816144523210635E-2</v>
      </c>
      <c r="BO16" s="223">
        <f t="shared" ref="BO16:BO18" si="107">BO4/BH4-1</f>
        <v>0.29639814515259366</v>
      </c>
      <c r="BP16" s="223">
        <f t="shared" ref="BP16:BP18" si="108">BP4/BI4-1</f>
        <v>4.4453507340946219E-2</v>
      </c>
      <c r="BQ16" s="1270">
        <f t="shared" ref="BQ16:BQ18" si="109">BQ4/BJ4-1</f>
        <v>0.14185949551803212</v>
      </c>
      <c r="BR16" s="223">
        <f t="shared" ref="BR16:BW16" si="110">BR4/BD4-1</f>
        <v>0.34270285239545828</v>
      </c>
      <c r="BS16" s="223">
        <f t="shared" si="110"/>
        <v>0.26686683150830093</v>
      </c>
      <c r="BT16" s="223">
        <f t="shared" si="110"/>
        <v>-3.3774723432785758E-2</v>
      </c>
      <c r="BU16" s="717">
        <f t="shared" si="110"/>
        <v>9.7816144523210635E-2</v>
      </c>
      <c r="BV16" s="223">
        <f t="shared" si="110"/>
        <v>0.29639814515259366</v>
      </c>
      <c r="BW16" s="223">
        <f t="shared" si="110"/>
        <v>4.4453507340946219E-2</v>
      </c>
      <c r="BX16" s="1270">
        <f>BX4/BJ4-1</f>
        <v>0.14185949551803212</v>
      </c>
      <c r="BY16" s="223">
        <f t="shared" ref="BY16:BY18" si="111">BY4/BR4-1</f>
        <v>-0.21944931422089309</v>
      </c>
      <c r="BZ16" s="223">
        <f t="shared" ref="BZ16:BZ18" si="112">BZ4/BS4-1</f>
        <v>-0.65398020354105668</v>
      </c>
      <c r="CA16" s="223">
        <f t="shared" ref="CA16:CA18" si="113">CA4/BT4-1</f>
        <v>-0.32882296816723044</v>
      </c>
      <c r="CB16" s="717">
        <f t="shared" ref="CB16:CB18" si="114">CB4/BU4-1</f>
        <v>-0.27204082695412179</v>
      </c>
      <c r="CC16" s="223">
        <f t="shared" ref="CC16:CC18" si="115">CC4/BV4-1</f>
        <v>-0.47872561660358526</v>
      </c>
      <c r="CD16" s="223">
        <f t="shared" ref="CD16:CD18" si="116">CD4/BW4-1</f>
        <v>-0.29334244435767276</v>
      </c>
      <c r="CE16" s="1270">
        <f>CE4/BQ4-1</f>
        <v>-0.37471474212688272</v>
      </c>
      <c r="CF16" s="223">
        <f t="shared" ref="CF16:CF18" si="117">CF4/BY4-1</f>
        <v>-3.9239001189060652E-2</v>
      </c>
      <c r="CG16" s="223">
        <f t="shared" ref="CG16:CG18" si="118">CG4/BZ4-1</f>
        <v>1.1234891216760676</v>
      </c>
      <c r="CH16" s="223">
        <f t="shared" ref="CH16:CH18" si="119">CH4/CA4-1</f>
        <v>-0.12057379167743598</v>
      </c>
      <c r="CI16" s="717">
        <f t="shared" ref="CI16:CI18" si="120">CI4/CB4-1</f>
        <v>-0.17404678446240784</v>
      </c>
      <c r="CJ16" s="223">
        <f t="shared" ref="CJ16:CJ18" si="121">CJ4/CC4-1</f>
        <v>0.42128780020745227</v>
      </c>
      <c r="CK16" s="223">
        <f t="shared" ref="CK16:CK18" si="122">CK4/CD4-1</f>
        <v>-0.15499378367177785</v>
      </c>
      <c r="CL16" s="1270">
        <f>CL4/CE4-1</f>
        <v>5.5883211678832145E-2</v>
      </c>
      <c r="CM16" s="223">
        <f t="shared" ref="CM16:CM18" si="123">CM4/CF4-1</f>
        <v>0.17450495049504955</v>
      </c>
      <c r="CN16" s="223">
        <f t="shared" ref="CN16:CN18" si="124">CN4/CG4-1</f>
        <v>-0.14695000474338293</v>
      </c>
      <c r="CO16" s="223">
        <f t="shared" ref="CO16:CO18" si="125">CO4/CH4-1</f>
        <v>0.3403379867744305</v>
      </c>
      <c r="CP16" s="717">
        <f t="shared" ref="CP16:CP18" si="126">CP4/CI4-1</f>
        <v>0.27957734280270219</v>
      </c>
      <c r="CQ16" s="223">
        <f t="shared" ref="CQ16:CQ18" si="127">CQ4/CJ4-1</f>
        <v>-1.57188570145399E-2</v>
      </c>
      <c r="CR16" s="223">
        <f t="shared" ref="CR16:CR18" si="128">CR4/CK4-1</f>
        <v>0.30210887690044141</v>
      </c>
      <c r="CS16" s="1270">
        <f t="shared" ref="CS16:CX18" si="129">CS4/CL4-1</f>
        <v>0.14555911956641965</v>
      </c>
      <c r="CT16" s="223">
        <f t="shared" si="129"/>
        <v>-5.0462475120009342E-2</v>
      </c>
      <c r="CU16" s="223">
        <f t="shared" si="129"/>
        <v>0.36109875444839856</v>
      </c>
      <c r="CV16" s="223">
        <f t="shared" si="129"/>
        <v>0.22333077513430544</v>
      </c>
      <c r="CW16" s="717">
        <f t="shared" si="129"/>
        <v>0.10031135779071332</v>
      </c>
      <c r="CX16" s="223">
        <f t="shared" si="129"/>
        <v>0.16061141846803162</v>
      </c>
      <c r="CY16" s="223">
        <f t="shared" ref="CY16:DK18" si="130">CY4/CR4-1</f>
        <v>0.14726930320150666</v>
      </c>
      <c r="CZ16" s="1270">
        <f t="shared" si="130"/>
        <v>0.15291590228830731</v>
      </c>
      <c r="DA16" s="1067">
        <f t="shared" si="130"/>
        <v>0.13033292231812577</v>
      </c>
      <c r="DB16" s="1067">
        <f t="shared" si="130"/>
        <v>-1.560585015115612E-2</v>
      </c>
      <c r="DC16" s="1067">
        <f t="shared" si="130"/>
        <v>4.5348628786520795E-2</v>
      </c>
      <c r="DD16" s="717">
        <f t="shared" si="130"/>
        <v>9.2950295275590511E-2</v>
      </c>
      <c r="DE16" s="1067">
        <f t="shared" si="130"/>
        <v>4.2557373826723754E-2</v>
      </c>
      <c r="DF16" s="223">
        <f t="shared" ref="DF16:DF18" si="131">DF4/CY4-1</f>
        <v>7.3575545341796111E-2</v>
      </c>
      <c r="DG16" s="1270">
        <f t="shared" ref="DG16:DG18" si="132">DG4/CZ4-1</f>
        <v>6.0360530117455014E-2</v>
      </c>
      <c r="DH16" s="223">
        <f t="shared" si="130"/>
        <v>3.861677757172477E-2</v>
      </c>
      <c r="DI16" s="1067">
        <f t="shared" si="130"/>
        <v>-6.1420982735723717E-2</v>
      </c>
      <c r="DJ16" s="1067">
        <f t="shared" ref="DJ16:DS18" si="133">DJ4/DC4-1</f>
        <v>0.11942729766803839</v>
      </c>
      <c r="DK16" s="717">
        <f t="shared" si="130"/>
        <v>5.2006528958180809E-2</v>
      </c>
      <c r="DL16" s="1067">
        <f t="shared" si="133"/>
        <v>-1.8194673580014142E-2</v>
      </c>
      <c r="DM16" s="223">
        <f t="shared" si="133"/>
        <v>7.8726512860589182E-2</v>
      </c>
      <c r="DN16" s="1279">
        <f t="shared" si="133"/>
        <v>3.8127394068633302E-2</v>
      </c>
      <c r="DO16" s="1067">
        <f t="shared" si="133"/>
        <v>-0.1139586177922487</v>
      </c>
      <c r="DP16" s="1067">
        <f t="shared" si="133"/>
        <v>0.36549345596038196</v>
      </c>
      <c r="DQ16" s="321">
        <f t="shared" si="133"/>
        <v>0.10784708393524389</v>
      </c>
      <c r="DR16" s="444">
        <f t="shared" si="133"/>
        <v>6.9851798886015226E-2</v>
      </c>
      <c r="DS16" s="274">
        <f t="shared" si="133"/>
        <v>0.14633443756301312</v>
      </c>
      <c r="DT16" s="321">
        <f t="shared" ref="DT16:EC18" si="134">DT4/DM4-1</f>
        <v>8.5478119816082554E-2</v>
      </c>
      <c r="DU16" s="387">
        <f t="shared" si="134"/>
        <v>0.10958706940146823</v>
      </c>
      <c r="DV16" s="321">
        <f t="shared" si="134"/>
        <v>0.89045797544390526</v>
      </c>
      <c r="DW16" s="321">
        <f t="shared" si="134"/>
        <v>9.1088210766378852E-2</v>
      </c>
      <c r="DX16" s="321">
        <f t="shared" si="134"/>
        <v>0.16766488291083004</v>
      </c>
      <c r="DY16" s="444">
        <f t="shared" si="134"/>
        <v>-0.1725027033775729</v>
      </c>
      <c r="DZ16" s="321">
        <f t="shared" si="134"/>
        <v>0.37351411581389793</v>
      </c>
      <c r="EA16" s="321">
        <f t="shared" si="134"/>
        <v>-2.9718978954980546E-2</v>
      </c>
      <c r="EB16" s="387">
        <f t="shared" si="134"/>
        <v>0.13531704017557766</v>
      </c>
      <c r="EC16" s="321">
        <f t="shared" si="134"/>
        <v>9.6289310631919811E-2</v>
      </c>
      <c r="ED16" s="321">
        <f t="shared" ref="ED16:EM18" si="135">ED4/DW4-1</f>
        <v>9.935104731108213E-2</v>
      </c>
      <c r="EE16" s="321">
        <f t="shared" si="135"/>
        <v>9.9255092023332603E-2</v>
      </c>
      <c r="EF16" s="444">
        <f t="shared" si="135"/>
        <v>0.12247501034972097</v>
      </c>
      <c r="EG16" s="321">
        <f t="shared" si="135"/>
        <v>9.7862171243412233E-2</v>
      </c>
      <c r="EH16" s="321">
        <f t="shared" si="135"/>
        <v>0.11074584393695885</v>
      </c>
      <c r="EI16" s="387">
        <f t="shared" si="135"/>
        <v>0.10436646758250823</v>
      </c>
      <c r="EJ16" s="321">
        <f t="shared" si="135"/>
        <v>7.8783661354814294E-2</v>
      </c>
      <c r="EK16" s="321">
        <f t="shared" si="135"/>
        <v>3.3379858675525842E-2</v>
      </c>
      <c r="EL16" s="321">
        <f t="shared" si="135"/>
        <v>3.3407003679943426E-2</v>
      </c>
      <c r="EM16" s="444">
        <f t="shared" si="135"/>
        <v>3.2798486903145907E-2</v>
      </c>
      <c r="EN16" s="321">
        <f t="shared" ref="EN16:EW18" si="136">EN4/EG4-1</f>
        <v>5.542740674989588E-2</v>
      </c>
      <c r="EO16" s="321">
        <f t="shared" si="136"/>
        <v>3.3102689421887765E-2</v>
      </c>
      <c r="EP16" s="387">
        <f t="shared" si="136"/>
        <v>4.4091713356473772E-2</v>
      </c>
      <c r="EQ16" s="321">
        <f t="shared" si="136"/>
        <v>2.9361587594547878E-2</v>
      </c>
      <c r="ER16" s="321">
        <f t="shared" si="136"/>
        <v>2.9908776962706662E-2</v>
      </c>
      <c r="ES16" s="321">
        <f t="shared" si="136"/>
        <v>2.9989016294310833E-2</v>
      </c>
      <c r="ET16" s="444">
        <f t="shared" si="136"/>
        <v>2.8999701617685503E-2</v>
      </c>
      <c r="EU16" s="321">
        <f t="shared" si="136"/>
        <v>2.9637188251696811E-2</v>
      </c>
      <c r="EV16" s="321">
        <f t="shared" si="136"/>
        <v>2.949441380540252E-2</v>
      </c>
      <c r="EW16" s="387">
        <f t="shared" si="136"/>
        <v>2.9565455506782579E-2</v>
      </c>
    </row>
    <row r="17" spans="1:153" ht="10.199999999999999" customHeight="1">
      <c r="A17" s="108" t="s">
        <v>325</v>
      </c>
      <c r="B17" s="1067"/>
      <c r="C17" s="1067">
        <f t="shared" ref="C17:M17" si="137">C5/B5-1</f>
        <v>-3.6596966705555123E-2</v>
      </c>
      <c r="D17" s="1067">
        <f t="shared" si="137"/>
        <v>-3.6440867426782875E-2</v>
      </c>
      <c r="E17" s="1067">
        <f t="shared" si="137"/>
        <v>7.7339520494972946E-2</v>
      </c>
      <c r="F17" s="1067">
        <f t="shared" si="137"/>
        <v>0.15254845656855709</v>
      </c>
      <c r="G17" s="1067">
        <f t="shared" si="137"/>
        <v>0.18436624104640309</v>
      </c>
      <c r="H17" s="1067">
        <f t="shared" si="137"/>
        <v>9.7028661582960751E-2</v>
      </c>
      <c r="I17" s="1067">
        <f t="shared" si="137"/>
        <v>7.5263662511984686E-2</v>
      </c>
      <c r="J17" s="1067">
        <f t="shared" si="137"/>
        <v>1.8724921979491826E-2</v>
      </c>
      <c r="K17" s="1067">
        <f t="shared" si="137"/>
        <v>5.6892778993435478E-2</v>
      </c>
      <c r="L17" s="1067">
        <f t="shared" si="137"/>
        <v>0.12111801242236031</v>
      </c>
      <c r="M17" s="1067">
        <f t="shared" si="137"/>
        <v>0.15678670360110813</v>
      </c>
      <c r="N17" s="1067"/>
      <c r="O17" s="1067"/>
      <c r="P17" s="1067"/>
      <c r="Q17" s="1097"/>
      <c r="R17" s="1067"/>
      <c r="S17" s="1067"/>
      <c r="T17" s="1270">
        <f>T5/M5-1</f>
        <v>5.268199233716464E-3</v>
      </c>
      <c r="U17" s="223">
        <f t="shared" si="77"/>
        <v>0.1387283236994219</v>
      </c>
      <c r="V17" s="223">
        <f t="shared" si="78"/>
        <v>4.7218628719275513E-2</v>
      </c>
      <c r="W17" s="223">
        <f t="shared" si="79"/>
        <v>-5.7493540051679615E-2</v>
      </c>
      <c r="X17" s="717">
        <f t="shared" si="80"/>
        <v>4.5727482678983744E-2</v>
      </c>
      <c r="Y17" s="223">
        <f t="shared" si="81"/>
        <v>8.3978328173374583E-2</v>
      </c>
      <c r="Z17" s="223">
        <f t="shared" si="82"/>
        <v>2.6932399676811158E-3</v>
      </c>
      <c r="AA17" s="1270">
        <f>AA5/T5-1</f>
        <v>3.6048912180403292E-2</v>
      </c>
      <c r="AB17" s="223">
        <f t="shared" si="83"/>
        <v>8.7140439932318126E-2</v>
      </c>
      <c r="AC17" s="223">
        <f t="shared" si="84"/>
        <v>2.8412600370599117E-2</v>
      </c>
      <c r="AD17" s="223">
        <f t="shared" si="85"/>
        <v>9.5956134338588406E-3</v>
      </c>
      <c r="AE17" s="717">
        <f t="shared" si="86"/>
        <v>4.3727915194346378E-2</v>
      </c>
      <c r="AF17" s="223">
        <f t="shared" si="87"/>
        <v>5.3195287397358015E-2</v>
      </c>
      <c r="AG17" s="223">
        <f t="shared" si="88"/>
        <v>3.035186677410695E-2</v>
      </c>
      <c r="AH17" s="1270">
        <f>AH5/AA5-1</f>
        <v>4.0159411404046663E-2</v>
      </c>
      <c r="AI17" s="223">
        <f t="shared" si="89"/>
        <v>-9.8832684824902706E-2</v>
      </c>
      <c r="AJ17" s="223">
        <f t="shared" si="90"/>
        <v>-8.1681681681681662E-2</v>
      </c>
      <c r="AK17" s="223">
        <f t="shared" si="91"/>
        <v>8.2824168363883288E-2</v>
      </c>
      <c r="AL17" s="717">
        <f t="shared" si="92"/>
        <v>2.9623360135420107E-3</v>
      </c>
      <c r="AM17" s="223">
        <f t="shared" si="93"/>
        <v>-8.9152542372881394E-2</v>
      </c>
      <c r="AN17" s="223">
        <f t="shared" si="94"/>
        <v>3.362877997914504E-2</v>
      </c>
      <c r="AO17" s="1270">
        <f>AO5/AH5-1</f>
        <v>-1.9746536987916286E-2</v>
      </c>
      <c r="AP17" s="223">
        <f t="shared" ref="AP17:AU17" si="138">AP5/AI5-1</f>
        <v>0.11485319516407588</v>
      </c>
      <c r="AQ17" s="223">
        <f t="shared" si="138"/>
        <v>6.6056245912361033E-2</v>
      </c>
      <c r="AR17" s="223">
        <f t="shared" si="138"/>
        <v>-8.025078369905958E-2</v>
      </c>
      <c r="AS17" s="717">
        <f t="shared" si="138"/>
        <v>-0.12995780590717299</v>
      </c>
      <c r="AT17" s="223">
        <f t="shared" si="138"/>
        <v>8.7085969482694425E-2</v>
      </c>
      <c r="AU17" s="223">
        <f t="shared" si="138"/>
        <v>-0.10996216897856237</v>
      </c>
      <c r="AV17" s="1270">
        <f>AV5/AO5-1</f>
        <v>-3.0366806975345773E-2</v>
      </c>
      <c r="AW17" s="223">
        <f t="shared" ref="AW17:BB17" si="139">AW5/AI5-1</f>
        <v>1.5544041450777257E-2</v>
      </c>
      <c r="AX17" s="223">
        <f t="shared" si="139"/>
        <v>7.194244604316502E-3</v>
      </c>
      <c r="AY17" s="223">
        <f t="shared" si="139"/>
        <v>-7.1473354231974873E-2</v>
      </c>
      <c r="AZ17" s="717">
        <f t="shared" si="139"/>
        <v>-9.7890295358649793E-2</v>
      </c>
      <c r="BA17" s="223">
        <f t="shared" si="139"/>
        <v>1.0792705619650178E-2</v>
      </c>
      <c r="BB17" s="223">
        <f t="shared" si="139"/>
        <v>-8.7263556116015106E-2</v>
      </c>
      <c r="BC17" s="1270">
        <f>BC5/AO5-1</f>
        <v>-4.7654840649428709E-2</v>
      </c>
      <c r="BD17" s="223">
        <f t="shared" si="97"/>
        <v>-0.18282312925170063</v>
      </c>
      <c r="BE17" s="223">
        <f t="shared" si="98"/>
        <v>-7.3376623376623429E-2</v>
      </c>
      <c r="BF17" s="223">
        <f t="shared" si="99"/>
        <v>-7.6975016880486136E-2</v>
      </c>
      <c r="BG17" s="717">
        <f t="shared" si="100"/>
        <v>1.9176800748363032E-2</v>
      </c>
      <c r="BH17" s="223">
        <f t="shared" si="101"/>
        <v>-0.12076583210603831</v>
      </c>
      <c r="BI17" s="223">
        <f t="shared" si="102"/>
        <v>-2.0171318043658459E-2</v>
      </c>
      <c r="BJ17" s="1270">
        <f>BJ5/BC5-1</f>
        <v>-6.3299131807419085E-2</v>
      </c>
      <c r="BK17" s="223">
        <f t="shared" si="103"/>
        <v>4.7866805411030278E-2</v>
      </c>
      <c r="BL17" s="223">
        <f t="shared" si="104"/>
        <v>-4.4148563419761699E-2</v>
      </c>
      <c r="BM17" s="223">
        <f t="shared" si="105"/>
        <v>-1.9019751280175523E-2</v>
      </c>
      <c r="BN17" s="717">
        <f t="shared" si="106"/>
        <v>5.323542909591561E-2</v>
      </c>
      <c r="BO17" s="223">
        <f t="shared" si="107"/>
        <v>-7.1189279731993516E-3</v>
      </c>
      <c r="BP17" s="223">
        <f t="shared" si="108"/>
        <v>2.5380710659898442E-2</v>
      </c>
      <c r="BQ17" s="1270">
        <f t="shared" si="109"/>
        <v>1.2301988540613484E-2</v>
      </c>
      <c r="BR17" s="223">
        <f t="shared" ref="BR17:BW17" si="140">BR5/BD5-1</f>
        <v>4.7866805411030278E-2</v>
      </c>
      <c r="BS17" s="223">
        <f t="shared" si="140"/>
        <v>-4.4148563419761699E-2</v>
      </c>
      <c r="BT17" s="223">
        <f t="shared" si="140"/>
        <v>-1.9019751280175523E-2</v>
      </c>
      <c r="BU17" s="717">
        <f t="shared" si="140"/>
        <v>5.323542909591561E-2</v>
      </c>
      <c r="BV17" s="223">
        <f t="shared" si="140"/>
        <v>-7.1189279731993516E-3</v>
      </c>
      <c r="BW17" s="223">
        <f t="shared" si="140"/>
        <v>2.5380710659898442E-2</v>
      </c>
      <c r="BX17" s="1270">
        <f>BX5/BJ5-1</f>
        <v>1.2301988540613484E-2</v>
      </c>
      <c r="BY17" s="223">
        <f t="shared" si="111"/>
        <v>0.19364448857994043</v>
      </c>
      <c r="BZ17" s="223">
        <f t="shared" si="112"/>
        <v>-0.17082111436950143</v>
      </c>
      <c r="CA17" s="223">
        <f t="shared" si="113"/>
        <v>-3.8031319910514561E-2</v>
      </c>
      <c r="CB17" s="717">
        <f t="shared" si="114"/>
        <v>0.1450980392156862</v>
      </c>
      <c r="CC17" s="223">
        <f t="shared" si="115"/>
        <v>-1.6026992830029507E-2</v>
      </c>
      <c r="CD17" s="223">
        <f t="shared" si="116"/>
        <v>7.7557755775577553E-2</v>
      </c>
      <c r="CE17" s="1270">
        <f>CE5/BQ5-1</f>
        <v>4.0619277509572171E-2</v>
      </c>
      <c r="CF17" s="223">
        <f t="shared" si="117"/>
        <v>-2.0798668885191329E-2</v>
      </c>
      <c r="CG17" s="223">
        <f t="shared" si="118"/>
        <v>0.25287356321839072</v>
      </c>
      <c r="CH17" s="223">
        <f t="shared" si="119"/>
        <v>0.19612403100775189</v>
      </c>
      <c r="CI17" s="717">
        <f t="shared" si="120"/>
        <v>-9.7412480974124804E-2</v>
      </c>
      <c r="CJ17" s="223">
        <f t="shared" si="121"/>
        <v>0.11187312473210453</v>
      </c>
      <c r="CK17" s="223">
        <f t="shared" si="122"/>
        <v>-7.6569678407345521E-4</v>
      </c>
      <c r="CL17" s="1270">
        <f>CL5/CE5-1</f>
        <v>4.1273396256598982E-2</v>
      </c>
      <c r="CM17" s="223">
        <f t="shared" si="123"/>
        <v>7.4766355140186924E-2</v>
      </c>
      <c r="CN17" s="223">
        <f t="shared" si="124"/>
        <v>4.3754410726887683E-2</v>
      </c>
      <c r="CO17" s="223">
        <f t="shared" si="125"/>
        <v>0.14776409591704476</v>
      </c>
      <c r="CP17" s="717">
        <f t="shared" si="126"/>
        <v>6.7875210792580187E-2</v>
      </c>
      <c r="CQ17" s="223">
        <f t="shared" si="127"/>
        <v>5.7825751734772446E-2</v>
      </c>
      <c r="CR17" s="223">
        <f t="shared" si="128"/>
        <v>9.9361430395913164E-2</v>
      </c>
      <c r="CS17" s="1270">
        <f t="shared" si="129"/>
        <v>8.2808419111998877E-2</v>
      </c>
      <c r="CT17" s="223">
        <f t="shared" si="129"/>
        <v>0.26324110671936762</v>
      </c>
      <c r="CU17" s="223">
        <f t="shared" si="129"/>
        <v>7.9107505070993955E-2</v>
      </c>
      <c r="CV17" s="223">
        <f t="shared" si="129"/>
        <v>-0.17108977978543194</v>
      </c>
      <c r="CW17" s="717">
        <f t="shared" si="129"/>
        <v>5.606000789577581E-2</v>
      </c>
      <c r="CX17" s="223">
        <f t="shared" si="129"/>
        <v>0.1639941690962099</v>
      </c>
      <c r="CY17" s="223">
        <f t="shared" si="130"/>
        <v>-3.7407063197026025E-2</v>
      </c>
      <c r="CZ17" s="1270">
        <f t="shared" si="130"/>
        <v>4.100454029511913E-2</v>
      </c>
      <c r="DA17" s="1067">
        <f t="shared" si="130"/>
        <v>-8.5732165206508171E-2</v>
      </c>
      <c r="DB17" s="1067">
        <f t="shared" si="130"/>
        <v>8.3959899749373346E-2</v>
      </c>
      <c r="DC17" s="1067">
        <f t="shared" si="130"/>
        <v>0.14713896457765663</v>
      </c>
      <c r="DD17" s="717">
        <f t="shared" si="130"/>
        <v>0.1461682242990654</v>
      </c>
      <c r="DE17" s="1067">
        <f t="shared" si="130"/>
        <v>-9.3926111458986217E-4</v>
      </c>
      <c r="DF17" s="223">
        <f t="shared" si="131"/>
        <v>0.14651218923485398</v>
      </c>
      <c r="DG17" s="1270">
        <f t="shared" si="132"/>
        <v>8.232247512607338E-2</v>
      </c>
      <c r="DH17" s="223">
        <f t="shared" si="130"/>
        <v>9.5140314852840469E-2</v>
      </c>
      <c r="DI17" s="1067">
        <f t="shared" si="130"/>
        <v>0.2098265895953757</v>
      </c>
      <c r="DJ17" s="1067">
        <f t="shared" si="133"/>
        <v>0.16330166270783852</v>
      </c>
      <c r="DK17" s="717">
        <f t="shared" si="130"/>
        <v>8.284409654272662E-2</v>
      </c>
      <c r="DL17" s="1067">
        <f t="shared" si="133"/>
        <v>0.15731745534315267</v>
      </c>
      <c r="DM17" s="223">
        <f t="shared" si="133"/>
        <v>0.11136842105263156</v>
      </c>
      <c r="DN17" s="1279">
        <f t="shared" si="133"/>
        <v>0.12983251479662505</v>
      </c>
      <c r="DO17" s="1067">
        <f t="shared" si="133"/>
        <v>2.4999999999999467E-3</v>
      </c>
      <c r="DP17" s="1067">
        <f t="shared" si="133"/>
        <v>-8.1223124701385041E-3</v>
      </c>
      <c r="DQ17" s="321">
        <f t="shared" si="133"/>
        <v>6.2749999999999861E-2</v>
      </c>
      <c r="DR17" s="444">
        <f t="shared" si="133"/>
        <v>8.7222278915662921E-2</v>
      </c>
      <c r="DS17" s="274">
        <f t="shared" si="133"/>
        <v>-3.5201733008394243E-3</v>
      </c>
      <c r="DT17" s="321">
        <f t="shared" si="134"/>
        <v>7.814078727031637E-2</v>
      </c>
      <c r="DU17" s="387">
        <f t="shared" si="134"/>
        <v>4.4528000000000123E-2</v>
      </c>
      <c r="DV17" s="321">
        <f t="shared" si="134"/>
        <v>4.6064000000000105E-2</v>
      </c>
      <c r="DW17" s="321">
        <f t="shared" si="134"/>
        <v>4.5042959537572091E-2</v>
      </c>
      <c r="DX17" s="321">
        <f t="shared" si="134"/>
        <v>4.5047565278757862E-2</v>
      </c>
      <c r="DY17" s="444">
        <f t="shared" si="134"/>
        <v>4.3305742471501096E-2</v>
      </c>
      <c r="DZ17" s="321">
        <f t="shared" si="134"/>
        <v>4.5487999999999973E-2</v>
      </c>
      <c r="EA17" s="321">
        <f t="shared" si="134"/>
        <v>4.3942893493853719E-2</v>
      </c>
      <c r="EB17" s="387">
        <f t="shared" si="134"/>
        <v>4.4549625476770327E-2</v>
      </c>
      <c r="EC17" s="321">
        <f t="shared" si="134"/>
        <v>4.6085311797366302E-2</v>
      </c>
      <c r="ED17" s="321">
        <f t="shared" si="135"/>
        <v>4.5064982879372106E-2</v>
      </c>
      <c r="EE17" s="321">
        <f t="shared" si="135"/>
        <v>4.5069589887417605E-2</v>
      </c>
      <c r="EF17" s="444">
        <f t="shared" si="135"/>
        <v>4.3324386851210317E-2</v>
      </c>
      <c r="EG17" s="321">
        <f t="shared" si="135"/>
        <v>4.5509958220467439E-2</v>
      </c>
      <c r="EH17" s="321">
        <f t="shared" si="135"/>
        <v>4.396344987041978E-2</v>
      </c>
      <c r="EI17" s="387">
        <f t="shared" si="135"/>
        <v>4.4571277883154847E-2</v>
      </c>
      <c r="EJ17" s="321">
        <f t="shared" si="135"/>
        <v>4.6106587521984821E-2</v>
      </c>
      <c r="EK17" s="321">
        <f t="shared" si="135"/>
        <v>4.5087011911780994E-2</v>
      </c>
      <c r="EL17" s="321">
        <f t="shared" si="135"/>
        <v>4.5091619992804866E-2</v>
      </c>
      <c r="EM17" s="444">
        <f t="shared" si="135"/>
        <v>4.3343098265955504E-2</v>
      </c>
      <c r="EN17" s="321">
        <f t="shared" si="136"/>
        <v>4.5531903421200504E-2</v>
      </c>
      <c r="EO17" s="321">
        <f t="shared" si="136"/>
        <v>4.398405494407398E-2</v>
      </c>
      <c r="EP17" s="387">
        <f t="shared" si="136"/>
        <v>4.4592956354484903E-2</v>
      </c>
      <c r="EQ17" s="321">
        <f t="shared" si="136"/>
        <v>4.6127826370234049E-2</v>
      </c>
      <c r="ER17" s="321">
        <f t="shared" si="136"/>
        <v>4.510904570746388E-2</v>
      </c>
      <c r="ES17" s="321">
        <f t="shared" si="136"/>
        <v>4.5113654667405356E-2</v>
      </c>
      <c r="ET17" s="444">
        <f t="shared" si="136"/>
        <v>4.3361876284406575E-2</v>
      </c>
      <c r="EU17" s="321">
        <f t="shared" si="136"/>
        <v>4.5553834688954131E-2</v>
      </c>
      <c r="EV17" s="321">
        <f t="shared" si="136"/>
        <v>4.4004708015851213E-2</v>
      </c>
      <c r="EW17" s="387">
        <f t="shared" si="136"/>
        <v>4.4614660021807584E-2</v>
      </c>
    </row>
    <row r="18" spans="1:153" ht="10.199999999999999" customHeight="1">
      <c r="A18" s="108" t="s">
        <v>324</v>
      </c>
      <c r="B18" s="812"/>
      <c r="C18" s="812"/>
      <c r="D18" s="812"/>
      <c r="E18" s="812"/>
      <c r="F18" s="812"/>
      <c r="G18" s="812"/>
      <c r="H18" s="812"/>
      <c r="I18" s="812"/>
      <c r="J18" s="812"/>
      <c r="K18" s="812"/>
      <c r="L18" s="812"/>
      <c r="M18" s="812"/>
      <c r="N18" s="1067"/>
      <c r="O18" s="1067"/>
      <c r="P18" s="1067"/>
      <c r="Q18" s="1097"/>
      <c r="R18" s="1067"/>
      <c r="S18" s="1067"/>
      <c r="T18" s="1270"/>
      <c r="U18" s="223">
        <f t="shared" si="77"/>
        <v>2.9654654654654555E-2</v>
      </c>
      <c r="V18" s="223">
        <f t="shared" si="78"/>
        <v>-4.3793103448275916E-2</v>
      </c>
      <c r="W18" s="223">
        <f t="shared" si="79"/>
        <v>-4.8616039744499684E-2</v>
      </c>
      <c r="X18" s="717">
        <f t="shared" si="80"/>
        <v>1.8780333403671579E-2</v>
      </c>
      <c r="Y18" s="223">
        <f t="shared" si="81"/>
        <v>-8.6268871315600126E-3</v>
      </c>
      <c r="Z18" s="223">
        <f t="shared" si="82"/>
        <v>-6.3517268757443679E-3</v>
      </c>
      <c r="AA18" s="1270">
        <f>AA6/T6-1</f>
        <v>-7.3165155094886414E-3</v>
      </c>
      <c r="AB18" s="223">
        <f t="shared" si="83"/>
        <v>-5.1039008384979989E-2</v>
      </c>
      <c r="AC18" s="223">
        <f t="shared" si="84"/>
        <v>5.5896141363144691E-2</v>
      </c>
      <c r="AD18" s="223">
        <f t="shared" si="85"/>
        <v>6.3782170831779172E-2</v>
      </c>
      <c r="AE18" s="717">
        <f t="shared" si="86"/>
        <v>-2.7133388566694339E-2</v>
      </c>
      <c r="AF18" s="223">
        <f t="shared" si="87"/>
        <v>2.7193618564176347E-3</v>
      </c>
      <c r="AG18" s="223">
        <f t="shared" si="88"/>
        <v>5.3269410041283383E-3</v>
      </c>
      <c r="AH18" s="1270">
        <f>AH6/AA6-1</f>
        <v>4.222648752399305E-3</v>
      </c>
      <c r="AI18" s="223">
        <f t="shared" si="89"/>
        <v>-2.6507875528236635E-2</v>
      </c>
      <c r="AJ18" s="223">
        <f t="shared" si="90"/>
        <v>-7.5136612021857729E-3</v>
      </c>
      <c r="AK18" s="223">
        <f t="shared" si="91"/>
        <v>-0.2026647966339411</v>
      </c>
      <c r="AL18" s="717">
        <f t="shared" si="92"/>
        <v>-0.11858633170108579</v>
      </c>
      <c r="AM18" s="223">
        <f t="shared" si="93"/>
        <v>-1.6452721026939066E-2</v>
      </c>
      <c r="AN18" s="223">
        <f t="shared" si="94"/>
        <v>-0.15035103987283083</v>
      </c>
      <c r="AO18" s="1270">
        <f>AO6/AH6-1</f>
        <v>-9.373088685015285E-2</v>
      </c>
      <c r="AP18" s="223">
        <f t="shared" ref="AP18:AU18" si="141">AP6/AI6-1</f>
        <v>-0.16574585635359118</v>
      </c>
      <c r="AQ18" s="223">
        <f t="shared" si="141"/>
        <v>-0.1359256710254646</v>
      </c>
      <c r="AR18" s="223">
        <f t="shared" si="141"/>
        <v>-7.2999120492524217E-2</v>
      </c>
      <c r="AS18" s="717">
        <f t="shared" si="141"/>
        <v>-1.6666666666666718E-2</v>
      </c>
      <c r="AT18" s="223">
        <f t="shared" si="141"/>
        <v>-0.1498161764705882</v>
      </c>
      <c r="AU18" s="223">
        <f t="shared" si="141"/>
        <v>-3.6638603055815455E-2</v>
      </c>
      <c r="AV18" s="1270">
        <f>AV6/AO6-1</f>
        <v>-8.8577695292728187E-2</v>
      </c>
      <c r="AW18" s="223">
        <f t="shared" ref="AW18:BB18" si="142">AW6/AI6-1</f>
        <v>-7.6558800315706388E-2</v>
      </c>
      <c r="AX18" s="223">
        <f t="shared" si="142"/>
        <v>-0.11906400550584995</v>
      </c>
      <c r="AY18" s="223">
        <f t="shared" si="142"/>
        <v>-5.3649956024626189E-2</v>
      </c>
      <c r="AZ18" s="717">
        <f t="shared" si="142"/>
        <v>-0.14396135265700483</v>
      </c>
      <c r="BA18" s="223">
        <f t="shared" si="142"/>
        <v>-9.9264705882352922E-2</v>
      </c>
      <c r="BB18" s="223">
        <f t="shared" si="142"/>
        <v>-0.11194262550670409</v>
      </c>
      <c r="BC18" s="1270">
        <f>BC6/AO6-1</f>
        <v>-0.10612451493166863</v>
      </c>
      <c r="BD18" s="223">
        <f t="shared" si="97"/>
        <v>-5.2564102564102599E-2</v>
      </c>
      <c r="BE18" s="223">
        <f t="shared" si="98"/>
        <v>-4.8828125E-2</v>
      </c>
      <c r="BF18" s="223">
        <f t="shared" si="99"/>
        <v>0.1147769516728625</v>
      </c>
      <c r="BG18" s="717">
        <f t="shared" si="100"/>
        <v>0.13205417607223469</v>
      </c>
      <c r="BH18" s="223">
        <f t="shared" si="101"/>
        <v>-5.0612244897959235E-2</v>
      </c>
      <c r="BI18" s="223">
        <f t="shared" si="102"/>
        <v>0.1255266853932584</v>
      </c>
      <c r="BJ18" s="1270">
        <f>BJ6/BC6-1</f>
        <v>4.4073235183087922E-2</v>
      </c>
      <c r="BK18" s="223">
        <f t="shared" si="103"/>
        <v>-4.7361299052773975E-2</v>
      </c>
      <c r="BL18" s="223">
        <f t="shared" si="104"/>
        <v>0.19219712525667343</v>
      </c>
      <c r="BM18" s="223">
        <f t="shared" si="105"/>
        <v>0.12171738224260098</v>
      </c>
      <c r="BN18" s="717">
        <f t="shared" si="106"/>
        <v>-0.20214356929212363</v>
      </c>
      <c r="BO18" s="223">
        <f t="shared" si="107"/>
        <v>7.8030954428202959E-2</v>
      </c>
      <c r="BP18" s="223">
        <f t="shared" si="108"/>
        <v>-8.0954609265325272E-2</v>
      </c>
      <c r="BQ18" s="1270">
        <f t="shared" si="109"/>
        <v>-1.4101057579318454E-2</v>
      </c>
      <c r="BR18" s="223">
        <f t="shared" ref="BR18:BW18" si="143">BR6/BD6-1</f>
        <v>-4.7361299052773975E-2</v>
      </c>
      <c r="BS18" s="223">
        <f t="shared" si="143"/>
        <v>0.19219712525667343</v>
      </c>
      <c r="BT18" s="223">
        <f t="shared" si="143"/>
        <v>0.12171738224260098</v>
      </c>
      <c r="BU18" s="717">
        <f t="shared" si="143"/>
        <v>-0.20214356929212363</v>
      </c>
      <c r="BV18" s="223">
        <f t="shared" si="143"/>
        <v>7.8030954428202959E-2</v>
      </c>
      <c r="BW18" s="223">
        <f t="shared" si="143"/>
        <v>-8.0954609265325272E-2</v>
      </c>
      <c r="BX18" s="1270">
        <f>BX6/BJ6-1</f>
        <v>-1.4101057579318454E-2</v>
      </c>
      <c r="BY18" s="223">
        <f t="shared" si="111"/>
        <v>-4.7348484848486194E-4</v>
      </c>
      <c r="BZ18" s="223">
        <f t="shared" si="112"/>
        <v>-0.15949018256975545</v>
      </c>
      <c r="CA18" s="223">
        <f t="shared" si="113"/>
        <v>-0.11371237458193983</v>
      </c>
      <c r="CB18" s="717">
        <f t="shared" si="114"/>
        <v>9.6532333645735768E-2</v>
      </c>
      <c r="CC18" s="223">
        <f t="shared" si="115"/>
        <v>-9.2522432701894308E-2</v>
      </c>
      <c r="CD18" s="223">
        <f t="shared" si="116"/>
        <v>5.0916496945019318E-4</v>
      </c>
      <c r="CE18" s="1270">
        <f>CE6/BQ6-1</f>
        <v>-4.2266434399926611E-2</v>
      </c>
      <c r="CF18" s="223">
        <f t="shared" si="117"/>
        <v>1.8948365703457259E-3</v>
      </c>
      <c r="CG18" s="223">
        <f t="shared" si="118"/>
        <v>-6.9672131147541227E-3</v>
      </c>
      <c r="CH18" s="223">
        <f t="shared" si="119"/>
        <v>-1.7610062893081757E-2</v>
      </c>
      <c r="CI18" s="717">
        <f t="shared" si="120"/>
        <v>-5.8404558404558382E-2</v>
      </c>
      <c r="CJ18" s="223">
        <f t="shared" si="121"/>
        <v>-2.8565150516369764E-3</v>
      </c>
      <c r="CK18" s="223">
        <f t="shared" si="122"/>
        <v>-4.1899915182357916E-2</v>
      </c>
      <c r="CL18" s="1270">
        <f>CL6/CE6-1</f>
        <v>-2.4889910013402239E-2</v>
      </c>
      <c r="CM18" s="223">
        <f t="shared" si="123"/>
        <v>0.15981087470449173</v>
      </c>
      <c r="CN18" s="223">
        <f t="shared" si="124"/>
        <v>7.4288072637226588E-2</v>
      </c>
      <c r="CO18" s="223">
        <f t="shared" si="125"/>
        <v>8.2799829278702441E-2</v>
      </c>
      <c r="CP18" s="717">
        <f t="shared" si="126"/>
        <v>0.10922844175491675</v>
      </c>
      <c r="CQ18" s="223">
        <f t="shared" si="127"/>
        <v>0.11414720141031287</v>
      </c>
      <c r="CR18" s="223">
        <f t="shared" si="128"/>
        <v>9.8264872521246494E-2</v>
      </c>
      <c r="CS18" s="1270">
        <f t="shared" si="129"/>
        <v>0.10534066365599837</v>
      </c>
      <c r="CT18" s="223">
        <f t="shared" si="129"/>
        <v>-6.2780269058295923E-2</v>
      </c>
      <c r="CU18" s="223">
        <f t="shared" si="129"/>
        <v>-9.565885516711492E-2</v>
      </c>
      <c r="CV18" s="223">
        <f t="shared" si="129"/>
        <v>-2.2467481277098966E-2</v>
      </c>
      <c r="CW18" s="717">
        <f t="shared" si="129"/>
        <v>0.18985270049099845</v>
      </c>
      <c r="CX18" s="223">
        <f t="shared" si="129"/>
        <v>-7.9707278481012667E-2</v>
      </c>
      <c r="CY18" s="223">
        <f t="shared" si="130"/>
        <v>0.10301467032081257</v>
      </c>
      <c r="CZ18" s="1270">
        <f t="shared" si="130"/>
        <v>2.096100897060138E-2</v>
      </c>
      <c r="DA18" s="1067">
        <f t="shared" si="130"/>
        <v>4.349717268377562E-2</v>
      </c>
      <c r="DB18" s="1067">
        <f t="shared" si="130"/>
        <v>9.8555649957519087E-2</v>
      </c>
      <c r="DC18" s="1067">
        <f t="shared" si="130"/>
        <v>5.8064516129032295E-2</v>
      </c>
      <c r="DD18" s="717">
        <f t="shared" si="130"/>
        <v>2.5447042640990292E-2</v>
      </c>
      <c r="DE18" s="1067">
        <f t="shared" si="130"/>
        <v>7.1351816032667159E-2</v>
      </c>
      <c r="DF18" s="223">
        <f t="shared" si="131"/>
        <v>3.726980415083303E-2</v>
      </c>
      <c r="DG18" s="1270">
        <f t="shared" si="132"/>
        <v>5.1065680730752572E-2</v>
      </c>
      <c r="DH18" s="223">
        <f t="shared" si="130"/>
        <v>0.10712796998749474</v>
      </c>
      <c r="DI18" s="1067">
        <f t="shared" si="130"/>
        <v>0.22080433101314778</v>
      </c>
      <c r="DJ18" s="1067">
        <f t="shared" si="133"/>
        <v>0.16730182926829262</v>
      </c>
      <c r="DK18" s="717">
        <f t="shared" si="130"/>
        <v>1.2519561815336422E-2</v>
      </c>
      <c r="DL18" s="1067">
        <f t="shared" si="133"/>
        <v>0.16609829488465389</v>
      </c>
      <c r="DM18" s="223">
        <f t="shared" si="133"/>
        <v>6.974778075243071E-2</v>
      </c>
      <c r="DN18" s="1279">
        <f t="shared" si="133"/>
        <v>0.10950173812282737</v>
      </c>
      <c r="DO18" s="1067">
        <f t="shared" si="133"/>
        <v>6.6265060240963791E-2</v>
      </c>
      <c r="DP18" s="1067">
        <f t="shared" si="133"/>
        <v>0.10357934748178654</v>
      </c>
      <c r="DQ18" s="321">
        <f t="shared" si="133"/>
        <v>9.1500000000000137E-2</v>
      </c>
      <c r="DR18" s="444">
        <f t="shared" si="133"/>
        <v>7.5680172223449027E-2</v>
      </c>
      <c r="DS18" s="274">
        <f t="shared" si="133"/>
        <v>8.6530190951316088E-2</v>
      </c>
      <c r="DT18" s="321">
        <f t="shared" si="134"/>
        <v>8.2062697576396282E-2</v>
      </c>
      <c r="DU18" s="387">
        <f t="shared" si="134"/>
        <v>8.4000000000000075E-2</v>
      </c>
      <c r="DV18" s="321">
        <f t="shared" si="134"/>
        <v>6.6750000000000087E-2</v>
      </c>
      <c r="DW18" s="321">
        <f t="shared" si="134"/>
        <v>6.7656429391504069E-2</v>
      </c>
      <c r="DX18" s="321">
        <f t="shared" si="134"/>
        <v>6.6628492899679204E-2</v>
      </c>
      <c r="DY18" s="444">
        <f t="shared" si="134"/>
        <v>6.7679263665838763E-2</v>
      </c>
      <c r="DZ18" s="321">
        <f t="shared" si="134"/>
        <v>6.7250000000000032E-2</v>
      </c>
      <c r="EA18" s="321">
        <f t="shared" si="134"/>
        <v>6.7251631767177633E-2</v>
      </c>
      <c r="EB18" s="387">
        <f t="shared" si="134"/>
        <v>6.7250922509225042E-2</v>
      </c>
      <c r="EC18" s="321">
        <f t="shared" si="134"/>
        <v>5.0000000000000044E-2</v>
      </c>
      <c r="ED18" s="321">
        <f t="shared" si="135"/>
        <v>5.0000000000000266E-2</v>
      </c>
      <c r="EE18" s="321">
        <f t="shared" si="135"/>
        <v>5.0000000000000044E-2</v>
      </c>
      <c r="EF18" s="444">
        <f t="shared" si="135"/>
        <v>5.0000000000000044E-2</v>
      </c>
      <c r="EG18" s="321">
        <f t="shared" si="135"/>
        <v>5.0000000000000044E-2</v>
      </c>
      <c r="EH18" s="321">
        <f t="shared" si="135"/>
        <v>5.0000000000000266E-2</v>
      </c>
      <c r="EI18" s="387">
        <f t="shared" si="135"/>
        <v>5.0000000000000266E-2</v>
      </c>
      <c r="EJ18" s="321">
        <f t="shared" si="135"/>
        <v>4.9999999999999822E-2</v>
      </c>
      <c r="EK18" s="321">
        <f t="shared" si="135"/>
        <v>5.0000000000000266E-2</v>
      </c>
      <c r="EL18" s="321">
        <f t="shared" si="135"/>
        <v>5.0000000000000044E-2</v>
      </c>
      <c r="EM18" s="444">
        <f t="shared" si="135"/>
        <v>5.0000000000000044E-2</v>
      </c>
      <c r="EN18" s="321">
        <f t="shared" si="136"/>
        <v>5.0000000000000044E-2</v>
      </c>
      <c r="EO18" s="321">
        <f t="shared" si="136"/>
        <v>5.0000000000000044E-2</v>
      </c>
      <c r="EP18" s="387">
        <f t="shared" si="136"/>
        <v>4.9999999999999822E-2</v>
      </c>
      <c r="EQ18" s="321">
        <f t="shared" si="136"/>
        <v>5.0000000000000044E-2</v>
      </c>
      <c r="ER18" s="321">
        <f t="shared" si="136"/>
        <v>4.9999999999999822E-2</v>
      </c>
      <c r="ES18" s="321">
        <f t="shared" si="136"/>
        <v>5.0000000000000044E-2</v>
      </c>
      <c r="ET18" s="444">
        <f t="shared" si="136"/>
        <v>4.9999999999999822E-2</v>
      </c>
      <c r="EU18" s="321">
        <f t="shared" si="136"/>
        <v>5.0000000000000044E-2</v>
      </c>
      <c r="EV18" s="321">
        <f t="shared" si="136"/>
        <v>5.0000000000000044E-2</v>
      </c>
      <c r="EW18" s="387">
        <f t="shared" si="136"/>
        <v>5.0000000000000266E-2</v>
      </c>
    </row>
    <row r="19" spans="1:153" ht="10.199999999999999" hidden="1" customHeight="1" outlineLevel="1">
      <c r="A19" s="127" t="str">
        <f>A7</f>
        <v>Airbus Military</v>
      </c>
      <c r="B19" s="812"/>
      <c r="C19" s="812">
        <f t="shared" ref="C19:M19" si="144">C7/B7-1</f>
        <v>-4.2047531992687404E-2</v>
      </c>
      <c r="D19" s="812">
        <f t="shared" si="144"/>
        <v>0.78244274809160297</v>
      </c>
      <c r="E19" s="812">
        <f t="shared" si="144"/>
        <v>0.3961456102783727</v>
      </c>
      <c r="F19" s="812">
        <f t="shared" si="144"/>
        <v>-0.41487730061349692</v>
      </c>
      <c r="G19" s="812">
        <f t="shared" si="144"/>
        <v>1.8833551769331587</v>
      </c>
      <c r="H19" s="812">
        <f t="shared" si="144"/>
        <v>-0.48181818181818181</v>
      </c>
      <c r="I19" s="812">
        <f t="shared" si="144"/>
        <v>1.4201754385964911</v>
      </c>
      <c r="J19" s="812">
        <f t="shared" si="144"/>
        <v>-0.18992388546574845</v>
      </c>
      <c r="K19" s="812">
        <f t="shared" si="144"/>
        <v>0.20089485458612977</v>
      </c>
      <c r="L19" s="812">
        <f t="shared" si="144"/>
        <v>-6.7064083457526125E-2</v>
      </c>
      <c r="M19" s="812">
        <f t="shared" si="144"/>
        <v>-0.14896166134185307</v>
      </c>
      <c r="N19" s="901"/>
      <c r="O19" s="901"/>
      <c r="P19" s="901"/>
      <c r="Q19" s="1122"/>
      <c r="R19" s="901"/>
      <c r="S19" s="901"/>
      <c r="T19" s="1081"/>
      <c r="U19" s="901"/>
      <c r="V19" s="901"/>
      <c r="W19" s="901"/>
      <c r="X19" s="1122"/>
      <c r="Y19" s="901"/>
      <c r="Z19" s="901"/>
      <c r="AA19" s="1081"/>
      <c r="AB19" s="901"/>
      <c r="AC19" s="901"/>
      <c r="AD19" s="901"/>
      <c r="AE19" s="1122"/>
      <c r="AF19" s="901"/>
      <c r="AG19" s="901"/>
      <c r="AH19" s="1081"/>
      <c r="AI19" s="901"/>
      <c r="AJ19" s="901"/>
      <c r="AK19" s="901"/>
      <c r="AL19" s="1122"/>
      <c r="AM19" s="901"/>
      <c r="AN19" s="901"/>
      <c r="AO19" s="1081"/>
      <c r="AP19" s="1739"/>
      <c r="AQ19" s="1739"/>
      <c r="AR19" s="1739"/>
      <c r="AS19" s="1740"/>
      <c r="AT19" s="1739"/>
      <c r="AU19" s="1739"/>
      <c r="AV19" s="1081"/>
      <c r="AW19" s="1739"/>
      <c r="AX19" s="1739"/>
      <c r="AY19" s="1739"/>
      <c r="AZ19" s="1740"/>
      <c r="BA19" s="1739"/>
      <c r="BB19" s="1739"/>
      <c r="BC19" s="1081"/>
      <c r="BD19" s="901"/>
      <c r="BE19" s="901"/>
      <c r="BF19" s="901"/>
      <c r="BG19" s="1122"/>
      <c r="BH19" s="901"/>
      <c r="BI19" s="901"/>
      <c r="BJ19" s="1081"/>
      <c r="BK19" s="1739"/>
      <c r="BL19" s="1739"/>
      <c r="BM19" s="1739"/>
      <c r="BN19" s="1740"/>
      <c r="BO19" s="1739"/>
      <c r="BP19" s="1739"/>
      <c r="BQ19" s="1081"/>
      <c r="BR19" s="1739"/>
      <c r="BS19" s="1739"/>
      <c r="BT19" s="1739"/>
      <c r="BU19" s="1740"/>
      <c r="BV19" s="1739"/>
      <c r="BW19" s="1739"/>
      <c r="BX19" s="1081"/>
      <c r="BY19" s="901"/>
      <c r="BZ19" s="901"/>
      <c r="CA19" s="901"/>
      <c r="CB19" s="1122"/>
      <c r="CC19" s="901"/>
      <c r="CD19" s="901"/>
      <c r="CE19" s="1081"/>
      <c r="CF19" s="901"/>
      <c r="CG19" s="901"/>
      <c r="CH19" s="901"/>
      <c r="CI19" s="1122"/>
      <c r="CJ19" s="901"/>
      <c r="CK19" s="901"/>
      <c r="CL19" s="1081"/>
      <c r="CM19" s="901"/>
      <c r="CN19" s="901"/>
      <c r="CO19" s="901"/>
      <c r="CP19" s="1122"/>
      <c r="CQ19" s="901"/>
      <c r="CR19" s="901"/>
      <c r="CS19" s="1081"/>
      <c r="CT19" s="901"/>
      <c r="CU19" s="901"/>
      <c r="CV19" s="901"/>
      <c r="CW19" s="1122"/>
      <c r="CX19" s="901"/>
      <c r="CY19" s="901"/>
      <c r="CZ19" s="1081"/>
      <c r="DA19" s="901"/>
      <c r="DB19" s="901"/>
      <c r="DC19" s="901"/>
      <c r="DD19" s="1122"/>
      <c r="DE19" s="901"/>
      <c r="DF19" s="901"/>
      <c r="DG19" s="1081"/>
      <c r="DH19" s="1067"/>
      <c r="DI19" s="901"/>
      <c r="DJ19" s="901"/>
      <c r="DK19" s="1122"/>
      <c r="DL19" s="901"/>
      <c r="DM19" s="901"/>
      <c r="DN19" s="1642"/>
      <c r="DO19" s="1067"/>
      <c r="DP19" s="901"/>
      <c r="DQ19" s="1067"/>
      <c r="DR19" s="1097"/>
      <c r="DS19" s="1205"/>
      <c r="DT19" s="1067"/>
      <c r="DU19" s="1081"/>
      <c r="DV19" s="1067"/>
      <c r="DW19" s="1067"/>
      <c r="DX19" s="1067"/>
      <c r="DY19" s="1097"/>
      <c r="DZ19" s="1067"/>
      <c r="EA19" s="1067"/>
      <c r="EB19" s="1081"/>
      <c r="EC19" s="1067"/>
      <c r="ED19" s="1067"/>
      <c r="EE19" s="1067"/>
      <c r="EF19" s="1097"/>
      <c r="EG19" s="1067"/>
      <c r="EH19" s="1067"/>
      <c r="EI19" s="1081"/>
      <c r="EJ19" s="1067"/>
      <c r="EK19" s="1067"/>
      <c r="EL19" s="1067"/>
      <c r="EM19" s="1097"/>
      <c r="EN19" s="1067"/>
      <c r="EO19" s="1067"/>
      <c r="EP19" s="1081"/>
      <c r="EQ19" s="1067"/>
      <c r="ER19" s="1067"/>
      <c r="ES19" s="1067"/>
      <c r="ET19" s="1097"/>
      <c r="EU19" s="1067"/>
      <c r="EV19" s="1067"/>
      <c r="EW19" s="1081"/>
    </row>
    <row r="20" spans="1:153" ht="10.199999999999999" hidden="1" customHeight="1" outlineLevel="1">
      <c r="A20" s="127" t="str">
        <f>A8</f>
        <v>Cassidian</v>
      </c>
      <c r="B20" s="1067"/>
      <c r="C20" s="1067">
        <f t="shared" ref="C20:M20" si="145">C8/B8-1</f>
        <v>0.42600896860986537</v>
      </c>
      <c r="D20" s="1067">
        <f t="shared" si="145"/>
        <v>8.2809224318658226E-2</v>
      </c>
      <c r="E20" s="1067">
        <f t="shared" si="145"/>
        <v>4.2594385285575909E-2</v>
      </c>
      <c r="F20" s="1067">
        <f t="shared" si="145"/>
        <v>4.6610956360259914E-2</v>
      </c>
      <c r="G20" s="1067">
        <f t="shared" si="145"/>
        <v>4.0454222853087307E-2</v>
      </c>
      <c r="H20" s="1067">
        <f t="shared" si="145"/>
        <v>-8.0491132332878634E-2</v>
      </c>
      <c r="I20" s="1067">
        <f t="shared" si="145"/>
        <v>5.1186943620177949E-2</v>
      </c>
      <c r="J20" s="1067">
        <f t="shared" si="145"/>
        <v>-5.3810868031051506E-2</v>
      </c>
      <c r="K20" s="1067">
        <f t="shared" si="145"/>
        <v>0.10628379638262175</v>
      </c>
      <c r="L20" s="1067">
        <f t="shared" si="145"/>
        <v>-2.1911343333895217E-2</v>
      </c>
      <c r="M20" s="1067">
        <f t="shared" si="145"/>
        <v>-1.0856453558504175E-2</v>
      </c>
      <c r="N20" s="901"/>
      <c r="O20" s="901"/>
      <c r="P20" s="901"/>
      <c r="Q20" s="1122"/>
      <c r="R20" s="901"/>
      <c r="S20" s="901"/>
      <c r="T20" s="1081"/>
      <c r="U20" s="901"/>
      <c r="V20" s="901"/>
      <c r="W20" s="901"/>
      <c r="X20" s="1122"/>
      <c r="Y20" s="901"/>
      <c r="Z20" s="901"/>
      <c r="AA20" s="1081"/>
      <c r="AB20" s="901"/>
      <c r="AC20" s="901"/>
      <c r="AD20" s="901"/>
      <c r="AE20" s="1122"/>
      <c r="AF20" s="901"/>
      <c r="AG20" s="901"/>
      <c r="AH20" s="1081"/>
      <c r="AI20" s="901"/>
      <c r="AJ20" s="901"/>
      <c r="AK20" s="901"/>
      <c r="AL20" s="1122"/>
      <c r="AM20" s="901"/>
      <c r="AN20" s="901"/>
      <c r="AO20" s="1081"/>
      <c r="AP20" s="1739"/>
      <c r="AQ20" s="1739"/>
      <c r="AR20" s="1739"/>
      <c r="AS20" s="1740"/>
      <c r="AT20" s="1739"/>
      <c r="AU20" s="1739"/>
      <c r="AV20" s="1081"/>
      <c r="AW20" s="1739"/>
      <c r="AX20" s="1739"/>
      <c r="AY20" s="1739"/>
      <c r="AZ20" s="1740"/>
      <c r="BA20" s="1739"/>
      <c r="BB20" s="1739"/>
      <c r="BC20" s="1081"/>
      <c r="BD20" s="901"/>
      <c r="BE20" s="901"/>
      <c r="BF20" s="901"/>
      <c r="BG20" s="1122"/>
      <c r="BH20" s="901"/>
      <c r="BI20" s="901"/>
      <c r="BJ20" s="1081"/>
      <c r="BK20" s="1739"/>
      <c r="BL20" s="1739"/>
      <c r="BM20" s="1739"/>
      <c r="BN20" s="1740"/>
      <c r="BO20" s="1739"/>
      <c r="BP20" s="1739"/>
      <c r="BQ20" s="1081"/>
      <c r="BR20" s="1739"/>
      <c r="BS20" s="1739"/>
      <c r="BT20" s="1739"/>
      <c r="BU20" s="1740"/>
      <c r="BV20" s="1739"/>
      <c r="BW20" s="1739"/>
      <c r="BX20" s="1081"/>
      <c r="BY20" s="901"/>
      <c r="BZ20" s="901"/>
      <c r="CA20" s="901"/>
      <c r="CB20" s="1122"/>
      <c r="CC20" s="901"/>
      <c r="CD20" s="901"/>
      <c r="CE20" s="1081"/>
      <c r="CF20" s="901"/>
      <c r="CG20" s="901"/>
      <c r="CH20" s="901"/>
      <c r="CI20" s="1122"/>
      <c r="CJ20" s="901"/>
      <c r="CK20" s="901"/>
      <c r="CL20" s="1081"/>
      <c r="CM20" s="901"/>
      <c r="CN20" s="901"/>
      <c r="CO20" s="901"/>
      <c r="CP20" s="1122"/>
      <c r="CQ20" s="901"/>
      <c r="CR20" s="901"/>
      <c r="CS20" s="1081"/>
      <c r="CT20" s="901"/>
      <c r="CU20" s="901"/>
      <c r="CV20" s="901"/>
      <c r="CW20" s="1122"/>
      <c r="CX20" s="901"/>
      <c r="CY20" s="901"/>
      <c r="CZ20" s="1081"/>
      <c r="DA20" s="901"/>
      <c r="DB20" s="901"/>
      <c r="DC20" s="901"/>
      <c r="DD20" s="1122"/>
      <c r="DE20" s="901"/>
      <c r="DF20" s="901"/>
      <c r="DG20" s="1081"/>
      <c r="DH20" s="1067"/>
      <c r="DI20" s="901"/>
      <c r="DJ20" s="901"/>
      <c r="DK20" s="1122"/>
      <c r="DL20" s="901"/>
      <c r="DM20" s="901"/>
      <c r="DN20" s="1642"/>
      <c r="DO20" s="1067"/>
      <c r="DP20" s="901"/>
      <c r="DQ20" s="1067"/>
      <c r="DR20" s="1097"/>
      <c r="DS20" s="1205"/>
      <c r="DT20" s="1067"/>
      <c r="DU20" s="1081"/>
      <c r="DV20" s="1067"/>
      <c r="DW20" s="1067"/>
      <c r="DX20" s="1067"/>
      <c r="DY20" s="1097"/>
      <c r="DZ20" s="1067"/>
      <c r="EA20" s="1067"/>
      <c r="EB20" s="1081"/>
      <c r="EC20" s="1067"/>
      <c r="ED20" s="1067"/>
      <c r="EE20" s="1067"/>
      <c r="EF20" s="1097"/>
      <c r="EG20" s="1067"/>
      <c r="EH20" s="1067"/>
      <c r="EI20" s="1081"/>
      <c r="EJ20" s="1067"/>
      <c r="EK20" s="1067"/>
      <c r="EL20" s="1067"/>
      <c r="EM20" s="1097"/>
      <c r="EN20" s="1067"/>
      <c r="EO20" s="1067"/>
      <c r="EP20" s="1081"/>
      <c r="EQ20" s="1067"/>
      <c r="ER20" s="1067"/>
      <c r="ES20" s="1067"/>
      <c r="ET20" s="1097"/>
      <c r="EU20" s="1067"/>
      <c r="EV20" s="1067"/>
      <c r="EW20" s="1081"/>
    </row>
    <row r="21" spans="1:153" ht="10.199999999999999" hidden="1" customHeight="1" outlineLevel="1">
      <c r="A21" s="127" t="str">
        <f>A9</f>
        <v>Astrium</v>
      </c>
      <c r="B21" s="1067"/>
      <c r="C21" s="1067">
        <f t="shared" ref="C21:M21" si="146">C9/B9-1</f>
        <v>-9.1430914309143074E-2</v>
      </c>
      <c r="D21" s="1067">
        <f t="shared" si="146"/>
        <v>9.3862815884476536E-2</v>
      </c>
      <c r="E21" s="1067">
        <f t="shared" si="146"/>
        <v>6.9306930693069368E-2</v>
      </c>
      <c r="F21" s="1067">
        <f t="shared" si="146"/>
        <v>4.0895061728394966E-2</v>
      </c>
      <c r="G21" s="1067">
        <f t="shared" si="146"/>
        <v>0.19051148999258705</v>
      </c>
      <c r="H21" s="1067">
        <f t="shared" si="146"/>
        <v>0.10523038605230384</v>
      </c>
      <c r="I21" s="1067">
        <f t="shared" si="146"/>
        <v>0.20816901408450694</v>
      </c>
      <c r="J21" s="1067">
        <f t="shared" si="146"/>
        <v>0.11890883655863838</v>
      </c>
      <c r="K21" s="1067">
        <f t="shared" si="146"/>
        <v>4.2508856011669094E-2</v>
      </c>
      <c r="L21" s="1067">
        <f t="shared" si="146"/>
        <v>-7.7953228063162294E-3</v>
      </c>
      <c r="M21" s="1067">
        <f t="shared" si="146"/>
        <v>0.1718372280419016</v>
      </c>
      <c r="N21" s="901"/>
      <c r="O21" s="901"/>
      <c r="P21" s="901"/>
      <c r="Q21" s="1122"/>
      <c r="R21" s="901"/>
      <c r="S21" s="901"/>
      <c r="T21" s="1081"/>
      <c r="U21" s="901"/>
      <c r="V21" s="901"/>
      <c r="W21" s="901"/>
      <c r="X21" s="1122"/>
      <c r="Y21" s="901"/>
      <c r="Z21" s="901"/>
      <c r="AA21" s="1081"/>
      <c r="AB21" s="901"/>
      <c r="AC21" s="901"/>
      <c r="AD21" s="901"/>
      <c r="AE21" s="1122"/>
      <c r="AF21" s="901"/>
      <c r="AG21" s="901"/>
      <c r="AH21" s="1081"/>
      <c r="AI21" s="901"/>
      <c r="AJ21" s="901"/>
      <c r="AK21" s="901"/>
      <c r="AL21" s="1122"/>
      <c r="AM21" s="901"/>
      <c r="AN21" s="901"/>
      <c r="AO21" s="1081"/>
      <c r="AP21" s="1739"/>
      <c r="AQ21" s="1739"/>
      <c r="AR21" s="1739"/>
      <c r="AS21" s="1740"/>
      <c r="AT21" s="1739"/>
      <c r="AU21" s="1739"/>
      <c r="AV21" s="1081"/>
      <c r="AW21" s="1739"/>
      <c r="AX21" s="1739"/>
      <c r="AY21" s="1739"/>
      <c r="AZ21" s="1740"/>
      <c r="BA21" s="1739"/>
      <c r="BB21" s="1739"/>
      <c r="BC21" s="1081"/>
      <c r="BD21" s="901"/>
      <c r="BE21" s="901"/>
      <c r="BF21" s="901"/>
      <c r="BG21" s="1122"/>
      <c r="BH21" s="901"/>
      <c r="BI21" s="901"/>
      <c r="BJ21" s="1081"/>
      <c r="BK21" s="1739"/>
      <c r="BL21" s="1739"/>
      <c r="BM21" s="1739"/>
      <c r="BN21" s="1740"/>
      <c r="BO21" s="1739"/>
      <c r="BP21" s="1739"/>
      <c r="BQ21" s="1081"/>
      <c r="BR21" s="1739"/>
      <c r="BS21" s="1739"/>
      <c r="BT21" s="1739"/>
      <c r="BU21" s="1740"/>
      <c r="BV21" s="1739"/>
      <c r="BW21" s="1739"/>
      <c r="BX21" s="1081"/>
      <c r="BY21" s="901"/>
      <c r="BZ21" s="901"/>
      <c r="CA21" s="901"/>
      <c r="CB21" s="1122"/>
      <c r="CC21" s="901"/>
      <c r="CD21" s="901"/>
      <c r="CE21" s="1081"/>
      <c r="CF21" s="901"/>
      <c r="CG21" s="901"/>
      <c r="CH21" s="901"/>
      <c r="CI21" s="1122"/>
      <c r="CJ21" s="901"/>
      <c r="CK21" s="901"/>
      <c r="CL21" s="1081"/>
      <c r="CM21" s="901"/>
      <c r="CN21" s="901"/>
      <c r="CO21" s="901"/>
      <c r="CP21" s="1122"/>
      <c r="CQ21" s="901"/>
      <c r="CR21" s="901"/>
      <c r="CS21" s="1081"/>
      <c r="CT21" s="901"/>
      <c r="CU21" s="901"/>
      <c r="CV21" s="901"/>
      <c r="CW21" s="1122"/>
      <c r="CX21" s="901"/>
      <c r="CY21" s="901"/>
      <c r="CZ21" s="1081"/>
      <c r="DA21" s="901"/>
      <c r="DB21" s="901"/>
      <c r="DC21" s="901"/>
      <c r="DD21" s="1122"/>
      <c r="DE21" s="901"/>
      <c r="DF21" s="901"/>
      <c r="DG21" s="1081"/>
      <c r="DH21" s="1067"/>
      <c r="DI21" s="901"/>
      <c r="DJ21" s="901"/>
      <c r="DK21" s="1122"/>
      <c r="DL21" s="901"/>
      <c r="DM21" s="901"/>
      <c r="DN21" s="1642"/>
      <c r="DO21" s="1067"/>
      <c r="DP21" s="901"/>
      <c r="DQ21" s="1067"/>
      <c r="DR21" s="1097"/>
      <c r="DS21" s="1205"/>
      <c r="DT21" s="1067"/>
      <c r="DU21" s="1081"/>
      <c r="DV21" s="1067"/>
      <c r="DW21" s="1067"/>
      <c r="DX21" s="1067"/>
      <c r="DY21" s="1097"/>
      <c r="DZ21" s="1067"/>
      <c r="EA21" s="1067"/>
      <c r="EB21" s="1081"/>
      <c r="EC21" s="1067"/>
      <c r="ED21" s="1067"/>
      <c r="EE21" s="1067"/>
      <c r="EF21" s="1097"/>
      <c r="EG21" s="1067"/>
      <c r="EH21" s="1067"/>
      <c r="EI21" s="1081"/>
      <c r="EJ21" s="1067"/>
      <c r="EK21" s="1067"/>
      <c r="EL21" s="1067"/>
      <c r="EM21" s="1097"/>
      <c r="EN21" s="1067"/>
      <c r="EO21" s="1067"/>
      <c r="EP21" s="1081"/>
      <c r="EQ21" s="1067"/>
      <c r="ER21" s="1067"/>
      <c r="ES21" s="1067"/>
      <c r="ET21" s="1097"/>
      <c r="EU21" s="1067"/>
      <c r="EV21" s="1067"/>
      <c r="EW21" s="1081"/>
    </row>
    <row r="22" spans="1:153" ht="10.199999999999999" hidden="1" customHeight="1" outlineLevel="1">
      <c r="A22" s="127" t="str">
        <f>A10</f>
        <v>Other Businesses</v>
      </c>
      <c r="B22" s="1067"/>
      <c r="C22" s="1067">
        <f t="shared" ref="C22:M22" si="147">C10/B10-1</f>
        <v>-0.49536031589338592</v>
      </c>
      <c r="D22" s="1067">
        <f t="shared" si="147"/>
        <v>5.8076856198921778E-2</v>
      </c>
      <c r="E22" s="1067">
        <f t="shared" si="147"/>
        <v>-0.10435497124075599</v>
      </c>
      <c r="F22" s="1067">
        <f t="shared" si="147"/>
        <v>5.9633027522935755E-2</v>
      </c>
      <c r="G22" s="1067">
        <f t="shared" si="147"/>
        <v>8.8311688311688341E-2</v>
      </c>
      <c r="H22" s="1067">
        <f t="shared" si="147"/>
        <v>0.11933174224343679</v>
      </c>
      <c r="I22" s="1067">
        <f t="shared" si="147"/>
        <v>-4.9040511727078906E-2</v>
      </c>
      <c r="J22" s="1067">
        <f t="shared" si="147"/>
        <v>-0.18086696562032889</v>
      </c>
      <c r="K22" s="1067">
        <f t="shared" si="147"/>
        <v>7.8467153284671465E-2</v>
      </c>
      <c r="L22" s="1067">
        <f t="shared" si="147"/>
        <v>5.9221658206429773E-2</v>
      </c>
      <c r="M22" s="1067">
        <f t="shared" si="147"/>
        <v>0.21725239616613412</v>
      </c>
      <c r="N22" s="901"/>
      <c r="O22" s="901"/>
      <c r="P22" s="901"/>
      <c r="Q22" s="1122"/>
      <c r="R22" s="901"/>
      <c r="S22" s="901"/>
      <c r="T22" s="1081"/>
      <c r="U22" s="901"/>
      <c r="V22" s="901"/>
      <c r="W22" s="901"/>
      <c r="X22" s="1122"/>
      <c r="Y22" s="901"/>
      <c r="Z22" s="901"/>
      <c r="AA22" s="1081"/>
      <c r="AB22" s="901"/>
      <c r="AC22" s="901"/>
      <c r="AD22" s="901"/>
      <c r="AE22" s="1122"/>
      <c r="AF22" s="901"/>
      <c r="AG22" s="901"/>
      <c r="AH22" s="1081"/>
      <c r="AI22" s="901"/>
      <c r="AJ22" s="901"/>
      <c r="AK22" s="901"/>
      <c r="AL22" s="1122"/>
      <c r="AM22" s="901"/>
      <c r="AN22" s="901"/>
      <c r="AO22" s="1081"/>
      <c r="AP22" s="1739"/>
      <c r="AQ22" s="1739"/>
      <c r="AR22" s="1739"/>
      <c r="AS22" s="1740"/>
      <c r="AT22" s="1739"/>
      <c r="AU22" s="1739"/>
      <c r="AV22" s="1081"/>
      <c r="AW22" s="1739"/>
      <c r="AX22" s="1739"/>
      <c r="AY22" s="1739"/>
      <c r="AZ22" s="1740"/>
      <c r="BA22" s="1739"/>
      <c r="BB22" s="1739"/>
      <c r="BC22" s="1081"/>
      <c r="BD22" s="901"/>
      <c r="BE22" s="901"/>
      <c r="BF22" s="901"/>
      <c r="BG22" s="1122"/>
      <c r="BH22" s="901"/>
      <c r="BI22" s="901"/>
      <c r="BJ22" s="1081"/>
      <c r="BK22" s="1739"/>
      <c r="BL22" s="1739"/>
      <c r="BM22" s="1739"/>
      <c r="BN22" s="1740"/>
      <c r="BO22" s="1739"/>
      <c r="BP22" s="1739"/>
      <c r="BQ22" s="1081"/>
      <c r="BR22" s="1739"/>
      <c r="BS22" s="1739"/>
      <c r="BT22" s="1739"/>
      <c r="BU22" s="1740"/>
      <c r="BV22" s="1739"/>
      <c r="BW22" s="1739"/>
      <c r="BX22" s="1081"/>
      <c r="BY22" s="901"/>
      <c r="BZ22" s="901"/>
      <c r="CA22" s="901"/>
      <c r="CB22" s="1122"/>
      <c r="CC22" s="901"/>
      <c r="CD22" s="901"/>
      <c r="CE22" s="1081"/>
      <c r="CF22" s="901"/>
      <c r="CG22" s="901"/>
      <c r="CH22" s="901"/>
      <c r="CI22" s="1122"/>
      <c r="CJ22" s="901"/>
      <c r="CK22" s="901"/>
      <c r="CL22" s="1081"/>
      <c r="CM22" s="901"/>
      <c r="CN22" s="901"/>
      <c r="CO22" s="901"/>
      <c r="CP22" s="1122"/>
      <c r="CQ22" s="901"/>
      <c r="CR22" s="901"/>
      <c r="CS22" s="1081"/>
      <c r="CT22" s="901"/>
      <c r="CU22" s="901"/>
      <c r="CV22" s="901"/>
      <c r="CW22" s="1122"/>
      <c r="CX22" s="901"/>
      <c r="CY22" s="901"/>
      <c r="CZ22" s="1081"/>
      <c r="DA22" s="901"/>
      <c r="DB22" s="901"/>
      <c r="DC22" s="901"/>
      <c r="DD22" s="1122"/>
      <c r="DE22" s="901"/>
      <c r="DF22" s="901"/>
      <c r="DG22" s="1081"/>
      <c r="DH22" s="1067"/>
      <c r="DI22" s="901"/>
      <c r="DJ22" s="901"/>
      <c r="DK22" s="1122"/>
      <c r="DL22" s="901"/>
      <c r="DM22" s="901"/>
      <c r="DN22" s="1642"/>
      <c r="DO22" s="1067"/>
      <c r="DP22" s="901"/>
      <c r="DQ22" s="1067"/>
      <c r="DR22" s="1097"/>
      <c r="DS22" s="1205"/>
      <c r="DT22" s="1067"/>
      <c r="DU22" s="1081"/>
      <c r="DV22" s="1067"/>
      <c r="DW22" s="1067"/>
      <c r="DX22" s="1067"/>
      <c r="DY22" s="1097"/>
      <c r="DZ22" s="1067"/>
      <c r="EA22" s="1067"/>
      <c r="EB22" s="1081"/>
      <c r="EC22" s="1067"/>
      <c r="ED22" s="1067"/>
      <c r="EE22" s="1067"/>
      <c r="EF22" s="1097"/>
      <c r="EG22" s="1067"/>
      <c r="EH22" s="1067"/>
      <c r="EI22" s="1081"/>
      <c r="EJ22" s="1067"/>
      <c r="EK22" s="1067"/>
      <c r="EL22" s="1067"/>
      <c r="EM22" s="1097"/>
      <c r="EN22" s="1067"/>
      <c r="EO22" s="1067"/>
      <c r="EP22" s="1081"/>
      <c r="EQ22" s="1067"/>
      <c r="ER22" s="1067"/>
      <c r="ES22" s="1067"/>
      <c r="ET22" s="1097"/>
      <c r="EU22" s="1067"/>
      <c r="EV22" s="1067"/>
      <c r="EW22" s="1081"/>
    </row>
    <row r="23" spans="1:153" ht="10.199999999999999" customHeight="1" collapsed="1">
      <c r="A23" s="48" t="s">
        <v>146</v>
      </c>
      <c r="B23" s="288"/>
      <c r="C23" s="288">
        <f t="shared" ref="C23:M23" si="148">C13/B13-1</f>
        <v>-2.9125267874537286E-2</v>
      </c>
      <c r="D23" s="288">
        <f t="shared" si="148"/>
        <v>7.7589378281663901E-3</v>
      </c>
      <c r="E23" s="288">
        <f t="shared" si="148"/>
        <v>5.4027146317990216E-2</v>
      </c>
      <c r="F23" s="288">
        <f t="shared" si="148"/>
        <v>7.6981203362614492E-2</v>
      </c>
      <c r="G23" s="288">
        <f t="shared" si="148"/>
        <v>0.15283868327194061</v>
      </c>
      <c r="H23" s="288">
        <f t="shared" si="148"/>
        <v>-7.8865953238321795E-3</v>
      </c>
      <c r="I23" s="288">
        <f t="shared" si="148"/>
        <v>0.10587122664417348</v>
      </c>
      <c r="J23" s="288">
        <f t="shared" si="148"/>
        <v>-1.0239223390731578E-2</v>
      </c>
      <c r="K23" s="288">
        <f t="shared" si="148"/>
        <v>6.8422773340806042E-2</v>
      </c>
      <c r="L23" s="288">
        <f t="shared" si="148"/>
        <v>7.3789123972722415E-2</v>
      </c>
      <c r="M23" s="288">
        <f t="shared" si="148"/>
        <v>0.1496498941540465</v>
      </c>
      <c r="N23" s="288"/>
      <c r="O23" s="288"/>
      <c r="P23" s="288"/>
      <c r="Q23" s="1271"/>
      <c r="R23" s="288"/>
      <c r="S23" s="288"/>
      <c r="T23" s="347">
        <f>T13/M13-1</f>
        <v>1.9245750708215326E-2</v>
      </c>
      <c r="U23" s="288">
        <f t="shared" ref="U23" si="149">U13/N13-1</f>
        <v>4.5807838597651696E-2</v>
      </c>
      <c r="V23" s="288">
        <f t="shared" ref="V23" si="150">V13/O13-1</f>
        <v>7.1891573364761374E-2</v>
      </c>
      <c r="W23" s="288">
        <f t="shared" ref="W23" si="151">W13/P13-1</f>
        <v>1.5063643895458778E-3</v>
      </c>
      <c r="X23" s="1271">
        <f t="shared" ref="X23" si="152">X13/Q13-1</f>
        <v>8.5714285714285632E-2</v>
      </c>
      <c r="Y23" s="288">
        <f t="shared" ref="Y23" si="153">Y13/R13-1</f>
        <v>5.9602649006622599E-2</v>
      </c>
      <c r="Z23" s="288">
        <f t="shared" ref="Z23" si="154">Z13/S13-1</f>
        <v>5.0663071762234724E-2</v>
      </c>
      <c r="AA23" s="347">
        <f>AA13/T13-1</f>
        <v>5.4649365087636959E-2</v>
      </c>
      <c r="AB23" s="288">
        <f t="shared" ref="AB23" si="155">AB13/U13-1</f>
        <v>-4.5066413662239069E-2</v>
      </c>
      <c r="AC23" s="288">
        <f t="shared" ref="AC23" si="156">AC13/V13-1</f>
        <v>0.15551126992853215</v>
      </c>
      <c r="AD23" s="288">
        <f t="shared" ref="AD23" si="157">AD13/W13-1</f>
        <v>5.8283823418816327E-2</v>
      </c>
      <c r="AE23" s="1271">
        <f t="shared" ref="AE23" si="158">AE13/X13-1</f>
        <v>6.2772061733280538E-2</v>
      </c>
      <c r="AF23" s="288">
        <f t="shared" ref="AF23" si="159">AF13/Y13-1</f>
        <v>6.2242647058823541E-2</v>
      </c>
      <c r="AG23" s="288">
        <f t="shared" ref="AG23" si="160">AG13/Z13-1</f>
        <v>6.0991257124101139E-2</v>
      </c>
      <c r="AH23" s="347">
        <f>AH13/AA13-1</f>
        <v>6.1551891687118054E-2</v>
      </c>
      <c r="AI23" s="288">
        <f t="shared" ref="AI23" si="161">AI13/AB13-1</f>
        <v>8.6934923000496767E-3</v>
      </c>
      <c r="AJ23" s="288">
        <f t="shared" ref="AJ23" si="162">AJ13/AC13-1</f>
        <v>-1.445138269402324E-2</v>
      </c>
      <c r="AK23" s="288">
        <f t="shared" ref="AK23" si="163">AK13/AD13-1</f>
        <v>-8.669698692438832E-3</v>
      </c>
      <c r="AL23" s="1271">
        <f t="shared" ref="AL23" si="164">AL13/AE13-1</f>
        <v>0.11128694437979991</v>
      </c>
      <c r="AM23" s="288">
        <f t="shared" ref="AM23" si="165">AM13/AF13-1</f>
        <v>-4.7762433807496674E-3</v>
      </c>
      <c r="AN23" s="288">
        <f t="shared" ref="AN23" si="166">AN13/AG13-1</f>
        <v>6.3813032595550823E-2</v>
      </c>
      <c r="AO23" s="347">
        <f>AO13/AH13-1</f>
        <v>3.3064391000775739E-2</v>
      </c>
      <c r="AP23" s="112">
        <f t="shared" ref="AP23:AU23" si="167">AP13/AI13-1</f>
        <v>6.6075679225149786E-2</v>
      </c>
      <c r="AQ23" s="112">
        <f t="shared" si="167"/>
        <v>-5.1351677528361117E-2</v>
      </c>
      <c r="AR23" s="112">
        <f t="shared" si="167"/>
        <v>2.1075268817204229E-2</v>
      </c>
      <c r="AS23" s="694">
        <f t="shared" si="167"/>
        <v>-2.5967498743507678E-3</v>
      </c>
      <c r="AT23" s="112">
        <f t="shared" si="167"/>
        <v>-1.5997217875152181E-3</v>
      </c>
      <c r="AU23" s="112">
        <f t="shared" si="167"/>
        <v>6.1333474329825499E-3</v>
      </c>
      <c r="AV23" s="347">
        <f>AV13/AO13-1</f>
        <v>2.7935897628452722E-3</v>
      </c>
      <c r="AW23" s="112">
        <f t="shared" ref="AW23:BB23" si="168">AW13/AI13-1</f>
        <v>-6.0822457522777595E-2</v>
      </c>
      <c r="AX23" s="112">
        <f t="shared" si="168"/>
        <v>-0.17131305817040787</v>
      </c>
      <c r="AY23" s="112">
        <f t="shared" si="168"/>
        <v>-8.0143369175627255E-2</v>
      </c>
      <c r="AZ23" s="694">
        <f t="shared" si="168"/>
        <v>-0.11982744178254312</v>
      </c>
      <c r="BA23" s="112">
        <f t="shared" si="168"/>
        <v>-0.12450008694140147</v>
      </c>
      <c r="BB23" s="112">
        <f t="shared" si="168"/>
        <v>-0.10519219584412842</v>
      </c>
      <c r="BC23" s="347">
        <f>BC13/AO13-1</f>
        <v>-0.11353088719003923</v>
      </c>
      <c r="BD23" s="288">
        <f t="shared" ref="BD23" si="169">BD13/AW13-1</f>
        <v>-0.11562663869952805</v>
      </c>
      <c r="BE23" s="288">
        <f t="shared" ref="BE23" si="170">BE13/AX13-1</f>
        <v>8.140974295492609E-2</v>
      </c>
      <c r="BF23" s="288">
        <f t="shared" ref="BF23" si="171">BF13/AY13-1</f>
        <v>0.20409912718204493</v>
      </c>
      <c r="BG23" s="1271">
        <f t="shared" ref="BG23" si="172">BG13/AZ13-1</f>
        <v>0.10806566738044254</v>
      </c>
      <c r="BH23" s="288">
        <f t="shared" ref="BH23" si="173">BH13/BA13-1</f>
        <v>-8.142999006951368E-3</v>
      </c>
      <c r="BI23" s="288">
        <f t="shared" ref="BI23" si="174">BI13/BB13-1</f>
        <v>0.14447366088575064</v>
      </c>
      <c r="BJ23" s="347">
        <f>BJ13/BC13-1</f>
        <v>7.937718138999017E-2</v>
      </c>
      <c r="BK23" s="112">
        <f t="shared" ref="BK23:BP23" si="175">BK13/BD13-1</f>
        <v>0.24014230655203073</v>
      </c>
      <c r="BL23" s="112">
        <f t="shared" si="175"/>
        <v>0.23338495724193664</v>
      </c>
      <c r="BM23" s="112">
        <f t="shared" si="175"/>
        <v>-9.6433887774254323E-3</v>
      </c>
      <c r="BN23" s="694">
        <f t="shared" si="175"/>
        <v>4.3974920553122132E-2</v>
      </c>
      <c r="BO23" s="112">
        <f t="shared" si="175"/>
        <v>0.23612334801762125</v>
      </c>
      <c r="BP23" s="112">
        <f t="shared" si="175"/>
        <v>2.2588223145829645E-2</v>
      </c>
      <c r="BQ23" s="347">
        <f>BQ13/BJ13-1</f>
        <v>0.10628345393755789</v>
      </c>
      <c r="BR23" s="112">
        <f t="shared" ref="BR23:BW23" si="176">BR13/BD13-1</f>
        <v>0.24014230655203073</v>
      </c>
      <c r="BS23" s="112">
        <f t="shared" si="176"/>
        <v>0.23338495724193664</v>
      </c>
      <c r="BT23" s="112">
        <f t="shared" si="176"/>
        <v>-9.6433887774254323E-3</v>
      </c>
      <c r="BU23" s="694">
        <f t="shared" si="176"/>
        <v>4.3974920553122132E-2</v>
      </c>
      <c r="BV23" s="112">
        <f t="shared" si="176"/>
        <v>0.23612334801762125</v>
      </c>
      <c r="BW23" s="112">
        <f t="shared" si="176"/>
        <v>2.2588223145829645E-2</v>
      </c>
      <c r="BX23" s="347">
        <f>BX13/BJ13-1</f>
        <v>0.10628345393755789</v>
      </c>
      <c r="BY23" s="288">
        <f t="shared" ref="BY23" si="177">BY13/BR13-1</f>
        <v>-0.15284086381384976</v>
      </c>
      <c r="BZ23" s="288">
        <f t="shared" ref="BZ23" si="178">BZ13/BS13-1</f>
        <v>-0.54594092919146142</v>
      </c>
      <c r="CA23" s="288">
        <f t="shared" ref="CA23" si="179">CA13/BT13-1</f>
        <v>-0.26721997124558883</v>
      </c>
      <c r="CB23" s="1271">
        <f t="shared" ref="CB23" si="180">CB13/BU13-1</f>
        <v>-0.18753599341834637</v>
      </c>
      <c r="CC23" s="288">
        <f t="shared" ref="CC23" si="181">CC13/BV13-1</f>
        <v>-0.38612065055400768</v>
      </c>
      <c r="CD23" s="288">
        <f t="shared" ref="CD23" si="182">CD13/BW13-1</f>
        <v>-0.21831768151065334</v>
      </c>
      <c r="CE23" s="347">
        <f>CE13/BQ13-1</f>
        <v>-0.29180737251340849</v>
      </c>
      <c r="CF23" s="288">
        <f t="shared" ref="CF23" si="183">CF13/BY13-1</f>
        <v>-1.6085034333552795E-2</v>
      </c>
      <c r="CG23" s="288">
        <f t="shared" ref="CG23" si="184">CG13/BZ13-1</f>
        <v>0.70458097871828795</v>
      </c>
      <c r="CH23" s="288">
        <f t="shared" ref="CH23" si="185">CH13/CA13-1</f>
        <v>-6.1981628466957983E-2</v>
      </c>
      <c r="CI23" s="1271">
        <f t="shared" ref="CI23" si="186">CI13/CB13-1</f>
        <v>-0.13958786896865982</v>
      </c>
      <c r="CJ23" s="288">
        <f t="shared" ref="CJ23" si="187">CJ13/CC13-1</f>
        <v>0.30024276968545482</v>
      </c>
      <c r="CK23" s="288">
        <f t="shared" ref="CK23" si="188">CK13/CD13-1</f>
        <v>-0.1114843043534427</v>
      </c>
      <c r="CL23" s="347">
        <f>CL13/CE13-1</f>
        <v>4.4818881230966445E-2</v>
      </c>
      <c r="CM23" s="288">
        <f t="shared" ref="CM23" si="189">CM13/CF13-1</f>
        <v>0.14722753346080308</v>
      </c>
      <c r="CN23" s="288">
        <f t="shared" ref="CN23" si="190">CN13/CG13-1</f>
        <v>-9.6423785003879492E-2</v>
      </c>
      <c r="CO23" s="288">
        <f t="shared" ref="CO23" si="191">CO13/CH13-1</f>
        <v>0.26535463015782468</v>
      </c>
      <c r="CP23" s="1271">
        <f t="shared" ref="CP23" si="192">CP13/CI13-1</f>
        <v>0.21478168765446637</v>
      </c>
      <c r="CQ23" s="288">
        <f t="shared" ref="CQ23" si="193">CQ13/CJ13-1</f>
        <v>7.0219588423914292E-3</v>
      </c>
      <c r="CR23" s="288">
        <f t="shared" ref="CR23" si="194">CR13/CK13-1</f>
        <v>0.2341160220994476</v>
      </c>
      <c r="CS23" s="347">
        <f>CS13/CL13-1</f>
        <v>0.12682889413028064</v>
      </c>
      <c r="CT23" s="288">
        <f t="shared" ref="CT23" si="195">CT13/CM13-1</f>
        <v>-1.9750000000000045E-2</v>
      </c>
      <c r="CU23" s="288">
        <f t="shared" ref="CU23" si="196">CU13/CN13-1</f>
        <v>0.24121779859484782</v>
      </c>
      <c r="CV23" s="288">
        <f t="shared" ref="CV23" si="197">CV13/CO13-1</f>
        <v>0.11931775490269736</v>
      </c>
      <c r="CW23" s="1271">
        <f t="shared" ref="CW23" si="198">CW13/CP13-1</f>
        <v>0.10860298391784529</v>
      </c>
      <c r="CX23" s="288">
        <f t="shared" ref="CX23" si="199">CX13/CQ13-1</f>
        <v>0.11499395405078605</v>
      </c>
      <c r="CY23" s="288">
        <f t="shared" ref="CY23" si="200">CY13/CR13-1</f>
        <v>0.11280299237180813</v>
      </c>
      <c r="CZ23" s="347">
        <f t="shared" ref="CZ23:EE23" si="201">CZ13/CS13-1</f>
        <v>0.11372802613889688</v>
      </c>
      <c r="DA23" s="288">
        <f t="shared" si="201"/>
        <v>9.0708152682138943E-2</v>
      </c>
      <c r="DB23" s="288">
        <f t="shared" si="201"/>
        <v>5.9748427672956517E-3</v>
      </c>
      <c r="DC23" s="288">
        <f t="shared" si="201"/>
        <v>5.3165066791971638E-2</v>
      </c>
      <c r="DD23" s="1271">
        <f t="shared" si="201"/>
        <v>7.9961548544962069E-2</v>
      </c>
      <c r="DE23" s="288">
        <f t="shared" si="201"/>
        <v>4.2005567002855848E-2</v>
      </c>
      <c r="DF23" s="288">
        <f t="shared" ref="DF23" si="202">DF13/CY13-1</f>
        <v>6.9396289336474126E-2</v>
      </c>
      <c r="DG23" s="347">
        <f t="shared" ref="DG23" si="203">DG13/CZ13-1</f>
        <v>5.7818659658344318E-2</v>
      </c>
      <c r="DH23" s="112">
        <f t="shared" si="201"/>
        <v>5.549493374902581E-2</v>
      </c>
      <c r="DI23" s="288">
        <f t="shared" si="201"/>
        <v>4.5639262269459024E-3</v>
      </c>
      <c r="DJ23" s="288">
        <f t="shared" si="201"/>
        <v>0.13621008349799224</v>
      </c>
      <c r="DK23" s="1271">
        <f t="shared" si="201"/>
        <v>5.1302799805793775E-2</v>
      </c>
      <c r="DL23" s="288">
        <f t="shared" si="201"/>
        <v>2.7233304423243787E-2</v>
      </c>
      <c r="DM23" s="288">
        <f t="shared" si="201"/>
        <v>8.4271748545972081E-2</v>
      </c>
      <c r="DN23" s="1845">
        <f t="shared" si="201"/>
        <v>6.0522894698829877E-2</v>
      </c>
      <c r="DO23" s="288">
        <f t="shared" si="201"/>
        <v>-6.5795303500221558E-2</v>
      </c>
      <c r="DP23" s="288">
        <f t="shared" si="201"/>
        <v>0.27738361961662927</v>
      </c>
      <c r="DQ23" s="451">
        <f t="shared" si="201"/>
        <v>8.8145448126925929E-2</v>
      </c>
      <c r="DR23" s="452">
        <f t="shared" si="201"/>
        <v>7.7003658880334669E-2</v>
      </c>
      <c r="DS23" s="2022">
        <f t="shared" si="201"/>
        <v>0.12043228638973313</v>
      </c>
      <c r="DT23" s="451">
        <f t="shared" si="201"/>
        <v>8.1537179426094175E-2</v>
      </c>
      <c r="DU23" s="1106">
        <f t="shared" si="201"/>
        <v>9.7223424552672189E-2</v>
      </c>
      <c r="DV23" s="451">
        <f t="shared" si="201"/>
        <v>0.59501338291515116</v>
      </c>
      <c r="DW23" s="451">
        <f t="shared" si="201"/>
        <v>8.4940580602116844E-2</v>
      </c>
      <c r="DX23" s="451">
        <f t="shared" si="201"/>
        <v>0.14262825048029448</v>
      </c>
      <c r="DY23" s="452">
        <f t="shared" si="201"/>
        <v>-0.10500950925607611</v>
      </c>
      <c r="DZ23" s="451">
        <f t="shared" si="201"/>
        <v>0.27944657957915453</v>
      </c>
      <c r="EA23" s="451">
        <f t="shared" si="201"/>
        <v>-3.6316744089857078E-3</v>
      </c>
      <c r="EB23" s="1106">
        <f t="shared" si="201"/>
        <v>0.11294752798738994</v>
      </c>
      <c r="EC23" s="451">
        <f t="shared" si="201"/>
        <v>8.5359257778114372E-2</v>
      </c>
      <c r="ED23" s="451">
        <f t="shared" si="201"/>
        <v>8.6041336643639887E-2</v>
      </c>
      <c r="EE23" s="451">
        <f t="shared" si="201"/>
        <v>8.6232921995229139E-2</v>
      </c>
      <c r="EF23" s="452">
        <f t="shared" ref="EF23:EW23" si="204">EF13/DY13-1</f>
        <v>9.6153221260538935E-2</v>
      </c>
      <c r="EG23" s="451">
        <f t="shared" si="204"/>
        <v>8.5717088424071886E-2</v>
      </c>
      <c r="EH23" s="451">
        <f t="shared" si="204"/>
        <v>9.1495902500084769E-2</v>
      </c>
      <c r="EI23" s="1106">
        <f t="shared" si="204"/>
        <v>8.8759999083123375E-2</v>
      </c>
      <c r="EJ23" s="451">
        <f t="shared" si="204"/>
        <v>7.2779841516056099E-2</v>
      </c>
      <c r="EK23" s="451">
        <f t="shared" si="204"/>
        <v>3.6914220315168667E-2</v>
      </c>
      <c r="EL23" s="451">
        <f t="shared" si="204"/>
        <v>3.6843382418693338E-2</v>
      </c>
      <c r="EM23" s="452">
        <f t="shared" si="204"/>
        <v>3.7500837635437545E-2</v>
      </c>
      <c r="EN23" s="451">
        <f t="shared" si="204"/>
        <v>5.3958482496367255E-2</v>
      </c>
      <c r="EO23" s="451">
        <f t="shared" si="204"/>
        <v>3.7193668046093586E-2</v>
      </c>
      <c r="EP23" s="1106">
        <f t="shared" si="204"/>
        <v>4.5108565778766208E-2</v>
      </c>
      <c r="EQ23" s="451">
        <f t="shared" si="204"/>
        <v>3.3481916142949375E-2</v>
      </c>
      <c r="ER23" s="451">
        <f t="shared" si="204"/>
        <v>3.4533853669138859E-2</v>
      </c>
      <c r="ES23" s="451">
        <f t="shared" si="204"/>
        <v>3.4485034048516328E-2</v>
      </c>
      <c r="ET23" s="452">
        <f t="shared" si="204"/>
        <v>3.5192393041174608E-2</v>
      </c>
      <c r="EU23" s="451">
        <f t="shared" si="204"/>
        <v>3.4025018761575598E-2</v>
      </c>
      <c r="EV23" s="451">
        <f t="shared" si="204"/>
        <v>3.486201952632495E-2</v>
      </c>
      <c r="EW23" s="1106">
        <f t="shared" si="204"/>
        <v>3.4463513853827843E-2</v>
      </c>
    </row>
    <row r="24" spans="1:153" ht="10.199999999999999" customHeight="1">
      <c r="A24" s="108"/>
      <c r="B24" s="812"/>
      <c r="C24" s="812"/>
      <c r="D24" s="812"/>
      <c r="E24" s="812"/>
      <c r="F24" s="812"/>
      <c r="G24" s="812"/>
      <c r="H24" s="812"/>
      <c r="I24" s="812"/>
      <c r="J24" s="812"/>
      <c r="K24" s="812"/>
      <c r="L24" s="812"/>
      <c r="M24" s="812"/>
      <c r="N24" s="1067"/>
      <c r="O24" s="1067"/>
      <c r="P24" s="1067"/>
      <c r="Q24" s="1097"/>
      <c r="R24" s="1067"/>
      <c r="S24" s="1067"/>
      <c r="T24" s="343"/>
      <c r="U24" s="1067"/>
      <c r="V24" s="1067"/>
      <c r="W24" s="1067"/>
      <c r="X24" s="1097"/>
      <c r="Y24" s="1067"/>
      <c r="Z24" s="1067"/>
      <c r="AA24" s="343"/>
      <c r="AB24" s="1067"/>
      <c r="AC24" s="1067"/>
      <c r="AD24" s="1067"/>
      <c r="AE24" s="1097"/>
      <c r="AF24" s="1067"/>
      <c r="AG24" s="1067"/>
      <c r="AH24" s="343"/>
      <c r="AI24" s="1067"/>
      <c r="AJ24" s="1067"/>
      <c r="AK24" s="1067"/>
      <c r="AL24" s="1097"/>
      <c r="AM24" s="1067"/>
      <c r="AN24" s="1067"/>
      <c r="AO24" s="343"/>
      <c r="AP24" s="1067"/>
      <c r="AQ24" s="1067"/>
      <c r="AR24" s="1067"/>
      <c r="AS24" s="1097"/>
      <c r="AT24" s="1067"/>
      <c r="AU24" s="1067"/>
      <c r="AV24" s="343"/>
      <c r="AW24" s="1067"/>
      <c r="AX24" s="1067"/>
      <c r="AY24" s="1067"/>
      <c r="AZ24" s="1097"/>
      <c r="BA24" s="1067"/>
      <c r="BB24" s="1067"/>
      <c r="BC24" s="343"/>
      <c r="BD24" s="1067"/>
      <c r="BE24" s="1067"/>
      <c r="BF24" s="1067"/>
      <c r="BG24" s="1097"/>
      <c r="BH24" s="1067"/>
      <c r="BI24" s="1067"/>
      <c r="BJ24" s="343"/>
      <c r="BK24" s="1067"/>
      <c r="BL24" s="1067"/>
      <c r="BM24" s="1067"/>
      <c r="BN24" s="1097"/>
      <c r="BO24" s="1067"/>
      <c r="BP24" s="1067"/>
      <c r="BQ24" s="343"/>
      <c r="BR24" s="1067"/>
      <c r="BS24" s="1067"/>
      <c r="BT24" s="1067"/>
      <c r="BU24" s="1097"/>
      <c r="BV24" s="1067"/>
      <c r="BW24" s="1067"/>
      <c r="BX24" s="343"/>
      <c r="BY24" s="1067"/>
      <c r="BZ24" s="1067"/>
      <c r="CA24" s="1067"/>
      <c r="CB24" s="1097"/>
      <c r="CC24" s="1067"/>
      <c r="CD24" s="1067"/>
      <c r="CE24" s="343"/>
      <c r="CF24" s="1067"/>
      <c r="CG24" s="1067"/>
      <c r="CH24" s="1067"/>
      <c r="CI24" s="1097"/>
      <c r="CJ24" s="1067"/>
      <c r="CK24" s="1067"/>
      <c r="CL24" s="343"/>
      <c r="CM24" s="1067"/>
      <c r="CN24" s="1067"/>
      <c r="CO24" s="1067"/>
      <c r="CP24" s="1097"/>
      <c r="CQ24" s="1067"/>
      <c r="CR24" s="1067"/>
      <c r="CS24" s="343"/>
      <c r="CT24" s="1067"/>
      <c r="CU24" s="1067"/>
      <c r="CV24" s="1067"/>
      <c r="CW24" s="1097"/>
      <c r="CX24" s="1067"/>
      <c r="CY24" s="1067"/>
      <c r="CZ24" s="343"/>
      <c r="DA24" s="1067"/>
      <c r="DB24" s="1067"/>
      <c r="DC24" s="1067"/>
      <c r="DD24" s="1097"/>
      <c r="DE24" s="1067"/>
      <c r="DF24" s="1067"/>
      <c r="DG24" s="343"/>
      <c r="DH24" s="1067"/>
      <c r="DI24" s="1067"/>
      <c r="DJ24" s="1067"/>
      <c r="DK24" s="1097"/>
      <c r="DL24" s="1067"/>
      <c r="DM24" s="1067"/>
      <c r="DN24" s="1084"/>
      <c r="DO24" s="1067"/>
      <c r="DP24" s="1067"/>
      <c r="DQ24" s="1067"/>
      <c r="DR24" s="1097"/>
      <c r="DS24" s="1205"/>
      <c r="DT24" s="1067"/>
      <c r="DU24" s="343"/>
      <c r="DV24" s="1067"/>
      <c r="DW24" s="1067"/>
      <c r="DX24" s="1067"/>
      <c r="DY24" s="1097"/>
      <c r="DZ24" s="1067"/>
      <c r="EA24" s="1067"/>
      <c r="EB24" s="343"/>
      <c r="EC24" s="1067"/>
      <c r="ED24" s="1067"/>
      <c r="EE24" s="1067"/>
      <c r="EF24" s="1097"/>
      <c r="EG24" s="1067"/>
      <c r="EH24" s="1067"/>
      <c r="EI24" s="343"/>
      <c r="EJ24" s="1067"/>
      <c r="EK24" s="1067"/>
      <c r="EL24" s="1067"/>
      <c r="EM24" s="1097"/>
      <c r="EN24" s="1067"/>
      <c r="EO24" s="1067"/>
      <c r="EP24" s="343"/>
      <c r="EQ24" s="1067"/>
      <c r="ER24" s="1067"/>
      <c r="ES24" s="1067"/>
      <c r="ET24" s="1097"/>
      <c r="EU24" s="1067"/>
      <c r="EV24" s="1067"/>
      <c r="EW24" s="343"/>
    </row>
    <row r="25" spans="1:153" ht="10.199999999999999" customHeight="1">
      <c r="A25" s="48" t="s">
        <v>544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098"/>
      <c r="R25" s="21"/>
      <c r="S25" s="21"/>
      <c r="T25" s="338"/>
      <c r="U25" s="21"/>
      <c r="V25" s="21"/>
      <c r="W25" s="21"/>
      <c r="X25" s="1098"/>
      <c r="Y25" s="21"/>
      <c r="Z25" s="21"/>
      <c r="AA25" s="338"/>
      <c r="AB25" s="21"/>
      <c r="AC25" s="21"/>
      <c r="AD25" s="21"/>
      <c r="AE25" s="1098"/>
      <c r="AF25" s="21"/>
      <c r="AG25" s="21"/>
      <c r="AH25" s="338"/>
      <c r="AI25" s="21"/>
      <c r="AJ25" s="21"/>
      <c r="AK25" s="21"/>
      <c r="AL25" s="1098"/>
      <c r="AM25" s="21"/>
      <c r="AN25" s="21"/>
      <c r="AO25" s="338"/>
      <c r="AP25" s="21"/>
      <c r="AQ25" s="21"/>
      <c r="AR25" s="21"/>
      <c r="AS25" s="1098"/>
      <c r="AT25" s="21"/>
      <c r="AU25" s="21"/>
      <c r="AV25" s="338"/>
      <c r="AW25" s="21"/>
      <c r="AX25" s="21"/>
      <c r="AY25" s="21"/>
      <c r="AZ25" s="1098"/>
      <c r="BA25" s="21"/>
      <c r="BB25" s="21"/>
      <c r="BC25" s="338"/>
      <c r="BD25" s="21"/>
      <c r="BE25" s="21"/>
      <c r="BF25" s="21"/>
      <c r="BG25" s="1098"/>
      <c r="BH25" s="21"/>
      <c r="BI25" s="21"/>
      <c r="BJ25" s="338"/>
      <c r="BK25" s="21"/>
      <c r="BL25" s="21"/>
      <c r="BM25" s="21"/>
      <c r="BN25" s="1098"/>
      <c r="BO25" s="1998"/>
      <c r="BP25" s="21"/>
      <c r="BQ25" s="338"/>
      <c r="BR25" s="21"/>
      <c r="BS25" s="21"/>
      <c r="BT25" s="21"/>
      <c r="BU25" s="1098"/>
      <c r="BV25" s="21"/>
      <c r="BW25" s="21"/>
      <c r="BX25" s="338"/>
      <c r="BY25" s="21"/>
      <c r="BZ25" s="21"/>
      <c r="CA25" s="21"/>
      <c r="CB25" s="1098"/>
      <c r="CC25" s="21"/>
      <c r="CD25" s="21"/>
      <c r="CE25" s="338"/>
      <c r="CF25" s="21"/>
      <c r="CG25" s="21"/>
      <c r="CH25" s="21"/>
      <c r="CI25" s="1098"/>
      <c r="CJ25" s="21"/>
      <c r="CK25" s="21"/>
      <c r="CL25" s="338"/>
      <c r="CM25" s="21"/>
      <c r="CN25" s="21"/>
      <c r="CO25" s="21"/>
      <c r="CP25" s="1098"/>
      <c r="CQ25" s="21"/>
      <c r="CR25" s="21"/>
      <c r="CS25" s="338"/>
      <c r="CT25" s="21"/>
      <c r="CU25" s="21"/>
      <c r="CV25" s="21"/>
      <c r="CW25" s="1098"/>
      <c r="CX25" s="21"/>
      <c r="CY25" s="21"/>
      <c r="CZ25" s="338"/>
      <c r="DA25" s="21"/>
      <c r="DB25" s="21"/>
      <c r="DC25" s="21"/>
      <c r="DD25" s="1098"/>
      <c r="DE25" s="21"/>
      <c r="DF25" s="21"/>
      <c r="DG25" s="338"/>
      <c r="DH25" s="21"/>
      <c r="DI25" s="21"/>
      <c r="DJ25" s="21"/>
      <c r="DK25" s="1098"/>
      <c r="DL25" s="21"/>
      <c r="DM25" s="21"/>
      <c r="DN25" s="310"/>
      <c r="DO25" s="21"/>
      <c r="DP25" s="21"/>
      <c r="DQ25" s="21"/>
      <c r="DR25" s="1098"/>
      <c r="DS25" s="1870"/>
      <c r="DT25" s="21"/>
      <c r="DU25" s="338"/>
      <c r="DV25" s="21"/>
      <c r="DW25" s="21"/>
      <c r="DX25" s="21"/>
      <c r="DY25" s="1098"/>
      <c r="DZ25" s="21"/>
      <c r="EA25" s="21"/>
      <c r="EB25" s="338"/>
      <c r="EC25" s="21"/>
      <c r="ED25" s="21"/>
      <c r="EE25" s="21"/>
      <c r="EF25" s="1098"/>
      <c r="EG25" s="21"/>
      <c r="EH25" s="21"/>
      <c r="EI25" s="338"/>
      <c r="EJ25" s="21"/>
      <c r="EK25" s="21"/>
      <c r="EL25" s="21"/>
      <c r="EM25" s="1098"/>
      <c r="EN25" s="21"/>
      <c r="EO25" s="21"/>
      <c r="EP25" s="338"/>
      <c r="EQ25" s="21"/>
      <c r="ER25" s="21"/>
      <c r="ES25" s="21"/>
      <c r="ET25" s="1098"/>
      <c r="EU25" s="21"/>
      <c r="EV25" s="21"/>
      <c r="EW25" s="338"/>
    </row>
    <row r="26" spans="1:153" ht="10.199999999999999" customHeight="1">
      <c r="A26" s="108" t="s">
        <v>323</v>
      </c>
      <c r="B26" s="530"/>
      <c r="C26" s="530"/>
      <c r="D26" s="530"/>
      <c r="E26" s="530"/>
      <c r="F26" s="530"/>
      <c r="G26" s="530"/>
      <c r="H26" s="530"/>
      <c r="I26" s="530"/>
      <c r="J26" s="530"/>
      <c r="K26" s="530"/>
      <c r="L26" s="530"/>
      <c r="M26" s="530"/>
      <c r="N26" s="1208">
        <v>608</v>
      </c>
      <c r="O26" s="130">
        <f>R26-N26</f>
        <v>623</v>
      </c>
      <c r="P26" s="1208">
        <f>1712-R26</f>
        <v>481</v>
      </c>
      <c r="Q26" s="688">
        <f>S26-P26</f>
        <v>502</v>
      </c>
      <c r="R26" s="1208">
        <v>1231</v>
      </c>
      <c r="S26" s="197">
        <f>T26-R26</f>
        <v>983</v>
      </c>
      <c r="T26" s="1272">
        <v>2214</v>
      </c>
      <c r="U26" s="1208">
        <v>527</v>
      </c>
      <c r="V26" s="130">
        <f>Y26-U26</f>
        <v>760</v>
      </c>
      <c r="W26" s="1208">
        <f>1780-Y26</f>
        <v>493</v>
      </c>
      <c r="X26" s="688">
        <f>Z26-W26</f>
        <v>749</v>
      </c>
      <c r="Y26" s="1208">
        <v>1287</v>
      </c>
      <c r="Z26" s="197">
        <f>AA26-Y26</f>
        <v>1242</v>
      </c>
      <c r="AA26" s="1272">
        <v>2529</v>
      </c>
      <c r="AB26" s="1208">
        <v>569</v>
      </c>
      <c r="AC26" s="130">
        <f>AF26-AB26</f>
        <v>964</v>
      </c>
      <c r="AD26" s="1208">
        <f>2226-AF26</f>
        <v>693</v>
      </c>
      <c r="AE26" s="688">
        <f>AG26-AD26</f>
        <v>554</v>
      </c>
      <c r="AF26" s="1208">
        <v>1533</v>
      </c>
      <c r="AG26" s="197">
        <f>AH26-AF26</f>
        <v>1247</v>
      </c>
      <c r="AH26" s="1272">
        <v>2780</v>
      </c>
      <c r="AI26" s="1208">
        <v>406</v>
      </c>
      <c r="AJ26" s="130">
        <f>AM26-AI26</f>
        <v>863</v>
      </c>
      <c r="AK26" s="1208">
        <f>1836-AM26</f>
        <v>567</v>
      </c>
      <c r="AL26" s="688">
        <f>AN26-AK26</f>
        <v>975</v>
      </c>
      <c r="AM26" s="1208">
        <v>1269</v>
      </c>
      <c r="AN26" s="197">
        <f>AO26-AM26</f>
        <v>1542</v>
      </c>
      <c r="AO26" s="1272">
        <v>2811</v>
      </c>
      <c r="AP26" s="1208">
        <v>281</v>
      </c>
      <c r="AQ26" s="130">
        <f>AT26-AP26</f>
        <v>673</v>
      </c>
      <c r="AR26" s="1208">
        <v>591</v>
      </c>
      <c r="AS26" s="688">
        <f>AU26-AR26</f>
        <v>2009</v>
      </c>
      <c r="AT26" s="1208">
        <v>954</v>
      </c>
      <c r="AU26" s="197">
        <f>AV26-AT26</f>
        <v>2600</v>
      </c>
      <c r="AV26" s="1272">
        <v>3554</v>
      </c>
      <c r="AW26" s="1208">
        <v>-103</v>
      </c>
      <c r="AX26" s="130">
        <f>BA26-AW26</f>
        <v>360</v>
      </c>
      <c r="AY26" s="1208">
        <f>806-BA26</f>
        <v>549</v>
      </c>
      <c r="AZ26" s="688">
        <f>BB26-AY26</f>
        <v>1577</v>
      </c>
      <c r="BA26" s="1208">
        <v>257</v>
      </c>
      <c r="BB26" s="197">
        <f>BC26-BA26</f>
        <v>2126</v>
      </c>
      <c r="BC26" s="1272">
        <v>2383</v>
      </c>
      <c r="BD26" s="1208">
        <v>-41</v>
      </c>
      <c r="BE26" s="130">
        <v>908</v>
      </c>
      <c r="BF26" s="1208">
        <f>2340-BH26</f>
        <v>1473</v>
      </c>
      <c r="BG26" s="688">
        <f>BI26-BF26</f>
        <v>2468</v>
      </c>
      <c r="BH26" s="1208">
        <f>BD26+BE26</f>
        <v>867</v>
      </c>
      <c r="BI26" s="197">
        <f>BJ26-BH26</f>
        <v>3941</v>
      </c>
      <c r="BJ26" s="1272">
        <v>4808</v>
      </c>
      <c r="BK26" s="1208">
        <v>536</v>
      </c>
      <c r="BL26" s="130">
        <v>1802</v>
      </c>
      <c r="BM26" s="1208">
        <v>1495</v>
      </c>
      <c r="BN26" s="688">
        <f>BP26-BM26</f>
        <v>2525</v>
      </c>
      <c r="BO26" s="1208">
        <f>BK26+BL26</f>
        <v>2338</v>
      </c>
      <c r="BP26" s="197">
        <f>BQ26-BO26</f>
        <v>4020</v>
      </c>
      <c r="BQ26" s="1272">
        <v>6358</v>
      </c>
      <c r="BR26" s="1208">
        <f>536-73</f>
        <v>463</v>
      </c>
      <c r="BS26" s="130">
        <f>1802-145+73</f>
        <v>1730</v>
      </c>
      <c r="BT26" s="1208">
        <f>1495-240+145</f>
        <v>1400</v>
      </c>
      <c r="BU26" s="688">
        <f>BW26-BT26</f>
        <v>2354</v>
      </c>
      <c r="BV26" s="1208">
        <f>BR26+BS26</f>
        <v>2193</v>
      </c>
      <c r="BW26" s="197">
        <f>BX26-BV26</f>
        <v>3754</v>
      </c>
      <c r="BX26" s="1272">
        <f>BQ26-411</f>
        <v>5947</v>
      </c>
      <c r="BY26" s="1208">
        <v>191</v>
      </c>
      <c r="BZ26" s="130">
        <v>-1498</v>
      </c>
      <c r="CA26" s="1208">
        <v>666</v>
      </c>
      <c r="CB26" s="688">
        <f>CD26-CA26</f>
        <v>1259</v>
      </c>
      <c r="CC26" s="1208">
        <f>BY26+BZ26</f>
        <v>-1307</v>
      </c>
      <c r="CD26" s="197">
        <f>CE26-CC26</f>
        <v>1925</v>
      </c>
      <c r="CE26" s="1272">
        <v>618</v>
      </c>
      <c r="CF26" s="1208">
        <v>533</v>
      </c>
      <c r="CG26" s="130">
        <f>CJ26-CF26</f>
        <v>1758</v>
      </c>
      <c r="CH26" s="1208">
        <v>448</v>
      </c>
      <c r="CI26" s="688">
        <f>CK26-CH26</f>
        <v>831</v>
      </c>
      <c r="CJ26" s="1208">
        <v>2291</v>
      </c>
      <c r="CK26" s="197">
        <f>CL26-CJ26</f>
        <v>1279</v>
      </c>
      <c r="CL26" s="1272">
        <v>3570</v>
      </c>
      <c r="CM26" s="1208">
        <v>1065</v>
      </c>
      <c r="CN26" s="130">
        <v>1211</v>
      </c>
      <c r="CO26" s="1208">
        <v>599</v>
      </c>
      <c r="CP26" s="688">
        <f>CR26-CO26</f>
        <v>1725</v>
      </c>
      <c r="CQ26" s="1208">
        <f t="shared" ref="CQ26:CQ28" si="205">CM26+CN26</f>
        <v>2276</v>
      </c>
      <c r="CR26" s="197">
        <f>CS26-CQ26</f>
        <v>2324</v>
      </c>
      <c r="CS26" s="1272">
        <v>4600</v>
      </c>
      <c r="CT26" s="1208">
        <v>580</v>
      </c>
      <c r="CU26" s="130">
        <f t="shared" ref="CU26:CU28" si="206">CX26-CT26</f>
        <v>1676</v>
      </c>
      <c r="CV26" s="1208">
        <v>960</v>
      </c>
      <c r="CW26" s="688">
        <f>CY26-CV26</f>
        <v>1602</v>
      </c>
      <c r="CX26" s="1208">
        <v>2256</v>
      </c>
      <c r="CY26" s="197">
        <f>CZ26-CX26</f>
        <v>2562</v>
      </c>
      <c r="CZ26" s="1272">
        <v>4818</v>
      </c>
      <c r="DA26" s="1208">
        <v>507</v>
      </c>
      <c r="DB26" s="130">
        <f t="shared" ref="DB26:DB28" si="207">DE26-DA26</f>
        <v>1447</v>
      </c>
      <c r="DC26" s="130">
        <v>1074</v>
      </c>
      <c r="DD26" s="688">
        <f>DF26-DC26</f>
        <v>2065</v>
      </c>
      <c r="DE26" s="1208">
        <v>1954</v>
      </c>
      <c r="DF26" s="197">
        <f>DG26-DE26</f>
        <v>3139</v>
      </c>
      <c r="DG26" s="1272">
        <v>5093</v>
      </c>
      <c r="DH26" s="197">
        <v>494</v>
      </c>
      <c r="DI26" s="130">
        <f t="shared" ref="DI26:DI28" si="208">DL26-DH26</f>
        <v>1220</v>
      </c>
      <c r="DJ26" s="130">
        <v>1556</v>
      </c>
      <c r="DK26" s="688">
        <f>DM26-DJ26</f>
        <v>2200</v>
      </c>
      <c r="DL26" s="2080">
        <v>1714</v>
      </c>
      <c r="DM26" s="197">
        <f>DN26-DL26</f>
        <v>3756</v>
      </c>
      <c r="DN26" s="1272">
        <v>5470</v>
      </c>
      <c r="DO26" s="530">
        <v>81</v>
      </c>
      <c r="DP26" s="130">
        <f t="shared" ref="DP26:DP28" si="209">DS26-DO26</f>
        <v>1906</v>
      </c>
      <c r="DQ26" s="322">
        <f>Airbus!DK45</f>
        <v>1587.1267727593568</v>
      </c>
      <c r="DR26" s="430">
        <f>Airbus!DL45</f>
        <v>2343.5512639030439</v>
      </c>
      <c r="DS26" s="2023">
        <v>1987</v>
      </c>
      <c r="DT26" s="322">
        <f>Airbus!DN45</f>
        <v>3930.6780366624016</v>
      </c>
      <c r="DU26" s="385">
        <f>Airbus!DO45</f>
        <v>5917.6780366624007</v>
      </c>
      <c r="DV26" s="322">
        <f>Airbus!DP45</f>
        <v>1717.4955710499453</v>
      </c>
      <c r="DW26" s="322">
        <f>Airbus!DQ45</f>
        <v>1876.7178219100488</v>
      </c>
      <c r="DX26" s="322">
        <f>Airbus!DR45</f>
        <v>1879.256655814354</v>
      </c>
      <c r="DY26" s="430">
        <f>Airbus!DS45</f>
        <v>1839.2900791853813</v>
      </c>
      <c r="DZ26" s="322">
        <f>Airbus!DT45</f>
        <v>3594.2133929599941</v>
      </c>
      <c r="EA26" s="322">
        <f>Airbus!DU45</f>
        <v>3718.5467349997352</v>
      </c>
      <c r="EB26" s="385">
        <f>Airbus!DV45</f>
        <v>7312.7601279597311</v>
      </c>
      <c r="EC26" s="322">
        <f>Airbus!DW45</f>
        <v>2205.2327436249648</v>
      </c>
      <c r="ED26" s="322">
        <f>Airbus!DX45</f>
        <v>2369.890441668806</v>
      </c>
      <c r="EE26" s="322">
        <f>Airbus!DY45</f>
        <v>2372.9282472399582</v>
      </c>
      <c r="EF26" s="430">
        <f>Airbus!DZ45</f>
        <v>2420.1112747069333</v>
      </c>
      <c r="EG26" s="322">
        <f>Airbus!EA45</f>
        <v>4575.1231852937708</v>
      </c>
      <c r="EH26" s="322">
        <f>Airbus!EB45</f>
        <v>4793.0395219468919</v>
      </c>
      <c r="EI26" s="385">
        <f>Airbus!EC45</f>
        <v>9368.1627072406627</v>
      </c>
      <c r="EJ26" s="322">
        <f>Airbus!ED45</f>
        <v>2529.8400900134998</v>
      </c>
      <c r="EK26" s="322">
        <f>Airbus!EE45</f>
        <v>2531.2487204615591</v>
      </c>
      <c r="EL26" s="322">
        <f>Airbus!EF45</f>
        <v>2534.4448985163485</v>
      </c>
      <c r="EM26" s="430">
        <f>Airbus!EG45</f>
        <v>2590.0988497615649</v>
      </c>
      <c r="EN26" s="322">
        <f>Airbus!EH45</f>
        <v>5061.0888104750593</v>
      </c>
      <c r="EO26" s="322">
        <f>Airbus!EI45</f>
        <v>5124.5437482779134</v>
      </c>
      <c r="EP26" s="385">
        <f>Airbus!EJ45</f>
        <v>10185.632558752972</v>
      </c>
      <c r="EQ26" s="322">
        <f>Airbus!EK45</f>
        <v>2680.9431360907402</v>
      </c>
      <c r="ER26" s="322">
        <f>Airbus!EL45</f>
        <v>2683.3504286050675</v>
      </c>
      <c r="ES26" s="322">
        <f>Airbus!EM45</f>
        <v>2686.7178350070908</v>
      </c>
      <c r="ET26" s="430">
        <f>Airbus!EN45</f>
        <v>2742.4254564114854</v>
      </c>
      <c r="EU26" s="322">
        <f>Airbus!EO45</f>
        <v>5364.2935646958076</v>
      </c>
      <c r="EV26" s="322">
        <f>Airbus!EP45</f>
        <v>5429.1432914185762</v>
      </c>
      <c r="EW26" s="385">
        <f>Airbus!EQ45</f>
        <v>10793.436856114384</v>
      </c>
    </row>
    <row r="27" spans="1:153" ht="10.199999999999999" customHeight="1">
      <c r="A27" s="108" t="s">
        <v>325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208">
        <v>20</v>
      </c>
      <c r="O27" s="130">
        <f>R27-N27</f>
        <v>108</v>
      </c>
      <c r="P27" s="1208">
        <f>217-R27</f>
        <v>89</v>
      </c>
      <c r="Q27" s="688">
        <f>S27-P27</f>
        <v>180</v>
      </c>
      <c r="R27" s="1208">
        <v>128</v>
      </c>
      <c r="S27" s="197">
        <f>T27-R27</f>
        <v>269</v>
      </c>
      <c r="T27" s="1272">
        <v>397</v>
      </c>
      <c r="U27" s="1208">
        <v>58</v>
      </c>
      <c r="V27" s="130">
        <f>Y27-U27</f>
        <v>92</v>
      </c>
      <c r="W27" s="1208">
        <f>241-Y27</f>
        <v>91</v>
      </c>
      <c r="X27" s="688">
        <f>Z27-W27</f>
        <v>172</v>
      </c>
      <c r="Y27" s="1208">
        <v>150</v>
      </c>
      <c r="Z27" s="197">
        <f>AA27-Y27</f>
        <v>263</v>
      </c>
      <c r="AA27" s="1272">
        <v>413</v>
      </c>
      <c r="AB27" s="1208">
        <v>52</v>
      </c>
      <c r="AC27" s="130">
        <f>AF27-AB27</f>
        <v>110</v>
      </c>
      <c r="AD27" s="1208">
        <f>241-AF27</f>
        <v>79</v>
      </c>
      <c r="AE27" s="688">
        <f>AG27-AD27</f>
        <v>186</v>
      </c>
      <c r="AF27" s="1208">
        <v>162</v>
      </c>
      <c r="AG27" s="197">
        <f>AH27-AF27</f>
        <v>265</v>
      </c>
      <c r="AH27" s="1272">
        <v>427</v>
      </c>
      <c r="AI27" s="1208">
        <v>33</v>
      </c>
      <c r="AJ27" s="130">
        <f>AM27-AI27</f>
        <v>111</v>
      </c>
      <c r="AK27" s="1208">
        <f>200-AM27</f>
        <v>56</v>
      </c>
      <c r="AL27" s="688">
        <f>AN27-AK27</f>
        <v>150</v>
      </c>
      <c r="AM27" s="1208">
        <v>144</v>
      </c>
      <c r="AN27" s="197">
        <f>AO27-AM27</f>
        <v>206</v>
      </c>
      <c r="AO27" s="1272">
        <v>350</v>
      </c>
      <c r="AP27" s="1208">
        <v>-2</v>
      </c>
      <c r="AQ27" s="130">
        <f>AT27-AP27</f>
        <v>95</v>
      </c>
      <c r="AR27" s="1208">
        <v>72</v>
      </c>
      <c r="AS27" s="688">
        <f>AU27-AR27</f>
        <v>172</v>
      </c>
      <c r="AT27" s="1208">
        <v>93</v>
      </c>
      <c r="AU27" s="197">
        <f>AV27-AT27</f>
        <v>244</v>
      </c>
      <c r="AV27" s="1272">
        <v>337</v>
      </c>
      <c r="AW27" s="1208">
        <v>-6</v>
      </c>
      <c r="AX27" s="130">
        <f>BA27-AW27</f>
        <v>86</v>
      </c>
      <c r="AY27" s="1208">
        <f>161-BA27</f>
        <v>81</v>
      </c>
      <c r="AZ27" s="688">
        <f>BB27-AY27</f>
        <v>86</v>
      </c>
      <c r="BA27" s="1208">
        <v>80</v>
      </c>
      <c r="BB27" s="197">
        <f>BC27-BA27</f>
        <v>167</v>
      </c>
      <c r="BC27" s="1272">
        <v>247</v>
      </c>
      <c r="BD27" s="1208">
        <v>-3</v>
      </c>
      <c r="BE27" s="130">
        <v>138</v>
      </c>
      <c r="BF27" s="1208">
        <f>202-BH27</f>
        <v>67</v>
      </c>
      <c r="BG27" s="688">
        <f>BI27-BF27</f>
        <v>178</v>
      </c>
      <c r="BH27" s="1208">
        <f>BD27+BE27</f>
        <v>135</v>
      </c>
      <c r="BI27" s="197">
        <f>BJ27-BH27</f>
        <v>245</v>
      </c>
      <c r="BJ27" s="1272">
        <v>380</v>
      </c>
      <c r="BK27" s="1208">
        <v>15</v>
      </c>
      <c r="BL27" s="130">
        <v>110</v>
      </c>
      <c r="BM27" s="1208">
        <v>80</v>
      </c>
      <c r="BN27" s="688">
        <f t="shared" ref="BN27:BN28" si="210">BP27-BM27</f>
        <v>217</v>
      </c>
      <c r="BO27" s="1208">
        <f>BK27+BL27</f>
        <v>125</v>
      </c>
      <c r="BP27" s="197">
        <f t="shared" ref="BP27:BP30" si="211">BQ27-BO27</f>
        <v>297</v>
      </c>
      <c r="BQ27" s="1272">
        <v>422</v>
      </c>
      <c r="BR27" s="1208">
        <v>15</v>
      </c>
      <c r="BS27" s="130">
        <v>110</v>
      </c>
      <c r="BT27" s="1208">
        <v>80</v>
      </c>
      <c r="BU27" s="688">
        <f t="shared" ref="BU27:BU30" si="212">BW27-BT27</f>
        <v>217</v>
      </c>
      <c r="BV27" s="1208">
        <f>BR27+BS27</f>
        <v>125</v>
      </c>
      <c r="BW27" s="197">
        <f t="shared" ref="BW27:BW30" si="213">BX27-BV27</f>
        <v>297</v>
      </c>
      <c r="BX27" s="1272">
        <v>422</v>
      </c>
      <c r="BY27" s="1208">
        <v>53</v>
      </c>
      <c r="BZ27" s="130">
        <v>99</v>
      </c>
      <c r="CA27" s="1208">
        <v>86</v>
      </c>
      <c r="CB27" s="688">
        <f t="shared" ref="CB27:CB30" si="214">CD27-CA27</f>
        <v>233</v>
      </c>
      <c r="CC27" s="1208">
        <f>BY27+BZ27</f>
        <v>152</v>
      </c>
      <c r="CD27" s="197">
        <f t="shared" ref="CD27:CD30" si="215">CE27-CC27</f>
        <v>319</v>
      </c>
      <c r="CE27" s="1272">
        <v>471</v>
      </c>
      <c r="CF27" s="1208">
        <v>62</v>
      </c>
      <c r="CG27" s="130">
        <f>CJ27-CF27</f>
        <v>121</v>
      </c>
      <c r="CH27" s="1208">
        <v>131</v>
      </c>
      <c r="CI27" s="688">
        <f t="shared" ref="CI27:CI30" si="216">CK27-CH27</f>
        <v>221</v>
      </c>
      <c r="CJ27" s="1208">
        <v>183</v>
      </c>
      <c r="CK27" s="197">
        <f t="shared" ref="CK27:CK30" si="217">CL27-CJ27</f>
        <v>352</v>
      </c>
      <c r="CL27" s="1272">
        <v>535</v>
      </c>
      <c r="CM27" s="1208">
        <v>90</v>
      </c>
      <c r="CN27" s="130">
        <v>125</v>
      </c>
      <c r="CO27" s="1208">
        <v>165</v>
      </c>
      <c r="CP27" s="688">
        <f t="shared" ref="CP27:CP30" si="218">CR27-CO27</f>
        <v>259</v>
      </c>
      <c r="CQ27" s="1208">
        <f>CM27+CN27</f>
        <v>215</v>
      </c>
      <c r="CR27" s="197">
        <f t="shared" ref="CR27:CR28" si="219">CS27-CQ27</f>
        <v>424</v>
      </c>
      <c r="CS27" s="1272">
        <v>639</v>
      </c>
      <c r="CT27" s="1208">
        <v>156</v>
      </c>
      <c r="CU27" s="130">
        <f t="shared" si="206"/>
        <v>118</v>
      </c>
      <c r="CV27" s="1208">
        <v>143</v>
      </c>
      <c r="CW27" s="688">
        <f t="shared" ref="CW27:CW28" si="220">CY27-CV27</f>
        <v>318</v>
      </c>
      <c r="CX27" s="1208">
        <v>274</v>
      </c>
      <c r="CY27" s="197">
        <f t="shared" ref="CY27:CY28" si="221">CZ27-CX27</f>
        <v>461</v>
      </c>
      <c r="CZ27" s="1272">
        <v>735</v>
      </c>
      <c r="DA27" s="1208">
        <v>71</v>
      </c>
      <c r="DB27" s="130">
        <f t="shared" si="207"/>
        <v>159</v>
      </c>
      <c r="DC27" s="130">
        <v>190</v>
      </c>
      <c r="DD27" s="688">
        <f t="shared" ref="DD27:DD28" si="222">DF27-DC27</f>
        <v>398</v>
      </c>
      <c r="DE27" s="1208">
        <v>230</v>
      </c>
      <c r="DF27" s="197">
        <f t="shared" ref="DF27:DF28" si="223">DG27-DE27</f>
        <v>588</v>
      </c>
      <c r="DG27" s="1272">
        <v>818</v>
      </c>
      <c r="DH27" s="197">
        <v>78</v>
      </c>
      <c r="DI27" s="130">
        <f t="shared" si="208"/>
        <v>171</v>
      </c>
      <c r="DJ27" s="130">
        <v>246</v>
      </c>
      <c r="DK27" s="688">
        <f t="shared" ref="DK27:DK28" si="224">DM27-DJ27</f>
        <v>430</v>
      </c>
      <c r="DL27" s="2080">
        <v>249</v>
      </c>
      <c r="DM27" s="197">
        <f t="shared" ref="DM27:DM28" si="225">DN27-DL27</f>
        <v>676</v>
      </c>
      <c r="DN27" s="1272">
        <v>925</v>
      </c>
      <c r="DO27" s="530">
        <v>65</v>
      </c>
      <c r="DP27" s="130">
        <f t="shared" si="209"/>
        <v>175</v>
      </c>
      <c r="DQ27" s="322">
        <f>Helicopters!DC7</f>
        <v>260.24090624999997</v>
      </c>
      <c r="DR27" s="430">
        <f>Helicopters!DD7</f>
        <v>463.51285143000007</v>
      </c>
      <c r="DS27" s="2023">
        <v>240</v>
      </c>
      <c r="DT27" s="322">
        <f>Helicopters!DF7</f>
        <v>723.75375768000004</v>
      </c>
      <c r="DU27" s="385">
        <f>Helicopters!DG7</f>
        <v>963.75375768000004</v>
      </c>
      <c r="DV27" s="322">
        <f>Helicopters!DH7</f>
        <v>179.59914215999999</v>
      </c>
      <c r="DW27" s="322">
        <f>Helicopters!DI7</f>
        <v>233.37480023999996</v>
      </c>
      <c r="DX27" s="322">
        <f>Helicopters!DJ7</f>
        <v>234.036926532</v>
      </c>
      <c r="DY27" s="430">
        <f>Helicopters!DK7</f>
        <v>408.51237555590416</v>
      </c>
      <c r="DZ27" s="322">
        <f>Helicopters!DL7</f>
        <v>412.97394239999994</v>
      </c>
      <c r="EA27" s="322">
        <f>Helicopters!DM7</f>
        <v>642.54930208790415</v>
      </c>
      <c r="EB27" s="385">
        <f>Helicopters!DN7</f>
        <v>1055.5232444879041</v>
      </c>
      <c r="EC27" s="322">
        <f>Helicopters!DO7</f>
        <v>196.63263785577601</v>
      </c>
      <c r="ED27" s="322">
        <f>Helicopters!DP7</f>
        <v>255.20220849686402</v>
      </c>
      <c r="EE27" s="322">
        <f>Helicopters!DQ7</f>
        <v>255.92764302754023</v>
      </c>
      <c r="EF27" s="430">
        <f>Helicopters!DR7</f>
        <v>445.81787531029966</v>
      </c>
      <c r="EG27" s="322">
        <f>Helicopters!DS7</f>
        <v>451.83484635264006</v>
      </c>
      <c r="EH27" s="322">
        <f>Helicopters!DT7</f>
        <v>701.74551833783983</v>
      </c>
      <c r="EI27" s="385">
        <f>Helicopters!DU7</f>
        <v>1153.5803646904799</v>
      </c>
      <c r="EJ27" s="322">
        <f>Helicopters!DV7</f>
        <v>209.38143385857325</v>
      </c>
      <c r="EK27" s="322">
        <f>Helicopters!DW7</f>
        <v>272.71732658450844</v>
      </c>
      <c r="EL27" s="322">
        <f>Helicopters!DX7</f>
        <v>273.48817836678359</v>
      </c>
      <c r="EM27" s="430">
        <f>Helicopters!DY7</f>
        <v>479.27380823613396</v>
      </c>
      <c r="EN27" s="322">
        <f>Helicopters!DZ7</f>
        <v>482.09876044308174</v>
      </c>
      <c r="EO27" s="322">
        <f>Helicopters!EA7</f>
        <v>752.76198660291766</v>
      </c>
      <c r="EP27" s="385">
        <f>Helicopters!EB7</f>
        <v>1234.8607470459992</v>
      </c>
      <c r="EQ27" s="322">
        <f>Helicopters!EC7</f>
        <v>218.99732346117963</v>
      </c>
      <c r="ER27" s="322">
        <f>Helicopters!ED7</f>
        <v>284.96249728460259</v>
      </c>
      <c r="ES27" s="322">
        <f>Helicopters!EE7</f>
        <v>285.76921686708766</v>
      </c>
      <c r="ET27" s="430">
        <f>Helicopters!EF7</f>
        <v>499.97206307760376</v>
      </c>
      <c r="EU27" s="322">
        <f>Helicopters!EG7</f>
        <v>503.95982074578228</v>
      </c>
      <c r="EV27" s="322">
        <f>Helicopters!EH7</f>
        <v>785.74127994469143</v>
      </c>
      <c r="EW27" s="385">
        <f>Helicopters!EI7</f>
        <v>1289.7011006904736</v>
      </c>
    </row>
    <row r="28" spans="1:153" ht="10.199999999999999" customHeight="1">
      <c r="A28" s="108" t="s">
        <v>324</v>
      </c>
      <c r="B28" s="530"/>
      <c r="C28" s="530"/>
      <c r="D28" s="530"/>
      <c r="E28" s="530"/>
      <c r="F28" s="530"/>
      <c r="G28" s="530"/>
      <c r="H28" s="530"/>
      <c r="I28" s="530"/>
      <c r="J28" s="530"/>
      <c r="K28" s="530"/>
      <c r="L28" s="530"/>
      <c r="M28" s="530"/>
      <c r="N28" s="1208">
        <v>84</v>
      </c>
      <c r="O28" s="130">
        <f>R28-N28</f>
        <v>132</v>
      </c>
      <c r="P28" s="1208">
        <f>356-R28</f>
        <v>140</v>
      </c>
      <c r="Q28" s="688">
        <f>S28-P28</f>
        <v>555</v>
      </c>
      <c r="R28" s="1208">
        <v>216</v>
      </c>
      <c r="S28" s="197">
        <f>T28-R28</f>
        <v>695</v>
      </c>
      <c r="T28" s="1272">
        <v>911</v>
      </c>
      <c r="U28" s="1208">
        <v>85</v>
      </c>
      <c r="V28" s="130">
        <f>Y28-U28</f>
        <v>138</v>
      </c>
      <c r="W28" s="1208">
        <f>370-Y28</f>
        <v>147</v>
      </c>
      <c r="X28" s="688">
        <f>Z28-W28</f>
        <v>550</v>
      </c>
      <c r="Y28" s="1208">
        <v>223</v>
      </c>
      <c r="Z28" s="197">
        <f>AA28-Y28</f>
        <v>697</v>
      </c>
      <c r="AA28" s="1272">
        <v>920</v>
      </c>
      <c r="AB28" s="1208">
        <v>90</v>
      </c>
      <c r="AC28" s="130">
        <f>AF28-AB28</f>
        <v>177</v>
      </c>
      <c r="AD28" s="1208">
        <f>431-AF28</f>
        <v>164</v>
      </c>
      <c r="AE28" s="688">
        <f>AG28-AD28</f>
        <v>629</v>
      </c>
      <c r="AF28" s="1208">
        <v>267</v>
      </c>
      <c r="AG28" s="197">
        <f>AH28-AF28</f>
        <v>793</v>
      </c>
      <c r="AH28" s="1272">
        <v>1060</v>
      </c>
      <c r="AI28" s="1208">
        <v>107</v>
      </c>
      <c r="AJ28" s="130">
        <f>AM28-AI28</f>
        <v>215</v>
      </c>
      <c r="AK28" s="1208">
        <f>436-AM28</f>
        <v>114</v>
      </c>
      <c r="AL28" s="688">
        <f>AN28-AK28</f>
        <v>566</v>
      </c>
      <c r="AM28" s="1208">
        <v>322</v>
      </c>
      <c r="AN28" s="197">
        <f>AO28-AM28</f>
        <v>680</v>
      </c>
      <c r="AO28" s="1272">
        <v>1002</v>
      </c>
      <c r="AP28" s="1208">
        <v>63</v>
      </c>
      <c r="AQ28" s="130">
        <f>AT28-AP28</f>
        <v>185</v>
      </c>
      <c r="AR28" s="1208">
        <v>109</v>
      </c>
      <c r="AS28" s="688">
        <f>AU28-AR28</f>
        <v>515</v>
      </c>
      <c r="AT28" s="1208">
        <v>248</v>
      </c>
      <c r="AU28" s="197">
        <f>AV28-AT28</f>
        <v>624</v>
      </c>
      <c r="AV28" s="1272">
        <v>872</v>
      </c>
      <c r="AW28" s="1208">
        <v>118</v>
      </c>
      <c r="AX28" s="130">
        <f>BA28-AW28</f>
        <v>180</v>
      </c>
      <c r="AY28" s="1208">
        <f>397-BA28</f>
        <v>99</v>
      </c>
      <c r="AZ28" s="688">
        <f>BB28-AY28</f>
        <v>418</v>
      </c>
      <c r="BA28" s="1208">
        <v>298</v>
      </c>
      <c r="BB28" s="197">
        <f>BC28-BA28</f>
        <v>517</v>
      </c>
      <c r="BC28" s="1272">
        <v>815</v>
      </c>
      <c r="BD28" s="1208">
        <v>112</v>
      </c>
      <c r="BE28" s="130">
        <v>197</v>
      </c>
      <c r="BF28" s="1208">
        <f>409-BH28</f>
        <v>100</v>
      </c>
      <c r="BG28" s="688">
        <f>BI28-BF28</f>
        <v>526</v>
      </c>
      <c r="BH28" s="1208">
        <f>BD28+BE28</f>
        <v>309</v>
      </c>
      <c r="BI28" s="197">
        <f>BJ28-BH28</f>
        <v>626</v>
      </c>
      <c r="BJ28" s="1272">
        <v>935</v>
      </c>
      <c r="BK28" s="1208">
        <v>101</v>
      </c>
      <c r="BL28" s="130">
        <v>132</v>
      </c>
      <c r="BM28" s="1208">
        <v>122</v>
      </c>
      <c r="BN28" s="688">
        <f t="shared" si="210"/>
        <v>210</v>
      </c>
      <c r="BO28" s="1208">
        <f>BK28+BL28</f>
        <v>233</v>
      </c>
      <c r="BP28" s="197">
        <f t="shared" si="211"/>
        <v>332</v>
      </c>
      <c r="BQ28" s="1272">
        <v>565</v>
      </c>
      <c r="BR28" s="1208">
        <v>101</v>
      </c>
      <c r="BS28" s="130">
        <v>132</v>
      </c>
      <c r="BT28" s="1208">
        <v>122</v>
      </c>
      <c r="BU28" s="688">
        <f t="shared" si="212"/>
        <v>210</v>
      </c>
      <c r="BV28" s="1208">
        <f>BR28+BS28</f>
        <v>233</v>
      </c>
      <c r="BW28" s="197">
        <f t="shared" si="213"/>
        <v>332</v>
      </c>
      <c r="BX28" s="1272">
        <f>BQ28</f>
        <v>565</v>
      </c>
      <c r="BY28" s="1208">
        <v>15</v>
      </c>
      <c r="BZ28" s="130">
        <v>171</v>
      </c>
      <c r="CA28" s="1208">
        <v>80</v>
      </c>
      <c r="CB28" s="688">
        <f t="shared" si="214"/>
        <v>394</v>
      </c>
      <c r="CC28" s="1208">
        <f>BY28+BZ28</f>
        <v>186</v>
      </c>
      <c r="CD28" s="197">
        <f t="shared" si="215"/>
        <v>474</v>
      </c>
      <c r="CE28" s="1272">
        <v>660</v>
      </c>
      <c r="CF28" s="1208">
        <v>59</v>
      </c>
      <c r="CG28" s="130">
        <f>CJ28-CF28</f>
        <v>170</v>
      </c>
      <c r="CH28" s="1208">
        <v>55</v>
      </c>
      <c r="CI28" s="688">
        <f t="shared" si="216"/>
        <v>412</v>
      </c>
      <c r="CJ28" s="1208">
        <v>229</v>
      </c>
      <c r="CK28" s="197">
        <f t="shared" si="217"/>
        <v>467</v>
      </c>
      <c r="CL28" s="1272">
        <v>696</v>
      </c>
      <c r="CM28" s="1208">
        <v>106</v>
      </c>
      <c r="CN28" s="130">
        <v>49</v>
      </c>
      <c r="CO28" s="1208">
        <v>76</v>
      </c>
      <c r="CP28" s="688">
        <f t="shared" si="218"/>
        <v>153</v>
      </c>
      <c r="CQ28" s="1208">
        <f t="shared" si="205"/>
        <v>155</v>
      </c>
      <c r="CR28" s="197">
        <f t="shared" si="219"/>
        <v>229</v>
      </c>
      <c r="CS28" s="1272">
        <v>384</v>
      </c>
      <c r="CT28" s="1208">
        <v>36</v>
      </c>
      <c r="CU28" s="130">
        <f t="shared" si="206"/>
        <v>42</v>
      </c>
      <c r="CV28" s="1208">
        <v>-79</v>
      </c>
      <c r="CW28" s="688">
        <f t="shared" si="220"/>
        <v>230</v>
      </c>
      <c r="CX28" s="1208">
        <v>78</v>
      </c>
      <c r="CY28" s="197">
        <f t="shared" si="221"/>
        <v>151</v>
      </c>
      <c r="CZ28" s="1272">
        <v>229</v>
      </c>
      <c r="DA28" s="1208">
        <v>-9</v>
      </c>
      <c r="DB28" s="130">
        <f t="shared" si="207"/>
        <v>-798</v>
      </c>
      <c r="DC28" s="130">
        <v>146</v>
      </c>
      <c r="DD28" s="688">
        <f t="shared" si="222"/>
        <v>95</v>
      </c>
      <c r="DE28" s="1208">
        <v>-807</v>
      </c>
      <c r="DF28" s="197">
        <f t="shared" si="223"/>
        <v>241</v>
      </c>
      <c r="DG28" s="1272">
        <v>-566</v>
      </c>
      <c r="DH28" s="197">
        <v>77</v>
      </c>
      <c r="DI28" s="130">
        <f t="shared" si="208"/>
        <v>188</v>
      </c>
      <c r="DJ28" s="130">
        <v>155</v>
      </c>
      <c r="DK28" s="688">
        <f t="shared" si="224"/>
        <v>378</v>
      </c>
      <c r="DL28" s="2080">
        <v>265</v>
      </c>
      <c r="DM28" s="197">
        <f t="shared" si="225"/>
        <v>533</v>
      </c>
      <c r="DN28" s="1272">
        <v>798</v>
      </c>
      <c r="DO28" s="530">
        <v>130</v>
      </c>
      <c r="DP28" s="130">
        <f t="shared" si="209"/>
        <v>357</v>
      </c>
      <c r="DQ28" s="322">
        <f>'Defence &amp; Space'!CQ9</f>
        <v>211.791135</v>
      </c>
      <c r="DR28" s="430">
        <f>'Defence &amp; Space'!CR9</f>
        <v>318.38026500000024</v>
      </c>
      <c r="DS28" s="2023">
        <v>487</v>
      </c>
      <c r="DT28" s="322">
        <f>'Defence &amp; Space'!CT9</f>
        <v>530.17140000000018</v>
      </c>
      <c r="DU28" s="385">
        <f>'Defence &amp; Space'!CU9</f>
        <v>1017.1714000000002</v>
      </c>
      <c r="DV28" s="322">
        <f>'Defence &amp; Space'!CV9</f>
        <v>226.57769999999999</v>
      </c>
      <c r="DW28" s="322">
        <f>'Defence &amp; Space'!CW9</f>
        <v>278.97862499999997</v>
      </c>
      <c r="DX28" s="322">
        <f>'Defence &amp; Space'!CX9</f>
        <v>267.451588125</v>
      </c>
      <c r="DY28" s="430">
        <f>'Defence &amp; Space'!CY9</f>
        <v>390.11042437500015</v>
      </c>
      <c r="DZ28" s="322">
        <f>'Defence &amp; Space'!CZ9</f>
        <v>505.55632500000002</v>
      </c>
      <c r="EA28" s="322">
        <f>'Defence &amp; Space'!DA9</f>
        <v>657.56201250000015</v>
      </c>
      <c r="EB28" s="385">
        <f>'Defence &amp; Space'!DB9</f>
        <v>1163.1183375000001</v>
      </c>
      <c r="EC28" s="322">
        <f>'Defence &amp; Space'!DC9</f>
        <v>253.76702399999999</v>
      </c>
      <c r="ED28" s="322">
        <f>'Defence &amp; Space'!DD9</f>
        <v>312.45606000000009</v>
      </c>
      <c r="EE28" s="322">
        <f>'Defence &amp; Space'!DE9</f>
        <v>299.54577870000003</v>
      </c>
      <c r="EF28" s="430">
        <f>'Defence &amp; Space'!DF9</f>
        <v>436.92367530000024</v>
      </c>
      <c r="EG28" s="322">
        <f>'Defence &amp; Space'!DG9</f>
        <v>566.22308400000009</v>
      </c>
      <c r="EH28" s="322">
        <f>'Defence &amp; Space'!DH9</f>
        <v>736.46945400000027</v>
      </c>
      <c r="EI28" s="385">
        <f>'Defence &amp; Space'!DI9</f>
        <v>1302.6925380000002</v>
      </c>
      <c r="EJ28" s="322">
        <f>'Defence &amp; Space'!DJ9</f>
        <v>271.86472530000003</v>
      </c>
      <c r="EK28" s="322">
        <f>'Defence &amp; Space'!DK9</f>
        <v>334.0024301250001</v>
      </c>
      <c r="EL28" s="322">
        <f>'Defence &amp; Space'!DL9</f>
        <v>321.00302695781255</v>
      </c>
      <c r="EM28" s="430">
        <f>'Defence &amp; Space'!DM9</f>
        <v>467.02716056718782</v>
      </c>
      <c r="EN28" s="322">
        <f>'Defence &amp; Space'!DN9</f>
        <v>605.86715542500008</v>
      </c>
      <c r="EO28" s="322">
        <f>'Defence &amp; Space'!DO9</f>
        <v>788.03018752500031</v>
      </c>
      <c r="EP28" s="385">
        <f>'Defence &amp; Space'!DP9</f>
        <v>1393.8973429500004</v>
      </c>
      <c r="EQ28" s="322">
        <f>'Defence &amp; Space'!DQ9</f>
        <v>291.13777917000004</v>
      </c>
      <c r="ER28" s="322">
        <f>'Defence &amp; Space'!DR9</f>
        <v>356.92229711250013</v>
      </c>
      <c r="ES28" s="322">
        <f>'Defence &amp; Space'!DS9</f>
        <v>343.85713559465631</v>
      </c>
      <c r="ET28" s="430">
        <f>'Defence &amp; Space'!DT9</f>
        <v>499.04868517284399</v>
      </c>
      <c r="EU28" s="322">
        <f>'Defence &amp; Space'!DU9</f>
        <v>648.06007628250018</v>
      </c>
      <c r="EV28" s="322">
        <f>'Defence &amp; Space'!DV9</f>
        <v>842.90582076750024</v>
      </c>
      <c r="EW28" s="385">
        <f>'Defence &amp; Space'!DW9</f>
        <v>1490.9658970500004</v>
      </c>
    </row>
    <row r="29" spans="1:153" ht="10.199999999999999" customHeight="1">
      <c r="A29" s="48" t="s">
        <v>182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549">
        <f t="shared" ref="N29" si="226">SUM(N26:N28)</f>
        <v>712</v>
      </c>
      <c r="O29" s="549">
        <f t="shared" ref="O29" si="227">SUM(O26:O28)</f>
        <v>863</v>
      </c>
      <c r="P29" s="549">
        <f t="shared" ref="P29" si="228">SUM(P26:P28)</f>
        <v>710</v>
      </c>
      <c r="Q29" s="1099">
        <f t="shared" ref="Q29" si="229">SUM(Q26:Q28)</f>
        <v>1237</v>
      </c>
      <c r="R29" s="549">
        <f t="shared" ref="R29" si="230">SUM(R26:R28)</f>
        <v>1575</v>
      </c>
      <c r="S29" s="549">
        <f t="shared" ref="S29" si="231">SUM(S26:S28)</f>
        <v>1947</v>
      </c>
      <c r="T29" s="1273">
        <f>T26+T28+T27</f>
        <v>3522</v>
      </c>
      <c r="U29" s="549">
        <f t="shared" ref="U29" si="232">SUM(U26:U28)</f>
        <v>670</v>
      </c>
      <c r="V29" s="549">
        <f t="shared" ref="V29" si="233">SUM(V26:V28)</f>
        <v>990</v>
      </c>
      <c r="W29" s="549">
        <f t="shared" ref="W29" si="234">SUM(W26:W28)</f>
        <v>731</v>
      </c>
      <c r="X29" s="1099">
        <f t="shared" ref="X29" si="235">SUM(X26:X28)</f>
        <v>1471</v>
      </c>
      <c r="Y29" s="549">
        <f t="shared" ref="Y29" si="236">SUM(Y26:Y28)</f>
        <v>1660</v>
      </c>
      <c r="Z29" s="549">
        <f t="shared" ref="Z29" si="237">SUM(Z26:Z28)</f>
        <v>2202</v>
      </c>
      <c r="AA29" s="1273">
        <f>AA26+AA28+AA27</f>
        <v>3862</v>
      </c>
      <c r="AB29" s="549">
        <f t="shared" ref="AB29" si="238">SUM(AB26:AB28)</f>
        <v>711</v>
      </c>
      <c r="AC29" s="549">
        <f t="shared" ref="AC29" si="239">SUM(AC26:AC28)</f>
        <v>1251</v>
      </c>
      <c r="AD29" s="549">
        <f t="shared" ref="AD29" si="240">SUM(AD26:AD28)</f>
        <v>936</v>
      </c>
      <c r="AE29" s="1099">
        <f t="shared" ref="AE29" si="241">SUM(AE26:AE28)</f>
        <v>1369</v>
      </c>
      <c r="AF29" s="549">
        <f t="shared" ref="AF29" si="242">SUM(AF26:AF28)</f>
        <v>1962</v>
      </c>
      <c r="AG29" s="549">
        <f t="shared" ref="AG29" si="243">SUM(AG26:AG28)</f>
        <v>2305</v>
      </c>
      <c r="AH29" s="1273">
        <f>AH26+AH28+AH27</f>
        <v>4267</v>
      </c>
      <c r="AI29" s="549">
        <f t="shared" ref="AI29:AN29" si="244">SUM(AI26:AI28)</f>
        <v>546</v>
      </c>
      <c r="AJ29" s="549">
        <f t="shared" si="244"/>
        <v>1189</v>
      </c>
      <c r="AK29" s="549">
        <f t="shared" si="244"/>
        <v>737</v>
      </c>
      <c r="AL29" s="1099">
        <f t="shared" si="244"/>
        <v>1691</v>
      </c>
      <c r="AM29" s="549">
        <f t="shared" si="244"/>
        <v>1735</v>
      </c>
      <c r="AN29" s="549">
        <f t="shared" si="244"/>
        <v>2428</v>
      </c>
      <c r="AO29" s="1273">
        <f>SUM(AO26:AO28)</f>
        <v>4163</v>
      </c>
      <c r="AP29" s="549">
        <f t="shared" ref="AP29:AS29" si="245">AP26+AP28+AP27</f>
        <v>342</v>
      </c>
      <c r="AQ29" s="549">
        <f t="shared" si="245"/>
        <v>953</v>
      </c>
      <c r="AR29" s="549">
        <f t="shared" si="245"/>
        <v>772</v>
      </c>
      <c r="AS29" s="1099">
        <f t="shared" si="245"/>
        <v>2696</v>
      </c>
      <c r="AT29" s="549">
        <f t="shared" ref="AT29:AU29" si="246">AT26+AT28+AT27</f>
        <v>1295</v>
      </c>
      <c r="AU29" s="549">
        <f t="shared" si="246"/>
        <v>3468</v>
      </c>
      <c r="AV29" s="1273">
        <f>AV26+AV28+AV27</f>
        <v>4763</v>
      </c>
      <c r="AW29" s="549">
        <f t="shared" ref="AW29:BB29" si="247">AW26+AW28+AW27</f>
        <v>9</v>
      </c>
      <c r="AX29" s="549">
        <f t="shared" si="247"/>
        <v>626</v>
      </c>
      <c r="AY29" s="549">
        <f t="shared" si="247"/>
        <v>729</v>
      </c>
      <c r="AZ29" s="1099">
        <f t="shared" si="247"/>
        <v>2081</v>
      </c>
      <c r="BA29" s="549">
        <f t="shared" si="247"/>
        <v>635</v>
      </c>
      <c r="BB29" s="549">
        <f t="shared" si="247"/>
        <v>2810</v>
      </c>
      <c r="BC29" s="1273">
        <f>+BC26+BC28+BC27</f>
        <v>3445</v>
      </c>
      <c r="BD29" s="549">
        <f t="shared" ref="BD29:BI29" si="248">BD26+BD28+BD27</f>
        <v>68</v>
      </c>
      <c r="BE29" s="549">
        <f t="shared" si="248"/>
        <v>1243</v>
      </c>
      <c r="BF29" s="549">
        <f t="shared" si="248"/>
        <v>1640</v>
      </c>
      <c r="BG29" s="1099">
        <f t="shared" si="248"/>
        <v>3172</v>
      </c>
      <c r="BH29" s="549">
        <f t="shared" si="248"/>
        <v>1311</v>
      </c>
      <c r="BI29" s="549">
        <f t="shared" si="248"/>
        <v>4812</v>
      </c>
      <c r="BJ29" s="1273">
        <f t="shared" ref="BJ29:DT29" si="249">BJ26+BJ28+BJ27</f>
        <v>6123</v>
      </c>
      <c r="BK29" s="549">
        <f t="shared" ref="BK29:BN29" si="250">BK26+BK28+BK27</f>
        <v>652</v>
      </c>
      <c r="BL29" s="549">
        <f t="shared" si="250"/>
        <v>2044</v>
      </c>
      <c r="BM29" s="549">
        <f t="shared" si="250"/>
        <v>1697</v>
      </c>
      <c r="BN29" s="682">
        <f t="shared" si="250"/>
        <v>2952</v>
      </c>
      <c r="BO29" s="549">
        <f t="shared" ref="BO29:BP29" si="251">BO26+BO28+BO27</f>
        <v>2696</v>
      </c>
      <c r="BP29" s="111">
        <f t="shared" si="251"/>
        <v>4649</v>
      </c>
      <c r="BQ29" s="1273">
        <f t="shared" si="249"/>
        <v>7345</v>
      </c>
      <c r="BR29" s="549">
        <f t="shared" si="249"/>
        <v>579</v>
      </c>
      <c r="BS29" s="549">
        <f t="shared" si="249"/>
        <v>1972</v>
      </c>
      <c r="BT29" s="549">
        <f t="shared" si="249"/>
        <v>1602</v>
      </c>
      <c r="BU29" s="682">
        <f t="shared" si="249"/>
        <v>2781</v>
      </c>
      <c r="BV29" s="549">
        <f t="shared" si="249"/>
        <v>2551</v>
      </c>
      <c r="BW29" s="111">
        <f t="shared" si="249"/>
        <v>4383</v>
      </c>
      <c r="BX29" s="1273">
        <f t="shared" si="249"/>
        <v>6934</v>
      </c>
      <c r="BY29" s="549">
        <f t="shared" si="249"/>
        <v>259</v>
      </c>
      <c r="BZ29" s="549">
        <f t="shared" si="249"/>
        <v>-1228</v>
      </c>
      <c r="CA29" s="549">
        <f t="shared" si="249"/>
        <v>832</v>
      </c>
      <c r="CB29" s="682">
        <f t="shared" si="249"/>
        <v>1886</v>
      </c>
      <c r="CC29" s="549">
        <f t="shared" si="249"/>
        <v>-969</v>
      </c>
      <c r="CD29" s="111">
        <f t="shared" si="249"/>
        <v>2718</v>
      </c>
      <c r="CE29" s="1273">
        <f t="shared" si="249"/>
        <v>1749</v>
      </c>
      <c r="CF29" s="549">
        <f t="shared" si="249"/>
        <v>654</v>
      </c>
      <c r="CG29" s="549">
        <f t="shared" si="249"/>
        <v>2049</v>
      </c>
      <c r="CH29" s="549">
        <f t="shared" si="249"/>
        <v>634</v>
      </c>
      <c r="CI29" s="682">
        <f t="shared" si="249"/>
        <v>1464</v>
      </c>
      <c r="CJ29" s="549">
        <f t="shared" si="249"/>
        <v>2703</v>
      </c>
      <c r="CK29" s="111">
        <f t="shared" si="249"/>
        <v>2098</v>
      </c>
      <c r="CL29" s="1273">
        <f t="shared" si="249"/>
        <v>4801</v>
      </c>
      <c r="CM29" s="549">
        <f t="shared" si="249"/>
        <v>1261</v>
      </c>
      <c r="CN29" s="549">
        <f t="shared" si="249"/>
        <v>1385</v>
      </c>
      <c r="CO29" s="549">
        <f t="shared" si="249"/>
        <v>840</v>
      </c>
      <c r="CP29" s="682">
        <f t="shared" si="249"/>
        <v>2137</v>
      </c>
      <c r="CQ29" s="549">
        <f t="shared" si="249"/>
        <v>2646</v>
      </c>
      <c r="CR29" s="111">
        <f t="shared" si="249"/>
        <v>2977</v>
      </c>
      <c r="CS29" s="1273">
        <f t="shared" si="249"/>
        <v>5623</v>
      </c>
      <c r="CT29" s="549">
        <f t="shared" ref="CT29:CZ29" si="252">CT26+CT28+CT27</f>
        <v>772</v>
      </c>
      <c r="CU29" s="549">
        <f t="shared" si="252"/>
        <v>1836</v>
      </c>
      <c r="CV29" s="549">
        <f t="shared" ref="CV29" si="253">CV26+CV28+CV27</f>
        <v>1024</v>
      </c>
      <c r="CW29" s="682">
        <f t="shared" si="252"/>
        <v>2150</v>
      </c>
      <c r="CX29" s="549">
        <f t="shared" ref="CX29" si="254">CX26+CX28+CX27</f>
        <v>2608</v>
      </c>
      <c r="CY29" s="111">
        <f t="shared" si="252"/>
        <v>3174</v>
      </c>
      <c r="CZ29" s="1273">
        <f t="shared" si="252"/>
        <v>5782</v>
      </c>
      <c r="DA29" s="549">
        <f t="shared" ref="DA29:DD29" si="255">DA26+DA28+DA27</f>
        <v>569</v>
      </c>
      <c r="DB29" s="549">
        <f t="shared" si="255"/>
        <v>808</v>
      </c>
      <c r="DC29" s="549">
        <f t="shared" si="255"/>
        <v>1410</v>
      </c>
      <c r="DD29" s="682">
        <f t="shared" si="255"/>
        <v>2558</v>
      </c>
      <c r="DE29" s="549">
        <f t="shared" si="249"/>
        <v>1377</v>
      </c>
      <c r="DF29" s="111">
        <f t="shared" si="249"/>
        <v>3968</v>
      </c>
      <c r="DG29" s="1273">
        <f t="shared" si="249"/>
        <v>5345</v>
      </c>
      <c r="DH29" s="111">
        <f t="shared" ref="DH29:DN29" si="256">DH26+DH28+DH27</f>
        <v>649</v>
      </c>
      <c r="DI29" s="549">
        <f t="shared" si="256"/>
        <v>1579</v>
      </c>
      <c r="DJ29" s="549">
        <f t="shared" si="256"/>
        <v>1957</v>
      </c>
      <c r="DK29" s="682">
        <f t="shared" si="256"/>
        <v>3008</v>
      </c>
      <c r="DL29" s="549">
        <f t="shared" si="256"/>
        <v>2228</v>
      </c>
      <c r="DM29" s="111">
        <f t="shared" si="256"/>
        <v>4965</v>
      </c>
      <c r="DN29" s="1273">
        <f t="shared" si="256"/>
        <v>7193</v>
      </c>
      <c r="DO29" s="549">
        <f t="shared" si="249"/>
        <v>276</v>
      </c>
      <c r="DP29" s="549">
        <f t="shared" si="249"/>
        <v>2438</v>
      </c>
      <c r="DQ29" s="401">
        <f t="shared" si="249"/>
        <v>2059.1588140093568</v>
      </c>
      <c r="DR29" s="431">
        <f t="shared" si="249"/>
        <v>3125.4443803330441</v>
      </c>
      <c r="DS29" s="2024">
        <f t="shared" si="249"/>
        <v>2714</v>
      </c>
      <c r="DT29" s="401">
        <f t="shared" si="249"/>
        <v>5184.6031943424023</v>
      </c>
      <c r="DU29" s="400">
        <f t="shared" ref="DU29:EA29" si="257">DU26+DU28+DU27</f>
        <v>7898.6031943424005</v>
      </c>
      <c r="DV29" s="401">
        <f t="shared" si="257"/>
        <v>2123.6724132099453</v>
      </c>
      <c r="DW29" s="401">
        <f t="shared" si="257"/>
        <v>2389.0712471500483</v>
      </c>
      <c r="DX29" s="401">
        <f t="shared" si="257"/>
        <v>2380.745170471354</v>
      </c>
      <c r="DY29" s="431">
        <f t="shared" si="257"/>
        <v>2637.9128791162857</v>
      </c>
      <c r="DZ29" s="401">
        <f t="shared" si="257"/>
        <v>4512.7436603599945</v>
      </c>
      <c r="EA29" s="401">
        <f t="shared" si="257"/>
        <v>5018.6580495876397</v>
      </c>
      <c r="EB29" s="400">
        <f t="shared" ref="EB29:EH29" si="258">EB26+EB28+EB27</f>
        <v>9531.401709947635</v>
      </c>
      <c r="EC29" s="401">
        <f t="shared" si="258"/>
        <v>2655.632405480741</v>
      </c>
      <c r="ED29" s="401">
        <f t="shared" si="258"/>
        <v>2937.5487101656699</v>
      </c>
      <c r="EE29" s="401">
        <f t="shared" si="258"/>
        <v>2928.4016689674986</v>
      </c>
      <c r="EF29" s="431">
        <f t="shared" si="258"/>
        <v>3302.8528253172331</v>
      </c>
      <c r="EG29" s="401">
        <f t="shared" si="258"/>
        <v>5593.1811156464109</v>
      </c>
      <c r="EH29" s="401">
        <f t="shared" si="258"/>
        <v>6231.2544942847317</v>
      </c>
      <c r="EI29" s="400">
        <f t="shared" ref="EI29:EO29" si="259">EI26+EI28+EI27</f>
        <v>11824.435609931143</v>
      </c>
      <c r="EJ29" s="401">
        <f t="shared" si="259"/>
        <v>3011.0862491720727</v>
      </c>
      <c r="EK29" s="401">
        <f t="shared" si="259"/>
        <v>3137.9684771710677</v>
      </c>
      <c r="EL29" s="401">
        <f t="shared" si="259"/>
        <v>3128.9361038409443</v>
      </c>
      <c r="EM29" s="431">
        <f t="shared" si="259"/>
        <v>3536.3998185648866</v>
      </c>
      <c r="EN29" s="401">
        <f t="shared" si="259"/>
        <v>6149.0547263431417</v>
      </c>
      <c r="EO29" s="401">
        <f t="shared" si="259"/>
        <v>6665.3359224058313</v>
      </c>
      <c r="EP29" s="400">
        <f t="shared" ref="EP29:EV29" si="260">EP26+EP28+EP27</f>
        <v>12814.390648748971</v>
      </c>
      <c r="EQ29" s="401">
        <f t="shared" si="260"/>
        <v>3191.0782387219201</v>
      </c>
      <c r="ER29" s="401">
        <f t="shared" si="260"/>
        <v>3325.2352230021702</v>
      </c>
      <c r="ES29" s="401">
        <f t="shared" si="260"/>
        <v>3316.3441874688351</v>
      </c>
      <c r="ET29" s="431">
        <f t="shared" si="260"/>
        <v>3741.4462046619328</v>
      </c>
      <c r="EU29" s="401">
        <f t="shared" si="260"/>
        <v>6516.3134617240903</v>
      </c>
      <c r="EV29" s="401">
        <f t="shared" si="260"/>
        <v>7057.790392130767</v>
      </c>
      <c r="EW29" s="400">
        <f>EW26+EW28+EW27</f>
        <v>13574.103853854858</v>
      </c>
    </row>
    <row r="30" spans="1:153" ht="10.199999999999999" customHeight="1">
      <c r="A30" s="108" t="s">
        <v>326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208">
        <v>22</v>
      </c>
      <c r="O30" s="834">
        <f>R30-N30</f>
        <v>17</v>
      </c>
      <c r="P30" s="1208">
        <f>35-R30</f>
        <v>-4</v>
      </c>
      <c r="Q30" s="688">
        <f>S30-P30</f>
        <v>-20</v>
      </c>
      <c r="R30" s="1208">
        <v>39</v>
      </c>
      <c r="S30" s="197">
        <f>T30-R30</f>
        <v>-24</v>
      </c>
      <c r="T30" s="1272">
        <v>15</v>
      </c>
      <c r="U30" s="1208">
        <v>30</v>
      </c>
      <c r="V30" s="834">
        <f>Y30-U30</f>
        <v>79</v>
      </c>
      <c r="W30" s="1208">
        <f>199-Y30</f>
        <v>90</v>
      </c>
      <c r="X30" s="688">
        <f>Z30-W30</f>
        <v>5</v>
      </c>
      <c r="Y30" s="1208">
        <v>109</v>
      </c>
      <c r="Z30" s="197">
        <f>AA30-Y30</f>
        <v>95</v>
      </c>
      <c r="AA30" s="1272">
        <v>204</v>
      </c>
      <c r="AB30" s="1208">
        <v>-60</v>
      </c>
      <c r="AC30" s="834">
        <f>AF30-AB30</f>
        <v>-19</v>
      </c>
      <c r="AD30" s="1208">
        <f>-94-AF30</f>
        <v>-15</v>
      </c>
      <c r="AE30" s="688">
        <f>AG30-AD30</f>
        <v>-41</v>
      </c>
      <c r="AF30" s="1208">
        <v>-79</v>
      </c>
      <c r="AG30" s="197">
        <f>AH30-AF30</f>
        <v>-56</v>
      </c>
      <c r="AH30" s="1272">
        <v>-135</v>
      </c>
      <c r="AI30" s="1208">
        <v>-48</v>
      </c>
      <c r="AJ30" s="834">
        <f>AM30-AI30</f>
        <v>-8</v>
      </c>
      <c r="AK30" s="1208">
        <f>-64-AM30</f>
        <v>-8</v>
      </c>
      <c r="AL30" s="688">
        <f>AN30-AK30</f>
        <v>-144</v>
      </c>
      <c r="AM30" s="1208">
        <v>-56</v>
      </c>
      <c r="AN30" s="197">
        <f>AO30-AM30</f>
        <v>-152</v>
      </c>
      <c r="AO30" s="1272">
        <v>-208</v>
      </c>
      <c r="AP30" s="1208">
        <v>-102</v>
      </c>
      <c r="AQ30" s="834">
        <f>AT30-AP30</f>
        <v>-94</v>
      </c>
      <c r="AR30" s="1208">
        <v>-75</v>
      </c>
      <c r="AS30" s="688">
        <f>AU30-AR30</f>
        <v>-239</v>
      </c>
      <c r="AT30" s="1208">
        <v>-196</v>
      </c>
      <c r="AU30" s="197">
        <f>AV30-AT30</f>
        <v>-314</v>
      </c>
      <c r="AV30" s="1272">
        <v>-510</v>
      </c>
      <c r="AW30" s="1208">
        <v>-28</v>
      </c>
      <c r="AX30" s="834">
        <f>BA30-AW30</f>
        <v>-54</v>
      </c>
      <c r="AY30" s="1208">
        <f>-156-BA30</f>
        <v>-74</v>
      </c>
      <c r="AZ30" s="688">
        <f>BB30-AY30</f>
        <v>-99</v>
      </c>
      <c r="BA30" s="1208">
        <v>-82</v>
      </c>
      <c r="BB30" s="197">
        <f>BC30-BA30</f>
        <v>-173</v>
      </c>
      <c r="BC30" s="1272">
        <v>-255</v>
      </c>
      <c r="BD30" s="1208">
        <v>-54</v>
      </c>
      <c r="BE30" s="834">
        <v>-95</v>
      </c>
      <c r="BF30" s="1208">
        <f>-213-BH30</f>
        <v>-64</v>
      </c>
      <c r="BG30" s="1095">
        <f>BI30-BF30</f>
        <v>-76</v>
      </c>
      <c r="BH30" s="1208">
        <f>BD30+BE30</f>
        <v>-149</v>
      </c>
      <c r="BI30" s="834">
        <f>BJ30-BH30</f>
        <v>-140</v>
      </c>
      <c r="BJ30" s="1272">
        <v>-289</v>
      </c>
      <c r="BK30" s="1208">
        <v>-103</v>
      </c>
      <c r="BL30" s="834">
        <v>-64</v>
      </c>
      <c r="BM30" s="1208">
        <v>-93</v>
      </c>
      <c r="BN30" s="688">
        <f t="shared" ref="BN30" si="261">BP30-BM30</f>
        <v>-139</v>
      </c>
      <c r="BO30" s="1208">
        <f>BK30+BL30</f>
        <v>-167</v>
      </c>
      <c r="BP30" s="197">
        <f t="shared" si="211"/>
        <v>-232</v>
      </c>
      <c r="BQ30" s="1272">
        <v>-399</v>
      </c>
      <c r="BR30" s="1208">
        <f>-103+73</f>
        <v>-30</v>
      </c>
      <c r="BS30" s="834">
        <f>-64+72</f>
        <v>8</v>
      </c>
      <c r="BT30" s="1208">
        <f>-93+95</f>
        <v>2</v>
      </c>
      <c r="BU30" s="688">
        <f t="shared" si="212"/>
        <v>32</v>
      </c>
      <c r="BV30" s="1208">
        <f>BR30+BS30</f>
        <v>-22</v>
      </c>
      <c r="BW30" s="197">
        <f t="shared" si="213"/>
        <v>34</v>
      </c>
      <c r="BX30" s="1272">
        <f>BQ30+411</f>
        <v>12</v>
      </c>
      <c r="BY30" s="1208">
        <v>22</v>
      </c>
      <c r="BZ30" s="834">
        <v>2</v>
      </c>
      <c r="CA30" s="1208">
        <v>-12</v>
      </c>
      <c r="CB30" s="688">
        <f t="shared" si="214"/>
        <v>-55</v>
      </c>
      <c r="CC30" s="1208">
        <f>BY30+BZ30</f>
        <v>24</v>
      </c>
      <c r="CD30" s="197">
        <f t="shared" si="215"/>
        <v>-67</v>
      </c>
      <c r="CE30" s="1272">
        <v>-43</v>
      </c>
      <c r="CF30" s="1208">
        <v>40</v>
      </c>
      <c r="CG30" s="834">
        <f>CJ30-CF30</f>
        <v>-40</v>
      </c>
      <c r="CH30" s="1208">
        <v>32</v>
      </c>
      <c r="CI30" s="688">
        <f t="shared" si="216"/>
        <v>32</v>
      </c>
      <c r="CJ30" s="1208">
        <v>0</v>
      </c>
      <c r="CK30" s="197">
        <f t="shared" si="217"/>
        <v>64</v>
      </c>
      <c r="CL30" s="1272">
        <v>64</v>
      </c>
      <c r="CM30" s="1208">
        <v>2</v>
      </c>
      <c r="CN30" s="834">
        <v>-3</v>
      </c>
      <c r="CO30" s="1208">
        <v>-4</v>
      </c>
      <c r="CP30" s="688">
        <f t="shared" si="218"/>
        <v>9</v>
      </c>
      <c r="CQ30" s="1208">
        <f t="shared" ref="CQ30" si="262">CM30+CN30</f>
        <v>-1</v>
      </c>
      <c r="CR30" s="834">
        <f>CS30-CQ30</f>
        <v>5</v>
      </c>
      <c r="CS30" s="1272">
        <v>4</v>
      </c>
      <c r="CT30" s="1208">
        <v>1</v>
      </c>
      <c r="CU30" s="834">
        <f>CX30-CT30</f>
        <v>9</v>
      </c>
      <c r="CV30" s="1208">
        <v>-11</v>
      </c>
      <c r="CW30" s="1095">
        <f>CY30-CV30</f>
        <v>57</v>
      </c>
      <c r="CX30" s="1208">
        <v>10</v>
      </c>
      <c r="CY30" s="834">
        <f>CZ30-CX30</f>
        <v>46</v>
      </c>
      <c r="CZ30" s="1272">
        <v>56</v>
      </c>
      <c r="DA30" s="1208">
        <v>8</v>
      </c>
      <c r="DB30" s="834">
        <f>DE30-DA30</f>
        <v>6</v>
      </c>
      <c r="DC30" s="834">
        <v>-3</v>
      </c>
      <c r="DD30" s="1095">
        <f>DF30-DC30</f>
        <v>-2</v>
      </c>
      <c r="DE30" s="1208">
        <v>14</v>
      </c>
      <c r="DF30" s="834">
        <f>DG30-DE30</f>
        <v>-5</v>
      </c>
      <c r="DG30" s="1272">
        <v>9</v>
      </c>
      <c r="DH30" s="834">
        <v>-25</v>
      </c>
      <c r="DI30" s="834">
        <f>DL30-DH30</f>
        <v>1</v>
      </c>
      <c r="DJ30" s="834">
        <v>-15</v>
      </c>
      <c r="DK30" s="1095">
        <f>DM30-DJ30</f>
        <v>-26</v>
      </c>
      <c r="DL30" s="2080">
        <v>-24</v>
      </c>
      <c r="DM30" s="834">
        <f>DN30-DL30</f>
        <v>-41</v>
      </c>
      <c r="DN30" s="1272">
        <v>-65</v>
      </c>
      <c r="DO30" s="834">
        <v>24</v>
      </c>
      <c r="DP30" s="834">
        <f>DS30-DO30</f>
        <v>-11</v>
      </c>
      <c r="DQ30" s="860">
        <f>DT30/2</f>
        <v>0</v>
      </c>
      <c r="DR30" s="1109">
        <f>DT30-DQ30</f>
        <v>0</v>
      </c>
      <c r="DS30" s="1892">
        <v>13</v>
      </c>
      <c r="DT30" s="860">
        <f>DU30-DS30</f>
        <v>0</v>
      </c>
      <c r="DU30" s="386">
        <v>13</v>
      </c>
      <c r="DV30" s="860">
        <f>DZ30/2</f>
        <v>0</v>
      </c>
      <c r="DW30" s="860">
        <f>DZ30-DV30</f>
        <v>0</v>
      </c>
      <c r="DX30" s="860">
        <f>EA30/2</f>
        <v>0</v>
      </c>
      <c r="DY30" s="1109">
        <f>EA30-DX30</f>
        <v>0</v>
      </c>
      <c r="DZ30" s="860">
        <f>EB30/2</f>
        <v>0</v>
      </c>
      <c r="EA30" s="860">
        <f>EB30-DZ30</f>
        <v>0</v>
      </c>
      <c r="EB30" s="386">
        <v>0</v>
      </c>
      <c r="EC30" s="860">
        <f>EG30/2</f>
        <v>0</v>
      </c>
      <c r="ED30" s="860">
        <f>EG30-EC30</f>
        <v>0</v>
      </c>
      <c r="EE30" s="860">
        <f>EH30/2</f>
        <v>0</v>
      </c>
      <c r="EF30" s="1109">
        <f>EH30-EE30</f>
        <v>0</v>
      </c>
      <c r="EG30" s="860">
        <f>EI30/2</f>
        <v>0</v>
      </c>
      <c r="EH30" s="860">
        <f>EI30-EG30</f>
        <v>0</v>
      </c>
      <c r="EI30" s="592">
        <f>EB30</f>
        <v>0</v>
      </c>
      <c r="EJ30" s="860">
        <f>EN30/2</f>
        <v>0</v>
      </c>
      <c r="EK30" s="860">
        <f>EN30-EJ30</f>
        <v>0</v>
      </c>
      <c r="EL30" s="860">
        <f>EO30/2</f>
        <v>0</v>
      </c>
      <c r="EM30" s="1109">
        <f>EO30-EL30</f>
        <v>0</v>
      </c>
      <c r="EN30" s="860">
        <f>EP30/2</f>
        <v>0</v>
      </c>
      <c r="EO30" s="860">
        <f>EP30-EN30</f>
        <v>0</v>
      </c>
      <c r="EP30" s="592">
        <f>EI30</f>
        <v>0</v>
      </c>
      <c r="EQ30" s="860">
        <f>EU30/2</f>
        <v>0</v>
      </c>
      <c r="ER30" s="860">
        <f>EU30-EQ30</f>
        <v>0</v>
      </c>
      <c r="ES30" s="860">
        <f>EV30/2</f>
        <v>0</v>
      </c>
      <c r="ET30" s="1109">
        <f>EV30-ES30</f>
        <v>0</v>
      </c>
      <c r="EU30" s="860">
        <f>EW30/2</f>
        <v>0</v>
      </c>
      <c r="EV30" s="860">
        <f>EW30-EU30</f>
        <v>0</v>
      </c>
      <c r="EW30" s="592">
        <f>EP30</f>
        <v>0</v>
      </c>
    </row>
    <row r="31" spans="1:153" ht="10.199999999999999" customHeight="1">
      <c r="A31" s="48" t="s">
        <v>545</v>
      </c>
      <c r="B31" s="852">
        <f t="shared" ref="B31:AA31" si="263">B60-B39-B38-B37-B36-B35</f>
        <v>1694</v>
      </c>
      <c r="C31" s="852">
        <f t="shared" si="263"/>
        <v>1426</v>
      </c>
      <c r="D31" s="852">
        <f t="shared" si="263"/>
        <v>1543</v>
      </c>
      <c r="E31" s="852">
        <f t="shared" si="263"/>
        <v>2432</v>
      </c>
      <c r="F31" s="852">
        <f t="shared" si="263"/>
        <v>2852</v>
      </c>
      <c r="G31" s="852">
        <f t="shared" si="263"/>
        <v>399</v>
      </c>
      <c r="H31" s="852">
        <f t="shared" si="263"/>
        <v>4070</v>
      </c>
      <c r="I31" s="852">
        <f t="shared" si="263"/>
        <v>3330</v>
      </c>
      <c r="J31" s="852">
        <f t="shared" si="263"/>
        <v>2148</v>
      </c>
      <c r="K31" s="852">
        <f t="shared" si="263"/>
        <v>1341</v>
      </c>
      <c r="L31" s="852">
        <f t="shared" si="263"/>
        <v>1786</v>
      </c>
      <c r="M31" s="852">
        <f t="shared" si="263"/>
        <v>3006</v>
      </c>
      <c r="N31" s="852">
        <f t="shared" ref="N31:S31" si="264">N29+N30</f>
        <v>734</v>
      </c>
      <c r="O31" s="852">
        <f t="shared" si="264"/>
        <v>880</v>
      </c>
      <c r="P31" s="852">
        <f t="shared" si="264"/>
        <v>706</v>
      </c>
      <c r="Q31" s="1100">
        <f t="shared" si="264"/>
        <v>1217</v>
      </c>
      <c r="R31" s="852">
        <f t="shared" si="264"/>
        <v>1614</v>
      </c>
      <c r="S31" s="852">
        <f t="shared" si="264"/>
        <v>1923</v>
      </c>
      <c r="T31" s="1274">
        <f t="shared" si="263"/>
        <v>3537</v>
      </c>
      <c r="U31" s="852">
        <f t="shared" ref="U31:Z31" si="265">U29+U30</f>
        <v>700</v>
      </c>
      <c r="V31" s="852">
        <f t="shared" si="265"/>
        <v>1069</v>
      </c>
      <c r="W31" s="852">
        <f t="shared" si="265"/>
        <v>821</v>
      </c>
      <c r="X31" s="1100">
        <f t="shared" si="265"/>
        <v>1476</v>
      </c>
      <c r="Y31" s="852">
        <f t="shared" si="265"/>
        <v>1769</v>
      </c>
      <c r="Z31" s="852">
        <f t="shared" si="265"/>
        <v>2297</v>
      </c>
      <c r="AA31" s="1274">
        <f t="shared" si="263"/>
        <v>4066</v>
      </c>
      <c r="AB31" s="852">
        <f t="shared" ref="AB31:AG31" si="266">AB29+AB30</f>
        <v>651</v>
      </c>
      <c r="AC31" s="852">
        <f t="shared" si="266"/>
        <v>1232</v>
      </c>
      <c r="AD31" s="852">
        <f t="shared" si="266"/>
        <v>921</v>
      </c>
      <c r="AE31" s="1100">
        <f t="shared" si="266"/>
        <v>1328</v>
      </c>
      <c r="AF31" s="852">
        <f t="shared" si="266"/>
        <v>1883</v>
      </c>
      <c r="AG31" s="852">
        <f t="shared" si="266"/>
        <v>2249</v>
      </c>
      <c r="AH31" s="1274">
        <f>AH29+AH30</f>
        <v>4132</v>
      </c>
      <c r="AI31" s="852">
        <f t="shared" ref="AI31:AN31" si="267">AI29+AI30</f>
        <v>498</v>
      </c>
      <c r="AJ31" s="852">
        <f t="shared" si="267"/>
        <v>1181</v>
      </c>
      <c r="AK31" s="852">
        <f t="shared" si="267"/>
        <v>729</v>
      </c>
      <c r="AL31" s="1100">
        <f t="shared" si="267"/>
        <v>1547</v>
      </c>
      <c r="AM31" s="852">
        <f t="shared" si="267"/>
        <v>1679</v>
      </c>
      <c r="AN31" s="852">
        <f t="shared" si="267"/>
        <v>2276</v>
      </c>
      <c r="AO31" s="1274">
        <f>AO29+AO30</f>
        <v>3955</v>
      </c>
      <c r="AP31" s="852">
        <f t="shared" ref="AP31:AS31" si="268">AP29+AP30</f>
        <v>240</v>
      </c>
      <c r="AQ31" s="852">
        <f t="shared" si="268"/>
        <v>859</v>
      </c>
      <c r="AR31" s="852">
        <f t="shared" si="268"/>
        <v>697</v>
      </c>
      <c r="AS31" s="1100">
        <f t="shared" si="268"/>
        <v>2457</v>
      </c>
      <c r="AT31" s="852">
        <f t="shared" ref="AT31:AU31" si="269">AT29+AT30</f>
        <v>1099</v>
      </c>
      <c r="AU31" s="852">
        <f t="shared" si="269"/>
        <v>3154</v>
      </c>
      <c r="AV31" s="1274">
        <f>AV29+AV30</f>
        <v>4253</v>
      </c>
      <c r="AW31" s="852">
        <f t="shared" ref="AW31:BB31" si="270">AW29+AW30</f>
        <v>-19</v>
      </c>
      <c r="AX31" s="852">
        <f t="shared" si="270"/>
        <v>572</v>
      </c>
      <c r="AY31" s="852">
        <f t="shared" si="270"/>
        <v>655</v>
      </c>
      <c r="AZ31" s="1100">
        <f t="shared" si="270"/>
        <v>1982</v>
      </c>
      <c r="BA31" s="852">
        <f t="shared" si="270"/>
        <v>553</v>
      </c>
      <c r="BB31" s="852">
        <f t="shared" si="270"/>
        <v>2637</v>
      </c>
      <c r="BC31" s="1274">
        <f>+BC29+BC30</f>
        <v>3190</v>
      </c>
      <c r="BD31" s="852">
        <f t="shared" ref="BD31:BI31" si="271">BD29+BD30</f>
        <v>14</v>
      </c>
      <c r="BE31" s="852">
        <f t="shared" si="271"/>
        <v>1148</v>
      </c>
      <c r="BF31" s="852">
        <f t="shared" si="271"/>
        <v>1576</v>
      </c>
      <c r="BG31" s="1100">
        <f t="shared" si="271"/>
        <v>3096</v>
      </c>
      <c r="BH31" s="852">
        <f t="shared" si="271"/>
        <v>1162</v>
      </c>
      <c r="BI31" s="852">
        <f t="shared" si="271"/>
        <v>4672</v>
      </c>
      <c r="BJ31" s="1274">
        <f t="shared" ref="BJ31:DG31" si="272">BJ29+BJ30</f>
        <v>5834</v>
      </c>
      <c r="BK31" s="852">
        <f t="shared" si="272"/>
        <v>549</v>
      </c>
      <c r="BL31" s="852">
        <f t="shared" si="272"/>
        <v>1980</v>
      </c>
      <c r="BM31" s="852">
        <f t="shared" si="272"/>
        <v>1604</v>
      </c>
      <c r="BN31" s="1100">
        <f t="shared" si="272"/>
        <v>2813</v>
      </c>
      <c r="BO31" s="852">
        <f t="shared" ref="BO31:BP31" si="273">BO29+BO30</f>
        <v>2529</v>
      </c>
      <c r="BP31" s="852">
        <f t="shared" si="273"/>
        <v>4417</v>
      </c>
      <c r="BQ31" s="1274">
        <f t="shared" si="272"/>
        <v>6946</v>
      </c>
      <c r="BR31" s="852">
        <f t="shared" ref="BR31:BW31" si="274">BR29+BR30</f>
        <v>549</v>
      </c>
      <c r="BS31" s="852">
        <f t="shared" si="274"/>
        <v>1980</v>
      </c>
      <c r="BT31" s="852">
        <f t="shared" si="274"/>
        <v>1604</v>
      </c>
      <c r="BU31" s="1100">
        <f t="shared" si="274"/>
        <v>2813</v>
      </c>
      <c r="BV31" s="852">
        <f t="shared" si="274"/>
        <v>2529</v>
      </c>
      <c r="BW31" s="852">
        <f t="shared" si="274"/>
        <v>4417</v>
      </c>
      <c r="BX31" s="1274">
        <f t="shared" si="272"/>
        <v>6946</v>
      </c>
      <c r="BY31" s="852">
        <f t="shared" ref="BY31:CD31" si="275">BY29+BY30</f>
        <v>281</v>
      </c>
      <c r="BZ31" s="852">
        <f t="shared" si="275"/>
        <v>-1226</v>
      </c>
      <c r="CA31" s="852">
        <f t="shared" si="275"/>
        <v>820</v>
      </c>
      <c r="CB31" s="1100">
        <f t="shared" si="275"/>
        <v>1831</v>
      </c>
      <c r="CC31" s="852">
        <f t="shared" si="275"/>
        <v>-945</v>
      </c>
      <c r="CD31" s="852">
        <f t="shared" si="275"/>
        <v>2651</v>
      </c>
      <c r="CE31" s="1274">
        <f t="shared" si="272"/>
        <v>1706</v>
      </c>
      <c r="CF31" s="852">
        <f t="shared" si="272"/>
        <v>694</v>
      </c>
      <c r="CG31" s="852">
        <f t="shared" si="272"/>
        <v>2009</v>
      </c>
      <c r="CH31" s="852">
        <f t="shared" si="272"/>
        <v>666</v>
      </c>
      <c r="CI31" s="1100">
        <f t="shared" si="272"/>
        <v>1496</v>
      </c>
      <c r="CJ31" s="852">
        <f t="shared" si="272"/>
        <v>2703</v>
      </c>
      <c r="CK31" s="852">
        <f t="shared" si="272"/>
        <v>2162</v>
      </c>
      <c r="CL31" s="1274">
        <f t="shared" si="272"/>
        <v>4865</v>
      </c>
      <c r="CM31" s="852">
        <f t="shared" ref="CM31:CR31" si="276">CM29+CM30</f>
        <v>1263</v>
      </c>
      <c r="CN31" s="852">
        <f t="shared" si="276"/>
        <v>1382</v>
      </c>
      <c r="CO31" s="852">
        <f t="shared" si="276"/>
        <v>836</v>
      </c>
      <c r="CP31" s="1100">
        <f t="shared" si="276"/>
        <v>2146</v>
      </c>
      <c r="CQ31" s="852">
        <f t="shared" si="276"/>
        <v>2645</v>
      </c>
      <c r="CR31" s="852">
        <f t="shared" si="276"/>
        <v>2982</v>
      </c>
      <c r="CS31" s="1274">
        <f t="shared" si="272"/>
        <v>5627</v>
      </c>
      <c r="CT31" s="852">
        <f t="shared" ref="CT31:CZ31" si="277">CT29+CT30</f>
        <v>773</v>
      </c>
      <c r="CU31" s="126">
        <f t="shared" si="277"/>
        <v>1845</v>
      </c>
      <c r="CV31" s="852">
        <f t="shared" ref="CV31" si="278">CV29+CV30</f>
        <v>1013</v>
      </c>
      <c r="CW31" s="1276">
        <f t="shared" si="277"/>
        <v>2207</v>
      </c>
      <c r="CX31" s="852">
        <f t="shared" ref="CX31" si="279">CX29+CX30</f>
        <v>2618</v>
      </c>
      <c r="CY31" s="126">
        <f t="shared" si="277"/>
        <v>3220</v>
      </c>
      <c r="CZ31" s="1274">
        <f t="shared" si="277"/>
        <v>5838</v>
      </c>
      <c r="DA31" s="852">
        <f t="shared" ref="DA31:DD31" si="280">DA29+DA30</f>
        <v>577</v>
      </c>
      <c r="DB31" s="126">
        <f t="shared" si="280"/>
        <v>814</v>
      </c>
      <c r="DC31" s="126">
        <f t="shared" si="280"/>
        <v>1407</v>
      </c>
      <c r="DD31" s="1276">
        <f t="shared" si="280"/>
        <v>2556</v>
      </c>
      <c r="DE31" s="852">
        <f t="shared" si="272"/>
        <v>1391</v>
      </c>
      <c r="DF31" s="126">
        <f t="shared" si="272"/>
        <v>3963</v>
      </c>
      <c r="DG31" s="1274">
        <f t="shared" si="272"/>
        <v>5354</v>
      </c>
      <c r="DH31" s="126">
        <f t="shared" ref="DH31:DN31" si="281">DH29+DH30</f>
        <v>624</v>
      </c>
      <c r="DI31" s="126">
        <f t="shared" si="281"/>
        <v>1580</v>
      </c>
      <c r="DJ31" s="126">
        <f t="shared" si="281"/>
        <v>1942</v>
      </c>
      <c r="DK31" s="1276">
        <f t="shared" si="281"/>
        <v>2982</v>
      </c>
      <c r="DL31" s="852">
        <f t="shared" si="281"/>
        <v>2204</v>
      </c>
      <c r="DM31" s="126">
        <f t="shared" si="281"/>
        <v>4924</v>
      </c>
      <c r="DN31" s="1274">
        <f t="shared" si="281"/>
        <v>7128</v>
      </c>
      <c r="DO31" s="852">
        <f t="shared" ref="DO31:DT31" si="282">DO29+DO30</f>
        <v>300</v>
      </c>
      <c r="DP31" s="126">
        <f t="shared" si="282"/>
        <v>2427</v>
      </c>
      <c r="DQ31" s="1110">
        <f t="shared" si="282"/>
        <v>2059.1588140093568</v>
      </c>
      <c r="DR31" s="1111">
        <f t="shared" si="282"/>
        <v>3125.4443803330441</v>
      </c>
      <c r="DS31" s="1920">
        <f t="shared" si="282"/>
        <v>2727</v>
      </c>
      <c r="DT31" s="1110">
        <f t="shared" si="282"/>
        <v>5184.6031943424023</v>
      </c>
      <c r="DU31" s="1107">
        <f>DU29+DU30</f>
        <v>7911.6031943424005</v>
      </c>
      <c r="DV31" s="1110">
        <f t="shared" ref="DV31:EA31" si="283">DV29+DV30</f>
        <v>2123.6724132099453</v>
      </c>
      <c r="DW31" s="1110">
        <f t="shared" si="283"/>
        <v>2389.0712471500483</v>
      </c>
      <c r="DX31" s="1110">
        <f t="shared" si="283"/>
        <v>2380.745170471354</v>
      </c>
      <c r="DY31" s="1111">
        <f t="shared" si="283"/>
        <v>2637.9128791162857</v>
      </c>
      <c r="DZ31" s="1110">
        <f t="shared" si="283"/>
        <v>4512.7436603599945</v>
      </c>
      <c r="EA31" s="1110">
        <f t="shared" si="283"/>
        <v>5018.6580495876397</v>
      </c>
      <c r="EB31" s="1107">
        <f>EB29+EB30</f>
        <v>9531.401709947635</v>
      </c>
      <c r="EC31" s="1110">
        <f t="shared" ref="EC31:EH31" si="284">EC29+EC30</f>
        <v>2655.632405480741</v>
      </c>
      <c r="ED31" s="1110">
        <f t="shared" si="284"/>
        <v>2937.5487101656699</v>
      </c>
      <c r="EE31" s="1110">
        <f t="shared" si="284"/>
        <v>2928.4016689674986</v>
      </c>
      <c r="EF31" s="1111">
        <f t="shared" si="284"/>
        <v>3302.8528253172331</v>
      </c>
      <c r="EG31" s="1110">
        <f t="shared" si="284"/>
        <v>5593.1811156464109</v>
      </c>
      <c r="EH31" s="1110">
        <f t="shared" si="284"/>
        <v>6231.2544942847317</v>
      </c>
      <c r="EI31" s="1107">
        <f>EI29+EI30</f>
        <v>11824.435609931143</v>
      </c>
      <c r="EJ31" s="1110">
        <f t="shared" ref="EJ31:EO31" si="285">EJ29+EJ30</f>
        <v>3011.0862491720727</v>
      </c>
      <c r="EK31" s="1110">
        <f t="shared" si="285"/>
        <v>3137.9684771710677</v>
      </c>
      <c r="EL31" s="1110">
        <f t="shared" si="285"/>
        <v>3128.9361038409443</v>
      </c>
      <c r="EM31" s="1111">
        <f t="shared" si="285"/>
        <v>3536.3998185648866</v>
      </c>
      <c r="EN31" s="1110">
        <f t="shared" si="285"/>
        <v>6149.0547263431417</v>
      </c>
      <c r="EO31" s="1110">
        <f t="shared" si="285"/>
        <v>6665.3359224058313</v>
      </c>
      <c r="EP31" s="1107">
        <f>EP29+EP30</f>
        <v>12814.390648748971</v>
      </c>
      <c r="EQ31" s="1110">
        <f t="shared" ref="EQ31:EV31" si="286">EQ29+EQ30</f>
        <v>3191.0782387219201</v>
      </c>
      <c r="ER31" s="1110">
        <f t="shared" si="286"/>
        <v>3325.2352230021702</v>
      </c>
      <c r="ES31" s="1110">
        <f t="shared" si="286"/>
        <v>3316.3441874688351</v>
      </c>
      <c r="ET31" s="1111">
        <f t="shared" si="286"/>
        <v>3741.4462046619328</v>
      </c>
      <c r="EU31" s="1110">
        <f t="shared" si="286"/>
        <v>6516.3134617240903</v>
      </c>
      <c r="EV31" s="1110">
        <f t="shared" si="286"/>
        <v>7057.790392130767</v>
      </c>
      <c r="EW31" s="1107">
        <f>EW29+EW30</f>
        <v>13574.103853854858</v>
      </c>
    </row>
    <row r="32" spans="1:153" ht="10.199999999999999" customHeight="1">
      <c r="A32" s="43" t="s">
        <v>137</v>
      </c>
      <c r="B32" s="809">
        <f t="shared" ref="B32:DT32" si="287">B31/B13</f>
        <v>5.5003571660497436E-2</v>
      </c>
      <c r="C32" s="809">
        <f t="shared" si="287"/>
        <v>4.7690712685194474E-2</v>
      </c>
      <c r="D32" s="809">
        <f t="shared" si="287"/>
        <v>5.1206318653967409E-2</v>
      </c>
      <c r="E32" s="809">
        <f t="shared" si="287"/>
        <v>7.6571896350870569E-2</v>
      </c>
      <c r="F32" s="809">
        <f t="shared" si="287"/>
        <v>8.3377185289130559E-2</v>
      </c>
      <c r="G32" s="809">
        <f t="shared" si="287"/>
        <v>1.0118172135720443E-2</v>
      </c>
      <c r="H32" s="809">
        <f t="shared" si="287"/>
        <v>0.10403087697773689</v>
      </c>
      <c r="I32" s="809">
        <f t="shared" si="287"/>
        <v>7.6967525713625334E-2</v>
      </c>
      <c r="J32" s="809">
        <f t="shared" si="287"/>
        <v>5.0161132128345241E-2</v>
      </c>
      <c r="K32" s="809">
        <f t="shared" si="287"/>
        <v>2.9310194089875851E-2</v>
      </c>
      <c r="L32" s="809">
        <f t="shared" si="287"/>
        <v>3.6354014004233839E-2</v>
      </c>
      <c r="M32" s="809">
        <f t="shared" si="287"/>
        <v>5.3222379603399435E-2</v>
      </c>
      <c r="N32" s="809">
        <f t="shared" si="287"/>
        <v>6.0691251860426655E-2</v>
      </c>
      <c r="O32" s="809">
        <f t="shared" si="287"/>
        <v>6.4820271066588095E-2</v>
      </c>
      <c r="P32" s="809">
        <f t="shared" si="287"/>
        <v>5.3174662950967837E-2</v>
      </c>
      <c r="Q32" s="1101">
        <f t="shared" si="287"/>
        <v>6.5359828141783025E-2</v>
      </c>
      <c r="R32" s="809">
        <f t="shared" si="287"/>
        <v>6.2874951305025323E-2</v>
      </c>
      <c r="S32" s="809">
        <f t="shared" si="287"/>
        <v>6.0287801360629528E-2</v>
      </c>
      <c r="T32" s="1275">
        <f t="shared" si="287"/>
        <v>6.1441450831205377E-2</v>
      </c>
      <c r="U32" s="809">
        <f t="shared" ref="U32:Z32" si="288">U31/U13</f>
        <v>5.5344718532574319E-2</v>
      </c>
      <c r="V32" s="809">
        <f t="shared" si="288"/>
        <v>7.3460692688290266E-2</v>
      </c>
      <c r="W32" s="809">
        <f t="shared" si="288"/>
        <v>6.1743250357223431E-2</v>
      </c>
      <c r="X32" s="1101">
        <f t="shared" si="288"/>
        <v>7.3011476058567476E-2</v>
      </c>
      <c r="Y32" s="809">
        <f t="shared" si="288"/>
        <v>6.5036764705882349E-2</v>
      </c>
      <c r="Z32" s="809">
        <f t="shared" si="288"/>
        <v>6.8540566347387574E-2</v>
      </c>
      <c r="AA32" s="1275">
        <f t="shared" si="287"/>
        <v>6.6970829970517023E-2</v>
      </c>
      <c r="AB32" s="809">
        <f t="shared" si="287"/>
        <v>5.3899652260307997E-2</v>
      </c>
      <c r="AC32" s="809">
        <f t="shared" si="287"/>
        <v>7.3267915551590845E-2</v>
      </c>
      <c r="AD32" s="809">
        <f t="shared" si="287"/>
        <v>6.5449118817509949E-2</v>
      </c>
      <c r="AE32" s="1101">
        <f t="shared" si="287"/>
        <v>6.1810565510821501E-2</v>
      </c>
      <c r="AF32" s="809">
        <f t="shared" si="287"/>
        <v>6.5171494825736337E-2</v>
      </c>
      <c r="AG32" s="809">
        <f t="shared" si="287"/>
        <v>6.3250555446185006E-2</v>
      </c>
      <c r="AH32" s="1275">
        <f t="shared" si="287"/>
        <v>6.4111714507370049E-2</v>
      </c>
      <c r="AI32" s="809">
        <f t="shared" ref="AI32:AN32" si="289">AI31/AI13</f>
        <v>4.0876631371583351E-2</v>
      </c>
      <c r="AJ32" s="809">
        <f t="shared" si="289"/>
        <v>7.1264783972966456E-2</v>
      </c>
      <c r="AK32" s="809">
        <f t="shared" si="289"/>
        <v>5.2258064516129035E-2</v>
      </c>
      <c r="AL32" s="1101">
        <f t="shared" si="289"/>
        <v>6.479309767130173E-2</v>
      </c>
      <c r="AM32" s="809">
        <f t="shared" si="289"/>
        <v>5.8389845244305336E-2</v>
      </c>
      <c r="AN32" s="809">
        <f t="shared" si="289"/>
        <v>6.0170253264950034E-2</v>
      </c>
      <c r="AO32" s="1275">
        <f t="shared" si="287"/>
        <v>5.9401330709962299E-2</v>
      </c>
      <c r="AP32" s="809">
        <f t="shared" ref="AP32:AS32" si="290">AP31/AP13</f>
        <v>1.8478595626732368E-2</v>
      </c>
      <c r="AQ32" s="809">
        <f t="shared" si="290"/>
        <v>5.4640290057884358E-2</v>
      </c>
      <c r="AR32" s="809">
        <f t="shared" si="290"/>
        <v>4.893288402134232E-2</v>
      </c>
      <c r="AS32" s="1101">
        <f t="shared" si="290"/>
        <v>0.10317460317460317</v>
      </c>
      <c r="AT32" s="809">
        <f t="shared" ref="AT32:AU32" si="291">AT31/AT13</f>
        <v>3.8280678532864258E-2</v>
      </c>
      <c r="AU32" s="809">
        <f t="shared" si="291"/>
        <v>8.2873508854905673E-2</v>
      </c>
      <c r="AV32" s="1275">
        <f t="shared" si="287"/>
        <v>6.3699132805128275E-2</v>
      </c>
      <c r="AW32" s="809">
        <f t="shared" si="287"/>
        <v>-1.660548855095263E-3</v>
      </c>
      <c r="AX32" s="809">
        <f t="shared" si="287"/>
        <v>4.165149639554358E-2</v>
      </c>
      <c r="AY32" s="809">
        <f t="shared" si="287"/>
        <v>5.1044264339152122E-2</v>
      </c>
      <c r="AZ32" s="1101">
        <f t="shared" si="287"/>
        <v>9.4313585534142277E-2</v>
      </c>
      <c r="BA32" s="809">
        <f t="shared" si="287"/>
        <v>2.1966236345580932E-2</v>
      </c>
      <c r="BB32" s="809">
        <f t="shared" si="287"/>
        <v>7.7909415900966117E-2</v>
      </c>
      <c r="BC32" s="1275">
        <f t="shared" si="287"/>
        <v>5.4047643251668873E-2</v>
      </c>
      <c r="BD32" s="809">
        <f t="shared" ref="BD32:BI32" si="292">BD31/BD13</f>
        <v>1.3835359225219882E-3</v>
      </c>
      <c r="BE32" s="809">
        <f t="shared" si="292"/>
        <v>7.73011918389334E-2</v>
      </c>
      <c r="BF32" s="809">
        <f t="shared" si="292"/>
        <v>0.1019998705585399</v>
      </c>
      <c r="BG32" s="1101">
        <f t="shared" si="292"/>
        <v>0.13295542385982995</v>
      </c>
      <c r="BH32" s="809">
        <f t="shared" si="292"/>
        <v>4.6535843011613939E-2</v>
      </c>
      <c r="BI32" s="809">
        <f t="shared" si="292"/>
        <v>0.12060820404264656</v>
      </c>
      <c r="BJ32" s="1275">
        <f t="shared" si="287"/>
        <v>9.1575494058737661E-2</v>
      </c>
      <c r="BK32" s="809">
        <f t="shared" si="287"/>
        <v>4.3748505857040404E-2</v>
      </c>
      <c r="BL32" s="809">
        <f t="shared" si="287"/>
        <v>0.10809630397990938</v>
      </c>
      <c r="BM32" s="809">
        <f t="shared" si="287"/>
        <v>0.10482289896745524</v>
      </c>
      <c r="BN32" s="1101">
        <f t="shared" si="287"/>
        <v>0.11571369806663924</v>
      </c>
      <c r="BO32" s="809">
        <f t="shared" ref="BO32:BP32" si="293">BO31/BO13</f>
        <v>8.1934815006803607E-2</v>
      </c>
      <c r="BP32" s="809">
        <f t="shared" si="293"/>
        <v>0.11150661415732606</v>
      </c>
      <c r="BQ32" s="1275">
        <f t="shared" si="287"/>
        <v>9.8555577627060922E-2</v>
      </c>
      <c r="BR32" s="809">
        <f t="shared" ref="BR32:BW32" si="294">BR31/BR13</f>
        <v>4.3748505857040404E-2</v>
      </c>
      <c r="BS32" s="809">
        <f t="shared" si="294"/>
        <v>0.10809630397990938</v>
      </c>
      <c r="BT32" s="809">
        <f t="shared" si="294"/>
        <v>0.10482289896745524</v>
      </c>
      <c r="BU32" s="1101">
        <f t="shared" si="294"/>
        <v>0.11571369806663924</v>
      </c>
      <c r="BV32" s="809">
        <f t="shared" si="294"/>
        <v>8.1934815006803607E-2</v>
      </c>
      <c r="BW32" s="809">
        <f t="shared" si="294"/>
        <v>0.11150661415732606</v>
      </c>
      <c r="BX32" s="1275">
        <f t="shared" si="287"/>
        <v>9.8555577627060922E-2</v>
      </c>
      <c r="BY32" s="809">
        <f t="shared" ref="BY32:CD32" si="295">BY31/BY13</f>
        <v>2.6432132442855798E-2</v>
      </c>
      <c r="BZ32" s="809">
        <f t="shared" si="295"/>
        <v>-0.14740892148611279</v>
      </c>
      <c r="CA32" s="809">
        <f t="shared" si="295"/>
        <v>7.3129403371087129E-2</v>
      </c>
      <c r="CB32" s="1101">
        <f t="shared" si="295"/>
        <v>9.2704166877626448E-2</v>
      </c>
      <c r="CC32" s="809">
        <f t="shared" si="295"/>
        <v>-4.9873337555414822E-2</v>
      </c>
      <c r="CD32" s="809">
        <f t="shared" si="295"/>
        <v>8.5615553546053477E-2</v>
      </c>
      <c r="CE32" s="1275">
        <f t="shared" si="287"/>
        <v>3.4180157076454561E-2</v>
      </c>
      <c r="CF32" s="809">
        <f t="shared" si="287"/>
        <v>6.6347992351816445E-2</v>
      </c>
      <c r="CG32" s="809">
        <f t="shared" si="287"/>
        <v>0.14170840093108555</v>
      </c>
      <c r="CH32" s="809">
        <f t="shared" si="287"/>
        <v>6.3320022818026248E-2</v>
      </c>
      <c r="CI32" s="1101">
        <f t="shared" si="287"/>
        <v>8.8031069789337418E-2</v>
      </c>
      <c r="CJ32" s="809">
        <f t="shared" si="287"/>
        <v>0.10971303324268376</v>
      </c>
      <c r="CK32" s="809">
        <f t="shared" si="287"/>
        <v>7.8583890665891248E-2</v>
      </c>
      <c r="CL32" s="1275">
        <f t="shared" si="287"/>
        <v>9.3290379489539582E-2</v>
      </c>
      <c r="CM32" s="809">
        <f t="shared" ref="CM32:CR32" si="296">CM31/CM13</f>
        <v>0.10525</v>
      </c>
      <c r="CN32" s="809">
        <f t="shared" si="296"/>
        <v>0.10788446526151445</v>
      </c>
      <c r="CO32" s="809">
        <f t="shared" si="296"/>
        <v>6.2814636711999397E-2</v>
      </c>
      <c r="CP32" s="1101">
        <f t="shared" si="296"/>
        <v>0.10395272234063166</v>
      </c>
      <c r="CQ32" s="809">
        <f t="shared" si="296"/>
        <v>0.10661023780733575</v>
      </c>
      <c r="CR32" s="809">
        <f t="shared" si="296"/>
        <v>8.7827290666509586E-2</v>
      </c>
      <c r="CS32" s="1275">
        <f t="shared" si="287"/>
        <v>9.5757534503003588E-2</v>
      </c>
      <c r="CT32" s="809">
        <f t="shared" ref="CT32:CZ32" si="297">CT31/CT13</f>
        <v>6.5714528606647962E-2</v>
      </c>
      <c r="CU32" s="251">
        <f t="shared" si="297"/>
        <v>0.11603773584905661</v>
      </c>
      <c r="CV32" s="809">
        <f t="shared" ref="CV32" si="298">CV31/CV13</f>
        <v>6.8000268510438347E-2</v>
      </c>
      <c r="CW32" s="1277">
        <f t="shared" si="297"/>
        <v>9.6434501441929568E-2</v>
      </c>
      <c r="CX32" s="809">
        <f t="shared" ref="CX32" si="299">CX31/CX13</f>
        <v>9.4639048548602833E-2</v>
      </c>
      <c r="CY32" s="251">
        <f t="shared" si="297"/>
        <v>8.522351322023132E-2</v>
      </c>
      <c r="CZ32" s="1275">
        <f t="shared" si="297"/>
        <v>8.9203312654707698E-2</v>
      </c>
      <c r="DA32" s="809">
        <f t="shared" ref="DA32:DD32" si="300">DA31/DA13</f>
        <v>4.4972720187061575E-2</v>
      </c>
      <c r="DB32" s="251">
        <f t="shared" si="300"/>
        <v>5.0890903407314787E-2</v>
      </c>
      <c r="DC32" s="251">
        <f t="shared" si="300"/>
        <v>8.9680667983937784E-2</v>
      </c>
      <c r="DD32" s="1277">
        <f t="shared" si="300"/>
        <v>0.10341479203754653</v>
      </c>
      <c r="DE32" s="809">
        <f t="shared" si="287"/>
        <v>4.8256721595836945E-2</v>
      </c>
      <c r="DF32" s="251">
        <f t="shared" si="287"/>
        <v>9.8081920554386831E-2</v>
      </c>
      <c r="DG32" s="1275">
        <f t="shared" si="287"/>
        <v>7.7336414849053875E-2</v>
      </c>
      <c r="DH32" s="251">
        <f t="shared" ref="DH32:DN32" si="301">DH31/DH13</f>
        <v>4.60788657509969E-2</v>
      </c>
      <c r="DI32" s="251">
        <f t="shared" si="301"/>
        <v>9.8332088623350758E-2</v>
      </c>
      <c r="DJ32" s="251">
        <f t="shared" si="301"/>
        <v>0.10894199483899922</v>
      </c>
      <c r="DK32" s="1277">
        <f t="shared" si="301"/>
        <v>0.11476293103448276</v>
      </c>
      <c r="DL32" s="809">
        <f t="shared" si="301"/>
        <v>7.4434312732185079E-2</v>
      </c>
      <c r="DM32" s="251">
        <f t="shared" si="301"/>
        <v>0.1123944304953207</v>
      </c>
      <c r="DN32" s="1275">
        <f t="shared" si="301"/>
        <v>9.7085262871152281E-2</v>
      </c>
      <c r="DO32" s="809">
        <f t="shared" si="287"/>
        <v>2.3713540431586435E-2</v>
      </c>
      <c r="DP32" s="251">
        <f t="shared" si="287"/>
        <v>0.11824604141291109</v>
      </c>
      <c r="DQ32" s="449">
        <f t="shared" si="287"/>
        <v>0.10615708663840057</v>
      </c>
      <c r="DR32" s="450">
        <f t="shared" si="287"/>
        <v>0.11168339013319911</v>
      </c>
      <c r="DS32" s="1871">
        <f t="shared" si="287"/>
        <v>8.2197974439353755E-2</v>
      </c>
      <c r="DT32" s="449">
        <f t="shared" si="287"/>
        <v>0.10942103449080033</v>
      </c>
      <c r="DU32" s="1108">
        <f t="shared" ref="DU32:EA32" si="302">DU31/DU13</f>
        <v>9.8209849658074694E-2</v>
      </c>
      <c r="DV32" s="449">
        <f t="shared" si="302"/>
        <v>0.10524424052596956</v>
      </c>
      <c r="DW32" s="449">
        <f t="shared" si="302"/>
        <v>0.1072852412387546</v>
      </c>
      <c r="DX32" s="449">
        <f t="shared" si="302"/>
        <v>0.10741553669900955</v>
      </c>
      <c r="DY32" s="450">
        <f t="shared" si="302"/>
        <v>0.10532193779459613</v>
      </c>
      <c r="DZ32" s="449">
        <f t="shared" si="302"/>
        <v>0.10631498562652796</v>
      </c>
      <c r="EA32" s="449">
        <f t="shared" si="302"/>
        <v>0.10630482724113606</v>
      </c>
      <c r="EB32" s="1108">
        <f t="shared" ref="EB32:EH32" si="303">EB31/EB13</f>
        <v>0.10630963659491333</v>
      </c>
      <c r="EC32" s="449">
        <f t="shared" si="303"/>
        <v>0.12125656394053493</v>
      </c>
      <c r="ED32" s="449">
        <f t="shared" si="303"/>
        <v>0.12146456572168249</v>
      </c>
      <c r="EE32" s="449">
        <f t="shared" si="303"/>
        <v>0.12163592859660667</v>
      </c>
      <c r="EF32" s="450">
        <f t="shared" si="303"/>
        <v>0.12030297031044082</v>
      </c>
      <c r="EG32" s="449">
        <f t="shared" si="303"/>
        <v>0.12136571794564152</v>
      </c>
      <c r="EH32" s="449">
        <f t="shared" si="303"/>
        <v>0.12092574162466309</v>
      </c>
      <c r="EI32" s="1108">
        <f t="shared" ref="EI32:EO32" si="304">EI31/EI13</f>
        <v>0.12113346045123709</v>
      </c>
      <c r="EJ32" s="449">
        <f t="shared" si="304"/>
        <v>0.12815922997174078</v>
      </c>
      <c r="EK32" s="449">
        <f t="shared" si="304"/>
        <v>0.12513254313019509</v>
      </c>
      <c r="EL32" s="449">
        <f t="shared" si="304"/>
        <v>0.12534723650153923</v>
      </c>
      <c r="EM32" s="450">
        <f t="shared" si="304"/>
        <v>0.12415380436312</v>
      </c>
      <c r="EN32" s="449">
        <f t="shared" si="304"/>
        <v>0.12659658817174729</v>
      </c>
      <c r="EO32" s="449">
        <f t="shared" si="304"/>
        <v>0.1247111993696107</v>
      </c>
      <c r="EP32" s="1108">
        <f t="shared" ref="EP32:EV32" si="305">EP31/EP13</f>
        <v>0.12560885462174012</v>
      </c>
      <c r="EQ32" s="449">
        <f t="shared" si="305"/>
        <v>0.13141993993669607</v>
      </c>
      <c r="ER32" s="449">
        <f t="shared" si="305"/>
        <v>0.12817382940747954</v>
      </c>
      <c r="ES32" s="449">
        <f t="shared" si="305"/>
        <v>0.12842614742045888</v>
      </c>
      <c r="ET32" s="450">
        <f t="shared" si="305"/>
        <v>0.12688699300822451</v>
      </c>
      <c r="EU32" s="449">
        <f t="shared" si="305"/>
        <v>0.12974318763160514</v>
      </c>
      <c r="EV32" s="449">
        <f t="shared" si="305"/>
        <v>0.12760559646213285</v>
      </c>
      <c r="EW32" s="1108">
        <f>EW31/EW13</f>
        <v>0.12862289675382255</v>
      </c>
    </row>
    <row r="33" spans="1:153" ht="10.199999999999999" customHeight="1">
      <c r="A33" s="43"/>
      <c r="B33" s="809"/>
      <c r="C33" s="809"/>
      <c r="D33" s="809"/>
      <c r="E33" s="809"/>
      <c r="F33" s="809"/>
      <c r="G33" s="809"/>
      <c r="H33" s="809"/>
      <c r="I33" s="809"/>
      <c r="J33" s="809"/>
      <c r="K33" s="809"/>
      <c r="L33" s="809"/>
      <c r="M33" s="809"/>
      <c r="N33" s="809"/>
      <c r="O33" s="809"/>
      <c r="P33" s="809"/>
      <c r="Q33" s="1101"/>
      <c r="R33" s="809"/>
      <c r="S33" s="809"/>
      <c r="T33" s="346"/>
      <c r="U33" s="809"/>
      <c r="V33" s="809"/>
      <c r="W33" s="809"/>
      <c r="X33" s="1101"/>
      <c r="Y33" s="809"/>
      <c r="Z33" s="809"/>
      <c r="AA33" s="346"/>
      <c r="AB33" s="809"/>
      <c r="AC33" s="809"/>
      <c r="AD33" s="809"/>
      <c r="AE33" s="1101"/>
      <c r="AF33" s="809"/>
      <c r="AG33" s="809"/>
      <c r="AH33" s="346"/>
      <c r="AI33" s="809"/>
      <c r="AJ33" s="809"/>
      <c r="AK33" s="809"/>
      <c r="AL33" s="1101"/>
      <c r="AM33" s="809"/>
      <c r="AN33" s="809"/>
      <c r="AO33" s="346"/>
      <c r="AP33" s="809"/>
      <c r="AQ33" s="809"/>
      <c r="AR33" s="809"/>
      <c r="AS33" s="1101"/>
      <c r="AT33" s="809"/>
      <c r="AU33" s="809"/>
      <c r="AV33" s="346"/>
      <c r="AW33" s="809"/>
      <c r="AX33" s="809"/>
      <c r="AY33" s="809"/>
      <c r="AZ33" s="1101"/>
      <c r="BA33" s="809"/>
      <c r="BB33" s="809"/>
      <c r="BC33" s="346"/>
      <c r="BD33" s="809"/>
      <c r="BE33" s="809"/>
      <c r="BF33" s="809"/>
      <c r="BG33" s="1101"/>
      <c r="BH33" s="809"/>
      <c r="BI33" s="809"/>
      <c r="BJ33" s="346"/>
      <c r="BK33" s="809"/>
      <c r="BL33" s="809"/>
      <c r="BM33" s="809"/>
      <c r="BN33" s="1101"/>
      <c r="BO33" s="809"/>
      <c r="BP33" s="809"/>
      <c r="BQ33" s="346"/>
      <c r="BR33" s="809"/>
      <c r="BS33" s="809"/>
      <c r="BT33" s="809"/>
      <c r="BU33" s="1101"/>
      <c r="BV33" s="809"/>
      <c r="BW33" s="809"/>
      <c r="BX33" s="346"/>
      <c r="BY33" s="809"/>
      <c r="BZ33" s="809"/>
      <c r="CA33" s="809"/>
      <c r="CB33" s="1101"/>
      <c r="CC33" s="809"/>
      <c r="CD33" s="809"/>
      <c r="CE33" s="346"/>
      <c r="CF33" s="809"/>
      <c r="CG33" s="809"/>
      <c r="CH33" s="809"/>
      <c r="CI33" s="1101"/>
      <c r="CJ33" s="809"/>
      <c r="CK33" s="809"/>
      <c r="CL33" s="346"/>
      <c r="CM33" s="809"/>
      <c r="CN33" s="809"/>
      <c r="CO33" s="809"/>
      <c r="CP33" s="1101"/>
      <c r="CQ33" s="809"/>
      <c r="CR33" s="809"/>
      <c r="CS33" s="346"/>
      <c r="CT33" s="809"/>
      <c r="CU33" s="809"/>
      <c r="CV33" s="809"/>
      <c r="CW33" s="1101"/>
      <c r="CX33" s="809"/>
      <c r="CY33" s="809"/>
      <c r="CZ33" s="346"/>
      <c r="DA33" s="809"/>
      <c r="DB33" s="809"/>
      <c r="DC33" s="809"/>
      <c r="DD33" s="1101"/>
      <c r="DE33" s="809"/>
      <c r="DF33" s="809"/>
      <c r="DG33" s="346"/>
      <c r="DH33" s="809"/>
      <c r="DI33" s="1067"/>
      <c r="DJ33" s="809"/>
      <c r="DK33" s="1101"/>
      <c r="DL33" s="809"/>
      <c r="DM33" s="809"/>
      <c r="DN33" s="346"/>
      <c r="DO33" s="809"/>
      <c r="DP33" s="1067"/>
      <c r="DQ33" s="809"/>
      <c r="DR33" s="1101"/>
      <c r="DS33" s="2025"/>
      <c r="DT33" s="809"/>
      <c r="DU33" s="346"/>
      <c r="DV33" s="809"/>
      <c r="DW33" s="809"/>
      <c r="DX33" s="809"/>
      <c r="DY33" s="1101"/>
      <c r="DZ33" s="809"/>
      <c r="EA33" s="809"/>
      <c r="EB33" s="346"/>
      <c r="EC33" s="809"/>
      <c r="ED33" s="809"/>
      <c r="EE33" s="809"/>
      <c r="EF33" s="1101"/>
      <c r="EG33" s="809"/>
      <c r="EH33" s="809"/>
      <c r="EI33" s="346"/>
      <c r="EJ33" s="809"/>
      <c r="EK33" s="809"/>
      <c r="EL33" s="809"/>
      <c r="EM33" s="1101"/>
      <c r="EN33" s="809"/>
      <c r="EO33" s="809"/>
      <c r="EP33" s="346"/>
      <c r="EQ33" s="809"/>
      <c r="ER33" s="809"/>
      <c r="ES33" s="809"/>
      <c r="ET33" s="1101"/>
      <c r="EU33" s="809"/>
      <c r="EV33" s="809"/>
      <c r="EW33" s="346"/>
    </row>
    <row r="34" spans="1:153" ht="10.199999999999999" customHeight="1">
      <c r="A34" s="48" t="s">
        <v>480</v>
      </c>
      <c r="B34" s="1071"/>
      <c r="C34" s="1071"/>
      <c r="D34" s="1071"/>
      <c r="E34" s="1071"/>
      <c r="F34" s="1071"/>
      <c r="G34" s="1071"/>
      <c r="H34" s="1071"/>
      <c r="I34" s="1071"/>
      <c r="J34" s="1071"/>
      <c r="K34" s="1071"/>
      <c r="L34" s="1071"/>
      <c r="M34" s="1071"/>
      <c r="N34" s="937"/>
      <c r="O34" s="937"/>
      <c r="P34" s="937"/>
      <c r="Q34" s="966"/>
      <c r="R34" s="937"/>
      <c r="S34" s="937"/>
      <c r="T34" s="341"/>
      <c r="U34" s="937"/>
      <c r="V34" s="937"/>
      <c r="W34" s="937"/>
      <c r="X34" s="966"/>
      <c r="Y34" s="937"/>
      <c r="Z34" s="937"/>
      <c r="AA34" s="341"/>
      <c r="AB34" s="937"/>
      <c r="AC34" s="937"/>
      <c r="AD34" s="937"/>
      <c r="AE34" s="966"/>
      <c r="AF34" s="937"/>
      <c r="AG34" s="937"/>
      <c r="AH34" s="341"/>
      <c r="AI34" s="937"/>
      <c r="AJ34" s="937"/>
      <c r="AK34" s="937"/>
      <c r="AL34" s="966"/>
      <c r="AM34" s="937"/>
      <c r="AN34" s="937"/>
      <c r="AO34" s="341"/>
      <c r="AP34" s="937"/>
      <c r="AQ34" s="937"/>
      <c r="AR34" s="937"/>
      <c r="AS34" s="966"/>
      <c r="AT34" s="937"/>
      <c r="AU34" s="937"/>
      <c r="AV34" s="341"/>
      <c r="AW34" s="937"/>
      <c r="AX34" s="937"/>
      <c r="AY34" s="937"/>
      <c r="AZ34" s="966"/>
      <c r="BA34" s="937"/>
      <c r="BB34" s="937"/>
      <c r="BC34" s="341"/>
      <c r="BD34" s="937"/>
      <c r="BE34" s="937"/>
      <c r="BF34" s="937"/>
      <c r="BG34" s="966"/>
      <c r="BH34" s="937"/>
      <c r="BI34" s="937"/>
      <c r="BJ34" s="341"/>
      <c r="BK34" s="937"/>
      <c r="BL34" s="937"/>
      <c r="BM34" s="937"/>
      <c r="BN34" s="966"/>
      <c r="BO34" s="937"/>
      <c r="BP34" s="937"/>
      <c r="BQ34" s="341"/>
      <c r="BR34" s="937"/>
      <c r="BS34" s="937"/>
      <c r="BT34" s="937"/>
      <c r="BU34" s="966"/>
      <c r="BV34" s="937"/>
      <c r="BW34" s="937"/>
      <c r="BX34" s="341"/>
      <c r="BY34" s="937"/>
      <c r="BZ34" s="937"/>
      <c r="CA34" s="937"/>
      <c r="CB34" s="966"/>
      <c r="CC34" s="937"/>
      <c r="CD34" s="937"/>
      <c r="CE34" s="341"/>
      <c r="CF34" s="937"/>
      <c r="CG34" s="937"/>
      <c r="CH34" s="937"/>
      <c r="CI34" s="966"/>
      <c r="CJ34" s="937"/>
      <c r="CK34" s="937"/>
      <c r="CL34" s="341"/>
      <c r="CM34" s="937"/>
      <c r="CN34" s="937"/>
      <c r="CO34" s="937"/>
      <c r="CP34" s="966"/>
      <c r="CQ34" s="937"/>
      <c r="CR34" s="937"/>
      <c r="CS34" s="341"/>
      <c r="CT34" s="937"/>
      <c r="CU34" s="937"/>
      <c r="CV34" s="937"/>
      <c r="CW34" s="966"/>
      <c r="CX34" s="937"/>
      <c r="CY34" s="937"/>
      <c r="CZ34" s="341"/>
      <c r="DA34" s="937"/>
      <c r="DB34" s="937"/>
      <c r="DC34" s="937"/>
      <c r="DD34" s="966"/>
      <c r="DE34" s="937"/>
      <c r="DF34" s="937"/>
      <c r="DG34" s="341"/>
      <c r="DH34" s="937"/>
      <c r="DI34" s="937"/>
      <c r="DJ34" s="937"/>
      <c r="DK34" s="966"/>
      <c r="DL34" s="937"/>
      <c r="DM34" s="937"/>
      <c r="DN34" s="341"/>
      <c r="DO34" s="937"/>
      <c r="DP34" s="937"/>
      <c r="DQ34" s="937"/>
      <c r="DR34" s="966"/>
      <c r="DS34" s="2026"/>
      <c r="DT34" s="937"/>
      <c r="DU34" s="341"/>
      <c r="DV34" s="937"/>
      <c r="DW34" s="937"/>
      <c r="DX34" s="937"/>
      <c r="DY34" s="966"/>
      <c r="DZ34" s="937"/>
      <c r="EA34" s="937"/>
      <c r="EB34" s="341"/>
      <c r="EC34" s="937"/>
      <c r="ED34" s="937"/>
      <c r="EE34" s="937"/>
      <c r="EF34" s="966"/>
      <c r="EG34" s="937"/>
      <c r="EH34" s="937"/>
      <c r="EI34" s="341"/>
      <c r="EJ34" s="937"/>
      <c r="EK34" s="937"/>
      <c r="EL34" s="937"/>
      <c r="EM34" s="966"/>
      <c r="EN34" s="937"/>
      <c r="EO34" s="937"/>
      <c r="EP34" s="341"/>
      <c r="EQ34" s="937"/>
      <c r="ER34" s="937"/>
      <c r="ES34" s="937"/>
      <c r="ET34" s="966"/>
      <c r="EU34" s="937"/>
      <c r="EV34" s="937"/>
      <c r="EW34" s="341"/>
    </row>
    <row r="35" spans="1:153" ht="10.199999999999999" customHeight="1">
      <c r="A35" s="108" t="s">
        <v>468</v>
      </c>
      <c r="B35" s="856"/>
      <c r="C35" s="856"/>
      <c r="D35" s="856"/>
      <c r="E35" s="856"/>
      <c r="F35" s="856"/>
      <c r="G35" s="856"/>
      <c r="H35" s="856">
        <v>-1366</v>
      </c>
      <c r="I35" s="856">
        <v>-800</v>
      </c>
      <c r="J35" s="856">
        <v>-1820</v>
      </c>
      <c r="K35" s="856">
        <v>0</v>
      </c>
      <c r="L35" s="856">
        <v>0</v>
      </c>
      <c r="M35" s="856"/>
      <c r="N35" s="530"/>
      <c r="O35" s="530"/>
      <c r="P35" s="530"/>
      <c r="Q35" s="680"/>
      <c r="R35" s="530"/>
      <c r="S35" s="530"/>
      <c r="T35" s="1278"/>
      <c r="U35" s="530">
        <v>0</v>
      </c>
      <c r="V35" s="530">
        <f>Y35-U35</f>
        <v>0</v>
      </c>
      <c r="W35" s="530">
        <f>0-U35-V35</f>
        <v>0</v>
      </c>
      <c r="X35" s="680">
        <f>Z35-W35</f>
        <v>-551</v>
      </c>
      <c r="Y35" s="530">
        <v>0</v>
      </c>
      <c r="Z35" s="530">
        <f>AA35-Y35</f>
        <v>-551</v>
      </c>
      <c r="AA35" s="1278">
        <v>-551</v>
      </c>
      <c r="AB35" s="530">
        <v>0</v>
      </c>
      <c r="AC35" s="530">
        <f>AF35-AB35</f>
        <v>-290</v>
      </c>
      <c r="AD35" s="530">
        <f>-290-AB35-AC35</f>
        <v>0</v>
      </c>
      <c r="AE35" s="680">
        <f>AG35-AD35</f>
        <v>0</v>
      </c>
      <c r="AF35" s="530">
        <v>-290</v>
      </c>
      <c r="AG35" s="530">
        <f>AH35-AF35</f>
        <v>0</v>
      </c>
      <c r="AH35" s="1278">
        <v>-290</v>
      </c>
      <c r="AI35" s="530">
        <v>0</v>
      </c>
      <c r="AJ35" s="530">
        <f>AM35-AI35</f>
        <v>-1026</v>
      </c>
      <c r="AK35" s="530">
        <f>-1026-AI35-AJ35</f>
        <v>0</v>
      </c>
      <c r="AL35" s="680">
        <f>AN35-AK35</f>
        <v>-1184</v>
      </c>
      <c r="AM35" s="530">
        <v>-1026</v>
      </c>
      <c r="AN35" s="530">
        <f>AO35-AM35</f>
        <v>-1184</v>
      </c>
      <c r="AO35" s="1278">
        <v>-2210</v>
      </c>
      <c r="AP35" s="530">
        <v>0</v>
      </c>
      <c r="AQ35" s="530">
        <f>AT35-AP35</f>
        <v>-70</v>
      </c>
      <c r="AR35" s="530">
        <f>-150-AP35-AQ35</f>
        <v>-80</v>
      </c>
      <c r="AS35" s="680">
        <f>AU35-AR35</f>
        <v>-1149</v>
      </c>
      <c r="AT35" s="530">
        <v>-70</v>
      </c>
      <c r="AU35" s="530">
        <f>AV35-AT35</f>
        <v>-1229</v>
      </c>
      <c r="AV35" s="1278">
        <v>-1299</v>
      </c>
      <c r="AW35" s="530"/>
      <c r="AX35" s="530"/>
      <c r="AY35" s="530"/>
      <c r="AZ35" s="680"/>
      <c r="BA35" s="530"/>
      <c r="BB35" s="530"/>
      <c r="BC35" s="1278"/>
      <c r="BD35" s="530">
        <v>0</v>
      </c>
      <c r="BE35" s="530">
        <f t="shared" ref="BE35:BE36" si="306">BH35-BD35</f>
        <v>-98</v>
      </c>
      <c r="BF35" s="530">
        <f>-105-BD35-BE35</f>
        <v>-7</v>
      </c>
      <c r="BG35" s="680">
        <f t="shared" ref="BG35:BG36" si="307">BI35-BF35</f>
        <v>-331</v>
      </c>
      <c r="BH35" s="530">
        <v>-98</v>
      </c>
      <c r="BI35" s="530">
        <f t="shared" ref="BI35:BI36" si="308">BJ35-BH35</f>
        <v>-338</v>
      </c>
      <c r="BJ35" s="1278">
        <v>-436</v>
      </c>
      <c r="BK35" s="530">
        <v>0</v>
      </c>
      <c r="BL35" s="530">
        <f t="shared" ref="BL35:BL36" si="309">BO35-BK35</f>
        <v>0</v>
      </c>
      <c r="BM35" s="530">
        <v>0</v>
      </c>
      <c r="BN35" s="680">
        <f t="shared" ref="BN35:BN36" si="310">BP35-BM35</f>
        <v>-1212</v>
      </c>
      <c r="BO35" s="530">
        <v>0</v>
      </c>
      <c r="BP35" s="530">
        <f t="shared" ref="BP35:BP36" si="311">BQ35-BO35</f>
        <v>-1212</v>
      </c>
      <c r="BQ35" s="1278">
        <v>-1212</v>
      </c>
      <c r="BR35" s="530">
        <v>0</v>
      </c>
      <c r="BS35" s="530">
        <f t="shared" ref="BS35:BS36" si="312">BV35-BR35</f>
        <v>0</v>
      </c>
      <c r="BT35" s="530">
        <v>0</v>
      </c>
      <c r="BU35" s="680">
        <f t="shared" ref="BU35:BU36" si="313">BW35-BT35</f>
        <v>-1212</v>
      </c>
      <c r="BV35" s="530">
        <v>0</v>
      </c>
      <c r="BW35" s="530">
        <f t="shared" ref="BW35:BW39" si="314">BX35-BV35</f>
        <v>-1212</v>
      </c>
      <c r="BX35" s="1278">
        <v>-1212</v>
      </c>
      <c r="BY35" s="530">
        <v>0</v>
      </c>
      <c r="BZ35" s="530">
        <f t="shared" ref="BZ35:BZ39" si="315">CC35-BY35</f>
        <v>0</v>
      </c>
      <c r="CA35" s="530">
        <v>0</v>
      </c>
      <c r="CB35" s="680">
        <f t="shared" ref="CB35:CB36" si="316">CD35-CA35</f>
        <v>0</v>
      </c>
      <c r="CC35" s="530">
        <v>0</v>
      </c>
      <c r="CD35" s="530">
        <f t="shared" ref="CD35:CD39" si="317">CE35-CC35</f>
        <v>0</v>
      </c>
      <c r="CE35" s="1278"/>
      <c r="CF35" s="530">
        <v>0</v>
      </c>
      <c r="CG35" s="530">
        <f t="shared" ref="CG35:CG39" si="318">CJ35-CF35</f>
        <v>0</v>
      </c>
      <c r="CH35" s="530">
        <v>0</v>
      </c>
      <c r="CI35" s="680">
        <f t="shared" ref="CI35:CI36" si="319">CK35-CH35</f>
        <v>-212</v>
      </c>
      <c r="CJ35" s="530">
        <v>0</v>
      </c>
      <c r="CK35" s="530">
        <f t="shared" ref="CK35:CK39" si="320">CL35-CJ35</f>
        <v>-212</v>
      </c>
      <c r="CL35" s="1278">
        <v>-212</v>
      </c>
      <c r="CM35" s="530">
        <v>0</v>
      </c>
      <c r="CN35" s="530">
        <f t="shared" ref="CN35:CN39" si="321">CQ35-CM35</f>
        <v>-218</v>
      </c>
      <c r="CO35" s="530">
        <f>-219-CM35-CN35</f>
        <v>-1</v>
      </c>
      <c r="CP35" s="680">
        <f t="shared" ref="CP35:CP39" si="322">CR35-CO35</f>
        <v>-258</v>
      </c>
      <c r="CQ35" s="530">
        <v>-218</v>
      </c>
      <c r="CR35" s="530">
        <f t="shared" ref="CR35:CR39" si="323">CS35-CQ35</f>
        <v>-259</v>
      </c>
      <c r="CS35" s="1278">
        <v>-477</v>
      </c>
      <c r="CT35" s="530">
        <v>0</v>
      </c>
      <c r="CU35" s="530">
        <f t="shared" ref="CU35:CU39" si="324">CX35-CT35</f>
        <v>0</v>
      </c>
      <c r="CV35" s="530">
        <v>0</v>
      </c>
      <c r="CW35" s="680">
        <f t="shared" ref="CW35:CW39" si="325">CY35-CV35</f>
        <v>-41</v>
      </c>
      <c r="CX35" s="530">
        <v>0</v>
      </c>
      <c r="CY35" s="530">
        <f t="shared" ref="CY35:CY39" si="326">CZ35-CX35</f>
        <v>-41</v>
      </c>
      <c r="CZ35" s="1278">
        <v>-41</v>
      </c>
      <c r="DA35" s="530">
        <v>0</v>
      </c>
      <c r="DB35" s="530">
        <f t="shared" ref="DB35:DB39" si="327">DE35-DA35</f>
        <v>0</v>
      </c>
      <c r="DC35" s="530">
        <v>0</v>
      </c>
      <c r="DD35" s="680">
        <f t="shared" ref="DD35:DD39" si="328">DF35-DC35</f>
        <v>-121</v>
      </c>
      <c r="DE35" s="530">
        <v>0</v>
      </c>
      <c r="DF35" s="530">
        <f t="shared" ref="DF35:DF39" si="329">DG35-DE35</f>
        <v>-121</v>
      </c>
      <c r="DG35" s="2082">
        <v>-121</v>
      </c>
      <c r="DH35" s="530">
        <v>0</v>
      </c>
      <c r="DI35" s="530">
        <f t="shared" ref="DI35:DI39" si="330">DL35-DH35</f>
        <v>0</v>
      </c>
      <c r="DJ35" s="530">
        <v>0</v>
      </c>
      <c r="DK35" s="680">
        <f t="shared" ref="DK35:DK39" si="331">DM35-DJ35</f>
        <v>-73</v>
      </c>
      <c r="DL35" s="530">
        <v>0</v>
      </c>
      <c r="DM35" s="530">
        <f t="shared" ref="DM35:DM39" si="332">DN35-DL35</f>
        <v>-73</v>
      </c>
      <c r="DN35" s="1849">
        <v>-73</v>
      </c>
      <c r="DO35" s="530">
        <v>0</v>
      </c>
      <c r="DP35" s="530">
        <f t="shared" ref="DP35:DP39" si="333">DS35-DO35</f>
        <v>0</v>
      </c>
      <c r="DQ35" s="460">
        <f>DT35/2</f>
        <v>0</v>
      </c>
      <c r="DR35" s="461">
        <f t="shared" ref="DR35:DR40" si="334">DT35-DQ35</f>
        <v>0</v>
      </c>
      <c r="DS35" s="2009"/>
      <c r="DT35" s="460">
        <f t="shared" ref="DT35:DT40" si="335">DU35-DS35</f>
        <v>0</v>
      </c>
      <c r="DU35" s="748">
        <v>0</v>
      </c>
      <c r="DV35" s="460">
        <f>DZ35/2</f>
        <v>0</v>
      </c>
      <c r="DW35" s="460">
        <f t="shared" ref="DW35:DW40" si="336">DZ35-DV35</f>
        <v>0</v>
      </c>
      <c r="DX35" s="460">
        <f>EA35/2</f>
        <v>0</v>
      </c>
      <c r="DY35" s="461">
        <f t="shared" ref="DY35:DY40" si="337">EA35-DX35</f>
        <v>0</v>
      </c>
      <c r="DZ35" s="460">
        <f>EB35/2</f>
        <v>0</v>
      </c>
      <c r="EA35" s="460">
        <f t="shared" ref="EA35:EA40" si="338">EB35-DZ35</f>
        <v>0</v>
      </c>
      <c r="EB35" s="748">
        <v>0</v>
      </c>
      <c r="EC35" s="460">
        <f>EG35/2</f>
        <v>0</v>
      </c>
      <c r="ED35" s="460">
        <f t="shared" ref="ED35:ED40" si="339">EG35-EC35</f>
        <v>0</v>
      </c>
      <c r="EE35" s="460">
        <f>EH35/2</f>
        <v>0</v>
      </c>
      <c r="EF35" s="461">
        <f t="shared" ref="EF35:EF40" si="340">EH35-EE35</f>
        <v>0</v>
      </c>
      <c r="EG35" s="460">
        <f>EI35/2</f>
        <v>0</v>
      </c>
      <c r="EH35" s="460">
        <f t="shared" ref="EH35:EH40" si="341">EI35-EG35</f>
        <v>0</v>
      </c>
      <c r="EI35" s="748">
        <v>0</v>
      </c>
      <c r="EJ35" s="460">
        <f>EN35/2</f>
        <v>0</v>
      </c>
      <c r="EK35" s="460">
        <f t="shared" ref="EK35:EK40" si="342">EN35-EJ35</f>
        <v>0</v>
      </c>
      <c r="EL35" s="460">
        <f>EO35/2</f>
        <v>0</v>
      </c>
      <c r="EM35" s="461">
        <f t="shared" ref="EM35:EM40" si="343">EO35-EL35</f>
        <v>0</v>
      </c>
      <c r="EN35" s="460">
        <f>EP35/2</f>
        <v>0</v>
      </c>
      <c r="EO35" s="460">
        <f t="shared" ref="EO35:EO40" si="344">EP35-EN35</f>
        <v>0</v>
      </c>
      <c r="EP35" s="748">
        <v>0</v>
      </c>
      <c r="EQ35" s="460">
        <f>EU35/2</f>
        <v>0</v>
      </c>
      <c r="ER35" s="460">
        <f t="shared" ref="ER35:ER40" si="345">EU35-EQ35</f>
        <v>0</v>
      </c>
      <c r="ES35" s="460">
        <f>EV35/2</f>
        <v>0</v>
      </c>
      <c r="ET35" s="461">
        <f t="shared" ref="ET35:ET40" si="346">EV35-ES35</f>
        <v>0</v>
      </c>
      <c r="EU35" s="460">
        <f>EW35/2</f>
        <v>0</v>
      </c>
      <c r="EV35" s="460">
        <f t="shared" ref="EV35:EV40" si="347">EW35-EU35</f>
        <v>0</v>
      </c>
      <c r="EW35" s="748">
        <v>0</v>
      </c>
    </row>
    <row r="36" spans="1:153" ht="10.199999999999999" customHeight="1">
      <c r="A36" s="43" t="s">
        <v>151</v>
      </c>
      <c r="B36" s="856"/>
      <c r="C36" s="856"/>
      <c r="D36" s="856"/>
      <c r="E36" s="856"/>
      <c r="F36" s="856"/>
      <c r="G36" s="856"/>
      <c r="H36" s="856">
        <v>-1028</v>
      </c>
      <c r="I36" s="856">
        <v>-1000</v>
      </c>
      <c r="J36" s="856">
        <v>-240</v>
      </c>
      <c r="K36" s="856">
        <v>0</v>
      </c>
      <c r="L36" s="856">
        <v>0</v>
      </c>
      <c r="M36" s="856">
        <v>-251</v>
      </c>
      <c r="N36" s="530"/>
      <c r="O36" s="530"/>
      <c r="P36" s="530"/>
      <c r="Q36" s="680"/>
      <c r="R36" s="530"/>
      <c r="S36" s="530"/>
      <c r="T36" s="1278">
        <v>-85</v>
      </c>
      <c r="U36" s="530"/>
      <c r="V36" s="530"/>
      <c r="W36" s="530"/>
      <c r="X36" s="680"/>
      <c r="Y36" s="530"/>
      <c r="Z36" s="530"/>
      <c r="AA36" s="1278"/>
      <c r="AB36" s="530"/>
      <c r="AC36" s="530"/>
      <c r="AD36" s="530"/>
      <c r="AE36" s="680"/>
      <c r="AF36" s="530"/>
      <c r="AG36" s="530"/>
      <c r="AH36" s="1278"/>
      <c r="AI36" s="530"/>
      <c r="AJ36" s="530"/>
      <c r="AK36" s="530"/>
      <c r="AL36" s="680"/>
      <c r="AM36" s="530"/>
      <c r="AN36" s="530"/>
      <c r="AO36" s="1278"/>
      <c r="AP36" s="530"/>
      <c r="AQ36" s="530"/>
      <c r="AR36" s="530"/>
      <c r="AS36" s="680"/>
      <c r="AT36" s="530"/>
      <c r="AU36" s="530"/>
      <c r="AV36" s="1278"/>
      <c r="AW36" s="530"/>
      <c r="AX36" s="530"/>
      <c r="AY36" s="530"/>
      <c r="AZ36" s="680"/>
      <c r="BA36" s="530"/>
      <c r="BB36" s="530"/>
      <c r="BC36" s="1278"/>
      <c r="BD36" s="530">
        <v>0</v>
      </c>
      <c r="BE36" s="530">
        <f t="shared" si="306"/>
        <v>0</v>
      </c>
      <c r="BF36" s="530">
        <f>0-BD36-BE36</f>
        <v>0</v>
      </c>
      <c r="BG36" s="680">
        <f t="shared" si="307"/>
        <v>-463</v>
      </c>
      <c r="BH36" s="530">
        <v>0</v>
      </c>
      <c r="BI36" s="530">
        <f t="shared" si="308"/>
        <v>-463</v>
      </c>
      <c r="BJ36" s="1278">
        <v>-463</v>
      </c>
      <c r="BK36" s="530">
        <v>-61</v>
      </c>
      <c r="BL36" s="530">
        <f t="shared" si="309"/>
        <v>-75</v>
      </c>
      <c r="BM36" s="530">
        <f>-158-BK36-BL36</f>
        <v>-22</v>
      </c>
      <c r="BN36" s="680">
        <f t="shared" si="310"/>
        <v>-44</v>
      </c>
      <c r="BO36" s="530">
        <v>-136</v>
      </c>
      <c r="BP36" s="530">
        <f t="shared" si="311"/>
        <v>-66</v>
      </c>
      <c r="BQ36" s="1278">
        <v>-202</v>
      </c>
      <c r="BR36" s="530">
        <v>-61</v>
      </c>
      <c r="BS36" s="530">
        <f t="shared" si="312"/>
        <v>-75</v>
      </c>
      <c r="BT36" s="530">
        <f>-158-BR36-BS36</f>
        <v>-22</v>
      </c>
      <c r="BU36" s="680">
        <f t="shared" si="313"/>
        <v>-44</v>
      </c>
      <c r="BV36" s="530">
        <v>-136</v>
      </c>
      <c r="BW36" s="530">
        <f t="shared" si="314"/>
        <v>-66</v>
      </c>
      <c r="BX36" s="1278">
        <v>-202</v>
      </c>
      <c r="BY36" s="530">
        <v>-33</v>
      </c>
      <c r="BZ36" s="530">
        <f t="shared" si="315"/>
        <v>-299</v>
      </c>
      <c r="CA36" s="530">
        <f>-358-BY36-BZ36</f>
        <v>-26</v>
      </c>
      <c r="CB36" s="680">
        <f t="shared" si="316"/>
        <v>-27</v>
      </c>
      <c r="CC36" s="530">
        <v>-332</v>
      </c>
      <c r="CD36" s="530">
        <f t="shared" si="317"/>
        <v>-53</v>
      </c>
      <c r="CE36" s="1278">
        <v>-385</v>
      </c>
      <c r="CF36" s="530">
        <v>-29</v>
      </c>
      <c r="CG36" s="530">
        <f t="shared" si="318"/>
        <v>174</v>
      </c>
      <c r="CH36" s="530">
        <f>190-CF36-CG36</f>
        <v>45</v>
      </c>
      <c r="CI36" s="680">
        <f t="shared" si="319"/>
        <v>84</v>
      </c>
      <c r="CJ36" s="530">
        <v>145</v>
      </c>
      <c r="CK36" s="530">
        <f t="shared" si="320"/>
        <v>129</v>
      </c>
      <c r="CL36" s="1278">
        <v>274</v>
      </c>
      <c r="CM36" s="530">
        <v>-11</v>
      </c>
      <c r="CN36" s="530">
        <f t="shared" si="321"/>
        <v>4</v>
      </c>
      <c r="CO36" s="530">
        <f>33-CM36-CN36</f>
        <v>40</v>
      </c>
      <c r="CP36" s="680">
        <f t="shared" si="322"/>
        <v>-5</v>
      </c>
      <c r="CQ36" s="530">
        <v>-7</v>
      </c>
      <c r="CR36" s="530">
        <f t="shared" si="323"/>
        <v>35</v>
      </c>
      <c r="CS36" s="1278">
        <v>28</v>
      </c>
      <c r="CT36" s="530">
        <v>0</v>
      </c>
      <c r="CU36" s="530">
        <f t="shared" si="324"/>
        <v>0</v>
      </c>
      <c r="CV36" s="530">
        <v>0</v>
      </c>
      <c r="CW36" s="680">
        <f t="shared" si="325"/>
        <v>0</v>
      </c>
      <c r="CX36" s="530">
        <v>0</v>
      </c>
      <c r="CY36" s="530">
        <f t="shared" si="326"/>
        <v>0</v>
      </c>
      <c r="CZ36" s="1278">
        <v>0</v>
      </c>
      <c r="DA36" s="530">
        <v>0</v>
      </c>
      <c r="DB36" s="530">
        <f t="shared" si="327"/>
        <v>0</v>
      </c>
      <c r="DC36" s="530">
        <v>0</v>
      </c>
      <c r="DD36" s="680">
        <f t="shared" si="328"/>
        <v>0</v>
      </c>
      <c r="DE36" s="530">
        <v>0</v>
      </c>
      <c r="DF36" s="530">
        <f t="shared" si="329"/>
        <v>0</v>
      </c>
      <c r="DG36" s="1278">
        <v>0</v>
      </c>
      <c r="DH36" s="530">
        <v>0</v>
      </c>
      <c r="DI36" s="530">
        <f t="shared" si="330"/>
        <v>0</v>
      </c>
      <c r="DJ36" s="530">
        <v>0</v>
      </c>
      <c r="DK36" s="680">
        <f t="shared" si="331"/>
        <v>0</v>
      </c>
      <c r="DL36" s="530">
        <v>0</v>
      </c>
      <c r="DM36" s="530">
        <f t="shared" si="332"/>
        <v>0</v>
      </c>
      <c r="DN36" s="1850">
        <v>0</v>
      </c>
      <c r="DO36" s="530">
        <v>0</v>
      </c>
      <c r="DP36" s="530">
        <f t="shared" si="333"/>
        <v>0</v>
      </c>
      <c r="DQ36" s="460">
        <f>DT36/2</f>
        <v>0</v>
      </c>
      <c r="DR36" s="461">
        <f t="shared" si="334"/>
        <v>0</v>
      </c>
      <c r="DS36" s="2009"/>
      <c r="DT36" s="460">
        <f t="shared" si="335"/>
        <v>0</v>
      </c>
      <c r="DU36" s="748">
        <v>0</v>
      </c>
      <c r="DV36" s="460">
        <f>DZ36/2</f>
        <v>0</v>
      </c>
      <c r="DW36" s="460">
        <f t="shared" si="336"/>
        <v>0</v>
      </c>
      <c r="DX36" s="460">
        <f>EA36/2</f>
        <v>0</v>
      </c>
      <c r="DY36" s="461">
        <f t="shared" si="337"/>
        <v>0</v>
      </c>
      <c r="DZ36" s="460">
        <f>EB36/2</f>
        <v>0</v>
      </c>
      <c r="EA36" s="460">
        <f t="shared" si="338"/>
        <v>0</v>
      </c>
      <c r="EB36" s="748">
        <v>0</v>
      </c>
      <c r="EC36" s="460">
        <f>EG36/2</f>
        <v>0</v>
      </c>
      <c r="ED36" s="460">
        <f t="shared" si="339"/>
        <v>0</v>
      </c>
      <c r="EE36" s="460">
        <f>EH36/2</f>
        <v>0</v>
      </c>
      <c r="EF36" s="461">
        <f t="shared" si="340"/>
        <v>0</v>
      </c>
      <c r="EG36" s="460">
        <f>EI36/2</f>
        <v>0</v>
      </c>
      <c r="EH36" s="460">
        <f t="shared" si="341"/>
        <v>0</v>
      </c>
      <c r="EI36" s="748">
        <v>0</v>
      </c>
      <c r="EJ36" s="460">
        <f>EN36/2</f>
        <v>0</v>
      </c>
      <c r="EK36" s="460">
        <f t="shared" si="342"/>
        <v>0</v>
      </c>
      <c r="EL36" s="460">
        <f>EO36/2</f>
        <v>0</v>
      </c>
      <c r="EM36" s="461">
        <f t="shared" si="343"/>
        <v>0</v>
      </c>
      <c r="EN36" s="460">
        <f>EP36/2</f>
        <v>0</v>
      </c>
      <c r="EO36" s="460">
        <f t="shared" si="344"/>
        <v>0</v>
      </c>
      <c r="EP36" s="748">
        <v>0</v>
      </c>
      <c r="EQ36" s="460">
        <f>EU36/2</f>
        <v>0</v>
      </c>
      <c r="ER36" s="460">
        <f t="shared" si="345"/>
        <v>0</v>
      </c>
      <c r="ES36" s="460">
        <f>EV36/2</f>
        <v>0</v>
      </c>
      <c r="ET36" s="461">
        <f t="shared" si="346"/>
        <v>0</v>
      </c>
      <c r="EU36" s="460">
        <f>EW36/2</f>
        <v>0</v>
      </c>
      <c r="EV36" s="460">
        <f t="shared" si="347"/>
        <v>0</v>
      </c>
      <c r="EW36" s="748">
        <v>0</v>
      </c>
    </row>
    <row r="37" spans="1:153" ht="10.199999999999999" customHeight="1">
      <c r="A37" s="43" t="s">
        <v>152</v>
      </c>
      <c r="B37" s="856"/>
      <c r="C37" s="856"/>
      <c r="D37" s="856"/>
      <c r="E37" s="856"/>
      <c r="F37" s="856"/>
      <c r="G37" s="856"/>
      <c r="H37" s="856">
        <v>-1000</v>
      </c>
      <c r="I37" s="856">
        <v>0</v>
      </c>
      <c r="J37" s="856">
        <v>0</v>
      </c>
      <c r="K37" s="856">
        <v>0</v>
      </c>
      <c r="L37" s="856">
        <v>-200</v>
      </c>
      <c r="M37" s="856">
        <v>-124</v>
      </c>
      <c r="N37" s="530"/>
      <c r="O37" s="530"/>
      <c r="P37" s="530"/>
      <c r="Q37" s="680"/>
      <c r="R37" s="530"/>
      <c r="S37" s="530"/>
      <c r="T37" s="1278">
        <v>-434</v>
      </c>
      <c r="U37" s="530"/>
      <c r="V37" s="530"/>
      <c r="W37" s="530"/>
      <c r="X37" s="680"/>
      <c r="Y37" s="530"/>
      <c r="Z37" s="530"/>
      <c r="AA37" s="1278">
        <f>Airbus!AB53</f>
        <v>0</v>
      </c>
      <c r="AB37" s="530"/>
      <c r="AC37" s="530"/>
      <c r="AD37" s="530"/>
      <c r="AE37" s="680"/>
      <c r="AF37" s="530"/>
      <c r="AG37" s="530"/>
      <c r="AH37" s="1278"/>
      <c r="AI37" s="530"/>
      <c r="AJ37" s="530">
        <f>AM37-AI37</f>
        <v>-385</v>
      </c>
      <c r="AK37" s="530">
        <f>-385-AI37-AJ37</f>
        <v>0</v>
      </c>
      <c r="AL37" s="680">
        <f>AN37-AK37</f>
        <v>0</v>
      </c>
      <c r="AM37" s="530">
        <v>-385</v>
      </c>
      <c r="AN37" s="530">
        <f>AO37-AM37</f>
        <v>0</v>
      </c>
      <c r="AO37" s="1278">
        <v>-385</v>
      </c>
      <c r="AP37" s="530"/>
      <c r="AQ37" s="530"/>
      <c r="AR37" s="530"/>
      <c r="AS37" s="680"/>
      <c r="AT37" s="530"/>
      <c r="AU37" s="530"/>
      <c r="AV37" s="1278"/>
      <c r="AW37" s="530"/>
      <c r="AX37" s="530"/>
      <c r="AY37" s="530"/>
      <c r="AZ37" s="680"/>
      <c r="BA37" s="530"/>
      <c r="BB37" s="530"/>
      <c r="BC37" s="1278"/>
      <c r="BD37" s="530"/>
      <c r="BE37" s="530"/>
      <c r="BF37" s="530"/>
      <c r="BG37" s="680"/>
      <c r="BH37" s="530"/>
      <c r="BI37" s="530"/>
      <c r="BJ37" s="1278"/>
      <c r="BK37" s="530"/>
      <c r="BL37" s="530"/>
      <c r="BM37" s="530"/>
      <c r="BN37" s="680"/>
      <c r="BO37" s="530"/>
      <c r="BP37" s="530"/>
      <c r="BQ37" s="1278"/>
      <c r="BR37" s="530"/>
      <c r="BS37" s="530"/>
      <c r="BT37" s="530"/>
      <c r="BU37" s="680"/>
      <c r="BV37" s="530"/>
      <c r="BW37" s="530"/>
      <c r="BX37" s="1278"/>
      <c r="BY37" s="530"/>
      <c r="BZ37" s="530"/>
      <c r="CA37" s="530"/>
      <c r="CB37" s="680"/>
      <c r="CC37" s="530"/>
      <c r="CD37" s="530"/>
      <c r="CE37" s="1278"/>
      <c r="CF37" s="530"/>
      <c r="CG37" s="530"/>
      <c r="CH37" s="530"/>
      <c r="CI37" s="680"/>
      <c r="CJ37" s="530"/>
      <c r="CK37" s="530"/>
      <c r="CL37" s="1278"/>
      <c r="CM37" s="530"/>
      <c r="CN37" s="530"/>
      <c r="CO37" s="530"/>
      <c r="CP37" s="680"/>
      <c r="CQ37" s="530"/>
      <c r="CR37" s="530"/>
      <c r="CS37" s="1278"/>
      <c r="CT37" s="530">
        <v>0</v>
      </c>
      <c r="CU37" s="530">
        <f t="shared" si="324"/>
        <v>0</v>
      </c>
      <c r="CV37" s="530">
        <v>0</v>
      </c>
      <c r="CW37" s="680">
        <f t="shared" si="325"/>
        <v>0</v>
      </c>
      <c r="CX37" s="530">
        <v>0</v>
      </c>
      <c r="CY37" s="530">
        <f t="shared" si="326"/>
        <v>0</v>
      </c>
      <c r="CZ37" s="1278">
        <v>0</v>
      </c>
      <c r="DA37" s="530">
        <v>0</v>
      </c>
      <c r="DB37" s="530">
        <f t="shared" si="327"/>
        <v>0</v>
      </c>
      <c r="DC37" s="530">
        <v>0</v>
      </c>
      <c r="DD37" s="680">
        <f t="shared" si="328"/>
        <v>0</v>
      </c>
      <c r="DE37" s="530">
        <v>0</v>
      </c>
      <c r="DF37" s="530">
        <f t="shared" si="329"/>
        <v>0</v>
      </c>
      <c r="DG37" s="1278">
        <v>0</v>
      </c>
      <c r="DH37" s="530">
        <v>0</v>
      </c>
      <c r="DI37" s="530">
        <f t="shared" si="330"/>
        <v>0</v>
      </c>
      <c r="DJ37" s="530">
        <v>0</v>
      </c>
      <c r="DK37" s="680">
        <f t="shared" si="331"/>
        <v>0</v>
      </c>
      <c r="DL37" s="530">
        <v>0</v>
      </c>
      <c r="DM37" s="530">
        <f t="shared" si="332"/>
        <v>0</v>
      </c>
      <c r="DN37" s="1850">
        <v>0</v>
      </c>
      <c r="DO37" s="530">
        <v>0</v>
      </c>
      <c r="DP37" s="530">
        <f t="shared" si="333"/>
        <v>0</v>
      </c>
      <c r="DQ37" s="460">
        <f>DT37/2</f>
        <v>0</v>
      </c>
      <c r="DR37" s="461">
        <f t="shared" si="334"/>
        <v>0</v>
      </c>
      <c r="DS37" s="2009"/>
      <c r="DT37" s="460">
        <f t="shared" si="335"/>
        <v>0</v>
      </c>
      <c r="DU37" s="748">
        <v>0</v>
      </c>
      <c r="DV37" s="460">
        <f>DZ37/2</f>
        <v>0</v>
      </c>
      <c r="DW37" s="460">
        <f t="shared" si="336"/>
        <v>0</v>
      </c>
      <c r="DX37" s="460">
        <f>EA37/2</f>
        <v>0</v>
      </c>
      <c r="DY37" s="461">
        <f t="shared" si="337"/>
        <v>0</v>
      </c>
      <c r="DZ37" s="460">
        <f>EB37/2</f>
        <v>0</v>
      </c>
      <c r="EA37" s="460">
        <f t="shared" si="338"/>
        <v>0</v>
      </c>
      <c r="EB37" s="748">
        <v>0</v>
      </c>
      <c r="EC37" s="460">
        <f>EG37/2</f>
        <v>0</v>
      </c>
      <c r="ED37" s="460">
        <f t="shared" si="339"/>
        <v>0</v>
      </c>
      <c r="EE37" s="460">
        <f>EH37/2</f>
        <v>0</v>
      </c>
      <c r="EF37" s="461">
        <f t="shared" si="340"/>
        <v>0</v>
      </c>
      <c r="EG37" s="460">
        <f>EI37/2</f>
        <v>0</v>
      </c>
      <c r="EH37" s="460">
        <f t="shared" si="341"/>
        <v>0</v>
      </c>
      <c r="EI37" s="748">
        <v>0</v>
      </c>
      <c r="EJ37" s="460">
        <f>EN37/2</f>
        <v>0</v>
      </c>
      <c r="EK37" s="460">
        <f t="shared" si="342"/>
        <v>0</v>
      </c>
      <c r="EL37" s="460">
        <f>EO37/2</f>
        <v>0</v>
      </c>
      <c r="EM37" s="461">
        <f t="shared" si="343"/>
        <v>0</v>
      </c>
      <c r="EN37" s="460">
        <f>EP37/2</f>
        <v>0</v>
      </c>
      <c r="EO37" s="460">
        <f t="shared" si="344"/>
        <v>0</v>
      </c>
      <c r="EP37" s="748">
        <v>0</v>
      </c>
      <c r="EQ37" s="460">
        <f>EU37/2</f>
        <v>0</v>
      </c>
      <c r="ER37" s="460">
        <f t="shared" si="345"/>
        <v>0</v>
      </c>
      <c r="ES37" s="460">
        <f>EV37/2</f>
        <v>0</v>
      </c>
      <c r="ET37" s="461">
        <f t="shared" si="346"/>
        <v>0</v>
      </c>
      <c r="EU37" s="460">
        <f>EW37/2</f>
        <v>0</v>
      </c>
      <c r="EV37" s="460">
        <f t="shared" si="347"/>
        <v>0</v>
      </c>
      <c r="EW37" s="748">
        <v>0</v>
      </c>
    </row>
    <row r="38" spans="1:153" ht="10.199999999999999" customHeight="1">
      <c r="A38" s="43" t="s">
        <v>153</v>
      </c>
      <c r="B38" s="856"/>
      <c r="C38" s="856"/>
      <c r="D38" s="856"/>
      <c r="E38" s="856"/>
      <c r="F38" s="856"/>
      <c r="G38" s="856"/>
      <c r="H38" s="856">
        <v>0</v>
      </c>
      <c r="I38" s="856">
        <v>850</v>
      </c>
      <c r="J38" s="856">
        <v>-490</v>
      </c>
      <c r="K38" s="856">
        <v>-20</v>
      </c>
      <c r="L38" s="856">
        <v>70</v>
      </c>
      <c r="M38" s="856">
        <v>-71</v>
      </c>
      <c r="N38" s="530"/>
      <c r="O38" s="530"/>
      <c r="P38" s="530"/>
      <c r="Q38" s="680"/>
      <c r="R38" s="530"/>
      <c r="S38" s="530"/>
      <c r="T38" s="1278">
        <v>-102</v>
      </c>
      <c r="U38" s="530">
        <v>19</v>
      </c>
      <c r="V38" s="530">
        <f>Y38-U38</f>
        <v>51</v>
      </c>
      <c r="W38" s="530">
        <f>-7-U38-V38</f>
        <v>-77</v>
      </c>
      <c r="X38" s="680">
        <f>Z38-W38</f>
        <v>149</v>
      </c>
      <c r="Y38" s="530">
        <v>70</v>
      </c>
      <c r="Z38" s="530">
        <f>AA38-Y38</f>
        <v>72</v>
      </c>
      <c r="AA38" s="1278">
        <v>142</v>
      </c>
      <c r="AB38" s="530">
        <v>-150</v>
      </c>
      <c r="AC38" s="530">
        <f>AF38-AB38</f>
        <v>5</v>
      </c>
      <c r="AD38" s="530">
        <f>-360-AB38-AC38</f>
        <v>-215</v>
      </c>
      <c r="AE38" s="680">
        <f>AG38-AD38</f>
        <v>-275</v>
      </c>
      <c r="AF38" s="530">
        <v>-145</v>
      </c>
      <c r="AG38" s="530">
        <f>AH38-AF38</f>
        <v>-490</v>
      </c>
      <c r="AH38" s="1278">
        <v>-635</v>
      </c>
      <c r="AI38" s="530"/>
      <c r="AJ38" s="530"/>
      <c r="AK38" s="530"/>
      <c r="AL38" s="680"/>
      <c r="AM38" s="530"/>
      <c r="AN38" s="530"/>
      <c r="AO38" s="1278"/>
      <c r="AP38" s="530"/>
      <c r="AQ38" s="530"/>
      <c r="AR38" s="530"/>
      <c r="AS38" s="680"/>
      <c r="AT38" s="530"/>
      <c r="AU38" s="530"/>
      <c r="AV38" s="1278"/>
      <c r="AW38" s="530"/>
      <c r="AX38" s="530"/>
      <c r="AY38" s="530"/>
      <c r="AZ38" s="680"/>
      <c r="BA38" s="530"/>
      <c r="BB38" s="530"/>
      <c r="BC38" s="1278"/>
      <c r="BD38" s="530"/>
      <c r="BE38" s="530"/>
      <c r="BF38" s="530"/>
      <c r="BG38" s="680"/>
      <c r="BH38" s="530"/>
      <c r="BI38" s="530"/>
      <c r="BJ38" s="1278"/>
      <c r="BK38" s="530"/>
      <c r="BL38" s="530"/>
      <c r="BM38" s="530"/>
      <c r="BN38" s="680"/>
      <c r="BO38" s="530"/>
      <c r="BP38" s="530"/>
      <c r="BQ38" s="1278"/>
      <c r="BR38" s="530"/>
      <c r="BS38" s="530"/>
      <c r="BT38" s="530"/>
      <c r="BU38" s="680"/>
      <c r="BV38" s="530"/>
      <c r="BW38" s="530"/>
      <c r="BX38" s="1278"/>
      <c r="BY38" s="530"/>
      <c r="BZ38" s="530"/>
      <c r="CA38" s="530"/>
      <c r="CB38" s="680"/>
      <c r="CC38" s="530"/>
      <c r="CD38" s="530"/>
      <c r="CE38" s="1278"/>
      <c r="CF38" s="530"/>
      <c r="CG38" s="530"/>
      <c r="CH38" s="530"/>
      <c r="CI38" s="680"/>
      <c r="CJ38" s="530"/>
      <c r="CK38" s="530"/>
      <c r="CL38" s="1278"/>
      <c r="CM38" s="530"/>
      <c r="CN38" s="530"/>
      <c r="CO38" s="530"/>
      <c r="CP38" s="680"/>
      <c r="CQ38" s="530"/>
      <c r="CR38" s="530"/>
      <c r="CS38" s="1278"/>
      <c r="CT38" s="530">
        <v>0</v>
      </c>
      <c r="CU38" s="530">
        <f t="shared" si="324"/>
        <v>0</v>
      </c>
      <c r="CV38" s="530">
        <v>0</v>
      </c>
      <c r="CW38" s="680">
        <f t="shared" si="325"/>
        <v>0</v>
      </c>
      <c r="CX38" s="530">
        <v>0</v>
      </c>
      <c r="CY38" s="530">
        <f t="shared" si="326"/>
        <v>0</v>
      </c>
      <c r="CZ38" s="1278">
        <v>0</v>
      </c>
      <c r="DA38" s="530">
        <v>0</v>
      </c>
      <c r="DB38" s="530">
        <f t="shared" si="327"/>
        <v>0</v>
      </c>
      <c r="DC38" s="530">
        <v>0</v>
      </c>
      <c r="DD38" s="680">
        <f t="shared" si="328"/>
        <v>0</v>
      </c>
      <c r="DE38" s="530">
        <v>0</v>
      </c>
      <c r="DF38" s="530">
        <f t="shared" si="329"/>
        <v>0</v>
      </c>
      <c r="DG38" s="1278">
        <v>0</v>
      </c>
      <c r="DH38" s="530">
        <v>0</v>
      </c>
      <c r="DI38" s="530">
        <f t="shared" si="330"/>
        <v>0</v>
      </c>
      <c r="DJ38" s="530">
        <v>0</v>
      </c>
      <c r="DK38" s="680">
        <f t="shared" si="331"/>
        <v>0</v>
      </c>
      <c r="DL38" s="530">
        <v>0</v>
      </c>
      <c r="DM38" s="530">
        <f t="shared" si="332"/>
        <v>0</v>
      </c>
      <c r="DN38" s="1850">
        <v>0</v>
      </c>
      <c r="DO38" s="530">
        <v>0</v>
      </c>
      <c r="DP38" s="530">
        <f t="shared" si="333"/>
        <v>0</v>
      </c>
      <c r="DQ38" s="460">
        <f>DT38/2</f>
        <v>0</v>
      </c>
      <c r="DR38" s="461">
        <f t="shared" si="334"/>
        <v>0</v>
      </c>
      <c r="DS38" s="2009"/>
      <c r="DT38" s="460">
        <f t="shared" si="335"/>
        <v>0</v>
      </c>
      <c r="DU38" s="748">
        <v>0</v>
      </c>
      <c r="DV38" s="460">
        <f>DZ38/2</f>
        <v>0</v>
      </c>
      <c r="DW38" s="460">
        <f t="shared" si="336"/>
        <v>0</v>
      </c>
      <c r="DX38" s="460">
        <f>EA38/2</f>
        <v>0</v>
      </c>
      <c r="DY38" s="461">
        <f t="shared" si="337"/>
        <v>0</v>
      </c>
      <c r="DZ38" s="460">
        <f>EB38/2</f>
        <v>0</v>
      </c>
      <c r="EA38" s="460">
        <f t="shared" si="338"/>
        <v>0</v>
      </c>
      <c r="EB38" s="748">
        <v>0</v>
      </c>
      <c r="EC38" s="460">
        <f>EG38/2</f>
        <v>0</v>
      </c>
      <c r="ED38" s="460">
        <f t="shared" si="339"/>
        <v>0</v>
      </c>
      <c r="EE38" s="460">
        <f>EH38/2</f>
        <v>0</v>
      </c>
      <c r="EF38" s="461">
        <f t="shared" si="340"/>
        <v>0</v>
      </c>
      <c r="EG38" s="460">
        <f>EI38/2</f>
        <v>0</v>
      </c>
      <c r="EH38" s="460">
        <f t="shared" si="341"/>
        <v>0</v>
      </c>
      <c r="EI38" s="748">
        <v>0</v>
      </c>
      <c r="EJ38" s="460">
        <f>EN38/2</f>
        <v>0</v>
      </c>
      <c r="EK38" s="460">
        <f t="shared" si="342"/>
        <v>0</v>
      </c>
      <c r="EL38" s="460">
        <f>EO38/2</f>
        <v>0</v>
      </c>
      <c r="EM38" s="461">
        <f t="shared" si="343"/>
        <v>0</v>
      </c>
      <c r="EN38" s="460">
        <f>EP38/2</f>
        <v>0</v>
      </c>
      <c r="EO38" s="460">
        <f t="shared" si="344"/>
        <v>0</v>
      </c>
      <c r="EP38" s="748">
        <v>0</v>
      </c>
      <c r="EQ38" s="460">
        <f>EU38/2</f>
        <v>0</v>
      </c>
      <c r="ER38" s="460">
        <f t="shared" si="345"/>
        <v>0</v>
      </c>
      <c r="ES38" s="460">
        <f>EV38/2</f>
        <v>0</v>
      </c>
      <c r="ET38" s="461">
        <f t="shared" si="346"/>
        <v>0</v>
      </c>
      <c r="EU38" s="460">
        <f>EW38/2</f>
        <v>0</v>
      </c>
      <c r="EV38" s="460">
        <f t="shared" si="347"/>
        <v>0</v>
      </c>
      <c r="EW38" s="748">
        <v>0</v>
      </c>
    </row>
    <row r="39" spans="1:153" ht="10.199999999999999" customHeight="1">
      <c r="A39" s="43" t="s">
        <v>294</v>
      </c>
      <c r="B39" s="530"/>
      <c r="C39" s="530"/>
      <c r="D39" s="530"/>
      <c r="E39" s="530"/>
      <c r="F39" s="530"/>
      <c r="G39" s="530"/>
      <c r="H39" s="530">
        <v>-624</v>
      </c>
      <c r="I39" s="530">
        <v>450</v>
      </c>
      <c r="J39" s="530">
        <v>80</v>
      </c>
      <c r="K39" s="530">
        <v>-90</v>
      </c>
      <c r="L39" s="530">
        <v>40</v>
      </c>
      <c r="M39" s="530">
        <f>-76-100-98-100</f>
        <v>-374</v>
      </c>
      <c r="N39" s="530"/>
      <c r="O39" s="530"/>
      <c r="P39" s="530"/>
      <c r="Q39" s="680"/>
      <c r="R39" s="530"/>
      <c r="S39" s="530"/>
      <c r="T39" s="1278">
        <v>-292</v>
      </c>
      <c r="U39" s="530">
        <v>0</v>
      </c>
      <c r="V39" s="530">
        <f>Y39-U39</f>
        <v>0</v>
      </c>
      <c r="W39" s="530">
        <f>0-U39-V39</f>
        <v>0</v>
      </c>
      <c r="X39" s="680">
        <f>Z39-W39</f>
        <v>383</v>
      </c>
      <c r="Y39" s="530">
        <v>0</v>
      </c>
      <c r="Z39" s="530">
        <f>AA39-Y39</f>
        <v>383</v>
      </c>
      <c r="AA39" s="1278">
        <v>383</v>
      </c>
      <c r="AB39" s="530">
        <f>697+43</f>
        <v>740</v>
      </c>
      <c r="AC39" s="530">
        <f>AF39-AB39</f>
        <v>41</v>
      </c>
      <c r="AD39" s="530">
        <f>748+44-AB39-AC39</f>
        <v>11</v>
      </c>
      <c r="AE39" s="680">
        <f>AG39-AD39</f>
        <v>87</v>
      </c>
      <c r="AF39" s="530">
        <f>748+33</f>
        <v>781</v>
      </c>
      <c r="AG39" s="530">
        <f>AH39-AF39</f>
        <v>98</v>
      </c>
      <c r="AH39" s="1278">
        <f>90+41+748</f>
        <v>879</v>
      </c>
      <c r="AI39" s="530">
        <v>-136</v>
      </c>
      <c r="AJ39" s="530">
        <f>AM39-AI39</f>
        <v>1719</v>
      </c>
      <c r="AK39" s="530">
        <f>-723+75+1139+868-AI39-AJ39</f>
        <v>-224</v>
      </c>
      <c r="AL39" s="680">
        <f>AN39-AK39</f>
        <v>-461</v>
      </c>
      <c r="AM39" s="530">
        <f>-509+1139+868+85</f>
        <v>1583</v>
      </c>
      <c r="AN39" s="530">
        <f>AO39-AM39</f>
        <v>-685</v>
      </c>
      <c r="AO39" s="1278">
        <f>-930-182-33+1175+868</f>
        <v>898</v>
      </c>
      <c r="AP39" s="530">
        <f>560+55-3</f>
        <v>612</v>
      </c>
      <c r="AQ39" s="530">
        <f>AT39-AP39</f>
        <v>150</v>
      </c>
      <c r="AR39" s="530">
        <f>43+604+19-AP39-AQ39</f>
        <v>-96</v>
      </c>
      <c r="AS39" s="680">
        <f>AU39-AR39</f>
        <v>-199</v>
      </c>
      <c r="AT39" s="530">
        <f>174+560+28</f>
        <v>762</v>
      </c>
      <c r="AU39" s="530">
        <f>AV39-AT39</f>
        <v>-295</v>
      </c>
      <c r="AV39" s="1278">
        <f>-117-7+7-20+604</f>
        <v>467</v>
      </c>
      <c r="AW39" s="530"/>
      <c r="AX39" s="530"/>
      <c r="AY39" s="530"/>
      <c r="AZ39" s="680"/>
      <c r="BA39" s="530"/>
      <c r="BB39" s="530"/>
      <c r="BC39" s="1278"/>
      <c r="BD39" s="530">
        <f>159+46-20</f>
        <v>185</v>
      </c>
      <c r="BE39" s="530">
        <f t="shared" ref="BE39" si="348">BH39-BD39</f>
        <v>-129</v>
      </c>
      <c r="BF39" s="530">
        <f>-23-109+26+156-BD39-BE39</f>
        <v>-6</v>
      </c>
      <c r="BG39" s="680">
        <f t="shared" ref="BG39" si="349">BI39-BF39</f>
        <v>63</v>
      </c>
      <c r="BH39" s="530">
        <f>-21-40-40+157</f>
        <v>56</v>
      </c>
      <c r="BI39" s="530">
        <f t="shared" ref="BI39" si="350">BJ39-BH39</f>
        <v>57</v>
      </c>
      <c r="BJ39" s="1278">
        <f>-123+188+129-81</f>
        <v>113</v>
      </c>
      <c r="BK39" s="530">
        <f>-190-83-34</f>
        <v>-307</v>
      </c>
      <c r="BL39" s="530">
        <f t="shared" ref="BL39" si="351">BO39-BK39</f>
        <v>7</v>
      </c>
      <c r="BM39" s="530">
        <f>-253-221-70-BK39-BL39</f>
        <v>-244</v>
      </c>
      <c r="BN39" s="680">
        <f t="shared" ref="BN39" si="352">BP39-BM39</f>
        <v>-3649</v>
      </c>
      <c r="BO39" s="530">
        <f>-208-90-2</f>
        <v>-300</v>
      </c>
      <c r="BP39" s="530">
        <f t="shared" ref="BP39" si="353">BQ39-BO39</f>
        <v>-3893</v>
      </c>
      <c r="BQ39" s="1278">
        <f>-3598-221-170-103-101</f>
        <v>-4193</v>
      </c>
      <c r="BR39" s="530">
        <f>-190-83-34</f>
        <v>-307</v>
      </c>
      <c r="BS39" s="530">
        <f t="shared" ref="BS39" si="354">BV39-BR39</f>
        <v>7</v>
      </c>
      <c r="BT39" s="530">
        <f>-253-221-70-BR39-BS39</f>
        <v>-244</v>
      </c>
      <c r="BU39" s="680">
        <f t="shared" ref="BU39" si="355">BW39-BT39</f>
        <v>-3649</v>
      </c>
      <c r="BV39" s="530">
        <f>-208-90-2</f>
        <v>-300</v>
      </c>
      <c r="BW39" s="530">
        <f t="shared" si="314"/>
        <v>-3893</v>
      </c>
      <c r="BX39" s="1278">
        <f>-3598-221-170-103-101</f>
        <v>-4193</v>
      </c>
      <c r="BY39" s="530">
        <f>-134-35</f>
        <v>-169</v>
      </c>
      <c r="BZ39" s="530">
        <f t="shared" si="315"/>
        <v>-113</v>
      </c>
      <c r="CA39" s="530">
        <f>-1200-374-128-BY39-BZ39</f>
        <v>-1420</v>
      </c>
      <c r="CB39" s="680">
        <f t="shared" ref="CB39" si="356">CD39-CA39</f>
        <v>-129</v>
      </c>
      <c r="CC39" s="530">
        <f>-165-117</f>
        <v>-282</v>
      </c>
      <c r="CD39" s="530">
        <f t="shared" si="317"/>
        <v>-1549</v>
      </c>
      <c r="CE39" s="1278">
        <f>-1202-480-149</f>
        <v>-1831</v>
      </c>
      <c r="CF39" s="530">
        <f>-177-26</f>
        <v>-203</v>
      </c>
      <c r="CG39" s="530">
        <f t="shared" si="318"/>
        <v>82</v>
      </c>
      <c r="CH39" s="530">
        <f>-165+43-CF39-CG39</f>
        <v>-1</v>
      </c>
      <c r="CI39" s="680">
        <f t="shared" ref="CI39" si="357">CK39-CH39</f>
        <v>537</v>
      </c>
      <c r="CJ39" s="530">
        <f>-170+49</f>
        <v>-121</v>
      </c>
      <c r="CK39" s="530">
        <f t="shared" si="320"/>
        <v>536</v>
      </c>
      <c r="CL39" s="1278">
        <f>122-38+331</f>
        <v>415</v>
      </c>
      <c r="CM39" s="530">
        <f>190-13</f>
        <v>177</v>
      </c>
      <c r="CN39" s="530">
        <f t="shared" si="321"/>
        <v>-18</v>
      </c>
      <c r="CO39" s="530">
        <f>349-48-44-CM39-CN39</f>
        <v>98</v>
      </c>
      <c r="CP39" s="680">
        <f t="shared" si="322"/>
        <v>-110</v>
      </c>
      <c r="CQ39" s="530">
        <f>226-33-34</f>
        <v>159</v>
      </c>
      <c r="CR39" s="530">
        <f t="shared" si="323"/>
        <v>-12</v>
      </c>
      <c r="CS39" s="1278">
        <f>308-82-79</f>
        <v>147</v>
      </c>
      <c r="CT39" s="530">
        <f>-360-9-14</f>
        <v>-383</v>
      </c>
      <c r="CU39" s="530">
        <f t="shared" si="324"/>
        <v>-348</v>
      </c>
      <c r="CV39" s="530">
        <f>-806-57-56-CT39-CU39</f>
        <v>-188</v>
      </c>
      <c r="CW39" s="680">
        <f t="shared" si="325"/>
        <v>-275</v>
      </c>
      <c r="CX39" s="530">
        <f>-651-34-46</f>
        <v>-731</v>
      </c>
      <c r="CY39" s="530">
        <f t="shared" si="326"/>
        <v>-463</v>
      </c>
      <c r="CZ39" s="1278">
        <f>-1030-89-75</f>
        <v>-1194</v>
      </c>
      <c r="DA39" s="530">
        <f>-13+51-6</f>
        <v>32</v>
      </c>
      <c r="DB39" s="530">
        <f t="shared" si="327"/>
        <v>33</v>
      </c>
      <c r="DC39" s="530">
        <f>-146+51-13-DA39-DB39</f>
        <v>-173</v>
      </c>
      <c r="DD39" s="680">
        <f t="shared" si="328"/>
        <v>179</v>
      </c>
      <c r="DE39" s="530">
        <f>19+51-5</f>
        <v>65</v>
      </c>
      <c r="DF39" s="530">
        <f t="shared" si="329"/>
        <v>6</v>
      </c>
      <c r="DG39" s="1278">
        <f>101+51-40-41</f>
        <v>71</v>
      </c>
      <c r="DH39" s="530">
        <f>-13-105-33</f>
        <v>-151</v>
      </c>
      <c r="DI39" s="530">
        <f t="shared" si="330"/>
        <v>-436</v>
      </c>
      <c r="DJ39" s="530">
        <f>-577-105-88-11-DI39-DH39</f>
        <v>-194</v>
      </c>
      <c r="DK39" s="680">
        <f t="shared" si="331"/>
        <v>-192</v>
      </c>
      <c r="DL39" s="2083">
        <f>-391-105-57-34</f>
        <v>-587</v>
      </c>
      <c r="DM39" s="530">
        <f t="shared" si="332"/>
        <v>-386</v>
      </c>
      <c r="DN39" s="1278">
        <f>-(624+188+105+56)</f>
        <v>-973</v>
      </c>
      <c r="DO39" s="530">
        <v>-76</v>
      </c>
      <c r="DP39" s="530">
        <f t="shared" si="333"/>
        <v>94</v>
      </c>
      <c r="DQ39" s="654">
        <v>-50</v>
      </c>
      <c r="DR39" s="461">
        <f t="shared" si="334"/>
        <v>-100</v>
      </c>
      <c r="DS39" s="2009">
        <f>124-123+60-43</f>
        <v>18</v>
      </c>
      <c r="DT39" s="460">
        <f t="shared" si="335"/>
        <v>-150</v>
      </c>
      <c r="DU39" s="386">
        <v>-132</v>
      </c>
      <c r="DV39" s="460">
        <f>DZ39/2</f>
        <v>0</v>
      </c>
      <c r="DW39" s="460">
        <f t="shared" si="336"/>
        <v>0</v>
      </c>
      <c r="DX39" s="460">
        <f>EA39/2</f>
        <v>0</v>
      </c>
      <c r="DY39" s="461">
        <f t="shared" si="337"/>
        <v>0</v>
      </c>
      <c r="DZ39" s="460">
        <f>EB39/2</f>
        <v>0</v>
      </c>
      <c r="EA39" s="460">
        <f t="shared" si="338"/>
        <v>0</v>
      </c>
      <c r="EB39" s="748">
        <v>0</v>
      </c>
      <c r="EC39" s="460">
        <f>EG39/2</f>
        <v>0</v>
      </c>
      <c r="ED39" s="460">
        <f t="shared" si="339"/>
        <v>0</v>
      </c>
      <c r="EE39" s="460">
        <f>EH39/2</f>
        <v>0</v>
      </c>
      <c r="EF39" s="461">
        <f t="shared" si="340"/>
        <v>0</v>
      </c>
      <c r="EG39" s="460">
        <f>EI39/2</f>
        <v>0</v>
      </c>
      <c r="EH39" s="460">
        <f t="shared" si="341"/>
        <v>0</v>
      </c>
      <c r="EI39" s="748">
        <v>0</v>
      </c>
      <c r="EJ39" s="460">
        <f>EN39/2</f>
        <v>0</v>
      </c>
      <c r="EK39" s="460">
        <f t="shared" si="342"/>
        <v>0</v>
      </c>
      <c r="EL39" s="460">
        <f>EO39/2</f>
        <v>0</v>
      </c>
      <c r="EM39" s="461">
        <f t="shared" si="343"/>
        <v>0</v>
      </c>
      <c r="EN39" s="460">
        <f>EP39/2</f>
        <v>0</v>
      </c>
      <c r="EO39" s="460">
        <f t="shared" si="344"/>
        <v>0</v>
      </c>
      <c r="EP39" s="748">
        <v>0</v>
      </c>
      <c r="EQ39" s="460">
        <f>EU39/2</f>
        <v>0</v>
      </c>
      <c r="ER39" s="460">
        <f t="shared" si="345"/>
        <v>0</v>
      </c>
      <c r="ES39" s="460">
        <f>EV39/2</f>
        <v>0</v>
      </c>
      <c r="ET39" s="461">
        <f t="shared" si="346"/>
        <v>0</v>
      </c>
      <c r="EU39" s="460">
        <f>EW39/2</f>
        <v>0</v>
      </c>
      <c r="EV39" s="460">
        <f t="shared" si="347"/>
        <v>0</v>
      </c>
      <c r="EW39" s="748">
        <v>0</v>
      </c>
    </row>
    <row r="40" spans="1:153" ht="10.199999999999999" customHeight="1">
      <c r="A40" s="48" t="s">
        <v>167</v>
      </c>
      <c r="B40" s="549"/>
      <c r="C40" s="549"/>
      <c r="D40" s="549"/>
      <c r="E40" s="549"/>
      <c r="F40" s="549"/>
      <c r="G40" s="549"/>
      <c r="H40" s="549"/>
      <c r="I40" s="549"/>
      <c r="J40" s="549"/>
      <c r="K40" s="549"/>
      <c r="L40" s="549"/>
      <c r="M40" s="549">
        <f>SUM(M36:M39)</f>
        <v>-820</v>
      </c>
      <c r="N40" s="549"/>
      <c r="O40" s="549"/>
      <c r="P40" s="549"/>
      <c r="Q40" s="1099"/>
      <c r="R40" s="549"/>
      <c r="S40" s="549"/>
      <c r="T40" s="1273">
        <f t="shared" ref="T40:CU40" si="358">SUM(T35:T39)</f>
        <v>-913</v>
      </c>
      <c r="U40" s="549">
        <f t="shared" si="358"/>
        <v>19</v>
      </c>
      <c r="V40" s="549">
        <f t="shared" si="358"/>
        <v>51</v>
      </c>
      <c r="W40" s="549">
        <f t="shared" si="358"/>
        <v>-77</v>
      </c>
      <c r="X40" s="1099">
        <f t="shared" si="358"/>
        <v>-19</v>
      </c>
      <c r="Y40" s="549">
        <f t="shared" ref="Y40:Z40" si="359">SUM(Y35:Y39)</f>
        <v>70</v>
      </c>
      <c r="Z40" s="549">
        <f t="shared" si="359"/>
        <v>-96</v>
      </c>
      <c r="AA40" s="1273">
        <f t="shared" si="358"/>
        <v>-26</v>
      </c>
      <c r="AB40" s="549">
        <f t="shared" ref="AB40:AE40" si="360">SUM(AB35:AB39)</f>
        <v>590</v>
      </c>
      <c r="AC40" s="549">
        <f t="shared" si="360"/>
        <v>-244</v>
      </c>
      <c r="AD40" s="549">
        <f t="shared" si="360"/>
        <v>-204</v>
      </c>
      <c r="AE40" s="1099">
        <f t="shared" si="360"/>
        <v>-188</v>
      </c>
      <c r="AF40" s="549">
        <f t="shared" ref="AF40:AG40" si="361">SUM(AF35:AF39)</f>
        <v>346</v>
      </c>
      <c r="AG40" s="549">
        <f t="shared" si="361"/>
        <v>-392</v>
      </c>
      <c r="AH40" s="1273">
        <f t="shared" si="358"/>
        <v>-46</v>
      </c>
      <c r="AI40" s="549">
        <f t="shared" si="358"/>
        <v>-136</v>
      </c>
      <c r="AJ40" s="549">
        <f t="shared" si="358"/>
        <v>308</v>
      </c>
      <c r="AK40" s="549">
        <f t="shared" si="358"/>
        <v>-224</v>
      </c>
      <c r="AL40" s="1099">
        <f t="shared" si="358"/>
        <v>-1645</v>
      </c>
      <c r="AM40" s="549">
        <f t="shared" ref="AM40:AN40" si="362">SUM(AM35:AM39)</f>
        <v>172</v>
      </c>
      <c r="AN40" s="549">
        <f t="shared" si="362"/>
        <v>-1869</v>
      </c>
      <c r="AO40" s="1273">
        <f t="shared" si="358"/>
        <v>-1697</v>
      </c>
      <c r="AP40" s="549">
        <f t="shared" ref="AP40:AS40" si="363">SUM(AP35:AP39)</f>
        <v>612</v>
      </c>
      <c r="AQ40" s="549">
        <f t="shared" si="363"/>
        <v>80</v>
      </c>
      <c r="AR40" s="549">
        <f t="shared" si="363"/>
        <v>-176</v>
      </c>
      <c r="AS40" s="1099">
        <f t="shared" si="363"/>
        <v>-1348</v>
      </c>
      <c r="AT40" s="549">
        <f t="shared" ref="AT40:AU40" si="364">SUM(AT35:AT39)</f>
        <v>692</v>
      </c>
      <c r="AU40" s="549">
        <f t="shared" si="364"/>
        <v>-1524</v>
      </c>
      <c r="AV40" s="1273">
        <f t="shared" si="358"/>
        <v>-832</v>
      </c>
      <c r="AW40" s="549"/>
      <c r="AX40" s="549"/>
      <c r="AY40" s="549"/>
      <c r="AZ40" s="1099"/>
      <c r="BA40" s="549"/>
      <c r="BB40" s="549"/>
      <c r="BC40" s="1273"/>
      <c r="BD40" s="549">
        <f t="shared" ref="BD40:BG40" si="365">SUM(BD35:BD39)</f>
        <v>185</v>
      </c>
      <c r="BE40" s="549">
        <f t="shared" si="365"/>
        <v>-227</v>
      </c>
      <c r="BF40" s="549">
        <f t="shared" si="365"/>
        <v>-13</v>
      </c>
      <c r="BG40" s="1099">
        <f t="shared" si="365"/>
        <v>-731</v>
      </c>
      <c r="BH40" s="549">
        <f t="shared" ref="BH40:BI40" si="366">SUM(BH35:BH39)</f>
        <v>-42</v>
      </c>
      <c r="BI40" s="549">
        <f t="shared" si="366"/>
        <v>-744</v>
      </c>
      <c r="BJ40" s="1273">
        <f t="shared" si="358"/>
        <v>-786</v>
      </c>
      <c r="BK40" s="549">
        <f t="shared" ref="BK40:BP40" si="367">SUM(BK35:BK39)</f>
        <v>-368</v>
      </c>
      <c r="BL40" s="549">
        <f t="shared" si="367"/>
        <v>-68</v>
      </c>
      <c r="BM40" s="549">
        <f t="shared" si="367"/>
        <v>-266</v>
      </c>
      <c r="BN40" s="1099">
        <f t="shared" si="367"/>
        <v>-4905</v>
      </c>
      <c r="BO40" s="549">
        <f t="shared" si="367"/>
        <v>-436</v>
      </c>
      <c r="BP40" s="549">
        <f t="shared" si="367"/>
        <v>-5171</v>
      </c>
      <c r="BQ40" s="1273">
        <f t="shared" si="358"/>
        <v>-5607</v>
      </c>
      <c r="BR40" s="549">
        <f t="shared" si="358"/>
        <v>-368</v>
      </c>
      <c r="BS40" s="549">
        <f t="shared" si="358"/>
        <v>-68</v>
      </c>
      <c r="BT40" s="549">
        <f t="shared" si="358"/>
        <v>-266</v>
      </c>
      <c r="BU40" s="1099">
        <f t="shared" si="358"/>
        <v>-4905</v>
      </c>
      <c r="BV40" s="549">
        <f t="shared" ref="BV40:BW40" si="368">SUM(BV35:BV39)</f>
        <v>-436</v>
      </c>
      <c r="BW40" s="549">
        <f t="shared" si="368"/>
        <v>-5171</v>
      </c>
      <c r="BX40" s="1273">
        <f t="shared" si="358"/>
        <v>-5607</v>
      </c>
      <c r="BY40" s="549">
        <f t="shared" ref="BY40:CB40" si="369">SUM(BY35:BY39)</f>
        <v>-202</v>
      </c>
      <c r="BZ40" s="549">
        <f t="shared" si="369"/>
        <v>-412</v>
      </c>
      <c r="CA40" s="549">
        <f t="shared" si="369"/>
        <v>-1446</v>
      </c>
      <c r="CB40" s="1099">
        <f t="shared" si="369"/>
        <v>-156</v>
      </c>
      <c r="CC40" s="549">
        <f t="shared" ref="CC40:CD40" si="370">SUM(CC35:CC39)</f>
        <v>-614</v>
      </c>
      <c r="CD40" s="549">
        <f t="shared" si="370"/>
        <v>-1602</v>
      </c>
      <c r="CE40" s="1273">
        <f t="shared" si="358"/>
        <v>-2216</v>
      </c>
      <c r="CF40" s="549">
        <f t="shared" si="358"/>
        <v>-232</v>
      </c>
      <c r="CG40" s="549">
        <f t="shared" si="358"/>
        <v>256</v>
      </c>
      <c r="CH40" s="549">
        <f t="shared" si="358"/>
        <v>44</v>
      </c>
      <c r="CI40" s="1099">
        <f t="shared" si="358"/>
        <v>409</v>
      </c>
      <c r="CJ40" s="549">
        <f t="shared" ref="CJ40:CK40" si="371">SUM(CJ35:CJ39)</f>
        <v>24</v>
      </c>
      <c r="CK40" s="549">
        <f t="shared" si="371"/>
        <v>453</v>
      </c>
      <c r="CL40" s="1273">
        <f t="shared" si="358"/>
        <v>477</v>
      </c>
      <c r="CM40" s="549">
        <f t="shared" ref="CM40:CP40" si="372">SUM(CM35:CM39)</f>
        <v>166</v>
      </c>
      <c r="CN40" s="549">
        <f t="shared" si="372"/>
        <v>-232</v>
      </c>
      <c r="CO40" s="549">
        <f t="shared" si="372"/>
        <v>137</v>
      </c>
      <c r="CP40" s="1099">
        <f t="shared" si="372"/>
        <v>-373</v>
      </c>
      <c r="CQ40" s="549">
        <f t="shared" ref="CQ40:CR40" si="373">SUM(CQ35:CQ39)</f>
        <v>-66</v>
      </c>
      <c r="CR40" s="549">
        <f t="shared" si="373"/>
        <v>-236</v>
      </c>
      <c r="CS40" s="1273">
        <f t="shared" si="358"/>
        <v>-302</v>
      </c>
      <c r="CT40" s="549">
        <f t="shared" si="358"/>
        <v>-383</v>
      </c>
      <c r="CU40" s="549">
        <f t="shared" si="358"/>
        <v>-348</v>
      </c>
      <c r="CV40" s="549">
        <f t="shared" ref="CV40:CW40" si="374">SUM(CV35:CV39)</f>
        <v>-188</v>
      </c>
      <c r="CW40" s="1099">
        <f t="shared" si="374"/>
        <v>-316</v>
      </c>
      <c r="CX40" s="549">
        <f t="shared" ref="CX40:CY40" si="375">SUM(CX35:CX39)</f>
        <v>-731</v>
      </c>
      <c r="CY40" s="549">
        <f t="shared" si="375"/>
        <v>-504</v>
      </c>
      <c r="CZ40" s="1273">
        <f t="shared" ref="CZ40:DD40" si="376">SUM(CZ35:CZ39)</f>
        <v>-1235</v>
      </c>
      <c r="DA40" s="549">
        <f t="shared" si="376"/>
        <v>32</v>
      </c>
      <c r="DB40" s="549">
        <f t="shared" si="376"/>
        <v>33</v>
      </c>
      <c r="DC40" s="549">
        <f t="shared" si="376"/>
        <v>-173</v>
      </c>
      <c r="DD40" s="1099">
        <f t="shared" si="376"/>
        <v>58</v>
      </c>
      <c r="DE40" s="549">
        <f t="shared" ref="DE40:DF40" si="377">SUM(DE35:DE39)</f>
        <v>65</v>
      </c>
      <c r="DF40" s="549">
        <f t="shared" si="377"/>
        <v>-115</v>
      </c>
      <c r="DG40" s="1273">
        <f t="shared" ref="DG40" si="378">SUM(DG35:DG39)</f>
        <v>-50</v>
      </c>
      <c r="DH40" s="549">
        <f>SUM(DH35:DH39)</f>
        <v>-151</v>
      </c>
      <c r="DI40" s="549">
        <f t="shared" ref="DI40" si="379">SUM(DI35:DI39)</f>
        <v>-436</v>
      </c>
      <c r="DJ40" s="549">
        <f>SUM(DJ35:DJ39)</f>
        <v>-194</v>
      </c>
      <c r="DK40" s="1099">
        <f t="shared" ref="DK40" si="380">SUM(DK35:DK39)</f>
        <v>-265</v>
      </c>
      <c r="DL40" s="549">
        <f t="shared" ref="DL40:DM40" si="381">SUM(DL35:DL39)</f>
        <v>-587</v>
      </c>
      <c r="DM40" s="549">
        <f t="shared" si="381"/>
        <v>-459</v>
      </c>
      <c r="DN40" s="1273">
        <f t="shared" ref="DN40" si="382">SUM(DN35:DN39)</f>
        <v>-1046</v>
      </c>
      <c r="DO40" s="549">
        <f>SUM(DO35:DO39)</f>
        <v>-76</v>
      </c>
      <c r="DP40" s="549">
        <f t="shared" ref="DP40" si="383">SUM(DP35:DP39)</f>
        <v>94</v>
      </c>
      <c r="DQ40" s="460">
        <f>SUM(DQ35:DQ39)</f>
        <v>-50</v>
      </c>
      <c r="DR40" s="461">
        <f t="shared" si="334"/>
        <v>-100</v>
      </c>
      <c r="DS40" s="2009">
        <f t="shared" ref="DS40" si="384">SUM(DS35:DS39)</f>
        <v>18</v>
      </c>
      <c r="DT40" s="460">
        <f t="shared" si="335"/>
        <v>-150</v>
      </c>
      <c r="DU40" s="400">
        <f>SUM(DU35:DU39)</f>
        <v>-132</v>
      </c>
      <c r="DV40" s="551">
        <f>SUM(DV35:DV39)</f>
        <v>0</v>
      </c>
      <c r="DW40" s="460">
        <f t="shared" si="336"/>
        <v>0</v>
      </c>
      <c r="DX40" s="460">
        <f>SUM(DX35:DX39)</f>
        <v>0</v>
      </c>
      <c r="DY40" s="461">
        <f t="shared" si="337"/>
        <v>0</v>
      </c>
      <c r="DZ40" s="460">
        <f>SUM(DZ35:DZ39)</f>
        <v>0</v>
      </c>
      <c r="EA40" s="460">
        <f t="shared" si="338"/>
        <v>0</v>
      </c>
      <c r="EB40" s="400">
        <f>SUM(EB35:EB39)</f>
        <v>0</v>
      </c>
      <c r="EC40" s="551">
        <f>SUM(EC35:EC39)</f>
        <v>0</v>
      </c>
      <c r="ED40" s="460">
        <f t="shared" si="339"/>
        <v>0</v>
      </c>
      <c r="EE40" s="460">
        <f>SUM(EE35:EE39)</f>
        <v>0</v>
      </c>
      <c r="EF40" s="461">
        <f t="shared" si="340"/>
        <v>0</v>
      </c>
      <c r="EG40" s="460">
        <f>SUM(EG35:EG39)</f>
        <v>0</v>
      </c>
      <c r="EH40" s="460">
        <f t="shared" si="341"/>
        <v>0</v>
      </c>
      <c r="EI40" s="400">
        <f>SUM(EI35:EI39)</f>
        <v>0</v>
      </c>
      <c r="EJ40" s="551">
        <f>SUM(EJ35:EJ39)</f>
        <v>0</v>
      </c>
      <c r="EK40" s="460">
        <f t="shared" si="342"/>
        <v>0</v>
      </c>
      <c r="EL40" s="460">
        <f>SUM(EL35:EL39)</f>
        <v>0</v>
      </c>
      <c r="EM40" s="461">
        <f t="shared" si="343"/>
        <v>0</v>
      </c>
      <c r="EN40" s="460">
        <f>SUM(EN35:EN39)</f>
        <v>0</v>
      </c>
      <c r="EO40" s="460">
        <f t="shared" si="344"/>
        <v>0</v>
      </c>
      <c r="EP40" s="400">
        <f>SUM(EP35:EP39)</f>
        <v>0</v>
      </c>
      <c r="EQ40" s="551">
        <f>SUM(EQ35:EQ39)</f>
        <v>0</v>
      </c>
      <c r="ER40" s="460">
        <f t="shared" si="345"/>
        <v>0</v>
      </c>
      <c r="ES40" s="460">
        <f>SUM(ES35:ES39)</f>
        <v>0</v>
      </c>
      <c r="ET40" s="461">
        <f t="shared" si="346"/>
        <v>0</v>
      </c>
      <c r="EU40" s="460">
        <f>SUM(EU35:EU39)</f>
        <v>0</v>
      </c>
      <c r="EV40" s="460">
        <f t="shared" si="347"/>
        <v>0</v>
      </c>
      <c r="EW40" s="400">
        <f>SUM(EW35:EW39)</f>
        <v>0</v>
      </c>
    </row>
    <row r="41" spans="1:153" ht="10.199999999999999" customHeight="1">
      <c r="A41" s="48"/>
      <c r="B41" s="549"/>
      <c r="C41" s="549"/>
      <c r="D41" s="549"/>
      <c r="E41" s="549"/>
      <c r="F41" s="549"/>
      <c r="G41" s="549"/>
      <c r="H41" s="549"/>
      <c r="I41" s="549"/>
      <c r="J41" s="549"/>
      <c r="K41" s="549"/>
      <c r="L41" s="549"/>
      <c r="M41" s="549"/>
      <c r="N41" s="549"/>
      <c r="O41" s="549"/>
      <c r="P41" s="549"/>
      <c r="Q41" s="1099"/>
      <c r="R41" s="549"/>
      <c r="S41" s="549"/>
      <c r="T41" s="340"/>
      <c r="U41" s="549"/>
      <c r="V41" s="549"/>
      <c r="W41" s="549"/>
      <c r="X41" s="1099"/>
      <c r="Y41" s="549"/>
      <c r="Z41" s="549"/>
      <c r="AA41" s="340"/>
      <c r="AB41" s="549"/>
      <c r="AC41" s="549"/>
      <c r="AD41" s="549"/>
      <c r="AE41" s="1099"/>
      <c r="AF41" s="549"/>
      <c r="AG41" s="549"/>
      <c r="AH41" s="340"/>
      <c r="AI41" s="549"/>
      <c r="AJ41" s="549"/>
      <c r="AK41" s="549"/>
      <c r="AL41" s="1099"/>
      <c r="AM41" s="549"/>
      <c r="AN41" s="549"/>
      <c r="AO41" s="340"/>
      <c r="AP41" s="549"/>
      <c r="AQ41" s="549"/>
      <c r="AR41" s="549"/>
      <c r="AS41" s="1099"/>
      <c r="AT41" s="549"/>
      <c r="AU41" s="549"/>
      <c r="AV41" s="340"/>
      <c r="AW41" s="549"/>
      <c r="AX41" s="549"/>
      <c r="AY41" s="549"/>
      <c r="AZ41" s="1099"/>
      <c r="BA41" s="549"/>
      <c r="BB41" s="549"/>
      <c r="BC41" s="340"/>
      <c r="BD41" s="549"/>
      <c r="BE41" s="549"/>
      <c r="BF41" s="549"/>
      <c r="BG41" s="1099"/>
      <c r="BH41" s="549"/>
      <c r="BI41" s="549"/>
      <c r="BJ41" s="340"/>
      <c r="BK41" s="549"/>
      <c r="BL41" s="549"/>
      <c r="BM41" s="549"/>
      <c r="BN41" s="1099"/>
      <c r="BO41" s="549"/>
      <c r="BP41" s="549"/>
      <c r="BQ41" s="340"/>
      <c r="BR41" s="549"/>
      <c r="BS41" s="549"/>
      <c r="BT41" s="549"/>
      <c r="BU41" s="1099"/>
      <c r="BV41" s="549"/>
      <c r="BW41" s="549"/>
      <c r="BX41" s="340"/>
      <c r="BY41" s="549"/>
      <c r="BZ41" s="549"/>
      <c r="CA41" s="549"/>
      <c r="CB41" s="1099"/>
      <c r="CC41" s="549"/>
      <c r="CD41" s="549"/>
      <c r="CE41" s="340"/>
      <c r="CF41" s="549"/>
      <c r="CG41" s="549"/>
      <c r="CH41" s="549"/>
      <c r="CI41" s="1099"/>
      <c r="CJ41" s="549"/>
      <c r="CK41" s="549"/>
      <c r="CL41" s="340"/>
      <c r="CM41" s="549"/>
      <c r="CN41" s="549"/>
      <c r="CO41" s="549"/>
      <c r="CP41" s="1099"/>
      <c r="CQ41" s="549"/>
      <c r="CR41" s="549"/>
      <c r="CS41" s="340"/>
      <c r="CT41" s="549"/>
      <c r="CU41" s="549"/>
      <c r="CV41" s="549"/>
      <c r="CW41" s="1099"/>
      <c r="CX41" s="549"/>
      <c r="CY41" s="549"/>
      <c r="CZ41" s="340"/>
      <c r="DA41" s="549"/>
      <c r="DB41" s="549"/>
      <c r="DC41" s="549"/>
      <c r="DD41" s="1099"/>
      <c r="DE41" s="549"/>
      <c r="DF41" s="549"/>
      <c r="DG41" s="340"/>
      <c r="DH41" s="549"/>
      <c r="DI41" s="549"/>
      <c r="DJ41" s="549"/>
      <c r="DK41" s="1099"/>
      <c r="DL41" s="549"/>
      <c r="DM41" s="549"/>
      <c r="DN41" s="340"/>
      <c r="DO41" s="549"/>
      <c r="DP41" s="549"/>
      <c r="DQ41" s="549"/>
      <c r="DR41" s="1099"/>
      <c r="DS41" s="2010"/>
      <c r="DT41" s="549"/>
      <c r="DU41" s="340"/>
      <c r="DV41" s="549"/>
      <c r="DW41" s="549"/>
      <c r="DX41" s="549"/>
      <c r="DY41" s="1099"/>
      <c r="DZ41" s="549"/>
      <c r="EA41" s="549"/>
      <c r="EB41" s="340"/>
      <c r="EC41" s="549"/>
      <c r="ED41" s="549"/>
      <c r="EE41" s="549"/>
      <c r="EF41" s="1099"/>
      <c r="EG41" s="549"/>
      <c r="EH41" s="549"/>
      <c r="EI41" s="340"/>
      <c r="EJ41" s="549"/>
      <c r="EK41" s="549"/>
      <c r="EL41" s="549"/>
      <c r="EM41" s="1099"/>
      <c r="EN41" s="549"/>
      <c r="EO41" s="549"/>
      <c r="EP41" s="340"/>
      <c r="EQ41" s="549"/>
      <c r="ER41" s="549"/>
      <c r="ES41" s="549"/>
      <c r="ET41" s="1099"/>
      <c r="EU41" s="549"/>
      <c r="EV41" s="549"/>
      <c r="EW41" s="340"/>
    </row>
    <row r="42" spans="1:153" ht="10.199999999999999" customHeight="1">
      <c r="A42" s="48" t="s">
        <v>481</v>
      </c>
      <c r="B42" s="549"/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49"/>
      <c r="N42" s="549"/>
      <c r="O42" s="549"/>
      <c r="P42" s="549"/>
      <c r="Q42" s="1099"/>
      <c r="R42" s="549"/>
      <c r="S42" s="549"/>
      <c r="T42" s="340"/>
      <c r="U42" s="549"/>
      <c r="V42" s="549"/>
      <c r="W42" s="549"/>
      <c r="X42" s="1099"/>
      <c r="Y42" s="549"/>
      <c r="Z42" s="549"/>
      <c r="AA42" s="340"/>
      <c r="AB42" s="549"/>
      <c r="AC42" s="549"/>
      <c r="AD42" s="549"/>
      <c r="AE42" s="1099"/>
      <c r="AF42" s="549"/>
      <c r="AG42" s="549"/>
      <c r="AH42" s="340"/>
      <c r="AI42" s="549"/>
      <c r="AJ42" s="549"/>
      <c r="AK42" s="549"/>
      <c r="AL42" s="1099"/>
      <c r="AM42" s="549"/>
      <c r="AN42" s="549"/>
      <c r="AO42" s="340"/>
      <c r="AP42" s="549"/>
      <c r="AQ42" s="549"/>
      <c r="AR42" s="549"/>
      <c r="AS42" s="1099"/>
      <c r="AT42" s="549"/>
      <c r="AU42" s="549"/>
      <c r="AV42" s="340"/>
      <c r="AW42" s="549"/>
      <c r="AX42" s="549"/>
      <c r="AY42" s="549"/>
      <c r="AZ42" s="1099"/>
      <c r="BA42" s="549"/>
      <c r="BB42" s="549"/>
      <c r="BC42" s="340"/>
      <c r="BD42" s="549"/>
      <c r="BE42" s="549"/>
      <c r="BF42" s="549"/>
      <c r="BG42" s="1099"/>
      <c r="BH42" s="549"/>
      <c r="BI42" s="549"/>
      <c r="BJ42" s="340"/>
      <c r="BK42" s="549"/>
      <c r="BL42" s="549"/>
      <c r="BM42" s="549"/>
      <c r="BN42" s="1099"/>
      <c r="BO42" s="549"/>
      <c r="BP42" s="549"/>
      <c r="BQ42" s="340"/>
      <c r="BR42" s="549"/>
      <c r="BS42" s="549"/>
      <c r="BT42" s="549"/>
      <c r="BU42" s="1099"/>
      <c r="BV42" s="549"/>
      <c r="BW42" s="549"/>
      <c r="BX42" s="340"/>
      <c r="BY42" s="549"/>
      <c r="BZ42" s="549"/>
      <c r="CA42" s="549"/>
      <c r="CB42" s="1099"/>
      <c r="CC42" s="549"/>
      <c r="CD42" s="549"/>
      <c r="CE42" s="340"/>
      <c r="CF42" s="549"/>
      <c r="CG42" s="549"/>
      <c r="CH42" s="549"/>
      <c r="CI42" s="1099"/>
      <c r="CJ42" s="549"/>
      <c r="CK42" s="549"/>
      <c r="CL42" s="340"/>
      <c r="CM42" s="549"/>
      <c r="CN42" s="549"/>
      <c r="CO42" s="549"/>
      <c r="CP42" s="1099"/>
      <c r="CQ42" s="549"/>
      <c r="CR42" s="549"/>
      <c r="CS42" s="340"/>
      <c r="CT42" s="549"/>
      <c r="CU42" s="549"/>
      <c r="CV42" s="549"/>
      <c r="CW42" s="1099"/>
      <c r="CX42" s="549"/>
      <c r="CY42" s="549"/>
      <c r="CZ42" s="340"/>
      <c r="DA42" s="549"/>
      <c r="DB42" s="549"/>
      <c r="DC42" s="549"/>
      <c r="DD42" s="1099"/>
      <c r="DE42" s="549"/>
      <c r="DF42" s="549"/>
      <c r="DG42" s="340"/>
      <c r="DH42" s="549"/>
      <c r="DI42" s="549"/>
      <c r="DJ42" s="549"/>
      <c r="DK42" s="1099"/>
      <c r="DL42" s="549"/>
      <c r="DM42" s="549"/>
      <c r="DN42" s="340"/>
      <c r="DO42" s="549"/>
      <c r="DP42" s="549"/>
      <c r="DQ42" s="549"/>
      <c r="DR42" s="1099"/>
      <c r="DS42" s="2010"/>
      <c r="DT42" s="549"/>
      <c r="DU42" s="340"/>
      <c r="DV42" s="549"/>
      <c r="DW42" s="549"/>
      <c r="DX42" s="549"/>
      <c r="DY42" s="1099"/>
      <c r="DZ42" s="549"/>
      <c r="EA42" s="549"/>
      <c r="EB42" s="340"/>
      <c r="EC42" s="549"/>
      <c r="ED42" s="549"/>
      <c r="EE42" s="549"/>
      <c r="EF42" s="1099"/>
      <c r="EG42" s="549"/>
      <c r="EH42" s="549"/>
      <c r="EI42" s="340"/>
      <c r="EJ42" s="549"/>
      <c r="EK42" s="549"/>
      <c r="EL42" s="549"/>
      <c r="EM42" s="1099"/>
      <c r="EN42" s="549"/>
      <c r="EO42" s="549"/>
      <c r="EP42" s="340"/>
      <c r="EQ42" s="549"/>
      <c r="ER42" s="549"/>
      <c r="ES42" s="549"/>
      <c r="ET42" s="1099"/>
      <c r="EU42" s="549"/>
      <c r="EV42" s="549"/>
      <c r="EW42" s="340"/>
    </row>
    <row r="43" spans="1:153" ht="10.199999999999999" customHeight="1">
      <c r="A43" s="108" t="s">
        <v>323</v>
      </c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197">
        <f t="shared" ref="N43:S43" si="385">N51-N26</f>
        <v>-145</v>
      </c>
      <c r="O43" s="197">
        <f t="shared" si="385"/>
        <v>9</v>
      </c>
      <c r="P43" s="197">
        <f t="shared" si="385"/>
        <v>-53</v>
      </c>
      <c r="Q43" s="688">
        <f t="shared" si="385"/>
        <v>-432</v>
      </c>
      <c r="R43" s="197">
        <f t="shared" si="385"/>
        <v>-136</v>
      </c>
      <c r="S43" s="197">
        <f t="shared" si="385"/>
        <v>-485</v>
      </c>
      <c r="T43" s="1278">
        <f t="shared" ref="T43:CD43" si="386">T51-T26</f>
        <v>-621</v>
      </c>
      <c r="U43" s="197">
        <f t="shared" si="386"/>
        <v>19</v>
      </c>
      <c r="V43" s="197">
        <f t="shared" si="386"/>
        <v>51</v>
      </c>
      <c r="W43" s="197">
        <f t="shared" si="386"/>
        <v>-77</v>
      </c>
      <c r="X43" s="688">
        <f t="shared" si="386"/>
        <v>149</v>
      </c>
      <c r="Y43" s="197">
        <f t="shared" si="386"/>
        <v>70</v>
      </c>
      <c r="Z43" s="197">
        <f t="shared" si="386"/>
        <v>72</v>
      </c>
      <c r="AA43" s="1278">
        <f t="shared" si="386"/>
        <v>142</v>
      </c>
      <c r="AB43" s="197">
        <f t="shared" si="386"/>
        <v>-150</v>
      </c>
      <c r="AC43" s="197">
        <f t="shared" si="386"/>
        <v>41</v>
      </c>
      <c r="AD43" s="197">
        <f t="shared" si="386"/>
        <v>-215</v>
      </c>
      <c r="AE43" s="688">
        <f t="shared" si="386"/>
        <v>-155</v>
      </c>
      <c r="AF43" s="197">
        <f t="shared" si="386"/>
        <v>-109</v>
      </c>
      <c r="AG43" s="197">
        <f t="shared" si="386"/>
        <v>-370</v>
      </c>
      <c r="AH43" s="1278">
        <f t="shared" si="386"/>
        <v>-479</v>
      </c>
      <c r="AI43" s="197">
        <f t="shared" si="386"/>
        <v>-117</v>
      </c>
      <c r="AJ43" s="197">
        <f t="shared" si="386"/>
        <v>-732</v>
      </c>
      <c r="AK43" s="197">
        <f t="shared" si="386"/>
        <v>-214</v>
      </c>
      <c r="AL43" s="688">
        <f t="shared" si="386"/>
        <v>-205</v>
      </c>
      <c r="AM43" s="197">
        <f t="shared" si="386"/>
        <v>-849</v>
      </c>
      <c r="AN43" s="197">
        <f t="shared" si="386"/>
        <v>-419</v>
      </c>
      <c r="AO43" s="1278">
        <f t="shared" si="386"/>
        <v>-1268</v>
      </c>
      <c r="AP43" s="197">
        <f t="shared" ref="AP43:AS43" si="387">AP51-AP26</f>
        <v>55</v>
      </c>
      <c r="AQ43" s="197">
        <f t="shared" si="387"/>
        <v>69</v>
      </c>
      <c r="AR43" s="197">
        <f t="shared" si="387"/>
        <v>-151</v>
      </c>
      <c r="AS43" s="688">
        <f t="shared" si="387"/>
        <v>-99</v>
      </c>
      <c r="AT43" s="197">
        <f t="shared" ref="AT43:AU43" si="388">AT51-AT26</f>
        <v>124</v>
      </c>
      <c r="AU43" s="197">
        <f t="shared" si="388"/>
        <v>-250</v>
      </c>
      <c r="AV43" s="1278">
        <f t="shared" si="386"/>
        <v>-126</v>
      </c>
      <c r="AW43" s="197">
        <f t="shared" si="386"/>
        <v>55</v>
      </c>
      <c r="AX43" s="197">
        <f t="shared" si="386"/>
        <v>69</v>
      </c>
      <c r="AY43" s="197">
        <f t="shared" si="386"/>
        <v>-151</v>
      </c>
      <c r="AZ43" s="688">
        <f t="shared" si="386"/>
        <v>-99</v>
      </c>
      <c r="BA43" s="197">
        <f t="shared" si="386"/>
        <v>124</v>
      </c>
      <c r="BB43" s="197">
        <f t="shared" si="386"/>
        <v>-250</v>
      </c>
      <c r="BC43" s="1278">
        <f t="shared" si="386"/>
        <v>-126</v>
      </c>
      <c r="BD43" s="197">
        <f t="shared" si="386"/>
        <v>39</v>
      </c>
      <c r="BE43" s="197">
        <f t="shared" si="386"/>
        <v>-133</v>
      </c>
      <c r="BF43" s="197">
        <f t="shared" si="386"/>
        <v>-8</v>
      </c>
      <c r="BG43" s="688">
        <f t="shared" si="386"/>
        <v>-411</v>
      </c>
      <c r="BH43" s="197">
        <f t="shared" si="386"/>
        <v>-94</v>
      </c>
      <c r="BI43" s="197">
        <f t="shared" si="386"/>
        <v>-419</v>
      </c>
      <c r="BJ43" s="1278">
        <f t="shared" si="386"/>
        <v>-513</v>
      </c>
      <c r="BK43" s="197">
        <f t="shared" ref="BK43:BP43" si="389">BK51-BK26</f>
        <v>-144</v>
      </c>
      <c r="BL43" s="197">
        <f t="shared" si="389"/>
        <v>-43</v>
      </c>
      <c r="BM43" s="197">
        <f t="shared" si="389"/>
        <v>-241</v>
      </c>
      <c r="BN43" s="688">
        <f t="shared" si="389"/>
        <v>-3725</v>
      </c>
      <c r="BO43" s="197">
        <f t="shared" si="389"/>
        <v>-187</v>
      </c>
      <c r="BP43" s="197">
        <f t="shared" si="389"/>
        <v>-3966</v>
      </c>
      <c r="BQ43" s="1278">
        <f t="shared" si="386"/>
        <v>-4153</v>
      </c>
      <c r="BR43" s="197">
        <f t="shared" si="386"/>
        <v>-144</v>
      </c>
      <c r="BS43" s="197">
        <f t="shared" si="386"/>
        <v>-43</v>
      </c>
      <c r="BT43" s="197">
        <f t="shared" si="386"/>
        <v>-241</v>
      </c>
      <c r="BU43" s="688">
        <f t="shared" si="386"/>
        <v>-3725</v>
      </c>
      <c r="BV43" s="197">
        <f t="shared" si="386"/>
        <v>-187</v>
      </c>
      <c r="BW43" s="197">
        <f t="shared" si="386"/>
        <v>-3966</v>
      </c>
      <c r="BX43" s="1278">
        <f t="shared" si="386"/>
        <v>-4153</v>
      </c>
      <c r="BY43" s="197">
        <f t="shared" si="386"/>
        <v>-134</v>
      </c>
      <c r="BZ43" s="197">
        <f t="shared" si="386"/>
        <v>-367</v>
      </c>
      <c r="CA43" s="197">
        <f t="shared" si="386"/>
        <v>-1257</v>
      </c>
      <c r="CB43" s="688">
        <f t="shared" si="386"/>
        <v>-190</v>
      </c>
      <c r="CC43" s="197">
        <f t="shared" si="386"/>
        <v>-501</v>
      </c>
      <c r="CD43" s="197">
        <f t="shared" si="386"/>
        <v>-1447</v>
      </c>
      <c r="CE43" s="1278">
        <f t="shared" ref="CE43:CS45" si="390">CE51-CE26</f>
        <v>-1948</v>
      </c>
      <c r="CF43" s="197">
        <f t="shared" ref="CF43:CK43" si="391">CF51-CF26</f>
        <v>-190</v>
      </c>
      <c r="CG43" s="197">
        <f t="shared" si="391"/>
        <v>286</v>
      </c>
      <c r="CH43" s="197">
        <f t="shared" si="391"/>
        <v>54</v>
      </c>
      <c r="CI43" s="688">
        <f t="shared" si="391"/>
        <v>455</v>
      </c>
      <c r="CJ43" s="197">
        <f t="shared" si="391"/>
        <v>96</v>
      </c>
      <c r="CK43" s="197">
        <f t="shared" si="391"/>
        <v>509</v>
      </c>
      <c r="CL43" s="1278">
        <f t="shared" si="390"/>
        <v>605</v>
      </c>
      <c r="CM43" s="197">
        <f t="shared" si="390"/>
        <v>177</v>
      </c>
      <c r="CN43" s="197">
        <f t="shared" si="390"/>
        <v>25</v>
      </c>
      <c r="CO43" s="197">
        <f t="shared" si="390"/>
        <v>164</v>
      </c>
      <c r="CP43" s="688">
        <f t="shared" si="390"/>
        <v>-166</v>
      </c>
      <c r="CQ43" s="197">
        <f t="shared" si="390"/>
        <v>202</v>
      </c>
      <c r="CR43" s="197">
        <f t="shared" si="390"/>
        <v>-2</v>
      </c>
      <c r="CS43" s="1278">
        <f t="shared" si="390"/>
        <v>200</v>
      </c>
      <c r="CT43" s="197">
        <f t="shared" ref="CT43:CZ43" si="392">CT51-CT26</f>
        <v>-383</v>
      </c>
      <c r="CU43" s="197">
        <f t="shared" si="392"/>
        <v>-350</v>
      </c>
      <c r="CV43" s="197">
        <f t="shared" ref="CV43" si="393">CV51-CV26</f>
        <v>-177</v>
      </c>
      <c r="CW43" s="688">
        <f t="shared" si="392"/>
        <v>-298</v>
      </c>
      <c r="CX43" s="197">
        <f t="shared" ref="CX43" si="394">CX51-CX26</f>
        <v>-733</v>
      </c>
      <c r="CY43" s="197">
        <f t="shared" si="392"/>
        <v>-475</v>
      </c>
      <c r="CZ43" s="1278">
        <f t="shared" si="392"/>
        <v>-1208</v>
      </c>
      <c r="DA43" s="197">
        <f t="shared" ref="DA43:DD45" si="395">DA51-DA26</f>
        <v>-7</v>
      </c>
      <c r="DB43" s="197">
        <f t="shared" si="395"/>
        <v>25</v>
      </c>
      <c r="DC43" s="197">
        <f t="shared" si="395"/>
        <v>-170</v>
      </c>
      <c r="DD43" s="688">
        <f t="shared" si="395"/>
        <v>192</v>
      </c>
      <c r="DE43" s="197">
        <f t="shared" ref="DE43:DG45" si="396">DE51-DE26</f>
        <v>18</v>
      </c>
      <c r="DF43" s="197">
        <f t="shared" si="396"/>
        <v>22</v>
      </c>
      <c r="DG43" s="1278">
        <f t="shared" si="396"/>
        <v>40</v>
      </c>
      <c r="DH43" s="197">
        <f t="shared" ref="DH43:DN43" si="397">DH51-DH26</f>
        <v>-43</v>
      </c>
      <c r="DI43" s="197">
        <f t="shared" si="397"/>
        <v>-440</v>
      </c>
      <c r="DJ43" s="197">
        <f t="shared" si="397"/>
        <v>-231</v>
      </c>
      <c r="DK43" s="688">
        <f t="shared" si="397"/>
        <v>-201</v>
      </c>
      <c r="DL43" s="197">
        <f t="shared" si="397"/>
        <v>-483</v>
      </c>
      <c r="DM43" s="197">
        <f t="shared" si="397"/>
        <v>-432</v>
      </c>
      <c r="DN43" s="1278">
        <f t="shared" si="397"/>
        <v>-915</v>
      </c>
      <c r="DO43" s="530">
        <f t="shared" ref="DO43:DP43" si="398">DO51-DO26</f>
        <v>-80</v>
      </c>
      <c r="DP43" s="197">
        <f t="shared" si="398"/>
        <v>43</v>
      </c>
      <c r="DQ43" s="322">
        <f t="shared" ref="DQ43:DU43" si="399">DQ51-DQ26</f>
        <v>-50</v>
      </c>
      <c r="DR43" s="430">
        <f t="shared" si="399"/>
        <v>-100</v>
      </c>
      <c r="DS43" s="2023">
        <f t="shared" si="399"/>
        <v>-37</v>
      </c>
      <c r="DT43" s="322">
        <f t="shared" si="399"/>
        <v>-150.00000000000091</v>
      </c>
      <c r="DU43" s="385">
        <f t="shared" si="399"/>
        <v>-187</v>
      </c>
      <c r="DV43" s="322">
        <f t="shared" ref="DV43:EB43" si="400">DV51-DV26</f>
        <v>0</v>
      </c>
      <c r="DW43" s="322">
        <f t="shared" si="400"/>
        <v>0</v>
      </c>
      <c r="DX43" s="322">
        <f t="shared" si="400"/>
        <v>0</v>
      </c>
      <c r="DY43" s="430">
        <f t="shared" si="400"/>
        <v>1.8189894035458565E-12</v>
      </c>
      <c r="DZ43" s="322">
        <f t="shared" si="400"/>
        <v>0</v>
      </c>
      <c r="EA43" s="322">
        <f t="shared" si="400"/>
        <v>0</v>
      </c>
      <c r="EB43" s="385">
        <f t="shared" si="400"/>
        <v>0</v>
      </c>
      <c r="EC43" s="322">
        <f t="shared" ref="EC43:EI43" si="401">EC51-EC26</f>
        <v>0</v>
      </c>
      <c r="ED43" s="322">
        <f t="shared" si="401"/>
        <v>0</v>
      </c>
      <c r="EE43" s="322">
        <f t="shared" si="401"/>
        <v>0</v>
      </c>
      <c r="EF43" s="430">
        <f t="shared" si="401"/>
        <v>0</v>
      </c>
      <c r="EG43" s="322">
        <f t="shared" si="401"/>
        <v>0</v>
      </c>
      <c r="EH43" s="322">
        <f t="shared" si="401"/>
        <v>0</v>
      </c>
      <c r="EI43" s="385">
        <f t="shared" si="401"/>
        <v>0</v>
      </c>
      <c r="EJ43" s="322">
        <f t="shared" ref="EJ43:EP43" si="402">EJ51-EJ26</f>
        <v>0</v>
      </c>
      <c r="EK43" s="322">
        <f t="shared" si="402"/>
        <v>0</v>
      </c>
      <c r="EL43" s="322">
        <f t="shared" si="402"/>
        <v>0</v>
      </c>
      <c r="EM43" s="430">
        <f t="shared" si="402"/>
        <v>0</v>
      </c>
      <c r="EN43" s="322">
        <f t="shared" si="402"/>
        <v>0</v>
      </c>
      <c r="EO43" s="322">
        <f t="shared" si="402"/>
        <v>0</v>
      </c>
      <c r="EP43" s="385">
        <f t="shared" si="402"/>
        <v>0</v>
      </c>
      <c r="EQ43" s="322">
        <f t="shared" ref="EQ43:EW43" si="403">EQ51-EQ26</f>
        <v>0</v>
      </c>
      <c r="ER43" s="322">
        <f t="shared" si="403"/>
        <v>0</v>
      </c>
      <c r="ES43" s="322">
        <f t="shared" si="403"/>
        <v>0</v>
      </c>
      <c r="ET43" s="430">
        <f t="shared" si="403"/>
        <v>0</v>
      </c>
      <c r="EU43" s="322">
        <f t="shared" si="403"/>
        <v>0</v>
      </c>
      <c r="EV43" s="322">
        <f t="shared" si="403"/>
        <v>0</v>
      </c>
      <c r="EW43" s="385">
        <f t="shared" si="403"/>
        <v>0</v>
      </c>
    </row>
    <row r="44" spans="1:153" ht="10.199999999999999" customHeight="1">
      <c r="A44" s="108" t="s">
        <v>325</v>
      </c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197">
        <f t="shared" ref="N44:S44" si="404">N52-N27</f>
        <v>0</v>
      </c>
      <c r="O44" s="197">
        <f t="shared" si="404"/>
        <v>0</v>
      </c>
      <c r="P44" s="197">
        <f t="shared" si="404"/>
        <v>0</v>
      </c>
      <c r="Q44" s="688">
        <f t="shared" si="404"/>
        <v>0</v>
      </c>
      <c r="R44" s="197">
        <f t="shared" si="404"/>
        <v>0</v>
      </c>
      <c r="S44" s="197">
        <f t="shared" si="404"/>
        <v>0</v>
      </c>
      <c r="T44" s="1278">
        <f t="shared" ref="T44:CD44" si="405">T52-T27</f>
        <v>0</v>
      </c>
      <c r="U44" s="197">
        <f t="shared" si="405"/>
        <v>0</v>
      </c>
      <c r="V44" s="197">
        <f t="shared" si="405"/>
        <v>0</v>
      </c>
      <c r="W44" s="197">
        <f t="shared" si="405"/>
        <v>0</v>
      </c>
      <c r="X44" s="688">
        <f t="shared" si="405"/>
        <v>0</v>
      </c>
      <c r="Y44" s="197">
        <f t="shared" si="405"/>
        <v>0</v>
      </c>
      <c r="Z44" s="197">
        <f t="shared" si="405"/>
        <v>0</v>
      </c>
      <c r="AA44" s="1278">
        <f t="shared" si="405"/>
        <v>0</v>
      </c>
      <c r="AB44" s="197">
        <f t="shared" si="405"/>
        <v>0</v>
      </c>
      <c r="AC44" s="197">
        <f t="shared" si="405"/>
        <v>0</v>
      </c>
      <c r="AD44" s="197">
        <f t="shared" si="405"/>
        <v>0</v>
      </c>
      <c r="AE44" s="688">
        <f t="shared" si="405"/>
        <v>0</v>
      </c>
      <c r="AF44" s="197">
        <f t="shared" si="405"/>
        <v>0</v>
      </c>
      <c r="AG44" s="197">
        <f t="shared" si="405"/>
        <v>0</v>
      </c>
      <c r="AH44" s="1278">
        <f t="shared" si="405"/>
        <v>0</v>
      </c>
      <c r="AI44" s="197">
        <f t="shared" si="405"/>
        <v>0</v>
      </c>
      <c r="AJ44" s="197">
        <f t="shared" si="405"/>
        <v>0</v>
      </c>
      <c r="AK44" s="197">
        <f t="shared" si="405"/>
        <v>0</v>
      </c>
      <c r="AL44" s="688">
        <f t="shared" si="405"/>
        <v>-42</v>
      </c>
      <c r="AM44" s="197">
        <f t="shared" si="405"/>
        <v>0</v>
      </c>
      <c r="AN44" s="197">
        <f t="shared" si="405"/>
        <v>-42</v>
      </c>
      <c r="AO44" s="1278">
        <f t="shared" si="405"/>
        <v>-42</v>
      </c>
      <c r="AP44" s="197">
        <f t="shared" ref="AP44:AS44" si="406">AP52-AP27</f>
        <v>0</v>
      </c>
      <c r="AQ44" s="197">
        <f t="shared" si="406"/>
        <v>0</v>
      </c>
      <c r="AR44" s="197">
        <f t="shared" si="406"/>
        <v>0</v>
      </c>
      <c r="AS44" s="688">
        <f t="shared" si="406"/>
        <v>0</v>
      </c>
      <c r="AT44" s="197">
        <f t="shared" ref="AT44:AU44" si="407">AT52-AT27</f>
        <v>0</v>
      </c>
      <c r="AU44" s="197">
        <f t="shared" si="407"/>
        <v>0</v>
      </c>
      <c r="AV44" s="1278">
        <f t="shared" si="405"/>
        <v>0</v>
      </c>
      <c r="AW44" s="197">
        <f t="shared" si="405"/>
        <v>0</v>
      </c>
      <c r="AX44" s="197">
        <f t="shared" si="405"/>
        <v>0</v>
      </c>
      <c r="AY44" s="197">
        <f t="shared" si="405"/>
        <v>0</v>
      </c>
      <c r="AZ44" s="688">
        <f t="shared" si="405"/>
        <v>0</v>
      </c>
      <c r="BA44" s="197">
        <f t="shared" si="405"/>
        <v>0</v>
      </c>
      <c r="BB44" s="197">
        <f t="shared" si="405"/>
        <v>0</v>
      </c>
      <c r="BC44" s="1278">
        <f t="shared" si="405"/>
        <v>0</v>
      </c>
      <c r="BD44" s="197">
        <f t="shared" si="405"/>
        <v>-7</v>
      </c>
      <c r="BE44" s="197">
        <f t="shared" si="405"/>
        <v>-14</v>
      </c>
      <c r="BF44" s="197">
        <f t="shared" si="405"/>
        <v>-2</v>
      </c>
      <c r="BG44" s="688">
        <f t="shared" si="405"/>
        <v>9</v>
      </c>
      <c r="BH44" s="197">
        <f t="shared" si="405"/>
        <v>-21</v>
      </c>
      <c r="BI44" s="197">
        <f t="shared" si="405"/>
        <v>7</v>
      </c>
      <c r="BJ44" s="1278">
        <f t="shared" si="405"/>
        <v>-14</v>
      </c>
      <c r="BK44" s="197">
        <f t="shared" ref="BK44:BP44" si="408">BK52-BK27</f>
        <v>-6</v>
      </c>
      <c r="BL44" s="197">
        <f t="shared" si="408"/>
        <v>5</v>
      </c>
      <c r="BM44" s="197">
        <f t="shared" si="408"/>
        <v>-1</v>
      </c>
      <c r="BN44" s="688">
        <f t="shared" si="408"/>
        <v>-6</v>
      </c>
      <c r="BO44" s="197">
        <f t="shared" si="408"/>
        <v>-1</v>
      </c>
      <c r="BP44" s="197">
        <f t="shared" si="408"/>
        <v>-7</v>
      </c>
      <c r="BQ44" s="1278">
        <f t="shared" si="405"/>
        <v>-8</v>
      </c>
      <c r="BR44" s="197">
        <f t="shared" si="405"/>
        <v>-6</v>
      </c>
      <c r="BS44" s="197">
        <f t="shared" si="405"/>
        <v>5</v>
      </c>
      <c r="BT44" s="197">
        <f t="shared" si="405"/>
        <v>-1</v>
      </c>
      <c r="BU44" s="688">
        <f t="shared" si="405"/>
        <v>-6</v>
      </c>
      <c r="BV44" s="197">
        <f t="shared" si="405"/>
        <v>-1</v>
      </c>
      <c r="BW44" s="197">
        <f t="shared" si="405"/>
        <v>-7</v>
      </c>
      <c r="BX44" s="1278">
        <f t="shared" si="405"/>
        <v>-8</v>
      </c>
      <c r="BY44" s="197">
        <f t="shared" si="405"/>
        <v>-106</v>
      </c>
      <c r="BZ44" s="197">
        <f t="shared" si="405"/>
        <v>0</v>
      </c>
      <c r="CA44" s="197">
        <f t="shared" si="405"/>
        <v>0</v>
      </c>
      <c r="CB44" s="688">
        <f t="shared" si="405"/>
        <v>90</v>
      </c>
      <c r="CC44" s="197">
        <f t="shared" si="405"/>
        <v>-106</v>
      </c>
      <c r="CD44" s="197">
        <f t="shared" si="405"/>
        <v>90</v>
      </c>
      <c r="CE44" s="1278">
        <f t="shared" si="390"/>
        <v>-16</v>
      </c>
      <c r="CF44" s="197">
        <f t="shared" ref="CF44:CK44" si="409">CF52-CF27</f>
        <v>0</v>
      </c>
      <c r="CG44" s="197">
        <f t="shared" si="409"/>
        <v>0</v>
      </c>
      <c r="CH44" s="197">
        <f t="shared" si="409"/>
        <v>-2</v>
      </c>
      <c r="CI44" s="688">
        <f t="shared" si="409"/>
        <v>2</v>
      </c>
      <c r="CJ44" s="197">
        <f t="shared" si="409"/>
        <v>0</v>
      </c>
      <c r="CK44" s="197">
        <f t="shared" si="409"/>
        <v>0</v>
      </c>
      <c r="CL44" s="1278">
        <f t="shared" si="390"/>
        <v>0</v>
      </c>
      <c r="CM44" s="197">
        <f t="shared" si="390"/>
        <v>0</v>
      </c>
      <c r="CN44" s="197">
        <f t="shared" si="390"/>
        <v>0</v>
      </c>
      <c r="CO44" s="197">
        <f t="shared" si="390"/>
        <v>0</v>
      </c>
      <c r="CP44" s="688">
        <f t="shared" si="390"/>
        <v>0</v>
      </c>
      <c r="CQ44" s="197">
        <f t="shared" si="390"/>
        <v>0</v>
      </c>
      <c r="CR44" s="197">
        <f t="shared" si="390"/>
        <v>0</v>
      </c>
      <c r="CS44" s="1278">
        <f t="shared" si="390"/>
        <v>0</v>
      </c>
      <c r="CT44" s="197">
        <f t="shared" ref="CT44:CZ44" si="410">CT52-CT27</f>
        <v>0</v>
      </c>
      <c r="CU44" s="197">
        <f t="shared" si="410"/>
        <v>-7</v>
      </c>
      <c r="CV44" s="197">
        <f t="shared" ref="CV44" si="411">CV52-CV27</f>
        <v>0</v>
      </c>
      <c r="CW44" s="688">
        <f t="shared" si="410"/>
        <v>-11</v>
      </c>
      <c r="CX44" s="197">
        <f t="shared" ref="CX44" si="412">CX52-CX27</f>
        <v>-7</v>
      </c>
      <c r="CY44" s="197">
        <f t="shared" si="410"/>
        <v>-11</v>
      </c>
      <c r="CZ44" s="1278">
        <f t="shared" si="410"/>
        <v>-18</v>
      </c>
      <c r="DA44" s="197">
        <f t="shared" ref="DA44:DB44" si="413">DA52-DA27</f>
        <v>0</v>
      </c>
      <c r="DB44" s="197">
        <f t="shared" si="413"/>
        <v>0</v>
      </c>
      <c r="DC44" s="197">
        <f t="shared" si="395"/>
        <v>0</v>
      </c>
      <c r="DD44" s="688">
        <f t="shared" si="395"/>
        <v>0</v>
      </c>
      <c r="DE44" s="197">
        <f t="shared" si="396"/>
        <v>0</v>
      </c>
      <c r="DF44" s="197">
        <f t="shared" si="396"/>
        <v>0</v>
      </c>
      <c r="DG44" s="1278">
        <f t="shared" si="396"/>
        <v>0</v>
      </c>
      <c r="DH44" s="197">
        <f t="shared" ref="DH44:DN44" si="414">DH52-DH27</f>
        <v>0</v>
      </c>
      <c r="DI44" s="197">
        <f t="shared" si="414"/>
        <v>0</v>
      </c>
      <c r="DJ44" s="197">
        <f t="shared" si="414"/>
        <v>0</v>
      </c>
      <c r="DK44" s="688">
        <f t="shared" si="414"/>
        <v>28</v>
      </c>
      <c r="DL44" s="197">
        <f t="shared" si="414"/>
        <v>0</v>
      </c>
      <c r="DM44" s="197">
        <f t="shared" si="414"/>
        <v>28</v>
      </c>
      <c r="DN44" s="1278">
        <f t="shared" si="414"/>
        <v>28</v>
      </c>
      <c r="DO44" s="530">
        <f t="shared" ref="DO44:DP44" si="415">DO52-DO27</f>
        <v>0</v>
      </c>
      <c r="DP44" s="197">
        <f t="shared" si="415"/>
        <v>0</v>
      </c>
      <c r="DQ44" s="322">
        <f t="shared" ref="DQ44:DU45" si="416">DQ52-DQ27</f>
        <v>0</v>
      </c>
      <c r="DR44" s="430">
        <f t="shared" si="416"/>
        <v>0</v>
      </c>
      <c r="DS44" s="2023">
        <f t="shared" si="416"/>
        <v>0</v>
      </c>
      <c r="DT44" s="322">
        <f t="shared" si="416"/>
        <v>0</v>
      </c>
      <c r="DU44" s="385">
        <f t="shared" si="416"/>
        <v>0</v>
      </c>
      <c r="DV44" s="322">
        <f t="shared" ref="DV44:EB44" si="417">DV52-DV27</f>
        <v>0</v>
      </c>
      <c r="DW44" s="322">
        <f t="shared" si="417"/>
        <v>0</v>
      </c>
      <c r="DX44" s="322">
        <f t="shared" si="417"/>
        <v>0</v>
      </c>
      <c r="DY44" s="430">
        <f t="shared" si="417"/>
        <v>0</v>
      </c>
      <c r="DZ44" s="322">
        <f t="shared" si="417"/>
        <v>0</v>
      </c>
      <c r="EA44" s="322">
        <f t="shared" si="417"/>
        <v>0</v>
      </c>
      <c r="EB44" s="385">
        <f t="shared" si="417"/>
        <v>0</v>
      </c>
      <c r="EC44" s="322">
        <f t="shared" ref="EC44:EI44" si="418">EC52-EC27</f>
        <v>0</v>
      </c>
      <c r="ED44" s="322">
        <f t="shared" si="418"/>
        <v>0</v>
      </c>
      <c r="EE44" s="322">
        <f t="shared" si="418"/>
        <v>0</v>
      </c>
      <c r="EF44" s="430">
        <f t="shared" si="418"/>
        <v>0</v>
      </c>
      <c r="EG44" s="322">
        <f t="shared" si="418"/>
        <v>0</v>
      </c>
      <c r="EH44" s="322">
        <f t="shared" si="418"/>
        <v>0</v>
      </c>
      <c r="EI44" s="385">
        <f t="shared" si="418"/>
        <v>0</v>
      </c>
      <c r="EJ44" s="322">
        <f t="shared" ref="EJ44:EP44" si="419">EJ52-EJ27</f>
        <v>0</v>
      </c>
      <c r="EK44" s="322">
        <f t="shared" si="419"/>
        <v>0</v>
      </c>
      <c r="EL44" s="322">
        <f t="shared" si="419"/>
        <v>0</v>
      </c>
      <c r="EM44" s="430">
        <f t="shared" si="419"/>
        <v>0</v>
      </c>
      <c r="EN44" s="322">
        <f t="shared" si="419"/>
        <v>0</v>
      </c>
      <c r="EO44" s="322">
        <f t="shared" si="419"/>
        <v>0</v>
      </c>
      <c r="EP44" s="385">
        <f t="shared" si="419"/>
        <v>0</v>
      </c>
      <c r="EQ44" s="322">
        <f t="shared" ref="EQ44:EW44" si="420">EQ52-EQ27</f>
        <v>0</v>
      </c>
      <c r="ER44" s="322">
        <f t="shared" si="420"/>
        <v>0</v>
      </c>
      <c r="ES44" s="322">
        <f t="shared" si="420"/>
        <v>0</v>
      </c>
      <c r="ET44" s="430">
        <f t="shared" si="420"/>
        <v>0</v>
      </c>
      <c r="EU44" s="322">
        <f t="shared" si="420"/>
        <v>0</v>
      </c>
      <c r="EV44" s="322">
        <f t="shared" si="420"/>
        <v>0</v>
      </c>
      <c r="EW44" s="385">
        <f t="shared" si="420"/>
        <v>0</v>
      </c>
    </row>
    <row r="45" spans="1:153" ht="10.199999999999999" customHeight="1">
      <c r="A45" s="108" t="s">
        <v>324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197">
        <f t="shared" ref="N45:S45" si="421">N53-N28</f>
        <v>0</v>
      </c>
      <c r="O45" s="197">
        <f t="shared" si="421"/>
        <v>0</v>
      </c>
      <c r="P45" s="197">
        <f t="shared" si="421"/>
        <v>0</v>
      </c>
      <c r="Q45" s="688">
        <f t="shared" si="421"/>
        <v>-252</v>
      </c>
      <c r="R45" s="197">
        <f t="shared" si="421"/>
        <v>0</v>
      </c>
      <c r="S45" s="197">
        <f t="shared" si="421"/>
        <v>-252</v>
      </c>
      <c r="T45" s="1278">
        <f t="shared" ref="T45:CD45" si="422">T53-T28</f>
        <v>-252</v>
      </c>
      <c r="U45" s="197">
        <f t="shared" si="422"/>
        <v>0</v>
      </c>
      <c r="V45" s="197">
        <f t="shared" si="422"/>
        <v>0</v>
      </c>
      <c r="W45" s="197">
        <f t="shared" si="422"/>
        <v>0</v>
      </c>
      <c r="X45" s="688">
        <f t="shared" si="422"/>
        <v>-511</v>
      </c>
      <c r="Y45" s="197">
        <f t="shared" si="422"/>
        <v>0</v>
      </c>
      <c r="Z45" s="197">
        <f t="shared" si="422"/>
        <v>-511</v>
      </c>
      <c r="AA45" s="1278">
        <f t="shared" si="422"/>
        <v>-511</v>
      </c>
      <c r="AB45" s="197">
        <f t="shared" si="422"/>
        <v>43</v>
      </c>
      <c r="AC45" s="197">
        <f t="shared" si="422"/>
        <v>-336</v>
      </c>
      <c r="AD45" s="197">
        <f t="shared" si="422"/>
        <v>11</v>
      </c>
      <c r="AE45" s="688">
        <f t="shared" si="422"/>
        <v>-33</v>
      </c>
      <c r="AF45" s="197">
        <f t="shared" si="422"/>
        <v>-293</v>
      </c>
      <c r="AG45" s="197">
        <f t="shared" si="422"/>
        <v>-22</v>
      </c>
      <c r="AH45" s="1278">
        <f t="shared" si="422"/>
        <v>-315</v>
      </c>
      <c r="AI45" s="197">
        <f t="shared" si="422"/>
        <v>-19</v>
      </c>
      <c r="AJ45" s="197">
        <f t="shared" si="422"/>
        <v>172</v>
      </c>
      <c r="AK45" s="197">
        <f t="shared" si="422"/>
        <v>-10</v>
      </c>
      <c r="AL45" s="688">
        <f t="shared" si="422"/>
        <v>-1238</v>
      </c>
      <c r="AM45" s="197">
        <f t="shared" si="422"/>
        <v>153</v>
      </c>
      <c r="AN45" s="197">
        <f t="shared" si="422"/>
        <v>-1248</v>
      </c>
      <c r="AO45" s="1278">
        <f t="shared" si="422"/>
        <v>-1095</v>
      </c>
      <c r="AP45" s="197">
        <f t="shared" ref="AP45:AS45" si="423">AP53-AP28</f>
        <v>557</v>
      </c>
      <c r="AQ45" s="197">
        <f t="shared" si="423"/>
        <v>11</v>
      </c>
      <c r="AR45" s="197">
        <f t="shared" si="423"/>
        <v>-25</v>
      </c>
      <c r="AS45" s="688">
        <f t="shared" si="423"/>
        <v>-1203</v>
      </c>
      <c r="AT45" s="197">
        <f t="shared" ref="AT45:AU45" si="424">AT53-AT28</f>
        <v>568</v>
      </c>
      <c r="AU45" s="197">
        <f t="shared" si="424"/>
        <v>-1228</v>
      </c>
      <c r="AV45" s="1278">
        <f t="shared" si="422"/>
        <v>-660</v>
      </c>
      <c r="AW45" s="197">
        <f t="shared" si="422"/>
        <v>539</v>
      </c>
      <c r="AX45" s="197">
        <f t="shared" si="422"/>
        <v>-5</v>
      </c>
      <c r="AY45" s="197">
        <f t="shared" si="422"/>
        <v>-42</v>
      </c>
      <c r="AZ45" s="688">
        <f t="shared" si="422"/>
        <v>-845</v>
      </c>
      <c r="BA45" s="197">
        <f t="shared" si="422"/>
        <v>534</v>
      </c>
      <c r="BB45" s="197">
        <f t="shared" si="422"/>
        <v>-887</v>
      </c>
      <c r="BC45" s="1278">
        <f t="shared" si="422"/>
        <v>-353</v>
      </c>
      <c r="BD45" s="197">
        <f t="shared" si="422"/>
        <v>153</v>
      </c>
      <c r="BE45" s="197">
        <f t="shared" si="422"/>
        <v>-80</v>
      </c>
      <c r="BF45" s="197">
        <f t="shared" si="422"/>
        <v>-3</v>
      </c>
      <c r="BG45" s="688">
        <f t="shared" si="422"/>
        <v>-329</v>
      </c>
      <c r="BH45" s="197">
        <f t="shared" si="422"/>
        <v>73</v>
      </c>
      <c r="BI45" s="197">
        <f t="shared" si="422"/>
        <v>-332</v>
      </c>
      <c r="BJ45" s="1278">
        <f t="shared" si="422"/>
        <v>-259</v>
      </c>
      <c r="BK45" s="197">
        <f t="shared" ref="BK45:BP45" si="425">BK53-BK28</f>
        <v>-218</v>
      </c>
      <c r="BL45" s="197">
        <f t="shared" si="425"/>
        <v>-30</v>
      </c>
      <c r="BM45" s="197">
        <f t="shared" si="425"/>
        <v>-24</v>
      </c>
      <c r="BN45" s="688">
        <f t="shared" si="425"/>
        <v>-1174</v>
      </c>
      <c r="BO45" s="197">
        <f t="shared" si="425"/>
        <v>-248</v>
      </c>
      <c r="BP45" s="197">
        <f t="shared" si="425"/>
        <v>-1198</v>
      </c>
      <c r="BQ45" s="1278">
        <f t="shared" si="422"/>
        <v>-1446</v>
      </c>
      <c r="BR45" s="197">
        <f t="shared" si="422"/>
        <v>-218</v>
      </c>
      <c r="BS45" s="197">
        <f t="shared" si="422"/>
        <v>-30</v>
      </c>
      <c r="BT45" s="197">
        <f t="shared" si="422"/>
        <v>-24</v>
      </c>
      <c r="BU45" s="688">
        <f t="shared" si="422"/>
        <v>-1174</v>
      </c>
      <c r="BV45" s="197">
        <f t="shared" si="422"/>
        <v>-248</v>
      </c>
      <c r="BW45" s="197">
        <f t="shared" si="422"/>
        <v>-1198</v>
      </c>
      <c r="BX45" s="1278">
        <f t="shared" si="422"/>
        <v>-1446</v>
      </c>
      <c r="BY45" s="197">
        <f t="shared" si="422"/>
        <v>38</v>
      </c>
      <c r="BZ45" s="197">
        <f t="shared" si="422"/>
        <v>-45</v>
      </c>
      <c r="CA45" s="197">
        <f t="shared" si="422"/>
        <v>-189</v>
      </c>
      <c r="CB45" s="688">
        <f t="shared" si="422"/>
        <v>-56</v>
      </c>
      <c r="CC45" s="197">
        <f t="shared" si="422"/>
        <v>-7</v>
      </c>
      <c r="CD45" s="197">
        <f t="shared" si="422"/>
        <v>-245</v>
      </c>
      <c r="CE45" s="1278">
        <f t="shared" si="390"/>
        <v>-252</v>
      </c>
      <c r="CF45" s="197">
        <f t="shared" ref="CF45:CK45" si="426">CF53-CF28</f>
        <v>-42</v>
      </c>
      <c r="CG45" s="197">
        <f t="shared" si="426"/>
        <v>-30</v>
      </c>
      <c r="CH45" s="197">
        <f t="shared" si="426"/>
        <v>-8</v>
      </c>
      <c r="CI45" s="688">
        <f t="shared" si="426"/>
        <v>-48</v>
      </c>
      <c r="CJ45" s="197">
        <f t="shared" si="426"/>
        <v>-72</v>
      </c>
      <c r="CK45" s="197">
        <f t="shared" si="426"/>
        <v>-56</v>
      </c>
      <c r="CL45" s="1278">
        <f t="shared" si="390"/>
        <v>-128</v>
      </c>
      <c r="CM45" s="197">
        <f t="shared" si="390"/>
        <v>-11</v>
      </c>
      <c r="CN45" s="197">
        <f t="shared" si="390"/>
        <v>-257</v>
      </c>
      <c r="CO45" s="197">
        <f t="shared" si="390"/>
        <v>-27</v>
      </c>
      <c r="CP45" s="688">
        <f t="shared" si="390"/>
        <v>-207</v>
      </c>
      <c r="CQ45" s="197">
        <f t="shared" si="390"/>
        <v>-268</v>
      </c>
      <c r="CR45" s="197">
        <f t="shared" si="390"/>
        <v>-234</v>
      </c>
      <c r="CS45" s="1278">
        <f t="shared" si="390"/>
        <v>-502</v>
      </c>
      <c r="CT45" s="197">
        <f t="shared" ref="CT45:CZ45" si="427">CT53-CT28</f>
        <v>0</v>
      </c>
      <c r="CU45" s="197">
        <f t="shared" si="427"/>
        <v>9</v>
      </c>
      <c r="CV45" s="197">
        <f t="shared" ref="CV45" si="428">CV53-CV28</f>
        <v>-11</v>
      </c>
      <c r="CW45" s="688">
        <f t="shared" si="427"/>
        <v>-7</v>
      </c>
      <c r="CX45" s="197">
        <f t="shared" ref="CX45" si="429">CX53-CX28</f>
        <v>9</v>
      </c>
      <c r="CY45" s="197">
        <f t="shared" si="427"/>
        <v>-18</v>
      </c>
      <c r="CZ45" s="1278">
        <f t="shared" si="427"/>
        <v>-9</v>
      </c>
      <c r="DA45" s="197">
        <f t="shared" ref="DA45:DB45" si="430">DA53-DA28</f>
        <v>39</v>
      </c>
      <c r="DB45" s="197">
        <f t="shared" si="430"/>
        <v>8</v>
      </c>
      <c r="DC45" s="197">
        <f t="shared" si="395"/>
        <v>-3</v>
      </c>
      <c r="DD45" s="688">
        <f t="shared" si="395"/>
        <v>-134</v>
      </c>
      <c r="DE45" s="197">
        <f t="shared" si="396"/>
        <v>47</v>
      </c>
      <c r="DF45" s="197">
        <f t="shared" si="396"/>
        <v>-137</v>
      </c>
      <c r="DG45" s="1278">
        <f t="shared" si="396"/>
        <v>-90</v>
      </c>
      <c r="DH45" s="197">
        <f t="shared" ref="DH45:DN45" si="431">DH53-DH28</f>
        <v>-108</v>
      </c>
      <c r="DI45" s="197">
        <f t="shared" si="431"/>
        <v>4</v>
      </c>
      <c r="DJ45" s="197">
        <f t="shared" si="431"/>
        <v>37</v>
      </c>
      <c r="DK45" s="688">
        <f t="shared" si="431"/>
        <v>-92</v>
      </c>
      <c r="DL45" s="197">
        <f t="shared" si="431"/>
        <v>-104</v>
      </c>
      <c r="DM45" s="197">
        <f t="shared" si="431"/>
        <v>-55</v>
      </c>
      <c r="DN45" s="1278">
        <f t="shared" si="431"/>
        <v>-159</v>
      </c>
      <c r="DO45" s="530">
        <f t="shared" ref="DO45:DP45" si="432">DO53-DO28</f>
        <v>4</v>
      </c>
      <c r="DP45" s="197">
        <f t="shared" si="432"/>
        <v>51</v>
      </c>
      <c r="DQ45" s="322">
        <f t="shared" ref="DQ45:DT45" si="433">DQ53-DQ28</f>
        <v>0</v>
      </c>
      <c r="DR45" s="430">
        <f t="shared" si="433"/>
        <v>0</v>
      </c>
      <c r="DS45" s="2009">
        <f t="shared" si="433"/>
        <v>55</v>
      </c>
      <c r="DT45" s="322">
        <f t="shared" si="433"/>
        <v>0</v>
      </c>
      <c r="DU45" s="592">
        <f t="shared" si="416"/>
        <v>55</v>
      </c>
      <c r="DV45" s="322">
        <f t="shared" ref="DV45:EB45" si="434">DV53-DV28</f>
        <v>0</v>
      </c>
      <c r="DW45" s="322">
        <f t="shared" si="434"/>
        <v>0</v>
      </c>
      <c r="DX45" s="322">
        <f t="shared" si="434"/>
        <v>0</v>
      </c>
      <c r="DY45" s="430">
        <f t="shared" si="434"/>
        <v>0</v>
      </c>
      <c r="DZ45" s="322">
        <f t="shared" si="434"/>
        <v>0</v>
      </c>
      <c r="EA45" s="322">
        <f t="shared" si="434"/>
        <v>0</v>
      </c>
      <c r="EB45" s="385">
        <f t="shared" si="434"/>
        <v>0</v>
      </c>
      <c r="EC45" s="322">
        <f t="shared" ref="EC45:EI45" si="435">EC53-EC28</f>
        <v>0</v>
      </c>
      <c r="ED45" s="322">
        <f t="shared" si="435"/>
        <v>0</v>
      </c>
      <c r="EE45" s="322">
        <f t="shared" si="435"/>
        <v>0</v>
      </c>
      <c r="EF45" s="430">
        <f t="shared" si="435"/>
        <v>0</v>
      </c>
      <c r="EG45" s="322">
        <f t="shared" si="435"/>
        <v>0</v>
      </c>
      <c r="EH45" s="322">
        <f t="shared" si="435"/>
        <v>0</v>
      </c>
      <c r="EI45" s="385">
        <f t="shared" si="435"/>
        <v>0</v>
      </c>
      <c r="EJ45" s="322">
        <f t="shared" ref="EJ45:EP45" si="436">EJ53-EJ28</f>
        <v>0</v>
      </c>
      <c r="EK45" s="322">
        <f t="shared" si="436"/>
        <v>0</v>
      </c>
      <c r="EL45" s="322">
        <f t="shared" si="436"/>
        <v>0</v>
      </c>
      <c r="EM45" s="430">
        <f t="shared" si="436"/>
        <v>0</v>
      </c>
      <c r="EN45" s="322">
        <f t="shared" si="436"/>
        <v>0</v>
      </c>
      <c r="EO45" s="322">
        <f t="shared" si="436"/>
        <v>0</v>
      </c>
      <c r="EP45" s="385">
        <f t="shared" si="436"/>
        <v>0</v>
      </c>
      <c r="EQ45" s="322">
        <f t="shared" ref="EQ45:EW45" si="437">EQ53-EQ28</f>
        <v>0</v>
      </c>
      <c r="ER45" s="322">
        <f t="shared" si="437"/>
        <v>0</v>
      </c>
      <c r="ES45" s="322">
        <f t="shared" si="437"/>
        <v>0</v>
      </c>
      <c r="ET45" s="430">
        <f t="shared" si="437"/>
        <v>0</v>
      </c>
      <c r="EU45" s="322">
        <f t="shared" si="437"/>
        <v>0</v>
      </c>
      <c r="EV45" s="322">
        <f t="shared" si="437"/>
        <v>0</v>
      </c>
      <c r="EW45" s="385">
        <f t="shared" si="437"/>
        <v>0</v>
      </c>
    </row>
    <row r="46" spans="1:153" ht="10.199999999999999" customHeight="1">
      <c r="A46" s="48" t="s">
        <v>182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49"/>
      <c r="L46" s="549"/>
      <c r="M46" s="549"/>
      <c r="N46" s="111">
        <f t="shared" ref="N46:S46" si="438">N43+N45+N44</f>
        <v>-145</v>
      </c>
      <c r="O46" s="111">
        <f t="shared" si="438"/>
        <v>9</v>
      </c>
      <c r="P46" s="111">
        <f t="shared" si="438"/>
        <v>-53</v>
      </c>
      <c r="Q46" s="682">
        <f t="shared" si="438"/>
        <v>-684</v>
      </c>
      <c r="R46" s="111">
        <f t="shared" si="438"/>
        <v>-136</v>
      </c>
      <c r="S46" s="111">
        <f t="shared" si="438"/>
        <v>-737</v>
      </c>
      <c r="T46" s="1273">
        <f t="shared" ref="T46:DT46" si="439">T43+T45+T44</f>
        <v>-873</v>
      </c>
      <c r="U46" s="111">
        <f t="shared" ref="U46:Z46" si="440">U43+U45+U44</f>
        <v>19</v>
      </c>
      <c r="V46" s="111">
        <f t="shared" si="440"/>
        <v>51</v>
      </c>
      <c r="W46" s="111">
        <f t="shared" si="440"/>
        <v>-77</v>
      </c>
      <c r="X46" s="682">
        <f t="shared" si="440"/>
        <v>-362</v>
      </c>
      <c r="Y46" s="111">
        <f t="shared" si="440"/>
        <v>70</v>
      </c>
      <c r="Z46" s="111">
        <f t="shared" si="440"/>
        <v>-439</v>
      </c>
      <c r="AA46" s="1273">
        <f t="shared" si="439"/>
        <v>-369</v>
      </c>
      <c r="AB46" s="111">
        <f t="shared" ref="AB46:AG46" si="441">AB43+AB45+AB44</f>
        <v>-107</v>
      </c>
      <c r="AC46" s="111">
        <f t="shared" si="441"/>
        <v>-295</v>
      </c>
      <c r="AD46" s="111">
        <f t="shared" si="441"/>
        <v>-204</v>
      </c>
      <c r="AE46" s="682">
        <f t="shared" si="441"/>
        <v>-188</v>
      </c>
      <c r="AF46" s="111">
        <f t="shared" si="441"/>
        <v>-402</v>
      </c>
      <c r="AG46" s="111">
        <f t="shared" si="441"/>
        <v>-392</v>
      </c>
      <c r="AH46" s="1273">
        <f t="shared" si="439"/>
        <v>-794</v>
      </c>
      <c r="AI46" s="111">
        <f t="shared" ref="AI46:AN46" si="442">AI43+AI45+AI44</f>
        <v>-136</v>
      </c>
      <c r="AJ46" s="111">
        <f t="shared" si="442"/>
        <v>-560</v>
      </c>
      <c r="AK46" s="111">
        <f t="shared" si="442"/>
        <v>-224</v>
      </c>
      <c r="AL46" s="682">
        <f t="shared" si="442"/>
        <v>-1485</v>
      </c>
      <c r="AM46" s="111">
        <f t="shared" si="442"/>
        <v>-696</v>
      </c>
      <c r="AN46" s="111">
        <f t="shared" si="442"/>
        <v>-1709</v>
      </c>
      <c r="AO46" s="1273">
        <f t="shared" si="439"/>
        <v>-2405</v>
      </c>
      <c r="AP46" s="111">
        <f t="shared" si="439"/>
        <v>612</v>
      </c>
      <c r="AQ46" s="111">
        <f t="shared" si="439"/>
        <v>80</v>
      </c>
      <c r="AR46" s="111">
        <f t="shared" si="439"/>
        <v>-176</v>
      </c>
      <c r="AS46" s="682">
        <f t="shared" si="439"/>
        <v>-1302</v>
      </c>
      <c r="AT46" s="111">
        <f t="shared" ref="AT46:AU46" si="443">AT43+AT45+AT44</f>
        <v>692</v>
      </c>
      <c r="AU46" s="111">
        <f t="shared" si="443"/>
        <v>-1478</v>
      </c>
      <c r="AV46" s="1273">
        <f t="shared" si="439"/>
        <v>-786</v>
      </c>
      <c r="AW46" s="111">
        <f t="shared" ref="AW46:BB46" si="444">AW43+AW45+AW44</f>
        <v>594</v>
      </c>
      <c r="AX46" s="111">
        <f t="shared" si="444"/>
        <v>64</v>
      </c>
      <c r="AY46" s="111">
        <f t="shared" si="444"/>
        <v>-193</v>
      </c>
      <c r="AZ46" s="682">
        <f t="shared" si="444"/>
        <v>-944</v>
      </c>
      <c r="BA46" s="111">
        <f t="shared" si="444"/>
        <v>658</v>
      </c>
      <c r="BB46" s="111">
        <f t="shared" si="444"/>
        <v>-1137</v>
      </c>
      <c r="BC46" s="1273">
        <f t="shared" si="439"/>
        <v>-479</v>
      </c>
      <c r="BD46" s="111">
        <f t="shared" ref="BD46:BI46" si="445">BD43+BD45+BD44</f>
        <v>185</v>
      </c>
      <c r="BE46" s="111">
        <f t="shared" si="445"/>
        <v>-227</v>
      </c>
      <c r="BF46" s="111">
        <f t="shared" si="445"/>
        <v>-13</v>
      </c>
      <c r="BG46" s="682">
        <f t="shared" si="445"/>
        <v>-731</v>
      </c>
      <c r="BH46" s="111">
        <f t="shared" si="445"/>
        <v>-42</v>
      </c>
      <c r="BI46" s="111">
        <f t="shared" si="445"/>
        <v>-744</v>
      </c>
      <c r="BJ46" s="1273">
        <f t="shared" si="439"/>
        <v>-786</v>
      </c>
      <c r="BK46" s="111">
        <f t="shared" si="439"/>
        <v>-368</v>
      </c>
      <c r="BL46" s="111">
        <f t="shared" si="439"/>
        <v>-68</v>
      </c>
      <c r="BM46" s="111">
        <f t="shared" si="439"/>
        <v>-266</v>
      </c>
      <c r="BN46" s="682">
        <f t="shared" si="439"/>
        <v>-4905</v>
      </c>
      <c r="BO46" s="111">
        <f t="shared" si="439"/>
        <v>-436</v>
      </c>
      <c r="BP46" s="111">
        <f t="shared" si="439"/>
        <v>-5171</v>
      </c>
      <c r="BQ46" s="1273">
        <f t="shared" si="439"/>
        <v>-5607</v>
      </c>
      <c r="BR46" s="111">
        <f t="shared" ref="BR46:BW46" si="446">BR43+BR45+BR44</f>
        <v>-368</v>
      </c>
      <c r="BS46" s="111">
        <f t="shared" si="446"/>
        <v>-68</v>
      </c>
      <c r="BT46" s="111">
        <f t="shared" si="446"/>
        <v>-266</v>
      </c>
      <c r="BU46" s="682">
        <f t="shared" si="446"/>
        <v>-4905</v>
      </c>
      <c r="BV46" s="111">
        <f t="shared" si="446"/>
        <v>-436</v>
      </c>
      <c r="BW46" s="111">
        <f t="shared" si="446"/>
        <v>-5171</v>
      </c>
      <c r="BX46" s="1273">
        <f t="shared" si="439"/>
        <v>-5607</v>
      </c>
      <c r="BY46" s="111">
        <f t="shared" ref="BY46:CD46" si="447">BY43+BY45+BY44</f>
        <v>-202</v>
      </c>
      <c r="BZ46" s="111">
        <f t="shared" si="447"/>
        <v>-412</v>
      </c>
      <c r="CA46" s="111">
        <f t="shared" si="447"/>
        <v>-1446</v>
      </c>
      <c r="CB46" s="682">
        <f t="shared" si="447"/>
        <v>-156</v>
      </c>
      <c r="CC46" s="111">
        <f t="shared" si="447"/>
        <v>-614</v>
      </c>
      <c r="CD46" s="111">
        <f t="shared" si="447"/>
        <v>-1602</v>
      </c>
      <c r="CE46" s="1273">
        <f t="shared" si="439"/>
        <v>-2216</v>
      </c>
      <c r="CF46" s="111">
        <f t="shared" ref="CF46:CK46" si="448">CF43+CF45+CF44</f>
        <v>-232</v>
      </c>
      <c r="CG46" s="111">
        <f t="shared" si="448"/>
        <v>256</v>
      </c>
      <c r="CH46" s="111">
        <f t="shared" si="448"/>
        <v>44</v>
      </c>
      <c r="CI46" s="682">
        <f t="shared" si="448"/>
        <v>409</v>
      </c>
      <c r="CJ46" s="111">
        <f t="shared" si="448"/>
        <v>24</v>
      </c>
      <c r="CK46" s="111">
        <f t="shared" si="448"/>
        <v>453</v>
      </c>
      <c r="CL46" s="1273">
        <f t="shared" si="439"/>
        <v>477</v>
      </c>
      <c r="CM46" s="111">
        <f t="shared" si="439"/>
        <v>166</v>
      </c>
      <c r="CN46" s="111">
        <f t="shared" si="439"/>
        <v>-232</v>
      </c>
      <c r="CO46" s="111">
        <f t="shared" si="439"/>
        <v>137</v>
      </c>
      <c r="CP46" s="682">
        <f t="shared" si="439"/>
        <v>-373</v>
      </c>
      <c r="CQ46" s="111">
        <f t="shared" si="439"/>
        <v>-66</v>
      </c>
      <c r="CR46" s="111">
        <f t="shared" si="439"/>
        <v>-236</v>
      </c>
      <c r="CS46" s="1273">
        <f t="shared" si="439"/>
        <v>-302</v>
      </c>
      <c r="CT46" s="111">
        <f t="shared" ref="CT46:CZ46" si="449">CT43+CT45+CT44</f>
        <v>-383</v>
      </c>
      <c r="CU46" s="111">
        <f t="shared" si="449"/>
        <v>-348</v>
      </c>
      <c r="CV46" s="111">
        <f t="shared" ref="CV46" si="450">CV43+CV45+CV44</f>
        <v>-188</v>
      </c>
      <c r="CW46" s="682">
        <f t="shared" si="449"/>
        <v>-316</v>
      </c>
      <c r="CX46" s="111">
        <f t="shared" ref="CX46" si="451">CX43+CX45+CX44</f>
        <v>-731</v>
      </c>
      <c r="CY46" s="111">
        <f t="shared" si="449"/>
        <v>-504</v>
      </c>
      <c r="CZ46" s="1273">
        <f t="shared" si="449"/>
        <v>-1235</v>
      </c>
      <c r="DA46" s="111">
        <f t="shared" ref="DA46:DD46" si="452">DA43+DA45+DA44</f>
        <v>32</v>
      </c>
      <c r="DB46" s="111">
        <f t="shared" si="452"/>
        <v>33</v>
      </c>
      <c r="DC46" s="111">
        <f t="shared" si="452"/>
        <v>-173</v>
      </c>
      <c r="DD46" s="682">
        <f t="shared" si="452"/>
        <v>58</v>
      </c>
      <c r="DE46" s="111">
        <f t="shared" si="439"/>
        <v>65</v>
      </c>
      <c r="DF46" s="111">
        <f t="shared" si="439"/>
        <v>-115</v>
      </c>
      <c r="DG46" s="1273">
        <f t="shared" si="439"/>
        <v>-50</v>
      </c>
      <c r="DH46" s="111">
        <f t="shared" ref="DH46:DN46" si="453">DH43+DH45+DH44</f>
        <v>-151</v>
      </c>
      <c r="DI46" s="111">
        <f t="shared" si="453"/>
        <v>-436</v>
      </c>
      <c r="DJ46" s="111">
        <f t="shared" si="453"/>
        <v>-194</v>
      </c>
      <c r="DK46" s="682">
        <f t="shared" si="453"/>
        <v>-265</v>
      </c>
      <c r="DL46" s="111">
        <f>DL43+DL45+DL44</f>
        <v>-587</v>
      </c>
      <c r="DM46" s="111">
        <f t="shared" ref="DM46" si="454">DM43+DM45+DM44</f>
        <v>-459</v>
      </c>
      <c r="DN46" s="1273">
        <f t="shared" si="453"/>
        <v>-1046</v>
      </c>
      <c r="DO46" s="549">
        <f t="shared" ref="DO46:DP46" si="455">DO43+DO45+DO44</f>
        <v>-76</v>
      </c>
      <c r="DP46" s="111">
        <f t="shared" si="455"/>
        <v>94</v>
      </c>
      <c r="DQ46" s="401">
        <f t="shared" si="439"/>
        <v>-50</v>
      </c>
      <c r="DR46" s="431">
        <f t="shared" si="439"/>
        <v>-100</v>
      </c>
      <c r="DS46" s="2024">
        <f>DS43+DS45+DS44</f>
        <v>18</v>
      </c>
      <c r="DT46" s="401">
        <f t="shared" si="439"/>
        <v>-150.00000000000091</v>
      </c>
      <c r="DU46" s="400">
        <f t="shared" ref="DU46:EA46" si="456">DU43+DU45+DU44</f>
        <v>-132</v>
      </c>
      <c r="DV46" s="401">
        <f t="shared" si="456"/>
        <v>0</v>
      </c>
      <c r="DW46" s="401">
        <f t="shared" si="456"/>
        <v>0</v>
      </c>
      <c r="DX46" s="401">
        <f t="shared" si="456"/>
        <v>0</v>
      </c>
      <c r="DY46" s="431">
        <f t="shared" si="456"/>
        <v>1.8189894035458565E-12</v>
      </c>
      <c r="DZ46" s="401">
        <f t="shared" si="456"/>
        <v>0</v>
      </c>
      <c r="EA46" s="401">
        <f t="shared" si="456"/>
        <v>0</v>
      </c>
      <c r="EB46" s="400">
        <f t="shared" ref="EB46:EH46" si="457">EB43+EB45+EB44</f>
        <v>0</v>
      </c>
      <c r="EC46" s="401">
        <f t="shared" si="457"/>
        <v>0</v>
      </c>
      <c r="ED46" s="401">
        <f t="shared" si="457"/>
        <v>0</v>
      </c>
      <c r="EE46" s="401">
        <f t="shared" si="457"/>
        <v>0</v>
      </c>
      <c r="EF46" s="431">
        <f t="shared" si="457"/>
        <v>0</v>
      </c>
      <c r="EG46" s="401">
        <f t="shared" si="457"/>
        <v>0</v>
      </c>
      <c r="EH46" s="401">
        <f t="shared" si="457"/>
        <v>0</v>
      </c>
      <c r="EI46" s="400">
        <f t="shared" ref="EI46:EO46" si="458">EI43+EI45+EI44</f>
        <v>0</v>
      </c>
      <c r="EJ46" s="401">
        <f t="shared" si="458"/>
        <v>0</v>
      </c>
      <c r="EK46" s="401">
        <f t="shared" si="458"/>
        <v>0</v>
      </c>
      <c r="EL46" s="401">
        <f t="shared" si="458"/>
        <v>0</v>
      </c>
      <c r="EM46" s="431">
        <f t="shared" si="458"/>
        <v>0</v>
      </c>
      <c r="EN46" s="401">
        <f t="shared" si="458"/>
        <v>0</v>
      </c>
      <c r="EO46" s="401">
        <f t="shared" si="458"/>
        <v>0</v>
      </c>
      <c r="EP46" s="400">
        <f t="shared" ref="EP46:EV46" si="459">EP43+EP45+EP44</f>
        <v>0</v>
      </c>
      <c r="EQ46" s="401">
        <f t="shared" si="459"/>
        <v>0</v>
      </c>
      <c r="ER46" s="401">
        <f t="shared" si="459"/>
        <v>0</v>
      </c>
      <c r="ES46" s="401">
        <f t="shared" si="459"/>
        <v>0</v>
      </c>
      <c r="ET46" s="431">
        <f t="shared" si="459"/>
        <v>0</v>
      </c>
      <c r="EU46" s="401">
        <f t="shared" si="459"/>
        <v>0</v>
      </c>
      <c r="EV46" s="401">
        <f t="shared" si="459"/>
        <v>0</v>
      </c>
      <c r="EW46" s="400">
        <f>EW43+EW45+EW44</f>
        <v>0</v>
      </c>
    </row>
    <row r="47" spans="1:153" ht="10.199999999999999" customHeight="1">
      <c r="A47" s="108" t="s">
        <v>326</v>
      </c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111">
        <f>N59-N30</f>
        <v>0</v>
      </c>
      <c r="O47" s="111">
        <f>R47-N47</f>
        <v>0</v>
      </c>
      <c r="P47" s="111">
        <f>P59-P30</f>
        <v>0</v>
      </c>
      <c r="Q47" s="682">
        <f>S47-P47</f>
        <v>-40</v>
      </c>
      <c r="R47" s="111">
        <f>R59-R30</f>
        <v>0</v>
      </c>
      <c r="S47" s="111">
        <f>T47-R47</f>
        <v>-40</v>
      </c>
      <c r="T47" s="1278">
        <f t="shared" ref="T47:BX47" si="460">T59-T30</f>
        <v>-40</v>
      </c>
      <c r="U47" s="111">
        <f>U59-U30</f>
        <v>0</v>
      </c>
      <c r="V47" s="111">
        <f>Y47-U47</f>
        <v>0</v>
      </c>
      <c r="W47" s="111">
        <f>W59-W30</f>
        <v>0</v>
      </c>
      <c r="X47" s="682">
        <f>Z47-W47</f>
        <v>343</v>
      </c>
      <c r="Y47" s="111">
        <f>Y59-Y30</f>
        <v>0</v>
      </c>
      <c r="Z47" s="111">
        <f>AA47-Y47</f>
        <v>343</v>
      </c>
      <c r="AA47" s="1278">
        <f t="shared" si="460"/>
        <v>343</v>
      </c>
      <c r="AB47" s="111">
        <f>AB59-AB30</f>
        <v>697</v>
      </c>
      <c r="AC47" s="111">
        <f>AF47-AB47</f>
        <v>51</v>
      </c>
      <c r="AD47" s="111">
        <f>AD59-AD30</f>
        <v>0</v>
      </c>
      <c r="AE47" s="682">
        <f>AG47-AD47</f>
        <v>0</v>
      </c>
      <c r="AF47" s="111">
        <f>AF59-AF30</f>
        <v>748</v>
      </c>
      <c r="AG47" s="111">
        <f>AH47-AF47</f>
        <v>0</v>
      </c>
      <c r="AH47" s="1278">
        <f t="shared" si="460"/>
        <v>748</v>
      </c>
      <c r="AI47" s="111">
        <f>AI59-AI30</f>
        <v>0</v>
      </c>
      <c r="AJ47" s="111">
        <f>AM47-AI47</f>
        <v>868</v>
      </c>
      <c r="AK47" s="111">
        <f>AK59-AK30</f>
        <v>0</v>
      </c>
      <c r="AL47" s="682">
        <f>AN47-AK47</f>
        <v>-160</v>
      </c>
      <c r="AM47" s="111">
        <f>AM59-AM30</f>
        <v>868</v>
      </c>
      <c r="AN47" s="111">
        <f>AO47-AM47</f>
        <v>-160</v>
      </c>
      <c r="AO47" s="1278">
        <f t="shared" si="460"/>
        <v>708</v>
      </c>
      <c r="AP47" s="111">
        <f>AP59-AP30</f>
        <v>0</v>
      </c>
      <c r="AQ47" s="111">
        <f>AT47-AP47</f>
        <v>0</v>
      </c>
      <c r="AR47" s="111">
        <f>AR59-AR30</f>
        <v>0</v>
      </c>
      <c r="AS47" s="682">
        <f>AU47-AR47</f>
        <v>-46</v>
      </c>
      <c r="AT47" s="111">
        <f>AT59-AT30</f>
        <v>0</v>
      </c>
      <c r="AU47" s="111">
        <f>AV47-AT47</f>
        <v>-46</v>
      </c>
      <c r="AV47" s="1278">
        <f t="shared" si="460"/>
        <v>-46</v>
      </c>
      <c r="AW47" s="111">
        <f>AW59-AW30</f>
        <v>0</v>
      </c>
      <c r="AX47" s="111">
        <f>BA47-AW47</f>
        <v>0</v>
      </c>
      <c r="AY47" s="111">
        <f>AY59-AY30</f>
        <v>0</v>
      </c>
      <c r="AZ47" s="682">
        <f>BB47-AY47</f>
        <v>-46</v>
      </c>
      <c r="BA47" s="111">
        <f>BA59-BA30</f>
        <v>0</v>
      </c>
      <c r="BB47" s="111">
        <f>BC47-BA47</f>
        <v>-46</v>
      </c>
      <c r="BC47" s="1278">
        <f t="shared" si="460"/>
        <v>-46</v>
      </c>
      <c r="BD47" s="111">
        <f>BD59-BD30</f>
        <v>0</v>
      </c>
      <c r="BE47" s="111">
        <f>BH47-BD47</f>
        <v>0</v>
      </c>
      <c r="BF47" s="111">
        <f>BF59-BF30</f>
        <v>0</v>
      </c>
      <c r="BG47" s="682">
        <f>BI47-BF47</f>
        <v>0</v>
      </c>
      <c r="BH47" s="111">
        <f>BH59-BH30</f>
        <v>0</v>
      </c>
      <c r="BI47" s="111">
        <f>BJ47-BH47</f>
        <v>0</v>
      </c>
      <c r="BJ47" s="1278">
        <f t="shared" si="460"/>
        <v>0</v>
      </c>
      <c r="BK47" s="111">
        <f>BK59-BK30</f>
        <v>0</v>
      </c>
      <c r="BL47" s="111">
        <f>BO47-BK47</f>
        <v>0</v>
      </c>
      <c r="BM47" s="111">
        <f>BM59-BM30</f>
        <v>0</v>
      </c>
      <c r="BN47" s="682">
        <f>BP47-BM47</f>
        <v>0</v>
      </c>
      <c r="BO47" s="111">
        <f>BO59-BO30</f>
        <v>0</v>
      </c>
      <c r="BP47" s="111">
        <f>BQ47-BO47</f>
        <v>0</v>
      </c>
      <c r="BQ47" s="1278">
        <f t="shared" si="460"/>
        <v>0</v>
      </c>
      <c r="BR47" s="111">
        <f>BR59-BR30</f>
        <v>0</v>
      </c>
      <c r="BS47" s="111">
        <f>BV47-BR47</f>
        <v>0</v>
      </c>
      <c r="BT47" s="111">
        <f>BT59-BT30</f>
        <v>0</v>
      </c>
      <c r="BU47" s="682">
        <f>BW47-BT47</f>
        <v>0</v>
      </c>
      <c r="BV47" s="111">
        <f>BV59-BV30</f>
        <v>0</v>
      </c>
      <c r="BW47" s="111">
        <f>BX47-BV47</f>
        <v>0</v>
      </c>
      <c r="BX47" s="1278">
        <f t="shared" si="460"/>
        <v>0</v>
      </c>
      <c r="BY47" s="111">
        <f>BY59-BY30</f>
        <v>0</v>
      </c>
      <c r="BZ47" s="111">
        <f>CC47-BY47</f>
        <v>0</v>
      </c>
      <c r="CA47" s="111">
        <f>CA59-CA30</f>
        <v>0</v>
      </c>
      <c r="CB47" s="682">
        <f>CD47-CA47</f>
        <v>0</v>
      </c>
      <c r="CC47" s="111">
        <f>CC59-CC30</f>
        <v>0</v>
      </c>
      <c r="CD47" s="111">
        <f>CE47-CC47</f>
        <v>0</v>
      </c>
      <c r="CE47" s="1278">
        <v>0</v>
      </c>
      <c r="CF47" s="111">
        <f>CF59-CF30</f>
        <v>0</v>
      </c>
      <c r="CG47" s="111">
        <f>CJ47-CF47</f>
        <v>0</v>
      </c>
      <c r="CH47" s="111">
        <f>CH59-CH30</f>
        <v>0</v>
      </c>
      <c r="CI47" s="682">
        <f>CK47-CH47</f>
        <v>0</v>
      </c>
      <c r="CJ47" s="111">
        <f>CJ59-CJ30</f>
        <v>0</v>
      </c>
      <c r="CK47" s="111">
        <f>CL47-CJ47</f>
        <v>0</v>
      </c>
      <c r="CL47" s="1278">
        <v>0</v>
      </c>
      <c r="CM47" s="111">
        <f>CM59-CM30</f>
        <v>0</v>
      </c>
      <c r="CN47" s="111">
        <f>CQ47-CM47</f>
        <v>0</v>
      </c>
      <c r="CO47" s="111">
        <f>CO59-CO30</f>
        <v>0</v>
      </c>
      <c r="CP47" s="682">
        <f>CR47-CO47</f>
        <v>0</v>
      </c>
      <c r="CQ47" s="111">
        <f>CQ59-CQ30</f>
        <v>0</v>
      </c>
      <c r="CR47" s="111">
        <f>CS47-CQ47</f>
        <v>0</v>
      </c>
      <c r="CS47" s="1278">
        <v>0</v>
      </c>
      <c r="CT47" s="111">
        <f>CT59-CT30</f>
        <v>0</v>
      </c>
      <c r="CU47" s="111">
        <f>CX47-CT47</f>
        <v>0</v>
      </c>
      <c r="CV47" s="111">
        <f>CV59-CV30</f>
        <v>0</v>
      </c>
      <c r="CW47" s="682">
        <f>CY47-CV47</f>
        <v>0</v>
      </c>
      <c r="CX47" s="111">
        <f>CX59-CX30</f>
        <v>0</v>
      </c>
      <c r="CY47" s="111">
        <f>CZ47-CX47</f>
        <v>0</v>
      </c>
      <c r="CZ47" s="1278">
        <v>0</v>
      </c>
      <c r="DA47" s="111">
        <f>DA59-DA30</f>
        <v>0</v>
      </c>
      <c r="DB47" s="111">
        <f>DE47-DA47</f>
        <v>0</v>
      </c>
      <c r="DC47" s="111">
        <f>DC59-DC30</f>
        <v>0</v>
      </c>
      <c r="DD47" s="682">
        <f>DF47-DC47</f>
        <v>0</v>
      </c>
      <c r="DE47" s="111">
        <f>DE59-DE30</f>
        <v>0</v>
      </c>
      <c r="DF47" s="111">
        <f>DG47-DE47</f>
        <v>0</v>
      </c>
      <c r="DG47" s="1278">
        <v>0</v>
      </c>
      <c r="DH47" s="111">
        <v>0</v>
      </c>
      <c r="DI47" s="111">
        <f>DL47-DH47</f>
        <v>0</v>
      </c>
      <c r="DJ47" s="111">
        <f>DJ59-DJ30</f>
        <v>0</v>
      </c>
      <c r="DK47" s="682">
        <f>DM47-DJ47</f>
        <v>0</v>
      </c>
      <c r="DL47" s="111">
        <f>DL59-DL30</f>
        <v>0</v>
      </c>
      <c r="DM47" s="111">
        <f>DN47-DL47</f>
        <v>0</v>
      </c>
      <c r="DN47" s="1278">
        <v>0</v>
      </c>
      <c r="DO47" s="549">
        <v>0</v>
      </c>
      <c r="DP47" s="111">
        <f>DS47-DO47</f>
        <v>0</v>
      </c>
      <c r="DQ47" s="401">
        <f>DT47/2</f>
        <v>0</v>
      </c>
      <c r="DR47" s="431">
        <f>DT47-DQ47</f>
        <v>0</v>
      </c>
      <c r="DS47" s="2024">
        <f>DS59-DS30</f>
        <v>0</v>
      </c>
      <c r="DT47" s="401">
        <f>DU47-DS47</f>
        <v>0</v>
      </c>
      <c r="DU47" s="386">
        <v>0</v>
      </c>
      <c r="DV47" s="401">
        <f>DZ47/2</f>
        <v>0</v>
      </c>
      <c r="DW47" s="401">
        <f>DZ47-DV47</f>
        <v>0</v>
      </c>
      <c r="DX47" s="401">
        <f>EA47/2</f>
        <v>0</v>
      </c>
      <c r="DY47" s="431">
        <f>EA47-DX47</f>
        <v>0</v>
      </c>
      <c r="DZ47" s="401">
        <f>EB47/2</f>
        <v>0</v>
      </c>
      <c r="EA47" s="401">
        <f>EB47-DZ47</f>
        <v>0</v>
      </c>
      <c r="EB47" s="386">
        <v>0</v>
      </c>
      <c r="EC47" s="401">
        <f>EG47/2</f>
        <v>0</v>
      </c>
      <c r="ED47" s="401">
        <f>EG47-EC47</f>
        <v>0</v>
      </c>
      <c r="EE47" s="401">
        <f>EH47/2</f>
        <v>0</v>
      </c>
      <c r="EF47" s="431">
        <f>EH47-EE47</f>
        <v>0</v>
      </c>
      <c r="EG47" s="401">
        <f>EI47/2</f>
        <v>0</v>
      </c>
      <c r="EH47" s="401">
        <f>EI47-EG47</f>
        <v>0</v>
      </c>
      <c r="EI47" s="386">
        <v>0</v>
      </c>
      <c r="EJ47" s="401">
        <f>EN47/2</f>
        <v>0</v>
      </c>
      <c r="EK47" s="401">
        <f>EN47-EJ47</f>
        <v>0</v>
      </c>
      <c r="EL47" s="401">
        <f>EO47/2</f>
        <v>0</v>
      </c>
      <c r="EM47" s="431">
        <f>EO47-EL47</f>
        <v>0</v>
      </c>
      <c r="EN47" s="401">
        <f>EP47/2</f>
        <v>0</v>
      </c>
      <c r="EO47" s="401">
        <f>EP47-EN47</f>
        <v>0</v>
      </c>
      <c r="EP47" s="386">
        <v>0</v>
      </c>
      <c r="EQ47" s="401">
        <f>EU47/2</f>
        <v>0</v>
      </c>
      <c r="ER47" s="401">
        <f>EU47-EQ47</f>
        <v>0</v>
      </c>
      <c r="ES47" s="401">
        <f>EV47/2</f>
        <v>0</v>
      </c>
      <c r="ET47" s="431">
        <f>EV47-ES47</f>
        <v>0</v>
      </c>
      <c r="EU47" s="401">
        <f>EW47/2</f>
        <v>0</v>
      </c>
      <c r="EV47" s="401">
        <f>EW47-EU47</f>
        <v>0</v>
      </c>
      <c r="EW47" s="386">
        <v>0</v>
      </c>
    </row>
    <row r="48" spans="1:153" ht="10.199999999999999" customHeight="1">
      <c r="A48" s="48" t="s">
        <v>167</v>
      </c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111">
        <f t="shared" ref="N48:S48" si="461">N46+N47</f>
        <v>-145</v>
      </c>
      <c r="O48" s="111">
        <f t="shared" si="461"/>
        <v>9</v>
      </c>
      <c r="P48" s="111">
        <f t="shared" si="461"/>
        <v>-53</v>
      </c>
      <c r="Q48" s="682">
        <f t="shared" si="461"/>
        <v>-724</v>
      </c>
      <c r="R48" s="111">
        <f t="shared" si="461"/>
        <v>-136</v>
      </c>
      <c r="S48" s="111">
        <f t="shared" si="461"/>
        <v>-777</v>
      </c>
      <c r="T48" s="1273">
        <f>T46+T47</f>
        <v>-913</v>
      </c>
      <c r="U48" s="111">
        <f t="shared" ref="U48:Z48" si="462">U46+U47</f>
        <v>19</v>
      </c>
      <c r="V48" s="111">
        <f t="shared" si="462"/>
        <v>51</v>
      </c>
      <c r="W48" s="111">
        <f t="shared" si="462"/>
        <v>-77</v>
      </c>
      <c r="X48" s="682">
        <f t="shared" si="462"/>
        <v>-19</v>
      </c>
      <c r="Y48" s="111">
        <f t="shared" si="462"/>
        <v>70</v>
      </c>
      <c r="Z48" s="111">
        <f t="shared" si="462"/>
        <v>-96</v>
      </c>
      <c r="AA48" s="1273">
        <f>AA46+AA47</f>
        <v>-26</v>
      </c>
      <c r="AB48" s="111">
        <f t="shared" ref="AB48:AG48" si="463">AB46+AB47</f>
        <v>590</v>
      </c>
      <c r="AC48" s="111">
        <f t="shared" si="463"/>
        <v>-244</v>
      </c>
      <c r="AD48" s="111">
        <f t="shared" si="463"/>
        <v>-204</v>
      </c>
      <c r="AE48" s="682">
        <f t="shared" si="463"/>
        <v>-188</v>
      </c>
      <c r="AF48" s="111">
        <f t="shared" si="463"/>
        <v>346</v>
      </c>
      <c r="AG48" s="111">
        <f t="shared" si="463"/>
        <v>-392</v>
      </c>
      <c r="AH48" s="1273">
        <f>AH46+AH47</f>
        <v>-46</v>
      </c>
      <c r="AI48" s="111">
        <f t="shared" ref="AI48:AN48" si="464">AI46+AI47</f>
        <v>-136</v>
      </c>
      <c r="AJ48" s="111">
        <f t="shared" si="464"/>
        <v>308</v>
      </c>
      <c r="AK48" s="111">
        <f t="shared" si="464"/>
        <v>-224</v>
      </c>
      <c r="AL48" s="682">
        <f t="shared" si="464"/>
        <v>-1645</v>
      </c>
      <c r="AM48" s="111">
        <f t="shared" si="464"/>
        <v>172</v>
      </c>
      <c r="AN48" s="111">
        <f t="shared" si="464"/>
        <v>-1869</v>
      </c>
      <c r="AO48" s="1273">
        <f t="shared" ref="AO48:CY48" si="465">AO46+AO47</f>
        <v>-1697</v>
      </c>
      <c r="AP48" s="111">
        <f t="shared" ref="AP48:AS48" si="466">AP46+AP47</f>
        <v>612</v>
      </c>
      <c r="AQ48" s="111">
        <f t="shared" si="466"/>
        <v>80</v>
      </c>
      <c r="AR48" s="111">
        <f t="shared" si="466"/>
        <v>-176</v>
      </c>
      <c r="AS48" s="682">
        <f t="shared" si="466"/>
        <v>-1348</v>
      </c>
      <c r="AT48" s="111">
        <f t="shared" ref="AT48:AU48" si="467">AT46+AT47</f>
        <v>692</v>
      </c>
      <c r="AU48" s="111">
        <f t="shared" si="467"/>
        <v>-1524</v>
      </c>
      <c r="AV48" s="1273">
        <f t="shared" si="465"/>
        <v>-832</v>
      </c>
      <c r="AW48" s="111">
        <f t="shared" si="465"/>
        <v>594</v>
      </c>
      <c r="AX48" s="111">
        <f t="shared" si="465"/>
        <v>64</v>
      </c>
      <c r="AY48" s="111">
        <f t="shared" si="465"/>
        <v>-193</v>
      </c>
      <c r="AZ48" s="682">
        <f t="shared" si="465"/>
        <v>-990</v>
      </c>
      <c r="BA48" s="111">
        <f t="shared" si="465"/>
        <v>658</v>
      </c>
      <c r="BB48" s="111">
        <f t="shared" si="465"/>
        <v>-1183</v>
      </c>
      <c r="BC48" s="1273">
        <f>BC46+BC47</f>
        <v>-525</v>
      </c>
      <c r="BD48" s="111">
        <f t="shared" ref="BD48:BI48" si="468">BD46+BD47</f>
        <v>185</v>
      </c>
      <c r="BE48" s="111">
        <f t="shared" si="468"/>
        <v>-227</v>
      </c>
      <c r="BF48" s="111">
        <f t="shared" si="468"/>
        <v>-13</v>
      </c>
      <c r="BG48" s="682">
        <f t="shared" si="468"/>
        <v>-731</v>
      </c>
      <c r="BH48" s="111">
        <f t="shared" si="468"/>
        <v>-42</v>
      </c>
      <c r="BI48" s="111">
        <f t="shared" si="468"/>
        <v>-744</v>
      </c>
      <c r="BJ48" s="1273">
        <f t="shared" si="465"/>
        <v>-786</v>
      </c>
      <c r="BK48" s="111">
        <f t="shared" si="465"/>
        <v>-368</v>
      </c>
      <c r="BL48" s="111">
        <f t="shared" si="465"/>
        <v>-68</v>
      </c>
      <c r="BM48" s="111">
        <f t="shared" si="465"/>
        <v>-266</v>
      </c>
      <c r="BN48" s="682">
        <f t="shared" si="465"/>
        <v>-4905</v>
      </c>
      <c r="BO48" s="111">
        <f t="shared" si="465"/>
        <v>-436</v>
      </c>
      <c r="BP48" s="111">
        <f t="shared" si="465"/>
        <v>-5171</v>
      </c>
      <c r="BQ48" s="1273">
        <f>BQ46+BQ47</f>
        <v>-5607</v>
      </c>
      <c r="BR48" s="111">
        <f t="shared" ref="BR48:BW48" si="469">BR46+BR47</f>
        <v>-368</v>
      </c>
      <c r="BS48" s="111">
        <f t="shared" si="469"/>
        <v>-68</v>
      </c>
      <c r="BT48" s="111">
        <f t="shared" si="469"/>
        <v>-266</v>
      </c>
      <c r="BU48" s="682">
        <f t="shared" si="469"/>
        <v>-4905</v>
      </c>
      <c r="BV48" s="111">
        <f t="shared" si="469"/>
        <v>-436</v>
      </c>
      <c r="BW48" s="111">
        <f t="shared" si="469"/>
        <v>-5171</v>
      </c>
      <c r="BX48" s="1273">
        <f>BX46+BX47</f>
        <v>-5607</v>
      </c>
      <c r="BY48" s="111">
        <f t="shared" ref="BY48:CD48" si="470">BY46+BY47</f>
        <v>-202</v>
      </c>
      <c r="BZ48" s="111">
        <f t="shared" si="470"/>
        <v>-412</v>
      </c>
      <c r="CA48" s="111">
        <f t="shared" si="470"/>
        <v>-1446</v>
      </c>
      <c r="CB48" s="682">
        <f t="shared" si="470"/>
        <v>-156</v>
      </c>
      <c r="CC48" s="111">
        <f t="shared" si="470"/>
        <v>-614</v>
      </c>
      <c r="CD48" s="111">
        <f t="shared" si="470"/>
        <v>-1602</v>
      </c>
      <c r="CE48" s="1273">
        <f t="shared" si="465"/>
        <v>-2216</v>
      </c>
      <c r="CF48" s="111">
        <f t="shared" si="465"/>
        <v>-232</v>
      </c>
      <c r="CG48" s="111">
        <f t="shared" si="465"/>
        <v>256</v>
      </c>
      <c r="CH48" s="111">
        <f t="shared" si="465"/>
        <v>44</v>
      </c>
      <c r="CI48" s="682">
        <f t="shared" si="465"/>
        <v>409</v>
      </c>
      <c r="CJ48" s="111">
        <f t="shared" si="465"/>
        <v>24</v>
      </c>
      <c r="CK48" s="111">
        <f t="shared" si="465"/>
        <v>453</v>
      </c>
      <c r="CL48" s="1273">
        <f t="shared" si="465"/>
        <v>477</v>
      </c>
      <c r="CM48" s="111">
        <f t="shared" ref="CM48:CR48" si="471">CM46+CM47</f>
        <v>166</v>
      </c>
      <c r="CN48" s="111">
        <f t="shared" si="471"/>
        <v>-232</v>
      </c>
      <c r="CO48" s="111">
        <f t="shared" si="471"/>
        <v>137</v>
      </c>
      <c r="CP48" s="682">
        <f t="shared" si="471"/>
        <v>-373</v>
      </c>
      <c r="CQ48" s="111">
        <f t="shared" si="471"/>
        <v>-66</v>
      </c>
      <c r="CR48" s="111">
        <f t="shared" si="471"/>
        <v>-236</v>
      </c>
      <c r="CS48" s="1273">
        <f t="shared" si="465"/>
        <v>-302</v>
      </c>
      <c r="CT48" s="111">
        <f t="shared" si="465"/>
        <v>-383</v>
      </c>
      <c r="CU48" s="111">
        <f t="shared" si="465"/>
        <v>-348</v>
      </c>
      <c r="CV48" s="111">
        <f t="shared" ref="CV48" si="472">CV46+CV47</f>
        <v>-188</v>
      </c>
      <c r="CW48" s="682">
        <f t="shared" si="465"/>
        <v>-316</v>
      </c>
      <c r="CX48" s="111">
        <f t="shared" ref="CX48" si="473">CX46+CX47</f>
        <v>-731</v>
      </c>
      <c r="CY48" s="111">
        <f t="shared" si="465"/>
        <v>-504</v>
      </c>
      <c r="CZ48" s="1273">
        <f t="shared" ref="CZ48:DD48" si="474">CZ46+CZ47</f>
        <v>-1235</v>
      </c>
      <c r="DA48" s="111">
        <f t="shared" si="474"/>
        <v>32</v>
      </c>
      <c r="DB48" s="111">
        <f t="shared" si="474"/>
        <v>33</v>
      </c>
      <c r="DC48" s="111">
        <f t="shared" si="474"/>
        <v>-173</v>
      </c>
      <c r="DD48" s="682">
        <f t="shared" si="474"/>
        <v>58</v>
      </c>
      <c r="DE48" s="111">
        <f t="shared" ref="DE48:DG48" si="475">DE46+DE47</f>
        <v>65</v>
      </c>
      <c r="DF48" s="111">
        <f t="shared" si="475"/>
        <v>-115</v>
      </c>
      <c r="DG48" s="1273">
        <f t="shared" si="475"/>
        <v>-50</v>
      </c>
      <c r="DH48" s="111">
        <f t="shared" ref="DH48:DN48" si="476">DH46+DH47</f>
        <v>-151</v>
      </c>
      <c r="DI48" s="111">
        <f t="shared" si="476"/>
        <v>-436</v>
      </c>
      <c r="DJ48" s="111">
        <f t="shared" si="476"/>
        <v>-194</v>
      </c>
      <c r="DK48" s="682">
        <f t="shared" si="476"/>
        <v>-265</v>
      </c>
      <c r="DL48" s="111">
        <f t="shared" si="476"/>
        <v>-587</v>
      </c>
      <c r="DM48" s="111">
        <f t="shared" si="476"/>
        <v>-459</v>
      </c>
      <c r="DN48" s="1273">
        <f t="shared" si="476"/>
        <v>-1046</v>
      </c>
      <c r="DO48" s="549">
        <f t="shared" ref="DO48:DP48" si="477">DO46+DO47</f>
        <v>-76</v>
      </c>
      <c r="DP48" s="111">
        <f t="shared" si="477"/>
        <v>94</v>
      </c>
      <c r="DQ48" s="401">
        <f t="shared" ref="DQ48:DT48" si="478">DQ46+DQ47</f>
        <v>-50</v>
      </c>
      <c r="DR48" s="431">
        <f t="shared" si="478"/>
        <v>-100</v>
      </c>
      <c r="DS48" s="2024">
        <f t="shared" si="478"/>
        <v>18</v>
      </c>
      <c r="DT48" s="401">
        <f t="shared" si="478"/>
        <v>-150.00000000000091</v>
      </c>
      <c r="DU48" s="400">
        <f>DU46+DU47</f>
        <v>-132</v>
      </c>
      <c r="DV48" s="401">
        <f t="shared" ref="DV48:EA48" si="479">DV46+DV47</f>
        <v>0</v>
      </c>
      <c r="DW48" s="401">
        <f t="shared" si="479"/>
        <v>0</v>
      </c>
      <c r="DX48" s="401">
        <f t="shared" si="479"/>
        <v>0</v>
      </c>
      <c r="DY48" s="431">
        <f t="shared" si="479"/>
        <v>1.8189894035458565E-12</v>
      </c>
      <c r="DZ48" s="401">
        <f t="shared" si="479"/>
        <v>0</v>
      </c>
      <c r="EA48" s="401">
        <f t="shared" si="479"/>
        <v>0</v>
      </c>
      <c r="EB48" s="400">
        <f>EB46+EB47</f>
        <v>0</v>
      </c>
      <c r="EC48" s="401">
        <f t="shared" ref="EC48:EH48" si="480">EC46+EC47</f>
        <v>0</v>
      </c>
      <c r="ED48" s="401">
        <f t="shared" si="480"/>
        <v>0</v>
      </c>
      <c r="EE48" s="401">
        <f t="shared" si="480"/>
        <v>0</v>
      </c>
      <c r="EF48" s="431">
        <f t="shared" si="480"/>
        <v>0</v>
      </c>
      <c r="EG48" s="401">
        <f t="shared" si="480"/>
        <v>0</v>
      </c>
      <c r="EH48" s="401">
        <f t="shared" si="480"/>
        <v>0</v>
      </c>
      <c r="EI48" s="400">
        <f>EI46+EI47</f>
        <v>0</v>
      </c>
      <c r="EJ48" s="401">
        <f t="shared" ref="EJ48:EO48" si="481">EJ46+EJ47</f>
        <v>0</v>
      </c>
      <c r="EK48" s="401">
        <f t="shared" si="481"/>
        <v>0</v>
      </c>
      <c r="EL48" s="401">
        <f t="shared" si="481"/>
        <v>0</v>
      </c>
      <c r="EM48" s="431">
        <f t="shared" si="481"/>
        <v>0</v>
      </c>
      <c r="EN48" s="401">
        <f t="shared" si="481"/>
        <v>0</v>
      </c>
      <c r="EO48" s="401">
        <f t="shared" si="481"/>
        <v>0</v>
      </c>
      <c r="EP48" s="400">
        <f>EP46+EP47</f>
        <v>0</v>
      </c>
      <c r="EQ48" s="401">
        <f t="shared" ref="EQ48:EV48" si="482">EQ46+EQ47</f>
        <v>0</v>
      </c>
      <c r="ER48" s="401">
        <f t="shared" si="482"/>
        <v>0</v>
      </c>
      <c r="ES48" s="401">
        <f t="shared" si="482"/>
        <v>0</v>
      </c>
      <c r="ET48" s="431">
        <f t="shared" si="482"/>
        <v>0</v>
      </c>
      <c r="EU48" s="401">
        <f t="shared" si="482"/>
        <v>0</v>
      </c>
      <c r="EV48" s="401">
        <f t="shared" si="482"/>
        <v>0</v>
      </c>
      <c r="EW48" s="400">
        <f>EW46+EW47</f>
        <v>0</v>
      </c>
    </row>
    <row r="49" spans="1:153" ht="10.199999999999999" customHeight="1">
      <c r="A49" s="43"/>
      <c r="B49" s="809"/>
      <c r="C49" s="809"/>
      <c r="D49" s="809"/>
      <c r="E49" s="809"/>
      <c r="F49" s="809"/>
      <c r="G49" s="809"/>
      <c r="H49" s="809"/>
      <c r="I49" s="809"/>
      <c r="J49" s="809"/>
      <c r="K49" s="809"/>
      <c r="L49" s="809"/>
      <c r="M49" s="809"/>
      <c r="N49" s="809"/>
      <c r="O49" s="809"/>
      <c r="P49" s="809"/>
      <c r="Q49" s="1101"/>
      <c r="R49" s="809"/>
      <c r="S49" s="809"/>
      <c r="T49" s="1275"/>
      <c r="U49" s="809"/>
      <c r="V49" s="809"/>
      <c r="W49" s="809"/>
      <c r="X49" s="1101"/>
      <c r="Y49" s="809"/>
      <c r="Z49" s="809"/>
      <c r="AA49" s="1275"/>
      <c r="AB49" s="809"/>
      <c r="AC49" s="809"/>
      <c r="AD49" s="809"/>
      <c r="AE49" s="1101"/>
      <c r="AF49" s="809"/>
      <c r="AG49" s="809"/>
      <c r="AH49" s="1275"/>
      <c r="AI49" s="809"/>
      <c r="AJ49" s="809"/>
      <c r="AK49" s="809"/>
      <c r="AL49" s="1101"/>
      <c r="AM49" s="809"/>
      <c r="AN49" s="809"/>
      <c r="AO49" s="1275"/>
      <c r="AP49" s="809"/>
      <c r="AQ49" s="809"/>
      <c r="AR49" s="809"/>
      <c r="AS49" s="1101"/>
      <c r="AT49" s="809"/>
      <c r="AU49" s="809"/>
      <c r="AV49" s="1275"/>
      <c r="AW49" s="809"/>
      <c r="AX49" s="809"/>
      <c r="AY49" s="809"/>
      <c r="AZ49" s="1101"/>
      <c r="BA49" s="809"/>
      <c r="BB49" s="809"/>
      <c r="BC49" s="1275"/>
      <c r="BD49" s="809"/>
      <c r="BE49" s="809"/>
      <c r="BF49" s="809"/>
      <c r="BG49" s="1101"/>
      <c r="BH49" s="809"/>
      <c r="BI49" s="809"/>
      <c r="BJ49" s="1275"/>
      <c r="BK49" s="809"/>
      <c r="BL49" s="809"/>
      <c r="BM49" s="809"/>
      <c r="BN49" s="1101"/>
      <c r="BO49" s="809"/>
      <c r="BP49" s="809"/>
      <c r="BQ49" s="1275"/>
      <c r="BR49" s="809"/>
      <c r="BS49" s="809"/>
      <c r="BT49" s="809"/>
      <c r="BU49" s="1101"/>
      <c r="BV49" s="809"/>
      <c r="BW49" s="809"/>
      <c r="BX49" s="1275"/>
      <c r="BY49" s="809"/>
      <c r="BZ49" s="809"/>
      <c r="CA49" s="809"/>
      <c r="CB49" s="1101"/>
      <c r="CC49" s="809"/>
      <c r="CD49" s="809"/>
      <c r="CE49" s="1275"/>
      <c r="CF49" s="809"/>
      <c r="CG49" s="809"/>
      <c r="CH49" s="809"/>
      <c r="CI49" s="1101"/>
      <c r="CJ49" s="809"/>
      <c r="CK49" s="809"/>
      <c r="CL49" s="1275"/>
      <c r="CM49" s="809"/>
      <c r="CN49" s="809"/>
      <c r="CO49" s="809"/>
      <c r="CP49" s="1101"/>
      <c r="CQ49" s="809"/>
      <c r="CR49" s="809"/>
      <c r="CS49" s="1275"/>
      <c r="CT49" s="809"/>
      <c r="CU49" s="809"/>
      <c r="CV49" s="809"/>
      <c r="CW49" s="1101"/>
      <c r="CX49" s="809"/>
      <c r="CY49" s="809"/>
      <c r="CZ49" s="1275"/>
      <c r="DA49" s="809"/>
      <c r="DB49" s="809"/>
      <c r="DC49" s="809"/>
      <c r="DD49" s="1101"/>
      <c r="DE49" s="809"/>
      <c r="DF49" s="809"/>
      <c r="DG49" s="346"/>
      <c r="DH49" s="809"/>
      <c r="DI49" s="809"/>
      <c r="DJ49" s="809"/>
      <c r="DK49" s="1101"/>
      <c r="DL49" s="809"/>
      <c r="DM49" s="809"/>
      <c r="DN49" s="346"/>
      <c r="DO49" s="809"/>
      <c r="DP49" s="809"/>
      <c r="DQ49" s="809"/>
      <c r="DR49" s="1101"/>
      <c r="DS49" s="2025"/>
      <c r="DT49" s="809"/>
      <c r="DU49" s="346"/>
      <c r="DV49" s="809"/>
      <c r="DW49" s="809"/>
      <c r="DX49" s="809"/>
      <c r="DY49" s="1101"/>
      <c r="DZ49" s="809"/>
      <c r="EA49" s="809"/>
      <c r="EB49" s="346"/>
      <c r="EC49" s="809"/>
      <c r="ED49" s="809"/>
      <c r="EE49" s="809"/>
      <c r="EF49" s="1101"/>
      <c r="EG49" s="809"/>
      <c r="EH49" s="809"/>
      <c r="EI49" s="346"/>
      <c r="EJ49" s="809"/>
      <c r="EK49" s="809"/>
      <c r="EL49" s="809"/>
      <c r="EM49" s="1101"/>
      <c r="EN49" s="809"/>
      <c r="EO49" s="809"/>
      <c r="EP49" s="346"/>
      <c r="EQ49" s="809"/>
      <c r="ER49" s="809"/>
      <c r="ES49" s="809"/>
      <c r="ET49" s="1101"/>
      <c r="EU49" s="809"/>
      <c r="EV49" s="809"/>
      <c r="EW49" s="346"/>
    </row>
    <row r="50" spans="1:153" ht="10.199999999999999" customHeight="1">
      <c r="A50" s="48" t="s">
        <v>332</v>
      </c>
      <c r="B50" s="812"/>
      <c r="C50" s="812"/>
      <c r="D50" s="812"/>
      <c r="E50" s="812"/>
      <c r="F50" s="812"/>
      <c r="G50" s="812"/>
      <c r="H50" s="812"/>
      <c r="I50" s="812"/>
      <c r="J50" s="812"/>
      <c r="K50" s="812"/>
      <c r="L50" s="812"/>
      <c r="M50" s="812"/>
      <c r="N50" s="1067"/>
      <c r="O50" s="1067"/>
      <c r="P50" s="1067"/>
      <c r="Q50" s="1097"/>
      <c r="R50" s="1067"/>
      <c r="S50" s="1067"/>
      <c r="T50" s="1279"/>
      <c r="U50" s="1067"/>
      <c r="V50" s="1067"/>
      <c r="W50" s="1067"/>
      <c r="X50" s="1097"/>
      <c r="Y50" s="1067"/>
      <c r="Z50" s="1067"/>
      <c r="AA50" s="1279"/>
      <c r="AB50" s="1067"/>
      <c r="AC50" s="1067"/>
      <c r="AD50" s="1067"/>
      <c r="AE50" s="1097"/>
      <c r="AF50" s="1067"/>
      <c r="AG50" s="1067"/>
      <c r="AH50" s="1279"/>
      <c r="AI50" s="1067"/>
      <c r="AJ50" s="1067"/>
      <c r="AK50" s="1067"/>
      <c r="AL50" s="1097"/>
      <c r="AM50" s="1067"/>
      <c r="AN50" s="1067"/>
      <c r="AO50" s="1279"/>
      <c r="AP50" s="1067"/>
      <c r="AQ50" s="1067"/>
      <c r="AR50" s="1067"/>
      <c r="AS50" s="1097"/>
      <c r="AT50" s="1067"/>
      <c r="AU50" s="1067"/>
      <c r="AV50" s="1279"/>
      <c r="AW50" s="1067"/>
      <c r="AX50" s="1067"/>
      <c r="AY50" s="1067"/>
      <c r="AZ50" s="1097"/>
      <c r="BA50" s="1067"/>
      <c r="BB50" s="1067"/>
      <c r="BC50" s="1279"/>
      <c r="BD50" s="1067"/>
      <c r="BE50" s="1067"/>
      <c r="BF50" s="1067"/>
      <c r="BG50" s="1097"/>
      <c r="BH50" s="1067"/>
      <c r="BI50" s="1067"/>
      <c r="BJ50" s="1279"/>
      <c r="BK50" s="1067"/>
      <c r="BL50" s="1067"/>
      <c r="BM50" s="1067"/>
      <c r="BN50" s="1097"/>
      <c r="BO50" s="1067"/>
      <c r="BP50" s="1067"/>
      <c r="BQ50" s="1279"/>
      <c r="BR50" s="1067"/>
      <c r="BS50" s="1067"/>
      <c r="BT50" s="1067"/>
      <c r="BU50" s="1097"/>
      <c r="BV50" s="1067"/>
      <c r="BW50" s="1067"/>
      <c r="BX50" s="1279"/>
      <c r="BY50" s="1067"/>
      <c r="BZ50" s="1067"/>
      <c r="CA50" s="1067"/>
      <c r="CB50" s="1097"/>
      <c r="CC50" s="1067"/>
      <c r="CD50" s="1067"/>
      <c r="CE50" s="1279"/>
      <c r="CF50" s="1067"/>
      <c r="CG50" s="1067"/>
      <c r="CH50" s="1067"/>
      <c r="CI50" s="1097"/>
      <c r="CJ50" s="1067"/>
      <c r="CK50" s="1067"/>
      <c r="CL50" s="1279"/>
      <c r="CM50" s="1067"/>
      <c r="CN50" s="1067"/>
      <c r="CO50" s="1067"/>
      <c r="CP50" s="1097"/>
      <c r="CQ50" s="1067"/>
      <c r="CR50" s="1067"/>
      <c r="CS50" s="1279"/>
      <c r="CT50" s="1067"/>
      <c r="CU50" s="1067"/>
      <c r="CV50" s="1067"/>
      <c r="CW50" s="1097"/>
      <c r="CX50" s="1067"/>
      <c r="CY50" s="1067"/>
      <c r="CZ50" s="1279"/>
      <c r="DA50" s="1067"/>
      <c r="DB50" s="1067"/>
      <c r="DC50" s="1067"/>
      <c r="DD50" s="1097"/>
      <c r="DE50" s="1067"/>
      <c r="DF50" s="1067"/>
      <c r="DG50" s="343"/>
      <c r="DH50" s="1067"/>
      <c r="DI50" s="1067"/>
      <c r="DJ50" s="1067"/>
      <c r="DK50" s="1097"/>
      <c r="DL50" s="1067"/>
      <c r="DM50" s="1067"/>
      <c r="DN50" s="343"/>
      <c r="DO50" s="1067"/>
      <c r="DP50" s="1067"/>
      <c r="DQ50" s="1067"/>
      <c r="DR50" s="1097"/>
      <c r="DS50" s="1205"/>
      <c r="DT50" s="1067"/>
      <c r="DU50" s="343"/>
      <c r="DV50" s="1067"/>
      <c r="DW50" s="1067"/>
      <c r="DX50" s="1067"/>
      <c r="DY50" s="1097"/>
      <c r="DZ50" s="1067"/>
      <c r="EA50" s="1067"/>
      <c r="EB50" s="343"/>
      <c r="EC50" s="1067"/>
      <c r="ED50" s="1067"/>
      <c r="EE50" s="1067"/>
      <c r="EF50" s="1097"/>
      <c r="EG50" s="1067"/>
      <c r="EH50" s="1067"/>
      <c r="EI50" s="343"/>
      <c r="EJ50" s="1067"/>
      <c r="EK50" s="1067"/>
      <c r="EL50" s="1067"/>
      <c r="EM50" s="1097"/>
      <c r="EN50" s="1067"/>
      <c r="EO50" s="1067"/>
      <c r="EP50" s="343"/>
      <c r="EQ50" s="1067"/>
      <c r="ER50" s="1067"/>
      <c r="ES50" s="1067"/>
      <c r="ET50" s="1097"/>
      <c r="EU50" s="1067"/>
      <c r="EV50" s="1067"/>
      <c r="EW50" s="343"/>
    </row>
    <row r="51" spans="1:153" ht="10.199999999999999" customHeight="1">
      <c r="A51" s="108" t="str">
        <f>A4</f>
        <v>Airbus</v>
      </c>
      <c r="B51" s="530">
        <v>1655</v>
      </c>
      <c r="C51" s="530">
        <v>1361</v>
      </c>
      <c r="D51" s="530">
        <f>1353</f>
        <v>1353</v>
      </c>
      <c r="E51" s="530">
        <v>1919</v>
      </c>
      <c r="F51" s="530">
        <v>2307</v>
      </c>
      <c r="G51" s="530">
        <v>-572</v>
      </c>
      <c r="H51" s="530">
        <v>-881</v>
      </c>
      <c r="I51" s="530">
        <v>2306</v>
      </c>
      <c r="J51" s="530">
        <v>386</v>
      </c>
      <c r="K51" s="530">
        <v>291</v>
      </c>
      <c r="L51" s="530">
        <v>543</v>
      </c>
      <c r="M51" s="530">
        <v>1125</v>
      </c>
      <c r="N51" s="530">
        <v>463</v>
      </c>
      <c r="O51" s="530">
        <f>R51-N51</f>
        <v>632</v>
      </c>
      <c r="P51" s="530">
        <f>1523-R51</f>
        <v>428</v>
      </c>
      <c r="Q51" s="688">
        <f>S51-P51</f>
        <v>70</v>
      </c>
      <c r="R51" s="530">
        <v>1095</v>
      </c>
      <c r="S51" s="197">
        <f>T51-R51</f>
        <v>498</v>
      </c>
      <c r="T51" s="1278">
        <v>1593</v>
      </c>
      <c r="U51" s="530">
        <v>546</v>
      </c>
      <c r="V51" s="530">
        <f>Y51-U51</f>
        <v>811</v>
      </c>
      <c r="W51" s="530">
        <f>1773-Y51</f>
        <v>416</v>
      </c>
      <c r="X51" s="688">
        <f>Z51-W51</f>
        <v>898</v>
      </c>
      <c r="Y51" s="530">
        <v>1357</v>
      </c>
      <c r="Z51" s="197">
        <f>AA51-Y51</f>
        <v>1314</v>
      </c>
      <c r="AA51" s="1278">
        <v>2671</v>
      </c>
      <c r="AB51" s="530">
        <v>419</v>
      </c>
      <c r="AC51" s="530">
        <f>AF51-AB51</f>
        <v>1005</v>
      </c>
      <c r="AD51" s="530">
        <f>1902-AF51</f>
        <v>478</v>
      </c>
      <c r="AE51" s="688">
        <f>AG51-AD51</f>
        <v>399</v>
      </c>
      <c r="AF51" s="530">
        <v>1424</v>
      </c>
      <c r="AG51" s="197">
        <f>AH51-AF51</f>
        <v>877</v>
      </c>
      <c r="AH51" s="1278">
        <v>2301</v>
      </c>
      <c r="AI51" s="530">
        <v>289</v>
      </c>
      <c r="AJ51" s="530">
        <f>AM51-AI51</f>
        <v>131</v>
      </c>
      <c r="AK51" s="530">
        <f>773-AM51</f>
        <v>353</v>
      </c>
      <c r="AL51" s="688">
        <f>AN51-AK51</f>
        <v>770</v>
      </c>
      <c r="AM51" s="530">
        <v>420</v>
      </c>
      <c r="AN51" s="197">
        <f>AO51-AM51</f>
        <v>1123</v>
      </c>
      <c r="AO51" s="1278">
        <v>1543</v>
      </c>
      <c r="AP51" s="530">
        <v>336</v>
      </c>
      <c r="AQ51" s="530">
        <f>AT51-AP51</f>
        <v>742</v>
      </c>
      <c r="AR51" s="530">
        <v>440</v>
      </c>
      <c r="AS51" s="688">
        <f>AU51-AR51</f>
        <v>1910</v>
      </c>
      <c r="AT51" s="530">
        <v>1078</v>
      </c>
      <c r="AU51" s="197">
        <f>AV51-AT51</f>
        <v>2350</v>
      </c>
      <c r="AV51" s="1278">
        <v>3428</v>
      </c>
      <c r="AW51" s="530">
        <v>-48</v>
      </c>
      <c r="AX51" s="530">
        <f>BA51-AW51</f>
        <v>429</v>
      </c>
      <c r="AY51" s="530">
        <f>779-BA51</f>
        <v>398</v>
      </c>
      <c r="AZ51" s="688">
        <f>BB51-AY51</f>
        <v>1478</v>
      </c>
      <c r="BA51" s="530">
        <v>381</v>
      </c>
      <c r="BB51" s="197">
        <f>BC51-BA51</f>
        <v>1876</v>
      </c>
      <c r="BC51" s="1278">
        <v>2257</v>
      </c>
      <c r="BD51" s="530">
        <v>-2</v>
      </c>
      <c r="BE51" s="530">
        <v>775</v>
      </c>
      <c r="BF51" s="530">
        <f>2238-BH51</f>
        <v>1465</v>
      </c>
      <c r="BG51" s="688">
        <f>BI51-BF51</f>
        <v>2057</v>
      </c>
      <c r="BH51" s="530">
        <f>BD51+BE51</f>
        <v>773</v>
      </c>
      <c r="BI51" s="197">
        <f>BJ51-BH51</f>
        <v>3522</v>
      </c>
      <c r="BJ51" s="1278">
        <v>4295</v>
      </c>
      <c r="BK51" s="530">
        <v>392</v>
      </c>
      <c r="BL51" s="530">
        <f>BO51-BK51</f>
        <v>1759</v>
      </c>
      <c r="BM51" s="530">
        <f>3405-BO51</f>
        <v>1254</v>
      </c>
      <c r="BN51" s="688">
        <f>BP51-BM51</f>
        <v>-1200</v>
      </c>
      <c r="BO51" s="530">
        <v>2151</v>
      </c>
      <c r="BP51" s="197">
        <f>BQ51-BO51</f>
        <v>54</v>
      </c>
      <c r="BQ51" s="1278">
        <v>2205</v>
      </c>
      <c r="BR51" s="530">
        <f>392-73</f>
        <v>319</v>
      </c>
      <c r="BS51" s="530">
        <f>BV51-BR51</f>
        <v>1687</v>
      </c>
      <c r="BT51" s="530">
        <f>3405-240-BV51</f>
        <v>1159</v>
      </c>
      <c r="BU51" s="688">
        <f>BW51-BT51</f>
        <v>-1371</v>
      </c>
      <c r="BV51" s="530">
        <f>2151-145</f>
        <v>2006</v>
      </c>
      <c r="BW51" s="197">
        <f>BX51-BV51</f>
        <v>-212</v>
      </c>
      <c r="BX51" s="1278">
        <f>BQ51-411</f>
        <v>1794</v>
      </c>
      <c r="BY51" s="530">
        <v>57</v>
      </c>
      <c r="BZ51" s="530">
        <f>CC51-BY51</f>
        <v>-1865</v>
      </c>
      <c r="CA51" s="530">
        <v>-591</v>
      </c>
      <c r="CB51" s="688">
        <f>CD51-CA51</f>
        <v>1069</v>
      </c>
      <c r="CC51" s="530">
        <v>-1808</v>
      </c>
      <c r="CD51" s="197">
        <f>CE51-CC51</f>
        <v>478</v>
      </c>
      <c r="CE51" s="1278">
        <v>-1330</v>
      </c>
      <c r="CF51" s="530">
        <v>343</v>
      </c>
      <c r="CG51" s="530">
        <f>CJ51-CF51</f>
        <v>2044</v>
      </c>
      <c r="CH51" s="530">
        <v>502</v>
      </c>
      <c r="CI51" s="688">
        <f>CK51-CH51</f>
        <v>1286</v>
      </c>
      <c r="CJ51" s="530">
        <v>2387</v>
      </c>
      <c r="CK51" s="197">
        <f>CL51-CJ51</f>
        <v>1788</v>
      </c>
      <c r="CL51" s="1278">
        <v>4175</v>
      </c>
      <c r="CM51" s="530">
        <v>1242</v>
      </c>
      <c r="CN51" s="530">
        <v>1236</v>
      </c>
      <c r="CO51" s="530">
        <v>763</v>
      </c>
      <c r="CP51" s="688">
        <f>CR51-CO51</f>
        <v>1559</v>
      </c>
      <c r="CQ51" s="530">
        <f>+CM51+CN51</f>
        <v>2478</v>
      </c>
      <c r="CR51" s="197">
        <f>CS51-CQ51</f>
        <v>2322</v>
      </c>
      <c r="CS51" s="1278">
        <v>4800</v>
      </c>
      <c r="CT51" s="530">
        <v>197</v>
      </c>
      <c r="CU51" s="530">
        <f t="shared" ref="CU51:CU53" si="483">CX51-CT51</f>
        <v>1326</v>
      </c>
      <c r="CV51" s="530">
        <v>783</v>
      </c>
      <c r="CW51" s="688">
        <f>CY51-CV51</f>
        <v>1304</v>
      </c>
      <c r="CX51" s="530">
        <v>1523</v>
      </c>
      <c r="CY51" s="197">
        <f>CZ51-CX51</f>
        <v>2087</v>
      </c>
      <c r="CZ51" s="1278">
        <v>3610</v>
      </c>
      <c r="DA51" s="530">
        <v>500</v>
      </c>
      <c r="DB51" s="530">
        <f t="shared" ref="DB51:DB53" si="484">DE51-DA51</f>
        <v>1472</v>
      </c>
      <c r="DC51" s="530">
        <v>904</v>
      </c>
      <c r="DD51" s="688">
        <f>DF51-DC51</f>
        <v>2257</v>
      </c>
      <c r="DE51" s="530">
        <v>1972</v>
      </c>
      <c r="DF51" s="197">
        <f>DG51-DE51</f>
        <v>3161</v>
      </c>
      <c r="DG51" s="1278">
        <v>5133</v>
      </c>
      <c r="DH51" s="197">
        <v>451</v>
      </c>
      <c r="DI51" s="530">
        <f t="shared" ref="DI51:DI53" si="485">DL51-DH51</f>
        <v>780</v>
      </c>
      <c r="DJ51" s="530">
        <v>1325</v>
      </c>
      <c r="DK51" s="688">
        <f>DM51-DJ51</f>
        <v>1999</v>
      </c>
      <c r="DL51" s="2080">
        <v>1231</v>
      </c>
      <c r="DM51" s="197">
        <f>DN51-DL51</f>
        <v>3324</v>
      </c>
      <c r="DN51" s="1278">
        <v>4555</v>
      </c>
      <c r="DO51" s="197">
        <v>1</v>
      </c>
      <c r="DP51" s="530">
        <f t="shared" ref="DP51:DP53" si="486">DS51-DO51</f>
        <v>1949</v>
      </c>
      <c r="DQ51" s="322">
        <f>Airbus!DK58</f>
        <v>1537.1267727593568</v>
      </c>
      <c r="DR51" s="430">
        <f>Airbus!DL58</f>
        <v>2243.5512639030439</v>
      </c>
      <c r="DS51" s="2023">
        <v>1950</v>
      </c>
      <c r="DT51" s="322">
        <f>Airbus!DN58</f>
        <v>3780.6780366624007</v>
      </c>
      <c r="DU51" s="385">
        <f>Airbus!DO58</f>
        <v>5730.6780366624007</v>
      </c>
      <c r="DV51" s="322">
        <f>Airbus!DP58</f>
        <v>1717.4955710499453</v>
      </c>
      <c r="DW51" s="322">
        <f>Airbus!DQ58</f>
        <v>1876.7178219100488</v>
      </c>
      <c r="DX51" s="322">
        <f>Airbus!DR58</f>
        <v>1879.256655814354</v>
      </c>
      <c r="DY51" s="430">
        <f>Airbus!DS58</f>
        <v>1839.2900791853831</v>
      </c>
      <c r="DZ51" s="322">
        <f>Airbus!DT58</f>
        <v>3594.2133929599941</v>
      </c>
      <c r="EA51" s="322">
        <f>Airbus!DU58</f>
        <v>3718.5467349997371</v>
      </c>
      <c r="EB51" s="385">
        <f>Airbus!DV58</f>
        <v>7312.7601279597311</v>
      </c>
      <c r="EC51" s="322">
        <f>Airbus!DW58</f>
        <v>2205.2327436249648</v>
      </c>
      <c r="ED51" s="322">
        <f>Airbus!DX58</f>
        <v>2369.890441668806</v>
      </c>
      <c r="EE51" s="322">
        <f>Airbus!DY58</f>
        <v>2372.9282472399582</v>
      </c>
      <c r="EF51" s="430">
        <f>Airbus!DZ58</f>
        <v>2420.1112747069337</v>
      </c>
      <c r="EG51" s="322">
        <f>Airbus!EA58</f>
        <v>4575.1231852937708</v>
      </c>
      <c r="EH51" s="322">
        <f>Airbus!EB58</f>
        <v>4793.0395219468919</v>
      </c>
      <c r="EI51" s="385">
        <f>Airbus!EC58</f>
        <v>9368.1627072406627</v>
      </c>
      <c r="EJ51" s="322">
        <f>Airbus!ED58</f>
        <v>2529.8400900134998</v>
      </c>
      <c r="EK51" s="322">
        <f>Airbus!EE58</f>
        <v>2531.2487204615595</v>
      </c>
      <c r="EL51" s="322">
        <f>Airbus!EF58</f>
        <v>2534.4448985163485</v>
      </c>
      <c r="EM51" s="430">
        <f>Airbus!EG58</f>
        <v>2590.098849761564</v>
      </c>
      <c r="EN51" s="322">
        <f>Airbus!EH58</f>
        <v>5061.0888104750593</v>
      </c>
      <c r="EO51" s="322">
        <f>Airbus!EI58</f>
        <v>5124.5437482779125</v>
      </c>
      <c r="EP51" s="385">
        <f>Airbus!EJ58</f>
        <v>10185.632558752972</v>
      </c>
      <c r="EQ51" s="322">
        <f>Airbus!EK58</f>
        <v>2680.9431360907402</v>
      </c>
      <c r="ER51" s="322">
        <f>Airbus!EL58</f>
        <v>2683.3504286050675</v>
      </c>
      <c r="ES51" s="322">
        <f>Airbus!EM58</f>
        <v>2686.7178350070908</v>
      </c>
      <c r="ET51" s="430">
        <f>Airbus!EN58</f>
        <v>2742.4254564114854</v>
      </c>
      <c r="EU51" s="322">
        <f>Airbus!EO58</f>
        <v>5364.2935646958076</v>
      </c>
      <c r="EV51" s="322">
        <f>Airbus!EP58</f>
        <v>5429.1432914185762</v>
      </c>
      <c r="EW51" s="385">
        <f>Airbus!EQ58</f>
        <v>10793.436856114384</v>
      </c>
    </row>
    <row r="52" spans="1:153" ht="10.199999999999999" customHeight="1">
      <c r="A52" s="108" t="s">
        <v>325</v>
      </c>
      <c r="B52" s="530">
        <f>308*0.7</f>
        <v>215.6</v>
      </c>
      <c r="C52" s="530">
        <f>180*0.7</f>
        <v>125.99999999999999</v>
      </c>
      <c r="D52" s="530">
        <f>217*0.7</f>
        <v>151.89999999999998</v>
      </c>
      <c r="E52" s="530">
        <v>201</v>
      </c>
      <c r="F52" s="530">
        <v>212</v>
      </c>
      <c r="G52" s="530">
        <v>257</v>
      </c>
      <c r="H52" s="530">
        <v>211</v>
      </c>
      <c r="I52" s="530">
        <v>293</v>
      </c>
      <c r="J52" s="530">
        <v>263</v>
      </c>
      <c r="K52" s="530">
        <v>183</v>
      </c>
      <c r="L52" s="530">
        <v>259</v>
      </c>
      <c r="M52" s="530">
        <v>311</v>
      </c>
      <c r="N52" s="530">
        <v>20</v>
      </c>
      <c r="O52" s="530">
        <f>R52-N52</f>
        <v>108</v>
      </c>
      <c r="P52" s="530">
        <f>217-R52</f>
        <v>89</v>
      </c>
      <c r="Q52" s="688">
        <f t="shared" ref="Q52:Q53" si="487">S52-P52</f>
        <v>180</v>
      </c>
      <c r="R52" s="530">
        <v>128</v>
      </c>
      <c r="S52" s="197">
        <f t="shared" ref="S52:S53" si="488">T52-R52</f>
        <v>269</v>
      </c>
      <c r="T52" s="1278">
        <v>397</v>
      </c>
      <c r="U52" s="530">
        <v>58</v>
      </c>
      <c r="V52" s="530">
        <f>Y52-U52</f>
        <v>92</v>
      </c>
      <c r="W52" s="530">
        <f>241-Y52</f>
        <v>91</v>
      </c>
      <c r="X52" s="688">
        <f t="shared" ref="X52:X53" si="489">Z52-W52</f>
        <v>172</v>
      </c>
      <c r="Y52" s="530">
        <v>150</v>
      </c>
      <c r="Z52" s="197">
        <f t="shared" ref="Z52:Z53" si="490">AA52-Y52</f>
        <v>263</v>
      </c>
      <c r="AA52" s="1278">
        <v>413</v>
      </c>
      <c r="AB52" s="530">
        <v>52</v>
      </c>
      <c r="AC52" s="530">
        <f>AF52-AB52</f>
        <v>110</v>
      </c>
      <c r="AD52" s="530">
        <f>241-AF52</f>
        <v>79</v>
      </c>
      <c r="AE52" s="688">
        <f t="shared" ref="AE52:AE53" si="491">AG52-AD52</f>
        <v>186</v>
      </c>
      <c r="AF52" s="530">
        <v>162</v>
      </c>
      <c r="AG52" s="197">
        <f t="shared" ref="AG52:AG53" si="492">AH52-AF52</f>
        <v>265</v>
      </c>
      <c r="AH52" s="1278">
        <v>427</v>
      </c>
      <c r="AI52" s="530">
        <v>33</v>
      </c>
      <c r="AJ52" s="530">
        <f>AM52-AI52</f>
        <v>111</v>
      </c>
      <c r="AK52" s="530">
        <f>200-AM52</f>
        <v>56</v>
      </c>
      <c r="AL52" s="688">
        <f t="shared" ref="AL52:AL53" si="493">AN52-AK52</f>
        <v>108</v>
      </c>
      <c r="AM52" s="530">
        <v>144</v>
      </c>
      <c r="AN52" s="197">
        <f t="shared" ref="AN52:AN53" si="494">AO52-AM52</f>
        <v>164</v>
      </c>
      <c r="AO52" s="1278">
        <v>308</v>
      </c>
      <c r="AP52" s="530">
        <v>-2</v>
      </c>
      <c r="AQ52" s="530">
        <f>AT52-AP52</f>
        <v>95</v>
      </c>
      <c r="AR52" s="530">
        <v>72</v>
      </c>
      <c r="AS52" s="688">
        <f t="shared" ref="AS52:AS53" si="495">AU52-AR52</f>
        <v>172</v>
      </c>
      <c r="AT52" s="530">
        <v>93</v>
      </c>
      <c r="AU52" s="197">
        <f t="shared" ref="AU52:AU53" si="496">AV52-AT52</f>
        <v>244</v>
      </c>
      <c r="AV52" s="1278">
        <v>337</v>
      </c>
      <c r="AW52" s="530">
        <v>-6</v>
      </c>
      <c r="AX52" s="530">
        <f>BA52-AW52</f>
        <v>86</v>
      </c>
      <c r="AY52" s="530">
        <f>161-BA52</f>
        <v>81</v>
      </c>
      <c r="AZ52" s="688">
        <f t="shared" ref="AZ52:AZ53" si="497">BB52-AY52</f>
        <v>86</v>
      </c>
      <c r="BA52" s="530">
        <v>80</v>
      </c>
      <c r="BB52" s="197">
        <f t="shared" ref="BB52:BB53" si="498">BC52-BA52</f>
        <v>167</v>
      </c>
      <c r="BC52" s="1278">
        <v>247</v>
      </c>
      <c r="BD52" s="530">
        <v>-10</v>
      </c>
      <c r="BE52" s="530">
        <v>124</v>
      </c>
      <c r="BF52" s="530">
        <f>179-BH52</f>
        <v>65</v>
      </c>
      <c r="BG52" s="688">
        <f t="shared" ref="BG52:BG53" si="499">BI52-BF52</f>
        <v>187</v>
      </c>
      <c r="BH52" s="530">
        <f>BD52+BE52</f>
        <v>114</v>
      </c>
      <c r="BI52" s="197">
        <f t="shared" ref="BI52:BI53" si="500">BJ52-BH52</f>
        <v>252</v>
      </c>
      <c r="BJ52" s="1278">
        <v>366</v>
      </c>
      <c r="BK52" s="530">
        <v>9</v>
      </c>
      <c r="BL52" s="530">
        <f>BO52-BK52</f>
        <v>115</v>
      </c>
      <c r="BM52" s="530">
        <f>203-BO52</f>
        <v>79</v>
      </c>
      <c r="BN52" s="688">
        <f>BP52-BM52</f>
        <v>211</v>
      </c>
      <c r="BO52" s="530">
        <v>124</v>
      </c>
      <c r="BP52" s="197">
        <f>BQ52-BO52</f>
        <v>290</v>
      </c>
      <c r="BQ52" s="1278">
        <v>414</v>
      </c>
      <c r="BR52" s="530">
        <v>9</v>
      </c>
      <c r="BS52" s="530">
        <f>BV52-BR52</f>
        <v>115</v>
      </c>
      <c r="BT52" s="530">
        <f>203-BV52</f>
        <v>79</v>
      </c>
      <c r="BU52" s="688">
        <f>BW52-BT52</f>
        <v>211</v>
      </c>
      <c r="BV52" s="530">
        <v>124</v>
      </c>
      <c r="BW52" s="197">
        <f>BX52-BV52</f>
        <v>290</v>
      </c>
      <c r="BX52" s="1278">
        <v>414</v>
      </c>
      <c r="BY52" s="530">
        <v>-53</v>
      </c>
      <c r="BZ52" s="530">
        <f>CC52-BY52</f>
        <v>99</v>
      </c>
      <c r="CA52" s="530">
        <v>86</v>
      </c>
      <c r="CB52" s="688">
        <f>CD52-CA52</f>
        <v>323</v>
      </c>
      <c r="CC52" s="530">
        <v>46</v>
      </c>
      <c r="CD52" s="197">
        <f>CE52-CC52</f>
        <v>409</v>
      </c>
      <c r="CE52" s="1278">
        <v>455</v>
      </c>
      <c r="CF52" s="530">
        <v>62</v>
      </c>
      <c r="CG52" s="530">
        <f>CJ52-CF52</f>
        <v>121</v>
      </c>
      <c r="CH52" s="530">
        <v>129</v>
      </c>
      <c r="CI52" s="688">
        <f>CK52-CH52</f>
        <v>223</v>
      </c>
      <c r="CJ52" s="530">
        <v>183</v>
      </c>
      <c r="CK52" s="197">
        <f>CL52-CJ52</f>
        <v>352</v>
      </c>
      <c r="CL52" s="1278">
        <v>535</v>
      </c>
      <c r="CM52" s="530">
        <v>90</v>
      </c>
      <c r="CN52" s="530">
        <v>125</v>
      </c>
      <c r="CO52" s="530">
        <v>165</v>
      </c>
      <c r="CP52" s="688">
        <f>CR52-CO52</f>
        <v>259</v>
      </c>
      <c r="CQ52" s="530">
        <f>+CM52+CN52</f>
        <v>215</v>
      </c>
      <c r="CR52" s="197">
        <f>CS52-CQ52</f>
        <v>424</v>
      </c>
      <c r="CS52" s="1278">
        <v>639</v>
      </c>
      <c r="CT52" s="530">
        <v>156</v>
      </c>
      <c r="CU52" s="530">
        <f t="shared" si="483"/>
        <v>111</v>
      </c>
      <c r="CV52" s="530">
        <v>143</v>
      </c>
      <c r="CW52" s="688">
        <f t="shared" ref="CW52:CW53" si="501">CY52-CV52</f>
        <v>307</v>
      </c>
      <c r="CX52" s="530">
        <v>267</v>
      </c>
      <c r="CY52" s="197">
        <f t="shared" ref="CY52:CY53" si="502">CZ52-CX52</f>
        <v>450</v>
      </c>
      <c r="CZ52" s="1278">
        <v>717</v>
      </c>
      <c r="DA52" s="530">
        <v>71</v>
      </c>
      <c r="DB52" s="530">
        <f t="shared" si="484"/>
        <v>159</v>
      </c>
      <c r="DC52" s="530">
        <v>190</v>
      </c>
      <c r="DD52" s="688">
        <f t="shared" ref="DD52:DD53" si="503">DF52-DC52</f>
        <v>398</v>
      </c>
      <c r="DE52" s="530">
        <v>230</v>
      </c>
      <c r="DF52" s="197">
        <f t="shared" ref="DF52:DF53" si="504">DG52-DE52</f>
        <v>588</v>
      </c>
      <c r="DG52" s="1278">
        <v>818</v>
      </c>
      <c r="DH52" s="197">
        <v>78</v>
      </c>
      <c r="DI52" s="530">
        <f t="shared" si="485"/>
        <v>171</v>
      </c>
      <c r="DJ52" s="530">
        <v>246</v>
      </c>
      <c r="DK52" s="688">
        <f t="shared" ref="DK52:DK53" si="505">DM52-DJ52</f>
        <v>458</v>
      </c>
      <c r="DL52" s="2080">
        <v>249</v>
      </c>
      <c r="DM52" s="197">
        <f t="shared" ref="DM52:DM53" si="506">DN52-DL52</f>
        <v>704</v>
      </c>
      <c r="DN52" s="1278">
        <v>953</v>
      </c>
      <c r="DO52" s="197">
        <v>65</v>
      </c>
      <c r="DP52" s="530">
        <f t="shared" si="486"/>
        <v>175</v>
      </c>
      <c r="DQ52" s="322">
        <f>Helicopters!DC11</f>
        <v>260.24090624999997</v>
      </c>
      <c r="DR52" s="430">
        <f>Helicopters!DD11</f>
        <v>463.51285143000007</v>
      </c>
      <c r="DS52" s="2023">
        <v>240</v>
      </c>
      <c r="DT52" s="322">
        <f>Helicopters!DF11</f>
        <v>723.75375768000004</v>
      </c>
      <c r="DU52" s="385">
        <f>Helicopters!DG11</f>
        <v>963.75375768000004</v>
      </c>
      <c r="DV52" s="322">
        <f>Helicopters!DH11</f>
        <v>179.59914215999999</v>
      </c>
      <c r="DW52" s="322">
        <f>Helicopters!DI11</f>
        <v>233.37480023999996</v>
      </c>
      <c r="DX52" s="322">
        <f>Helicopters!DJ11</f>
        <v>234.036926532</v>
      </c>
      <c r="DY52" s="430">
        <f>Helicopters!DK11</f>
        <v>408.51237555590416</v>
      </c>
      <c r="DZ52" s="322">
        <f>Helicopters!DL11</f>
        <v>412.97394239999994</v>
      </c>
      <c r="EA52" s="322">
        <f>Helicopters!DM11</f>
        <v>642.54930208790415</v>
      </c>
      <c r="EB52" s="385">
        <f>Helicopters!DN11</f>
        <v>1055.5232444879041</v>
      </c>
      <c r="EC52" s="322">
        <f>Helicopters!DO11</f>
        <v>196.63263785577601</v>
      </c>
      <c r="ED52" s="322">
        <f>Helicopters!DP11</f>
        <v>255.20220849686402</v>
      </c>
      <c r="EE52" s="322">
        <f>Helicopters!DQ11</f>
        <v>255.92764302754023</v>
      </c>
      <c r="EF52" s="430">
        <f>Helicopters!DR11</f>
        <v>445.81787531029966</v>
      </c>
      <c r="EG52" s="322">
        <f>Helicopters!DS11</f>
        <v>451.83484635264006</v>
      </c>
      <c r="EH52" s="322">
        <f>Helicopters!DT11</f>
        <v>701.74551833783983</v>
      </c>
      <c r="EI52" s="385">
        <f>Helicopters!DU11</f>
        <v>1153.5803646904799</v>
      </c>
      <c r="EJ52" s="322">
        <f>Helicopters!DV11</f>
        <v>209.38143385857325</v>
      </c>
      <c r="EK52" s="322">
        <f>Helicopters!DW11</f>
        <v>272.71732658450844</v>
      </c>
      <c r="EL52" s="322">
        <f>Helicopters!DX11</f>
        <v>273.48817836678359</v>
      </c>
      <c r="EM52" s="430">
        <f>Helicopters!DY11</f>
        <v>479.27380823613396</v>
      </c>
      <c r="EN52" s="322">
        <f>Helicopters!DZ11</f>
        <v>482.09876044308174</v>
      </c>
      <c r="EO52" s="322">
        <f>Helicopters!EA11</f>
        <v>752.76198660291766</v>
      </c>
      <c r="EP52" s="385">
        <f>Helicopters!EB11</f>
        <v>1234.8607470459992</v>
      </c>
      <c r="EQ52" s="322">
        <f>Helicopters!EC11</f>
        <v>218.99732346117963</v>
      </c>
      <c r="ER52" s="322">
        <f>Helicopters!ED11</f>
        <v>284.96249728460259</v>
      </c>
      <c r="ES52" s="322">
        <f>Helicopters!EE11</f>
        <v>285.76921686708766</v>
      </c>
      <c r="ET52" s="430">
        <f>Helicopters!EF11</f>
        <v>499.97206307760376</v>
      </c>
      <c r="EU52" s="322">
        <f>Helicopters!EG11</f>
        <v>503.95982074578228</v>
      </c>
      <c r="EV52" s="322">
        <f>Helicopters!EH11</f>
        <v>785.74127994469143</v>
      </c>
      <c r="EW52" s="385">
        <f>Helicopters!EI11</f>
        <v>1289.7011006904736</v>
      </c>
    </row>
    <row r="53" spans="1:153" ht="10.199999999999999" customHeight="1">
      <c r="A53" s="108" t="s">
        <v>324</v>
      </c>
      <c r="B53" s="530"/>
      <c r="C53" s="530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>
        <v>84</v>
      </c>
      <c r="O53" s="530">
        <f>R53-N53</f>
        <v>132</v>
      </c>
      <c r="P53" s="530">
        <f>356-R53</f>
        <v>140</v>
      </c>
      <c r="Q53" s="688">
        <f t="shared" si="487"/>
        <v>303</v>
      </c>
      <c r="R53" s="530">
        <v>216</v>
      </c>
      <c r="S53" s="197">
        <f t="shared" si="488"/>
        <v>443</v>
      </c>
      <c r="T53" s="1278">
        <v>659</v>
      </c>
      <c r="U53" s="530">
        <v>85</v>
      </c>
      <c r="V53" s="530">
        <f>Y53-U53</f>
        <v>138</v>
      </c>
      <c r="W53" s="530">
        <f>370-Y53</f>
        <v>147</v>
      </c>
      <c r="X53" s="688">
        <f t="shared" si="489"/>
        <v>39</v>
      </c>
      <c r="Y53" s="530">
        <v>223</v>
      </c>
      <c r="Z53" s="197">
        <f t="shared" si="490"/>
        <v>186</v>
      </c>
      <c r="AA53" s="1278">
        <v>409</v>
      </c>
      <c r="AB53" s="530">
        <v>133</v>
      </c>
      <c r="AC53" s="530">
        <f>AF53-AB53</f>
        <v>-159</v>
      </c>
      <c r="AD53" s="530">
        <f>149-AF53</f>
        <v>175</v>
      </c>
      <c r="AE53" s="688">
        <f t="shared" si="491"/>
        <v>596</v>
      </c>
      <c r="AF53" s="530">
        <v>-26</v>
      </c>
      <c r="AG53" s="197">
        <f t="shared" si="492"/>
        <v>771</v>
      </c>
      <c r="AH53" s="1278">
        <v>745</v>
      </c>
      <c r="AI53" s="530">
        <v>88</v>
      </c>
      <c r="AJ53" s="530">
        <f>AM53-AI53</f>
        <v>387</v>
      </c>
      <c r="AK53" s="530">
        <f>579-AM53</f>
        <v>104</v>
      </c>
      <c r="AL53" s="688">
        <f t="shared" si="493"/>
        <v>-672</v>
      </c>
      <c r="AM53" s="530">
        <v>475</v>
      </c>
      <c r="AN53" s="197">
        <f t="shared" si="494"/>
        <v>-568</v>
      </c>
      <c r="AO53" s="1278">
        <v>-93</v>
      </c>
      <c r="AP53" s="530">
        <v>620</v>
      </c>
      <c r="AQ53" s="530">
        <f>AT53-AP53</f>
        <v>196</v>
      </c>
      <c r="AR53" s="530">
        <v>84</v>
      </c>
      <c r="AS53" s="688">
        <f t="shared" si="495"/>
        <v>-688</v>
      </c>
      <c r="AT53" s="530">
        <v>816</v>
      </c>
      <c r="AU53" s="197">
        <f t="shared" si="496"/>
        <v>-604</v>
      </c>
      <c r="AV53" s="1278">
        <v>212</v>
      </c>
      <c r="AW53" s="530">
        <v>657</v>
      </c>
      <c r="AX53" s="530">
        <f>BA53-AW53</f>
        <v>175</v>
      </c>
      <c r="AY53" s="530">
        <f>889-BA53</f>
        <v>57</v>
      </c>
      <c r="AZ53" s="688">
        <f t="shared" si="497"/>
        <v>-427</v>
      </c>
      <c r="BA53" s="530">
        <v>832</v>
      </c>
      <c r="BB53" s="197">
        <f t="shared" si="498"/>
        <v>-370</v>
      </c>
      <c r="BC53" s="1278">
        <v>462</v>
      </c>
      <c r="BD53" s="530">
        <v>265</v>
      </c>
      <c r="BE53" s="530">
        <v>117</v>
      </c>
      <c r="BF53" s="530">
        <f>479-BH53</f>
        <v>97</v>
      </c>
      <c r="BG53" s="688">
        <f t="shared" si="499"/>
        <v>197</v>
      </c>
      <c r="BH53" s="530">
        <f>BD53+BE53</f>
        <v>382</v>
      </c>
      <c r="BI53" s="197">
        <f t="shared" si="500"/>
        <v>294</v>
      </c>
      <c r="BJ53" s="1278">
        <v>676</v>
      </c>
      <c r="BK53" s="530">
        <v>-117</v>
      </c>
      <c r="BL53" s="530">
        <f>BO53-BK53</f>
        <v>102</v>
      </c>
      <c r="BM53" s="530">
        <f>83-BO53</f>
        <v>98</v>
      </c>
      <c r="BN53" s="688">
        <f>BP53-BM53</f>
        <v>-964</v>
      </c>
      <c r="BO53" s="530">
        <v>-15</v>
      </c>
      <c r="BP53" s="197">
        <f>BQ53-BO53</f>
        <v>-866</v>
      </c>
      <c r="BQ53" s="1278">
        <v>-881</v>
      </c>
      <c r="BR53" s="530">
        <v>-117</v>
      </c>
      <c r="BS53" s="530">
        <f>BV53-BR53</f>
        <v>102</v>
      </c>
      <c r="BT53" s="530">
        <f>83-BV53</f>
        <v>98</v>
      </c>
      <c r="BU53" s="688">
        <f>BW53-BT53</f>
        <v>-964</v>
      </c>
      <c r="BV53" s="530">
        <v>-15</v>
      </c>
      <c r="BW53" s="197">
        <f>BX53-BV53</f>
        <v>-866</v>
      </c>
      <c r="BX53" s="1278">
        <v>-881</v>
      </c>
      <c r="BY53" s="530">
        <v>53</v>
      </c>
      <c r="BZ53" s="530">
        <f>CC53-BY53</f>
        <v>126</v>
      </c>
      <c r="CA53" s="530">
        <v>-109</v>
      </c>
      <c r="CB53" s="688">
        <f>CD53-CA53</f>
        <v>338</v>
      </c>
      <c r="CC53" s="530">
        <v>179</v>
      </c>
      <c r="CD53" s="197">
        <f>CE53-CC53</f>
        <v>229</v>
      </c>
      <c r="CE53" s="1278">
        <v>408</v>
      </c>
      <c r="CF53" s="530">
        <v>17</v>
      </c>
      <c r="CG53" s="530">
        <f>CJ53-CF53</f>
        <v>140</v>
      </c>
      <c r="CH53" s="530">
        <v>47</v>
      </c>
      <c r="CI53" s="688">
        <f>CK53-CH53</f>
        <v>364</v>
      </c>
      <c r="CJ53" s="530">
        <v>157</v>
      </c>
      <c r="CK53" s="197">
        <f>CL53-CJ53</f>
        <v>411</v>
      </c>
      <c r="CL53" s="1278">
        <v>568</v>
      </c>
      <c r="CM53" s="530">
        <v>95</v>
      </c>
      <c r="CN53" s="530">
        <v>-208</v>
      </c>
      <c r="CO53" s="530">
        <v>49</v>
      </c>
      <c r="CP53" s="688">
        <f>CR53-CO53</f>
        <v>-54</v>
      </c>
      <c r="CQ53" s="530">
        <f>+CM53+CN53</f>
        <v>-113</v>
      </c>
      <c r="CR53" s="197">
        <f>CS53-CQ53</f>
        <v>-5</v>
      </c>
      <c r="CS53" s="1278">
        <v>-118</v>
      </c>
      <c r="CT53" s="530">
        <v>36</v>
      </c>
      <c r="CU53" s="530">
        <f t="shared" si="483"/>
        <v>51</v>
      </c>
      <c r="CV53" s="530">
        <v>-90</v>
      </c>
      <c r="CW53" s="688">
        <f t="shared" si="501"/>
        <v>223</v>
      </c>
      <c r="CX53" s="530">
        <v>87</v>
      </c>
      <c r="CY53" s="197">
        <f t="shared" si="502"/>
        <v>133</v>
      </c>
      <c r="CZ53" s="1278">
        <v>220</v>
      </c>
      <c r="DA53" s="530">
        <v>30</v>
      </c>
      <c r="DB53" s="530">
        <f t="shared" si="484"/>
        <v>-790</v>
      </c>
      <c r="DC53" s="530">
        <v>143</v>
      </c>
      <c r="DD53" s="688">
        <f t="shared" si="503"/>
        <v>-39</v>
      </c>
      <c r="DE53" s="530">
        <v>-760</v>
      </c>
      <c r="DF53" s="197">
        <f t="shared" si="504"/>
        <v>104</v>
      </c>
      <c r="DG53" s="1278">
        <v>-656</v>
      </c>
      <c r="DH53" s="197">
        <v>-31</v>
      </c>
      <c r="DI53" s="530">
        <f t="shared" si="485"/>
        <v>192</v>
      </c>
      <c r="DJ53" s="530">
        <v>192</v>
      </c>
      <c r="DK53" s="688">
        <f t="shared" si="505"/>
        <v>286</v>
      </c>
      <c r="DL53" s="2080">
        <v>161</v>
      </c>
      <c r="DM53" s="197">
        <f t="shared" si="506"/>
        <v>478</v>
      </c>
      <c r="DN53" s="1278">
        <v>639</v>
      </c>
      <c r="DO53" s="197">
        <v>134</v>
      </c>
      <c r="DP53" s="530">
        <f t="shared" si="486"/>
        <v>408</v>
      </c>
      <c r="DQ53" s="322">
        <f>'Defence &amp; Space'!CQ15</f>
        <v>211.791135</v>
      </c>
      <c r="DR53" s="430">
        <f>'Defence &amp; Space'!CR15</f>
        <v>318.38026500000024</v>
      </c>
      <c r="DS53" s="2023">
        <v>542</v>
      </c>
      <c r="DT53" s="322">
        <f>'Defence &amp; Space'!CT15</f>
        <v>530.17140000000018</v>
      </c>
      <c r="DU53" s="385">
        <f>'Defence &amp; Space'!CU15</f>
        <v>1072.1714000000002</v>
      </c>
      <c r="DV53" s="322">
        <f>'Defence &amp; Space'!CV15</f>
        <v>226.57769999999999</v>
      </c>
      <c r="DW53" s="322">
        <f>'Defence &amp; Space'!CW15</f>
        <v>278.97862499999997</v>
      </c>
      <c r="DX53" s="322">
        <f>'Defence &amp; Space'!CX15</f>
        <v>267.451588125</v>
      </c>
      <c r="DY53" s="430">
        <f>'Defence &amp; Space'!CY15</f>
        <v>390.11042437500015</v>
      </c>
      <c r="DZ53" s="322">
        <f>'Defence &amp; Space'!CZ15</f>
        <v>505.55632500000002</v>
      </c>
      <c r="EA53" s="322">
        <f>'Defence &amp; Space'!DA15</f>
        <v>657.56201250000015</v>
      </c>
      <c r="EB53" s="385">
        <f>'Defence &amp; Space'!DB15</f>
        <v>1163.1183375000001</v>
      </c>
      <c r="EC53" s="322">
        <f>'Defence &amp; Space'!DC15</f>
        <v>253.76702399999999</v>
      </c>
      <c r="ED53" s="322">
        <f>'Defence &amp; Space'!DD15</f>
        <v>312.45606000000009</v>
      </c>
      <c r="EE53" s="322">
        <f>'Defence &amp; Space'!DE15</f>
        <v>299.54577870000003</v>
      </c>
      <c r="EF53" s="430">
        <f>'Defence &amp; Space'!DF15</f>
        <v>436.92367530000024</v>
      </c>
      <c r="EG53" s="322">
        <f>'Defence &amp; Space'!DG15</f>
        <v>566.22308400000009</v>
      </c>
      <c r="EH53" s="322">
        <f>'Defence &amp; Space'!DH15</f>
        <v>736.46945400000027</v>
      </c>
      <c r="EI53" s="385">
        <f>'Defence &amp; Space'!DI15</f>
        <v>1302.6925380000002</v>
      </c>
      <c r="EJ53" s="322">
        <f>'Defence &amp; Space'!DJ15</f>
        <v>271.86472530000003</v>
      </c>
      <c r="EK53" s="322">
        <f>'Defence &amp; Space'!DK15</f>
        <v>334.0024301250001</v>
      </c>
      <c r="EL53" s="322">
        <f>'Defence &amp; Space'!DL15</f>
        <v>321.00302695781255</v>
      </c>
      <c r="EM53" s="430">
        <f>'Defence &amp; Space'!DM15</f>
        <v>467.02716056718782</v>
      </c>
      <c r="EN53" s="322">
        <f>'Defence &amp; Space'!DN15</f>
        <v>605.86715542500008</v>
      </c>
      <c r="EO53" s="322">
        <f>'Defence &amp; Space'!DO15</f>
        <v>788.03018752500031</v>
      </c>
      <c r="EP53" s="385">
        <f>'Defence &amp; Space'!DP15</f>
        <v>1393.8973429500004</v>
      </c>
      <c r="EQ53" s="322">
        <f>'Defence &amp; Space'!DQ15</f>
        <v>291.13777917000004</v>
      </c>
      <c r="ER53" s="322">
        <f>'Defence &amp; Space'!DR15</f>
        <v>356.92229711250013</v>
      </c>
      <c r="ES53" s="322">
        <f>'Defence &amp; Space'!DS15</f>
        <v>343.85713559465631</v>
      </c>
      <c r="ET53" s="430">
        <f>'Defence &amp; Space'!DT15</f>
        <v>499.04868517284399</v>
      </c>
      <c r="EU53" s="322">
        <f>'Defence &amp; Space'!DU15</f>
        <v>648.06007628250018</v>
      </c>
      <c r="EV53" s="322">
        <f>'Defence &amp; Space'!DV15</f>
        <v>842.90582076750024</v>
      </c>
      <c r="EW53" s="385">
        <f>'Defence &amp; Space'!DW15</f>
        <v>1490.9658970500004</v>
      </c>
    </row>
    <row r="54" spans="1:153" ht="10.199999999999999" hidden="1" customHeight="1" outlineLevel="1">
      <c r="A54" s="127" t="str">
        <f>A7</f>
        <v>Airbus Military</v>
      </c>
      <c r="B54" s="317">
        <v>1</v>
      </c>
      <c r="C54" s="317">
        <v>-80</v>
      </c>
      <c r="D54" s="317">
        <v>30</v>
      </c>
      <c r="E54" s="317">
        <v>26</v>
      </c>
      <c r="F54" s="317">
        <v>48</v>
      </c>
      <c r="G54" s="317">
        <v>75</v>
      </c>
      <c r="H54" s="317">
        <v>-155</v>
      </c>
      <c r="I54" s="317">
        <v>-493</v>
      </c>
      <c r="J54" s="317">
        <v>-1754</v>
      </c>
      <c r="K54" s="317">
        <v>21</v>
      </c>
      <c r="L54" s="317">
        <v>49</v>
      </c>
      <c r="M54" s="317">
        <v>93</v>
      </c>
      <c r="N54" s="317"/>
      <c r="O54" s="317"/>
      <c r="P54" s="317"/>
      <c r="Q54" s="714"/>
      <c r="R54" s="317"/>
      <c r="S54" s="317"/>
      <c r="T54" s="314"/>
      <c r="U54" s="317"/>
      <c r="V54" s="317"/>
      <c r="W54" s="317"/>
      <c r="X54" s="714"/>
      <c r="Y54" s="317"/>
      <c r="Z54" s="317"/>
      <c r="AA54" s="314"/>
      <c r="AB54" s="317"/>
      <c r="AC54" s="317"/>
      <c r="AD54" s="317"/>
      <c r="AE54" s="714"/>
      <c r="AF54" s="317"/>
      <c r="AG54" s="317"/>
      <c r="AH54" s="314"/>
      <c r="AI54" s="317"/>
      <c r="AJ54" s="317"/>
      <c r="AK54" s="317"/>
      <c r="AL54" s="714"/>
      <c r="AM54" s="317"/>
      <c r="AN54" s="317"/>
      <c r="AO54" s="314"/>
      <c r="AP54" s="317"/>
      <c r="AQ54" s="317"/>
      <c r="AR54" s="317"/>
      <c r="AS54" s="688"/>
      <c r="AT54" s="317"/>
      <c r="AU54" s="197"/>
      <c r="AV54" s="314"/>
      <c r="AW54" s="317"/>
      <c r="AX54" s="317"/>
      <c r="AY54" s="317"/>
      <c r="AZ54" s="688"/>
      <c r="BA54" s="317"/>
      <c r="BB54" s="197"/>
      <c r="BC54" s="314"/>
      <c r="BD54" s="317"/>
      <c r="BE54" s="317"/>
      <c r="BF54" s="317"/>
      <c r="BG54" s="714"/>
      <c r="BH54" s="317"/>
      <c r="BI54" s="317"/>
      <c r="BJ54" s="314"/>
      <c r="BK54" s="317"/>
      <c r="BL54" s="317"/>
      <c r="BM54" s="317"/>
      <c r="BN54" s="714"/>
      <c r="BO54" s="317"/>
      <c r="BP54" s="317"/>
      <c r="BQ54" s="314"/>
      <c r="BR54" s="317"/>
      <c r="BS54" s="317"/>
      <c r="BT54" s="317"/>
      <c r="BU54" s="714"/>
      <c r="BV54" s="317"/>
      <c r="BW54" s="317"/>
      <c r="BX54" s="314"/>
      <c r="BY54" s="317"/>
      <c r="BZ54" s="317"/>
      <c r="CA54" s="317"/>
      <c r="CB54" s="714"/>
      <c r="CC54" s="317"/>
      <c r="CD54" s="317"/>
      <c r="CE54" s="314"/>
      <c r="CF54" s="317"/>
      <c r="CG54" s="317"/>
      <c r="CH54" s="317"/>
      <c r="CI54" s="714"/>
      <c r="CJ54" s="317"/>
      <c r="CK54" s="317"/>
      <c r="CL54" s="314"/>
      <c r="CM54" s="317"/>
      <c r="CN54" s="317"/>
      <c r="CO54" s="317"/>
      <c r="CP54" s="714"/>
      <c r="CQ54" s="317"/>
      <c r="CR54" s="317"/>
      <c r="CS54" s="314"/>
      <c r="CT54" s="317"/>
      <c r="CU54" s="317"/>
      <c r="CV54" s="317"/>
      <c r="CW54" s="714"/>
      <c r="CX54" s="317"/>
      <c r="CY54" s="317"/>
      <c r="CZ54" s="314"/>
      <c r="DA54" s="317"/>
      <c r="DB54" s="317"/>
      <c r="DC54" s="317"/>
      <c r="DD54" s="714"/>
      <c r="DE54" s="317"/>
      <c r="DF54" s="317"/>
      <c r="DG54" s="314"/>
      <c r="DH54" s="317"/>
      <c r="DI54" s="317"/>
      <c r="DJ54" s="317"/>
      <c r="DK54" s="714"/>
      <c r="DL54" s="317"/>
      <c r="DM54" s="317"/>
      <c r="DN54" s="314"/>
      <c r="DO54" s="317"/>
      <c r="DP54" s="317"/>
      <c r="DQ54" s="317"/>
      <c r="DR54" s="714"/>
      <c r="DS54" s="1909"/>
      <c r="DT54" s="317"/>
      <c r="DU54" s="619"/>
      <c r="DV54" s="317"/>
      <c r="DW54" s="317"/>
      <c r="DX54" s="317"/>
      <c r="DY54" s="714"/>
      <c r="DZ54" s="317"/>
      <c r="EA54" s="317"/>
      <c r="EB54" s="619"/>
      <c r="EC54" s="317"/>
      <c r="ED54" s="317"/>
      <c r="EE54" s="317"/>
      <c r="EF54" s="714"/>
      <c r="EG54" s="317"/>
      <c r="EH54" s="317"/>
      <c r="EI54" s="619"/>
      <c r="EJ54" s="317"/>
      <c r="EK54" s="317"/>
      <c r="EL54" s="317"/>
      <c r="EM54" s="714"/>
      <c r="EN54" s="317"/>
      <c r="EO54" s="317"/>
      <c r="EP54" s="619"/>
      <c r="EQ54" s="317"/>
      <c r="ER54" s="317"/>
      <c r="ES54" s="317"/>
      <c r="ET54" s="714"/>
      <c r="EU54" s="317"/>
      <c r="EV54" s="317"/>
      <c r="EW54" s="619"/>
    </row>
    <row r="55" spans="1:153" ht="10.199999999999999" hidden="1" customHeight="1" outlineLevel="1">
      <c r="A55" s="127" t="str">
        <f>A8</f>
        <v>Cassidian</v>
      </c>
      <c r="B55" s="317">
        <v>-79</v>
      </c>
      <c r="C55" s="317">
        <v>122</v>
      </c>
      <c r="D55" s="317">
        <f>171</f>
        <v>171</v>
      </c>
      <c r="E55" s="317">
        <v>226</v>
      </c>
      <c r="F55" s="317">
        <v>201</v>
      </c>
      <c r="G55" s="317">
        <v>348</v>
      </c>
      <c r="H55" s="317">
        <v>345</v>
      </c>
      <c r="I55" s="317">
        <v>408</v>
      </c>
      <c r="J55" s="317">
        <v>449</v>
      </c>
      <c r="K55" s="317">
        <v>457</v>
      </c>
      <c r="L55" s="317">
        <v>331</v>
      </c>
      <c r="M55" s="317">
        <v>142</v>
      </c>
      <c r="N55" s="317"/>
      <c r="O55" s="317"/>
      <c r="P55" s="317"/>
      <c r="Q55" s="714"/>
      <c r="R55" s="317"/>
      <c r="S55" s="317"/>
      <c r="T55" s="314"/>
      <c r="U55" s="317"/>
      <c r="V55" s="317"/>
      <c r="W55" s="317"/>
      <c r="X55" s="714"/>
      <c r="Y55" s="317"/>
      <c r="Z55" s="317"/>
      <c r="AA55" s="314"/>
      <c r="AB55" s="317"/>
      <c r="AC55" s="317"/>
      <c r="AD55" s="317"/>
      <c r="AE55" s="714"/>
      <c r="AF55" s="317"/>
      <c r="AG55" s="317"/>
      <c r="AH55" s="314"/>
      <c r="AI55" s="317"/>
      <c r="AJ55" s="317"/>
      <c r="AK55" s="317"/>
      <c r="AL55" s="714"/>
      <c r="AM55" s="317"/>
      <c r="AN55" s="317"/>
      <c r="AO55" s="314"/>
      <c r="AP55" s="317"/>
      <c r="AQ55" s="317"/>
      <c r="AR55" s="317"/>
      <c r="AS55" s="714"/>
      <c r="AT55" s="317"/>
      <c r="AU55" s="317"/>
      <c r="AV55" s="314"/>
      <c r="AW55" s="317"/>
      <c r="AX55" s="317"/>
      <c r="AY55" s="317"/>
      <c r="AZ55" s="714"/>
      <c r="BA55" s="317"/>
      <c r="BB55" s="317"/>
      <c r="BC55" s="314"/>
      <c r="BD55" s="317"/>
      <c r="BE55" s="317"/>
      <c r="BF55" s="317"/>
      <c r="BG55" s="714"/>
      <c r="BH55" s="317"/>
      <c r="BI55" s="317"/>
      <c r="BJ55" s="314"/>
      <c r="BK55" s="317"/>
      <c r="BL55" s="317"/>
      <c r="BM55" s="317"/>
      <c r="BN55" s="714"/>
      <c r="BO55" s="317"/>
      <c r="BP55" s="317"/>
      <c r="BQ55" s="314"/>
      <c r="BR55" s="317"/>
      <c r="BS55" s="317"/>
      <c r="BT55" s="317"/>
      <c r="BU55" s="714"/>
      <c r="BV55" s="317"/>
      <c r="BW55" s="317"/>
      <c r="BX55" s="314"/>
      <c r="BY55" s="317"/>
      <c r="BZ55" s="317"/>
      <c r="CA55" s="317"/>
      <c r="CB55" s="714"/>
      <c r="CC55" s="317"/>
      <c r="CD55" s="317"/>
      <c r="CE55" s="314"/>
      <c r="CF55" s="317"/>
      <c r="CG55" s="317"/>
      <c r="CH55" s="317"/>
      <c r="CI55" s="714"/>
      <c r="CJ55" s="317"/>
      <c r="CK55" s="317"/>
      <c r="CL55" s="314"/>
      <c r="CM55" s="317"/>
      <c r="CN55" s="317"/>
      <c r="CO55" s="317"/>
      <c r="CP55" s="714"/>
      <c r="CQ55" s="317"/>
      <c r="CR55" s="317"/>
      <c r="CS55" s="314"/>
      <c r="CT55" s="317"/>
      <c r="CU55" s="317"/>
      <c r="CV55" s="317"/>
      <c r="CW55" s="714"/>
      <c r="CX55" s="317"/>
      <c r="CY55" s="317"/>
      <c r="CZ55" s="314"/>
      <c r="DA55" s="317"/>
      <c r="DB55" s="317"/>
      <c r="DC55" s="317"/>
      <c r="DD55" s="714"/>
      <c r="DE55" s="317"/>
      <c r="DF55" s="317"/>
      <c r="DG55" s="314"/>
      <c r="DH55" s="317"/>
      <c r="DI55" s="317"/>
      <c r="DJ55" s="317"/>
      <c r="DK55" s="714"/>
      <c r="DL55" s="317"/>
      <c r="DM55" s="317"/>
      <c r="DN55" s="314"/>
      <c r="DO55" s="317"/>
      <c r="DP55" s="317"/>
      <c r="DQ55" s="317"/>
      <c r="DR55" s="714"/>
      <c r="DS55" s="1909"/>
      <c r="DT55" s="317"/>
      <c r="DU55" s="619"/>
      <c r="DV55" s="317"/>
      <c r="DW55" s="317"/>
      <c r="DX55" s="317"/>
      <c r="DY55" s="714"/>
      <c r="DZ55" s="317"/>
      <c r="EA55" s="317"/>
      <c r="EB55" s="619"/>
      <c r="EC55" s="317"/>
      <c r="ED55" s="317"/>
      <c r="EE55" s="317"/>
      <c r="EF55" s="714"/>
      <c r="EG55" s="317"/>
      <c r="EH55" s="317"/>
      <c r="EI55" s="619"/>
      <c r="EJ55" s="317"/>
      <c r="EK55" s="317"/>
      <c r="EL55" s="317"/>
      <c r="EM55" s="714"/>
      <c r="EN55" s="317"/>
      <c r="EO55" s="317"/>
      <c r="EP55" s="619"/>
      <c r="EQ55" s="317"/>
      <c r="ER55" s="317"/>
      <c r="ES55" s="317"/>
      <c r="ET55" s="714"/>
      <c r="EU55" s="317"/>
      <c r="EV55" s="317"/>
      <c r="EW55" s="619"/>
    </row>
    <row r="56" spans="1:153" ht="10.199999999999999" hidden="1" customHeight="1" outlineLevel="1">
      <c r="A56" s="127" t="str">
        <f>A9</f>
        <v>Astrium</v>
      </c>
      <c r="B56" s="317">
        <v>-222</v>
      </c>
      <c r="C56" s="317">
        <f>-268</f>
        <v>-268</v>
      </c>
      <c r="D56" s="317">
        <v>-400</v>
      </c>
      <c r="E56" s="317">
        <v>9</v>
      </c>
      <c r="F56" s="317">
        <v>58</v>
      </c>
      <c r="G56" s="317">
        <v>130</v>
      </c>
      <c r="H56" s="317">
        <v>174</v>
      </c>
      <c r="I56" s="317">
        <v>234</v>
      </c>
      <c r="J56" s="317">
        <v>261</v>
      </c>
      <c r="K56" s="317">
        <v>283</v>
      </c>
      <c r="L56" s="317">
        <v>267</v>
      </c>
      <c r="M56" s="317">
        <v>312</v>
      </c>
      <c r="N56" s="317"/>
      <c r="O56" s="317"/>
      <c r="P56" s="317"/>
      <c r="Q56" s="714"/>
      <c r="R56" s="317"/>
      <c r="S56" s="317"/>
      <c r="T56" s="314"/>
      <c r="U56" s="317"/>
      <c r="V56" s="317"/>
      <c r="W56" s="317"/>
      <c r="X56" s="714"/>
      <c r="Y56" s="317"/>
      <c r="Z56" s="317"/>
      <c r="AA56" s="314"/>
      <c r="AB56" s="317"/>
      <c r="AC56" s="317"/>
      <c r="AD56" s="317"/>
      <c r="AE56" s="714"/>
      <c r="AF56" s="317"/>
      <c r="AG56" s="317"/>
      <c r="AH56" s="314"/>
      <c r="AI56" s="317"/>
      <c r="AJ56" s="317"/>
      <c r="AK56" s="317"/>
      <c r="AL56" s="714"/>
      <c r="AM56" s="317"/>
      <c r="AN56" s="317"/>
      <c r="AO56" s="314"/>
      <c r="AP56" s="317"/>
      <c r="AQ56" s="317"/>
      <c r="AR56" s="317"/>
      <c r="AS56" s="714"/>
      <c r="AT56" s="317"/>
      <c r="AU56" s="317"/>
      <c r="AV56" s="314"/>
      <c r="AW56" s="317"/>
      <c r="AX56" s="317"/>
      <c r="AY56" s="317"/>
      <c r="AZ56" s="714"/>
      <c r="BA56" s="317"/>
      <c r="BB56" s="317"/>
      <c r="BC56" s="314"/>
      <c r="BD56" s="317"/>
      <c r="BE56" s="317"/>
      <c r="BF56" s="317"/>
      <c r="BG56" s="714"/>
      <c r="BH56" s="317"/>
      <c r="BI56" s="317"/>
      <c r="BJ56" s="314"/>
      <c r="BK56" s="317"/>
      <c r="BL56" s="317"/>
      <c r="BM56" s="317"/>
      <c r="BN56" s="714"/>
      <c r="BO56" s="317"/>
      <c r="BP56" s="317"/>
      <c r="BQ56" s="314"/>
      <c r="BR56" s="317"/>
      <c r="BS56" s="317"/>
      <c r="BT56" s="317"/>
      <c r="BU56" s="714"/>
      <c r="BV56" s="317"/>
      <c r="BW56" s="317"/>
      <c r="BX56" s="314"/>
      <c r="BY56" s="317"/>
      <c r="BZ56" s="317"/>
      <c r="CA56" s="317"/>
      <c r="CB56" s="714"/>
      <c r="CC56" s="317"/>
      <c r="CD56" s="317"/>
      <c r="CE56" s="314"/>
      <c r="CF56" s="317"/>
      <c r="CG56" s="317"/>
      <c r="CH56" s="317"/>
      <c r="CI56" s="714"/>
      <c r="CJ56" s="317"/>
      <c r="CK56" s="317"/>
      <c r="CL56" s="314"/>
      <c r="CM56" s="317"/>
      <c r="CN56" s="317"/>
      <c r="CO56" s="317"/>
      <c r="CP56" s="714"/>
      <c r="CQ56" s="317"/>
      <c r="CR56" s="317"/>
      <c r="CS56" s="314"/>
      <c r="CT56" s="317"/>
      <c r="CU56" s="317"/>
      <c r="CV56" s="317"/>
      <c r="CW56" s="714"/>
      <c r="CX56" s="317"/>
      <c r="CY56" s="317"/>
      <c r="CZ56" s="314"/>
      <c r="DA56" s="317"/>
      <c r="DB56" s="317"/>
      <c r="DC56" s="317"/>
      <c r="DD56" s="1803"/>
      <c r="DE56" s="1804"/>
      <c r="DF56" s="1804"/>
      <c r="DG56" s="314"/>
      <c r="DH56" s="317"/>
      <c r="DI56" s="317"/>
      <c r="DJ56" s="317"/>
      <c r="DK56" s="1803"/>
      <c r="DL56" s="317"/>
      <c r="DM56" s="1804"/>
      <c r="DN56" s="314"/>
      <c r="DO56" s="317"/>
      <c r="DP56" s="317"/>
      <c r="DQ56" s="317"/>
      <c r="DR56" s="714"/>
      <c r="DS56" s="1909"/>
      <c r="DT56" s="317"/>
      <c r="DU56" s="619"/>
      <c r="DV56" s="317"/>
      <c r="DW56" s="317"/>
      <c r="DX56" s="317"/>
      <c r="DY56" s="714"/>
      <c r="DZ56" s="317"/>
      <c r="EA56" s="317"/>
      <c r="EB56" s="619"/>
      <c r="EC56" s="317"/>
      <c r="ED56" s="317"/>
      <c r="EE56" s="317"/>
      <c r="EF56" s="714"/>
      <c r="EG56" s="317"/>
      <c r="EH56" s="317"/>
      <c r="EI56" s="619"/>
      <c r="EJ56" s="317"/>
      <c r="EK56" s="317"/>
      <c r="EL56" s="317"/>
      <c r="EM56" s="714"/>
      <c r="EN56" s="317"/>
      <c r="EO56" s="317"/>
      <c r="EP56" s="619"/>
      <c r="EQ56" s="317"/>
      <c r="ER56" s="317"/>
      <c r="ES56" s="317"/>
      <c r="ET56" s="714"/>
      <c r="EU56" s="317"/>
      <c r="EV56" s="317"/>
      <c r="EW56" s="619"/>
    </row>
    <row r="57" spans="1:153" ht="10.199999999999999" hidden="1" customHeight="1" outlineLevel="1">
      <c r="A57" s="127" t="str">
        <f>A10</f>
        <v>Other Businesses</v>
      </c>
      <c r="B57" s="317">
        <f>308*0.3</f>
        <v>92.399999999999991</v>
      </c>
      <c r="C57" s="317">
        <f>180*0.3</f>
        <v>54</v>
      </c>
      <c r="D57" s="317">
        <f>217*0.3</f>
        <v>65.099999999999994</v>
      </c>
      <c r="E57" s="317">
        <v>2</v>
      </c>
      <c r="F57" s="317">
        <v>-171</v>
      </c>
      <c r="G57" s="317">
        <v>-288</v>
      </c>
      <c r="H57" s="317">
        <v>84</v>
      </c>
      <c r="I57" s="317">
        <v>43</v>
      </c>
      <c r="J57" s="317">
        <v>21</v>
      </c>
      <c r="K57" s="317">
        <v>25</v>
      </c>
      <c r="L57" s="317">
        <v>59</v>
      </c>
      <c r="M57" s="317">
        <v>49</v>
      </c>
      <c r="N57" s="317"/>
      <c r="O57" s="317"/>
      <c r="P57" s="317"/>
      <c r="Q57" s="714"/>
      <c r="R57" s="317"/>
      <c r="S57" s="317"/>
      <c r="T57" s="314"/>
      <c r="U57" s="317"/>
      <c r="V57" s="317"/>
      <c r="W57" s="317"/>
      <c r="X57" s="714"/>
      <c r="Y57" s="317"/>
      <c r="Z57" s="317"/>
      <c r="AA57" s="314"/>
      <c r="AB57" s="317"/>
      <c r="AC57" s="317"/>
      <c r="AD57" s="317"/>
      <c r="AE57" s="714"/>
      <c r="AF57" s="317"/>
      <c r="AG57" s="317"/>
      <c r="AH57" s="314"/>
      <c r="AI57" s="317"/>
      <c r="AJ57" s="317"/>
      <c r="AK57" s="317"/>
      <c r="AL57" s="714"/>
      <c r="AM57" s="317"/>
      <c r="AN57" s="317"/>
      <c r="AO57" s="314"/>
      <c r="AP57" s="317"/>
      <c r="AQ57" s="317"/>
      <c r="AR57" s="317"/>
      <c r="AS57" s="714"/>
      <c r="AT57" s="317"/>
      <c r="AU57" s="317"/>
      <c r="AV57" s="314"/>
      <c r="AW57" s="317"/>
      <c r="AX57" s="317"/>
      <c r="AY57" s="317"/>
      <c r="AZ57" s="714"/>
      <c r="BA57" s="317"/>
      <c r="BB57" s="317"/>
      <c r="BC57" s="314"/>
      <c r="BD57" s="317"/>
      <c r="BE57" s="317"/>
      <c r="BF57" s="317"/>
      <c r="BG57" s="714"/>
      <c r="BH57" s="317"/>
      <c r="BI57" s="317"/>
      <c r="BJ57" s="314"/>
      <c r="BK57" s="317"/>
      <c r="BL57" s="317"/>
      <c r="BM57" s="317"/>
      <c r="BN57" s="714"/>
      <c r="BO57" s="317"/>
      <c r="BP57" s="317"/>
      <c r="BQ57" s="314"/>
      <c r="BR57" s="317"/>
      <c r="BS57" s="317"/>
      <c r="BT57" s="317"/>
      <c r="BU57" s="714"/>
      <c r="BV57" s="317"/>
      <c r="BW57" s="317"/>
      <c r="BX57" s="314"/>
      <c r="BY57" s="317"/>
      <c r="BZ57" s="317"/>
      <c r="CA57" s="317"/>
      <c r="CB57" s="714"/>
      <c r="CC57" s="317"/>
      <c r="CD57" s="317"/>
      <c r="CE57" s="314"/>
      <c r="CF57" s="317"/>
      <c r="CG57" s="317"/>
      <c r="CH57" s="317"/>
      <c r="CI57" s="714"/>
      <c r="CJ57" s="317"/>
      <c r="CK57" s="317"/>
      <c r="CL57" s="314"/>
      <c r="CM57" s="317"/>
      <c r="CN57" s="317"/>
      <c r="CO57" s="317"/>
      <c r="CP57" s="714"/>
      <c r="CQ57" s="317"/>
      <c r="CR57" s="317"/>
      <c r="CS57" s="314"/>
      <c r="CT57" s="317"/>
      <c r="CU57" s="317"/>
      <c r="CV57" s="317"/>
      <c r="CW57" s="714"/>
      <c r="CX57" s="317"/>
      <c r="CY57" s="317"/>
      <c r="CZ57" s="314"/>
      <c r="DA57" s="317"/>
      <c r="DB57" s="317"/>
      <c r="DC57" s="317"/>
      <c r="DD57" s="714"/>
      <c r="DE57" s="317"/>
      <c r="DF57" s="317"/>
      <c r="DG57" s="314"/>
      <c r="DH57" s="317"/>
      <c r="DI57" s="317"/>
      <c r="DJ57" s="317"/>
      <c r="DK57" s="714"/>
      <c r="DL57" s="317"/>
      <c r="DM57" s="317"/>
      <c r="DN57" s="314"/>
      <c r="DO57" s="317"/>
      <c r="DP57" s="317"/>
      <c r="DQ57" s="317"/>
      <c r="DR57" s="714"/>
      <c r="DS57" s="1909"/>
      <c r="DT57" s="317"/>
      <c r="DU57" s="619"/>
      <c r="DV57" s="317"/>
      <c r="DW57" s="317"/>
      <c r="DX57" s="317"/>
      <c r="DY57" s="714"/>
      <c r="DZ57" s="317"/>
      <c r="EA57" s="317"/>
      <c r="EB57" s="619"/>
      <c r="EC57" s="317"/>
      <c r="ED57" s="317"/>
      <c r="EE57" s="317"/>
      <c r="EF57" s="714"/>
      <c r="EG57" s="317"/>
      <c r="EH57" s="317"/>
      <c r="EI57" s="619"/>
      <c r="EJ57" s="317"/>
      <c r="EK57" s="317"/>
      <c r="EL57" s="317"/>
      <c r="EM57" s="714"/>
      <c r="EN57" s="317"/>
      <c r="EO57" s="317"/>
      <c r="EP57" s="619"/>
      <c r="EQ57" s="317"/>
      <c r="ER57" s="317"/>
      <c r="ES57" s="317"/>
      <c r="ET57" s="714"/>
      <c r="EU57" s="317"/>
      <c r="EV57" s="317"/>
      <c r="EW57" s="619"/>
    </row>
    <row r="58" spans="1:153" ht="10.199999999999999" customHeight="1" collapsed="1">
      <c r="A58" s="48" t="s">
        <v>168</v>
      </c>
      <c r="B58" s="549">
        <f t="shared" ref="B58:M58" si="507">+SUM(B57,B56,B55,B52,B54,B51)</f>
        <v>1663</v>
      </c>
      <c r="C58" s="549">
        <f t="shared" si="507"/>
        <v>1315</v>
      </c>
      <c r="D58" s="549">
        <f t="shared" si="507"/>
        <v>1371</v>
      </c>
      <c r="E58" s="549">
        <f t="shared" si="507"/>
        <v>2383</v>
      </c>
      <c r="F58" s="549">
        <f t="shared" si="507"/>
        <v>2655</v>
      </c>
      <c r="G58" s="549">
        <f t="shared" si="507"/>
        <v>-50</v>
      </c>
      <c r="H58" s="549">
        <f t="shared" si="507"/>
        <v>-222</v>
      </c>
      <c r="I58" s="549">
        <f t="shared" si="507"/>
        <v>2791</v>
      </c>
      <c r="J58" s="549">
        <f t="shared" si="507"/>
        <v>-374</v>
      </c>
      <c r="K58" s="549">
        <f t="shared" si="507"/>
        <v>1260</v>
      </c>
      <c r="L58" s="549">
        <f t="shared" si="507"/>
        <v>1508</v>
      </c>
      <c r="M58" s="549">
        <f t="shared" si="507"/>
        <v>2032</v>
      </c>
      <c r="N58" s="549">
        <f t="shared" ref="N58:S58" si="508">SUM(N51:N56)</f>
        <v>567</v>
      </c>
      <c r="O58" s="549">
        <f t="shared" si="508"/>
        <v>872</v>
      </c>
      <c r="P58" s="549">
        <f t="shared" si="508"/>
        <v>657</v>
      </c>
      <c r="Q58" s="682">
        <f t="shared" si="508"/>
        <v>553</v>
      </c>
      <c r="R58" s="549">
        <f t="shared" si="508"/>
        <v>1439</v>
      </c>
      <c r="S58" s="111">
        <f t="shared" si="508"/>
        <v>1210</v>
      </c>
      <c r="T58" s="1273">
        <f>+SUM(T51:T57)</f>
        <v>2649</v>
      </c>
      <c r="U58" s="549">
        <f t="shared" ref="U58:Z58" si="509">SUM(U51:U56)</f>
        <v>689</v>
      </c>
      <c r="V58" s="549">
        <f t="shared" si="509"/>
        <v>1041</v>
      </c>
      <c r="W58" s="549">
        <f t="shared" si="509"/>
        <v>654</v>
      </c>
      <c r="X58" s="682">
        <f t="shared" si="509"/>
        <v>1109</v>
      </c>
      <c r="Y58" s="549">
        <f t="shared" si="509"/>
        <v>1730</v>
      </c>
      <c r="Z58" s="111">
        <f t="shared" si="509"/>
        <v>1763</v>
      </c>
      <c r="AA58" s="1273">
        <f>SUM(AA51:AA56)</f>
        <v>3493</v>
      </c>
      <c r="AB58" s="549">
        <f t="shared" ref="AB58:AG58" si="510">SUM(AB51:AB56)</f>
        <v>604</v>
      </c>
      <c r="AC58" s="549">
        <f t="shared" si="510"/>
        <v>956</v>
      </c>
      <c r="AD58" s="549">
        <f t="shared" si="510"/>
        <v>732</v>
      </c>
      <c r="AE58" s="682">
        <f t="shared" si="510"/>
        <v>1181</v>
      </c>
      <c r="AF58" s="549">
        <f t="shared" si="510"/>
        <v>1560</v>
      </c>
      <c r="AG58" s="111">
        <f t="shared" si="510"/>
        <v>1913</v>
      </c>
      <c r="AH58" s="1273">
        <f>SUM(AH51:AH56)</f>
        <v>3473</v>
      </c>
      <c r="AI58" s="549">
        <f t="shared" ref="AI58:AN58" si="511">SUM(AI51:AI56)</f>
        <v>410</v>
      </c>
      <c r="AJ58" s="549">
        <f t="shared" si="511"/>
        <v>629</v>
      </c>
      <c r="AK58" s="549">
        <f t="shared" si="511"/>
        <v>513</v>
      </c>
      <c r="AL58" s="682">
        <f t="shared" si="511"/>
        <v>206</v>
      </c>
      <c r="AM58" s="549">
        <f t="shared" si="511"/>
        <v>1039</v>
      </c>
      <c r="AN58" s="111">
        <f t="shared" si="511"/>
        <v>719</v>
      </c>
      <c r="AO58" s="1273">
        <f>SUM(AO51:AO56)</f>
        <v>1758</v>
      </c>
      <c r="AP58" s="549">
        <f t="shared" ref="AP58:AS58" si="512">SUM(AP51:AP56)</f>
        <v>954</v>
      </c>
      <c r="AQ58" s="549">
        <f t="shared" si="512"/>
        <v>1033</v>
      </c>
      <c r="AR58" s="549">
        <f t="shared" si="512"/>
        <v>596</v>
      </c>
      <c r="AS58" s="682">
        <f t="shared" si="512"/>
        <v>1394</v>
      </c>
      <c r="AT58" s="549">
        <f t="shared" ref="AT58:AU58" si="513">SUM(AT51:AT56)</f>
        <v>1987</v>
      </c>
      <c r="AU58" s="111">
        <f t="shared" si="513"/>
        <v>1990</v>
      </c>
      <c r="AV58" s="1273">
        <f>SUM(AV51:AV56)</f>
        <v>3977</v>
      </c>
      <c r="AW58" s="549">
        <f t="shared" ref="AW58:BB58" si="514">SUM(AW51:AW56)</f>
        <v>603</v>
      </c>
      <c r="AX58" s="549">
        <f t="shared" si="514"/>
        <v>690</v>
      </c>
      <c r="AY58" s="549">
        <f t="shared" si="514"/>
        <v>536</v>
      </c>
      <c r="AZ58" s="682">
        <f t="shared" si="514"/>
        <v>1137</v>
      </c>
      <c r="BA58" s="549">
        <f t="shared" si="514"/>
        <v>1293</v>
      </c>
      <c r="BB58" s="111">
        <f t="shared" si="514"/>
        <v>1673</v>
      </c>
      <c r="BC58" s="1273">
        <f>+BC51+BC53+BC52</f>
        <v>2966</v>
      </c>
      <c r="BD58" s="549">
        <f t="shared" ref="BD58:BI58" si="515">SUM(BD51:BD56)</f>
        <v>253</v>
      </c>
      <c r="BE58" s="549">
        <f t="shared" si="515"/>
        <v>1016</v>
      </c>
      <c r="BF58" s="549">
        <f t="shared" si="515"/>
        <v>1627</v>
      </c>
      <c r="BG58" s="682">
        <f t="shared" si="515"/>
        <v>2441</v>
      </c>
      <c r="BH58" s="549">
        <f t="shared" si="515"/>
        <v>1269</v>
      </c>
      <c r="BI58" s="111">
        <f t="shared" si="515"/>
        <v>4068</v>
      </c>
      <c r="BJ58" s="1273">
        <f t="shared" ref="BJ58:DT58" si="516">SUM(BJ51:BJ56)</f>
        <v>5337</v>
      </c>
      <c r="BK58" s="549">
        <f t="shared" ref="BK58:BN58" si="517">SUM(BK51:BK56)</f>
        <v>284</v>
      </c>
      <c r="BL58" s="549">
        <f t="shared" si="517"/>
        <v>1976</v>
      </c>
      <c r="BM58" s="549">
        <f t="shared" si="517"/>
        <v>1431</v>
      </c>
      <c r="BN58" s="682">
        <f t="shared" si="517"/>
        <v>-1953</v>
      </c>
      <c r="BO58" s="549">
        <f t="shared" ref="BO58:BP58" si="518">SUM(BO51:BO56)</f>
        <v>2260</v>
      </c>
      <c r="BP58" s="111">
        <f t="shared" si="518"/>
        <v>-522</v>
      </c>
      <c r="BQ58" s="1273">
        <f t="shared" si="516"/>
        <v>1738</v>
      </c>
      <c r="BR58" s="549">
        <f t="shared" ref="BR58:BW58" si="519">SUM(BR51:BR56)</f>
        <v>211</v>
      </c>
      <c r="BS58" s="549">
        <f t="shared" si="519"/>
        <v>1904</v>
      </c>
      <c r="BT58" s="549">
        <f t="shared" si="519"/>
        <v>1336</v>
      </c>
      <c r="BU58" s="682">
        <f t="shared" si="519"/>
        <v>-2124</v>
      </c>
      <c r="BV58" s="549">
        <f t="shared" si="519"/>
        <v>2115</v>
      </c>
      <c r="BW58" s="111">
        <f t="shared" si="519"/>
        <v>-788</v>
      </c>
      <c r="BX58" s="1273">
        <f t="shared" si="516"/>
        <v>1327</v>
      </c>
      <c r="BY58" s="549">
        <f t="shared" ref="BY58:CD58" si="520">SUM(BY51:BY56)</f>
        <v>57</v>
      </c>
      <c r="BZ58" s="549">
        <f t="shared" si="520"/>
        <v>-1640</v>
      </c>
      <c r="CA58" s="549">
        <f t="shared" si="520"/>
        <v>-614</v>
      </c>
      <c r="CB58" s="682">
        <f t="shared" si="520"/>
        <v>1730</v>
      </c>
      <c r="CC58" s="549">
        <f t="shared" si="520"/>
        <v>-1583</v>
      </c>
      <c r="CD58" s="111">
        <f t="shared" si="520"/>
        <v>1116</v>
      </c>
      <c r="CE58" s="1273">
        <f t="shared" si="516"/>
        <v>-467</v>
      </c>
      <c r="CF58" s="549">
        <f t="shared" ref="CF58:CK58" si="521">SUM(CF51:CF56)</f>
        <v>422</v>
      </c>
      <c r="CG58" s="549">
        <f t="shared" si="521"/>
        <v>2305</v>
      </c>
      <c r="CH58" s="549">
        <f t="shared" si="521"/>
        <v>678</v>
      </c>
      <c r="CI58" s="682">
        <f t="shared" si="521"/>
        <v>1873</v>
      </c>
      <c r="CJ58" s="549">
        <f t="shared" si="521"/>
        <v>2727</v>
      </c>
      <c r="CK58" s="111">
        <f t="shared" si="521"/>
        <v>2551</v>
      </c>
      <c r="CL58" s="1273">
        <f t="shared" si="516"/>
        <v>5278</v>
      </c>
      <c r="CM58" s="549">
        <f t="shared" ref="CM58:CR58" si="522">SUM(CM51:CM56)</f>
        <v>1427</v>
      </c>
      <c r="CN58" s="549">
        <f t="shared" si="522"/>
        <v>1153</v>
      </c>
      <c r="CO58" s="549">
        <f t="shared" si="522"/>
        <v>977</v>
      </c>
      <c r="CP58" s="682">
        <f t="shared" si="522"/>
        <v>1764</v>
      </c>
      <c r="CQ58" s="549">
        <f t="shared" si="522"/>
        <v>2580</v>
      </c>
      <c r="CR58" s="111">
        <f t="shared" si="522"/>
        <v>2741</v>
      </c>
      <c r="CS58" s="1273">
        <f t="shared" si="516"/>
        <v>5321</v>
      </c>
      <c r="CT58" s="549">
        <f t="shared" ref="CT58:CY58" si="523">SUM(CT51:CT56)</f>
        <v>389</v>
      </c>
      <c r="CU58" s="549">
        <f t="shared" si="523"/>
        <v>1488</v>
      </c>
      <c r="CV58" s="549">
        <f t="shared" ref="CV58" si="524">SUM(CV51:CV56)</f>
        <v>836</v>
      </c>
      <c r="CW58" s="682">
        <f t="shared" si="523"/>
        <v>1834</v>
      </c>
      <c r="CX58" s="549">
        <f t="shared" ref="CX58" si="525">SUM(CX51:CX56)</f>
        <v>1877</v>
      </c>
      <c r="CY58" s="111">
        <f t="shared" si="523"/>
        <v>2670</v>
      </c>
      <c r="CZ58" s="1273">
        <f t="shared" ref="CZ58:DD58" si="526">SUM(CZ51:CZ56)</f>
        <v>4547</v>
      </c>
      <c r="DA58" s="549">
        <f t="shared" si="526"/>
        <v>601</v>
      </c>
      <c r="DB58" s="549">
        <f t="shared" si="526"/>
        <v>841</v>
      </c>
      <c r="DC58" s="549">
        <f t="shared" si="526"/>
        <v>1237</v>
      </c>
      <c r="DD58" s="682">
        <f t="shared" si="526"/>
        <v>2616</v>
      </c>
      <c r="DE58" s="549">
        <f t="shared" ref="DE58:DG58" si="527">SUM(DE51:DE56)</f>
        <v>1442</v>
      </c>
      <c r="DF58" s="111">
        <f t="shared" si="527"/>
        <v>3853</v>
      </c>
      <c r="DG58" s="1273">
        <f t="shared" si="527"/>
        <v>5295</v>
      </c>
      <c r="DH58" s="111">
        <f t="shared" ref="DH58:DN58" si="528">SUM(DH51:DH56)</f>
        <v>498</v>
      </c>
      <c r="DI58" s="549">
        <f t="shared" si="528"/>
        <v>1143</v>
      </c>
      <c r="DJ58" s="549">
        <f t="shared" si="528"/>
        <v>1763</v>
      </c>
      <c r="DK58" s="682">
        <f t="shared" si="528"/>
        <v>2743</v>
      </c>
      <c r="DL58" s="549">
        <f t="shared" si="528"/>
        <v>1641</v>
      </c>
      <c r="DM58" s="111">
        <f t="shared" si="528"/>
        <v>4506</v>
      </c>
      <c r="DN58" s="1273">
        <f t="shared" si="528"/>
        <v>6147</v>
      </c>
      <c r="DO58" s="111">
        <f t="shared" ref="DO58:DP58" si="529">SUM(DO51:DO56)</f>
        <v>200</v>
      </c>
      <c r="DP58" s="549">
        <f t="shared" si="529"/>
        <v>2532</v>
      </c>
      <c r="DQ58" s="401">
        <f t="shared" si="516"/>
        <v>2009.1588140093568</v>
      </c>
      <c r="DR58" s="431">
        <f t="shared" si="516"/>
        <v>3025.4443803330441</v>
      </c>
      <c r="DS58" s="2024">
        <f t="shared" si="516"/>
        <v>2732</v>
      </c>
      <c r="DT58" s="401">
        <f t="shared" si="516"/>
        <v>5034.6031943424014</v>
      </c>
      <c r="DU58" s="400">
        <f t="shared" ref="DU58:EA58" si="530">SUM(DU51:DU56)</f>
        <v>7766.6031943424014</v>
      </c>
      <c r="DV58" s="401">
        <f t="shared" si="530"/>
        <v>2123.6724132099453</v>
      </c>
      <c r="DW58" s="401">
        <f t="shared" si="530"/>
        <v>2389.0712471500483</v>
      </c>
      <c r="DX58" s="401">
        <f t="shared" si="530"/>
        <v>2380.745170471354</v>
      </c>
      <c r="DY58" s="431">
        <f t="shared" si="530"/>
        <v>2637.9128791162875</v>
      </c>
      <c r="DZ58" s="401">
        <f t="shared" si="530"/>
        <v>4512.7436603599945</v>
      </c>
      <c r="EA58" s="401">
        <f t="shared" si="530"/>
        <v>5018.6580495876415</v>
      </c>
      <c r="EB58" s="400">
        <f t="shared" ref="EB58:EH58" si="531">SUM(EB51:EB56)</f>
        <v>9531.401709947635</v>
      </c>
      <c r="EC58" s="401">
        <f t="shared" si="531"/>
        <v>2655.632405480741</v>
      </c>
      <c r="ED58" s="401">
        <f t="shared" si="531"/>
        <v>2937.5487101656699</v>
      </c>
      <c r="EE58" s="401">
        <f t="shared" si="531"/>
        <v>2928.4016689674986</v>
      </c>
      <c r="EF58" s="431">
        <f t="shared" si="531"/>
        <v>3302.8528253172335</v>
      </c>
      <c r="EG58" s="401">
        <f t="shared" si="531"/>
        <v>5593.1811156464109</v>
      </c>
      <c r="EH58" s="401">
        <f t="shared" si="531"/>
        <v>6231.2544942847317</v>
      </c>
      <c r="EI58" s="400">
        <f t="shared" ref="EI58:EO58" si="532">SUM(EI51:EI56)</f>
        <v>11824.435609931144</v>
      </c>
      <c r="EJ58" s="401">
        <f t="shared" si="532"/>
        <v>3011.0862491720727</v>
      </c>
      <c r="EK58" s="401">
        <f t="shared" si="532"/>
        <v>3137.9684771710681</v>
      </c>
      <c r="EL58" s="401">
        <f t="shared" si="532"/>
        <v>3128.9361038409447</v>
      </c>
      <c r="EM58" s="431">
        <f t="shared" si="532"/>
        <v>3536.3998185648857</v>
      </c>
      <c r="EN58" s="401">
        <f t="shared" si="532"/>
        <v>6149.0547263431417</v>
      </c>
      <c r="EO58" s="401">
        <f t="shared" si="532"/>
        <v>6665.3359224058313</v>
      </c>
      <c r="EP58" s="400">
        <f t="shared" ref="EP58:EV58" si="533">SUM(EP51:EP56)</f>
        <v>12814.390648748971</v>
      </c>
      <c r="EQ58" s="401">
        <f t="shared" si="533"/>
        <v>3191.0782387219201</v>
      </c>
      <c r="ER58" s="401">
        <f t="shared" si="533"/>
        <v>3325.2352230021702</v>
      </c>
      <c r="ES58" s="401">
        <f t="shared" si="533"/>
        <v>3316.3441874688351</v>
      </c>
      <c r="ET58" s="431">
        <f t="shared" si="533"/>
        <v>3741.4462046619328</v>
      </c>
      <c r="EU58" s="401">
        <f t="shared" si="533"/>
        <v>6516.3134617240903</v>
      </c>
      <c r="EV58" s="401">
        <f t="shared" si="533"/>
        <v>7057.7903921307679</v>
      </c>
      <c r="EW58" s="400">
        <f>SUM(EW51:EW56)</f>
        <v>13574.103853854858</v>
      </c>
    </row>
    <row r="59" spans="1:153" ht="10.199999999999999" customHeight="1">
      <c r="A59" s="108" t="s">
        <v>326</v>
      </c>
      <c r="B59" s="530">
        <v>31</v>
      </c>
      <c r="C59" s="530">
        <v>111</v>
      </c>
      <c r="D59" s="530">
        <v>172</v>
      </c>
      <c r="E59" s="530">
        <v>49</v>
      </c>
      <c r="F59" s="530">
        <v>197</v>
      </c>
      <c r="G59" s="530">
        <v>449</v>
      </c>
      <c r="H59" s="530">
        <v>274</v>
      </c>
      <c r="I59" s="530">
        <v>39</v>
      </c>
      <c r="J59" s="530">
        <v>52</v>
      </c>
      <c r="K59" s="530">
        <v>-29</v>
      </c>
      <c r="L59" s="530">
        <v>188</v>
      </c>
      <c r="M59" s="530">
        <v>154</v>
      </c>
      <c r="N59" s="530">
        <v>22</v>
      </c>
      <c r="O59" s="530">
        <f>R59-N59</f>
        <v>17</v>
      </c>
      <c r="P59" s="530">
        <f>35-R59</f>
        <v>-4</v>
      </c>
      <c r="Q59" s="688">
        <f t="shared" ref="Q59" si="534">S59-P59</f>
        <v>-60</v>
      </c>
      <c r="R59" s="530">
        <v>39</v>
      </c>
      <c r="S59" s="197">
        <f t="shared" ref="S59" si="535">T59-R59</f>
        <v>-64</v>
      </c>
      <c r="T59" s="1278">
        <v>-25</v>
      </c>
      <c r="U59" s="530">
        <v>30</v>
      </c>
      <c r="V59" s="530">
        <f>Y59-U59</f>
        <v>79</v>
      </c>
      <c r="W59" s="530">
        <f>199-Y59</f>
        <v>90</v>
      </c>
      <c r="X59" s="688">
        <f t="shared" ref="X59" si="536">Z59-W59</f>
        <v>348</v>
      </c>
      <c r="Y59" s="530">
        <v>109</v>
      </c>
      <c r="Z59" s="197">
        <f t="shared" ref="Z59" si="537">AA59-Y59</f>
        <v>438</v>
      </c>
      <c r="AA59" s="1278">
        <v>547</v>
      </c>
      <c r="AB59" s="530">
        <v>637</v>
      </c>
      <c r="AC59" s="530">
        <f>AF59-AB59</f>
        <v>32</v>
      </c>
      <c r="AD59" s="530">
        <f>654-AF59</f>
        <v>-15</v>
      </c>
      <c r="AE59" s="688">
        <f t="shared" ref="AE59" si="538">AG59-AD59</f>
        <v>-41</v>
      </c>
      <c r="AF59" s="530">
        <v>669</v>
      </c>
      <c r="AG59" s="197">
        <f t="shared" ref="AG59" si="539">AH59-AF59</f>
        <v>-56</v>
      </c>
      <c r="AH59" s="1278">
        <v>613</v>
      </c>
      <c r="AI59" s="530">
        <v>-48</v>
      </c>
      <c r="AJ59" s="530">
        <f>AM59-AI59</f>
        <v>860</v>
      </c>
      <c r="AK59" s="530">
        <f>804-AM59</f>
        <v>-8</v>
      </c>
      <c r="AL59" s="688">
        <f t="shared" ref="AL59" si="540">AN59-AK59</f>
        <v>-304</v>
      </c>
      <c r="AM59" s="530">
        <v>812</v>
      </c>
      <c r="AN59" s="197">
        <f>AO59-AM59</f>
        <v>-312</v>
      </c>
      <c r="AO59" s="1278">
        <v>500</v>
      </c>
      <c r="AP59" s="530">
        <v>-102</v>
      </c>
      <c r="AQ59" s="530">
        <f>AT59-AP59</f>
        <v>-94</v>
      </c>
      <c r="AR59" s="530">
        <v>-75</v>
      </c>
      <c r="AS59" s="688">
        <f t="shared" ref="AS59" si="541">AU59-AR59</f>
        <v>-285</v>
      </c>
      <c r="AT59" s="530">
        <v>-196</v>
      </c>
      <c r="AU59" s="197">
        <f t="shared" ref="AU59" si="542">AV59-AT59</f>
        <v>-360</v>
      </c>
      <c r="AV59" s="1278">
        <v>-556</v>
      </c>
      <c r="AW59" s="530">
        <v>-28</v>
      </c>
      <c r="AX59" s="530">
        <f>BA59-AW59</f>
        <v>-54</v>
      </c>
      <c r="AY59" s="530">
        <f>-156-BA59</f>
        <v>-74</v>
      </c>
      <c r="AZ59" s="688">
        <f t="shared" ref="AZ59" si="543">BB59-AY59</f>
        <v>-145</v>
      </c>
      <c r="BA59" s="530">
        <v>-82</v>
      </c>
      <c r="BB59" s="197">
        <f t="shared" ref="BB59" si="544">BC59-BA59</f>
        <v>-219</v>
      </c>
      <c r="BC59" s="1278">
        <v>-301</v>
      </c>
      <c r="BD59" s="530">
        <v>-54</v>
      </c>
      <c r="BE59" s="530">
        <v>-95</v>
      </c>
      <c r="BF59" s="530">
        <f>-213-BH59</f>
        <v>-64</v>
      </c>
      <c r="BG59" s="688">
        <f t="shared" ref="BG59" si="545">BI59-BF59</f>
        <v>-76</v>
      </c>
      <c r="BH59" s="530">
        <f>BD59+BE59</f>
        <v>-149</v>
      </c>
      <c r="BI59" s="197">
        <f t="shared" ref="BI59" si="546">BJ59-BH59</f>
        <v>-140</v>
      </c>
      <c r="BJ59" s="1278">
        <v>-289</v>
      </c>
      <c r="BK59" s="530">
        <v>-103</v>
      </c>
      <c r="BL59" s="530">
        <f>BO59-BK59</f>
        <v>-64</v>
      </c>
      <c r="BM59" s="530">
        <f>-260-BO59</f>
        <v>-93</v>
      </c>
      <c r="BN59" s="688">
        <f>BP59-BM59</f>
        <v>-139</v>
      </c>
      <c r="BO59" s="530">
        <v>-167</v>
      </c>
      <c r="BP59" s="197">
        <f>BQ59-BO59</f>
        <v>-232</v>
      </c>
      <c r="BQ59" s="1278">
        <v>-399</v>
      </c>
      <c r="BR59" s="530">
        <f>-103+73</f>
        <v>-30</v>
      </c>
      <c r="BS59" s="530">
        <f>BV59-BR59</f>
        <v>8</v>
      </c>
      <c r="BT59" s="530">
        <f>-260+240-BV59</f>
        <v>2</v>
      </c>
      <c r="BU59" s="688">
        <f>BW59-BT59</f>
        <v>32</v>
      </c>
      <c r="BV59" s="530">
        <f>-167+145</f>
        <v>-22</v>
      </c>
      <c r="BW59" s="197">
        <f>BX59-BV59</f>
        <v>34</v>
      </c>
      <c r="BX59" s="1278">
        <f>BQ59+411</f>
        <v>12</v>
      </c>
      <c r="BY59" s="530">
        <v>22</v>
      </c>
      <c r="BZ59" s="530">
        <f>CC59-BY59</f>
        <v>2</v>
      </c>
      <c r="CA59" s="530">
        <v>-12</v>
      </c>
      <c r="CB59" s="688">
        <f>CD59-CA59</f>
        <v>-55</v>
      </c>
      <c r="CC59" s="530">
        <v>24</v>
      </c>
      <c r="CD59" s="197">
        <f>CE59-CC59</f>
        <v>-67</v>
      </c>
      <c r="CE59" s="1278">
        <v>-43</v>
      </c>
      <c r="CF59" s="530">
        <v>40</v>
      </c>
      <c r="CG59" s="530">
        <f>CJ59-CF59</f>
        <v>-40</v>
      </c>
      <c r="CH59" s="530">
        <v>32</v>
      </c>
      <c r="CI59" s="688">
        <f>CK59-CH59</f>
        <v>32</v>
      </c>
      <c r="CJ59" s="530">
        <v>0</v>
      </c>
      <c r="CK59" s="197">
        <f>CL59-CJ59</f>
        <v>64</v>
      </c>
      <c r="CL59" s="1278">
        <v>64</v>
      </c>
      <c r="CM59" s="530">
        <v>2</v>
      </c>
      <c r="CN59" s="530">
        <v>-3</v>
      </c>
      <c r="CO59" s="530">
        <v>-4</v>
      </c>
      <c r="CP59" s="688">
        <f>CR59-CO59</f>
        <v>9</v>
      </c>
      <c r="CQ59" s="530">
        <f>+CM59+CN59</f>
        <v>-1</v>
      </c>
      <c r="CR59" s="197">
        <f>CS59-CQ59</f>
        <v>5</v>
      </c>
      <c r="CS59" s="1278">
        <v>4</v>
      </c>
      <c r="CT59" s="530">
        <v>1</v>
      </c>
      <c r="CU59" s="530">
        <f t="shared" ref="CU59" si="547">CX59-CT59</f>
        <v>9</v>
      </c>
      <c r="CV59" s="530">
        <v>-11</v>
      </c>
      <c r="CW59" s="688">
        <f>CY59-CV59</f>
        <v>57</v>
      </c>
      <c r="CX59" s="530">
        <v>10</v>
      </c>
      <c r="CY59" s="197">
        <f>CZ59-CX59</f>
        <v>46</v>
      </c>
      <c r="CZ59" s="1278">
        <v>56</v>
      </c>
      <c r="DA59" s="530">
        <v>8</v>
      </c>
      <c r="DB59" s="530">
        <f t="shared" ref="DB59" si="548">DE59-DA59</f>
        <v>6</v>
      </c>
      <c r="DC59" s="530">
        <v>-3</v>
      </c>
      <c r="DD59" s="688">
        <f>DF59-DC59</f>
        <v>-2</v>
      </c>
      <c r="DE59" s="530">
        <v>14</v>
      </c>
      <c r="DF59" s="197">
        <f>DG59-DE59</f>
        <v>-5</v>
      </c>
      <c r="DG59" s="1278">
        <v>9</v>
      </c>
      <c r="DH59" s="197">
        <v>-25</v>
      </c>
      <c r="DI59" s="530">
        <f t="shared" ref="DI59" si="549">DL59-DH59</f>
        <v>1</v>
      </c>
      <c r="DJ59" s="530">
        <v>-15</v>
      </c>
      <c r="DK59" s="688">
        <f>DM59-DJ59</f>
        <v>-26</v>
      </c>
      <c r="DL59" s="2080">
        <v>-24</v>
      </c>
      <c r="DM59" s="197">
        <f>DN59-DL59</f>
        <v>-41</v>
      </c>
      <c r="DN59" s="1278">
        <v>-65</v>
      </c>
      <c r="DO59" s="197">
        <v>24</v>
      </c>
      <c r="DP59" s="530">
        <f t="shared" ref="DP59" si="550">DS59-DO59</f>
        <v>-11</v>
      </c>
      <c r="DQ59" s="322">
        <f t="shared" ref="DQ59:DT59" si="551">DQ30+DQ47</f>
        <v>0</v>
      </c>
      <c r="DR59" s="430">
        <f t="shared" si="551"/>
        <v>0</v>
      </c>
      <c r="DS59" s="2023">
        <v>13</v>
      </c>
      <c r="DT59" s="322">
        <f t="shared" si="551"/>
        <v>0</v>
      </c>
      <c r="DU59" s="385">
        <f>DU30+DU47</f>
        <v>13</v>
      </c>
      <c r="DV59" s="322">
        <f t="shared" ref="DV59:EA59" si="552">DV30+DV47</f>
        <v>0</v>
      </c>
      <c r="DW59" s="322">
        <f t="shared" si="552"/>
        <v>0</v>
      </c>
      <c r="DX59" s="322">
        <f t="shared" si="552"/>
        <v>0</v>
      </c>
      <c r="DY59" s="430">
        <f t="shared" si="552"/>
        <v>0</v>
      </c>
      <c r="DZ59" s="322">
        <f t="shared" si="552"/>
        <v>0</v>
      </c>
      <c r="EA59" s="322">
        <f t="shared" si="552"/>
        <v>0</v>
      </c>
      <c r="EB59" s="385">
        <f>EB30+EB47</f>
        <v>0</v>
      </c>
      <c r="EC59" s="322">
        <f t="shared" ref="EC59:EH59" si="553">EC30+EC47</f>
        <v>0</v>
      </c>
      <c r="ED59" s="322">
        <f t="shared" si="553"/>
        <v>0</v>
      </c>
      <c r="EE59" s="322">
        <f t="shared" si="553"/>
        <v>0</v>
      </c>
      <c r="EF59" s="430">
        <f t="shared" si="553"/>
        <v>0</v>
      </c>
      <c r="EG59" s="322">
        <f t="shared" si="553"/>
        <v>0</v>
      </c>
      <c r="EH59" s="322">
        <f t="shared" si="553"/>
        <v>0</v>
      </c>
      <c r="EI59" s="385">
        <f>EI30+EI47</f>
        <v>0</v>
      </c>
      <c r="EJ59" s="322">
        <f t="shared" ref="EJ59:EO59" si="554">EJ30+EJ47</f>
        <v>0</v>
      </c>
      <c r="EK59" s="322">
        <f t="shared" si="554"/>
        <v>0</v>
      </c>
      <c r="EL59" s="322">
        <f t="shared" si="554"/>
        <v>0</v>
      </c>
      <c r="EM59" s="430">
        <f t="shared" si="554"/>
        <v>0</v>
      </c>
      <c r="EN59" s="322">
        <f t="shared" si="554"/>
        <v>0</v>
      </c>
      <c r="EO59" s="322">
        <f t="shared" si="554"/>
        <v>0</v>
      </c>
      <c r="EP59" s="385">
        <f>EP30+EP47</f>
        <v>0</v>
      </c>
      <c r="EQ59" s="322">
        <f t="shared" ref="EQ59:EV59" si="555">EQ30+EQ47</f>
        <v>0</v>
      </c>
      <c r="ER59" s="322">
        <f t="shared" si="555"/>
        <v>0</v>
      </c>
      <c r="ES59" s="322">
        <f t="shared" si="555"/>
        <v>0</v>
      </c>
      <c r="ET59" s="430">
        <f t="shared" si="555"/>
        <v>0</v>
      </c>
      <c r="EU59" s="322">
        <f t="shared" si="555"/>
        <v>0</v>
      </c>
      <c r="EV59" s="322">
        <f t="shared" si="555"/>
        <v>0</v>
      </c>
      <c r="EW59" s="385">
        <f>EW30+EW47</f>
        <v>0</v>
      </c>
    </row>
    <row r="60" spans="1:153" ht="10.199999999999999" customHeight="1">
      <c r="A60" s="48" t="s">
        <v>92</v>
      </c>
      <c r="B60" s="549">
        <f t="shared" ref="B60:AN60" si="556">+B58+B59</f>
        <v>1694</v>
      </c>
      <c r="C60" s="549">
        <f t="shared" si="556"/>
        <v>1426</v>
      </c>
      <c r="D60" s="549">
        <f t="shared" si="556"/>
        <v>1543</v>
      </c>
      <c r="E60" s="549">
        <f t="shared" si="556"/>
        <v>2432</v>
      </c>
      <c r="F60" s="549">
        <f t="shared" si="556"/>
        <v>2852</v>
      </c>
      <c r="G60" s="549">
        <f t="shared" si="556"/>
        <v>399</v>
      </c>
      <c r="H60" s="549">
        <f t="shared" si="556"/>
        <v>52</v>
      </c>
      <c r="I60" s="549">
        <f t="shared" si="556"/>
        <v>2830</v>
      </c>
      <c r="J60" s="549">
        <f t="shared" si="556"/>
        <v>-322</v>
      </c>
      <c r="K60" s="549">
        <f t="shared" si="556"/>
        <v>1231</v>
      </c>
      <c r="L60" s="549">
        <f t="shared" si="556"/>
        <v>1696</v>
      </c>
      <c r="M60" s="549">
        <f>+M58+M59</f>
        <v>2186</v>
      </c>
      <c r="N60" s="549">
        <f t="shared" ref="N60:S60" si="557">+N58+N59</f>
        <v>589</v>
      </c>
      <c r="O60" s="549">
        <f t="shared" si="557"/>
        <v>889</v>
      </c>
      <c r="P60" s="549">
        <f t="shared" si="557"/>
        <v>653</v>
      </c>
      <c r="Q60" s="1099">
        <f t="shared" si="557"/>
        <v>493</v>
      </c>
      <c r="R60" s="549">
        <f t="shared" si="557"/>
        <v>1478</v>
      </c>
      <c r="S60" s="549">
        <f t="shared" si="557"/>
        <v>1146</v>
      </c>
      <c r="T60" s="1273">
        <f t="shared" si="556"/>
        <v>2624</v>
      </c>
      <c r="U60" s="549">
        <f t="shared" ref="U60:Z60" si="558">+U58+U59</f>
        <v>719</v>
      </c>
      <c r="V60" s="549">
        <f t="shared" si="558"/>
        <v>1120</v>
      </c>
      <c r="W60" s="549">
        <f t="shared" si="558"/>
        <v>744</v>
      </c>
      <c r="X60" s="1099">
        <f t="shared" si="558"/>
        <v>1457</v>
      </c>
      <c r="Y60" s="549">
        <f t="shared" si="558"/>
        <v>1839</v>
      </c>
      <c r="Z60" s="549">
        <f t="shared" si="558"/>
        <v>2201</v>
      </c>
      <c r="AA60" s="1273">
        <f t="shared" si="556"/>
        <v>4040</v>
      </c>
      <c r="AB60" s="549">
        <f t="shared" si="556"/>
        <v>1241</v>
      </c>
      <c r="AC60" s="549">
        <f t="shared" si="556"/>
        <v>988</v>
      </c>
      <c r="AD60" s="549">
        <f t="shared" si="556"/>
        <v>717</v>
      </c>
      <c r="AE60" s="1099">
        <f t="shared" si="556"/>
        <v>1140</v>
      </c>
      <c r="AF60" s="549">
        <f t="shared" si="556"/>
        <v>2229</v>
      </c>
      <c r="AG60" s="549">
        <f t="shared" si="556"/>
        <v>1857</v>
      </c>
      <c r="AH60" s="1273">
        <f t="shared" si="556"/>
        <v>4086</v>
      </c>
      <c r="AI60" s="549">
        <f t="shared" si="556"/>
        <v>362</v>
      </c>
      <c r="AJ60" s="549">
        <f t="shared" si="556"/>
        <v>1489</v>
      </c>
      <c r="AK60" s="549">
        <f t="shared" si="556"/>
        <v>505</v>
      </c>
      <c r="AL60" s="1099">
        <f t="shared" si="556"/>
        <v>-98</v>
      </c>
      <c r="AM60" s="549">
        <f t="shared" si="556"/>
        <v>1851</v>
      </c>
      <c r="AN60" s="549">
        <f t="shared" si="556"/>
        <v>407</v>
      </c>
      <c r="AO60" s="1273">
        <f>+AO58+AO59</f>
        <v>2258</v>
      </c>
      <c r="AP60" s="549">
        <f t="shared" ref="AP60:AS60" si="559">+AP58+AP59</f>
        <v>852</v>
      </c>
      <c r="AQ60" s="549">
        <f t="shared" si="559"/>
        <v>939</v>
      </c>
      <c r="AR60" s="549">
        <f t="shared" si="559"/>
        <v>521</v>
      </c>
      <c r="AS60" s="682">
        <f t="shared" si="559"/>
        <v>1109</v>
      </c>
      <c r="AT60" s="549">
        <f t="shared" ref="AT60:AU60" si="560">+AT58+AT59</f>
        <v>1791</v>
      </c>
      <c r="AU60" s="111">
        <f t="shared" si="560"/>
        <v>1630</v>
      </c>
      <c r="AV60" s="1273">
        <f>+AV58+AV59</f>
        <v>3421</v>
      </c>
      <c r="AW60" s="549">
        <f t="shared" ref="AW60:BB60" si="561">+AW58+AW59</f>
        <v>575</v>
      </c>
      <c r="AX60" s="549">
        <f t="shared" si="561"/>
        <v>636</v>
      </c>
      <c r="AY60" s="549">
        <f t="shared" si="561"/>
        <v>462</v>
      </c>
      <c r="AZ60" s="682">
        <f t="shared" si="561"/>
        <v>992</v>
      </c>
      <c r="BA60" s="549">
        <f t="shared" si="561"/>
        <v>1211</v>
      </c>
      <c r="BB60" s="111">
        <f t="shared" si="561"/>
        <v>1454</v>
      </c>
      <c r="BC60" s="1273">
        <f>+BC58+BC59</f>
        <v>2665</v>
      </c>
      <c r="BD60" s="549">
        <f t="shared" ref="BD60:BI60" si="562">+BD58+BD59</f>
        <v>199</v>
      </c>
      <c r="BE60" s="549">
        <f t="shared" si="562"/>
        <v>921</v>
      </c>
      <c r="BF60" s="549">
        <f t="shared" si="562"/>
        <v>1563</v>
      </c>
      <c r="BG60" s="682">
        <f t="shared" si="562"/>
        <v>2365</v>
      </c>
      <c r="BH60" s="549">
        <f t="shared" si="562"/>
        <v>1120</v>
      </c>
      <c r="BI60" s="111">
        <f t="shared" si="562"/>
        <v>3928</v>
      </c>
      <c r="BJ60" s="1273">
        <f t="shared" ref="BJ60:DG60" si="563">+BJ58+BJ59</f>
        <v>5048</v>
      </c>
      <c r="BK60" s="549">
        <f t="shared" ref="BK60:BN60" si="564">+BK58+BK59</f>
        <v>181</v>
      </c>
      <c r="BL60" s="549">
        <f t="shared" si="564"/>
        <v>1912</v>
      </c>
      <c r="BM60" s="549">
        <f t="shared" si="564"/>
        <v>1338</v>
      </c>
      <c r="BN60" s="682">
        <f t="shared" si="564"/>
        <v>-2092</v>
      </c>
      <c r="BO60" s="549">
        <f t="shared" ref="BO60:BP60" si="565">+BO58+BO59</f>
        <v>2093</v>
      </c>
      <c r="BP60" s="111">
        <f t="shared" si="565"/>
        <v>-754</v>
      </c>
      <c r="BQ60" s="1273">
        <f t="shared" si="563"/>
        <v>1339</v>
      </c>
      <c r="BR60" s="549">
        <f t="shared" si="563"/>
        <v>181</v>
      </c>
      <c r="BS60" s="549">
        <f t="shared" si="563"/>
        <v>1912</v>
      </c>
      <c r="BT60" s="549">
        <f t="shared" si="563"/>
        <v>1338</v>
      </c>
      <c r="BU60" s="682">
        <f t="shared" si="563"/>
        <v>-2092</v>
      </c>
      <c r="BV60" s="549">
        <f t="shared" si="563"/>
        <v>2093</v>
      </c>
      <c r="BW60" s="111">
        <f t="shared" si="563"/>
        <v>-754</v>
      </c>
      <c r="BX60" s="1273">
        <f>+BX58+BX59</f>
        <v>1339</v>
      </c>
      <c r="BY60" s="549">
        <f t="shared" ref="BY60:CD60" si="566">+BY58+BY59</f>
        <v>79</v>
      </c>
      <c r="BZ60" s="549">
        <f t="shared" si="566"/>
        <v>-1638</v>
      </c>
      <c r="CA60" s="549">
        <f t="shared" si="566"/>
        <v>-626</v>
      </c>
      <c r="CB60" s="682">
        <f t="shared" si="566"/>
        <v>1675</v>
      </c>
      <c r="CC60" s="549">
        <f t="shared" si="566"/>
        <v>-1559</v>
      </c>
      <c r="CD60" s="111">
        <f t="shared" si="566"/>
        <v>1049</v>
      </c>
      <c r="CE60" s="1273">
        <f t="shared" si="563"/>
        <v>-510</v>
      </c>
      <c r="CF60" s="549">
        <f t="shared" ref="CF60:CK60" si="567">+CF58+CF59</f>
        <v>462</v>
      </c>
      <c r="CG60" s="549">
        <f t="shared" si="567"/>
        <v>2265</v>
      </c>
      <c r="CH60" s="549">
        <f t="shared" si="567"/>
        <v>710</v>
      </c>
      <c r="CI60" s="682">
        <f t="shared" si="567"/>
        <v>1905</v>
      </c>
      <c r="CJ60" s="549">
        <f t="shared" si="567"/>
        <v>2727</v>
      </c>
      <c r="CK60" s="111">
        <f t="shared" si="567"/>
        <v>2615</v>
      </c>
      <c r="CL60" s="1273">
        <f t="shared" si="563"/>
        <v>5342</v>
      </c>
      <c r="CM60" s="549">
        <f t="shared" si="563"/>
        <v>1429</v>
      </c>
      <c r="CN60" s="549">
        <f t="shared" si="563"/>
        <v>1150</v>
      </c>
      <c r="CO60" s="549">
        <f t="shared" si="563"/>
        <v>973</v>
      </c>
      <c r="CP60" s="682">
        <f t="shared" si="563"/>
        <v>1773</v>
      </c>
      <c r="CQ60" s="549">
        <f t="shared" si="563"/>
        <v>2579</v>
      </c>
      <c r="CR60" s="111">
        <f t="shared" si="563"/>
        <v>2746</v>
      </c>
      <c r="CS60" s="1273">
        <f t="shared" si="563"/>
        <v>5325</v>
      </c>
      <c r="CT60" s="549">
        <f t="shared" ref="CT60:CZ60" si="568">+CT58+CT59</f>
        <v>390</v>
      </c>
      <c r="CU60" s="549">
        <f t="shared" si="568"/>
        <v>1497</v>
      </c>
      <c r="CV60" s="549">
        <f t="shared" ref="CV60" si="569">+CV58+CV59</f>
        <v>825</v>
      </c>
      <c r="CW60" s="682">
        <f t="shared" si="568"/>
        <v>1891</v>
      </c>
      <c r="CX60" s="549">
        <f t="shared" ref="CX60" si="570">+CX58+CX59</f>
        <v>1887</v>
      </c>
      <c r="CY60" s="111">
        <f t="shared" si="568"/>
        <v>2716</v>
      </c>
      <c r="CZ60" s="1273">
        <f t="shared" si="568"/>
        <v>4603</v>
      </c>
      <c r="DA60" s="549">
        <f t="shared" ref="DA60:DD60" si="571">+DA58+DA59</f>
        <v>609</v>
      </c>
      <c r="DB60" s="549">
        <f t="shared" si="571"/>
        <v>847</v>
      </c>
      <c r="DC60" s="549">
        <f t="shared" si="571"/>
        <v>1234</v>
      </c>
      <c r="DD60" s="682">
        <f t="shared" si="571"/>
        <v>2614</v>
      </c>
      <c r="DE60" s="549">
        <f t="shared" si="563"/>
        <v>1456</v>
      </c>
      <c r="DF60" s="111">
        <f t="shared" si="563"/>
        <v>3848</v>
      </c>
      <c r="DG60" s="1273">
        <f t="shared" si="563"/>
        <v>5304</v>
      </c>
      <c r="DH60" s="111">
        <f t="shared" ref="DH60:DN60" si="572">+DH58+DH59</f>
        <v>473</v>
      </c>
      <c r="DI60" s="549">
        <f t="shared" si="572"/>
        <v>1144</v>
      </c>
      <c r="DJ60" s="549">
        <f t="shared" si="572"/>
        <v>1748</v>
      </c>
      <c r="DK60" s="682">
        <f t="shared" si="572"/>
        <v>2717</v>
      </c>
      <c r="DL60" s="549">
        <f t="shared" si="572"/>
        <v>1617</v>
      </c>
      <c r="DM60" s="111">
        <f t="shared" si="572"/>
        <v>4465</v>
      </c>
      <c r="DN60" s="1273">
        <f t="shared" si="572"/>
        <v>6082</v>
      </c>
      <c r="DO60" s="111">
        <f t="shared" ref="DO60:DP60" si="573">+DO58+DO59</f>
        <v>224</v>
      </c>
      <c r="DP60" s="549">
        <f t="shared" si="573"/>
        <v>2521</v>
      </c>
      <c r="DQ60" s="401">
        <f t="shared" ref="DQ60:DT60" si="574">+DQ58+DQ59</f>
        <v>2009.1588140093568</v>
      </c>
      <c r="DR60" s="431">
        <f t="shared" si="574"/>
        <v>3025.4443803330441</v>
      </c>
      <c r="DS60" s="2024">
        <f t="shared" si="574"/>
        <v>2745</v>
      </c>
      <c r="DT60" s="401">
        <f t="shared" si="574"/>
        <v>5034.6031943424014</v>
      </c>
      <c r="DU60" s="400">
        <f>+DU58+DU59</f>
        <v>7779.6031943424014</v>
      </c>
      <c r="DV60" s="401">
        <f t="shared" ref="DV60:EA60" si="575">+DV58+DV59</f>
        <v>2123.6724132099453</v>
      </c>
      <c r="DW60" s="401">
        <f t="shared" si="575"/>
        <v>2389.0712471500483</v>
      </c>
      <c r="DX60" s="401">
        <f t="shared" si="575"/>
        <v>2380.745170471354</v>
      </c>
      <c r="DY60" s="431">
        <f t="shared" si="575"/>
        <v>2637.9128791162875</v>
      </c>
      <c r="DZ60" s="401">
        <f t="shared" si="575"/>
        <v>4512.7436603599945</v>
      </c>
      <c r="EA60" s="401">
        <f t="shared" si="575"/>
        <v>5018.6580495876415</v>
      </c>
      <c r="EB60" s="400">
        <f>+EB58+EB59</f>
        <v>9531.401709947635</v>
      </c>
      <c r="EC60" s="401">
        <f t="shared" ref="EC60:EH60" si="576">+EC58+EC59</f>
        <v>2655.632405480741</v>
      </c>
      <c r="ED60" s="401">
        <f t="shared" si="576"/>
        <v>2937.5487101656699</v>
      </c>
      <c r="EE60" s="401">
        <f t="shared" si="576"/>
        <v>2928.4016689674986</v>
      </c>
      <c r="EF60" s="431">
        <f t="shared" si="576"/>
        <v>3302.8528253172335</v>
      </c>
      <c r="EG60" s="401">
        <f t="shared" si="576"/>
        <v>5593.1811156464109</v>
      </c>
      <c r="EH60" s="401">
        <f t="shared" si="576"/>
        <v>6231.2544942847317</v>
      </c>
      <c r="EI60" s="400">
        <f>+EI58+EI59</f>
        <v>11824.435609931144</v>
      </c>
      <c r="EJ60" s="401">
        <f t="shared" ref="EJ60:EO60" si="577">+EJ58+EJ59</f>
        <v>3011.0862491720727</v>
      </c>
      <c r="EK60" s="401">
        <f t="shared" si="577"/>
        <v>3137.9684771710681</v>
      </c>
      <c r="EL60" s="401">
        <f t="shared" si="577"/>
        <v>3128.9361038409447</v>
      </c>
      <c r="EM60" s="431">
        <f t="shared" si="577"/>
        <v>3536.3998185648857</v>
      </c>
      <c r="EN60" s="401">
        <f t="shared" si="577"/>
        <v>6149.0547263431417</v>
      </c>
      <c r="EO60" s="401">
        <f t="shared" si="577"/>
        <v>6665.3359224058313</v>
      </c>
      <c r="EP60" s="400">
        <f>+EP58+EP59</f>
        <v>12814.390648748971</v>
      </c>
      <c r="EQ60" s="401">
        <f t="shared" ref="EQ60:EV60" si="578">+EQ58+EQ59</f>
        <v>3191.0782387219201</v>
      </c>
      <c r="ER60" s="401">
        <f t="shared" si="578"/>
        <v>3325.2352230021702</v>
      </c>
      <c r="ES60" s="401">
        <f t="shared" si="578"/>
        <v>3316.3441874688351</v>
      </c>
      <c r="ET60" s="431">
        <f t="shared" si="578"/>
        <v>3741.4462046619328</v>
      </c>
      <c r="EU60" s="401">
        <f t="shared" si="578"/>
        <v>6516.3134617240903</v>
      </c>
      <c r="EV60" s="401">
        <f t="shared" si="578"/>
        <v>7057.7903921307679</v>
      </c>
      <c r="EW60" s="400">
        <f>+EW58+EW59</f>
        <v>13574.103853854858</v>
      </c>
    </row>
    <row r="61" spans="1:153" ht="10.199999999999999" customHeight="1">
      <c r="A61" s="48"/>
      <c r="B61" s="852"/>
      <c r="C61" s="852"/>
      <c r="D61" s="852"/>
      <c r="E61" s="852"/>
      <c r="F61" s="852"/>
      <c r="G61" s="852"/>
      <c r="H61" s="852"/>
      <c r="I61" s="852"/>
      <c r="J61" s="852"/>
      <c r="K61" s="852"/>
      <c r="L61" s="852"/>
      <c r="M61" s="852"/>
      <c r="N61" s="852"/>
      <c r="O61" s="852"/>
      <c r="P61" s="852"/>
      <c r="Q61" s="1100"/>
      <c r="R61" s="852"/>
      <c r="S61" s="852"/>
      <c r="T61" s="1082"/>
      <c r="U61" s="852"/>
      <c r="V61" s="852"/>
      <c r="W61" s="852"/>
      <c r="X61" s="1100"/>
      <c r="Y61" s="852"/>
      <c r="Z61" s="852"/>
      <c r="AA61" s="1082"/>
      <c r="AB61" s="852"/>
      <c r="AC61" s="852"/>
      <c r="AD61" s="852"/>
      <c r="AE61" s="1100"/>
      <c r="AF61" s="852"/>
      <c r="AG61" s="852"/>
      <c r="AH61" s="1082"/>
      <c r="AI61" s="852"/>
      <c r="AJ61" s="852"/>
      <c r="AK61" s="852"/>
      <c r="AL61" s="1100"/>
      <c r="AM61" s="852"/>
      <c r="AN61" s="852"/>
      <c r="AO61" s="1082"/>
      <c r="AP61" s="852"/>
      <c r="AQ61" s="852"/>
      <c r="AR61" s="852"/>
      <c r="AS61" s="1100"/>
      <c r="AT61" s="852"/>
      <c r="AU61" s="852"/>
      <c r="AV61" s="1082"/>
      <c r="AW61" s="852"/>
      <c r="AX61" s="852"/>
      <c r="AY61" s="852"/>
      <c r="AZ61" s="1100"/>
      <c r="BA61" s="852"/>
      <c r="BB61" s="852"/>
      <c r="BC61" s="1082"/>
      <c r="BD61" s="852"/>
      <c r="BE61" s="852"/>
      <c r="BF61" s="852"/>
      <c r="BG61" s="1100"/>
      <c r="BH61" s="852"/>
      <c r="BI61" s="852"/>
      <c r="BJ61" s="1082"/>
      <c r="BK61" s="852"/>
      <c r="BL61" s="852"/>
      <c r="BM61" s="852"/>
      <c r="BN61" s="1100"/>
      <c r="BO61" s="852"/>
      <c r="BP61" s="852"/>
      <c r="BQ61" s="1082"/>
      <c r="BR61" s="852"/>
      <c r="BS61" s="852"/>
      <c r="BT61" s="852"/>
      <c r="BU61" s="1100"/>
      <c r="BV61" s="852"/>
      <c r="BW61" s="852"/>
      <c r="BX61" s="1082"/>
      <c r="BY61" s="852"/>
      <c r="BZ61" s="852"/>
      <c r="CA61" s="852"/>
      <c r="CB61" s="1100"/>
      <c r="CC61" s="852"/>
      <c r="CD61" s="852"/>
      <c r="CE61" s="1082"/>
      <c r="CF61" s="852"/>
      <c r="CG61" s="852"/>
      <c r="CH61" s="852"/>
      <c r="CI61" s="1100"/>
      <c r="CJ61" s="852"/>
      <c r="CK61" s="852"/>
      <c r="CL61" s="1082"/>
      <c r="CM61" s="852"/>
      <c r="CN61" s="852"/>
      <c r="CO61" s="852"/>
      <c r="CP61" s="1100"/>
      <c r="CQ61" s="852"/>
      <c r="CR61" s="852"/>
      <c r="CS61" s="1082"/>
      <c r="CT61" s="852"/>
      <c r="CU61" s="852"/>
      <c r="CV61" s="852"/>
      <c r="CW61" s="1100"/>
      <c r="CX61" s="852"/>
      <c r="CY61" s="852"/>
      <c r="CZ61" s="1082"/>
      <c r="DA61" s="852"/>
      <c r="DB61" s="852"/>
      <c r="DC61" s="852"/>
      <c r="DD61" s="1100"/>
      <c r="DE61" s="852"/>
      <c r="DF61" s="852"/>
      <c r="DG61" s="1082"/>
      <c r="DH61" s="852"/>
      <c r="DI61" s="852"/>
      <c r="DJ61" s="852"/>
      <c r="DK61" s="1100"/>
      <c r="DL61" s="852"/>
      <c r="DM61" s="852"/>
      <c r="DN61" s="1274"/>
      <c r="DO61" s="852"/>
      <c r="DP61" s="852"/>
      <c r="DQ61" s="852"/>
      <c r="DR61" s="1100"/>
      <c r="DS61" s="2012"/>
      <c r="DT61" s="852"/>
      <c r="DU61" s="1082"/>
      <c r="DV61" s="852"/>
      <c r="DW61" s="852"/>
      <c r="DX61" s="852"/>
      <c r="DY61" s="1100"/>
      <c r="DZ61" s="852"/>
      <c r="EA61" s="852"/>
      <c r="EB61" s="1082"/>
      <c r="EC61" s="852"/>
      <c r="ED61" s="852"/>
      <c r="EE61" s="852"/>
      <c r="EF61" s="1100"/>
      <c r="EG61" s="852"/>
      <c r="EH61" s="852"/>
      <c r="EI61" s="1082"/>
      <c r="EJ61" s="852"/>
      <c r="EK61" s="852"/>
      <c r="EL61" s="852"/>
      <c r="EM61" s="1100"/>
      <c r="EN61" s="852"/>
      <c r="EO61" s="852"/>
      <c r="EP61" s="1082"/>
      <c r="EQ61" s="852"/>
      <c r="ER61" s="852"/>
      <c r="ES61" s="852"/>
      <c r="ET61" s="1100"/>
      <c r="EU61" s="852"/>
      <c r="EV61" s="852"/>
      <c r="EW61" s="1082"/>
    </row>
    <row r="62" spans="1:153" ht="10.199999999999999" customHeight="1">
      <c r="A62" s="48" t="s">
        <v>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17"/>
      <c r="O62" s="317"/>
      <c r="P62" s="317"/>
      <c r="Q62" s="714"/>
      <c r="R62" s="317"/>
      <c r="S62" s="317"/>
      <c r="T62" s="619"/>
      <c r="U62" s="317"/>
      <c r="V62" s="317"/>
      <c r="W62" s="317"/>
      <c r="X62" s="714"/>
      <c r="Y62" s="317"/>
      <c r="Z62" s="317"/>
      <c r="AA62" s="619"/>
      <c r="AB62" s="317"/>
      <c r="AC62" s="317"/>
      <c r="AD62" s="317"/>
      <c r="AE62" s="714"/>
      <c r="AF62" s="317"/>
      <c r="AG62" s="317"/>
      <c r="AH62" s="619"/>
      <c r="AI62" s="317"/>
      <c r="AJ62" s="317"/>
      <c r="AK62" s="317"/>
      <c r="AL62" s="714"/>
      <c r="AM62" s="317"/>
      <c r="AN62" s="317"/>
      <c r="AO62" s="619"/>
      <c r="AP62" s="317"/>
      <c r="AQ62" s="317"/>
      <c r="AR62" s="317"/>
      <c r="AS62" s="714"/>
      <c r="AT62" s="317"/>
      <c r="AU62" s="317"/>
      <c r="AV62" s="619"/>
      <c r="AW62" s="317"/>
      <c r="AX62" s="317"/>
      <c r="AY62" s="317"/>
      <c r="AZ62" s="714"/>
      <c r="BA62" s="317"/>
      <c r="BB62" s="317"/>
      <c r="BC62" s="619"/>
      <c r="BD62" s="317"/>
      <c r="BE62" s="317"/>
      <c r="BF62" s="317"/>
      <c r="BG62" s="714"/>
      <c r="BH62" s="317"/>
      <c r="BI62" s="317"/>
      <c r="BJ62" s="619"/>
      <c r="BK62" s="317"/>
      <c r="BL62" s="317"/>
      <c r="BM62" s="317"/>
      <c r="BN62" s="714"/>
      <c r="BO62" s="317"/>
      <c r="BP62" s="317"/>
      <c r="BQ62" s="619"/>
      <c r="BR62" s="317"/>
      <c r="BS62" s="317"/>
      <c r="BT62" s="317"/>
      <c r="BU62" s="714"/>
      <c r="BV62" s="317"/>
      <c r="BW62" s="317"/>
      <c r="BX62" s="619"/>
      <c r="BY62" s="317"/>
      <c r="BZ62" s="317"/>
      <c r="CA62" s="317"/>
      <c r="CB62" s="714"/>
      <c r="CC62" s="317"/>
      <c r="CD62" s="317"/>
      <c r="CE62" s="619"/>
      <c r="CF62" s="317"/>
      <c r="CG62" s="317"/>
      <c r="CH62" s="317"/>
      <c r="CI62" s="714"/>
      <c r="CJ62" s="317"/>
      <c r="CK62" s="317"/>
      <c r="CL62" s="619"/>
      <c r="CM62" s="317"/>
      <c r="CN62" s="317"/>
      <c r="CO62" s="317"/>
      <c r="CP62" s="714"/>
      <c r="CQ62" s="317"/>
      <c r="CR62" s="317"/>
      <c r="CS62" s="619"/>
      <c r="CT62" s="317"/>
      <c r="CU62" s="317"/>
      <c r="CV62" s="317"/>
      <c r="CW62" s="714"/>
      <c r="CX62" s="317"/>
      <c r="CY62" s="317"/>
      <c r="CZ62" s="619"/>
      <c r="DA62" s="317"/>
      <c r="DB62" s="317"/>
      <c r="DC62" s="317"/>
      <c r="DD62" s="714"/>
      <c r="DE62" s="317"/>
      <c r="DF62" s="317"/>
      <c r="DG62" s="619"/>
      <c r="DH62" s="317"/>
      <c r="DI62" s="317"/>
      <c r="DJ62" s="317"/>
      <c r="DK62" s="714"/>
      <c r="DL62" s="317"/>
      <c r="DM62" s="317"/>
      <c r="DN62" s="619"/>
      <c r="DO62" s="317"/>
      <c r="DP62" s="317"/>
      <c r="DQ62" s="317"/>
      <c r="DR62" s="714"/>
      <c r="DS62" s="1909"/>
      <c r="DT62" s="317"/>
      <c r="DU62" s="619"/>
      <c r="DV62" s="317"/>
      <c r="DW62" s="317"/>
      <c r="DX62" s="317"/>
      <c r="DY62" s="714"/>
      <c r="DZ62" s="317"/>
      <c r="EA62" s="317"/>
      <c r="EB62" s="619"/>
      <c r="EC62" s="317"/>
      <c r="ED62" s="317"/>
      <c r="EE62" s="317"/>
      <c r="EF62" s="714"/>
      <c r="EG62" s="317"/>
      <c r="EH62" s="317"/>
      <c r="EI62" s="619"/>
      <c r="EJ62" s="317"/>
      <c r="EK62" s="317"/>
      <c r="EL62" s="317"/>
      <c r="EM62" s="714"/>
      <c r="EN62" s="317"/>
      <c r="EO62" s="317"/>
      <c r="EP62" s="619"/>
      <c r="EQ62" s="317"/>
      <c r="ER62" s="317"/>
      <c r="ES62" s="317"/>
      <c r="ET62" s="714"/>
      <c r="EU62" s="317"/>
      <c r="EV62" s="317"/>
      <c r="EW62" s="619"/>
    </row>
    <row r="63" spans="1:153" ht="10.199999999999999" customHeight="1">
      <c r="A63" s="43" t="str">
        <f>A102</f>
        <v>Airbus</v>
      </c>
      <c r="B63" s="530">
        <v>1625</v>
      </c>
      <c r="C63" s="530">
        <v>1614</v>
      </c>
      <c r="D63" s="530">
        <v>1628</v>
      </c>
      <c r="E63" s="530">
        <v>1088</v>
      </c>
      <c r="F63" s="530">
        <v>1131</v>
      </c>
      <c r="G63" s="530">
        <v>1140</v>
      </c>
      <c r="H63" s="530">
        <v>1238</v>
      </c>
      <c r="I63" s="530">
        <v>1042</v>
      </c>
      <c r="J63" s="530">
        <v>996</v>
      </c>
      <c r="K63" s="530">
        <v>959</v>
      </c>
      <c r="L63" s="530">
        <v>1065</v>
      </c>
      <c r="M63" s="530">
        <v>1205</v>
      </c>
      <c r="N63" s="865"/>
      <c r="O63" s="135"/>
      <c r="P63" s="135"/>
      <c r="Q63" s="961"/>
      <c r="R63" s="135"/>
      <c r="S63" s="135"/>
      <c r="T63" s="948">
        <v>1208</v>
      </c>
      <c r="U63" s="865"/>
      <c r="V63" s="135"/>
      <c r="W63" s="135"/>
      <c r="X63" s="961"/>
      <c r="Y63" s="135"/>
      <c r="Z63" s="135"/>
      <c r="AA63" s="948">
        <v>1419</v>
      </c>
      <c r="AB63" s="865"/>
      <c r="AC63" s="135"/>
      <c r="AD63" s="135"/>
      <c r="AE63" s="961"/>
      <c r="AF63" s="135"/>
      <c r="AG63" s="135"/>
      <c r="AH63" s="948">
        <v>1608</v>
      </c>
      <c r="AI63" s="865"/>
      <c r="AJ63" s="135"/>
      <c r="AK63" s="135"/>
      <c r="AL63" s="961"/>
      <c r="AM63" s="135"/>
      <c r="AN63" s="135"/>
      <c r="AO63" s="948">
        <v>1568</v>
      </c>
      <c r="AP63" s="865"/>
      <c r="AQ63" s="135"/>
      <c r="AR63" s="135"/>
      <c r="AS63" s="961"/>
      <c r="AT63" s="135"/>
      <c r="AU63" s="135"/>
      <c r="AV63" s="948">
        <v>1593</v>
      </c>
      <c r="AW63" s="865"/>
      <c r="AX63" s="135"/>
      <c r="AY63" s="135"/>
      <c r="AZ63" s="961"/>
      <c r="BA63" s="135"/>
      <c r="BB63" s="135"/>
      <c r="BC63" s="948">
        <v>1661</v>
      </c>
      <c r="BD63" s="865"/>
      <c r="BE63" s="135"/>
      <c r="BF63" s="135"/>
      <c r="BG63" s="961"/>
      <c r="BH63" s="135"/>
      <c r="BI63" s="135"/>
      <c r="BJ63" s="948">
        <v>1794</v>
      </c>
      <c r="BK63" s="865"/>
      <c r="BL63" s="135"/>
      <c r="BM63" s="135"/>
      <c r="BN63" s="961"/>
      <c r="BO63" s="135"/>
      <c r="BP63" s="135"/>
      <c r="BQ63" s="948">
        <f>Airbus!BR62</f>
        <v>2130</v>
      </c>
      <c r="BR63" s="865"/>
      <c r="BS63" s="135"/>
      <c r="BT63" s="135"/>
      <c r="BU63" s="961"/>
      <c r="BV63" s="135"/>
      <c r="BW63" s="135"/>
      <c r="BX63" s="948"/>
      <c r="BY63" s="865"/>
      <c r="BZ63" s="135"/>
      <c r="CA63" s="135"/>
      <c r="CB63" s="961"/>
      <c r="CC63" s="135"/>
      <c r="CD63" s="135"/>
      <c r="CE63" s="948">
        <f>Airbus!BY62</f>
        <v>1951</v>
      </c>
      <c r="CF63" s="865"/>
      <c r="CG63" s="135"/>
      <c r="CH63" s="135"/>
      <c r="CI63" s="961"/>
      <c r="CJ63" s="135"/>
      <c r="CK63" s="135"/>
      <c r="CL63" s="948">
        <f>Airbus!CF62</f>
        <v>1616</v>
      </c>
      <c r="CM63" s="865"/>
      <c r="CN63" s="135"/>
      <c r="CO63" s="135"/>
      <c r="CP63" s="961"/>
      <c r="CQ63" s="135"/>
      <c r="CR63" s="135"/>
      <c r="CS63" s="948">
        <f>Airbus!CM62</f>
        <v>1571</v>
      </c>
      <c r="CT63" s="865">
        <f>Airbus!CN62</f>
        <v>363.791</v>
      </c>
      <c r="CU63" s="135">
        <f>Airbus!CO62</f>
        <v>413.69800000000004</v>
      </c>
      <c r="CV63" s="135">
        <f>Airbus!CP62</f>
        <v>432.11199999999997</v>
      </c>
      <c r="CW63" s="961">
        <f>Airbus!CQ62</f>
        <v>387.399</v>
      </c>
      <c r="CX63" s="135">
        <f>Airbus!CR62</f>
        <v>777.48900000000003</v>
      </c>
      <c r="CY63" s="135">
        <f>Airbus!CS62</f>
        <v>819.51099999999997</v>
      </c>
      <c r="CZ63" s="948">
        <f>Airbus!CT62</f>
        <v>1597</v>
      </c>
      <c r="DA63" s="865">
        <f>Airbus!CU62</f>
        <v>274.43599999999998</v>
      </c>
      <c r="DB63" s="135">
        <f>Airbus!CV62</f>
        <v>524.65200000000004</v>
      </c>
      <c r="DC63" s="135">
        <f>Airbus!CW62</f>
        <v>301.74</v>
      </c>
      <c r="DD63" s="961">
        <f>Airbus!CX62</f>
        <v>539.17199999999991</v>
      </c>
      <c r="DE63" s="135">
        <f>Airbus!CY62</f>
        <v>799.08800000000008</v>
      </c>
      <c r="DF63" s="135">
        <f>Airbus!CZ62</f>
        <v>840.91199999999992</v>
      </c>
      <c r="DG63" s="948">
        <f>Airbus!DA62</f>
        <v>1640</v>
      </c>
      <c r="DH63" s="135">
        <f>Airbus!DB62</f>
        <v>453.2</v>
      </c>
      <c r="DI63" s="135">
        <f>Airbus!DC62</f>
        <v>425.82499999999987</v>
      </c>
      <c r="DJ63" s="135">
        <f>Airbus!DD62</f>
        <v>450.875</v>
      </c>
      <c r="DK63" s="961">
        <f>Airbus!DE62</f>
        <v>1113.1000000000001</v>
      </c>
      <c r="DL63" s="135">
        <f>Airbus!DF62</f>
        <v>879.02499999999986</v>
      </c>
      <c r="DM63" s="135">
        <f>Airbus!DG62</f>
        <v>1563.9750000000001</v>
      </c>
      <c r="DN63" s="948">
        <f>Airbus!DH62</f>
        <v>2443</v>
      </c>
      <c r="DO63" s="135">
        <f>Airbus!DI62</f>
        <v>496.28</v>
      </c>
      <c r="DP63" s="135">
        <f>Airbus!DJ62</f>
        <v>419.52</v>
      </c>
      <c r="DQ63" s="442">
        <f>Airbus!DK62</f>
        <v>506.28057812298681</v>
      </c>
      <c r="DR63" s="443">
        <f>Airbus!DL62</f>
        <v>1203.1635925334579</v>
      </c>
      <c r="DS63" s="1873">
        <f>Airbus!DM62</f>
        <v>915.8</v>
      </c>
      <c r="DT63" s="442">
        <f>Airbus!DN62</f>
        <v>1709.4441706564446</v>
      </c>
      <c r="DU63" s="548">
        <f>Airbus!DO62</f>
        <v>2625.2441706564446</v>
      </c>
      <c r="DV63" s="442">
        <f>Airbus!DP62</f>
        <v>717.65565663801533</v>
      </c>
      <c r="DW63" s="442">
        <f>Airbus!DQ62</f>
        <v>758.13718780996453</v>
      </c>
      <c r="DX63" s="442">
        <f>Airbus!DR62</f>
        <v>760.0706382522917</v>
      </c>
      <c r="DY63" s="443">
        <f>Airbus!DS62</f>
        <v>744.62095886759198</v>
      </c>
      <c r="DZ63" s="442">
        <f>Airbus!DT62</f>
        <v>1475.7928444479799</v>
      </c>
      <c r="EA63" s="442">
        <f>Airbus!DU62</f>
        <v>1504.6915971198837</v>
      </c>
      <c r="EB63" s="548">
        <f>Airbus!DV62</f>
        <v>2980.4844415678635</v>
      </c>
      <c r="EC63" s="442">
        <f>Airbus!DW62</f>
        <v>786.75822508678755</v>
      </c>
      <c r="ED63" s="442">
        <f>Airbus!DX62</f>
        <v>833.45891142436301</v>
      </c>
      <c r="EE63" s="442">
        <f>Airbus!DY62</f>
        <v>835.51151939625618</v>
      </c>
      <c r="EF63" s="443">
        <f>Airbus!DZ62</f>
        <v>835.81841851151933</v>
      </c>
      <c r="EG63" s="442">
        <f>Airbus!EA62</f>
        <v>1620.2171365111506</v>
      </c>
      <c r="EH63" s="442">
        <f>Airbus!EB62</f>
        <v>1671.3299379077755</v>
      </c>
      <c r="EI63" s="548">
        <f>Airbus!EC62</f>
        <v>3291.5470744189261</v>
      </c>
      <c r="EJ63" s="442">
        <f>Airbus!ED62</f>
        <v>848.74191866013973</v>
      </c>
      <c r="EK63" s="442">
        <f>Airbus!EE62</f>
        <v>861.27965209956585</v>
      </c>
      <c r="EL63" s="442">
        <f>Airbus!EF62</f>
        <v>863.42345579936193</v>
      </c>
      <c r="EM63" s="443">
        <f>Airbus!EG62</f>
        <v>863.23199796447773</v>
      </c>
      <c r="EN63" s="442">
        <f>Airbus!EH62</f>
        <v>1710.0215707597056</v>
      </c>
      <c r="EO63" s="442">
        <f>Airbus!EI62</f>
        <v>1726.6554537638397</v>
      </c>
      <c r="EP63" s="548">
        <f>Airbus!EJ62</f>
        <v>3436.6770245235452</v>
      </c>
      <c r="EQ63" s="442">
        <f>Airbus!EK62</f>
        <v>873.66232885004422</v>
      </c>
      <c r="ER63" s="442">
        <f>Airbus!EL62</f>
        <v>887.03947311672925</v>
      </c>
      <c r="ES63" s="442">
        <f>Airbus!EM62</f>
        <v>889.31667588421931</v>
      </c>
      <c r="ET63" s="443">
        <f>Airbus!EN62</f>
        <v>888.26546833228542</v>
      </c>
      <c r="EU63" s="442">
        <f>Airbus!EO62</f>
        <v>1760.7018019667735</v>
      </c>
      <c r="EV63" s="442">
        <f>Airbus!EP62</f>
        <v>1777.5821442165047</v>
      </c>
      <c r="EW63" s="548">
        <f>Airbus!EQ62</f>
        <v>3538.2839461832782</v>
      </c>
    </row>
    <row r="64" spans="1:153" ht="10.199999999999999" customHeight="1">
      <c r="A64" s="108" t="s">
        <v>325</v>
      </c>
      <c r="B64" s="530"/>
      <c r="C64" s="530">
        <f>198*0.7</f>
        <v>138.6</v>
      </c>
      <c r="D64" s="530">
        <f>136*0.7</f>
        <v>95.199999999999989</v>
      </c>
      <c r="E64" s="530">
        <v>52</v>
      </c>
      <c r="F64" s="530">
        <v>68</v>
      </c>
      <c r="G64" s="530">
        <v>74</v>
      </c>
      <c r="H64" s="530">
        <v>76</v>
      </c>
      <c r="I64" s="530">
        <v>85</v>
      </c>
      <c r="J64" s="530">
        <v>86</v>
      </c>
      <c r="K64" s="530">
        <v>91</v>
      </c>
      <c r="L64" s="530">
        <v>140</v>
      </c>
      <c r="M64" s="530">
        <v>134</v>
      </c>
      <c r="N64" s="865"/>
      <c r="O64" s="135"/>
      <c r="P64" s="135"/>
      <c r="Q64" s="961"/>
      <c r="R64" s="135"/>
      <c r="S64" s="135"/>
      <c r="T64" s="948">
        <v>136</v>
      </c>
      <c r="U64" s="865"/>
      <c r="V64" s="135"/>
      <c r="W64" s="135"/>
      <c r="X64" s="961"/>
      <c r="Y64" s="135"/>
      <c r="Z64" s="135"/>
      <c r="AA64" s="948">
        <v>157</v>
      </c>
      <c r="AB64" s="865"/>
      <c r="AC64" s="135"/>
      <c r="AD64" s="135"/>
      <c r="AE64" s="961"/>
      <c r="AF64" s="135"/>
      <c r="AG64" s="135"/>
      <c r="AH64" s="948">
        <v>159</v>
      </c>
      <c r="AI64" s="865"/>
      <c r="AJ64" s="135"/>
      <c r="AK64" s="135"/>
      <c r="AL64" s="961"/>
      <c r="AM64" s="135"/>
      <c r="AN64" s="135"/>
      <c r="AO64" s="948">
        <v>183</v>
      </c>
      <c r="AP64" s="865"/>
      <c r="AQ64" s="135"/>
      <c r="AR64" s="135"/>
      <c r="AS64" s="961"/>
      <c r="AT64" s="135"/>
      <c r="AU64" s="135"/>
      <c r="AV64" s="948">
        <v>209</v>
      </c>
      <c r="AW64" s="865"/>
      <c r="AX64" s="135"/>
      <c r="AY64" s="135"/>
      <c r="AZ64" s="961"/>
      <c r="BA64" s="135"/>
      <c r="BB64" s="135"/>
      <c r="BC64" s="948">
        <v>209</v>
      </c>
      <c r="BD64" s="865"/>
      <c r="BE64" s="135"/>
      <c r="BF64" s="135"/>
      <c r="BG64" s="961"/>
      <c r="BH64" s="135"/>
      <c r="BI64" s="135"/>
      <c r="BJ64" s="948">
        <v>167</v>
      </c>
      <c r="BK64" s="865"/>
      <c r="BL64" s="135"/>
      <c r="BM64" s="135"/>
      <c r="BN64" s="961"/>
      <c r="BO64" s="135"/>
      <c r="BP64" s="135"/>
      <c r="BQ64" s="948">
        <f>Helicopters!BJ17</f>
        <v>160</v>
      </c>
      <c r="BR64" s="865"/>
      <c r="BS64" s="135"/>
      <c r="BT64" s="135"/>
      <c r="BU64" s="961"/>
      <c r="BV64" s="135"/>
      <c r="BW64" s="135"/>
      <c r="BX64" s="948"/>
      <c r="BY64" s="865"/>
      <c r="BZ64" s="135"/>
      <c r="CA64" s="135"/>
      <c r="CB64" s="961"/>
      <c r="CC64" s="135"/>
      <c r="CD64" s="135"/>
      <c r="CE64" s="948">
        <f>Helicopters!BQ17</f>
        <v>208</v>
      </c>
      <c r="CF64" s="865"/>
      <c r="CG64" s="135"/>
      <c r="CH64" s="135"/>
      <c r="CI64" s="961"/>
      <c r="CJ64" s="135"/>
      <c r="CK64" s="135"/>
      <c r="CL64" s="948">
        <f>Helicopters!BX17</f>
        <v>184</v>
      </c>
      <c r="CM64" s="865"/>
      <c r="CN64" s="135"/>
      <c r="CO64" s="135"/>
      <c r="CP64" s="961"/>
      <c r="CQ64" s="135"/>
      <c r="CR64" s="135"/>
      <c r="CS64" s="948">
        <f>Helicopters!CE17</f>
        <v>189</v>
      </c>
      <c r="CT64" s="865">
        <f>Helicopters!CF17</f>
        <v>41.547999999999995</v>
      </c>
      <c r="CU64" s="135">
        <f>Helicopters!CG17</f>
        <v>41.496000000000002</v>
      </c>
      <c r="CV64" s="135">
        <f>Helicopters!CH17</f>
        <v>38.167999999999999</v>
      </c>
      <c r="CW64" s="961">
        <f>Helicopters!CI17</f>
        <v>70.788000000000011</v>
      </c>
      <c r="CX64" s="135">
        <f>Helicopters!CJ17</f>
        <v>83.043999999999997</v>
      </c>
      <c r="CY64" s="135">
        <f>Helicopters!CK17</f>
        <v>108.956</v>
      </c>
      <c r="CZ64" s="948">
        <f>Helicopters!CL17</f>
        <v>192</v>
      </c>
      <c r="DA64" s="865">
        <f>Helicopters!CM17</f>
        <v>39.447000000000003</v>
      </c>
      <c r="DB64" s="135">
        <f>Helicopters!CN17</f>
        <v>46.709999999999994</v>
      </c>
      <c r="DC64" s="135">
        <f>Helicopters!CO17</f>
        <v>45.467999999999996</v>
      </c>
      <c r="DD64" s="961">
        <f>Helicopters!CP17</f>
        <v>83.375000000000028</v>
      </c>
      <c r="DE64" s="135">
        <f>Helicopters!CQ17</f>
        <v>86.156999999999996</v>
      </c>
      <c r="DF64" s="135">
        <f>Helicopters!CR17</f>
        <v>128.84300000000002</v>
      </c>
      <c r="DG64" s="948">
        <f>Helicopters!CS17</f>
        <v>215</v>
      </c>
      <c r="DH64" s="135">
        <f>Helicopters!CT17</f>
        <v>40</v>
      </c>
      <c r="DI64" s="135">
        <f>Helicopters!CU17</f>
        <v>52.325000000000003</v>
      </c>
      <c r="DJ64" s="135">
        <f>Helicopters!CV17</f>
        <v>48.975000000000001</v>
      </c>
      <c r="DK64" s="961">
        <f>Helicopters!CW17</f>
        <v>109.70000000000002</v>
      </c>
      <c r="DL64" s="135">
        <f>Helicopters!CX17</f>
        <v>92.325000000000003</v>
      </c>
      <c r="DM64" s="135">
        <f>Helicopters!CY17</f>
        <v>158.67500000000001</v>
      </c>
      <c r="DN64" s="948">
        <f>Helicopters!CZ17</f>
        <v>251</v>
      </c>
      <c r="DO64" s="135">
        <f>Helicopters!DA17</f>
        <v>48.12</v>
      </c>
      <c r="DP64" s="135">
        <f>Helicopters!DB17</f>
        <v>62.279999999999994</v>
      </c>
      <c r="DQ64" s="442">
        <f>Helicopters!DC17</f>
        <v>62.45781749999999</v>
      </c>
      <c r="DR64" s="443">
        <f>Helicopters!DD17</f>
        <v>108.28733898000006</v>
      </c>
      <c r="DS64" s="1873">
        <f>Helicopters!DE17</f>
        <v>110.39999999999999</v>
      </c>
      <c r="DT64" s="442">
        <f>Helicopters!DF17</f>
        <v>170.74515648000005</v>
      </c>
      <c r="DU64" s="548">
        <f>Helicopters!DG17</f>
        <v>281.14515648000003</v>
      </c>
      <c r="DV64" s="442">
        <f>Helicopters!DH17</f>
        <v>50.336599679999999</v>
      </c>
      <c r="DW64" s="442">
        <f>Helicopters!DI17</f>
        <v>65.08527552000001</v>
      </c>
      <c r="DX64" s="442">
        <f>Helicopters!DJ17</f>
        <v>65.271390110999988</v>
      </c>
      <c r="DY64" s="443">
        <f>Helicopters!DK17</f>
        <v>112.97680259479208</v>
      </c>
      <c r="DZ64" s="442">
        <f>Helicopters!DL17</f>
        <v>115.4218752</v>
      </c>
      <c r="EA64" s="442">
        <f>Helicopters!DM17</f>
        <v>178.24819270579206</v>
      </c>
      <c r="EB64" s="548">
        <f>Helicopters!DN17</f>
        <v>293.67006790579205</v>
      </c>
      <c r="EC64" s="442">
        <f>Helicopters!DO17</f>
        <v>52.656377571072007</v>
      </c>
      <c r="ED64" s="442">
        <f>Helicopters!DP17</f>
        <v>68.018342347008002</v>
      </c>
      <c r="EE64" s="442">
        <f>Helicopters!DQ17</f>
        <v>68.213144894684405</v>
      </c>
      <c r="EF64" s="443">
        <f>Helicopters!DR17</f>
        <v>117.87145329562162</v>
      </c>
      <c r="EG64" s="442">
        <f>Helicopters!DS17</f>
        <v>120.67471991808</v>
      </c>
      <c r="EH64" s="442">
        <f>Helicopters!DT17</f>
        <v>186.08459819030602</v>
      </c>
      <c r="EI64" s="548">
        <f>Helicopters!DU17</f>
        <v>306.75931810838603</v>
      </c>
      <c r="EJ64" s="442">
        <f>Helicopters!DV17</f>
        <v>55.084183452143321</v>
      </c>
      <c r="EK64" s="442">
        <f>Helicopters!DW17</f>
        <v>71.085086158627121</v>
      </c>
      <c r="EL64" s="442">
        <f>Helicopters!DX17</f>
        <v>71.28898610278965</v>
      </c>
      <c r="EM64" s="443">
        <f>Helicopters!DY17</f>
        <v>122.98036727856477</v>
      </c>
      <c r="EN64" s="442">
        <f>Helicopters!DZ17</f>
        <v>126.16926961077044</v>
      </c>
      <c r="EO64" s="442">
        <f>Helicopters!EA17</f>
        <v>194.26935338135442</v>
      </c>
      <c r="EP64" s="548">
        <f>Helicopters!EB17</f>
        <v>320.43862299212486</v>
      </c>
      <c r="EQ64" s="442">
        <f>Helicopters!EC17</f>
        <v>57.625097102169903</v>
      </c>
      <c r="ER64" s="442">
        <f>Helicopters!ED17</f>
        <v>74.291666559275669</v>
      </c>
      <c r="ES64" s="442">
        <f>Helicopters!EE17</f>
        <v>74.505092803420354</v>
      </c>
      <c r="ET64" s="443">
        <f>Helicopters!EF17</f>
        <v>128.31302674990872</v>
      </c>
      <c r="EU64" s="442">
        <f>Helicopters!EG17</f>
        <v>131.91676366144557</v>
      </c>
      <c r="EV64" s="442">
        <f>Helicopters!EH17</f>
        <v>202.81811955332907</v>
      </c>
      <c r="EW64" s="548">
        <f>Helicopters!EI17</f>
        <v>334.73488321477464</v>
      </c>
    </row>
    <row r="65" spans="1:153" ht="10.199999999999999" customHeight="1">
      <c r="A65" s="108" t="s">
        <v>324</v>
      </c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865"/>
      <c r="O65" s="135"/>
      <c r="P65" s="135"/>
      <c r="Q65" s="961"/>
      <c r="R65" s="135"/>
      <c r="S65" s="135"/>
      <c r="T65" s="948">
        <v>521</v>
      </c>
      <c r="U65" s="865"/>
      <c r="V65" s="135"/>
      <c r="W65" s="135"/>
      <c r="X65" s="961"/>
      <c r="Y65" s="135"/>
      <c r="Z65" s="135"/>
      <c r="AA65" s="948">
        <v>540</v>
      </c>
      <c r="AB65" s="865"/>
      <c r="AC65" s="135"/>
      <c r="AD65" s="135"/>
      <c r="AE65" s="961"/>
      <c r="AF65" s="135"/>
      <c r="AG65" s="135"/>
      <c r="AH65" s="948">
        <v>654</v>
      </c>
      <c r="AI65" s="865"/>
      <c r="AJ65" s="135"/>
      <c r="AK65" s="135"/>
      <c r="AL65" s="961"/>
      <c r="AM65" s="135"/>
      <c r="AN65" s="135"/>
      <c r="AO65" s="948">
        <v>483</v>
      </c>
      <c r="AP65" s="865"/>
      <c r="AQ65" s="135"/>
      <c r="AR65" s="135"/>
      <c r="AS65" s="961"/>
      <c r="AT65" s="135"/>
      <c r="AU65" s="135"/>
      <c r="AV65" s="948">
        <v>429</v>
      </c>
      <c r="AW65" s="865"/>
      <c r="AX65" s="135"/>
      <c r="AY65" s="135"/>
      <c r="AZ65" s="961"/>
      <c r="BA65" s="135"/>
      <c r="BB65" s="135"/>
      <c r="BC65" s="948">
        <v>429</v>
      </c>
      <c r="BD65" s="865"/>
      <c r="BE65" s="135"/>
      <c r="BF65" s="135"/>
      <c r="BG65" s="961"/>
      <c r="BH65" s="135"/>
      <c r="BI65" s="135"/>
      <c r="BJ65" s="948">
        <v>457</v>
      </c>
      <c r="BK65" s="865"/>
      <c r="BL65" s="135"/>
      <c r="BM65" s="135"/>
      <c r="BN65" s="961"/>
      <c r="BO65" s="135"/>
      <c r="BP65" s="135"/>
      <c r="BQ65" s="948">
        <f>'Defence &amp; Space'!AX21</f>
        <v>555</v>
      </c>
      <c r="BR65" s="865"/>
      <c r="BS65" s="135"/>
      <c r="BT65" s="135"/>
      <c r="BU65" s="961"/>
      <c r="BV65" s="135"/>
      <c r="BW65" s="135"/>
      <c r="BX65" s="948"/>
      <c r="BY65" s="865"/>
      <c r="BZ65" s="135"/>
      <c r="CA65" s="135"/>
      <c r="CB65" s="961"/>
      <c r="CC65" s="135"/>
      <c r="CD65" s="135"/>
      <c r="CE65" s="948">
        <f>'Defence &amp; Space'!BE21</f>
        <v>672</v>
      </c>
      <c r="CF65" s="865"/>
      <c r="CG65" s="135"/>
      <c r="CH65" s="135"/>
      <c r="CI65" s="961"/>
      <c r="CJ65" s="135"/>
      <c r="CK65" s="135"/>
      <c r="CL65" s="948">
        <f>'Defence &amp; Space'!BL21</f>
        <v>525</v>
      </c>
      <c r="CM65" s="865"/>
      <c r="CN65" s="135"/>
      <c r="CO65" s="135"/>
      <c r="CP65" s="961"/>
      <c r="CQ65" s="135"/>
      <c r="CR65" s="135"/>
      <c r="CS65" s="948">
        <f>'Defence &amp; Space'!BS21</f>
        <v>961</v>
      </c>
      <c r="CT65" s="865">
        <f>'Defence &amp; Space'!BT21</f>
        <v>89.661000000000001</v>
      </c>
      <c r="CU65" s="135">
        <f>'Defence &amp; Space'!BU21</f>
        <v>91.806000000000012</v>
      </c>
      <c r="CV65" s="135">
        <f>'Defence &amp; Space'!BV21</f>
        <v>96.72</v>
      </c>
      <c r="CW65" s="961">
        <f>'Defence &amp; Space'!BW21</f>
        <v>174.81300000000002</v>
      </c>
      <c r="CX65" s="135">
        <f>'Defence &amp; Space'!BX21</f>
        <v>181.46700000000001</v>
      </c>
      <c r="CY65" s="135">
        <f>'Defence &amp; Space'!BY21</f>
        <v>271.53300000000002</v>
      </c>
      <c r="CZ65" s="948">
        <f>'Defence &amp; Space'!BZ21</f>
        <v>453</v>
      </c>
      <c r="DA65" s="865">
        <f>'Defence &amp; Space'!CA21</f>
        <v>199.11700000000002</v>
      </c>
      <c r="DB65" s="135">
        <f>'Defence &amp; Space'!CB21</f>
        <v>214.63799999999998</v>
      </c>
      <c r="DC65" s="135">
        <f>'Defence &amp; Space'!CC21</f>
        <v>217.792</v>
      </c>
      <c r="DD65" s="961">
        <f>'Defence &amp; Space'!CD21</f>
        <v>366.45299999999997</v>
      </c>
      <c r="DE65" s="135">
        <f>'Defence &amp; Space'!CE21</f>
        <v>413.755</v>
      </c>
      <c r="DF65" s="135">
        <f>'Defence &amp; Space'!CF21</f>
        <v>584.245</v>
      </c>
      <c r="DG65" s="948">
        <f>'Defence &amp; Space'!CG21</f>
        <v>998</v>
      </c>
      <c r="DH65" s="135">
        <f>'Defence &amp; Space'!CH21</f>
        <v>132.80000000000001</v>
      </c>
      <c r="DI65" s="135">
        <f>'Defence &amp; Space'!CI21</f>
        <v>157.85000000000002</v>
      </c>
      <c r="DJ65" s="135">
        <f>'Defence &amp; Space'!CJ21</f>
        <v>153.15</v>
      </c>
      <c r="DK65" s="961">
        <f>'Defence &amp; Space'!CK21</f>
        <v>37.19999999999996</v>
      </c>
      <c r="DL65" s="135">
        <f>'Defence &amp; Space'!CL21</f>
        <v>290.65000000000003</v>
      </c>
      <c r="DM65" s="135">
        <f>'Defence &amp; Space'!CM21</f>
        <v>190.34999999999997</v>
      </c>
      <c r="DN65" s="948">
        <f>'Defence &amp; Space'!CN21</f>
        <v>481</v>
      </c>
      <c r="DO65" s="135">
        <f>'Defence &amp; Space'!CO21</f>
        <v>141.6</v>
      </c>
      <c r="DP65" s="135">
        <f>'Defence &amp; Space'!CP21</f>
        <v>174.20000000000002</v>
      </c>
      <c r="DQ65" s="442">
        <f>'Defence &amp; Space'!CQ21</f>
        <v>167.16322500000001</v>
      </c>
      <c r="DR65" s="443">
        <f>'Defence &amp; Space'!CR21</f>
        <v>243.58777500000002</v>
      </c>
      <c r="DS65" s="1873">
        <f>'Defence &amp; Space'!CS21</f>
        <v>315.8</v>
      </c>
      <c r="DT65" s="442">
        <f>'Defence &amp; Space'!CT21</f>
        <v>410.75100000000003</v>
      </c>
      <c r="DU65" s="548">
        <f>'Defence &amp; Space'!CU21</f>
        <v>726.55100000000004</v>
      </c>
      <c r="DV65" s="442">
        <f>'Defence &amp; Space'!CV21</f>
        <v>151.05180000000001</v>
      </c>
      <c r="DW65" s="442">
        <f>'Defence &amp; Space'!CW21</f>
        <v>185.98575</v>
      </c>
      <c r="DX65" s="442">
        <f>'Defence &amp; Space'!CX21</f>
        <v>178.30105875000001</v>
      </c>
      <c r="DY65" s="443">
        <f>'Defence &amp; Space'!CY21</f>
        <v>260.07361624999999</v>
      </c>
      <c r="DZ65" s="442">
        <f>'Defence &amp; Space'!CZ21</f>
        <v>337.03755000000001</v>
      </c>
      <c r="EA65" s="442">
        <f>'Defence &amp; Space'!DA21</f>
        <v>438.37467500000002</v>
      </c>
      <c r="EB65" s="548">
        <f>'Defence &amp; Space'!DB21</f>
        <v>775.41222500000003</v>
      </c>
      <c r="EC65" s="442">
        <f>'Defence &amp; Space'!DC21</f>
        <v>158.60439000000002</v>
      </c>
      <c r="ED65" s="442">
        <f>'Defence &amp; Space'!DD21</f>
        <v>195.28503750000004</v>
      </c>
      <c r="EE65" s="442">
        <f>'Defence &amp; Space'!DE21</f>
        <v>187.21611168750002</v>
      </c>
      <c r="EF65" s="443">
        <f>'Defence &amp; Space'!DF21</f>
        <v>273.07729706250018</v>
      </c>
      <c r="EG65" s="442">
        <f>'Defence &amp; Space'!DG21</f>
        <v>353.88942750000007</v>
      </c>
      <c r="EH65" s="442">
        <f>'Defence &amp; Space'!DH21</f>
        <v>460.2934087500002</v>
      </c>
      <c r="EI65" s="548">
        <f>'Defence &amp; Space'!DI21</f>
        <v>814.18283625000026</v>
      </c>
      <c r="EJ65" s="442">
        <f>'Defence &amp; Space'!DJ21</f>
        <v>166.53460949999999</v>
      </c>
      <c r="EK65" s="442">
        <f>'Defence &amp; Space'!DK21</f>
        <v>205.04928937500011</v>
      </c>
      <c r="EL65" s="442">
        <f>'Defence &amp; Space'!DL21</f>
        <v>196.57691727187503</v>
      </c>
      <c r="EM65" s="443">
        <f>'Defence &amp; Space'!DM21</f>
        <v>286.73116191562497</v>
      </c>
      <c r="EN65" s="442">
        <f>'Defence &amp; Space'!DN21</f>
        <v>371.5838988750001</v>
      </c>
      <c r="EO65" s="442">
        <f>'Defence &amp; Space'!DO21</f>
        <v>483.30807918750003</v>
      </c>
      <c r="EP65" s="548">
        <f>'Defence &amp; Space'!DP21</f>
        <v>854.89197806250013</v>
      </c>
      <c r="EQ65" s="442">
        <f>'Defence &amp; Space'!DQ21</f>
        <v>174.86133997500002</v>
      </c>
      <c r="ER65" s="442">
        <f>'Defence &amp; Space'!DR21</f>
        <v>215.30175384375008</v>
      </c>
      <c r="ES65" s="442">
        <f>'Defence &amp; Space'!DS21</f>
        <v>206.40576313546882</v>
      </c>
      <c r="ET65" s="443">
        <f>'Defence &amp; Space'!DT21</f>
        <v>301.06772001140649</v>
      </c>
      <c r="EU65" s="442">
        <f>'Defence &amp; Space'!DU21</f>
        <v>390.1630938187501</v>
      </c>
      <c r="EV65" s="442">
        <f>'Defence &amp; Space'!DV21</f>
        <v>507.47348314687531</v>
      </c>
      <c r="EW65" s="548">
        <f>'Defence &amp; Space'!DW21</f>
        <v>897.63657696562541</v>
      </c>
    </row>
    <row r="66" spans="1:153" ht="10.199999999999999" hidden="1" customHeight="1" outlineLevel="1">
      <c r="A66" s="127" t="str">
        <f>A105</f>
        <v>Airbus Military</v>
      </c>
      <c r="B66" s="530">
        <v>21</v>
      </c>
      <c r="C66" s="530">
        <v>64</v>
      </c>
      <c r="D66" s="530">
        <v>31</v>
      </c>
      <c r="E66" s="530">
        <v>34</v>
      </c>
      <c r="F66" s="530">
        <v>41</v>
      </c>
      <c r="G66" s="530">
        <v>30</v>
      </c>
      <c r="H66" s="530">
        <v>28</v>
      </c>
      <c r="I66" s="530">
        <v>71</v>
      </c>
      <c r="J66" s="530">
        <v>174</v>
      </c>
      <c r="K66" s="530">
        <v>35</v>
      </c>
      <c r="L66" s="530">
        <v>120</v>
      </c>
      <c r="M66" s="530">
        <v>77</v>
      </c>
      <c r="N66" s="865"/>
      <c r="O66" s="865"/>
      <c r="P66" s="865"/>
      <c r="Q66" s="1102"/>
      <c r="R66" s="865"/>
      <c r="S66" s="865"/>
      <c r="T66" s="948"/>
      <c r="U66" s="865"/>
      <c r="V66" s="865"/>
      <c r="W66" s="865"/>
      <c r="X66" s="1102"/>
      <c r="Y66" s="865"/>
      <c r="Z66" s="865"/>
      <c r="AA66" s="948"/>
      <c r="AB66" s="865"/>
      <c r="AC66" s="865"/>
      <c r="AD66" s="865"/>
      <c r="AE66" s="1102"/>
      <c r="AF66" s="865"/>
      <c r="AG66" s="865"/>
      <c r="AH66" s="948"/>
      <c r="AI66" s="865"/>
      <c r="AJ66" s="865"/>
      <c r="AK66" s="865"/>
      <c r="AL66" s="1102"/>
      <c r="AM66" s="865"/>
      <c r="AN66" s="865"/>
      <c r="AO66" s="948"/>
      <c r="AP66" s="865"/>
      <c r="AQ66" s="865"/>
      <c r="AR66" s="865"/>
      <c r="AS66" s="1102"/>
      <c r="AT66" s="865"/>
      <c r="AU66" s="865"/>
      <c r="AV66" s="948"/>
      <c r="AW66" s="865"/>
      <c r="AX66" s="865"/>
      <c r="AY66" s="865"/>
      <c r="AZ66" s="1102"/>
      <c r="BA66" s="865"/>
      <c r="BB66" s="865"/>
      <c r="BC66" s="948"/>
      <c r="BD66" s="865"/>
      <c r="BE66" s="865"/>
      <c r="BF66" s="865"/>
      <c r="BG66" s="1102"/>
      <c r="BH66" s="865"/>
      <c r="BI66" s="865"/>
      <c r="BJ66" s="948"/>
      <c r="BK66" s="865"/>
      <c r="BL66" s="865"/>
      <c r="BM66" s="865"/>
      <c r="BN66" s="1102"/>
      <c r="BO66" s="865"/>
      <c r="BP66" s="865"/>
      <c r="BQ66" s="948"/>
      <c r="BR66" s="865"/>
      <c r="BS66" s="865"/>
      <c r="BT66" s="865"/>
      <c r="BU66" s="1102"/>
      <c r="BV66" s="865"/>
      <c r="BW66" s="865"/>
      <c r="BX66" s="948"/>
      <c r="BY66" s="865"/>
      <c r="BZ66" s="865"/>
      <c r="CA66" s="865"/>
      <c r="CB66" s="1102"/>
      <c r="CC66" s="865"/>
      <c r="CD66" s="865"/>
      <c r="CE66" s="948"/>
      <c r="CF66" s="865"/>
      <c r="CG66" s="865"/>
      <c r="CH66" s="865"/>
      <c r="CI66" s="1102"/>
      <c r="CJ66" s="865"/>
      <c r="CK66" s="865"/>
      <c r="CL66" s="948"/>
      <c r="CM66" s="865"/>
      <c r="CN66" s="865"/>
      <c r="CO66" s="865"/>
      <c r="CP66" s="1102"/>
      <c r="CQ66" s="865"/>
      <c r="CR66" s="865"/>
      <c r="CS66" s="948"/>
      <c r="CT66" s="865"/>
      <c r="CU66" s="865"/>
      <c r="CV66" s="865"/>
      <c r="CW66" s="1102"/>
      <c r="CX66" s="865"/>
      <c r="CY66" s="865"/>
      <c r="CZ66" s="948"/>
      <c r="DA66" s="865"/>
      <c r="DB66" s="865"/>
      <c r="DC66" s="865"/>
      <c r="DD66" s="1102"/>
      <c r="DE66" s="865"/>
      <c r="DF66" s="865"/>
      <c r="DG66" s="948"/>
      <c r="DH66" s="865"/>
      <c r="DI66" s="865"/>
      <c r="DJ66" s="865"/>
      <c r="DK66" s="1102"/>
      <c r="DL66" s="865"/>
      <c r="DM66" s="865"/>
      <c r="DN66" s="948"/>
      <c r="DO66" s="865"/>
      <c r="DP66" s="865"/>
      <c r="DQ66" s="865"/>
      <c r="DR66" s="1102"/>
      <c r="DS66" s="1872"/>
      <c r="DT66" s="865"/>
      <c r="DU66" s="948"/>
      <c r="DV66" s="865"/>
      <c r="DW66" s="865"/>
      <c r="DX66" s="865"/>
      <c r="DY66" s="1102"/>
      <c r="DZ66" s="865"/>
      <c r="EA66" s="865"/>
      <c r="EB66" s="948"/>
      <c r="EC66" s="865"/>
      <c r="ED66" s="865"/>
      <c r="EE66" s="865"/>
      <c r="EF66" s="1102"/>
      <c r="EG66" s="865"/>
      <c r="EH66" s="865"/>
      <c r="EI66" s="948"/>
      <c r="EJ66" s="865"/>
      <c r="EK66" s="865"/>
      <c r="EL66" s="865"/>
      <c r="EM66" s="1102"/>
      <c r="EN66" s="865"/>
      <c r="EO66" s="865"/>
      <c r="EP66" s="948"/>
      <c r="EQ66" s="865"/>
      <c r="ER66" s="865"/>
      <c r="ES66" s="865"/>
      <c r="ET66" s="1102"/>
      <c r="EU66" s="865"/>
      <c r="EV66" s="865"/>
      <c r="EW66" s="948"/>
    </row>
    <row r="67" spans="1:153" ht="10.199999999999999" hidden="1" customHeight="1" outlineLevel="1">
      <c r="A67" s="127" t="str">
        <f>A106</f>
        <v>Cassidian</v>
      </c>
      <c r="B67" s="530">
        <v>567</v>
      </c>
      <c r="C67" s="530">
        <v>241</v>
      </c>
      <c r="D67" s="530">
        <v>287</v>
      </c>
      <c r="E67" s="530">
        <v>139</v>
      </c>
      <c r="F67" s="530">
        <v>146</v>
      </c>
      <c r="G67" s="530">
        <v>131</v>
      </c>
      <c r="H67" s="530">
        <v>140</v>
      </c>
      <c r="I67" s="530">
        <v>149</v>
      </c>
      <c r="J67" s="530">
        <v>150</v>
      </c>
      <c r="K67" s="530">
        <v>141</v>
      </c>
      <c r="L67" s="530">
        <v>167</v>
      </c>
      <c r="M67" s="530">
        <v>252</v>
      </c>
      <c r="N67" s="317"/>
      <c r="O67" s="317"/>
      <c r="P67" s="317"/>
      <c r="Q67" s="714"/>
      <c r="R67" s="317"/>
      <c r="S67" s="317"/>
      <c r="T67" s="619"/>
      <c r="U67" s="317"/>
      <c r="V67" s="317"/>
      <c r="W67" s="317"/>
      <c r="X67" s="714"/>
      <c r="Y67" s="317"/>
      <c r="Z67" s="317"/>
      <c r="AA67" s="619"/>
      <c r="AB67" s="317"/>
      <c r="AC67" s="317"/>
      <c r="AD67" s="317"/>
      <c r="AE67" s="714"/>
      <c r="AF67" s="317"/>
      <c r="AG67" s="317"/>
      <c r="AH67" s="619"/>
      <c r="AI67" s="317"/>
      <c r="AJ67" s="317"/>
      <c r="AK67" s="317"/>
      <c r="AL67" s="714"/>
      <c r="AM67" s="317"/>
      <c r="AN67" s="317"/>
      <c r="AO67" s="619"/>
      <c r="AP67" s="317"/>
      <c r="AQ67" s="317"/>
      <c r="AR67" s="317"/>
      <c r="AS67" s="714"/>
      <c r="AT67" s="317"/>
      <c r="AU67" s="317"/>
      <c r="AV67" s="619"/>
      <c r="AW67" s="317"/>
      <c r="AX67" s="317"/>
      <c r="AY67" s="317"/>
      <c r="AZ67" s="714"/>
      <c r="BA67" s="317"/>
      <c r="BB67" s="317"/>
      <c r="BC67" s="619"/>
      <c r="BD67" s="317"/>
      <c r="BE67" s="317"/>
      <c r="BF67" s="317"/>
      <c r="BG67" s="714"/>
      <c r="BH67" s="317"/>
      <c r="BI67" s="317"/>
      <c r="BJ67" s="619"/>
      <c r="BK67" s="317"/>
      <c r="BL67" s="317"/>
      <c r="BM67" s="317"/>
      <c r="BN67" s="714"/>
      <c r="BO67" s="317"/>
      <c r="BP67" s="317"/>
      <c r="BQ67" s="619"/>
      <c r="BR67" s="317"/>
      <c r="BS67" s="317"/>
      <c r="BT67" s="317"/>
      <c r="BU67" s="714"/>
      <c r="BV67" s="317"/>
      <c r="BW67" s="317"/>
      <c r="BX67" s="619"/>
      <c r="BY67" s="317"/>
      <c r="BZ67" s="317"/>
      <c r="CA67" s="317"/>
      <c r="CB67" s="714"/>
      <c r="CC67" s="317"/>
      <c r="CD67" s="317"/>
      <c r="CE67" s="619"/>
      <c r="CF67" s="317"/>
      <c r="CG67" s="317"/>
      <c r="CH67" s="317"/>
      <c r="CI67" s="714"/>
      <c r="CJ67" s="317"/>
      <c r="CK67" s="317"/>
      <c r="CL67" s="619"/>
      <c r="CM67" s="317"/>
      <c r="CN67" s="317"/>
      <c r="CO67" s="317"/>
      <c r="CP67" s="714"/>
      <c r="CQ67" s="317"/>
      <c r="CR67" s="317"/>
      <c r="CS67" s="619"/>
      <c r="CT67" s="317"/>
      <c r="CU67" s="317"/>
      <c r="CV67" s="317"/>
      <c r="CW67" s="714"/>
      <c r="CX67" s="317"/>
      <c r="CY67" s="317"/>
      <c r="CZ67" s="619"/>
      <c r="DA67" s="317"/>
      <c r="DB67" s="317"/>
      <c r="DC67" s="317"/>
      <c r="DD67" s="714"/>
      <c r="DE67" s="317"/>
      <c r="DF67" s="317"/>
      <c r="DG67" s="619"/>
      <c r="DH67" s="317"/>
      <c r="DI67" s="317"/>
      <c r="DJ67" s="317"/>
      <c r="DK67" s="714"/>
      <c r="DL67" s="317"/>
      <c r="DM67" s="317"/>
      <c r="DN67" s="619"/>
      <c r="DO67" s="317"/>
      <c r="DP67" s="317"/>
      <c r="DQ67" s="317"/>
      <c r="DR67" s="714"/>
      <c r="DS67" s="1909"/>
      <c r="DT67" s="317"/>
      <c r="DU67" s="619"/>
      <c r="DV67" s="317"/>
      <c r="DW67" s="317"/>
      <c r="DX67" s="317"/>
      <c r="DY67" s="714"/>
      <c r="DZ67" s="317"/>
      <c r="EA67" s="317"/>
      <c r="EB67" s="619"/>
      <c r="EC67" s="317"/>
      <c r="ED67" s="317"/>
      <c r="EE67" s="317"/>
      <c r="EF67" s="714"/>
      <c r="EG67" s="317"/>
      <c r="EH67" s="317"/>
      <c r="EI67" s="619"/>
      <c r="EJ67" s="317"/>
      <c r="EK67" s="317"/>
      <c r="EL67" s="317"/>
      <c r="EM67" s="714"/>
      <c r="EN67" s="317"/>
      <c r="EO67" s="317"/>
      <c r="EP67" s="619"/>
      <c r="EQ67" s="317"/>
      <c r="ER67" s="317"/>
      <c r="ES67" s="317"/>
      <c r="ET67" s="714"/>
      <c r="EU67" s="317"/>
      <c r="EV67" s="317"/>
      <c r="EW67" s="619"/>
    </row>
    <row r="68" spans="1:153" ht="10.199999999999999" hidden="1" customHeight="1" outlineLevel="1">
      <c r="A68" s="127" t="str">
        <f>A107</f>
        <v>Astrium</v>
      </c>
      <c r="B68" s="530">
        <v>121</v>
      </c>
      <c r="C68" s="530">
        <v>141</v>
      </c>
      <c r="D68" s="530">
        <v>134</v>
      </c>
      <c r="E68" s="530">
        <v>110</v>
      </c>
      <c r="F68" s="530">
        <v>117</v>
      </c>
      <c r="G68" s="530">
        <v>126</v>
      </c>
      <c r="H68" s="530">
        <v>166</v>
      </c>
      <c r="I68" s="530">
        <v>188</v>
      </c>
      <c r="J68" s="530">
        <v>228</v>
      </c>
      <c r="K68" s="530">
        <v>218</v>
      </c>
      <c r="L68" s="530">
        <v>235</v>
      </c>
      <c r="M68" s="530">
        <v>298</v>
      </c>
      <c r="N68" s="317"/>
      <c r="O68" s="317"/>
      <c r="P68" s="317"/>
      <c r="Q68" s="714"/>
      <c r="R68" s="317"/>
      <c r="S68" s="317"/>
      <c r="T68" s="619"/>
      <c r="U68" s="317"/>
      <c r="V68" s="317"/>
      <c r="W68" s="317"/>
      <c r="X68" s="714"/>
      <c r="Y68" s="317"/>
      <c r="Z68" s="317"/>
      <c r="AA68" s="619"/>
      <c r="AB68" s="317"/>
      <c r="AC68" s="317"/>
      <c r="AD68" s="317"/>
      <c r="AE68" s="714"/>
      <c r="AF68" s="317"/>
      <c r="AG68" s="317"/>
      <c r="AH68" s="619"/>
      <c r="AI68" s="317"/>
      <c r="AJ68" s="317"/>
      <c r="AK68" s="317"/>
      <c r="AL68" s="714"/>
      <c r="AM68" s="317"/>
      <c r="AN68" s="317"/>
      <c r="AO68" s="619"/>
      <c r="AP68" s="317"/>
      <c r="AQ68" s="317"/>
      <c r="AR68" s="317"/>
      <c r="AS68" s="714"/>
      <c r="AT68" s="317"/>
      <c r="AU68" s="317"/>
      <c r="AV68" s="619"/>
      <c r="AW68" s="317"/>
      <c r="AX68" s="317"/>
      <c r="AY68" s="317"/>
      <c r="AZ68" s="714"/>
      <c r="BA68" s="317"/>
      <c r="BB68" s="317"/>
      <c r="BC68" s="619"/>
      <c r="BD68" s="317"/>
      <c r="BE68" s="317"/>
      <c r="BF68" s="317"/>
      <c r="BG68" s="714"/>
      <c r="BH68" s="317"/>
      <c r="BI68" s="317"/>
      <c r="BJ68" s="619"/>
      <c r="BK68" s="317"/>
      <c r="BL68" s="317"/>
      <c r="BM68" s="317"/>
      <c r="BN68" s="714"/>
      <c r="BO68" s="317"/>
      <c r="BP68" s="317"/>
      <c r="BQ68" s="619"/>
      <c r="BR68" s="317"/>
      <c r="BS68" s="317"/>
      <c r="BT68" s="317"/>
      <c r="BU68" s="714"/>
      <c r="BV68" s="317"/>
      <c r="BW68" s="317"/>
      <c r="BX68" s="619"/>
      <c r="BY68" s="317"/>
      <c r="BZ68" s="317"/>
      <c r="CA68" s="317"/>
      <c r="CB68" s="714"/>
      <c r="CC68" s="317"/>
      <c r="CD68" s="317"/>
      <c r="CE68" s="619"/>
      <c r="CF68" s="317"/>
      <c r="CG68" s="317"/>
      <c r="CH68" s="317"/>
      <c r="CI68" s="714"/>
      <c r="CJ68" s="317"/>
      <c r="CK68" s="317"/>
      <c r="CL68" s="619"/>
      <c r="CM68" s="317"/>
      <c r="CN68" s="317"/>
      <c r="CO68" s="317"/>
      <c r="CP68" s="714"/>
      <c r="CQ68" s="317"/>
      <c r="CR68" s="317"/>
      <c r="CS68" s="619"/>
      <c r="CT68" s="317"/>
      <c r="CU68" s="317"/>
      <c r="CV68" s="317"/>
      <c r="CW68" s="714"/>
      <c r="CX68" s="317"/>
      <c r="CY68" s="317"/>
      <c r="CZ68" s="619"/>
      <c r="DA68" s="317"/>
      <c r="DB68" s="317"/>
      <c r="DC68" s="317"/>
      <c r="DD68" s="714"/>
      <c r="DE68" s="317"/>
      <c r="DF68" s="317"/>
      <c r="DG68" s="619"/>
      <c r="DH68" s="317"/>
      <c r="DI68" s="317"/>
      <c r="DJ68" s="317"/>
      <c r="DK68" s="714"/>
      <c r="DL68" s="317"/>
      <c r="DM68" s="317"/>
      <c r="DN68" s="619"/>
      <c r="DO68" s="317"/>
      <c r="DP68" s="317"/>
      <c r="DQ68" s="317"/>
      <c r="DR68" s="714"/>
      <c r="DS68" s="1909"/>
      <c r="DT68" s="317"/>
      <c r="DU68" s="619"/>
      <c r="DV68" s="317"/>
      <c r="DW68" s="317"/>
      <c r="DX68" s="317"/>
      <c r="DY68" s="714"/>
      <c r="DZ68" s="317"/>
      <c r="EA68" s="317"/>
      <c r="EB68" s="619"/>
      <c r="EC68" s="317"/>
      <c r="ED68" s="317"/>
      <c r="EE68" s="317"/>
      <c r="EF68" s="714"/>
      <c r="EG68" s="317"/>
      <c r="EH68" s="317"/>
      <c r="EI68" s="619"/>
      <c r="EJ68" s="317"/>
      <c r="EK68" s="317"/>
      <c r="EL68" s="317"/>
      <c r="EM68" s="714"/>
      <c r="EN68" s="317"/>
      <c r="EO68" s="317"/>
      <c r="EP68" s="619"/>
      <c r="EQ68" s="317"/>
      <c r="ER68" s="317"/>
      <c r="ES68" s="317"/>
      <c r="ET68" s="714"/>
      <c r="EU68" s="317"/>
      <c r="EV68" s="317"/>
      <c r="EW68" s="619"/>
    </row>
    <row r="69" spans="1:153" ht="10.199999999999999" hidden="1" customHeight="1" outlineLevel="1">
      <c r="A69" s="127" t="s">
        <v>211</v>
      </c>
      <c r="B69" s="530">
        <v>278</v>
      </c>
      <c r="C69" s="530">
        <f>198*0.3</f>
        <v>59.4</v>
      </c>
      <c r="D69" s="530">
        <f>136*0.3</f>
        <v>40.799999999999997</v>
      </c>
      <c r="E69" s="530">
        <v>54</v>
      </c>
      <c r="F69" s="530">
        <v>55</v>
      </c>
      <c r="G69" s="530">
        <v>88</v>
      </c>
      <c r="H69" s="530">
        <v>42</v>
      </c>
      <c r="I69" s="530">
        <v>43</v>
      </c>
      <c r="J69" s="530">
        <v>31</v>
      </c>
      <c r="K69" s="530">
        <v>25</v>
      </c>
      <c r="L69" s="530">
        <v>58</v>
      </c>
      <c r="M69" s="530">
        <v>45</v>
      </c>
      <c r="N69" s="317"/>
      <c r="O69" s="317"/>
      <c r="P69" s="317"/>
      <c r="Q69" s="714"/>
      <c r="R69" s="317"/>
      <c r="S69" s="317"/>
      <c r="T69" s="619"/>
      <c r="U69" s="317"/>
      <c r="V69" s="317"/>
      <c r="W69" s="317"/>
      <c r="X69" s="714"/>
      <c r="Y69" s="317"/>
      <c r="Z69" s="317"/>
      <c r="AA69" s="619"/>
      <c r="AB69" s="317"/>
      <c r="AC69" s="317"/>
      <c r="AD69" s="317"/>
      <c r="AE69" s="714"/>
      <c r="AF69" s="317"/>
      <c r="AG69" s="317"/>
      <c r="AH69" s="619"/>
      <c r="AI69" s="317"/>
      <c r="AJ69" s="317"/>
      <c r="AK69" s="317"/>
      <c r="AL69" s="714"/>
      <c r="AM69" s="317"/>
      <c r="AN69" s="317"/>
      <c r="AO69" s="619"/>
      <c r="AP69" s="317"/>
      <c r="AQ69" s="317"/>
      <c r="AR69" s="317"/>
      <c r="AS69" s="714"/>
      <c r="AT69" s="317"/>
      <c r="AU69" s="317"/>
      <c r="AV69" s="619"/>
      <c r="AW69" s="317"/>
      <c r="AX69" s="317"/>
      <c r="AY69" s="317"/>
      <c r="AZ69" s="714"/>
      <c r="BA69" s="317"/>
      <c r="BB69" s="317"/>
      <c r="BC69" s="619"/>
      <c r="BD69" s="317"/>
      <c r="BE69" s="317"/>
      <c r="BF69" s="317"/>
      <c r="BG69" s="714"/>
      <c r="BH69" s="317"/>
      <c r="BI69" s="317"/>
      <c r="BJ69" s="619"/>
      <c r="BK69" s="317"/>
      <c r="BL69" s="317"/>
      <c r="BM69" s="317"/>
      <c r="BN69" s="714"/>
      <c r="BO69" s="317"/>
      <c r="BP69" s="317"/>
      <c r="BQ69" s="619"/>
      <c r="BR69" s="317"/>
      <c r="BS69" s="317"/>
      <c r="BT69" s="317"/>
      <c r="BU69" s="714"/>
      <c r="BV69" s="317"/>
      <c r="BW69" s="317"/>
      <c r="BX69" s="619"/>
      <c r="BY69" s="317"/>
      <c r="BZ69" s="317"/>
      <c r="CA69" s="317"/>
      <c r="CB69" s="714"/>
      <c r="CC69" s="317"/>
      <c r="CD69" s="317"/>
      <c r="CE69" s="619"/>
      <c r="CF69" s="317"/>
      <c r="CG69" s="317"/>
      <c r="CH69" s="317"/>
      <c r="CI69" s="714"/>
      <c r="CJ69" s="317"/>
      <c r="CK69" s="317"/>
      <c r="CL69" s="619"/>
      <c r="CM69" s="317"/>
      <c r="CN69" s="317"/>
      <c r="CO69" s="317"/>
      <c r="CP69" s="714"/>
      <c r="CQ69" s="317"/>
      <c r="CR69" s="317"/>
      <c r="CS69" s="619"/>
      <c r="CT69" s="317"/>
      <c r="CU69" s="317"/>
      <c r="CV69" s="317"/>
      <c r="CW69" s="714"/>
      <c r="CX69" s="317"/>
      <c r="CY69" s="317"/>
      <c r="CZ69" s="619"/>
      <c r="DA69" s="317"/>
      <c r="DB69" s="317"/>
      <c r="DC69" s="317"/>
      <c r="DD69" s="714"/>
      <c r="DE69" s="317"/>
      <c r="DF69" s="317"/>
      <c r="DG69" s="619"/>
      <c r="DH69" s="317"/>
      <c r="DI69" s="317"/>
      <c r="DJ69" s="317"/>
      <c r="DK69" s="714"/>
      <c r="DL69" s="317"/>
      <c r="DM69" s="317"/>
      <c r="DN69" s="619"/>
      <c r="DO69" s="317"/>
      <c r="DP69" s="317"/>
      <c r="DQ69" s="317"/>
      <c r="DR69" s="714"/>
      <c r="DS69" s="1909"/>
      <c r="DT69" s="317"/>
      <c r="DU69" s="1079"/>
      <c r="DV69" s="317"/>
      <c r="DW69" s="317"/>
      <c r="DX69" s="317"/>
      <c r="DY69" s="714"/>
      <c r="DZ69" s="317"/>
      <c r="EA69" s="317"/>
      <c r="EB69" s="1079"/>
      <c r="EC69" s="317"/>
      <c r="ED69" s="317"/>
      <c r="EE69" s="317"/>
      <c r="EF69" s="714"/>
      <c r="EG69" s="317"/>
      <c r="EH69" s="317"/>
      <c r="EI69" s="1079"/>
      <c r="EJ69" s="317"/>
      <c r="EK69" s="317"/>
      <c r="EL69" s="317"/>
      <c r="EM69" s="714"/>
      <c r="EN69" s="317"/>
      <c r="EO69" s="317"/>
      <c r="EP69" s="1079"/>
      <c r="EQ69" s="317"/>
      <c r="ER69" s="317"/>
      <c r="ES69" s="317"/>
      <c r="ET69" s="714"/>
      <c r="EU69" s="317"/>
      <c r="EV69" s="317"/>
      <c r="EW69" s="1079"/>
    </row>
    <row r="70" spans="1:153" ht="10.199999999999999" customHeight="1" collapsed="1">
      <c r="A70" s="48" t="s">
        <v>42</v>
      </c>
      <c r="B70" s="871">
        <f>+SUM(B63:B69)</f>
        <v>2612</v>
      </c>
      <c r="C70" s="871">
        <f>+SUM(C63:C69)</f>
        <v>2258</v>
      </c>
      <c r="D70" s="871">
        <f>+SUM(D63:D69)</f>
        <v>2216</v>
      </c>
      <c r="E70" s="871">
        <f>+SUM(E63:E69)</f>
        <v>1477</v>
      </c>
      <c r="F70" s="871">
        <f t="shared" ref="F70:K70" si="579">SUM(F63:F69)</f>
        <v>1558</v>
      </c>
      <c r="G70" s="871">
        <f t="shared" si="579"/>
        <v>1589</v>
      </c>
      <c r="H70" s="871">
        <f t="shared" si="579"/>
        <v>1690</v>
      </c>
      <c r="I70" s="871">
        <f t="shared" si="579"/>
        <v>1578</v>
      </c>
      <c r="J70" s="871">
        <f t="shared" si="579"/>
        <v>1665</v>
      </c>
      <c r="K70" s="871">
        <f t="shared" si="579"/>
        <v>1469</v>
      </c>
      <c r="L70" s="871">
        <f t="shared" ref="L70:BQ70" si="580">+SUM(L63:L69)</f>
        <v>1785</v>
      </c>
      <c r="M70" s="871">
        <f t="shared" si="580"/>
        <v>2011</v>
      </c>
      <c r="N70" s="123"/>
      <c r="O70" s="123"/>
      <c r="P70" s="123"/>
      <c r="Q70" s="692"/>
      <c r="R70" s="123"/>
      <c r="S70" s="123"/>
      <c r="T70" s="345">
        <f t="shared" si="580"/>
        <v>1865</v>
      </c>
      <c r="U70" s="123"/>
      <c r="V70" s="123"/>
      <c r="W70" s="123"/>
      <c r="X70" s="692"/>
      <c r="Y70" s="123"/>
      <c r="Z70" s="123"/>
      <c r="AA70" s="345">
        <f t="shared" si="580"/>
        <v>2116</v>
      </c>
      <c r="AB70" s="123"/>
      <c r="AC70" s="123"/>
      <c r="AD70" s="123"/>
      <c r="AE70" s="692"/>
      <c r="AF70" s="123"/>
      <c r="AG70" s="123"/>
      <c r="AH70" s="345">
        <f t="shared" si="580"/>
        <v>2421</v>
      </c>
      <c r="AI70" s="123"/>
      <c r="AJ70" s="123"/>
      <c r="AK70" s="123"/>
      <c r="AL70" s="692"/>
      <c r="AM70" s="123"/>
      <c r="AN70" s="123"/>
      <c r="AO70" s="345">
        <f t="shared" si="580"/>
        <v>2234</v>
      </c>
      <c r="AP70" s="123"/>
      <c r="AQ70" s="123"/>
      <c r="AR70" s="123"/>
      <c r="AS70" s="692"/>
      <c r="AT70" s="123"/>
      <c r="AU70" s="123"/>
      <c r="AV70" s="345">
        <f t="shared" si="580"/>
        <v>2231</v>
      </c>
      <c r="AW70" s="123"/>
      <c r="AX70" s="123"/>
      <c r="AY70" s="123"/>
      <c r="AZ70" s="692"/>
      <c r="BA70" s="123"/>
      <c r="BB70" s="123"/>
      <c r="BC70" s="345">
        <f t="shared" si="580"/>
        <v>2299</v>
      </c>
      <c r="BD70" s="123"/>
      <c r="BE70" s="123"/>
      <c r="BF70" s="123"/>
      <c r="BG70" s="692"/>
      <c r="BH70" s="123"/>
      <c r="BI70" s="123"/>
      <c r="BJ70" s="345">
        <f t="shared" si="580"/>
        <v>2418</v>
      </c>
      <c r="BK70" s="123"/>
      <c r="BL70" s="123"/>
      <c r="BM70" s="123"/>
      <c r="BN70" s="692"/>
      <c r="BO70" s="123"/>
      <c r="BP70" s="123"/>
      <c r="BQ70" s="345">
        <f t="shared" si="580"/>
        <v>2845</v>
      </c>
      <c r="BR70" s="123"/>
      <c r="BS70" s="123"/>
      <c r="BT70" s="123"/>
      <c r="BU70" s="692"/>
      <c r="BV70" s="123"/>
      <c r="BW70" s="123"/>
      <c r="BX70" s="345"/>
      <c r="BY70" s="123"/>
      <c r="BZ70" s="123"/>
      <c r="CA70" s="123"/>
      <c r="CB70" s="692"/>
      <c r="CC70" s="123"/>
      <c r="CD70" s="123"/>
      <c r="CE70" s="345">
        <f t="shared" ref="CE70:DM70" si="581">+SUM(CE63:CE69)</f>
        <v>2831</v>
      </c>
      <c r="CF70" s="123"/>
      <c r="CG70" s="123"/>
      <c r="CH70" s="123"/>
      <c r="CI70" s="692"/>
      <c r="CJ70" s="123"/>
      <c r="CK70" s="123"/>
      <c r="CL70" s="345">
        <f t="shared" si="581"/>
        <v>2325</v>
      </c>
      <c r="CM70" s="123"/>
      <c r="CN70" s="123"/>
      <c r="CO70" s="123"/>
      <c r="CP70" s="692"/>
      <c r="CQ70" s="123"/>
      <c r="CR70" s="123"/>
      <c r="CS70" s="345">
        <f t="shared" si="581"/>
        <v>2721</v>
      </c>
      <c r="CT70" s="123">
        <f t="shared" si="581"/>
        <v>495</v>
      </c>
      <c r="CU70" s="123">
        <f t="shared" si="581"/>
        <v>547</v>
      </c>
      <c r="CV70" s="123">
        <f t="shared" ref="CV70" si="582">+SUM(CV63:CV69)</f>
        <v>567</v>
      </c>
      <c r="CW70" s="692">
        <f t="shared" si="581"/>
        <v>633</v>
      </c>
      <c r="CX70" s="123">
        <f t="shared" si="581"/>
        <v>1042</v>
      </c>
      <c r="CY70" s="123">
        <f t="shared" si="581"/>
        <v>1200</v>
      </c>
      <c r="CZ70" s="345">
        <f t="shared" si="581"/>
        <v>2242</v>
      </c>
      <c r="DA70" s="123">
        <f t="shared" ref="DA70:DF70" si="583">+SUM(DA63:DA69)</f>
        <v>513</v>
      </c>
      <c r="DB70" s="123">
        <f t="shared" si="583"/>
        <v>786</v>
      </c>
      <c r="DC70" s="123">
        <f t="shared" si="583"/>
        <v>565</v>
      </c>
      <c r="DD70" s="692">
        <f t="shared" si="583"/>
        <v>988.99999999999989</v>
      </c>
      <c r="DE70" s="123">
        <f t="shared" si="583"/>
        <v>1299</v>
      </c>
      <c r="DF70" s="123">
        <f t="shared" si="583"/>
        <v>1554</v>
      </c>
      <c r="DG70" s="345">
        <f t="shared" si="581"/>
        <v>2853</v>
      </c>
      <c r="DH70" s="123">
        <f t="shared" si="581"/>
        <v>626</v>
      </c>
      <c r="DI70" s="123">
        <f t="shared" si="581"/>
        <v>635.99999999999989</v>
      </c>
      <c r="DJ70" s="123">
        <f t="shared" si="581"/>
        <v>653</v>
      </c>
      <c r="DK70" s="692">
        <f t="shared" si="581"/>
        <v>1260.0000000000002</v>
      </c>
      <c r="DL70" s="123">
        <f t="shared" si="581"/>
        <v>1262</v>
      </c>
      <c r="DM70" s="123">
        <f t="shared" si="581"/>
        <v>1913</v>
      </c>
      <c r="DN70" s="345">
        <f t="shared" ref="DN70:DP70" si="584">+SUM(DN63:DN69)</f>
        <v>3175</v>
      </c>
      <c r="DO70" s="123">
        <f t="shared" si="584"/>
        <v>686</v>
      </c>
      <c r="DP70" s="123">
        <f t="shared" si="584"/>
        <v>656</v>
      </c>
      <c r="DQ70" s="415">
        <f t="shared" ref="DQ70:DU70" si="585">+SUM(DQ63:DQ69)</f>
        <v>735.9016206229868</v>
      </c>
      <c r="DR70" s="448">
        <f t="shared" si="585"/>
        <v>1555.0387065134578</v>
      </c>
      <c r="DS70" s="1910">
        <f t="shared" si="585"/>
        <v>1342</v>
      </c>
      <c r="DT70" s="415">
        <f t="shared" si="585"/>
        <v>2290.9403271364449</v>
      </c>
      <c r="DU70" s="414">
        <f t="shared" si="585"/>
        <v>3632.9403271364445</v>
      </c>
      <c r="DV70" s="415">
        <f t="shared" ref="DV70:EB70" si="586">+SUM(DV63:DV69)</f>
        <v>919.04405631801524</v>
      </c>
      <c r="DW70" s="415">
        <f t="shared" si="586"/>
        <v>1009.2082133299646</v>
      </c>
      <c r="DX70" s="415">
        <f t="shared" si="586"/>
        <v>1003.6430871132917</v>
      </c>
      <c r="DY70" s="448">
        <f t="shared" si="586"/>
        <v>1117.6713777123841</v>
      </c>
      <c r="DZ70" s="415">
        <f t="shared" si="586"/>
        <v>1928.2522696479798</v>
      </c>
      <c r="EA70" s="415">
        <f t="shared" si="586"/>
        <v>2121.3144648256757</v>
      </c>
      <c r="EB70" s="414">
        <f t="shared" si="586"/>
        <v>4049.5667344736557</v>
      </c>
      <c r="EC70" s="415">
        <f t="shared" ref="EC70:EI70" si="587">+SUM(EC63:EC69)</f>
        <v>998.0189926578596</v>
      </c>
      <c r="ED70" s="415">
        <f t="shared" si="587"/>
        <v>1096.7622912713709</v>
      </c>
      <c r="EE70" s="415">
        <f t="shared" si="587"/>
        <v>1090.9407759784406</v>
      </c>
      <c r="EF70" s="448">
        <f t="shared" si="587"/>
        <v>1226.767168869641</v>
      </c>
      <c r="EG70" s="415">
        <f t="shared" si="587"/>
        <v>2094.7812839292305</v>
      </c>
      <c r="EH70" s="415">
        <f t="shared" si="587"/>
        <v>2317.7079448480818</v>
      </c>
      <c r="EI70" s="414">
        <f t="shared" si="587"/>
        <v>4412.4892287773127</v>
      </c>
      <c r="EJ70" s="415">
        <f t="shared" ref="EJ70:EP70" si="588">+SUM(EJ63:EJ69)</f>
        <v>1070.360711612283</v>
      </c>
      <c r="EK70" s="415">
        <f t="shared" si="588"/>
        <v>1137.4140276331932</v>
      </c>
      <c r="EL70" s="415">
        <f t="shared" si="588"/>
        <v>1131.2893591740267</v>
      </c>
      <c r="EM70" s="448">
        <f t="shared" si="588"/>
        <v>1272.9435271586676</v>
      </c>
      <c r="EN70" s="415">
        <f t="shared" si="588"/>
        <v>2207.7747392454762</v>
      </c>
      <c r="EO70" s="415">
        <f t="shared" si="588"/>
        <v>2404.2328863326943</v>
      </c>
      <c r="EP70" s="414">
        <f t="shared" si="588"/>
        <v>4612.0076255781696</v>
      </c>
      <c r="EQ70" s="415">
        <f t="shared" ref="EQ70:EW70" si="589">+SUM(EQ63:EQ69)</f>
        <v>1106.1487659272141</v>
      </c>
      <c r="ER70" s="415">
        <f t="shared" si="589"/>
        <v>1176.632893519755</v>
      </c>
      <c r="ES70" s="415">
        <f t="shared" si="589"/>
        <v>1170.2275318231084</v>
      </c>
      <c r="ET70" s="448">
        <f t="shared" si="589"/>
        <v>1317.6462150936006</v>
      </c>
      <c r="EU70" s="415">
        <f t="shared" si="589"/>
        <v>2282.7816594469691</v>
      </c>
      <c r="EV70" s="415">
        <f t="shared" si="589"/>
        <v>2487.873746916709</v>
      </c>
      <c r="EW70" s="414">
        <f t="shared" si="589"/>
        <v>4770.6554063636777</v>
      </c>
    </row>
    <row r="71" spans="1:153" ht="10.199999999999999" customHeight="1">
      <c r="A71" s="108" t="s">
        <v>326</v>
      </c>
      <c r="B71" s="530">
        <v>158</v>
      </c>
      <c r="C71" s="530">
        <f>160</f>
        <v>160</v>
      </c>
      <c r="D71" s="530">
        <v>159</v>
      </c>
      <c r="E71" s="530">
        <v>144</v>
      </c>
      <c r="F71" s="530">
        <v>95</v>
      </c>
      <c r="G71" s="530">
        <v>102</v>
      </c>
      <c r="H71" s="530">
        <v>82</v>
      </c>
      <c r="I71" s="530">
        <v>89</v>
      </c>
      <c r="J71" s="530">
        <v>161</v>
      </c>
      <c r="K71" s="530">
        <v>113</v>
      </c>
      <c r="L71" s="530">
        <v>99</v>
      </c>
      <c r="M71" s="530">
        <v>42</v>
      </c>
      <c r="N71" s="834"/>
      <c r="O71" s="834"/>
      <c r="P71" s="834"/>
      <c r="Q71" s="1095"/>
      <c r="R71" s="834"/>
      <c r="S71" s="834"/>
      <c r="T71" s="1280">
        <v>62</v>
      </c>
      <c r="U71" s="834"/>
      <c r="V71" s="834"/>
      <c r="W71" s="834"/>
      <c r="X71" s="1095"/>
      <c r="Y71" s="834"/>
      <c r="Z71" s="834"/>
      <c r="AA71" s="1280">
        <v>34</v>
      </c>
      <c r="AB71" s="834"/>
      <c r="AC71" s="834"/>
      <c r="AD71" s="834"/>
      <c r="AE71" s="1095"/>
      <c r="AF71" s="834"/>
      <c r="AG71" s="834"/>
      <c r="AH71" s="1280">
        <v>45</v>
      </c>
      <c r="AI71" s="834"/>
      <c r="AJ71" s="834"/>
      <c r="AK71" s="834"/>
      <c r="AL71" s="1095"/>
      <c r="AM71" s="834"/>
      <c r="AN71" s="834"/>
      <c r="AO71" s="1280">
        <v>60</v>
      </c>
      <c r="AP71" s="834"/>
      <c r="AQ71" s="834"/>
      <c r="AR71" s="834"/>
      <c r="AS71" s="1095"/>
      <c r="AT71" s="834"/>
      <c r="AU71" s="834"/>
      <c r="AV71" s="1280">
        <v>67</v>
      </c>
      <c r="AW71" s="834"/>
      <c r="AX71" s="834"/>
      <c r="AY71" s="834"/>
      <c r="AZ71" s="1095"/>
      <c r="BA71" s="834"/>
      <c r="BB71" s="834"/>
      <c r="BC71" s="1280">
        <v>-1</v>
      </c>
      <c r="BD71" s="834"/>
      <c r="BE71" s="834"/>
      <c r="BF71" s="834"/>
      <c r="BG71" s="1095"/>
      <c r="BH71" s="834"/>
      <c r="BI71" s="834"/>
      <c r="BJ71" s="1280">
        <v>26</v>
      </c>
      <c r="BK71" s="834"/>
      <c r="BL71" s="834"/>
      <c r="BM71" s="834"/>
      <c r="BN71" s="1095"/>
      <c r="BO71" s="834"/>
      <c r="BP71" s="834"/>
      <c r="BQ71" s="1280">
        <v>82</v>
      </c>
      <c r="BR71" s="834"/>
      <c r="BS71" s="834"/>
      <c r="BT71" s="834"/>
      <c r="BU71" s="1095"/>
      <c r="BV71" s="834"/>
      <c r="BW71" s="834"/>
      <c r="BX71" s="1280"/>
      <c r="BY71" s="834"/>
      <c r="BZ71" s="834"/>
      <c r="CA71" s="834"/>
      <c r="CB71" s="1095"/>
      <c r="CC71" s="834"/>
      <c r="CD71" s="834"/>
      <c r="CE71" s="1280">
        <v>0</v>
      </c>
      <c r="CF71" s="834"/>
      <c r="CG71" s="834"/>
      <c r="CH71" s="834"/>
      <c r="CI71" s="1095"/>
      <c r="CJ71" s="834"/>
      <c r="CK71" s="834"/>
      <c r="CL71" s="1280">
        <v>0</v>
      </c>
      <c r="CM71" s="834"/>
      <c r="CN71" s="834"/>
      <c r="CO71" s="834"/>
      <c r="CP71" s="1095"/>
      <c r="CQ71" s="834"/>
      <c r="CR71" s="834"/>
      <c r="CS71" s="1280">
        <v>-5</v>
      </c>
      <c r="CT71" s="834">
        <f>CX71/2</f>
        <v>0</v>
      </c>
      <c r="CU71" s="834">
        <f>CX71-CT71</f>
        <v>0</v>
      </c>
      <c r="CV71" s="834">
        <v>0</v>
      </c>
      <c r="CW71" s="1095">
        <f>CY71-CV71</f>
        <v>0</v>
      </c>
      <c r="CX71" s="834">
        <v>0</v>
      </c>
      <c r="CY71" s="834">
        <f>CZ71-CX71</f>
        <v>0</v>
      </c>
      <c r="CZ71" s="1280">
        <v>0</v>
      </c>
      <c r="DA71" s="834">
        <v>0</v>
      </c>
      <c r="DB71" s="834">
        <f>DE71-DA71</f>
        <v>0</v>
      </c>
      <c r="DC71" s="834">
        <v>0</v>
      </c>
      <c r="DD71" s="1095">
        <f>DF71-DC71</f>
        <v>0</v>
      </c>
      <c r="DE71" s="834">
        <v>0</v>
      </c>
      <c r="DF71" s="834">
        <f>DG71-DE71</f>
        <v>0</v>
      </c>
      <c r="DG71" s="1280">
        <v>0</v>
      </c>
      <c r="DH71" s="834">
        <v>0</v>
      </c>
      <c r="DI71" s="834">
        <f>DL71-DH71</f>
        <v>0</v>
      </c>
      <c r="DJ71" s="834">
        <v>0</v>
      </c>
      <c r="DK71" s="1095">
        <f>DM71-DJ71</f>
        <v>0</v>
      </c>
      <c r="DL71" s="834">
        <v>0</v>
      </c>
      <c r="DM71" s="834">
        <f>DN71-DL71</f>
        <v>0</v>
      </c>
      <c r="DN71" s="1280">
        <v>0</v>
      </c>
      <c r="DO71" s="834">
        <v>0</v>
      </c>
      <c r="DP71" s="834">
        <f>DS71-DO71</f>
        <v>0</v>
      </c>
      <c r="DQ71" s="860">
        <f>DT71/2</f>
        <v>0</v>
      </c>
      <c r="DR71" s="1109">
        <f>DT71-DQ71</f>
        <v>0</v>
      </c>
      <c r="DS71" s="1892">
        <v>0</v>
      </c>
      <c r="DT71" s="860">
        <f>DU71-DS71</f>
        <v>0</v>
      </c>
      <c r="DU71" s="1116">
        <f>DN71</f>
        <v>0</v>
      </c>
      <c r="DV71" s="860">
        <f>DZ71/2</f>
        <v>0</v>
      </c>
      <c r="DW71" s="860">
        <f>DZ71-DV71</f>
        <v>0</v>
      </c>
      <c r="DX71" s="860">
        <f>EA71/2</f>
        <v>0</v>
      </c>
      <c r="DY71" s="1109">
        <f>EA71-DX71</f>
        <v>0</v>
      </c>
      <c r="DZ71" s="860">
        <f>EB71/2</f>
        <v>0</v>
      </c>
      <c r="EA71" s="860">
        <f>EB71-DZ71</f>
        <v>0</v>
      </c>
      <c r="EB71" s="1116">
        <f>DU71</f>
        <v>0</v>
      </c>
      <c r="EC71" s="860">
        <f>EG71/2</f>
        <v>0</v>
      </c>
      <c r="ED71" s="860">
        <f>EG71-EC71</f>
        <v>0</v>
      </c>
      <c r="EE71" s="860">
        <f>EH71/2</f>
        <v>0</v>
      </c>
      <c r="EF71" s="1109">
        <f>EH71-EE71</f>
        <v>0</v>
      </c>
      <c r="EG71" s="860">
        <f>EI71/2</f>
        <v>0</v>
      </c>
      <c r="EH71" s="860">
        <f>EI71-EG71</f>
        <v>0</v>
      </c>
      <c r="EI71" s="1116">
        <f>EB71</f>
        <v>0</v>
      </c>
      <c r="EJ71" s="860">
        <f>EN71/2</f>
        <v>0</v>
      </c>
      <c r="EK71" s="860">
        <f>EN71-EJ71</f>
        <v>0</v>
      </c>
      <c r="EL71" s="860">
        <f>EO71/2</f>
        <v>0</v>
      </c>
      <c r="EM71" s="1109">
        <f>EO71-EL71</f>
        <v>0</v>
      </c>
      <c r="EN71" s="860">
        <f>EP71/2</f>
        <v>0</v>
      </c>
      <c r="EO71" s="860">
        <f>EP71-EN71</f>
        <v>0</v>
      </c>
      <c r="EP71" s="1116">
        <f>EI71</f>
        <v>0</v>
      </c>
      <c r="EQ71" s="860">
        <f>EU71/2</f>
        <v>0</v>
      </c>
      <c r="ER71" s="860">
        <f>EU71-EQ71</f>
        <v>0</v>
      </c>
      <c r="ES71" s="860">
        <f>EV71/2</f>
        <v>0</v>
      </c>
      <c r="ET71" s="1109">
        <f>EV71-ES71</f>
        <v>0</v>
      </c>
      <c r="EU71" s="860">
        <f>EW71/2</f>
        <v>0</v>
      </c>
      <c r="EV71" s="860">
        <f>EW71-EU71</f>
        <v>0</v>
      </c>
      <c r="EW71" s="1116">
        <f>EP71</f>
        <v>0</v>
      </c>
    </row>
    <row r="72" spans="1:153" ht="10.199999999999999" customHeight="1">
      <c r="A72" s="48" t="s">
        <v>146</v>
      </c>
      <c r="B72" s="871">
        <f t="shared" ref="B72:BC72" si="590">+B70+B71</f>
        <v>2770</v>
      </c>
      <c r="C72" s="871">
        <f t="shared" si="590"/>
        <v>2418</v>
      </c>
      <c r="D72" s="871">
        <f t="shared" si="590"/>
        <v>2375</v>
      </c>
      <c r="E72" s="871">
        <f t="shared" si="590"/>
        <v>1621</v>
      </c>
      <c r="F72" s="871">
        <f>+F70+F71</f>
        <v>1653</v>
      </c>
      <c r="G72" s="871">
        <f>+G70+G71</f>
        <v>1691</v>
      </c>
      <c r="H72" s="871">
        <f>+H70+H71</f>
        <v>1772</v>
      </c>
      <c r="I72" s="871">
        <f t="shared" si="590"/>
        <v>1667</v>
      </c>
      <c r="J72" s="871">
        <f t="shared" si="590"/>
        <v>1826</v>
      </c>
      <c r="K72" s="871">
        <f t="shared" si="590"/>
        <v>1582</v>
      </c>
      <c r="L72" s="871">
        <f t="shared" si="590"/>
        <v>1884</v>
      </c>
      <c r="M72" s="871">
        <f t="shared" si="590"/>
        <v>2053</v>
      </c>
      <c r="N72" s="123">
        <v>434</v>
      </c>
      <c r="O72" s="123">
        <f>R72-N72</f>
        <v>442</v>
      </c>
      <c r="P72" s="123">
        <f>1340-R72</f>
        <v>464</v>
      </c>
      <c r="Q72" s="682">
        <f>S72-P72</f>
        <v>587</v>
      </c>
      <c r="R72" s="123">
        <v>876</v>
      </c>
      <c r="S72" s="111">
        <f>T72-R72</f>
        <v>1051</v>
      </c>
      <c r="T72" s="345">
        <f t="shared" si="590"/>
        <v>1927</v>
      </c>
      <c r="U72" s="123">
        <v>471</v>
      </c>
      <c r="V72" s="123">
        <f>Y72-U72</f>
        <v>483</v>
      </c>
      <c r="W72" s="123">
        <f>1468-Y72</f>
        <v>514</v>
      </c>
      <c r="X72" s="682">
        <f>Z72-W72</f>
        <v>682</v>
      </c>
      <c r="Y72" s="123">
        <v>954</v>
      </c>
      <c r="Z72" s="111">
        <f>AA72-Y72</f>
        <v>1196</v>
      </c>
      <c r="AA72" s="345">
        <f t="shared" si="590"/>
        <v>2150</v>
      </c>
      <c r="AB72" s="123">
        <v>525</v>
      </c>
      <c r="AC72" s="123">
        <f>AF72-AB72</f>
        <v>560</v>
      </c>
      <c r="AD72" s="123">
        <f>1652-AF72</f>
        <v>567</v>
      </c>
      <c r="AE72" s="682">
        <f>AG72-AD72</f>
        <v>814</v>
      </c>
      <c r="AF72" s="123">
        <v>1085</v>
      </c>
      <c r="AG72" s="111">
        <f>AH72-AF72</f>
        <v>1381</v>
      </c>
      <c r="AH72" s="345">
        <f t="shared" si="590"/>
        <v>2466</v>
      </c>
      <c r="AI72" s="123">
        <v>512</v>
      </c>
      <c r="AJ72" s="123">
        <f>AM72-AI72</f>
        <v>561</v>
      </c>
      <c r="AK72" s="123">
        <f>1580-AM72</f>
        <v>507</v>
      </c>
      <c r="AL72" s="682">
        <f>AN72-AK72</f>
        <v>714</v>
      </c>
      <c r="AM72" s="123">
        <v>1073</v>
      </c>
      <c r="AN72" s="111">
        <f>AO72-AM72</f>
        <v>1221</v>
      </c>
      <c r="AO72" s="345">
        <f t="shared" si="590"/>
        <v>2294</v>
      </c>
      <c r="AP72" s="123">
        <v>551</v>
      </c>
      <c r="AQ72" s="123">
        <f>+AT72-AP72</f>
        <v>535</v>
      </c>
      <c r="AR72" s="123">
        <f>1603-AT72</f>
        <v>517</v>
      </c>
      <c r="AS72" s="682">
        <f>AU72-AR72</f>
        <v>695</v>
      </c>
      <c r="AT72" s="123">
        <v>1086</v>
      </c>
      <c r="AU72" s="111">
        <f>AV72-AT72</f>
        <v>1212</v>
      </c>
      <c r="AV72" s="345">
        <f t="shared" si="590"/>
        <v>2298</v>
      </c>
      <c r="AW72" s="123">
        <v>551</v>
      </c>
      <c r="AX72" s="123">
        <f>+BA72-AW72</f>
        <v>535</v>
      </c>
      <c r="AY72" s="123">
        <f>1603-BA72</f>
        <v>517</v>
      </c>
      <c r="AZ72" s="682">
        <f>BB72-AY72</f>
        <v>695</v>
      </c>
      <c r="BA72" s="123">
        <v>1086</v>
      </c>
      <c r="BB72" s="111">
        <f>BC72-BA72</f>
        <v>1212</v>
      </c>
      <c r="BC72" s="345">
        <f t="shared" si="590"/>
        <v>2298</v>
      </c>
      <c r="BD72" s="123">
        <v>564</v>
      </c>
      <c r="BE72" s="123">
        <f t="shared" ref="BE72" si="591">BH72-BD72</f>
        <v>598</v>
      </c>
      <c r="BF72" s="123">
        <f>1684-BH72</f>
        <v>522</v>
      </c>
      <c r="BG72" s="682">
        <f>BI72-BF72</f>
        <v>760</v>
      </c>
      <c r="BH72" s="123">
        <v>1162</v>
      </c>
      <c r="BI72" s="111">
        <f>BJ72-BH72</f>
        <v>1282</v>
      </c>
      <c r="BJ72" s="345">
        <f t="shared" ref="BJ72:CZ72" si="592">+BJ70+BJ71</f>
        <v>2444</v>
      </c>
      <c r="BK72" s="123">
        <v>720</v>
      </c>
      <c r="BL72" s="123">
        <f t="shared" ref="BL72" si="593">BO72-BK72</f>
        <v>542</v>
      </c>
      <c r="BM72" s="123">
        <f>1992-BO72</f>
        <v>730</v>
      </c>
      <c r="BN72" s="682">
        <f>BP72-BM72</f>
        <v>935</v>
      </c>
      <c r="BO72" s="123">
        <v>1262</v>
      </c>
      <c r="BP72" s="111">
        <f>BQ72-BO72</f>
        <v>1665</v>
      </c>
      <c r="BQ72" s="345">
        <f t="shared" si="592"/>
        <v>2927</v>
      </c>
      <c r="BR72" s="123"/>
      <c r="BS72" s="123"/>
      <c r="BT72" s="123"/>
      <c r="BU72" s="692"/>
      <c r="BV72" s="123"/>
      <c r="BW72" s="123"/>
      <c r="BX72" s="345"/>
      <c r="BY72" s="123">
        <v>828</v>
      </c>
      <c r="BZ72" s="123">
        <f t="shared" ref="BZ72" si="594">CC72-BY72</f>
        <v>593</v>
      </c>
      <c r="CA72" s="123">
        <f>2044-CC72</f>
        <v>623</v>
      </c>
      <c r="CB72" s="682">
        <f>CD72-CA72</f>
        <v>787</v>
      </c>
      <c r="CC72" s="123">
        <v>1421</v>
      </c>
      <c r="CD72" s="111">
        <f>CE72-CC72</f>
        <v>1410</v>
      </c>
      <c r="CE72" s="345">
        <f t="shared" si="592"/>
        <v>2831</v>
      </c>
      <c r="CF72" s="123">
        <v>597</v>
      </c>
      <c r="CG72" s="123">
        <f t="shared" ref="CG72" si="595">CJ72-CF72</f>
        <v>454</v>
      </c>
      <c r="CH72" s="123">
        <f>1641-CJ72</f>
        <v>590</v>
      </c>
      <c r="CI72" s="682">
        <f>CK72-CH72</f>
        <v>684</v>
      </c>
      <c r="CJ72" s="123">
        <v>1051</v>
      </c>
      <c r="CK72" s="111">
        <f>CL72-CJ72</f>
        <v>1274</v>
      </c>
      <c r="CL72" s="345">
        <f t="shared" si="592"/>
        <v>2325</v>
      </c>
      <c r="CM72" s="123">
        <v>585</v>
      </c>
      <c r="CN72" s="123">
        <f>CQ72-CM72</f>
        <v>571</v>
      </c>
      <c r="CO72" s="123">
        <f>1640-CQ72</f>
        <v>484</v>
      </c>
      <c r="CP72" s="682">
        <f>CR72-CO72</f>
        <v>1076</v>
      </c>
      <c r="CQ72" s="123">
        <v>1156</v>
      </c>
      <c r="CR72" s="111">
        <f>CS72-CQ72</f>
        <v>1560</v>
      </c>
      <c r="CS72" s="345">
        <f t="shared" si="592"/>
        <v>2716</v>
      </c>
      <c r="CT72" s="123">
        <f t="shared" si="592"/>
        <v>495</v>
      </c>
      <c r="CU72" s="123">
        <f t="shared" si="592"/>
        <v>547</v>
      </c>
      <c r="CV72" s="123">
        <f>+CV70+CV71</f>
        <v>567</v>
      </c>
      <c r="CW72" s="692">
        <f t="shared" si="592"/>
        <v>633</v>
      </c>
      <c r="CX72" s="123">
        <f t="shared" si="592"/>
        <v>1042</v>
      </c>
      <c r="CY72" s="123">
        <f t="shared" si="592"/>
        <v>1200</v>
      </c>
      <c r="CZ72" s="345">
        <f t="shared" si="592"/>
        <v>2242</v>
      </c>
      <c r="DA72" s="123">
        <f t="shared" ref="DA72:DF72" si="596">+DA70+DA71</f>
        <v>513</v>
      </c>
      <c r="DB72" s="123">
        <f t="shared" si="596"/>
        <v>786</v>
      </c>
      <c r="DC72" s="123">
        <f>+DC70+DC71</f>
        <v>565</v>
      </c>
      <c r="DD72" s="692">
        <f t="shared" si="596"/>
        <v>988.99999999999989</v>
      </c>
      <c r="DE72" s="123">
        <f t="shared" si="596"/>
        <v>1299</v>
      </c>
      <c r="DF72" s="123">
        <f t="shared" si="596"/>
        <v>1554</v>
      </c>
      <c r="DG72" s="345">
        <f>+DG70+DG71</f>
        <v>2853</v>
      </c>
      <c r="DH72" s="123">
        <f t="shared" ref="DH72:DM72" si="597">+DH70+DH71</f>
        <v>626</v>
      </c>
      <c r="DI72" s="123">
        <f t="shared" si="597"/>
        <v>635.99999999999989</v>
      </c>
      <c r="DJ72" s="123">
        <f t="shared" si="597"/>
        <v>653</v>
      </c>
      <c r="DK72" s="692">
        <f t="shared" si="597"/>
        <v>1260.0000000000002</v>
      </c>
      <c r="DL72" s="123">
        <f t="shared" si="597"/>
        <v>1262</v>
      </c>
      <c r="DM72" s="123">
        <f t="shared" si="597"/>
        <v>1913</v>
      </c>
      <c r="DN72" s="345">
        <f>+DN70+DN71</f>
        <v>3175</v>
      </c>
      <c r="DO72" s="123">
        <f t="shared" ref="DO72:DP72" si="598">+DO70+DO71</f>
        <v>686</v>
      </c>
      <c r="DP72" s="123">
        <f t="shared" si="598"/>
        <v>656</v>
      </c>
      <c r="DQ72" s="415">
        <f t="shared" ref="DQ72:DT72" si="599">+DQ70+DQ71</f>
        <v>735.9016206229868</v>
      </c>
      <c r="DR72" s="448">
        <f t="shared" si="599"/>
        <v>1555.0387065134578</v>
      </c>
      <c r="DS72" s="1910">
        <f t="shared" si="599"/>
        <v>1342</v>
      </c>
      <c r="DT72" s="415">
        <f t="shared" si="599"/>
        <v>2290.9403271364449</v>
      </c>
      <c r="DU72" s="414">
        <f>+DU70+DU71</f>
        <v>3632.9403271364445</v>
      </c>
      <c r="DV72" s="415">
        <f t="shared" ref="DV72:EA72" si="600">+DV70+DV71</f>
        <v>919.04405631801524</v>
      </c>
      <c r="DW72" s="415">
        <f t="shared" si="600"/>
        <v>1009.2082133299646</v>
      </c>
      <c r="DX72" s="415">
        <f t="shared" si="600"/>
        <v>1003.6430871132917</v>
      </c>
      <c r="DY72" s="448">
        <f t="shared" si="600"/>
        <v>1117.6713777123841</v>
      </c>
      <c r="DZ72" s="415">
        <f t="shared" si="600"/>
        <v>1928.2522696479798</v>
      </c>
      <c r="EA72" s="415">
        <f t="shared" si="600"/>
        <v>2121.3144648256757</v>
      </c>
      <c r="EB72" s="414">
        <f>+EB70+EB71</f>
        <v>4049.5667344736557</v>
      </c>
      <c r="EC72" s="415">
        <f t="shared" ref="EC72:EH72" si="601">+EC70+EC71</f>
        <v>998.0189926578596</v>
      </c>
      <c r="ED72" s="415">
        <f t="shared" si="601"/>
        <v>1096.7622912713709</v>
      </c>
      <c r="EE72" s="415">
        <f t="shared" si="601"/>
        <v>1090.9407759784406</v>
      </c>
      <c r="EF72" s="448">
        <f t="shared" si="601"/>
        <v>1226.767168869641</v>
      </c>
      <c r="EG72" s="415">
        <f t="shared" si="601"/>
        <v>2094.7812839292305</v>
      </c>
      <c r="EH72" s="415">
        <f t="shared" si="601"/>
        <v>2317.7079448480818</v>
      </c>
      <c r="EI72" s="414">
        <f>+EI70+EI71</f>
        <v>4412.4892287773127</v>
      </c>
      <c r="EJ72" s="415">
        <f t="shared" ref="EJ72:EO72" si="602">+EJ70+EJ71</f>
        <v>1070.360711612283</v>
      </c>
      <c r="EK72" s="415">
        <f t="shared" si="602"/>
        <v>1137.4140276331932</v>
      </c>
      <c r="EL72" s="415">
        <f t="shared" si="602"/>
        <v>1131.2893591740267</v>
      </c>
      <c r="EM72" s="448">
        <f t="shared" si="602"/>
        <v>1272.9435271586676</v>
      </c>
      <c r="EN72" s="415">
        <f t="shared" si="602"/>
        <v>2207.7747392454762</v>
      </c>
      <c r="EO72" s="415">
        <f t="shared" si="602"/>
        <v>2404.2328863326943</v>
      </c>
      <c r="EP72" s="414">
        <f>+EP70+EP71</f>
        <v>4612.0076255781696</v>
      </c>
      <c r="EQ72" s="415">
        <f t="shared" ref="EQ72:EV72" si="603">+EQ70+EQ71</f>
        <v>1106.1487659272141</v>
      </c>
      <c r="ER72" s="415">
        <f t="shared" si="603"/>
        <v>1176.632893519755</v>
      </c>
      <c r="ES72" s="415">
        <f t="shared" si="603"/>
        <v>1170.2275318231084</v>
      </c>
      <c r="ET72" s="448">
        <f t="shared" si="603"/>
        <v>1317.6462150936006</v>
      </c>
      <c r="EU72" s="415">
        <f t="shared" si="603"/>
        <v>2282.7816594469691</v>
      </c>
      <c r="EV72" s="415">
        <f t="shared" si="603"/>
        <v>2487.873746916709</v>
      </c>
      <c r="EW72" s="414">
        <f>+EW70+EW71</f>
        <v>4770.6554063636777</v>
      </c>
    </row>
    <row r="73" spans="1:153" ht="10.199999999999999" customHeight="1">
      <c r="A73" s="43"/>
      <c r="B73" s="1072"/>
      <c r="C73" s="1072"/>
      <c r="D73" s="1072"/>
      <c r="E73" s="1072"/>
      <c r="F73" s="1072"/>
      <c r="G73" s="1072"/>
      <c r="H73" s="1072"/>
      <c r="I73" s="1072"/>
      <c r="J73" s="1072"/>
      <c r="K73" s="1072"/>
      <c r="L73" s="1072"/>
      <c r="M73" s="1072"/>
      <c r="N73" s="1067"/>
      <c r="O73" s="1067"/>
      <c r="P73" s="1067"/>
      <c r="Q73" s="1097"/>
      <c r="R73" s="1067"/>
      <c r="S73" s="1067"/>
      <c r="T73" s="343"/>
      <c r="U73" s="1067"/>
      <c r="V73" s="1067"/>
      <c r="W73" s="1067"/>
      <c r="X73" s="1097"/>
      <c r="Y73" s="1067"/>
      <c r="Z73" s="1067"/>
      <c r="AA73" s="343"/>
      <c r="AB73" s="1067"/>
      <c r="AC73" s="1067"/>
      <c r="AD73" s="1067"/>
      <c r="AE73" s="1097"/>
      <c r="AF73" s="1067"/>
      <c r="AG73" s="1067"/>
      <c r="AH73" s="343"/>
      <c r="AI73" s="1067"/>
      <c r="AJ73" s="1067"/>
      <c r="AK73" s="1067"/>
      <c r="AL73" s="1097"/>
      <c r="AM73" s="1067"/>
      <c r="AN73" s="1067"/>
      <c r="AO73" s="343"/>
      <c r="AP73" s="1067"/>
      <c r="AQ73" s="1067"/>
      <c r="AR73" s="1067"/>
      <c r="AS73" s="1097"/>
      <c r="AT73" s="1067"/>
      <c r="AU73" s="1067"/>
      <c r="AV73" s="343"/>
      <c r="AW73" s="1067"/>
      <c r="AX73" s="1067"/>
      <c r="AY73" s="1067"/>
      <c r="AZ73" s="1097"/>
      <c r="BA73" s="1067"/>
      <c r="BB73" s="1067"/>
      <c r="BC73" s="343"/>
      <c r="BD73" s="1067"/>
      <c r="BE73" s="1067"/>
      <c r="BF73" s="1067"/>
      <c r="BG73" s="1097"/>
      <c r="BH73" s="1067"/>
      <c r="BI73" s="1067"/>
      <c r="BJ73" s="343"/>
      <c r="BK73" s="1067"/>
      <c r="BL73" s="1067"/>
      <c r="BM73" s="1067"/>
      <c r="BN73" s="1097"/>
      <c r="BO73" s="1067"/>
      <c r="BP73" s="1067"/>
      <c r="BQ73" s="343"/>
      <c r="BR73" s="1067"/>
      <c r="BS73" s="1067"/>
      <c r="BT73" s="1067"/>
      <c r="BU73" s="1097"/>
      <c r="BV73" s="1067"/>
      <c r="BW73" s="1067"/>
      <c r="BX73" s="343"/>
      <c r="BY73" s="1067"/>
      <c r="BZ73" s="1067"/>
      <c r="CA73" s="1067"/>
      <c r="CB73" s="1097"/>
      <c r="CC73" s="1067"/>
      <c r="CD73" s="1067"/>
      <c r="CE73" s="343"/>
      <c r="CF73" s="1067"/>
      <c r="CG73" s="1067"/>
      <c r="CH73" s="1067"/>
      <c r="CI73" s="1097"/>
      <c r="CJ73" s="1067"/>
      <c r="CK73" s="1067"/>
      <c r="CL73" s="343"/>
      <c r="CM73" s="1067"/>
      <c r="CN73" s="1067"/>
      <c r="CO73" s="1067"/>
      <c r="CP73" s="1097"/>
      <c r="CQ73" s="1067"/>
      <c r="CR73" s="1067"/>
      <c r="CS73" s="343"/>
      <c r="CT73" s="1067"/>
      <c r="CU73" s="1067"/>
      <c r="CV73" s="1067"/>
      <c r="CW73" s="1097"/>
      <c r="CX73" s="1067"/>
      <c r="CY73" s="1067"/>
      <c r="CZ73" s="343"/>
      <c r="DA73" s="1067"/>
      <c r="DB73" s="1067"/>
      <c r="DC73" s="1067"/>
      <c r="DD73" s="1097"/>
      <c r="DE73" s="1067"/>
      <c r="DF73" s="1067"/>
      <c r="DG73" s="343"/>
      <c r="DH73" s="1067"/>
      <c r="DI73" s="1067"/>
      <c r="DJ73" s="1067"/>
      <c r="DK73" s="1097"/>
      <c r="DL73" s="1067"/>
      <c r="DM73" s="1067"/>
      <c r="DN73" s="343"/>
      <c r="DO73" s="1067"/>
      <c r="DP73" s="1067"/>
      <c r="DQ73" s="1067"/>
      <c r="DR73" s="1097"/>
      <c r="DS73" s="1205"/>
      <c r="DT73" s="1067"/>
      <c r="DU73" s="343"/>
      <c r="DV73" s="1067"/>
      <c r="DW73" s="1067"/>
      <c r="DX73" s="1067"/>
      <c r="DY73" s="1097"/>
      <c r="DZ73" s="1067"/>
      <c r="EA73" s="1067"/>
      <c r="EB73" s="343"/>
      <c r="EC73" s="1067"/>
      <c r="ED73" s="1067"/>
      <c r="EE73" s="1067"/>
      <c r="EF73" s="1097"/>
      <c r="EG73" s="1067"/>
      <c r="EH73" s="1067"/>
      <c r="EI73" s="343"/>
      <c r="EJ73" s="1067"/>
      <c r="EK73" s="1067"/>
      <c r="EL73" s="1067"/>
      <c r="EM73" s="1097"/>
      <c r="EN73" s="1067"/>
      <c r="EO73" s="1067"/>
      <c r="EP73" s="343"/>
      <c r="EQ73" s="1067"/>
      <c r="ER73" s="1067"/>
      <c r="ES73" s="1067"/>
      <c r="ET73" s="1097"/>
      <c r="EU73" s="1067"/>
      <c r="EV73" s="1067"/>
      <c r="EW73" s="343"/>
    </row>
    <row r="74" spans="1:153" ht="10.199999999999999" customHeight="1">
      <c r="A74" s="48" t="s">
        <v>147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094"/>
      <c r="R74" s="1"/>
      <c r="S74" s="1"/>
      <c r="T74" s="353"/>
      <c r="U74" s="1"/>
      <c r="V74" s="1"/>
      <c r="W74" s="1"/>
      <c r="X74" s="1094"/>
      <c r="Y74" s="1"/>
      <c r="Z74" s="1"/>
      <c r="AA74" s="353"/>
      <c r="AB74" s="1"/>
      <c r="AC74" s="1"/>
      <c r="AD74" s="1"/>
      <c r="AE74" s="1094"/>
      <c r="AF74" s="1"/>
      <c r="AG74" s="1"/>
      <c r="AH74" s="353"/>
      <c r="AI74" s="1"/>
      <c r="AJ74" s="1"/>
      <c r="AK74" s="1"/>
      <c r="AL74" s="1094"/>
      <c r="AM74" s="1"/>
      <c r="AN74" s="1"/>
      <c r="AO74" s="353"/>
      <c r="AP74" s="1"/>
      <c r="AQ74" s="1"/>
      <c r="AR74" s="1"/>
      <c r="AS74" s="1094"/>
      <c r="AT74" s="1"/>
      <c r="AU74" s="1"/>
      <c r="AV74" s="353"/>
      <c r="AW74" s="1"/>
      <c r="AX74" s="1"/>
      <c r="AY74" s="1"/>
      <c r="AZ74" s="1094"/>
      <c r="BA74" s="1"/>
      <c r="BB74" s="1"/>
      <c r="BC74" s="353"/>
      <c r="BD74" s="1"/>
      <c r="BE74" s="1"/>
      <c r="BF74" s="1"/>
      <c r="BG74" s="1094"/>
      <c r="BH74" s="1"/>
      <c r="BI74" s="1"/>
      <c r="BJ74" s="353"/>
      <c r="BK74" s="1"/>
      <c r="BL74" s="1"/>
      <c r="BM74" s="1"/>
      <c r="BN74" s="1094"/>
      <c r="BO74" s="1"/>
      <c r="BP74" s="1"/>
      <c r="BQ74" s="353"/>
      <c r="BR74" s="1"/>
      <c r="BS74" s="1"/>
      <c r="BT74" s="1"/>
      <c r="BU74" s="1094"/>
      <c r="BV74" s="1"/>
      <c r="BW74" s="1"/>
      <c r="BX74" s="353"/>
      <c r="BY74" s="1"/>
      <c r="BZ74" s="1"/>
      <c r="CA74" s="1"/>
      <c r="CB74" s="1094"/>
      <c r="CC74" s="1"/>
      <c r="CD74" s="1"/>
      <c r="CE74" s="353"/>
      <c r="CF74" s="1"/>
      <c r="CG74" s="1"/>
      <c r="CH74" s="1"/>
      <c r="CI74" s="1094"/>
      <c r="CJ74" s="1"/>
      <c r="CK74" s="1"/>
      <c r="CL74" s="353"/>
      <c r="CM74" s="1"/>
      <c r="CN74" s="1"/>
      <c r="CO74" s="1"/>
      <c r="CP74" s="1094"/>
      <c r="CQ74" s="1"/>
      <c r="CR74" s="1"/>
      <c r="CS74" s="353"/>
      <c r="CT74" s="1"/>
      <c r="CU74" s="1"/>
      <c r="CV74" s="1"/>
      <c r="CW74" s="1094"/>
      <c r="CX74" s="1"/>
      <c r="CY74" s="1"/>
      <c r="CZ74" s="353"/>
      <c r="DA74" s="1"/>
      <c r="DB74" s="1"/>
      <c r="DC74" s="1"/>
      <c r="DD74" s="1094"/>
      <c r="DE74" s="1"/>
      <c r="DF74" s="1"/>
      <c r="DG74" s="353"/>
      <c r="DH74" s="1"/>
      <c r="DI74" s="1"/>
      <c r="DJ74" s="1"/>
      <c r="DK74" s="1094"/>
      <c r="DL74" s="1"/>
      <c r="DM74" s="1"/>
      <c r="DN74" s="353"/>
      <c r="DO74" s="1"/>
      <c r="DP74" s="1"/>
      <c r="DQ74" s="1"/>
      <c r="DR74" s="1094"/>
      <c r="DS74" s="1879"/>
      <c r="DT74" s="1"/>
      <c r="DU74" s="353"/>
      <c r="DV74" s="1"/>
      <c r="DW74" s="1"/>
      <c r="DX74" s="1"/>
      <c r="DY74" s="1094"/>
      <c r="DZ74" s="1"/>
      <c r="EA74" s="1"/>
      <c r="EB74" s="353"/>
      <c r="EC74" s="1"/>
      <c r="ED74" s="1"/>
      <c r="EE74" s="1"/>
      <c r="EF74" s="1094"/>
      <c r="EG74" s="1"/>
      <c r="EH74" s="1"/>
      <c r="EI74" s="353"/>
      <c r="EJ74" s="1"/>
      <c r="EK74" s="1"/>
      <c r="EL74" s="1"/>
      <c r="EM74" s="1094"/>
      <c r="EN74" s="1"/>
      <c r="EO74" s="1"/>
      <c r="EP74" s="353"/>
      <c r="EQ74" s="1"/>
      <c r="ER74" s="1"/>
      <c r="ES74" s="1"/>
      <c r="ET74" s="1094"/>
      <c r="EU74" s="1"/>
      <c r="EV74" s="1"/>
      <c r="EW74" s="353"/>
    </row>
    <row r="75" spans="1:153" ht="10.199999999999999" hidden="1" customHeight="1" outlineLevel="1">
      <c r="A75" s="43" t="str">
        <f>A63</f>
        <v>Airbus</v>
      </c>
      <c r="B75" s="530">
        <v>390</v>
      </c>
      <c r="C75" s="530">
        <v>180</v>
      </c>
      <c r="D75" s="530">
        <v>160</v>
      </c>
      <c r="E75" s="530">
        <v>126</v>
      </c>
      <c r="F75" s="530">
        <v>100</v>
      </c>
      <c r="G75" s="530">
        <v>30</v>
      </c>
      <c r="H75" s="530">
        <v>23</v>
      </c>
      <c r="I75" s="530">
        <v>27</v>
      </c>
      <c r="J75" s="530">
        <v>23</v>
      </c>
      <c r="K75" s="530">
        <v>27</v>
      </c>
      <c r="L75" s="530">
        <v>26</v>
      </c>
      <c r="M75" s="530">
        <v>25</v>
      </c>
      <c r="N75" s="21"/>
      <c r="O75" s="21"/>
      <c r="P75" s="21"/>
      <c r="Q75" s="1098"/>
      <c r="R75" s="21"/>
      <c r="S75" s="21"/>
      <c r="T75" s="313">
        <v>26</v>
      </c>
      <c r="U75" s="21"/>
      <c r="V75" s="21"/>
      <c r="W75" s="21"/>
      <c r="X75" s="1098"/>
      <c r="Y75" s="21"/>
      <c r="Z75" s="21"/>
      <c r="AA75" s="313">
        <v>25</v>
      </c>
      <c r="AB75" s="21"/>
      <c r="AC75" s="21"/>
      <c r="AD75" s="21"/>
      <c r="AE75" s="1098"/>
      <c r="AF75" s="21"/>
      <c r="AG75" s="21"/>
      <c r="AH75" s="313">
        <v>14</v>
      </c>
      <c r="AI75" s="21"/>
      <c r="AJ75" s="21"/>
      <c r="AK75" s="21"/>
      <c r="AL75" s="1098"/>
      <c r="AM75" s="21"/>
      <c r="AN75" s="21"/>
      <c r="AO75" s="313">
        <v>2</v>
      </c>
      <c r="AP75" s="21"/>
      <c r="AQ75" s="21"/>
      <c r="AR75" s="21"/>
      <c r="AS75" s="1098"/>
      <c r="AT75" s="21"/>
      <c r="AU75" s="21"/>
      <c r="AV75" s="310"/>
      <c r="AW75" s="21"/>
      <c r="AX75" s="21"/>
      <c r="AY75" s="21"/>
      <c r="AZ75" s="1098"/>
      <c r="BA75" s="21"/>
      <c r="BB75" s="21"/>
      <c r="BC75" s="310"/>
      <c r="BD75" s="21"/>
      <c r="BE75" s="21"/>
      <c r="BF75" s="21"/>
      <c r="BG75" s="1098"/>
      <c r="BH75" s="21"/>
      <c r="BI75" s="21"/>
      <c r="BJ75" s="310"/>
      <c r="BK75" s="21"/>
      <c r="BL75" s="21"/>
      <c r="BM75" s="21"/>
      <c r="BN75" s="1098"/>
      <c r="BO75" s="21"/>
      <c r="BP75" s="21"/>
      <c r="BQ75" s="310"/>
      <c r="BR75" s="21"/>
      <c r="BS75" s="21"/>
      <c r="BT75" s="21"/>
      <c r="BU75" s="1098"/>
      <c r="BV75" s="21"/>
      <c r="BW75" s="21"/>
      <c r="BX75" s="310"/>
      <c r="BY75" s="21"/>
      <c r="BZ75" s="21"/>
      <c r="CA75" s="21"/>
      <c r="CB75" s="1098"/>
      <c r="CC75" s="21"/>
      <c r="CD75" s="21"/>
      <c r="CE75" s="310"/>
      <c r="CF75" s="21"/>
      <c r="CG75" s="21"/>
      <c r="CH75" s="21"/>
      <c r="CI75" s="1098"/>
      <c r="CJ75" s="21"/>
      <c r="CK75" s="21"/>
      <c r="CL75" s="310"/>
      <c r="CM75" s="21"/>
      <c r="CN75" s="21"/>
      <c r="CO75" s="21"/>
      <c r="CP75" s="1098"/>
      <c r="CQ75" s="21"/>
      <c r="CR75" s="21"/>
      <c r="CS75" s="310"/>
      <c r="CT75" s="21"/>
      <c r="CU75" s="21"/>
      <c r="CV75" s="21"/>
      <c r="CW75" s="1098"/>
      <c r="CX75" s="21"/>
      <c r="CY75" s="21"/>
      <c r="CZ75" s="310"/>
      <c r="DA75" s="21"/>
      <c r="DB75" s="21"/>
      <c r="DC75" s="21"/>
      <c r="DD75" s="1098"/>
      <c r="DE75" s="21"/>
      <c r="DF75" s="21"/>
      <c r="DG75" s="310"/>
      <c r="DH75" s="21"/>
      <c r="DI75" s="21"/>
      <c r="DJ75" s="21"/>
      <c r="DK75" s="1098"/>
      <c r="DL75" s="21"/>
      <c r="DM75" s="21"/>
      <c r="DN75" s="310"/>
      <c r="DO75" s="21"/>
      <c r="DP75" s="21"/>
      <c r="DQ75" s="21"/>
      <c r="DR75" s="1098"/>
      <c r="DS75" s="1870"/>
      <c r="DT75" s="21"/>
      <c r="DU75" s="310"/>
      <c r="DV75" s="21"/>
      <c r="DW75" s="21"/>
      <c r="DX75" s="21"/>
      <c r="DY75" s="1098"/>
      <c r="DZ75" s="21"/>
      <c r="EA75" s="21"/>
      <c r="EB75" s="310"/>
      <c r="EC75" s="21"/>
      <c r="ED75" s="21"/>
      <c r="EE75" s="21"/>
      <c r="EF75" s="1098"/>
      <c r="EG75" s="21"/>
      <c r="EH75" s="21"/>
      <c r="EI75" s="310"/>
      <c r="EJ75" s="21"/>
      <c r="EK75" s="21"/>
      <c r="EL75" s="21"/>
      <c r="EM75" s="1098"/>
      <c r="EN75" s="21"/>
      <c r="EO75" s="21"/>
      <c r="EP75" s="310"/>
      <c r="EQ75" s="21"/>
      <c r="ER75" s="21"/>
      <c r="ES75" s="21"/>
      <c r="ET75" s="1098"/>
      <c r="EU75" s="21"/>
      <c r="EV75" s="21"/>
      <c r="EW75" s="310"/>
    </row>
    <row r="76" spans="1:153" ht="10.199999999999999" hidden="1" customHeight="1" outlineLevel="1">
      <c r="A76" s="43" t="str">
        <f>A64</f>
        <v>Airbus Helicopters</v>
      </c>
      <c r="B76" s="530">
        <v>0</v>
      </c>
      <c r="C76" s="530">
        <v>0</v>
      </c>
      <c r="D76" s="530">
        <v>0</v>
      </c>
      <c r="E76" s="530">
        <v>0</v>
      </c>
      <c r="F76" s="530">
        <v>0</v>
      </c>
      <c r="G76" s="530">
        <v>0</v>
      </c>
      <c r="H76" s="530">
        <v>1</v>
      </c>
      <c r="I76" s="530">
        <v>1</v>
      </c>
      <c r="J76" s="530">
        <v>1</v>
      </c>
      <c r="K76" s="530">
        <v>1</v>
      </c>
      <c r="L76" s="530">
        <v>1</v>
      </c>
      <c r="M76" s="530">
        <v>1</v>
      </c>
      <c r="N76" s="21"/>
      <c r="O76" s="21"/>
      <c r="P76" s="21"/>
      <c r="Q76" s="1098"/>
      <c r="R76" s="21"/>
      <c r="S76" s="21"/>
      <c r="T76" s="313">
        <v>1</v>
      </c>
      <c r="U76" s="21"/>
      <c r="V76" s="21"/>
      <c r="W76" s="21"/>
      <c r="X76" s="1098"/>
      <c r="Y76" s="21"/>
      <c r="Z76" s="21"/>
      <c r="AA76" s="313">
        <v>0</v>
      </c>
      <c r="AB76" s="21"/>
      <c r="AC76" s="21"/>
      <c r="AD76" s="21"/>
      <c r="AE76" s="1098"/>
      <c r="AF76" s="21"/>
      <c r="AG76" s="21"/>
      <c r="AH76" s="313">
        <v>0</v>
      </c>
      <c r="AI76" s="21"/>
      <c r="AJ76" s="21"/>
      <c r="AK76" s="21"/>
      <c r="AL76" s="1098"/>
      <c r="AM76" s="21"/>
      <c r="AN76" s="21"/>
      <c r="AO76" s="313">
        <v>5</v>
      </c>
      <c r="AP76" s="21"/>
      <c r="AQ76" s="21"/>
      <c r="AR76" s="21"/>
      <c r="AS76" s="1098"/>
      <c r="AT76" s="21"/>
      <c r="AU76" s="21"/>
      <c r="AV76" s="310"/>
      <c r="AW76" s="21"/>
      <c r="AX76" s="21"/>
      <c r="AY76" s="21"/>
      <c r="AZ76" s="1098"/>
      <c r="BA76" s="21"/>
      <c r="BB76" s="21"/>
      <c r="BC76" s="310"/>
      <c r="BD76" s="21"/>
      <c r="BE76" s="21"/>
      <c r="BF76" s="21"/>
      <c r="BG76" s="1098"/>
      <c r="BH76" s="21"/>
      <c r="BI76" s="21"/>
      <c r="BJ76" s="310"/>
      <c r="BK76" s="21"/>
      <c r="BL76" s="21"/>
      <c r="BM76" s="21"/>
      <c r="BN76" s="1098"/>
      <c r="BO76" s="21"/>
      <c r="BP76" s="21"/>
      <c r="BQ76" s="310"/>
      <c r="BR76" s="21"/>
      <c r="BS76" s="21"/>
      <c r="BT76" s="21"/>
      <c r="BU76" s="1098"/>
      <c r="BV76" s="21"/>
      <c r="BW76" s="21"/>
      <c r="BX76" s="310"/>
      <c r="BY76" s="21"/>
      <c r="BZ76" s="21"/>
      <c r="CA76" s="21"/>
      <c r="CB76" s="1098"/>
      <c r="CC76" s="21"/>
      <c r="CD76" s="21"/>
      <c r="CE76" s="310"/>
      <c r="CF76" s="21"/>
      <c r="CG76" s="21"/>
      <c r="CH76" s="21"/>
      <c r="CI76" s="1098"/>
      <c r="CJ76" s="21"/>
      <c r="CK76" s="21"/>
      <c r="CL76" s="310"/>
      <c r="CM76" s="21"/>
      <c r="CN76" s="21"/>
      <c r="CO76" s="21"/>
      <c r="CP76" s="1098"/>
      <c r="CQ76" s="21"/>
      <c r="CR76" s="21"/>
      <c r="CS76" s="310"/>
      <c r="CT76" s="21"/>
      <c r="CU76" s="21"/>
      <c r="CV76" s="21"/>
      <c r="CW76" s="1098"/>
      <c r="CX76" s="21"/>
      <c r="CY76" s="21"/>
      <c r="CZ76" s="310"/>
      <c r="DA76" s="21"/>
      <c r="DB76" s="21"/>
      <c r="DC76" s="21"/>
      <c r="DD76" s="1098"/>
      <c r="DE76" s="21"/>
      <c r="DF76" s="21"/>
      <c r="DG76" s="310"/>
      <c r="DH76" s="21"/>
      <c r="DI76" s="21"/>
      <c r="DJ76" s="21"/>
      <c r="DK76" s="1098"/>
      <c r="DL76" s="21"/>
      <c r="DM76" s="21"/>
      <c r="DN76" s="310"/>
      <c r="DO76" s="21"/>
      <c r="DP76" s="21"/>
      <c r="DQ76" s="21"/>
      <c r="DR76" s="1098"/>
      <c r="DS76" s="1870"/>
      <c r="DT76" s="21"/>
      <c r="DU76" s="310"/>
      <c r="DV76" s="21"/>
      <c r="DW76" s="21"/>
      <c r="DX76" s="21"/>
      <c r="DY76" s="1098"/>
      <c r="DZ76" s="21"/>
      <c r="EA76" s="21"/>
      <c r="EB76" s="310"/>
      <c r="EC76" s="21"/>
      <c r="ED76" s="21"/>
      <c r="EE76" s="21"/>
      <c r="EF76" s="1098"/>
      <c r="EG76" s="21"/>
      <c r="EH76" s="21"/>
      <c r="EI76" s="310"/>
      <c r="EJ76" s="21"/>
      <c r="EK76" s="21"/>
      <c r="EL76" s="21"/>
      <c r="EM76" s="1098"/>
      <c r="EN76" s="21"/>
      <c r="EO76" s="21"/>
      <c r="EP76" s="310"/>
      <c r="EQ76" s="21"/>
      <c r="ER76" s="21"/>
      <c r="ES76" s="21"/>
      <c r="ET76" s="1098"/>
      <c r="EU76" s="21"/>
      <c r="EV76" s="21"/>
      <c r="EW76" s="310"/>
    </row>
    <row r="77" spans="1:153" ht="10.199999999999999" hidden="1" customHeight="1" outlineLevel="1">
      <c r="A77" s="108" t="s">
        <v>324</v>
      </c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21"/>
      <c r="O77" s="21"/>
      <c r="P77" s="21"/>
      <c r="Q77" s="1098"/>
      <c r="R77" s="21"/>
      <c r="S77" s="21"/>
      <c r="T77" s="313">
        <f>1+4+6</f>
        <v>11</v>
      </c>
      <c r="U77" s="21"/>
      <c r="V77" s="21"/>
      <c r="W77" s="21"/>
      <c r="X77" s="1098"/>
      <c r="Y77" s="21"/>
      <c r="Z77" s="21"/>
      <c r="AA77" s="313">
        <v>16</v>
      </c>
      <c r="AB77" s="21"/>
      <c r="AC77" s="21"/>
      <c r="AD77" s="21"/>
      <c r="AE77" s="1098"/>
      <c r="AF77" s="21"/>
      <c r="AG77" s="21"/>
      <c r="AH77" s="313">
        <v>9</v>
      </c>
      <c r="AI77" s="21"/>
      <c r="AJ77" s="21"/>
      <c r="AK77" s="21"/>
      <c r="AL77" s="1098"/>
      <c r="AM77" s="21"/>
      <c r="AN77" s="21"/>
      <c r="AO77" s="313">
        <v>0</v>
      </c>
      <c r="AP77" s="21"/>
      <c r="AQ77" s="21"/>
      <c r="AR77" s="21"/>
      <c r="AS77" s="1098"/>
      <c r="AT77" s="21"/>
      <c r="AU77" s="21"/>
      <c r="AV77" s="310"/>
      <c r="AW77" s="21"/>
      <c r="AX77" s="21"/>
      <c r="AY77" s="21"/>
      <c r="AZ77" s="1098"/>
      <c r="BA77" s="21"/>
      <c r="BB77" s="21"/>
      <c r="BC77" s="310"/>
      <c r="BD77" s="21"/>
      <c r="BE77" s="21"/>
      <c r="BF77" s="21"/>
      <c r="BG77" s="1098"/>
      <c r="BH77" s="21"/>
      <c r="BI77" s="21"/>
      <c r="BJ77" s="310"/>
      <c r="BK77" s="21"/>
      <c r="BL77" s="21"/>
      <c r="BM77" s="21"/>
      <c r="BN77" s="1098"/>
      <c r="BO77" s="21"/>
      <c r="BP77" s="21"/>
      <c r="BQ77" s="310"/>
      <c r="BR77" s="21"/>
      <c r="BS77" s="21"/>
      <c r="BT77" s="21"/>
      <c r="BU77" s="1098"/>
      <c r="BV77" s="21"/>
      <c r="BW77" s="21"/>
      <c r="BX77" s="310"/>
      <c r="BY77" s="21"/>
      <c r="BZ77" s="21"/>
      <c r="CA77" s="21"/>
      <c r="CB77" s="1098"/>
      <c r="CC77" s="21"/>
      <c r="CD77" s="21"/>
      <c r="CE77" s="310"/>
      <c r="CF77" s="21"/>
      <c r="CG77" s="21"/>
      <c r="CH77" s="21"/>
      <c r="CI77" s="1098"/>
      <c r="CJ77" s="21"/>
      <c r="CK77" s="21"/>
      <c r="CL77" s="310"/>
      <c r="CM77" s="21"/>
      <c r="CN77" s="21"/>
      <c r="CO77" s="21"/>
      <c r="CP77" s="1098"/>
      <c r="CQ77" s="21"/>
      <c r="CR77" s="21"/>
      <c r="CS77" s="310"/>
      <c r="CT77" s="21"/>
      <c r="CU77" s="21"/>
      <c r="CV77" s="21"/>
      <c r="CW77" s="1098"/>
      <c r="CX77" s="21"/>
      <c r="CY77" s="21"/>
      <c r="CZ77" s="310"/>
      <c r="DA77" s="21"/>
      <c r="DB77" s="21"/>
      <c r="DC77" s="21"/>
      <c r="DD77" s="1098"/>
      <c r="DE77" s="21"/>
      <c r="DF77" s="21"/>
      <c r="DG77" s="310"/>
      <c r="DH77" s="21"/>
      <c r="DI77" s="21"/>
      <c r="DJ77" s="21"/>
      <c r="DK77" s="1098"/>
      <c r="DL77" s="21"/>
      <c r="DM77" s="21"/>
      <c r="DN77" s="310"/>
      <c r="DO77" s="21"/>
      <c r="DP77" s="21"/>
      <c r="DQ77" s="21"/>
      <c r="DR77" s="1098"/>
      <c r="DS77" s="1870"/>
      <c r="DT77" s="21"/>
      <c r="DU77" s="310"/>
      <c r="DV77" s="21"/>
      <c r="DW77" s="21"/>
      <c r="DX77" s="21"/>
      <c r="DY77" s="1098"/>
      <c r="DZ77" s="21"/>
      <c r="EA77" s="21"/>
      <c r="EB77" s="310"/>
      <c r="EC77" s="21"/>
      <c r="ED77" s="21"/>
      <c r="EE77" s="21"/>
      <c r="EF77" s="1098"/>
      <c r="EG77" s="21"/>
      <c r="EH77" s="21"/>
      <c r="EI77" s="310"/>
      <c r="EJ77" s="21"/>
      <c r="EK77" s="21"/>
      <c r="EL77" s="21"/>
      <c r="EM77" s="1098"/>
      <c r="EN77" s="21"/>
      <c r="EO77" s="21"/>
      <c r="EP77" s="310"/>
      <c r="EQ77" s="21"/>
      <c r="ER77" s="21"/>
      <c r="ES77" s="21"/>
      <c r="ET77" s="1098"/>
      <c r="EU77" s="21"/>
      <c r="EV77" s="21"/>
      <c r="EW77" s="310"/>
    </row>
    <row r="78" spans="1:153" ht="10.199999999999999" hidden="1" customHeight="1" outlineLevel="2">
      <c r="A78" s="127" t="str">
        <f>A66</f>
        <v>Airbus Military</v>
      </c>
      <c r="B78" s="530">
        <v>54</v>
      </c>
      <c r="C78" s="530">
        <v>10</v>
      </c>
      <c r="D78" s="530">
        <v>10</v>
      </c>
      <c r="E78" s="530">
        <v>0</v>
      </c>
      <c r="F78" s="530">
        <v>0</v>
      </c>
      <c r="G78" s="530">
        <v>4</v>
      </c>
      <c r="H78" s="530">
        <v>1</v>
      </c>
      <c r="I78" s="530">
        <v>2</v>
      </c>
      <c r="J78" s="530">
        <v>2</v>
      </c>
      <c r="K78" s="530">
        <v>2</v>
      </c>
      <c r="L78" s="530">
        <v>1</v>
      </c>
      <c r="M78" s="530">
        <v>1</v>
      </c>
      <c r="N78" s="21"/>
      <c r="O78" s="21"/>
      <c r="P78" s="21"/>
      <c r="Q78" s="1098"/>
      <c r="R78" s="21"/>
      <c r="S78" s="21"/>
      <c r="T78" s="313"/>
      <c r="U78" s="21"/>
      <c r="V78" s="21"/>
      <c r="W78" s="21"/>
      <c r="X78" s="1098"/>
      <c r="Y78" s="21"/>
      <c r="Z78" s="21"/>
      <c r="AA78" s="313"/>
      <c r="AB78" s="21"/>
      <c r="AC78" s="21"/>
      <c r="AD78" s="21"/>
      <c r="AE78" s="1098"/>
      <c r="AF78" s="21"/>
      <c r="AG78" s="21"/>
      <c r="AH78" s="313"/>
      <c r="AI78" s="21"/>
      <c r="AJ78" s="21"/>
      <c r="AK78" s="21"/>
      <c r="AL78" s="1098"/>
      <c r="AM78" s="21"/>
      <c r="AN78" s="21"/>
      <c r="AO78" s="313"/>
      <c r="AP78" s="21"/>
      <c r="AQ78" s="21"/>
      <c r="AR78" s="21"/>
      <c r="AS78" s="1098"/>
      <c r="AT78" s="21"/>
      <c r="AU78" s="21"/>
      <c r="AV78" s="310"/>
      <c r="AW78" s="21"/>
      <c r="AX78" s="21"/>
      <c r="AY78" s="21"/>
      <c r="AZ78" s="1098"/>
      <c r="BA78" s="21"/>
      <c r="BB78" s="21"/>
      <c r="BC78" s="310"/>
      <c r="BD78" s="21"/>
      <c r="BE78" s="21"/>
      <c r="BF78" s="21"/>
      <c r="BG78" s="1098"/>
      <c r="BH78" s="21"/>
      <c r="BI78" s="21"/>
      <c r="BJ78" s="310"/>
      <c r="BK78" s="21"/>
      <c r="BL78" s="21"/>
      <c r="BM78" s="21"/>
      <c r="BN78" s="1098"/>
      <c r="BO78" s="21"/>
      <c r="BP78" s="21"/>
      <c r="BQ78" s="310"/>
      <c r="BR78" s="21"/>
      <c r="BS78" s="21"/>
      <c r="BT78" s="21"/>
      <c r="BU78" s="1098"/>
      <c r="BV78" s="21"/>
      <c r="BW78" s="21"/>
      <c r="BX78" s="310"/>
      <c r="BY78" s="21"/>
      <c r="BZ78" s="21"/>
      <c r="CA78" s="21"/>
      <c r="CB78" s="1098"/>
      <c r="CC78" s="21"/>
      <c r="CD78" s="21"/>
      <c r="CE78" s="310"/>
      <c r="CF78" s="21"/>
      <c r="CG78" s="21"/>
      <c r="CH78" s="21"/>
      <c r="CI78" s="1098"/>
      <c r="CJ78" s="21"/>
      <c r="CK78" s="21"/>
      <c r="CL78" s="310"/>
      <c r="CM78" s="21"/>
      <c r="CN78" s="21"/>
      <c r="CO78" s="21"/>
      <c r="CP78" s="1098"/>
      <c r="CQ78" s="21"/>
      <c r="CR78" s="21"/>
      <c r="CS78" s="310"/>
      <c r="CT78" s="21"/>
      <c r="CU78" s="21"/>
      <c r="CV78" s="21"/>
      <c r="CW78" s="1098"/>
      <c r="CX78" s="21"/>
      <c r="CY78" s="21"/>
      <c r="CZ78" s="310"/>
      <c r="DA78" s="21"/>
      <c r="DB78" s="21"/>
      <c r="DC78" s="21"/>
      <c r="DD78" s="1098"/>
      <c r="DE78" s="21"/>
      <c r="DF78" s="21"/>
      <c r="DG78" s="310"/>
      <c r="DH78" s="21"/>
      <c r="DI78" s="21"/>
      <c r="DJ78" s="21"/>
      <c r="DK78" s="1098"/>
      <c r="DL78" s="21"/>
      <c r="DM78" s="21"/>
      <c r="DN78" s="310"/>
      <c r="DO78" s="21"/>
      <c r="DP78" s="21"/>
      <c r="DQ78" s="21"/>
      <c r="DR78" s="1098"/>
      <c r="DS78" s="1870"/>
      <c r="DT78" s="21"/>
      <c r="DU78" s="310"/>
      <c r="DV78" s="21"/>
      <c r="DW78" s="21"/>
      <c r="DX78" s="21"/>
      <c r="DY78" s="1098"/>
      <c r="DZ78" s="21"/>
      <c r="EA78" s="21"/>
      <c r="EB78" s="310"/>
      <c r="EC78" s="21"/>
      <c r="ED78" s="21"/>
      <c r="EE78" s="21"/>
      <c r="EF78" s="1098"/>
      <c r="EG78" s="21"/>
      <c r="EH78" s="21"/>
      <c r="EI78" s="310"/>
      <c r="EJ78" s="21"/>
      <c r="EK78" s="21"/>
      <c r="EL78" s="21"/>
      <c r="EM78" s="1098"/>
      <c r="EN78" s="21"/>
      <c r="EO78" s="21"/>
      <c r="EP78" s="310"/>
      <c r="EQ78" s="21"/>
      <c r="ER78" s="21"/>
      <c r="ES78" s="21"/>
      <c r="ET78" s="1098"/>
      <c r="EU78" s="21"/>
      <c r="EV78" s="21"/>
      <c r="EW78" s="310"/>
    </row>
    <row r="79" spans="1:153" ht="10.199999999999999" hidden="1" customHeight="1" outlineLevel="2">
      <c r="A79" s="127" t="str">
        <f>A67</f>
        <v>Cassidian</v>
      </c>
      <c r="B79" s="530">
        <v>-936</v>
      </c>
      <c r="C79" s="530">
        <v>26</v>
      </c>
      <c r="D79" s="530">
        <v>16</v>
      </c>
      <c r="E79" s="530">
        <v>0</v>
      </c>
      <c r="F79" s="530">
        <v>0</v>
      </c>
      <c r="G79" s="530">
        <v>9</v>
      </c>
      <c r="H79" s="530">
        <v>10</v>
      </c>
      <c r="I79" s="530">
        <v>9</v>
      </c>
      <c r="J79" s="530">
        <v>12</v>
      </c>
      <c r="K79" s="530">
        <v>7</v>
      </c>
      <c r="L79" s="530">
        <v>7</v>
      </c>
      <c r="M79" s="530">
        <v>6</v>
      </c>
      <c r="N79" s="21"/>
      <c r="O79" s="21"/>
      <c r="P79" s="21"/>
      <c r="Q79" s="1098"/>
      <c r="R79" s="21"/>
      <c r="S79" s="21"/>
      <c r="T79" s="313"/>
      <c r="U79" s="21"/>
      <c r="V79" s="21"/>
      <c r="W79" s="21"/>
      <c r="X79" s="1098"/>
      <c r="Y79" s="21"/>
      <c r="Z79" s="21"/>
      <c r="AA79" s="313"/>
      <c r="AB79" s="21"/>
      <c r="AC79" s="21"/>
      <c r="AD79" s="21"/>
      <c r="AE79" s="1098"/>
      <c r="AF79" s="21"/>
      <c r="AG79" s="21"/>
      <c r="AH79" s="313"/>
      <c r="AI79" s="21"/>
      <c r="AJ79" s="21"/>
      <c r="AK79" s="21"/>
      <c r="AL79" s="1098"/>
      <c r="AM79" s="21"/>
      <c r="AN79" s="21"/>
      <c r="AO79" s="313"/>
      <c r="AP79" s="21"/>
      <c r="AQ79" s="21"/>
      <c r="AR79" s="21"/>
      <c r="AS79" s="1098"/>
      <c r="AT79" s="21"/>
      <c r="AU79" s="21"/>
      <c r="AV79" s="310"/>
      <c r="AW79" s="21"/>
      <c r="AX79" s="21"/>
      <c r="AY79" s="21"/>
      <c r="AZ79" s="1098"/>
      <c r="BA79" s="21"/>
      <c r="BB79" s="21"/>
      <c r="BC79" s="310"/>
      <c r="BD79" s="21"/>
      <c r="BE79" s="21"/>
      <c r="BF79" s="21"/>
      <c r="BG79" s="1098"/>
      <c r="BH79" s="21"/>
      <c r="BI79" s="21"/>
      <c r="BJ79" s="310"/>
      <c r="BK79" s="21"/>
      <c r="BL79" s="21"/>
      <c r="BM79" s="21"/>
      <c r="BN79" s="1098"/>
      <c r="BO79" s="21"/>
      <c r="BP79" s="21"/>
      <c r="BQ79" s="310"/>
      <c r="BR79" s="21"/>
      <c r="BS79" s="21"/>
      <c r="BT79" s="21"/>
      <c r="BU79" s="1098"/>
      <c r="BV79" s="21"/>
      <c r="BW79" s="21"/>
      <c r="BX79" s="310"/>
      <c r="BY79" s="21"/>
      <c r="BZ79" s="21"/>
      <c r="CA79" s="21"/>
      <c r="CB79" s="1098"/>
      <c r="CC79" s="21"/>
      <c r="CD79" s="21"/>
      <c r="CE79" s="310"/>
      <c r="CF79" s="21"/>
      <c r="CG79" s="21"/>
      <c r="CH79" s="21"/>
      <c r="CI79" s="1098"/>
      <c r="CJ79" s="21"/>
      <c r="CK79" s="21"/>
      <c r="CL79" s="310"/>
      <c r="CM79" s="21"/>
      <c r="CN79" s="21"/>
      <c r="CO79" s="21"/>
      <c r="CP79" s="1098"/>
      <c r="CQ79" s="21"/>
      <c r="CR79" s="21"/>
      <c r="CS79" s="310"/>
      <c r="CT79" s="21"/>
      <c r="CU79" s="21"/>
      <c r="CV79" s="21"/>
      <c r="CW79" s="1098"/>
      <c r="CX79" s="21"/>
      <c r="CY79" s="21"/>
      <c r="CZ79" s="310"/>
      <c r="DA79" s="21"/>
      <c r="DB79" s="21"/>
      <c r="DC79" s="21"/>
      <c r="DD79" s="1098"/>
      <c r="DE79" s="21"/>
      <c r="DF79" s="21"/>
      <c r="DG79" s="310"/>
      <c r="DH79" s="21"/>
      <c r="DI79" s="21"/>
      <c r="DJ79" s="21"/>
      <c r="DK79" s="1098"/>
      <c r="DL79" s="21"/>
      <c r="DM79" s="21"/>
      <c r="DN79" s="310"/>
      <c r="DO79" s="21"/>
      <c r="DP79" s="21"/>
      <c r="DQ79" s="21"/>
      <c r="DR79" s="1098"/>
      <c r="DS79" s="1870"/>
      <c r="DT79" s="21"/>
      <c r="DU79" s="310"/>
      <c r="DV79" s="21"/>
      <c r="DW79" s="21"/>
      <c r="DX79" s="21"/>
      <c r="DY79" s="1098"/>
      <c r="DZ79" s="21"/>
      <c r="EA79" s="21"/>
      <c r="EB79" s="310"/>
      <c r="EC79" s="21"/>
      <c r="ED79" s="21"/>
      <c r="EE79" s="21"/>
      <c r="EF79" s="1098"/>
      <c r="EG79" s="21"/>
      <c r="EH79" s="21"/>
      <c r="EI79" s="310"/>
      <c r="EJ79" s="21"/>
      <c r="EK79" s="21"/>
      <c r="EL79" s="21"/>
      <c r="EM79" s="1098"/>
      <c r="EN79" s="21"/>
      <c r="EO79" s="21"/>
      <c r="EP79" s="310"/>
      <c r="EQ79" s="21"/>
      <c r="ER79" s="21"/>
      <c r="ES79" s="21"/>
      <c r="ET79" s="1098"/>
      <c r="EU79" s="21"/>
      <c r="EV79" s="21"/>
      <c r="EW79" s="310"/>
    </row>
    <row r="80" spans="1:153" ht="10.199999999999999" hidden="1" customHeight="1" outlineLevel="2">
      <c r="A80" s="127" t="str">
        <f>A68</f>
        <v>Astrium</v>
      </c>
      <c r="B80" s="530">
        <v>-283</v>
      </c>
      <c r="C80" s="530">
        <v>-6</v>
      </c>
      <c r="D80" s="530">
        <v>-8</v>
      </c>
      <c r="E80" s="530">
        <v>0</v>
      </c>
      <c r="F80" s="530">
        <v>0</v>
      </c>
      <c r="G80" s="530">
        <v>3</v>
      </c>
      <c r="H80" s="530">
        <v>4</v>
      </c>
      <c r="I80" s="530">
        <v>3</v>
      </c>
      <c r="J80" s="530">
        <v>4</v>
      </c>
      <c r="K80" s="530">
        <v>4</v>
      </c>
      <c r="L80" s="530">
        <v>4</v>
      </c>
      <c r="M80" s="530">
        <v>4</v>
      </c>
      <c r="N80" s="21"/>
      <c r="O80" s="21"/>
      <c r="P80" s="21"/>
      <c r="Q80" s="1098"/>
      <c r="R80" s="21"/>
      <c r="S80" s="21"/>
      <c r="T80" s="313"/>
      <c r="U80" s="21"/>
      <c r="V80" s="21"/>
      <c r="W80" s="21"/>
      <c r="X80" s="1098"/>
      <c r="Y80" s="21"/>
      <c r="Z80" s="21"/>
      <c r="AA80" s="313"/>
      <c r="AB80" s="21"/>
      <c r="AC80" s="21"/>
      <c r="AD80" s="21"/>
      <c r="AE80" s="1098"/>
      <c r="AF80" s="21"/>
      <c r="AG80" s="21"/>
      <c r="AH80" s="313"/>
      <c r="AI80" s="21"/>
      <c r="AJ80" s="21"/>
      <c r="AK80" s="21"/>
      <c r="AL80" s="1098"/>
      <c r="AM80" s="21"/>
      <c r="AN80" s="21"/>
      <c r="AO80" s="313"/>
      <c r="AP80" s="21"/>
      <c r="AQ80" s="21"/>
      <c r="AR80" s="21"/>
      <c r="AS80" s="1098"/>
      <c r="AT80" s="21"/>
      <c r="AU80" s="21"/>
      <c r="AV80" s="310"/>
      <c r="AW80" s="21"/>
      <c r="AX80" s="21"/>
      <c r="AY80" s="21"/>
      <c r="AZ80" s="1098"/>
      <c r="BA80" s="21"/>
      <c r="BB80" s="21"/>
      <c r="BC80" s="310"/>
      <c r="BD80" s="21"/>
      <c r="BE80" s="21"/>
      <c r="BF80" s="21"/>
      <c r="BG80" s="1098"/>
      <c r="BH80" s="21"/>
      <c r="BI80" s="21"/>
      <c r="BJ80" s="310"/>
      <c r="BK80" s="21"/>
      <c r="BL80" s="21"/>
      <c r="BM80" s="21"/>
      <c r="BN80" s="1098"/>
      <c r="BO80" s="21"/>
      <c r="BP80" s="21"/>
      <c r="BQ80" s="310"/>
      <c r="BR80" s="21"/>
      <c r="BS80" s="21"/>
      <c r="BT80" s="21"/>
      <c r="BU80" s="1098"/>
      <c r="BV80" s="21"/>
      <c r="BW80" s="21"/>
      <c r="BX80" s="310"/>
      <c r="BY80" s="21"/>
      <c r="BZ80" s="21"/>
      <c r="CA80" s="21"/>
      <c r="CB80" s="1098"/>
      <c r="CC80" s="21"/>
      <c r="CD80" s="21"/>
      <c r="CE80" s="310"/>
      <c r="CF80" s="21"/>
      <c r="CG80" s="21"/>
      <c r="CH80" s="21"/>
      <c r="CI80" s="1098"/>
      <c r="CJ80" s="21"/>
      <c r="CK80" s="21"/>
      <c r="CL80" s="310"/>
      <c r="CM80" s="21"/>
      <c r="CN80" s="21"/>
      <c r="CO80" s="21"/>
      <c r="CP80" s="1098"/>
      <c r="CQ80" s="21"/>
      <c r="CR80" s="21"/>
      <c r="CS80" s="310"/>
      <c r="CT80" s="21"/>
      <c r="CU80" s="21"/>
      <c r="CV80" s="21"/>
      <c r="CW80" s="1098"/>
      <c r="CX80" s="21"/>
      <c r="CY80" s="21"/>
      <c r="CZ80" s="310"/>
      <c r="DA80" s="21"/>
      <c r="DB80" s="21"/>
      <c r="DC80" s="21"/>
      <c r="DD80" s="1098"/>
      <c r="DE80" s="21"/>
      <c r="DF80" s="21"/>
      <c r="DG80" s="310"/>
      <c r="DH80" s="21"/>
      <c r="DI80" s="21"/>
      <c r="DJ80" s="21"/>
      <c r="DK80" s="1098"/>
      <c r="DL80" s="21"/>
      <c r="DM80" s="21"/>
      <c r="DN80" s="310"/>
      <c r="DO80" s="21"/>
      <c r="DP80" s="21"/>
      <c r="DQ80" s="21"/>
      <c r="DR80" s="1098"/>
      <c r="DS80" s="1870"/>
      <c r="DT80" s="21"/>
      <c r="DU80" s="310"/>
      <c r="DV80" s="21"/>
      <c r="DW80" s="21"/>
      <c r="DX80" s="21"/>
      <c r="DY80" s="1098"/>
      <c r="DZ80" s="21"/>
      <c r="EA80" s="21"/>
      <c r="EB80" s="310"/>
      <c r="EC80" s="21"/>
      <c r="ED80" s="21"/>
      <c r="EE80" s="21"/>
      <c r="EF80" s="1098"/>
      <c r="EG80" s="21"/>
      <c r="EH80" s="21"/>
      <c r="EI80" s="310"/>
      <c r="EJ80" s="21"/>
      <c r="EK80" s="21"/>
      <c r="EL80" s="21"/>
      <c r="EM80" s="1098"/>
      <c r="EN80" s="21"/>
      <c r="EO80" s="21"/>
      <c r="EP80" s="310"/>
      <c r="EQ80" s="21"/>
      <c r="ER80" s="21"/>
      <c r="ES80" s="21"/>
      <c r="ET80" s="1098"/>
      <c r="EU80" s="21"/>
      <c r="EV80" s="21"/>
      <c r="EW80" s="310"/>
    </row>
    <row r="81" spans="1:153" ht="10.199999999999999" hidden="1" customHeight="1" outlineLevel="2">
      <c r="A81" s="127" t="str">
        <f>A69</f>
        <v>Other Businesses</v>
      </c>
      <c r="B81" s="530">
        <v>-29</v>
      </c>
      <c r="C81" s="530">
        <v>-12</v>
      </c>
      <c r="D81" s="530">
        <v>10</v>
      </c>
      <c r="E81" s="530">
        <v>0</v>
      </c>
      <c r="F81" s="530">
        <v>0</v>
      </c>
      <c r="G81" s="530">
        <v>0</v>
      </c>
      <c r="H81" s="530">
        <v>0</v>
      </c>
      <c r="I81" s="530">
        <v>0</v>
      </c>
      <c r="J81" s="530">
        <v>0</v>
      </c>
      <c r="K81" s="530">
        <f t="shared" ref="K81" si="604">J81</f>
        <v>0</v>
      </c>
      <c r="L81" s="530">
        <v>0</v>
      </c>
      <c r="M81" s="530">
        <v>0</v>
      </c>
      <c r="N81" s="21"/>
      <c r="O81" s="21"/>
      <c r="P81" s="21"/>
      <c r="Q81" s="1098"/>
      <c r="R81" s="21"/>
      <c r="S81" s="21"/>
      <c r="T81" s="313">
        <v>0</v>
      </c>
      <c r="U81" s="21"/>
      <c r="V81" s="21"/>
      <c r="W81" s="21"/>
      <c r="X81" s="1098"/>
      <c r="Y81" s="21"/>
      <c r="Z81" s="21"/>
      <c r="AA81" s="313">
        <f>T81</f>
        <v>0</v>
      </c>
      <c r="AB81" s="21"/>
      <c r="AC81" s="21"/>
      <c r="AD81" s="21"/>
      <c r="AE81" s="1098"/>
      <c r="AF81" s="21"/>
      <c r="AG81" s="21"/>
      <c r="AH81" s="313">
        <f>AA81</f>
        <v>0</v>
      </c>
      <c r="AI81" s="21"/>
      <c r="AJ81" s="21"/>
      <c r="AK81" s="21"/>
      <c r="AL81" s="1098"/>
      <c r="AM81" s="21"/>
      <c r="AN81" s="21"/>
      <c r="AO81" s="313">
        <f>AH81</f>
        <v>0</v>
      </c>
      <c r="AP81" s="21"/>
      <c r="AQ81" s="21"/>
      <c r="AR81" s="21"/>
      <c r="AS81" s="1098"/>
      <c r="AT81" s="21"/>
      <c r="AU81" s="21"/>
      <c r="AV81" s="310"/>
      <c r="AW81" s="21"/>
      <c r="AX81" s="21"/>
      <c r="AY81" s="21"/>
      <c r="AZ81" s="1098"/>
      <c r="BA81" s="21"/>
      <c r="BB81" s="21"/>
      <c r="BC81" s="310"/>
      <c r="BD81" s="21"/>
      <c r="BE81" s="21"/>
      <c r="BF81" s="21"/>
      <c r="BG81" s="1098"/>
      <c r="BH81" s="21"/>
      <c r="BI81" s="21"/>
      <c r="BJ81" s="310"/>
      <c r="BK81" s="21"/>
      <c r="BL81" s="21"/>
      <c r="BM81" s="21"/>
      <c r="BN81" s="1098"/>
      <c r="BO81" s="21"/>
      <c r="BP81" s="21"/>
      <c r="BQ81" s="310"/>
      <c r="BR81" s="21"/>
      <c r="BS81" s="21"/>
      <c r="BT81" s="21"/>
      <c r="BU81" s="1098"/>
      <c r="BV81" s="21"/>
      <c r="BW81" s="21"/>
      <c r="BX81" s="310"/>
      <c r="BY81" s="21"/>
      <c r="BZ81" s="21"/>
      <c r="CA81" s="21"/>
      <c r="CB81" s="1098"/>
      <c r="CC81" s="21"/>
      <c r="CD81" s="21"/>
      <c r="CE81" s="310"/>
      <c r="CF81" s="21"/>
      <c r="CG81" s="21"/>
      <c r="CH81" s="21"/>
      <c r="CI81" s="1098"/>
      <c r="CJ81" s="21"/>
      <c r="CK81" s="21"/>
      <c r="CL81" s="310"/>
      <c r="CM81" s="21"/>
      <c r="CN81" s="21"/>
      <c r="CO81" s="21"/>
      <c r="CP81" s="1098"/>
      <c r="CQ81" s="21"/>
      <c r="CR81" s="21"/>
      <c r="CS81" s="310"/>
      <c r="CT81" s="21"/>
      <c r="CU81" s="21"/>
      <c r="CV81" s="21"/>
      <c r="CW81" s="1098"/>
      <c r="CX81" s="21"/>
      <c r="CY81" s="21"/>
      <c r="CZ81" s="310"/>
      <c r="DA81" s="21"/>
      <c r="DB81" s="21"/>
      <c r="DC81" s="21"/>
      <c r="DD81" s="1098"/>
      <c r="DE81" s="21"/>
      <c r="DF81" s="21"/>
      <c r="DG81" s="310"/>
      <c r="DH81" s="21"/>
      <c r="DI81" s="21"/>
      <c r="DJ81" s="21"/>
      <c r="DK81" s="1098"/>
      <c r="DL81" s="21"/>
      <c r="DM81" s="21"/>
      <c r="DN81" s="310"/>
      <c r="DO81" s="21"/>
      <c r="DP81" s="21"/>
      <c r="DQ81" s="21"/>
      <c r="DR81" s="1098"/>
      <c r="DS81" s="1870"/>
      <c r="DT81" s="21"/>
      <c r="DU81" s="310"/>
      <c r="DV81" s="21"/>
      <c r="DW81" s="21"/>
      <c r="DX81" s="21"/>
      <c r="DY81" s="1098"/>
      <c r="DZ81" s="21"/>
      <c r="EA81" s="21"/>
      <c r="EB81" s="310"/>
      <c r="EC81" s="21"/>
      <c r="ED81" s="21"/>
      <c r="EE81" s="21"/>
      <c r="EF81" s="1098"/>
      <c r="EG81" s="21"/>
      <c r="EH81" s="21"/>
      <c r="EI81" s="310"/>
      <c r="EJ81" s="21"/>
      <c r="EK81" s="21"/>
      <c r="EL81" s="21"/>
      <c r="EM81" s="1098"/>
      <c r="EN81" s="21"/>
      <c r="EO81" s="21"/>
      <c r="EP81" s="310"/>
      <c r="EQ81" s="21"/>
      <c r="ER81" s="21"/>
      <c r="ES81" s="21"/>
      <c r="ET81" s="1098"/>
      <c r="EU81" s="21"/>
      <c r="EV81" s="21"/>
      <c r="EW81" s="310"/>
    </row>
    <row r="82" spans="1:153" ht="10.199999999999999" hidden="1" customHeight="1" outlineLevel="1">
      <c r="A82" s="48" t="str">
        <f>A70</f>
        <v xml:space="preserve">Segment total </v>
      </c>
      <c r="B82" s="22">
        <f t="shared" ref="B82:AO82" si="605">+SUM(B75:B81)</f>
        <v>-804</v>
      </c>
      <c r="C82" s="22">
        <f t="shared" si="605"/>
        <v>198</v>
      </c>
      <c r="D82" s="22">
        <f t="shared" si="605"/>
        <v>188</v>
      </c>
      <c r="E82" s="22">
        <f t="shared" si="605"/>
        <v>126</v>
      </c>
      <c r="F82" s="22">
        <f t="shared" si="605"/>
        <v>100</v>
      </c>
      <c r="G82" s="22">
        <f t="shared" si="605"/>
        <v>46</v>
      </c>
      <c r="H82" s="22">
        <f t="shared" si="605"/>
        <v>39</v>
      </c>
      <c r="I82" s="22">
        <f t="shared" si="605"/>
        <v>42</v>
      </c>
      <c r="J82" s="22">
        <f t="shared" si="605"/>
        <v>42</v>
      </c>
      <c r="K82" s="22">
        <f t="shared" si="605"/>
        <v>41</v>
      </c>
      <c r="L82" s="22">
        <f t="shared" si="605"/>
        <v>39</v>
      </c>
      <c r="M82" s="22">
        <f t="shared" si="605"/>
        <v>37</v>
      </c>
      <c r="N82" s="230"/>
      <c r="O82" s="230"/>
      <c r="P82" s="230"/>
      <c r="Q82" s="1103"/>
      <c r="R82" s="230"/>
      <c r="S82" s="230"/>
      <c r="T82" s="1383">
        <f t="shared" si="605"/>
        <v>38</v>
      </c>
      <c r="U82" s="230"/>
      <c r="V82" s="230"/>
      <c r="W82" s="230"/>
      <c r="X82" s="1103"/>
      <c r="Y82" s="230"/>
      <c r="Z82" s="230"/>
      <c r="AA82" s="1383">
        <f t="shared" si="605"/>
        <v>41</v>
      </c>
      <c r="AB82" s="230"/>
      <c r="AC82" s="230"/>
      <c r="AD82" s="230"/>
      <c r="AE82" s="1103"/>
      <c r="AF82" s="230"/>
      <c r="AG82" s="230"/>
      <c r="AH82" s="1383">
        <f t="shared" si="605"/>
        <v>23</v>
      </c>
      <c r="AI82" s="230"/>
      <c r="AJ82" s="230"/>
      <c r="AK82" s="230"/>
      <c r="AL82" s="1103"/>
      <c r="AM82" s="230"/>
      <c r="AN82" s="230"/>
      <c r="AO82" s="1383">
        <f t="shared" si="605"/>
        <v>7</v>
      </c>
      <c r="AP82" s="230"/>
      <c r="AQ82" s="230"/>
      <c r="AR82" s="230"/>
      <c r="AS82" s="1103"/>
      <c r="AT82" s="230"/>
      <c r="AU82" s="230"/>
      <c r="AV82" s="1083"/>
      <c r="AW82" s="230"/>
      <c r="AX82" s="230"/>
      <c r="AY82" s="230"/>
      <c r="AZ82" s="1103"/>
      <c r="BA82" s="230"/>
      <c r="BB82" s="230"/>
      <c r="BC82" s="1083"/>
      <c r="BD82" s="230"/>
      <c r="BE82" s="230"/>
      <c r="BF82" s="230"/>
      <c r="BG82" s="1103"/>
      <c r="BH82" s="230"/>
      <c r="BI82" s="230"/>
      <c r="BJ82" s="1083"/>
      <c r="BK82" s="230"/>
      <c r="BL82" s="230"/>
      <c r="BM82" s="230"/>
      <c r="BN82" s="1103"/>
      <c r="BO82" s="230"/>
      <c r="BP82" s="230"/>
      <c r="BQ82" s="1083"/>
      <c r="BR82" s="230"/>
      <c r="BS82" s="230"/>
      <c r="BT82" s="230"/>
      <c r="BU82" s="1103"/>
      <c r="BV82" s="230"/>
      <c r="BW82" s="230"/>
      <c r="BX82" s="1083"/>
      <c r="BY82" s="230"/>
      <c r="BZ82" s="230"/>
      <c r="CA82" s="230"/>
      <c r="CB82" s="1103"/>
      <c r="CC82" s="230"/>
      <c r="CD82" s="230"/>
      <c r="CE82" s="1083"/>
      <c r="CF82" s="230"/>
      <c r="CG82" s="230"/>
      <c r="CH82" s="230"/>
      <c r="CI82" s="1103"/>
      <c r="CJ82" s="230"/>
      <c r="CK82" s="230"/>
      <c r="CL82" s="1083"/>
      <c r="CM82" s="230"/>
      <c r="CN82" s="230"/>
      <c r="CO82" s="230"/>
      <c r="CP82" s="1103"/>
      <c r="CQ82" s="230"/>
      <c r="CR82" s="230"/>
      <c r="CS82" s="1083"/>
      <c r="CT82" s="230"/>
      <c r="CU82" s="230"/>
      <c r="CV82" s="230"/>
      <c r="CW82" s="1103"/>
      <c r="CX82" s="230"/>
      <c r="CY82" s="230"/>
      <c r="CZ82" s="1083"/>
      <c r="DA82" s="230"/>
      <c r="DB82" s="230"/>
      <c r="DC82" s="230"/>
      <c r="DD82" s="1103"/>
      <c r="DE82" s="230"/>
      <c r="DF82" s="230"/>
      <c r="DG82" s="1083"/>
      <c r="DH82" s="230"/>
      <c r="DI82" s="230"/>
      <c r="DJ82" s="230"/>
      <c r="DK82" s="1103"/>
      <c r="DL82" s="230"/>
      <c r="DM82" s="230"/>
      <c r="DN82" s="1083"/>
      <c r="DO82" s="230"/>
      <c r="DP82" s="230"/>
      <c r="DQ82" s="230"/>
      <c r="DR82" s="1103"/>
      <c r="DS82" s="2027"/>
      <c r="DT82" s="230"/>
      <c r="DU82" s="1083"/>
      <c r="DV82" s="230"/>
      <c r="DW82" s="230"/>
      <c r="DX82" s="230"/>
      <c r="DY82" s="1103"/>
      <c r="DZ82" s="230"/>
      <c r="EA82" s="230"/>
      <c r="EB82" s="1083"/>
      <c r="EC82" s="230"/>
      <c r="ED82" s="230"/>
      <c r="EE82" s="230"/>
      <c r="EF82" s="1103"/>
      <c r="EG82" s="230"/>
      <c r="EH82" s="230"/>
      <c r="EI82" s="1083"/>
      <c r="EJ82" s="230"/>
      <c r="EK82" s="230"/>
      <c r="EL82" s="230"/>
      <c r="EM82" s="1103"/>
      <c r="EN82" s="230"/>
      <c r="EO82" s="230"/>
      <c r="EP82" s="1083"/>
      <c r="EQ82" s="230"/>
      <c r="ER82" s="230"/>
      <c r="ES82" s="230"/>
      <c r="ET82" s="1103"/>
      <c r="EU82" s="230"/>
      <c r="EV82" s="230"/>
      <c r="EW82" s="1083"/>
    </row>
    <row r="83" spans="1:153" ht="10.199999999999999" hidden="1" customHeight="1" outlineLevel="1">
      <c r="A83" s="108" t="s">
        <v>326</v>
      </c>
      <c r="B83" s="530">
        <v>-1051</v>
      </c>
      <c r="C83" s="530">
        <v>45</v>
      </c>
      <c r="D83" s="530">
        <v>41</v>
      </c>
      <c r="E83" s="530">
        <f>+E84-E82</f>
        <v>91</v>
      </c>
      <c r="F83" s="530">
        <f>+F84-F82</f>
        <v>40</v>
      </c>
      <c r="G83" s="530">
        <v>11</v>
      </c>
      <c r="H83" s="530">
        <v>34</v>
      </c>
      <c r="I83" s="530">
        <v>16</v>
      </c>
      <c r="J83" s="530">
        <v>16</v>
      </c>
      <c r="K83" s="530">
        <v>3</v>
      </c>
      <c r="L83" s="530">
        <v>2</v>
      </c>
      <c r="M83" s="530">
        <v>1</v>
      </c>
      <c r="N83" s="21"/>
      <c r="O83" s="21"/>
      <c r="P83" s="21"/>
      <c r="Q83" s="1098"/>
      <c r="R83" s="21"/>
      <c r="S83" s="21"/>
      <c r="T83" s="313">
        <f>+M83</f>
        <v>1</v>
      </c>
      <c r="U83" s="21"/>
      <c r="V83" s="21"/>
      <c r="W83" s="21"/>
      <c r="X83" s="1098"/>
      <c r="Y83" s="21"/>
      <c r="Z83" s="21"/>
      <c r="AA83" s="313">
        <v>2</v>
      </c>
      <c r="AB83" s="21"/>
      <c r="AC83" s="21"/>
      <c r="AD83" s="21"/>
      <c r="AE83" s="1098"/>
      <c r="AF83" s="21"/>
      <c r="AG83" s="21"/>
      <c r="AH83" s="313">
        <v>1</v>
      </c>
      <c r="AI83" s="21"/>
      <c r="AJ83" s="21"/>
      <c r="AK83" s="21"/>
      <c r="AL83" s="1098"/>
      <c r="AM83" s="21"/>
      <c r="AN83" s="21"/>
      <c r="AO83" s="313">
        <v>37</v>
      </c>
      <c r="AP83" s="21"/>
      <c r="AQ83" s="21"/>
      <c r="AR83" s="21"/>
      <c r="AS83" s="1098"/>
      <c r="AT83" s="21"/>
      <c r="AU83" s="21"/>
      <c r="AV83" s="310"/>
      <c r="AW83" s="21"/>
      <c r="AX83" s="21"/>
      <c r="AY83" s="21"/>
      <c r="AZ83" s="1098"/>
      <c r="BA83" s="21"/>
      <c r="BB83" s="21"/>
      <c r="BC83" s="310"/>
      <c r="BD83" s="21"/>
      <c r="BE83" s="21"/>
      <c r="BF83" s="21"/>
      <c r="BG83" s="1098"/>
      <c r="BH83" s="21"/>
      <c r="BI83" s="21"/>
      <c r="BJ83" s="310"/>
      <c r="BK83" s="21"/>
      <c r="BL83" s="21"/>
      <c r="BM83" s="21"/>
      <c r="BN83" s="1098"/>
      <c r="BO83" s="21"/>
      <c r="BP83" s="21"/>
      <c r="BQ83" s="310"/>
      <c r="BR83" s="21"/>
      <c r="BS83" s="21"/>
      <c r="BT83" s="21"/>
      <c r="BU83" s="1098"/>
      <c r="BV83" s="21"/>
      <c r="BW83" s="21"/>
      <c r="BX83" s="310"/>
      <c r="BY83" s="21"/>
      <c r="BZ83" s="21"/>
      <c r="CA83" s="21"/>
      <c r="CB83" s="1098"/>
      <c r="CC83" s="21"/>
      <c r="CD83" s="21"/>
      <c r="CE83" s="310"/>
      <c r="CF83" s="21"/>
      <c r="CG83" s="21"/>
      <c r="CH83" s="21"/>
      <c r="CI83" s="1098"/>
      <c r="CJ83" s="21"/>
      <c r="CK83" s="21"/>
      <c r="CL83" s="310"/>
      <c r="CM83" s="21"/>
      <c r="CN83" s="21"/>
      <c r="CO83" s="21"/>
      <c r="CP83" s="1098"/>
      <c r="CQ83" s="21"/>
      <c r="CR83" s="21"/>
      <c r="CS83" s="310"/>
      <c r="CT83" s="21"/>
      <c r="CU83" s="21"/>
      <c r="CV83" s="21"/>
      <c r="CW83" s="1098"/>
      <c r="CX83" s="21"/>
      <c r="CY83" s="21"/>
      <c r="CZ83" s="310"/>
      <c r="DA83" s="21"/>
      <c r="DB83" s="21"/>
      <c r="DC83" s="21"/>
      <c r="DD83" s="1098"/>
      <c r="DE83" s="21"/>
      <c r="DF83" s="21"/>
      <c r="DG83" s="310"/>
      <c r="DH83" s="21"/>
      <c r="DI83" s="21"/>
      <c r="DJ83" s="21"/>
      <c r="DK83" s="1098"/>
      <c r="DL83" s="21"/>
      <c r="DM83" s="21"/>
      <c r="DN83" s="310"/>
      <c r="DO83" s="21"/>
      <c r="DP83" s="21"/>
      <c r="DQ83" s="21"/>
      <c r="DR83" s="1098"/>
      <c r="DS83" s="1870"/>
      <c r="DT83" s="21"/>
      <c r="DU83" s="310"/>
      <c r="DV83" s="21"/>
      <c r="DW83" s="21"/>
      <c r="DX83" s="21"/>
      <c r="DY83" s="1098"/>
      <c r="DZ83" s="21"/>
      <c r="EA83" s="21"/>
      <c r="EB83" s="310"/>
      <c r="EC83" s="21"/>
      <c r="ED83" s="21"/>
      <c r="EE83" s="21"/>
      <c r="EF83" s="1098"/>
      <c r="EG83" s="21"/>
      <c r="EH83" s="21"/>
      <c r="EI83" s="310"/>
      <c r="EJ83" s="21"/>
      <c r="EK83" s="21"/>
      <c r="EL83" s="21"/>
      <c r="EM83" s="1098"/>
      <c r="EN83" s="21"/>
      <c r="EO83" s="21"/>
      <c r="EP83" s="310"/>
      <c r="EQ83" s="21"/>
      <c r="ER83" s="21"/>
      <c r="ES83" s="21"/>
      <c r="ET83" s="1098"/>
      <c r="EU83" s="21"/>
      <c r="EV83" s="21"/>
      <c r="EW83" s="310"/>
    </row>
    <row r="84" spans="1:153" ht="10.199999999999999" hidden="1" customHeight="1" outlineLevel="1">
      <c r="A84" s="48" t="s">
        <v>167</v>
      </c>
      <c r="B84" s="549">
        <f>+B82+B83</f>
        <v>-1855</v>
      </c>
      <c r="C84" s="549">
        <f>+C82+C83</f>
        <v>243</v>
      </c>
      <c r="D84" s="549">
        <f>+D82+D83</f>
        <v>229</v>
      </c>
      <c r="E84" s="549">
        <v>217</v>
      </c>
      <c r="F84" s="549">
        <v>140</v>
      </c>
      <c r="G84" s="549">
        <f>+G82+G83</f>
        <v>57</v>
      </c>
      <c r="H84" s="549">
        <f>+H82+H83</f>
        <v>73</v>
      </c>
      <c r="I84" s="549">
        <f t="shared" ref="I84:AO84" si="606">+I82+I83</f>
        <v>58</v>
      </c>
      <c r="J84" s="549">
        <f t="shared" si="606"/>
        <v>58</v>
      </c>
      <c r="K84" s="549">
        <f t="shared" si="606"/>
        <v>44</v>
      </c>
      <c r="L84" s="549">
        <f t="shared" si="606"/>
        <v>41</v>
      </c>
      <c r="M84" s="549">
        <f t="shared" si="606"/>
        <v>38</v>
      </c>
      <c r="N84" s="21"/>
      <c r="O84" s="21"/>
      <c r="P84" s="21"/>
      <c r="Q84" s="1098"/>
      <c r="R84" s="21"/>
      <c r="S84" s="21"/>
      <c r="T84" s="313">
        <f t="shared" si="606"/>
        <v>39</v>
      </c>
      <c r="U84" s="21"/>
      <c r="V84" s="21"/>
      <c r="W84" s="21"/>
      <c r="X84" s="1098"/>
      <c r="Y84" s="21"/>
      <c r="Z84" s="21"/>
      <c r="AA84" s="313">
        <f t="shared" si="606"/>
        <v>43</v>
      </c>
      <c r="AB84" s="21"/>
      <c r="AC84" s="21"/>
      <c r="AD84" s="21"/>
      <c r="AE84" s="1098"/>
      <c r="AF84" s="21"/>
      <c r="AG84" s="21"/>
      <c r="AH84" s="313">
        <f t="shared" si="606"/>
        <v>24</v>
      </c>
      <c r="AI84" s="21"/>
      <c r="AJ84" s="21"/>
      <c r="AK84" s="21"/>
      <c r="AL84" s="1098"/>
      <c r="AM84" s="21"/>
      <c r="AN84" s="21"/>
      <c r="AO84" s="313">
        <f t="shared" si="606"/>
        <v>44</v>
      </c>
      <c r="AP84" s="21"/>
      <c r="AQ84" s="21"/>
      <c r="AR84" s="21"/>
      <c r="AS84" s="1098"/>
      <c r="AT84" s="21"/>
      <c r="AU84" s="21"/>
      <c r="AV84" s="310"/>
      <c r="AW84" s="21"/>
      <c r="AX84" s="21"/>
      <c r="AY84" s="21"/>
      <c r="AZ84" s="1098"/>
      <c r="BA84" s="21"/>
      <c r="BB84" s="21"/>
      <c r="BC84" s="310"/>
      <c r="BD84" s="21"/>
      <c r="BE84" s="21"/>
      <c r="BF84" s="21"/>
      <c r="BG84" s="1098"/>
      <c r="BH84" s="21"/>
      <c r="BI84" s="21"/>
      <c r="BJ84" s="310"/>
      <c r="BK84" s="21"/>
      <c r="BL84" s="21"/>
      <c r="BM84" s="21"/>
      <c r="BN84" s="1098"/>
      <c r="BO84" s="21"/>
      <c r="BP84" s="21"/>
      <c r="BQ84" s="310"/>
      <c r="BR84" s="21"/>
      <c r="BS84" s="21"/>
      <c r="BT84" s="21"/>
      <c r="BU84" s="1098"/>
      <c r="BV84" s="21"/>
      <c r="BW84" s="21"/>
      <c r="BX84" s="310"/>
      <c r="BY84" s="21"/>
      <c r="BZ84" s="21"/>
      <c r="CA84" s="21"/>
      <c r="CB84" s="1098"/>
      <c r="CC84" s="21"/>
      <c r="CD84" s="21"/>
      <c r="CE84" s="310"/>
      <c r="CF84" s="21"/>
      <c r="CG84" s="21"/>
      <c r="CH84" s="21"/>
      <c r="CI84" s="1098"/>
      <c r="CJ84" s="21"/>
      <c r="CK84" s="21"/>
      <c r="CL84" s="310"/>
      <c r="CM84" s="21"/>
      <c r="CN84" s="21"/>
      <c r="CO84" s="21"/>
      <c r="CP84" s="1098"/>
      <c r="CQ84" s="21"/>
      <c r="CR84" s="21"/>
      <c r="CS84" s="310"/>
      <c r="CT84" s="21"/>
      <c r="CU84" s="21"/>
      <c r="CV84" s="21"/>
      <c r="CW84" s="1098"/>
      <c r="CX84" s="21"/>
      <c r="CY84" s="21"/>
      <c r="CZ84" s="310"/>
      <c r="DA84" s="21"/>
      <c r="DB84" s="21"/>
      <c r="DC84" s="21"/>
      <c r="DD84" s="1098"/>
      <c r="DE84" s="21"/>
      <c r="DF84" s="21"/>
      <c r="DG84" s="310"/>
      <c r="DH84" s="21"/>
      <c r="DI84" s="21"/>
      <c r="DJ84" s="21"/>
      <c r="DK84" s="1098"/>
      <c r="DL84" s="21"/>
      <c r="DM84" s="21"/>
      <c r="DN84" s="310"/>
      <c r="DO84" s="21"/>
      <c r="DP84" s="21"/>
      <c r="DQ84" s="21"/>
      <c r="DR84" s="1098"/>
      <c r="DS84" s="1870"/>
      <c r="DT84" s="21"/>
      <c r="DU84" s="310"/>
      <c r="DV84" s="21"/>
      <c r="DW84" s="21"/>
      <c r="DX84" s="21"/>
      <c r="DY84" s="1098"/>
      <c r="DZ84" s="21"/>
      <c r="EA84" s="21"/>
      <c r="EB84" s="310"/>
      <c r="EC84" s="21"/>
      <c r="ED84" s="21"/>
      <c r="EE84" s="21"/>
      <c r="EF84" s="1098"/>
      <c r="EG84" s="21"/>
      <c r="EH84" s="21"/>
      <c r="EI84" s="310"/>
      <c r="EJ84" s="21"/>
      <c r="EK84" s="21"/>
      <c r="EL84" s="21"/>
      <c r="EM84" s="1098"/>
      <c r="EN84" s="21"/>
      <c r="EO84" s="21"/>
      <c r="EP84" s="310"/>
      <c r="EQ84" s="21"/>
      <c r="ER84" s="21"/>
      <c r="ES84" s="21"/>
      <c r="ET84" s="1098"/>
      <c r="EU84" s="21"/>
      <c r="EV84" s="21"/>
      <c r="EW84" s="310"/>
    </row>
    <row r="85" spans="1:153" ht="10.199999999999999" customHeight="1" collapsed="1">
      <c r="A85" s="43"/>
      <c r="B85" s="1067"/>
      <c r="C85" s="1067"/>
      <c r="D85" s="1067"/>
      <c r="E85" s="1067"/>
      <c r="F85" s="1067"/>
      <c r="G85" s="1067"/>
      <c r="H85" s="1067"/>
      <c r="I85" s="1067"/>
      <c r="J85" s="1067"/>
      <c r="K85" s="1067"/>
      <c r="L85" s="1067"/>
      <c r="M85" s="1067"/>
      <c r="N85" s="1067"/>
      <c r="O85" s="1067"/>
      <c r="P85" s="1067"/>
      <c r="Q85" s="1097"/>
      <c r="R85" s="1067"/>
      <c r="S85" s="1067"/>
      <c r="T85" s="1084"/>
      <c r="U85" s="1067"/>
      <c r="V85" s="1067"/>
      <c r="W85" s="1067"/>
      <c r="X85" s="1097"/>
      <c r="Y85" s="1067"/>
      <c r="Z85" s="1067"/>
      <c r="AA85" s="1084"/>
      <c r="AB85" s="1067"/>
      <c r="AC85" s="1067"/>
      <c r="AD85" s="1067"/>
      <c r="AE85" s="1097"/>
      <c r="AF85" s="1067"/>
      <c r="AG85" s="1067"/>
      <c r="AH85" s="1084"/>
      <c r="AI85" s="1067"/>
      <c r="AJ85" s="1067"/>
      <c r="AK85" s="1067"/>
      <c r="AL85" s="1097"/>
      <c r="AM85" s="1067"/>
      <c r="AN85" s="1067"/>
      <c r="AO85" s="1084"/>
      <c r="AP85" s="1067"/>
      <c r="AQ85" s="1067"/>
      <c r="AR85" s="1067"/>
      <c r="AS85" s="1097"/>
      <c r="AT85" s="1067"/>
      <c r="AU85" s="1067"/>
      <c r="AV85" s="1084"/>
      <c r="AW85" s="1067"/>
      <c r="AX85" s="1067"/>
      <c r="AY85" s="1067"/>
      <c r="AZ85" s="1097"/>
      <c r="BA85" s="1067"/>
      <c r="BB85" s="1067"/>
      <c r="BC85" s="1084"/>
      <c r="BD85" s="1067"/>
      <c r="BE85" s="1067"/>
      <c r="BF85" s="1067"/>
      <c r="BG85" s="1097"/>
      <c r="BH85" s="1067"/>
      <c r="BI85" s="1067"/>
      <c r="BJ85" s="1084"/>
      <c r="BK85" s="1067"/>
      <c r="BL85" s="1067"/>
      <c r="BM85" s="1067"/>
      <c r="BN85" s="1097"/>
      <c r="BO85" s="1067"/>
      <c r="BP85" s="1067"/>
      <c r="BQ85" s="1084"/>
      <c r="BR85" s="1067"/>
      <c r="BS85" s="1067"/>
      <c r="BT85" s="1067"/>
      <c r="BU85" s="1097"/>
      <c r="BV85" s="1067"/>
      <c r="BW85" s="1067"/>
      <c r="BX85" s="1084"/>
      <c r="BY85" s="1067"/>
      <c r="BZ85" s="1067"/>
      <c r="CA85" s="1067"/>
      <c r="CB85" s="1097"/>
      <c r="CC85" s="1067"/>
      <c r="CD85" s="1067"/>
      <c r="CE85" s="1084"/>
      <c r="CF85" s="1067"/>
      <c r="CG85" s="1067"/>
      <c r="CH85" s="1067"/>
      <c r="CI85" s="1097"/>
      <c r="CJ85" s="1067"/>
      <c r="CK85" s="1067"/>
      <c r="CL85" s="1084"/>
      <c r="CM85" s="1067"/>
      <c r="CN85" s="1067"/>
      <c r="CO85" s="1067"/>
      <c r="CP85" s="1097"/>
      <c r="CQ85" s="1067"/>
      <c r="CR85" s="1067"/>
      <c r="CS85" s="1084"/>
      <c r="CT85" s="1067"/>
      <c r="CU85" s="1067"/>
      <c r="CV85" s="1067"/>
      <c r="CW85" s="1097"/>
      <c r="CX85" s="1067"/>
      <c r="CY85" s="1067"/>
      <c r="CZ85" s="1084"/>
      <c r="DA85" s="1067"/>
      <c r="DB85" s="1067"/>
      <c r="DC85" s="1067"/>
      <c r="DD85" s="1097"/>
      <c r="DE85" s="1067"/>
      <c r="DF85" s="1067"/>
      <c r="DG85" s="1084"/>
      <c r="DH85" s="1067"/>
      <c r="DI85" s="1067"/>
      <c r="DJ85" s="1067"/>
      <c r="DK85" s="1097"/>
      <c r="DL85" s="1067"/>
      <c r="DM85" s="1067"/>
      <c r="DN85" s="1084"/>
      <c r="DO85" s="1067"/>
      <c r="DP85" s="1067"/>
      <c r="DQ85" s="1067"/>
      <c r="DR85" s="1097"/>
      <c r="DS85" s="1205"/>
      <c r="DT85" s="1067"/>
      <c r="DU85" s="1084"/>
      <c r="DV85" s="1067"/>
      <c r="DW85" s="1067"/>
      <c r="DX85" s="1067"/>
      <c r="DY85" s="1097"/>
      <c r="DZ85" s="1067"/>
      <c r="EA85" s="1067"/>
      <c r="EB85" s="1084"/>
      <c r="EC85" s="1067"/>
      <c r="ED85" s="1067"/>
      <c r="EE85" s="1067"/>
      <c r="EF85" s="1097"/>
      <c r="EG85" s="1067"/>
      <c r="EH85" s="1067"/>
      <c r="EI85" s="1084"/>
      <c r="EJ85" s="1067"/>
      <c r="EK85" s="1067"/>
      <c r="EL85" s="1067"/>
      <c r="EM85" s="1097"/>
      <c r="EN85" s="1067"/>
      <c r="EO85" s="1067"/>
      <c r="EP85" s="1084"/>
      <c r="EQ85" s="1067"/>
      <c r="ER85" s="1067"/>
      <c r="ES85" s="1067"/>
      <c r="ET85" s="1097"/>
      <c r="EU85" s="1067"/>
      <c r="EV85" s="1067"/>
      <c r="EW85" s="1084"/>
    </row>
    <row r="86" spans="1:153" ht="10.199999999999999" customHeight="1">
      <c r="A86" s="48" t="s">
        <v>154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094"/>
      <c r="R86" s="1"/>
      <c r="S86" s="1"/>
      <c r="T86" s="353"/>
      <c r="U86" s="1"/>
      <c r="V86" s="1"/>
      <c r="W86" s="1"/>
      <c r="X86" s="1094"/>
      <c r="Y86" s="1"/>
      <c r="Z86" s="1"/>
      <c r="AA86" s="353"/>
      <c r="AB86" s="1"/>
      <c r="AC86" s="1"/>
      <c r="AD86" s="1"/>
      <c r="AE86" s="1094"/>
      <c r="AF86" s="1"/>
      <c r="AG86" s="1"/>
      <c r="AH86" s="353"/>
      <c r="AI86" s="1"/>
      <c r="AJ86" s="1"/>
      <c r="AK86" s="1"/>
      <c r="AL86" s="1094"/>
      <c r="AM86" s="1"/>
      <c r="AN86" s="1"/>
      <c r="AO86" s="353"/>
      <c r="AP86" s="1"/>
      <c r="AQ86" s="1"/>
      <c r="AR86" s="1"/>
      <c r="AS86" s="1094"/>
      <c r="AT86" s="1"/>
      <c r="AU86" s="1"/>
      <c r="AV86" s="353"/>
      <c r="AW86" s="1"/>
      <c r="AX86" s="1"/>
      <c r="AY86" s="1"/>
      <c r="AZ86" s="1094"/>
      <c r="BA86" s="1"/>
      <c r="BB86" s="1"/>
      <c r="BC86" s="353"/>
      <c r="BD86" s="1"/>
      <c r="BE86" s="1"/>
      <c r="BF86" s="1"/>
      <c r="BG86" s="1094"/>
      <c r="BH86" s="1"/>
      <c r="BI86" s="1"/>
      <c r="BJ86" s="353"/>
      <c r="BK86" s="1"/>
      <c r="BL86" s="1"/>
      <c r="BM86" s="1"/>
      <c r="BN86" s="1094"/>
      <c r="BO86" s="1"/>
      <c r="BP86" s="1"/>
      <c r="BQ86" s="353"/>
      <c r="BR86" s="1"/>
      <c r="BS86" s="1"/>
      <c r="BT86" s="1"/>
      <c r="BU86" s="1094"/>
      <c r="BV86" s="1"/>
      <c r="BW86" s="1"/>
      <c r="BX86" s="353"/>
      <c r="BY86" s="1"/>
      <c r="BZ86" s="1"/>
      <c r="CA86" s="1"/>
      <c r="CB86" s="1094"/>
      <c r="CC86" s="1"/>
      <c r="CD86" s="1"/>
      <c r="CE86" s="353"/>
      <c r="CF86" s="1"/>
      <c r="CG86" s="1"/>
      <c r="CH86" s="1"/>
      <c r="CI86" s="1094"/>
      <c r="CJ86" s="1"/>
      <c r="CK86" s="1"/>
      <c r="CL86" s="353"/>
      <c r="CM86" s="1"/>
      <c r="CN86" s="1"/>
      <c r="CO86" s="1"/>
      <c r="CP86" s="1094"/>
      <c r="CQ86" s="1"/>
      <c r="CR86" s="1"/>
      <c r="CS86" s="353"/>
      <c r="CT86" s="1"/>
      <c r="CU86" s="1"/>
      <c r="CV86" s="1"/>
      <c r="CW86" s="1094"/>
      <c r="CX86" s="1"/>
      <c r="CY86" s="1"/>
      <c r="CZ86" s="353"/>
      <c r="DA86" s="1"/>
      <c r="DB86" s="1"/>
      <c r="DC86" s="1"/>
      <c r="DD86" s="1094"/>
      <c r="DE86" s="1"/>
      <c r="DF86" s="1"/>
      <c r="DG86" s="353"/>
      <c r="DH86" s="1"/>
      <c r="DI86" s="1"/>
      <c r="DJ86" s="1"/>
      <c r="DK86" s="1094"/>
      <c r="DL86" s="1"/>
      <c r="DM86" s="1"/>
      <c r="DN86" s="353"/>
      <c r="DO86" s="1"/>
      <c r="DP86" s="1"/>
      <c r="DQ86" s="1"/>
      <c r="DR86" s="1094"/>
      <c r="DS86" s="1879"/>
      <c r="DT86" s="1"/>
      <c r="DU86" s="353"/>
      <c r="DV86" s="1"/>
      <c r="DW86" s="1"/>
      <c r="DX86" s="1"/>
      <c r="DY86" s="1094"/>
      <c r="DZ86" s="1"/>
      <c r="EA86" s="1"/>
      <c r="EB86" s="353"/>
      <c r="EC86" s="1"/>
      <c r="ED86" s="1"/>
      <c r="EE86" s="1"/>
      <c r="EF86" s="1094"/>
      <c r="EG86" s="1"/>
      <c r="EH86" s="1"/>
      <c r="EI86" s="353"/>
      <c r="EJ86" s="1"/>
      <c r="EK86" s="1"/>
      <c r="EL86" s="1"/>
      <c r="EM86" s="1094"/>
      <c r="EN86" s="1"/>
      <c r="EO86" s="1"/>
      <c r="EP86" s="353"/>
      <c r="EQ86" s="1"/>
      <c r="ER86" s="1"/>
      <c r="ES86" s="1"/>
      <c r="ET86" s="1094"/>
      <c r="EU86" s="1"/>
      <c r="EV86" s="1"/>
      <c r="EW86" s="353"/>
    </row>
    <row r="87" spans="1:153" ht="10.199999999999999" customHeight="1">
      <c r="A87" s="43" t="str">
        <f>A102</f>
        <v>Airbus</v>
      </c>
      <c r="B87" s="317">
        <f t="shared" ref="B87:BQ87" si="607">+B63-B75</f>
        <v>1235</v>
      </c>
      <c r="C87" s="317">
        <f t="shared" si="607"/>
        <v>1434</v>
      </c>
      <c r="D87" s="317">
        <f t="shared" si="607"/>
        <v>1468</v>
      </c>
      <c r="E87" s="317">
        <f t="shared" si="607"/>
        <v>962</v>
      </c>
      <c r="F87" s="317">
        <f t="shared" si="607"/>
        <v>1031</v>
      </c>
      <c r="G87" s="317">
        <f t="shared" si="607"/>
        <v>1110</v>
      </c>
      <c r="H87" s="317">
        <f t="shared" si="607"/>
        <v>1215</v>
      </c>
      <c r="I87" s="317">
        <f t="shared" si="607"/>
        <v>1015</v>
      </c>
      <c r="J87" s="317">
        <f t="shared" si="607"/>
        <v>973</v>
      </c>
      <c r="K87" s="317">
        <f t="shared" si="607"/>
        <v>932</v>
      </c>
      <c r="L87" s="317">
        <f t="shared" si="607"/>
        <v>1039</v>
      </c>
      <c r="M87" s="317">
        <f t="shared" si="607"/>
        <v>1180</v>
      </c>
      <c r="N87" s="317"/>
      <c r="O87" s="130"/>
      <c r="P87" s="317"/>
      <c r="Q87" s="698"/>
      <c r="R87" s="317"/>
      <c r="S87" s="130"/>
      <c r="T87" s="314">
        <f t="shared" si="607"/>
        <v>1182</v>
      </c>
      <c r="U87" s="317"/>
      <c r="V87" s="130"/>
      <c r="W87" s="317"/>
      <c r="X87" s="698"/>
      <c r="Y87" s="317"/>
      <c r="Z87" s="130"/>
      <c r="AA87" s="314">
        <f t="shared" si="607"/>
        <v>1394</v>
      </c>
      <c r="AB87" s="317"/>
      <c r="AC87" s="130"/>
      <c r="AD87" s="317"/>
      <c r="AE87" s="698"/>
      <c r="AF87" s="317"/>
      <c r="AG87" s="130"/>
      <c r="AH87" s="314">
        <f t="shared" si="607"/>
        <v>1594</v>
      </c>
      <c r="AI87" s="317"/>
      <c r="AJ87" s="130"/>
      <c r="AK87" s="317"/>
      <c r="AL87" s="698"/>
      <c r="AM87" s="317"/>
      <c r="AN87" s="130"/>
      <c r="AO87" s="314">
        <f t="shared" si="607"/>
        <v>1566</v>
      </c>
      <c r="AP87" s="317"/>
      <c r="AQ87" s="130"/>
      <c r="AR87" s="317"/>
      <c r="AS87" s="698"/>
      <c r="AT87" s="317"/>
      <c r="AU87" s="130"/>
      <c r="AV87" s="314">
        <f t="shared" si="607"/>
        <v>1593</v>
      </c>
      <c r="AW87" s="317"/>
      <c r="AX87" s="130"/>
      <c r="AY87" s="317"/>
      <c r="AZ87" s="698"/>
      <c r="BA87" s="317"/>
      <c r="BB87" s="130"/>
      <c r="BC87" s="314">
        <f t="shared" si="607"/>
        <v>1661</v>
      </c>
      <c r="BD87" s="317"/>
      <c r="BE87" s="130"/>
      <c r="BF87" s="317"/>
      <c r="BG87" s="698"/>
      <c r="BH87" s="317"/>
      <c r="BI87" s="130"/>
      <c r="BJ87" s="314">
        <f t="shared" si="607"/>
        <v>1794</v>
      </c>
      <c r="BK87" s="317"/>
      <c r="BL87" s="130"/>
      <c r="BM87" s="317"/>
      <c r="BN87" s="698"/>
      <c r="BO87" s="317"/>
      <c r="BP87" s="130"/>
      <c r="BQ87" s="314">
        <f t="shared" si="607"/>
        <v>2130</v>
      </c>
      <c r="BR87" s="317"/>
      <c r="BS87" s="130"/>
      <c r="BT87" s="317"/>
      <c r="BU87" s="698"/>
      <c r="BV87" s="317"/>
      <c r="BW87" s="130"/>
      <c r="BX87" s="314"/>
      <c r="BY87" s="317"/>
      <c r="BZ87" s="130"/>
      <c r="CA87" s="317"/>
      <c r="CB87" s="698"/>
      <c r="CC87" s="317"/>
      <c r="CD87" s="130"/>
      <c r="CE87" s="314">
        <f t="shared" ref="CE87:DG89" si="608">+CE63-CE75</f>
        <v>1951</v>
      </c>
      <c r="CF87" s="317"/>
      <c r="CG87" s="130"/>
      <c r="CH87" s="317"/>
      <c r="CI87" s="698"/>
      <c r="CJ87" s="317"/>
      <c r="CK87" s="130"/>
      <c r="CL87" s="314">
        <f t="shared" si="608"/>
        <v>1616</v>
      </c>
      <c r="CM87" s="317"/>
      <c r="CN87" s="130"/>
      <c r="CO87" s="317"/>
      <c r="CP87" s="698"/>
      <c r="CQ87" s="317"/>
      <c r="CR87" s="130"/>
      <c r="CS87" s="314">
        <f t="shared" si="608"/>
        <v>1571</v>
      </c>
      <c r="CT87" s="317">
        <f t="shared" ref="CT87:CZ89" si="609">+CT63-CT75</f>
        <v>363.791</v>
      </c>
      <c r="CU87" s="130">
        <f t="shared" si="609"/>
        <v>413.69800000000004</v>
      </c>
      <c r="CV87" s="317">
        <f t="shared" ref="CV87" si="610">+CV63-CV75</f>
        <v>432.11199999999997</v>
      </c>
      <c r="CW87" s="698">
        <f t="shared" si="609"/>
        <v>387.399</v>
      </c>
      <c r="CX87" s="317">
        <f t="shared" ref="CX87" si="611">+CX63-CX75</f>
        <v>777.48900000000003</v>
      </c>
      <c r="CY87" s="130">
        <f t="shared" si="609"/>
        <v>819.51099999999997</v>
      </c>
      <c r="CZ87" s="314">
        <f t="shared" si="609"/>
        <v>1597</v>
      </c>
      <c r="DA87" s="317">
        <f t="shared" si="608"/>
        <v>274.43599999999998</v>
      </c>
      <c r="DB87" s="130">
        <f t="shared" si="608"/>
        <v>524.65200000000004</v>
      </c>
      <c r="DC87" s="317">
        <f t="shared" si="608"/>
        <v>301.74</v>
      </c>
      <c r="DD87" s="698">
        <f t="shared" si="608"/>
        <v>539.17199999999991</v>
      </c>
      <c r="DE87" s="317">
        <f t="shared" si="608"/>
        <v>799.08800000000008</v>
      </c>
      <c r="DF87" s="130">
        <f t="shared" si="608"/>
        <v>840.91199999999992</v>
      </c>
      <c r="DG87" s="314">
        <f t="shared" si="608"/>
        <v>1640</v>
      </c>
      <c r="DH87" s="130">
        <f t="shared" ref="DH87:DN87" si="612">+DH63-DH75</f>
        <v>453.2</v>
      </c>
      <c r="DI87" s="130">
        <f t="shared" si="612"/>
        <v>425.82499999999987</v>
      </c>
      <c r="DJ87" s="317">
        <f t="shared" si="612"/>
        <v>450.875</v>
      </c>
      <c r="DK87" s="698">
        <f t="shared" si="612"/>
        <v>1113.1000000000001</v>
      </c>
      <c r="DL87" s="317">
        <f t="shared" si="612"/>
        <v>879.02499999999986</v>
      </c>
      <c r="DM87" s="130">
        <f t="shared" si="612"/>
        <v>1563.9750000000001</v>
      </c>
      <c r="DN87" s="314">
        <f t="shared" si="612"/>
        <v>2443</v>
      </c>
      <c r="DO87" s="130">
        <f t="shared" ref="DO87:DP87" si="613">+DO63-DO75</f>
        <v>496.28</v>
      </c>
      <c r="DP87" s="130">
        <f t="shared" si="613"/>
        <v>419.52</v>
      </c>
      <c r="DQ87" s="617">
        <f t="shared" ref="DQ87:DU87" si="614">+DQ63-DQ75</f>
        <v>506.28057812298681</v>
      </c>
      <c r="DR87" s="618">
        <f t="shared" si="614"/>
        <v>1203.1635925334579</v>
      </c>
      <c r="DS87" s="1878">
        <f t="shared" si="614"/>
        <v>915.8</v>
      </c>
      <c r="DT87" s="617">
        <f t="shared" si="614"/>
        <v>1709.4441706564446</v>
      </c>
      <c r="DU87" s="651">
        <f t="shared" si="614"/>
        <v>2625.2441706564446</v>
      </c>
      <c r="DV87" s="617">
        <f t="shared" ref="DV87:EB87" si="615">+DV63-DV75</f>
        <v>717.65565663801533</v>
      </c>
      <c r="DW87" s="617">
        <f t="shared" si="615"/>
        <v>758.13718780996453</v>
      </c>
      <c r="DX87" s="617">
        <f t="shared" si="615"/>
        <v>760.0706382522917</v>
      </c>
      <c r="DY87" s="618">
        <f t="shared" si="615"/>
        <v>744.62095886759198</v>
      </c>
      <c r="DZ87" s="617">
        <f t="shared" si="615"/>
        <v>1475.7928444479799</v>
      </c>
      <c r="EA87" s="617">
        <f t="shared" si="615"/>
        <v>1504.6915971198837</v>
      </c>
      <c r="EB87" s="651">
        <f t="shared" si="615"/>
        <v>2980.4844415678635</v>
      </c>
      <c r="EC87" s="617">
        <f t="shared" ref="EC87:EI87" si="616">+EC63-EC75</f>
        <v>786.75822508678755</v>
      </c>
      <c r="ED87" s="617">
        <f t="shared" si="616"/>
        <v>833.45891142436301</v>
      </c>
      <c r="EE87" s="617">
        <f t="shared" si="616"/>
        <v>835.51151939625618</v>
      </c>
      <c r="EF87" s="618">
        <f t="shared" si="616"/>
        <v>835.81841851151933</v>
      </c>
      <c r="EG87" s="617">
        <f t="shared" si="616"/>
        <v>1620.2171365111506</v>
      </c>
      <c r="EH87" s="617">
        <f t="shared" si="616"/>
        <v>1671.3299379077755</v>
      </c>
      <c r="EI87" s="651">
        <f t="shared" si="616"/>
        <v>3291.5470744189261</v>
      </c>
      <c r="EJ87" s="617">
        <f t="shared" ref="EJ87:EP87" si="617">+EJ63-EJ75</f>
        <v>848.74191866013973</v>
      </c>
      <c r="EK87" s="617">
        <f t="shared" si="617"/>
        <v>861.27965209956585</v>
      </c>
      <c r="EL87" s="617">
        <f t="shared" si="617"/>
        <v>863.42345579936193</v>
      </c>
      <c r="EM87" s="618">
        <f t="shared" si="617"/>
        <v>863.23199796447773</v>
      </c>
      <c r="EN87" s="617">
        <f t="shared" si="617"/>
        <v>1710.0215707597056</v>
      </c>
      <c r="EO87" s="617">
        <f t="shared" si="617"/>
        <v>1726.6554537638397</v>
      </c>
      <c r="EP87" s="651">
        <f t="shared" si="617"/>
        <v>3436.6770245235452</v>
      </c>
      <c r="EQ87" s="617">
        <f t="shared" ref="EQ87:EW87" si="618">+EQ63-EQ75</f>
        <v>873.66232885004422</v>
      </c>
      <c r="ER87" s="617">
        <f t="shared" si="618"/>
        <v>887.03947311672925</v>
      </c>
      <c r="ES87" s="617">
        <f t="shared" si="618"/>
        <v>889.31667588421931</v>
      </c>
      <c r="ET87" s="618">
        <f t="shared" si="618"/>
        <v>888.26546833228542</v>
      </c>
      <c r="EU87" s="617">
        <f t="shared" si="618"/>
        <v>1760.7018019667735</v>
      </c>
      <c r="EV87" s="617">
        <f t="shared" si="618"/>
        <v>1777.5821442165047</v>
      </c>
      <c r="EW87" s="651">
        <f t="shared" si="618"/>
        <v>3538.2839461832782</v>
      </c>
    </row>
    <row r="88" spans="1:153" ht="10.199999999999999" customHeight="1" collapsed="1">
      <c r="A88" s="108" t="s">
        <v>325</v>
      </c>
      <c r="B88" s="317">
        <f t="shared" ref="B88:BQ88" si="619">+B64-B76</f>
        <v>0</v>
      </c>
      <c r="C88" s="317">
        <f t="shared" si="619"/>
        <v>138.6</v>
      </c>
      <c r="D88" s="317">
        <f t="shared" si="619"/>
        <v>95.199999999999989</v>
      </c>
      <c r="E88" s="317">
        <f t="shared" si="619"/>
        <v>52</v>
      </c>
      <c r="F88" s="317">
        <f t="shared" si="619"/>
        <v>68</v>
      </c>
      <c r="G88" s="317">
        <f t="shared" si="619"/>
        <v>74</v>
      </c>
      <c r="H88" s="317">
        <f t="shared" si="619"/>
        <v>75</v>
      </c>
      <c r="I88" s="317">
        <f t="shared" si="619"/>
        <v>84</v>
      </c>
      <c r="J88" s="317">
        <f t="shared" si="619"/>
        <v>85</v>
      </c>
      <c r="K88" s="317">
        <f t="shared" si="619"/>
        <v>90</v>
      </c>
      <c r="L88" s="317">
        <f t="shared" si="619"/>
        <v>139</v>
      </c>
      <c r="M88" s="317">
        <f t="shared" si="619"/>
        <v>133</v>
      </c>
      <c r="N88" s="317"/>
      <c r="O88" s="130"/>
      <c r="P88" s="317"/>
      <c r="Q88" s="698"/>
      <c r="R88" s="317"/>
      <c r="S88" s="130"/>
      <c r="T88" s="314">
        <f t="shared" si="619"/>
        <v>135</v>
      </c>
      <c r="U88" s="317"/>
      <c r="V88" s="130"/>
      <c r="W88" s="317"/>
      <c r="X88" s="698"/>
      <c r="Y88" s="317"/>
      <c r="Z88" s="130"/>
      <c r="AA88" s="314">
        <f t="shared" si="619"/>
        <v>157</v>
      </c>
      <c r="AB88" s="317"/>
      <c r="AC88" s="130"/>
      <c r="AD88" s="317"/>
      <c r="AE88" s="698"/>
      <c r="AF88" s="317"/>
      <c r="AG88" s="130"/>
      <c r="AH88" s="314">
        <f t="shared" si="619"/>
        <v>159</v>
      </c>
      <c r="AI88" s="317"/>
      <c r="AJ88" s="130"/>
      <c r="AK88" s="317"/>
      <c r="AL88" s="698"/>
      <c r="AM88" s="317"/>
      <c r="AN88" s="130"/>
      <c r="AO88" s="314">
        <f t="shared" si="619"/>
        <v>178</v>
      </c>
      <c r="AP88" s="317"/>
      <c r="AQ88" s="130"/>
      <c r="AR88" s="317"/>
      <c r="AS88" s="698"/>
      <c r="AT88" s="317"/>
      <c r="AU88" s="130"/>
      <c r="AV88" s="314">
        <f t="shared" si="619"/>
        <v>209</v>
      </c>
      <c r="AW88" s="317"/>
      <c r="AX88" s="130"/>
      <c r="AY88" s="317"/>
      <c r="AZ88" s="698"/>
      <c r="BA88" s="317"/>
      <c r="BB88" s="130"/>
      <c r="BC88" s="314">
        <f t="shared" si="619"/>
        <v>209</v>
      </c>
      <c r="BD88" s="317"/>
      <c r="BE88" s="130"/>
      <c r="BF88" s="317"/>
      <c r="BG88" s="698"/>
      <c r="BH88" s="317"/>
      <c r="BI88" s="130"/>
      <c r="BJ88" s="314">
        <f t="shared" si="619"/>
        <v>167</v>
      </c>
      <c r="BK88" s="317"/>
      <c r="BL88" s="130"/>
      <c r="BM88" s="317"/>
      <c r="BN88" s="698"/>
      <c r="BO88" s="317"/>
      <c r="BP88" s="130"/>
      <c r="BQ88" s="314">
        <f t="shared" si="619"/>
        <v>160</v>
      </c>
      <c r="BR88" s="317"/>
      <c r="BS88" s="130"/>
      <c r="BT88" s="317"/>
      <c r="BU88" s="698"/>
      <c r="BV88" s="317"/>
      <c r="BW88" s="130"/>
      <c r="BX88" s="314"/>
      <c r="BY88" s="317"/>
      <c r="BZ88" s="130"/>
      <c r="CA88" s="317"/>
      <c r="CB88" s="698"/>
      <c r="CC88" s="317"/>
      <c r="CD88" s="130"/>
      <c r="CE88" s="314">
        <f t="shared" si="608"/>
        <v>208</v>
      </c>
      <c r="CF88" s="317"/>
      <c r="CG88" s="130"/>
      <c r="CH88" s="317"/>
      <c r="CI88" s="698"/>
      <c r="CJ88" s="317"/>
      <c r="CK88" s="130"/>
      <c r="CL88" s="314">
        <f t="shared" si="608"/>
        <v>184</v>
      </c>
      <c r="CM88" s="317"/>
      <c r="CN88" s="130"/>
      <c r="CO88" s="317"/>
      <c r="CP88" s="698"/>
      <c r="CQ88" s="317"/>
      <c r="CR88" s="130"/>
      <c r="CS88" s="314">
        <f t="shared" si="608"/>
        <v>189</v>
      </c>
      <c r="CT88" s="317">
        <f t="shared" si="609"/>
        <v>41.547999999999995</v>
      </c>
      <c r="CU88" s="130">
        <f t="shared" si="609"/>
        <v>41.496000000000002</v>
      </c>
      <c r="CV88" s="317">
        <f t="shared" ref="CV88" si="620">+CV64-CV76</f>
        <v>38.167999999999999</v>
      </c>
      <c r="CW88" s="698">
        <f t="shared" si="609"/>
        <v>70.788000000000011</v>
      </c>
      <c r="CX88" s="317">
        <f t="shared" ref="CX88" si="621">+CX64-CX76</f>
        <v>83.043999999999997</v>
      </c>
      <c r="CY88" s="130">
        <f t="shared" si="609"/>
        <v>108.956</v>
      </c>
      <c r="CZ88" s="314">
        <f t="shared" si="609"/>
        <v>192</v>
      </c>
      <c r="DA88" s="317">
        <f t="shared" si="608"/>
        <v>39.447000000000003</v>
      </c>
      <c r="DB88" s="130">
        <f t="shared" si="608"/>
        <v>46.709999999999994</v>
      </c>
      <c r="DC88" s="317">
        <f t="shared" si="608"/>
        <v>45.467999999999996</v>
      </c>
      <c r="DD88" s="698">
        <f t="shared" si="608"/>
        <v>83.375000000000028</v>
      </c>
      <c r="DE88" s="317">
        <f t="shared" si="608"/>
        <v>86.156999999999996</v>
      </c>
      <c r="DF88" s="130">
        <f t="shared" si="608"/>
        <v>128.84300000000002</v>
      </c>
      <c r="DG88" s="314">
        <f t="shared" si="608"/>
        <v>215</v>
      </c>
      <c r="DH88" s="130">
        <f t="shared" ref="DH88:DN88" si="622">+DH64-DH76</f>
        <v>40</v>
      </c>
      <c r="DI88" s="130">
        <f t="shared" si="622"/>
        <v>52.325000000000003</v>
      </c>
      <c r="DJ88" s="317">
        <f t="shared" si="622"/>
        <v>48.975000000000001</v>
      </c>
      <c r="DK88" s="698">
        <f t="shared" si="622"/>
        <v>109.70000000000002</v>
      </c>
      <c r="DL88" s="317">
        <f t="shared" si="622"/>
        <v>92.325000000000003</v>
      </c>
      <c r="DM88" s="130">
        <f t="shared" si="622"/>
        <v>158.67500000000001</v>
      </c>
      <c r="DN88" s="314">
        <f t="shared" si="622"/>
        <v>251</v>
      </c>
      <c r="DO88" s="130">
        <f t="shared" ref="DO88:DP88" si="623">+DO64-DO76</f>
        <v>48.12</v>
      </c>
      <c r="DP88" s="130">
        <f t="shared" si="623"/>
        <v>62.279999999999994</v>
      </c>
      <c r="DQ88" s="617">
        <f t="shared" ref="DQ88:DU88" si="624">+DQ64-DQ76</f>
        <v>62.45781749999999</v>
      </c>
      <c r="DR88" s="618">
        <f t="shared" si="624"/>
        <v>108.28733898000006</v>
      </c>
      <c r="DS88" s="1878">
        <f t="shared" si="624"/>
        <v>110.39999999999999</v>
      </c>
      <c r="DT88" s="617">
        <f t="shared" si="624"/>
        <v>170.74515648000005</v>
      </c>
      <c r="DU88" s="651">
        <f t="shared" si="624"/>
        <v>281.14515648000003</v>
      </c>
      <c r="DV88" s="617">
        <f t="shared" ref="DV88:EB88" si="625">+DV64-DV76</f>
        <v>50.336599679999999</v>
      </c>
      <c r="DW88" s="617">
        <f t="shared" si="625"/>
        <v>65.08527552000001</v>
      </c>
      <c r="DX88" s="617">
        <f t="shared" si="625"/>
        <v>65.271390110999988</v>
      </c>
      <c r="DY88" s="618">
        <f t="shared" si="625"/>
        <v>112.97680259479208</v>
      </c>
      <c r="DZ88" s="617">
        <f t="shared" si="625"/>
        <v>115.4218752</v>
      </c>
      <c r="EA88" s="617">
        <f t="shared" si="625"/>
        <v>178.24819270579206</v>
      </c>
      <c r="EB88" s="651">
        <f t="shared" si="625"/>
        <v>293.67006790579205</v>
      </c>
      <c r="EC88" s="617">
        <f t="shared" ref="EC88:EI88" si="626">+EC64-EC76</f>
        <v>52.656377571072007</v>
      </c>
      <c r="ED88" s="617">
        <f t="shared" si="626"/>
        <v>68.018342347008002</v>
      </c>
      <c r="EE88" s="617">
        <f t="shared" si="626"/>
        <v>68.213144894684405</v>
      </c>
      <c r="EF88" s="618">
        <f t="shared" si="626"/>
        <v>117.87145329562162</v>
      </c>
      <c r="EG88" s="617">
        <f t="shared" si="626"/>
        <v>120.67471991808</v>
      </c>
      <c r="EH88" s="617">
        <f t="shared" si="626"/>
        <v>186.08459819030602</v>
      </c>
      <c r="EI88" s="651">
        <f t="shared" si="626"/>
        <v>306.75931810838603</v>
      </c>
      <c r="EJ88" s="617">
        <f t="shared" ref="EJ88:EP88" si="627">+EJ64-EJ76</f>
        <v>55.084183452143321</v>
      </c>
      <c r="EK88" s="617">
        <f t="shared" si="627"/>
        <v>71.085086158627121</v>
      </c>
      <c r="EL88" s="617">
        <f t="shared" si="627"/>
        <v>71.28898610278965</v>
      </c>
      <c r="EM88" s="618">
        <f t="shared" si="627"/>
        <v>122.98036727856477</v>
      </c>
      <c r="EN88" s="617">
        <f t="shared" si="627"/>
        <v>126.16926961077044</v>
      </c>
      <c r="EO88" s="617">
        <f t="shared" si="627"/>
        <v>194.26935338135442</v>
      </c>
      <c r="EP88" s="651">
        <f t="shared" si="627"/>
        <v>320.43862299212486</v>
      </c>
      <c r="EQ88" s="617">
        <f t="shared" ref="EQ88:EW88" si="628">+EQ64-EQ76</f>
        <v>57.625097102169903</v>
      </c>
      <c r="ER88" s="617">
        <f t="shared" si="628"/>
        <v>74.291666559275669</v>
      </c>
      <c r="ES88" s="617">
        <f t="shared" si="628"/>
        <v>74.505092803420354</v>
      </c>
      <c r="ET88" s="618">
        <f t="shared" si="628"/>
        <v>128.31302674990872</v>
      </c>
      <c r="EU88" s="617">
        <f t="shared" si="628"/>
        <v>131.91676366144557</v>
      </c>
      <c r="EV88" s="617">
        <f t="shared" si="628"/>
        <v>202.81811955332907</v>
      </c>
      <c r="EW88" s="651">
        <f t="shared" si="628"/>
        <v>334.73488321477464</v>
      </c>
    </row>
    <row r="89" spans="1:153" ht="10.199999999999999" customHeight="1">
      <c r="A89" s="108" t="s">
        <v>324</v>
      </c>
      <c r="B89" s="317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130"/>
      <c r="P89" s="317"/>
      <c r="Q89" s="698"/>
      <c r="R89" s="317"/>
      <c r="S89" s="130"/>
      <c r="T89" s="314">
        <f t="shared" ref="T89:BQ89" si="629">+T65-T77</f>
        <v>510</v>
      </c>
      <c r="U89" s="317"/>
      <c r="V89" s="130"/>
      <c r="W89" s="317"/>
      <c r="X89" s="698"/>
      <c r="Y89" s="317"/>
      <c r="Z89" s="130"/>
      <c r="AA89" s="314">
        <f t="shared" si="629"/>
        <v>524</v>
      </c>
      <c r="AB89" s="317"/>
      <c r="AC89" s="130"/>
      <c r="AD89" s="317"/>
      <c r="AE89" s="698"/>
      <c r="AF89" s="317"/>
      <c r="AG89" s="130"/>
      <c r="AH89" s="314">
        <f t="shared" si="629"/>
        <v>645</v>
      </c>
      <c r="AI89" s="317"/>
      <c r="AJ89" s="130"/>
      <c r="AK89" s="317"/>
      <c r="AL89" s="698"/>
      <c r="AM89" s="317"/>
      <c r="AN89" s="130"/>
      <c r="AO89" s="314">
        <f t="shared" si="629"/>
        <v>483</v>
      </c>
      <c r="AP89" s="317"/>
      <c r="AQ89" s="130"/>
      <c r="AR89" s="317"/>
      <c r="AS89" s="698"/>
      <c r="AT89" s="317"/>
      <c r="AU89" s="130"/>
      <c r="AV89" s="314">
        <f t="shared" si="629"/>
        <v>429</v>
      </c>
      <c r="AW89" s="317"/>
      <c r="AX89" s="130"/>
      <c r="AY89" s="317"/>
      <c r="AZ89" s="698"/>
      <c r="BA89" s="317"/>
      <c r="BB89" s="130"/>
      <c r="BC89" s="314">
        <f t="shared" si="629"/>
        <v>429</v>
      </c>
      <c r="BD89" s="317"/>
      <c r="BE89" s="130"/>
      <c r="BF89" s="317"/>
      <c r="BG89" s="698"/>
      <c r="BH89" s="317"/>
      <c r="BI89" s="130"/>
      <c r="BJ89" s="314">
        <f t="shared" si="629"/>
        <v>457</v>
      </c>
      <c r="BK89" s="317"/>
      <c r="BL89" s="130"/>
      <c r="BM89" s="317"/>
      <c r="BN89" s="698"/>
      <c r="BO89" s="317"/>
      <c r="BP89" s="130"/>
      <c r="BQ89" s="314">
        <f t="shared" si="629"/>
        <v>555</v>
      </c>
      <c r="BR89" s="317"/>
      <c r="BS89" s="130"/>
      <c r="BT89" s="317"/>
      <c r="BU89" s="698"/>
      <c r="BV89" s="317"/>
      <c r="BW89" s="130"/>
      <c r="BX89" s="314"/>
      <c r="BY89" s="317"/>
      <c r="BZ89" s="130"/>
      <c r="CA89" s="317"/>
      <c r="CB89" s="698"/>
      <c r="CC89" s="317"/>
      <c r="CD89" s="130"/>
      <c r="CE89" s="314">
        <f t="shared" si="608"/>
        <v>672</v>
      </c>
      <c r="CF89" s="317"/>
      <c r="CG89" s="130"/>
      <c r="CH89" s="317"/>
      <c r="CI89" s="698"/>
      <c r="CJ89" s="317"/>
      <c r="CK89" s="130"/>
      <c r="CL89" s="314">
        <f t="shared" si="608"/>
        <v>525</v>
      </c>
      <c r="CM89" s="317"/>
      <c r="CN89" s="130"/>
      <c r="CO89" s="317"/>
      <c r="CP89" s="698"/>
      <c r="CQ89" s="317"/>
      <c r="CR89" s="130"/>
      <c r="CS89" s="314">
        <f t="shared" si="608"/>
        <v>961</v>
      </c>
      <c r="CT89" s="317">
        <f t="shared" si="609"/>
        <v>89.661000000000001</v>
      </c>
      <c r="CU89" s="130">
        <f t="shared" si="609"/>
        <v>91.806000000000012</v>
      </c>
      <c r="CV89" s="317">
        <f t="shared" ref="CV89" si="630">+CV65-CV77</f>
        <v>96.72</v>
      </c>
      <c r="CW89" s="698">
        <f t="shared" si="609"/>
        <v>174.81300000000002</v>
      </c>
      <c r="CX89" s="317">
        <f t="shared" ref="CX89" si="631">+CX65-CX77</f>
        <v>181.46700000000001</v>
      </c>
      <c r="CY89" s="130">
        <f t="shared" si="609"/>
        <v>271.53300000000002</v>
      </c>
      <c r="CZ89" s="314">
        <f t="shared" si="609"/>
        <v>453</v>
      </c>
      <c r="DA89" s="317">
        <f t="shared" si="608"/>
        <v>199.11700000000002</v>
      </c>
      <c r="DB89" s="130">
        <f t="shared" si="608"/>
        <v>214.63799999999998</v>
      </c>
      <c r="DC89" s="317">
        <f t="shared" si="608"/>
        <v>217.792</v>
      </c>
      <c r="DD89" s="698">
        <f t="shared" si="608"/>
        <v>366.45299999999997</v>
      </c>
      <c r="DE89" s="317">
        <f t="shared" si="608"/>
        <v>413.755</v>
      </c>
      <c r="DF89" s="130">
        <f t="shared" si="608"/>
        <v>584.245</v>
      </c>
      <c r="DG89" s="314">
        <f t="shared" si="608"/>
        <v>998</v>
      </c>
      <c r="DH89" s="130">
        <f t="shared" ref="DH89:DN89" si="632">+DH65-DH77</f>
        <v>132.80000000000001</v>
      </c>
      <c r="DI89" s="130">
        <f t="shared" si="632"/>
        <v>157.85000000000002</v>
      </c>
      <c r="DJ89" s="317">
        <f t="shared" si="632"/>
        <v>153.15</v>
      </c>
      <c r="DK89" s="698">
        <f t="shared" si="632"/>
        <v>37.19999999999996</v>
      </c>
      <c r="DL89" s="317">
        <f t="shared" si="632"/>
        <v>290.65000000000003</v>
      </c>
      <c r="DM89" s="130">
        <f t="shared" si="632"/>
        <v>190.34999999999997</v>
      </c>
      <c r="DN89" s="314">
        <f t="shared" si="632"/>
        <v>481</v>
      </c>
      <c r="DO89" s="130">
        <f t="shared" ref="DO89:DP89" si="633">+DO65-DO77</f>
        <v>141.6</v>
      </c>
      <c r="DP89" s="130">
        <f t="shared" si="633"/>
        <v>174.20000000000002</v>
      </c>
      <c r="DQ89" s="617">
        <f t="shared" ref="DQ89:DU89" si="634">+DQ65-DQ77</f>
        <v>167.16322500000001</v>
      </c>
      <c r="DR89" s="618">
        <f t="shared" si="634"/>
        <v>243.58777500000002</v>
      </c>
      <c r="DS89" s="1878">
        <f t="shared" si="634"/>
        <v>315.8</v>
      </c>
      <c r="DT89" s="617">
        <f t="shared" si="634"/>
        <v>410.75100000000003</v>
      </c>
      <c r="DU89" s="651">
        <f t="shared" si="634"/>
        <v>726.55100000000004</v>
      </c>
      <c r="DV89" s="617">
        <f t="shared" ref="DV89:EB89" si="635">+DV65-DV77</f>
        <v>151.05180000000001</v>
      </c>
      <c r="DW89" s="617">
        <f t="shared" si="635"/>
        <v>185.98575</v>
      </c>
      <c r="DX89" s="617">
        <f t="shared" si="635"/>
        <v>178.30105875000001</v>
      </c>
      <c r="DY89" s="618">
        <f t="shared" si="635"/>
        <v>260.07361624999999</v>
      </c>
      <c r="DZ89" s="617">
        <f t="shared" si="635"/>
        <v>337.03755000000001</v>
      </c>
      <c r="EA89" s="617">
        <f t="shared" si="635"/>
        <v>438.37467500000002</v>
      </c>
      <c r="EB89" s="651">
        <f t="shared" si="635"/>
        <v>775.41222500000003</v>
      </c>
      <c r="EC89" s="617">
        <f t="shared" ref="EC89:EI89" si="636">+EC65-EC77</f>
        <v>158.60439000000002</v>
      </c>
      <c r="ED89" s="617">
        <f t="shared" si="636"/>
        <v>195.28503750000004</v>
      </c>
      <c r="EE89" s="617">
        <f t="shared" si="636"/>
        <v>187.21611168750002</v>
      </c>
      <c r="EF89" s="618">
        <f t="shared" si="636"/>
        <v>273.07729706250018</v>
      </c>
      <c r="EG89" s="617">
        <f t="shared" si="636"/>
        <v>353.88942750000007</v>
      </c>
      <c r="EH89" s="617">
        <f t="shared" si="636"/>
        <v>460.2934087500002</v>
      </c>
      <c r="EI89" s="651">
        <f t="shared" si="636"/>
        <v>814.18283625000026</v>
      </c>
      <c r="EJ89" s="617">
        <f t="shared" ref="EJ89:EP89" si="637">+EJ65-EJ77</f>
        <v>166.53460949999999</v>
      </c>
      <c r="EK89" s="617">
        <f t="shared" si="637"/>
        <v>205.04928937500011</v>
      </c>
      <c r="EL89" s="617">
        <f t="shared" si="637"/>
        <v>196.57691727187503</v>
      </c>
      <c r="EM89" s="618">
        <f t="shared" si="637"/>
        <v>286.73116191562497</v>
      </c>
      <c r="EN89" s="617">
        <f t="shared" si="637"/>
        <v>371.5838988750001</v>
      </c>
      <c r="EO89" s="617">
        <f t="shared" si="637"/>
        <v>483.30807918750003</v>
      </c>
      <c r="EP89" s="651">
        <f t="shared" si="637"/>
        <v>854.89197806250013</v>
      </c>
      <c r="EQ89" s="617">
        <f t="shared" ref="EQ89:EW89" si="638">+EQ65-EQ77</f>
        <v>174.86133997500002</v>
      </c>
      <c r="ER89" s="617">
        <f t="shared" si="638"/>
        <v>215.30175384375008</v>
      </c>
      <c r="ES89" s="617">
        <f t="shared" si="638"/>
        <v>206.40576313546882</v>
      </c>
      <c r="ET89" s="618">
        <f t="shared" si="638"/>
        <v>301.06772001140649</v>
      </c>
      <c r="EU89" s="617">
        <f t="shared" si="638"/>
        <v>390.1630938187501</v>
      </c>
      <c r="EV89" s="617">
        <f t="shared" si="638"/>
        <v>507.47348314687531</v>
      </c>
      <c r="EW89" s="651">
        <f t="shared" si="638"/>
        <v>897.63657696562541</v>
      </c>
    </row>
    <row r="90" spans="1:153" ht="10.199999999999999" hidden="1" customHeight="1" outlineLevel="1">
      <c r="A90" s="127" t="str">
        <f>A105</f>
        <v>Airbus Military</v>
      </c>
      <c r="B90" s="317">
        <f t="shared" ref="B90:M90" si="639">+B66-B78</f>
        <v>-33</v>
      </c>
      <c r="C90" s="317">
        <f t="shared" si="639"/>
        <v>54</v>
      </c>
      <c r="D90" s="317">
        <f t="shared" si="639"/>
        <v>21</v>
      </c>
      <c r="E90" s="317">
        <f t="shared" si="639"/>
        <v>34</v>
      </c>
      <c r="F90" s="317">
        <f t="shared" si="639"/>
        <v>41</v>
      </c>
      <c r="G90" s="317">
        <f t="shared" si="639"/>
        <v>26</v>
      </c>
      <c r="H90" s="317">
        <f t="shared" si="639"/>
        <v>27</v>
      </c>
      <c r="I90" s="317">
        <f t="shared" si="639"/>
        <v>69</v>
      </c>
      <c r="J90" s="317">
        <f t="shared" si="639"/>
        <v>172</v>
      </c>
      <c r="K90" s="317">
        <f t="shared" si="639"/>
        <v>33</v>
      </c>
      <c r="L90" s="317">
        <f t="shared" si="639"/>
        <v>119</v>
      </c>
      <c r="M90" s="317">
        <f t="shared" si="639"/>
        <v>76</v>
      </c>
      <c r="N90" s="617"/>
      <c r="O90" s="617"/>
      <c r="P90" s="617"/>
      <c r="Q90" s="698"/>
      <c r="R90" s="130"/>
      <c r="S90" s="130"/>
      <c r="T90" s="314"/>
      <c r="U90" s="617"/>
      <c r="V90" s="617"/>
      <c r="W90" s="617"/>
      <c r="X90" s="698"/>
      <c r="Y90" s="130"/>
      <c r="Z90" s="130"/>
      <c r="AA90" s="314"/>
      <c r="AB90" s="617"/>
      <c r="AC90" s="617"/>
      <c r="AD90" s="617"/>
      <c r="AE90" s="698"/>
      <c r="AF90" s="130"/>
      <c r="AG90" s="130"/>
      <c r="AH90" s="314"/>
      <c r="AI90" s="617"/>
      <c r="AJ90" s="617"/>
      <c r="AK90" s="617"/>
      <c r="AL90" s="698"/>
      <c r="AM90" s="130"/>
      <c r="AN90" s="130"/>
      <c r="AO90" s="314"/>
      <c r="AP90" s="617"/>
      <c r="AQ90" s="617"/>
      <c r="AR90" s="617"/>
      <c r="AS90" s="698"/>
      <c r="AT90" s="130"/>
      <c r="AU90" s="130"/>
      <c r="AV90" s="314"/>
      <c r="AW90" s="617"/>
      <c r="AX90" s="617"/>
      <c r="AY90" s="617"/>
      <c r="AZ90" s="698"/>
      <c r="BA90" s="130"/>
      <c r="BB90" s="130"/>
      <c r="BC90" s="314"/>
      <c r="BD90" s="617"/>
      <c r="BE90" s="617"/>
      <c r="BF90" s="617"/>
      <c r="BG90" s="698"/>
      <c r="BH90" s="130"/>
      <c r="BI90" s="130"/>
      <c r="BJ90" s="314"/>
      <c r="BK90" s="617"/>
      <c r="BL90" s="617"/>
      <c r="BM90" s="617"/>
      <c r="BN90" s="698"/>
      <c r="BO90" s="130"/>
      <c r="BP90" s="130"/>
      <c r="BQ90" s="314"/>
      <c r="BR90" s="617"/>
      <c r="BS90" s="617"/>
      <c r="BT90" s="617"/>
      <c r="BU90" s="698"/>
      <c r="BV90" s="130"/>
      <c r="BW90" s="130"/>
      <c r="BX90" s="314"/>
      <c r="BY90" s="617"/>
      <c r="BZ90" s="617"/>
      <c r="CA90" s="617"/>
      <c r="CB90" s="698"/>
      <c r="CC90" s="130"/>
      <c r="CD90" s="130"/>
      <c r="CE90" s="314"/>
      <c r="CF90" s="617"/>
      <c r="CG90" s="617"/>
      <c r="CH90" s="617"/>
      <c r="CI90" s="698"/>
      <c r="CJ90" s="130"/>
      <c r="CK90" s="130"/>
      <c r="CL90" s="314"/>
      <c r="CM90" s="617"/>
      <c r="CN90" s="617"/>
      <c r="CO90" s="617"/>
      <c r="CP90" s="698"/>
      <c r="CQ90" s="130"/>
      <c r="CR90" s="130"/>
      <c r="CS90" s="314"/>
      <c r="CT90" s="617"/>
      <c r="CU90" s="617"/>
      <c r="CV90" s="617"/>
      <c r="CW90" s="698"/>
      <c r="CX90" s="130"/>
      <c r="CY90" s="130"/>
      <c r="CZ90" s="314"/>
      <c r="DA90" s="617"/>
      <c r="DB90" s="617"/>
      <c r="DC90" s="617"/>
      <c r="DD90" s="698"/>
      <c r="DE90" s="130"/>
      <c r="DF90" s="130"/>
      <c r="DG90" s="314"/>
      <c r="DH90" s="130"/>
      <c r="DI90" s="617"/>
      <c r="DJ90" s="617"/>
      <c r="DK90" s="698"/>
      <c r="DL90" s="130"/>
      <c r="DM90" s="130"/>
      <c r="DN90" s="314"/>
      <c r="DO90" s="130"/>
      <c r="DP90" s="617"/>
      <c r="DQ90" s="617"/>
      <c r="DR90" s="618"/>
      <c r="DS90" s="1878"/>
      <c r="DT90" s="617"/>
      <c r="DU90" s="651"/>
      <c r="DV90" s="617"/>
      <c r="DW90" s="617"/>
      <c r="DX90" s="617"/>
      <c r="DY90" s="618"/>
      <c r="DZ90" s="617"/>
      <c r="EA90" s="617"/>
      <c r="EB90" s="651"/>
      <c r="EC90" s="617"/>
      <c r="ED90" s="617"/>
      <c r="EE90" s="617"/>
      <c r="EF90" s="618"/>
      <c r="EG90" s="617"/>
      <c r="EH90" s="617"/>
      <c r="EI90" s="651"/>
      <c r="EJ90" s="617"/>
      <c r="EK90" s="617"/>
      <c r="EL90" s="617"/>
      <c r="EM90" s="618"/>
      <c r="EN90" s="617"/>
      <c r="EO90" s="617"/>
      <c r="EP90" s="651"/>
      <c r="EQ90" s="617"/>
      <c r="ER90" s="617"/>
      <c r="ES90" s="617"/>
      <c r="ET90" s="618"/>
      <c r="EU90" s="617"/>
      <c r="EV90" s="617"/>
      <c r="EW90" s="651"/>
    </row>
    <row r="91" spans="1:153" ht="10.199999999999999" hidden="1" customHeight="1" outlineLevel="1">
      <c r="A91" s="127" t="str">
        <f>A106</f>
        <v>Cassidian</v>
      </c>
      <c r="B91" s="317">
        <f t="shared" ref="B91:M91" si="640">+B67-B79</f>
        <v>1503</v>
      </c>
      <c r="C91" s="317">
        <f t="shared" si="640"/>
        <v>215</v>
      </c>
      <c r="D91" s="317">
        <f t="shared" si="640"/>
        <v>271</v>
      </c>
      <c r="E91" s="317">
        <f t="shared" si="640"/>
        <v>139</v>
      </c>
      <c r="F91" s="317">
        <f t="shared" si="640"/>
        <v>146</v>
      </c>
      <c r="G91" s="317">
        <f t="shared" si="640"/>
        <v>122</v>
      </c>
      <c r="H91" s="317">
        <f t="shared" si="640"/>
        <v>130</v>
      </c>
      <c r="I91" s="317">
        <f t="shared" si="640"/>
        <v>140</v>
      </c>
      <c r="J91" s="317">
        <f t="shared" si="640"/>
        <v>138</v>
      </c>
      <c r="K91" s="317">
        <f t="shared" si="640"/>
        <v>134</v>
      </c>
      <c r="L91" s="317">
        <f t="shared" si="640"/>
        <v>160</v>
      </c>
      <c r="M91" s="317">
        <f t="shared" si="640"/>
        <v>246</v>
      </c>
      <c r="N91" s="617"/>
      <c r="O91" s="617"/>
      <c r="P91" s="617"/>
      <c r="Q91" s="698"/>
      <c r="R91" s="130"/>
      <c r="S91" s="130"/>
      <c r="T91" s="314"/>
      <c r="U91" s="617"/>
      <c r="V91" s="617"/>
      <c r="W91" s="617"/>
      <c r="X91" s="698"/>
      <c r="Y91" s="130"/>
      <c r="Z91" s="130"/>
      <c r="AA91" s="314"/>
      <c r="AB91" s="617"/>
      <c r="AC91" s="617"/>
      <c r="AD91" s="617"/>
      <c r="AE91" s="698"/>
      <c r="AF91" s="130"/>
      <c r="AG91" s="130"/>
      <c r="AH91" s="314"/>
      <c r="AI91" s="617"/>
      <c r="AJ91" s="617"/>
      <c r="AK91" s="617"/>
      <c r="AL91" s="698"/>
      <c r="AM91" s="130"/>
      <c r="AN91" s="130"/>
      <c r="AO91" s="314"/>
      <c r="AP91" s="617"/>
      <c r="AQ91" s="617"/>
      <c r="AR91" s="617"/>
      <c r="AS91" s="698"/>
      <c r="AT91" s="130"/>
      <c r="AU91" s="130"/>
      <c r="AV91" s="314"/>
      <c r="AW91" s="617"/>
      <c r="AX91" s="617"/>
      <c r="AY91" s="617"/>
      <c r="AZ91" s="698"/>
      <c r="BA91" s="130"/>
      <c r="BB91" s="130"/>
      <c r="BC91" s="314"/>
      <c r="BD91" s="617"/>
      <c r="BE91" s="617"/>
      <c r="BF91" s="617"/>
      <c r="BG91" s="698"/>
      <c r="BH91" s="130"/>
      <c r="BI91" s="130"/>
      <c r="BJ91" s="314"/>
      <c r="BK91" s="617"/>
      <c r="BL91" s="617"/>
      <c r="BM91" s="617"/>
      <c r="BN91" s="698"/>
      <c r="BO91" s="130"/>
      <c r="BP91" s="130"/>
      <c r="BQ91" s="314"/>
      <c r="BR91" s="617"/>
      <c r="BS91" s="617"/>
      <c r="BT91" s="617"/>
      <c r="BU91" s="698"/>
      <c r="BV91" s="130"/>
      <c r="BW91" s="130"/>
      <c r="BX91" s="314"/>
      <c r="BY91" s="617"/>
      <c r="BZ91" s="617"/>
      <c r="CA91" s="617"/>
      <c r="CB91" s="698"/>
      <c r="CC91" s="130"/>
      <c r="CD91" s="130"/>
      <c r="CE91" s="314"/>
      <c r="CF91" s="617"/>
      <c r="CG91" s="617"/>
      <c r="CH91" s="617"/>
      <c r="CI91" s="698"/>
      <c r="CJ91" s="130"/>
      <c r="CK91" s="130"/>
      <c r="CL91" s="314"/>
      <c r="CM91" s="617"/>
      <c r="CN91" s="617"/>
      <c r="CO91" s="617"/>
      <c r="CP91" s="698"/>
      <c r="CQ91" s="130"/>
      <c r="CR91" s="130"/>
      <c r="CS91" s="314"/>
      <c r="CT91" s="617"/>
      <c r="CU91" s="617"/>
      <c r="CV91" s="617"/>
      <c r="CW91" s="698"/>
      <c r="CX91" s="130"/>
      <c r="CY91" s="130"/>
      <c r="CZ91" s="314"/>
      <c r="DA91" s="617"/>
      <c r="DB91" s="617"/>
      <c r="DC91" s="617"/>
      <c r="DD91" s="698"/>
      <c r="DE91" s="130"/>
      <c r="DF91" s="130"/>
      <c r="DG91" s="314"/>
      <c r="DH91" s="130"/>
      <c r="DI91" s="617"/>
      <c r="DJ91" s="617"/>
      <c r="DK91" s="698"/>
      <c r="DL91" s="130"/>
      <c r="DM91" s="130"/>
      <c r="DN91" s="314"/>
      <c r="DO91" s="130"/>
      <c r="DP91" s="617"/>
      <c r="DQ91" s="617"/>
      <c r="DR91" s="618"/>
      <c r="DS91" s="1878"/>
      <c r="DT91" s="617"/>
      <c r="DU91" s="651"/>
      <c r="DV91" s="617"/>
      <c r="DW91" s="617"/>
      <c r="DX91" s="617"/>
      <c r="DY91" s="618"/>
      <c r="DZ91" s="617"/>
      <c r="EA91" s="617"/>
      <c r="EB91" s="651"/>
      <c r="EC91" s="617"/>
      <c r="ED91" s="617"/>
      <c r="EE91" s="617"/>
      <c r="EF91" s="618"/>
      <c r="EG91" s="617"/>
      <c r="EH91" s="617"/>
      <c r="EI91" s="651"/>
      <c r="EJ91" s="617"/>
      <c r="EK91" s="617"/>
      <c r="EL91" s="617"/>
      <c r="EM91" s="618"/>
      <c r="EN91" s="617"/>
      <c r="EO91" s="617"/>
      <c r="EP91" s="651"/>
      <c r="EQ91" s="617"/>
      <c r="ER91" s="617"/>
      <c r="ES91" s="617"/>
      <c r="ET91" s="618"/>
      <c r="EU91" s="617"/>
      <c r="EV91" s="617"/>
      <c r="EW91" s="651"/>
    </row>
    <row r="92" spans="1:153" ht="10.199999999999999" hidden="1" customHeight="1" outlineLevel="1">
      <c r="A92" s="127" t="str">
        <f>A107</f>
        <v>Astrium</v>
      </c>
      <c r="B92" s="317">
        <f t="shared" ref="B92:M92" si="641">+B68-B80</f>
        <v>404</v>
      </c>
      <c r="C92" s="317">
        <f t="shared" si="641"/>
        <v>147</v>
      </c>
      <c r="D92" s="317">
        <f t="shared" si="641"/>
        <v>142</v>
      </c>
      <c r="E92" s="317">
        <f t="shared" si="641"/>
        <v>110</v>
      </c>
      <c r="F92" s="317">
        <f t="shared" si="641"/>
        <v>117</v>
      </c>
      <c r="G92" s="317">
        <f t="shared" si="641"/>
        <v>123</v>
      </c>
      <c r="H92" s="317">
        <f t="shared" si="641"/>
        <v>162</v>
      </c>
      <c r="I92" s="317">
        <f t="shared" si="641"/>
        <v>185</v>
      </c>
      <c r="J92" s="317">
        <f t="shared" si="641"/>
        <v>224</v>
      </c>
      <c r="K92" s="317">
        <f t="shared" si="641"/>
        <v>214</v>
      </c>
      <c r="L92" s="317">
        <f t="shared" si="641"/>
        <v>231</v>
      </c>
      <c r="M92" s="317">
        <f t="shared" si="641"/>
        <v>294</v>
      </c>
      <c r="N92" s="617"/>
      <c r="O92" s="617"/>
      <c r="P92" s="617"/>
      <c r="Q92" s="698"/>
      <c r="R92" s="130"/>
      <c r="S92" s="130"/>
      <c r="T92" s="314"/>
      <c r="U92" s="617"/>
      <c r="V92" s="617"/>
      <c r="W92" s="617"/>
      <c r="X92" s="698"/>
      <c r="Y92" s="130"/>
      <c r="Z92" s="130"/>
      <c r="AA92" s="314"/>
      <c r="AB92" s="617"/>
      <c r="AC92" s="617"/>
      <c r="AD92" s="617"/>
      <c r="AE92" s="698"/>
      <c r="AF92" s="130"/>
      <c r="AG92" s="130"/>
      <c r="AH92" s="314"/>
      <c r="AI92" s="617"/>
      <c r="AJ92" s="617"/>
      <c r="AK92" s="617"/>
      <c r="AL92" s="698"/>
      <c r="AM92" s="130"/>
      <c r="AN92" s="130"/>
      <c r="AO92" s="314"/>
      <c r="AP92" s="617"/>
      <c r="AQ92" s="617"/>
      <c r="AR92" s="617"/>
      <c r="AS92" s="698"/>
      <c r="AT92" s="130"/>
      <c r="AU92" s="130"/>
      <c r="AV92" s="314"/>
      <c r="AW92" s="617"/>
      <c r="AX92" s="617"/>
      <c r="AY92" s="617"/>
      <c r="AZ92" s="698"/>
      <c r="BA92" s="130"/>
      <c r="BB92" s="130"/>
      <c r="BC92" s="314"/>
      <c r="BD92" s="617"/>
      <c r="BE92" s="617"/>
      <c r="BF92" s="617"/>
      <c r="BG92" s="698"/>
      <c r="BH92" s="130"/>
      <c r="BI92" s="130"/>
      <c r="BJ92" s="314"/>
      <c r="BK92" s="617"/>
      <c r="BL92" s="617"/>
      <c r="BM92" s="617"/>
      <c r="BN92" s="698"/>
      <c r="BO92" s="130"/>
      <c r="BP92" s="130"/>
      <c r="BQ92" s="314"/>
      <c r="BR92" s="617"/>
      <c r="BS92" s="617"/>
      <c r="BT92" s="617"/>
      <c r="BU92" s="698"/>
      <c r="BV92" s="130"/>
      <c r="BW92" s="130"/>
      <c r="BX92" s="314"/>
      <c r="BY92" s="617"/>
      <c r="BZ92" s="617"/>
      <c r="CA92" s="617"/>
      <c r="CB92" s="698"/>
      <c r="CC92" s="130"/>
      <c r="CD92" s="130"/>
      <c r="CE92" s="314"/>
      <c r="CF92" s="617"/>
      <c r="CG92" s="617"/>
      <c r="CH92" s="617"/>
      <c r="CI92" s="698"/>
      <c r="CJ92" s="130"/>
      <c r="CK92" s="130"/>
      <c r="CL92" s="314"/>
      <c r="CM92" s="617"/>
      <c r="CN92" s="617"/>
      <c r="CO92" s="617"/>
      <c r="CP92" s="698"/>
      <c r="CQ92" s="130"/>
      <c r="CR92" s="130"/>
      <c r="CS92" s="314"/>
      <c r="CT92" s="617"/>
      <c r="CU92" s="617"/>
      <c r="CV92" s="617"/>
      <c r="CW92" s="698"/>
      <c r="CX92" s="130"/>
      <c r="CY92" s="130"/>
      <c r="CZ92" s="314"/>
      <c r="DA92" s="617"/>
      <c r="DB92" s="617"/>
      <c r="DC92" s="617"/>
      <c r="DD92" s="698"/>
      <c r="DE92" s="130"/>
      <c r="DF92" s="130"/>
      <c r="DG92" s="314"/>
      <c r="DH92" s="130"/>
      <c r="DI92" s="617"/>
      <c r="DJ92" s="617"/>
      <c r="DK92" s="698"/>
      <c r="DL92" s="130"/>
      <c r="DM92" s="130"/>
      <c r="DN92" s="314"/>
      <c r="DO92" s="130"/>
      <c r="DP92" s="617"/>
      <c r="DQ92" s="617"/>
      <c r="DR92" s="618"/>
      <c r="DS92" s="1878"/>
      <c r="DT92" s="617"/>
      <c r="DU92" s="651"/>
      <c r="DV92" s="617"/>
      <c r="DW92" s="617"/>
      <c r="DX92" s="617"/>
      <c r="DY92" s="618"/>
      <c r="DZ92" s="617"/>
      <c r="EA92" s="617"/>
      <c r="EB92" s="651"/>
      <c r="EC92" s="617"/>
      <c r="ED92" s="617"/>
      <c r="EE92" s="617"/>
      <c r="EF92" s="618"/>
      <c r="EG92" s="617"/>
      <c r="EH92" s="617"/>
      <c r="EI92" s="651"/>
      <c r="EJ92" s="617"/>
      <c r="EK92" s="617"/>
      <c r="EL92" s="617"/>
      <c r="EM92" s="618"/>
      <c r="EN92" s="617"/>
      <c r="EO92" s="617"/>
      <c r="EP92" s="651"/>
      <c r="EQ92" s="617"/>
      <c r="ER92" s="617"/>
      <c r="ES92" s="617"/>
      <c r="ET92" s="618"/>
      <c r="EU92" s="617"/>
      <c r="EV92" s="617"/>
      <c r="EW92" s="651"/>
    </row>
    <row r="93" spans="1:153" ht="10.199999999999999" hidden="1" customHeight="1" outlineLevel="1">
      <c r="A93" s="127" t="str">
        <f>A108</f>
        <v>Other Businesses</v>
      </c>
      <c r="B93" s="317">
        <f t="shared" ref="B93:M93" si="642">+B69-B81</f>
        <v>307</v>
      </c>
      <c r="C93" s="317">
        <f t="shared" si="642"/>
        <v>71.400000000000006</v>
      </c>
      <c r="D93" s="317">
        <f t="shared" si="642"/>
        <v>30.799999999999997</v>
      </c>
      <c r="E93" s="317">
        <f t="shared" si="642"/>
        <v>54</v>
      </c>
      <c r="F93" s="317">
        <f t="shared" si="642"/>
        <v>55</v>
      </c>
      <c r="G93" s="317">
        <f t="shared" si="642"/>
        <v>88</v>
      </c>
      <c r="H93" s="317">
        <f t="shared" si="642"/>
        <v>42</v>
      </c>
      <c r="I93" s="317">
        <f t="shared" si="642"/>
        <v>43</v>
      </c>
      <c r="J93" s="317">
        <f t="shared" si="642"/>
        <v>31</v>
      </c>
      <c r="K93" s="317">
        <f t="shared" si="642"/>
        <v>25</v>
      </c>
      <c r="L93" s="317">
        <f t="shared" si="642"/>
        <v>58</v>
      </c>
      <c r="M93" s="317">
        <f t="shared" si="642"/>
        <v>45</v>
      </c>
      <c r="N93" s="317"/>
      <c r="O93" s="130"/>
      <c r="P93" s="317"/>
      <c r="Q93" s="698"/>
      <c r="R93" s="317"/>
      <c r="S93" s="130"/>
      <c r="T93" s="314">
        <f t="shared" ref="T93:BQ93" si="643">+T69-T81</f>
        <v>0</v>
      </c>
      <c r="U93" s="317"/>
      <c r="V93" s="130"/>
      <c r="W93" s="317"/>
      <c r="X93" s="698"/>
      <c r="Y93" s="317"/>
      <c r="Z93" s="130"/>
      <c r="AA93" s="314">
        <f t="shared" si="643"/>
        <v>0</v>
      </c>
      <c r="AB93" s="317"/>
      <c r="AC93" s="130"/>
      <c r="AD93" s="317"/>
      <c r="AE93" s="698"/>
      <c r="AF93" s="317"/>
      <c r="AG93" s="130"/>
      <c r="AH93" s="314">
        <f t="shared" si="643"/>
        <v>0</v>
      </c>
      <c r="AI93" s="317"/>
      <c r="AJ93" s="130"/>
      <c r="AK93" s="317"/>
      <c r="AL93" s="698"/>
      <c r="AM93" s="317"/>
      <c r="AN93" s="130"/>
      <c r="AO93" s="314">
        <f t="shared" si="643"/>
        <v>0</v>
      </c>
      <c r="AP93" s="317"/>
      <c r="AQ93" s="130"/>
      <c r="AR93" s="317"/>
      <c r="AS93" s="698"/>
      <c r="AT93" s="317"/>
      <c r="AU93" s="130"/>
      <c r="AV93" s="314">
        <f t="shared" si="643"/>
        <v>0</v>
      </c>
      <c r="AW93" s="317"/>
      <c r="AX93" s="130"/>
      <c r="AY93" s="317"/>
      <c r="AZ93" s="698"/>
      <c r="BA93" s="317"/>
      <c r="BB93" s="130"/>
      <c r="BC93" s="314">
        <f t="shared" si="643"/>
        <v>0</v>
      </c>
      <c r="BD93" s="317"/>
      <c r="BE93" s="130"/>
      <c r="BF93" s="317"/>
      <c r="BG93" s="698"/>
      <c r="BH93" s="317"/>
      <c r="BI93" s="130"/>
      <c r="BJ93" s="314">
        <f t="shared" si="643"/>
        <v>0</v>
      </c>
      <c r="BK93" s="317"/>
      <c r="BL93" s="130"/>
      <c r="BM93" s="317"/>
      <c r="BN93" s="698"/>
      <c r="BO93" s="317"/>
      <c r="BP93" s="130"/>
      <c r="BQ93" s="314">
        <f t="shared" si="643"/>
        <v>0</v>
      </c>
      <c r="BR93" s="317"/>
      <c r="BS93" s="130"/>
      <c r="BT93" s="317"/>
      <c r="BU93" s="698"/>
      <c r="BV93" s="317"/>
      <c r="BW93" s="130"/>
      <c r="BX93" s="314"/>
      <c r="BY93" s="317"/>
      <c r="BZ93" s="130"/>
      <c r="CA93" s="317"/>
      <c r="CB93" s="698"/>
      <c r="CC93" s="317"/>
      <c r="CD93" s="130"/>
      <c r="CE93" s="314">
        <f t="shared" ref="CE93:DT93" si="644">+CE69-CE81</f>
        <v>0</v>
      </c>
      <c r="CF93" s="317"/>
      <c r="CG93" s="130"/>
      <c r="CH93" s="317"/>
      <c r="CI93" s="698"/>
      <c r="CJ93" s="317"/>
      <c r="CK93" s="130"/>
      <c r="CL93" s="314">
        <f t="shared" si="644"/>
        <v>0</v>
      </c>
      <c r="CM93" s="317"/>
      <c r="CN93" s="130"/>
      <c r="CO93" s="317"/>
      <c r="CP93" s="698"/>
      <c r="CQ93" s="317"/>
      <c r="CR93" s="130"/>
      <c r="CS93" s="314">
        <f t="shared" si="644"/>
        <v>0</v>
      </c>
      <c r="CT93" s="317">
        <f t="shared" ref="CT93:CZ93" si="645">+CT69-CT81</f>
        <v>0</v>
      </c>
      <c r="CU93" s="130">
        <f t="shared" si="645"/>
        <v>0</v>
      </c>
      <c r="CV93" s="317">
        <f t="shared" ref="CV93" si="646">+CV69-CV81</f>
        <v>0</v>
      </c>
      <c r="CW93" s="698">
        <f t="shared" si="645"/>
        <v>0</v>
      </c>
      <c r="CX93" s="317">
        <f t="shared" ref="CX93" si="647">+CX69-CX81</f>
        <v>0</v>
      </c>
      <c r="CY93" s="130">
        <f t="shared" si="645"/>
        <v>0</v>
      </c>
      <c r="CZ93" s="314">
        <f t="shared" si="645"/>
        <v>0</v>
      </c>
      <c r="DA93" s="317">
        <f t="shared" si="644"/>
        <v>0</v>
      </c>
      <c r="DB93" s="130">
        <f t="shared" si="644"/>
        <v>0</v>
      </c>
      <c r="DC93" s="317">
        <f t="shared" si="644"/>
        <v>0</v>
      </c>
      <c r="DD93" s="698">
        <f t="shared" si="644"/>
        <v>0</v>
      </c>
      <c r="DE93" s="317">
        <f t="shared" si="644"/>
        <v>0</v>
      </c>
      <c r="DF93" s="130">
        <f t="shared" si="644"/>
        <v>0</v>
      </c>
      <c r="DG93" s="314">
        <f t="shared" si="644"/>
        <v>0</v>
      </c>
      <c r="DH93" s="130">
        <f t="shared" ref="DH93:DN93" si="648">+DH69-DH81</f>
        <v>0</v>
      </c>
      <c r="DI93" s="130">
        <f t="shared" si="648"/>
        <v>0</v>
      </c>
      <c r="DJ93" s="317">
        <f t="shared" si="648"/>
        <v>0</v>
      </c>
      <c r="DK93" s="698">
        <f t="shared" si="648"/>
        <v>0</v>
      </c>
      <c r="DL93" s="317">
        <f t="shared" si="648"/>
        <v>0</v>
      </c>
      <c r="DM93" s="130">
        <f t="shared" si="648"/>
        <v>0</v>
      </c>
      <c r="DN93" s="314">
        <f t="shared" si="648"/>
        <v>0</v>
      </c>
      <c r="DO93" s="130">
        <f t="shared" ref="DO93:DP93" si="649">+DO69-DO81</f>
        <v>0</v>
      </c>
      <c r="DP93" s="130">
        <f t="shared" si="649"/>
        <v>0</v>
      </c>
      <c r="DQ93" s="617">
        <f t="shared" si="644"/>
        <v>0</v>
      </c>
      <c r="DR93" s="618">
        <f t="shared" si="644"/>
        <v>0</v>
      </c>
      <c r="DS93" s="1878">
        <f t="shared" si="644"/>
        <v>0</v>
      </c>
      <c r="DT93" s="617">
        <f t="shared" si="644"/>
        <v>0</v>
      </c>
      <c r="DU93" s="651">
        <f t="shared" ref="DU93:EA93" si="650">+DU69-DU81</f>
        <v>0</v>
      </c>
      <c r="DV93" s="617">
        <f t="shared" si="650"/>
        <v>0</v>
      </c>
      <c r="DW93" s="617">
        <f t="shared" si="650"/>
        <v>0</v>
      </c>
      <c r="DX93" s="617">
        <f t="shared" si="650"/>
        <v>0</v>
      </c>
      <c r="DY93" s="618">
        <f t="shared" si="650"/>
        <v>0</v>
      </c>
      <c r="DZ93" s="617">
        <f t="shared" si="650"/>
        <v>0</v>
      </c>
      <c r="EA93" s="617">
        <f t="shared" si="650"/>
        <v>0</v>
      </c>
      <c r="EB93" s="651">
        <f t="shared" ref="EB93:EH93" si="651">+EB69-EB81</f>
        <v>0</v>
      </c>
      <c r="EC93" s="617">
        <f t="shared" si="651"/>
        <v>0</v>
      </c>
      <c r="ED93" s="617">
        <f t="shared" si="651"/>
        <v>0</v>
      </c>
      <c r="EE93" s="617">
        <f t="shared" si="651"/>
        <v>0</v>
      </c>
      <c r="EF93" s="618">
        <f t="shared" si="651"/>
        <v>0</v>
      </c>
      <c r="EG93" s="617">
        <f t="shared" si="651"/>
        <v>0</v>
      </c>
      <c r="EH93" s="617">
        <f t="shared" si="651"/>
        <v>0</v>
      </c>
      <c r="EI93" s="651">
        <f t="shared" ref="EI93:EO93" si="652">+EI69-EI81</f>
        <v>0</v>
      </c>
      <c r="EJ93" s="617">
        <f t="shared" si="652"/>
        <v>0</v>
      </c>
      <c r="EK93" s="617">
        <f t="shared" si="652"/>
        <v>0</v>
      </c>
      <c r="EL93" s="617">
        <f t="shared" si="652"/>
        <v>0</v>
      </c>
      <c r="EM93" s="618">
        <f t="shared" si="652"/>
        <v>0</v>
      </c>
      <c r="EN93" s="617">
        <f t="shared" si="652"/>
        <v>0</v>
      </c>
      <c r="EO93" s="617">
        <f t="shared" si="652"/>
        <v>0</v>
      </c>
      <c r="EP93" s="651">
        <f t="shared" ref="EP93:EV93" si="653">+EP69-EP81</f>
        <v>0</v>
      </c>
      <c r="EQ93" s="617">
        <f t="shared" si="653"/>
        <v>0</v>
      </c>
      <c r="ER93" s="617">
        <f t="shared" si="653"/>
        <v>0</v>
      </c>
      <c r="ES93" s="617">
        <f t="shared" si="653"/>
        <v>0</v>
      </c>
      <c r="ET93" s="618">
        <f t="shared" si="653"/>
        <v>0</v>
      </c>
      <c r="EU93" s="617">
        <f t="shared" si="653"/>
        <v>0</v>
      </c>
      <c r="EV93" s="617">
        <f t="shared" si="653"/>
        <v>0</v>
      </c>
      <c r="EW93" s="651">
        <f>+EW69-EW81</f>
        <v>0</v>
      </c>
    </row>
    <row r="94" spans="1:153" ht="10.199999999999999" customHeight="1" collapsed="1">
      <c r="A94" s="48" t="str">
        <f>+A109</f>
        <v>Segment Total</v>
      </c>
      <c r="B94" s="319">
        <f t="shared" ref="B94:BQ94" si="654">+SUM(B87:B93)</f>
        <v>3416</v>
      </c>
      <c r="C94" s="319">
        <f t="shared" si="654"/>
        <v>2060</v>
      </c>
      <c r="D94" s="319">
        <f t="shared" si="654"/>
        <v>2028</v>
      </c>
      <c r="E94" s="319">
        <f t="shared" si="654"/>
        <v>1351</v>
      </c>
      <c r="F94" s="319">
        <f t="shared" si="654"/>
        <v>1458</v>
      </c>
      <c r="G94" s="319">
        <f t="shared" si="654"/>
        <v>1543</v>
      </c>
      <c r="H94" s="319">
        <f t="shared" si="654"/>
        <v>1651</v>
      </c>
      <c r="I94" s="319">
        <f t="shared" si="654"/>
        <v>1536</v>
      </c>
      <c r="J94" s="319">
        <f t="shared" si="654"/>
        <v>1623</v>
      </c>
      <c r="K94" s="319">
        <f t="shared" si="654"/>
        <v>1428</v>
      </c>
      <c r="L94" s="319">
        <f t="shared" si="654"/>
        <v>1746</v>
      </c>
      <c r="M94" s="319">
        <f t="shared" si="654"/>
        <v>1974</v>
      </c>
      <c r="N94" s="319"/>
      <c r="O94" s="92"/>
      <c r="P94" s="319"/>
      <c r="Q94" s="699"/>
      <c r="R94" s="319"/>
      <c r="S94" s="92"/>
      <c r="T94" s="1268">
        <f t="shared" si="654"/>
        <v>1827</v>
      </c>
      <c r="U94" s="319"/>
      <c r="V94" s="92"/>
      <c r="W94" s="319"/>
      <c r="X94" s="699"/>
      <c r="Y94" s="319"/>
      <c r="Z94" s="92"/>
      <c r="AA94" s="1268">
        <f t="shared" si="654"/>
        <v>2075</v>
      </c>
      <c r="AB94" s="319"/>
      <c r="AC94" s="92"/>
      <c r="AD94" s="319"/>
      <c r="AE94" s="699"/>
      <c r="AF94" s="319"/>
      <c r="AG94" s="92"/>
      <c r="AH94" s="1268">
        <f t="shared" si="654"/>
        <v>2398</v>
      </c>
      <c r="AI94" s="319"/>
      <c r="AJ94" s="92"/>
      <c r="AK94" s="319"/>
      <c r="AL94" s="699"/>
      <c r="AM94" s="319"/>
      <c r="AN94" s="92"/>
      <c r="AO94" s="1268">
        <f t="shared" si="654"/>
        <v>2227</v>
      </c>
      <c r="AP94" s="319"/>
      <c r="AQ94" s="92"/>
      <c r="AR94" s="319"/>
      <c r="AS94" s="699"/>
      <c r="AT94" s="319"/>
      <c r="AU94" s="92"/>
      <c r="AV94" s="1268">
        <f t="shared" si="654"/>
        <v>2231</v>
      </c>
      <c r="AW94" s="319"/>
      <c r="AX94" s="92"/>
      <c r="AY94" s="319"/>
      <c r="AZ94" s="699"/>
      <c r="BA94" s="319"/>
      <c r="BB94" s="92"/>
      <c r="BC94" s="1268">
        <f t="shared" si="654"/>
        <v>2299</v>
      </c>
      <c r="BD94" s="319"/>
      <c r="BE94" s="92"/>
      <c r="BF94" s="319"/>
      <c r="BG94" s="699"/>
      <c r="BH94" s="319"/>
      <c r="BI94" s="92"/>
      <c r="BJ94" s="1268">
        <f t="shared" si="654"/>
        <v>2418</v>
      </c>
      <c r="BK94" s="319"/>
      <c r="BL94" s="92"/>
      <c r="BM94" s="319"/>
      <c r="BN94" s="699"/>
      <c r="BO94" s="319"/>
      <c r="BP94" s="92"/>
      <c r="BQ94" s="1268">
        <f t="shared" si="654"/>
        <v>2845</v>
      </c>
      <c r="BR94" s="319"/>
      <c r="BS94" s="92"/>
      <c r="BT94" s="319"/>
      <c r="BU94" s="699"/>
      <c r="BV94" s="319"/>
      <c r="BW94" s="92"/>
      <c r="BX94" s="1268"/>
      <c r="BY94" s="319"/>
      <c r="BZ94" s="92"/>
      <c r="CA94" s="319"/>
      <c r="CB94" s="699"/>
      <c r="CC94" s="319"/>
      <c r="CD94" s="92"/>
      <c r="CE94" s="1268">
        <f t="shared" ref="CE94:DT94" si="655">+SUM(CE87:CE93)</f>
        <v>2831</v>
      </c>
      <c r="CF94" s="319"/>
      <c r="CG94" s="92"/>
      <c r="CH94" s="319"/>
      <c r="CI94" s="699"/>
      <c r="CJ94" s="319"/>
      <c r="CK94" s="92"/>
      <c r="CL94" s="1268">
        <f t="shared" si="655"/>
        <v>2325</v>
      </c>
      <c r="CM94" s="319"/>
      <c r="CN94" s="92"/>
      <c r="CO94" s="319"/>
      <c r="CP94" s="699"/>
      <c r="CQ94" s="319"/>
      <c r="CR94" s="92"/>
      <c r="CS94" s="1268">
        <f t="shared" si="655"/>
        <v>2721</v>
      </c>
      <c r="CT94" s="319">
        <f t="shared" ref="CT94:CZ94" si="656">+SUM(CT87:CT93)</f>
        <v>495</v>
      </c>
      <c r="CU94" s="92">
        <f t="shared" si="656"/>
        <v>547</v>
      </c>
      <c r="CV94" s="319">
        <f t="shared" ref="CV94" si="657">+SUM(CV87:CV93)</f>
        <v>567</v>
      </c>
      <c r="CW94" s="699">
        <f t="shared" si="656"/>
        <v>633</v>
      </c>
      <c r="CX94" s="319">
        <f t="shared" ref="CX94" si="658">+SUM(CX87:CX93)</f>
        <v>1042</v>
      </c>
      <c r="CY94" s="92">
        <f t="shared" si="656"/>
        <v>1200</v>
      </c>
      <c r="CZ94" s="1268">
        <f t="shared" si="656"/>
        <v>2242</v>
      </c>
      <c r="DA94" s="319">
        <f t="shared" si="655"/>
        <v>513</v>
      </c>
      <c r="DB94" s="92">
        <f t="shared" si="655"/>
        <v>786</v>
      </c>
      <c r="DC94" s="319">
        <f t="shared" si="655"/>
        <v>565</v>
      </c>
      <c r="DD94" s="699">
        <f t="shared" si="655"/>
        <v>988.99999999999989</v>
      </c>
      <c r="DE94" s="319">
        <f t="shared" si="655"/>
        <v>1299</v>
      </c>
      <c r="DF94" s="92">
        <f t="shared" si="655"/>
        <v>1554</v>
      </c>
      <c r="DG94" s="1268">
        <f t="shared" si="655"/>
        <v>2853</v>
      </c>
      <c r="DH94" s="92">
        <f t="shared" ref="DH94:DN94" si="659">+SUM(DH87:DH93)</f>
        <v>626</v>
      </c>
      <c r="DI94" s="92">
        <f t="shared" si="659"/>
        <v>635.99999999999989</v>
      </c>
      <c r="DJ94" s="319">
        <f t="shared" si="659"/>
        <v>653</v>
      </c>
      <c r="DK94" s="699">
        <f t="shared" si="659"/>
        <v>1260.0000000000002</v>
      </c>
      <c r="DL94" s="319">
        <f t="shared" si="659"/>
        <v>1262</v>
      </c>
      <c r="DM94" s="92">
        <f t="shared" si="659"/>
        <v>1913</v>
      </c>
      <c r="DN94" s="1268">
        <f t="shared" si="659"/>
        <v>3175</v>
      </c>
      <c r="DO94" s="92">
        <f t="shared" ref="DO94:DP94" si="660">+SUM(DO87:DO93)</f>
        <v>686</v>
      </c>
      <c r="DP94" s="92">
        <f t="shared" si="660"/>
        <v>656</v>
      </c>
      <c r="DQ94" s="622">
        <f t="shared" si="655"/>
        <v>735.9016206229868</v>
      </c>
      <c r="DR94" s="623">
        <f t="shared" si="655"/>
        <v>1555.0387065134578</v>
      </c>
      <c r="DS94" s="1874">
        <f t="shared" si="655"/>
        <v>1342</v>
      </c>
      <c r="DT94" s="622">
        <f t="shared" si="655"/>
        <v>2290.9403271364449</v>
      </c>
      <c r="DU94" s="652">
        <f t="shared" ref="DU94:EA94" si="661">+SUM(DU87:DU93)</f>
        <v>3632.9403271364445</v>
      </c>
      <c r="DV94" s="622">
        <f t="shared" si="661"/>
        <v>919.04405631801524</v>
      </c>
      <c r="DW94" s="622">
        <f t="shared" si="661"/>
        <v>1009.2082133299646</v>
      </c>
      <c r="DX94" s="622">
        <f t="shared" si="661"/>
        <v>1003.6430871132917</v>
      </c>
      <c r="DY94" s="623">
        <f t="shared" si="661"/>
        <v>1117.6713777123841</v>
      </c>
      <c r="DZ94" s="622">
        <f t="shared" si="661"/>
        <v>1928.2522696479798</v>
      </c>
      <c r="EA94" s="622">
        <f t="shared" si="661"/>
        <v>2121.3144648256757</v>
      </c>
      <c r="EB94" s="652">
        <f t="shared" ref="EB94:EH94" si="662">+SUM(EB87:EB93)</f>
        <v>4049.5667344736557</v>
      </c>
      <c r="EC94" s="622">
        <f t="shared" si="662"/>
        <v>998.0189926578596</v>
      </c>
      <c r="ED94" s="622">
        <f t="shared" si="662"/>
        <v>1096.7622912713709</v>
      </c>
      <c r="EE94" s="622">
        <f t="shared" si="662"/>
        <v>1090.9407759784406</v>
      </c>
      <c r="EF94" s="623">
        <f t="shared" si="662"/>
        <v>1226.767168869641</v>
      </c>
      <c r="EG94" s="622">
        <f t="shared" si="662"/>
        <v>2094.7812839292305</v>
      </c>
      <c r="EH94" s="622">
        <f t="shared" si="662"/>
        <v>2317.7079448480818</v>
      </c>
      <c r="EI94" s="652">
        <f t="shared" ref="EI94:EO94" si="663">+SUM(EI87:EI93)</f>
        <v>4412.4892287773127</v>
      </c>
      <c r="EJ94" s="622">
        <f t="shared" si="663"/>
        <v>1070.360711612283</v>
      </c>
      <c r="EK94" s="622">
        <f t="shared" si="663"/>
        <v>1137.4140276331932</v>
      </c>
      <c r="EL94" s="622">
        <f t="shared" si="663"/>
        <v>1131.2893591740267</v>
      </c>
      <c r="EM94" s="623">
        <f t="shared" si="663"/>
        <v>1272.9435271586676</v>
      </c>
      <c r="EN94" s="622">
        <f t="shared" si="663"/>
        <v>2207.7747392454762</v>
      </c>
      <c r="EO94" s="622">
        <f t="shared" si="663"/>
        <v>2404.2328863326943</v>
      </c>
      <c r="EP94" s="652">
        <f t="shared" ref="EP94:EV94" si="664">+SUM(EP87:EP93)</f>
        <v>4612.0076255781696</v>
      </c>
      <c r="EQ94" s="622">
        <f t="shared" si="664"/>
        <v>1106.1487659272141</v>
      </c>
      <c r="ER94" s="622">
        <f t="shared" si="664"/>
        <v>1176.632893519755</v>
      </c>
      <c r="ES94" s="622">
        <f t="shared" si="664"/>
        <v>1170.2275318231084</v>
      </c>
      <c r="ET94" s="623">
        <f t="shared" si="664"/>
        <v>1317.6462150936006</v>
      </c>
      <c r="EU94" s="622">
        <f t="shared" si="664"/>
        <v>2282.7816594469691</v>
      </c>
      <c r="EV94" s="622">
        <f t="shared" si="664"/>
        <v>2487.873746916709</v>
      </c>
      <c r="EW94" s="652">
        <f>+SUM(EW87:EW93)</f>
        <v>4770.6554063636777</v>
      </c>
    </row>
    <row r="95" spans="1:153" ht="10.199999999999999" customHeight="1">
      <c r="A95" s="43" t="s">
        <v>169</v>
      </c>
      <c r="B95" s="317">
        <f t="shared" ref="B95:BQ95" si="665">B71-B83</f>
        <v>1209</v>
      </c>
      <c r="C95" s="317">
        <f t="shared" si="665"/>
        <v>115</v>
      </c>
      <c r="D95" s="317">
        <f t="shared" si="665"/>
        <v>118</v>
      </c>
      <c r="E95" s="317">
        <f t="shared" si="665"/>
        <v>53</v>
      </c>
      <c r="F95" s="317">
        <f t="shared" si="665"/>
        <v>55</v>
      </c>
      <c r="G95" s="317">
        <f t="shared" si="665"/>
        <v>91</v>
      </c>
      <c r="H95" s="317">
        <f t="shared" si="665"/>
        <v>48</v>
      </c>
      <c r="I95" s="317">
        <f t="shared" si="665"/>
        <v>73</v>
      </c>
      <c r="J95" s="317">
        <f t="shared" si="665"/>
        <v>145</v>
      </c>
      <c r="K95" s="317">
        <f t="shared" si="665"/>
        <v>110</v>
      </c>
      <c r="L95" s="317">
        <f t="shared" si="665"/>
        <v>97</v>
      </c>
      <c r="M95" s="317">
        <f t="shared" si="665"/>
        <v>41</v>
      </c>
      <c r="N95" s="317"/>
      <c r="O95" s="130"/>
      <c r="P95" s="317"/>
      <c r="Q95" s="698"/>
      <c r="R95" s="317"/>
      <c r="S95" s="130"/>
      <c r="T95" s="314">
        <f t="shared" si="665"/>
        <v>61</v>
      </c>
      <c r="U95" s="317"/>
      <c r="V95" s="130"/>
      <c r="W95" s="317"/>
      <c r="X95" s="698"/>
      <c r="Y95" s="317"/>
      <c r="Z95" s="130"/>
      <c r="AA95" s="314">
        <f t="shared" si="665"/>
        <v>32</v>
      </c>
      <c r="AB95" s="317"/>
      <c r="AC95" s="130"/>
      <c r="AD95" s="317"/>
      <c r="AE95" s="698"/>
      <c r="AF95" s="317"/>
      <c r="AG95" s="130"/>
      <c r="AH95" s="314">
        <f t="shared" si="665"/>
        <v>44</v>
      </c>
      <c r="AI95" s="317"/>
      <c r="AJ95" s="130"/>
      <c r="AK95" s="317"/>
      <c r="AL95" s="698"/>
      <c r="AM95" s="317"/>
      <c r="AN95" s="130"/>
      <c r="AO95" s="314">
        <f t="shared" si="665"/>
        <v>23</v>
      </c>
      <c r="AP95" s="317"/>
      <c r="AQ95" s="130"/>
      <c r="AR95" s="317"/>
      <c r="AS95" s="698"/>
      <c r="AT95" s="317"/>
      <c r="AU95" s="130"/>
      <c r="AV95" s="314">
        <f t="shared" si="665"/>
        <v>67</v>
      </c>
      <c r="AW95" s="317"/>
      <c r="AX95" s="130"/>
      <c r="AY95" s="317"/>
      <c r="AZ95" s="698"/>
      <c r="BA95" s="317"/>
      <c r="BB95" s="130"/>
      <c r="BC95" s="314">
        <f t="shared" si="665"/>
        <v>-1</v>
      </c>
      <c r="BD95" s="317"/>
      <c r="BE95" s="130"/>
      <c r="BF95" s="317"/>
      <c r="BG95" s="698"/>
      <c r="BH95" s="317"/>
      <c r="BI95" s="130"/>
      <c r="BJ95" s="314">
        <f t="shared" si="665"/>
        <v>26</v>
      </c>
      <c r="BK95" s="317"/>
      <c r="BL95" s="130"/>
      <c r="BM95" s="317"/>
      <c r="BN95" s="698"/>
      <c r="BO95" s="317"/>
      <c r="BP95" s="130"/>
      <c r="BQ95" s="314">
        <f t="shared" si="665"/>
        <v>82</v>
      </c>
      <c r="BR95" s="317"/>
      <c r="BS95" s="130"/>
      <c r="BT95" s="317"/>
      <c r="BU95" s="698"/>
      <c r="BV95" s="317"/>
      <c r="BW95" s="130"/>
      <c r="BX95" s="314"/>
      <c r="BY95" s="317"/>
      <c r="BZ95" s="130"/>
      <c r="CA95" s="317"/>
      <c r="CB95" s="698"/>
      <c r="CC95" s="317"/>
      <c r="CD95" s="130"/>
      <c r="CE95" s="314">
        <f t="shared" ref="CE95:DT95" si="666">CE71-CE83</f>
        <v>0</v>
      </c>
      <c r="CF95" s="317"/>
      <c r="CG95" s="130"/>
      <c r="CH95" s="317"/>
      <c r="CI95" s="698"/>
      <c r="CJ95" s="317"/>
      <c r="CK95" s="130"/>
      <c r="CL95" s="314">
        <f t="shared" si="666"/>
        <v>0</v>
      </c>
      <c r="CM95" s="317"/>
      <c r="CN95" s="130"/>
      <c r="CO95" s="317"/>
      <c r="CP95" s="698"/>
      <c r="CQ95" s="317"/>
      <c r="CR95" s="130"/>
      <c r="CS95" s="314">
        <f t="shared" si="666"/>
        <v>-5</v>
      </c>
      <c r="CT95" s="317">
        <f t="shared" ref="CT95:CZ95" si="667">CT71-CT83</f>
        <v>0</v>
      </c>
      <c r="CU95" s="130">
        <f t="shared" si="667"/>
        <v>0</v>
      </c>
      <c r="CV95" s="317">
        <f t="shared" ref="CV95" si="668">CV71-CV83</f>
        <v>0</v>
      </c>
      <c r="CW95" s="698">
        <f t="shared" si="667"/>
        <v>0</v>
      </c>
      <c r="CX95" s="317">
        <f t="shared" ref="CX95" si="669">CX71-CX83</f>
        <v>0</v>
      </c>
      <c r="CY95" s="130">
        <f t="shared" si="667"/>
        <v>0</v>
      </c>
      <c r="CZ95" s="314">
        <f t="shared" si="667"/>
        <v>0</v>
      </c>
      <c r="DA95" s="317">
        <f t="shared" si="666"/>
        <v>0</v>
      </c>
      <c r="DB95" s="130">
        <f t="shared" si="666"/>
        <v>0</v>
      </c>
      <c r="DC95" s="317">
        <f t="shared" si="666"/>
        <v>0</v>
      </c>
      <c r="DD95" s="698">
        <f t="shared" si="666"/>
        <v>0</v>
      </c>
      <c r="DE95" s="317">
        <f t="shared" si="666"/>
        <v>0</v>
      </c>
      <c r="DF95" s="130">
        <f t="shared" si="666"/>
        <v>0</v>
      </c>
      <c r="DG95" s="314">
        <f t="shared" si="666"/>
        <v>0</v>
      </c>
      <c r="DH95" s="130">
        <f t="shared" ref="DH95:DN95" si="670">DH71-DH83</f>
        <v>0</v>
      </c>
      <c r="DI95" s="130">
        <f t="shared" si="670"/>
        <v>0</v>
      </c>
      <c r="DJ95" s="317">
        <f t="shared" si="670"/>
        <v>0</v>
      </c>
      <c r="DK95" s="698">
        <f t="shared" si="670"/>
        <v>0</v>
      </c>
      <c r="DL95" s="317">
        <f t="shared" si="670"/>
        <v>0</v>
      </c>
      <c r="DM95" s="130">
        <f t="shared" si="670"/>
        <v>0</v>
      </c>
      <c r="DN95" s="314">
        <f t="shared" si="670"/>
        <v>0</v>
      </c>
      <c r="DO95" s="130">
        <f t="shared" ref="DO95:DP95" si="671">DO71-DO83</f>
        <v>0</v>
      </c>
      <c r="DP95" s="130">
        <f t="shared" si="671"/>
        <v>0</v>
      </c>
      <c r="DQ95" s="617">
        <f t="shared" si="666"/>
        <v>0</v>
      </c>
      <c r="DR95" s="618">
        <f t="shared" si="666"/>
        <v>0</v>
      </c>
      <c r="DS95" s="1878">
        <f t="shared" si="666"/>
        <v>0</v>
      </c>
      <c r="DT95" s="617">
        <f t="shared" si="666"/>
        <v>0</v>
      </c>
      <c r="DU95" s="651">
        <f t="shared" ref="DU95:EA95" si="672">DU71-DU83</f>
        <v>0</v>
      </c>
      <c r="DV95" s="617">
        <f t="shared" si="672"/>
        <v>0</v>
      </c>
      <c r="DW95" s="617">
        <f t="shared" si="672"/>
        <v>0</v>
      </c>
      <c r="DX95" s="617">
        <f t="shared" si="672"/>
        <v>0</v>
      </c>
      <c r="DY95" s="618">
        <f t="shared" si="672"/>
        <v>0</v>
      </c>
      <c r="DZ95" s="617">
        <f t="shared" si="672"/>
        <v>0</v>
      </c>
      <c r="EA95" s="617">
        <f t="shared" si="672"/>
        <v>0</v>
      </c>
      <c r="EB95" s="651">
        <f t="shared" ref="EB95:EH95" si="673">EB71-EB83</f>
        <v>0</v>
      </c>
      <c r="EC95" s="617">
        <f t="shared" si="673"/>
        <v>0</v>
      </c>
      <c r="ED95" s="617">
        <f t="shared" si="673"/>
        <v>0</v>
      </c>
      <c r="EE95" s="617">
        <f t="shared" si="673"/>
        <v>0</v>
      </c>
      <c r="EF95" s="618">
        <f t="shared" si="673"/>
        <v>0</v>
      </c>
      <c r="EG95" s="617">
        <f t="shared" si="673"/>
        <v>0</v>
      </c>
      <c r="EH95" s="617">
        <f t="shared" si="673"/>
        <v>0</v>
      </c>
      <c r="EI95" s="651">
        <f t="shared" ref="EI95:EO95" si="674">EI71-EI83</f>
        <v>0</v>
      </c>
      <c r="EJ95" s="617">
        <f t="shared" si="674"/>
        <v>0</v>
      </c>
      <c r="EK95" s="617">
        <f t="shared" si="674"/>
        <v>0</v>
      </c>
      <c r="EL95" s="617">
        <f t="shared" si="674"/>
        <v>0</v>
      </c>
      <c r="EM95" s="618">
        <f t="shared" si="674"/>
        <v>0</v>
      </c>
      <c r="EN95" s="617">
        <f t="shared" si="674"/>
        <v>0</v>
      </c>
      <c r="EO95" s="617">
        <f t="shared" si="674"/>
        <v>0</v>
      </c>
      <c r="EP95" s="651">
        <f t="shared" ref="EP95:EV95" si="675">EP71-EP83</f>
        <v>0</v>
      </c>
      <c r="EQ95" s="617">
        <f t="shared" si="675"/>
        <v>0</v>
      </c>
      <c r="ER95" s="617">
        <f t="shared" si="675"/>
        <v>0</v>
      </c>
      <c r="ES95" s="617">
        <f t="shared" si="675"/>
        <v>0</v>
      </c>
      <c r="ET95" s="618">
        <f t="shared" si="675"/>
        <v>0</v>
      </c>
      <c r="EU95" s="617">
        <f t="shared" si="675"/>
        <v>0</v>
      </c>
      <c r="EV95" s="617">
        <f t="shared" si="675"/>
        <v>0</v>
      </c>
      <c r="EW95" s="651">
        <f>EW71-EW83</f>
        <v>0</v>
      </c>
    </row>
    <row r="96" spans="1:153" ht="10.199999999999999" customHeight="1">
      <c r="A96" s="48" t="s">
        <v>7</v>
      </c>
      <c r="B96" s="319">
        <f t="shared" ref="B96:AO96" si="676">+B94+B95</f>
        <v>4625</v>
      </c>
      <c r="C96" s="319">
        <f t="shared" si="676"/>
        <v>2175</v>
      </c>
      <c r="D96" s="319">
        <f t="shared" si="676"/>
        <v>2146</v>
      </c>
      <c r="E96" s="319">
        <f t="shared" si="676"/>
        <v>1404</v>
      </c>
      <c r="F96" s="319">
        <f t="shared" si="676"/>
        <v>1513</v>
      </c>
      <c r="G96" s="319">
        <f t="shared" si="676"/>
        <v>1634</v>
      </c>
      <c r="H96" s="319">
        <f t="shared" si="676"/>
        <v>1699</v>
      </c>
      <c r="I96" s="319">
        <f t="shared" si="676"/>
        <v>1609</v>
      </c>
      <c r="J96" s="319">
        <f>+J94+J95</f>
        <v>1768</v>
      </c>
      <c r="K96" s="319">
        <f t="shared" si="676"/>
        <v>1538</v>
      </c>
      <c r="L96" s="319">
        <f t="shared" si="676"/>
        <v>1843</v>
      </c>
      <c r="M96" s="319">
        <f t="shared" si="676"/>
        <v>2015</v>
      </c>
      <c r="N96" s="319"/>
      <c r="O96" s="92"/>
      <c r="P96" s="319"/>
      <c r="Q96" s="699"/>
      <c r="R96" s="319"/>
      <c r="S96" s="92"/>
      <c r="T96" s="1268">
        <f t="shared" si="676"/>
        <v>1888</v>
      </c>
      <c r="U96" s="319"/>
      <c r="V96" s="92"/>
      <c r="W96" s="319"/>
      <c r="X96" s="699"/>
      <c r="Y96" s="319"/>
      <c r="Z96" s="92"/>
      <c r="AA96" s="1268">
        <f t="shared" si="676"/>
        <v>2107</v>
      </c>
      <c r="AB96" s="319"/>
      <c r="AC96" s="92"/>
      <c r="AD96" s="319"/>
      <c r="AE96" s="699"/>
      <c r="AF96" s="319"/>
      <c r="AG96" s="92"/>
      <c r="AH96" s="1268">
        <f t="shared" si="676"/>
        <v>2442</v>
      </c>
      <c r="AI96" s="319"/>
      <c r="AJ96" s="92"/>
      <c r="AK96" s="319"/>
      <c r="AL96" s="699"/>
      <c r="AM96" s="319"/>
      <c r="AN96" s="92"/>
      <c r="AO96" s="1268">
        <f t="shared" si="676"/>
        <v>2250</v>
      </c>
      <c r="AP96" s="319"/>
      <c r="AQ96" s="92"/>
      <c r="AR96" s="319"/>
      <c r="AS96" s="699"/>
      <c r="AT96" s="319"/>
      <c r="AU96" s="92"/>
      <c r="AV96" s="1268">
        <f t="shared" ref="AV96:DG96" si="677">+AV94+AV95</f>
        <v>2298</v>
      </c>
      <c r="AW96" s="319"/>
      <c r="AX96" s="92"/>
      <c r="AY96" s="319"/>
      <c r="AZ96" s="699"/>
      <c r="BA96" s="319"/>
      <c r="BB96" s="92"/>
      <c r="BC96" s="1268">
        <f>+BC94+BC95</f>
        <v>2298</v>
      </c>
      <c r="BD96" s="319"/>
      <c r="BE96" s="92"/>
      <c r="BF96" s="319"/>
      <c r="BG96" s="699"/>
      <c r="BH96" s="319"/>
      <c r="BI96" s="92"/>
      <c r="BJ96" s="1268">
        <f t="shared" si="677"/>
        <v>2444</v>
      </c>
      <c r="BK96" s="319"/>
      <c r="BL96" s="92"/>
      <c r="BM96" s="319"/>
      <c r="BN96" s="699"/>
      <c r="BO96" s="319"/>
      <c r="BP96" s="92"/>
      <c r="BQ96" s="1268">
        <f t="shared" si="677"/>
        <v>2927</v>
      </c>
      <c r="BR96" s="319"/>
      <c r="BS96" s="92"/>
      <c r="BT96" s="319"/>
      <c r="BU96" s="699"/>
      <c r="BV96" s="319"/>
      <c r="BW96" s="92"/>
      <c r="BX96" s="1268"/>
      <c r="BY96" s="319"/>
      <c r="BZ96" s="92"/>
      <c r="CA96" s="319"/>
      <c r="CB96" s="699"/>
      <c r="CC96" s="319"/>
      <c r="CD96" s="92"/>
      <c r="CE96" s="1268">
        <f t="shared" si="677"/>
        <v>2831</v>
      </c>
      <c r="CF96" s="319"/>
      <c r="CG96" s="92"/>
      <c r="CH96" s="319"/>
      <c r="CI96" s="699"/>
      <c r="CJ96" s="319"/>
      <c r="CK96" s="92"/>
      <c r="CL96" s="1268">
        <f t="shared" si="677"/>
        <v>2325</v>
      </c>
      <c r="CM96" s="319"/>
      <c r="CN96" s="92"/>
      <c r="CO96" s="319"/>
      <c r="CP96" s="699"/>
      <c r="CQ96" s="319"/>
      <c r="CR96" s="92"/>
      <c r="CS96" s="1268">
        <f t="shared" si="677"/>
        <v>2716</v>
      </c>
      <c r="CT96" s="319">
        <f t="shared" ref="CT96:CZ96" si="678">+CT94+CT95</f>
        <v>495</v>
      </c>
      <c r="CU96" s="92">
        <f t="shared" si="678"/>
        <v>547</v>
      </c>
      <c r="CV96" s="319">
        <f t="shared" ref="CV96" si="679">+CV94+CV95</f>
        <v>567</v>
      </c>
      <c r="CW96" s="699">
        <f t="shared" si="678"/>
        <v>633</v>
      </c>
      <c r="CX96" s="319">
        <f t="shared" ref="CX96" si="680">+CX94+CX95</f>
        <v>1042</v>
      </c>
      <c r="CY96" s="92">
        <f t="shared" si="678"/>
        <v>1200</v>
      </c>
      <c r="CZ96" s="1268">
        <f t="shared" si="678"/>
        <v>2242</v>
      </c>
      <c r="DA96" s="319">
        <f t="shared" si="677"/>
        <v>513</v>
      </c>
      <c r="DB96" s="92">
        <f t="shared" si="677"/>
        <v>786</v>
      </c>
      <c r="DC96" s="319">
        <f t="shared" si="677"/>
        <v>565</v>
      </c>
      <c r="DD96" s="699">
        <f t="shared" si="677"/>
        <v>988.99999999999989</v>
      </c>
      <c r="DE96" s="319">
        <f t="shared" si="677"/>
        <v>1299</v>
      </c>
      <c r="DF96" s="92">
        <f t="shared" si="677"/>
        <v>1554</v>
      </c>
      <c r="DG96" s="1268">
        <f t="shared" si="677"/>
        <v>2853</v>
      </c>
      <c r="DH96" s="92">
        <f t="shared" ref="DH96:DN96" si="681">+DH94+DH95</f>
        <v>626</v>
      </c>
      <c r="DI96" s="92">
        <f t="shared" si="681"/>
        <v>635.99999999999989</v>
      </c>
      <c r="DJ96" s="319">
        <f t="shared" si="681"/>
        <v>653</v>
      </c>
      <c r="DK96" s="699">
        <f t="shared" si="681"/>
        <v>1260.0000000000002</v>
      </c>
      <c r="DL96" s="319">
        <f t="shared" si="681"/>
        <v>1262</v>
      </c>
      <c r="DM96" s="92">
        <f t="shared" si="681"/>
        <v>1913</v>
      </c>
      <c r="DN96" s="1268">
        <f t="shared" si="681"/>
        <v>3175</v>
      </c>
      <c r="DO96" s="92">
        <f t="shared" ref="DO96:DP96" si="682">+DO94+DO95</f>
        <v>686</v>
      </c>
      <c r="DP96" s="92">
        <f t="shared" si="682"/>
        <v>656</v>
      </c>
      <c r="DQ96" s="622">
        <f t="shared" ref="DQ96:DT96" si="683">+DQ94+DQ95</f>
        <v>735.9016206229868</v>
      </c>
      <c r="DR96" s="623">
        <f t="shared" si="683"/>
        <v>1555.0387065134578</v>
      </c>
      <c r="DS96" s="1874">
        <f t="shared" si="683"/>
        <v>1342</v>
      </c>
      <c r="DT96" s="622">
        <f t="shared" si="683"/>
        <v>2290.9403271364449</v>
      </c>
      <c r="DU96" s="652">
        <f>+DU94+DU95</f>
        <v>3632.9403271364445</v>
      </c>
      <c r="DV96" s="622">
        <f t="shared" ref="DV96:EA96" si="684">+DV94+DV95</f>
        <v>919.04405631801524</v>
      </c>
      <c r="DW96" s="622">
        <f t="shared" si="684"/>
        <v>1009.2082133299646</v>
      </c>
      <c r="DX96" s="622">
        <f t="shared" si="684"/>
        <v>1003.6430871132917</v>
      </c>
      <c r="DY96" s="623">
        <f t="shared" si="684"/>
        <v>1117.6713777123841</v>
      </c>
      <c r="DZ96" s="622">
        <f t="shared" si="684"/>
        <v>1928.2522696479798</v>
      </c>
      <c r="EA96" s="622">
        <f t="shared" si="684"/>
        <v>2121.3144648256757</v>
      </c>
      <c r="EB96" s="652">
        <f>+EB94+EB95</f>
        <v>4049.5667344736557</v>
      </c>
      <c r="EC96" s="622">
        <f t="shared" ref="EC96:EH96" si="685">+EC94+EC95</f>
        <v>998.0189926578596</v>
      </c>
      <c r="ED96" s="622">
        <f t="shared" si="685"/>
        <v>1096.7622912713709</v>
      </c>
      <c r="EE96" s="622">
        <f t="shared" si="685"/>
        <v>1090.9407759784406</v>
      </c>
      <c r="EF96" s="623">
        <f t="shared" si="685"/>
        <v>1226.767168869641</v>
      </c>
      <c r="EG96" s="622">
        <f t="shared" si="685"/>
        <v>2094.7812839292305</v>
      </c>
      <c r="EH96" s="622">
        <f t="shared" si="685"/>
        <v>2317.7079448480818</v>
      </c>
      <c r="EI96" s="652">
        <f>+EI94+EI95</f>
        <v>4412.4892287773127</v>
      </c>
      <c r="EJ96" s="622">
        <f t="shared" ref="EJ96:EO96" si="686">+EJ94+EJ95</f>
        <v>1070.360711612283</v>
      </c>
      <c r="EK96" s="622">
        <f t="shared" si="686"/>
        <v>1137.4140276331932</v>
      </c>
      <c r="EL96" s="622">
        <f t="shared" si="686"/>
        <v>1131.2893591740267</v>
      </c>
      <c r="EM96" s="623">
        <f t="shared" si="686"/>
        <v>1272.9435271586676</v>
      </c>
      <c r="EN96" s="622">
        <f t="shared" si="686"/>
        <v>2207.7747392454762</v>
      </c>
      <c r="EO96" s="622">
        <f t="shared" si="686"/>
        <v>2404.2328863326943</v>
      </c>
      <c r="EP96" s="652">
        <f>+EP94+EP95</f>
        <v>4612.0076255781696</v>
      </c>
      <c r="EQ96" s="622">
        <f t="shared" ref="EQ96:EV96" si="687">+EQ94+EQ95</f>
        <v>1106.1487659272141</v>
      </c>
      <c r="ER96" s="622">
        <f t="shared" si="687"/>
        <v>1176.632893519755</v>
      </c>
      <c r="ES96" s="622">
        <f t="shared" si="687"/>
        <v>1170.2275318231084</v>
      </c>
      <c r="ET96" s="623">
        <f t="shared" si="687"/>
        <v>1317.6462150936006</v>
      </c>
      <c r="EU96" s="622">
        <f t="shared" si="687"/>
        <v>2282.7816594469691</v>
      </c>
      <c r="EV96" s="622">
        <f t="shared" si="687"/>
        <v>2487.873746916709</v>
      </c>
      <c r="EW96" s="652">
        <f>+EW94+EW95</f>
        <v>4770.6554063636777</v>
      </c>
    </row>
    <row r="97" spans="1:153" ht="10.199999999999999" customHeight="1">
      <c r="A97" s="43" t="s">
        <v>8</v>
      </c>
      <c r="B97" s="530">
        <v>0</v>
      </c>
      <c r="C97" s="530">
        <v>0</v>
      </c>
      <c r="D97" s="530">
        <v>0</v>
      </c>
      <c r="E97" s="530">
        <v>0</v>
      </c>
      <c r="F97" s="530">
        <v>0</v>
      </c>
      <c r="G97" s="530">
        <v>0</v>
      </c>
      <c r="H97" s="530">
        <v>0</v>
      </c>
      <c r="I97" s="530">
        <v>0</v>
      </c>
      <c r="J97" s="530">
        <v>0</v>
      </c>
      <c r="K97" s="530">
        <v>0</v>
      </c>
      <c r="L97" s="530">
        <v>0</v>
      </c>
      <c r="M97" s="530">
        <v>0</v>
      </c>
      <c r="N97" s="530"/>
      <c r="O97" s="834"/>
      <c r="P97" s="530"/>
      <c r="Q97" s="1095"/>
      <c r="R97" s="530"/>
      <c r="S97" s="834"/>
      <c r="T97" s="1278">
        <v>0</v>
      </c>
      <c r="U97" s="530"/>
      <c r="V97" s="834"/>
      <c r="W97" s="530"/>
      <c r="X97" s="1095"/>
      <c r="Y97" s="530"/>
      <c r="Z97" s="834"/>
      <c r="AA97" s="1278">
        <v>0</v>
      </c>
      <c r="AB97" s="530"/>
      <c r="AC97" s="834"/>
      <c r="AD97" s="530"/>
      <c r="AE97" s="1095"/>
      <c r="AF97" s="530"/>
      <c r="AG97" s="834"/>
      <c r="AH97" s="1278">
        <v>0</v>
      </c>
      <c r="AI97" s="530"/>
      <c r="AJ97" s="834"/>
      <c r="AK97" s="530"/>
      <c r="AL97" s="1095"/>
      <c r="AM97" s="530"/>
      <c r="AN97" s="834"/>
      <c r="AO97" s="1278">
        <v>0</v>
      </c>
      <c r="AP97" s="530"/>
      <c r="AQ97" s="834"/>
      <c r="AR97" s="530"/>
      <c r="AS97" s="1095"/>
      <c r="AT97" s="530"/>
      <c r="AU97" s="834"/>
      <c r="AV97" s="1278">
        <v>0</v>
      </c>
      <c r="AW97" s="530"/>
      <c r="AX97" s="834"/>
      <c r="AY97" s="530"/>
      <c r="AZ97" s="1095"/>
      <c r="BA97" s="530"/>
      <c r="BB97" s="834"/>
      <c r="BC97" s="1278">
        <v>0</v>
      </c>
      <c r="BD97" s="530"/>
      <c r="BE97" s="834"/>
      <c r="BF97" s="530"/>
      <c r="BG97" s="1095"/>
      <c r="BH97" s="530"/>
      <c r="BI97" s="834"/>
      <c r="BJ97" s="1278">
        <v>0</v>
      </c>
      <c r="BK97" s="530"/>
      <c r="BL97" s="834"/>
      <c r="BM97" s="530"/>
      <c r="BN97" s="1095"/>
      <c r="BO97" s="530"/>
      <c r="BP97" s="834"/>
      <c r="BQ97" s="1278">
        <v>0</v>
      </c>
      <c r="BR97" s="530"/>
      <c r="BS97" s="834"/>
      <c r="BT97" s="530"/>
      <c r="BU97" s="1095"/>
      <c r="BV97" s="530"/>
      <c r="BW97" s="834"/>
      <c r="BX97" s="1278"/>
      <c r="BY97" s="530"/>
      <c r="BZ97" s="834"/>
      <c r="CA97" s="530"/>
      <c r="CB97" s="1095"/>
      <c r="CC97" s="530"/>
      <c r="CD97" s="834"/>
      <c r="CE97" s="1278">
        <v>0</v>
      </c>
      <c r="CF97" s="530"/>
      <c r="CG97" s="834"/>
      <c r="CH97" s="530"/>
      <c r="CI97" s="1095"/>
      <c r="CJ97" s="530"/>
      <c r="CK97" s="834"/>
      <c r="CL97" s="1278">
        <v>0</v>
      </c>
      <c r="CM97" s="530"/>
      <c r="CN97" s="834"/>
      <c r="CO97" s="530"/>
      <c r="CP97" s="1095"/>
      <c r="CQ97" s="530"/>
      <c r="CR97" s="834"/>
      <c r="CS97" s="1278">
        <v>0</v>
      </c>
      <c r="CT97" s="530">
        <v>0</v>
      </c>
      <c r="CU97" s="834">
        <f>CX97-CT97</f>
        <v>0</v>
      </c>
      <c r="CV97" s="530">
        <v>0</v>
      </c>
      <c r="CW97" s="1095">
        <f>CY97-CV97</f>
        <v>0</v>
      </c>
      <c r="CX97" s="530">
        <v>0</v>
      </c>
      <c r="CY97" s="834">
        <f>CZ97-CX97</f>
        <v>0</v>
      </c>
      <c r="CZ97" s="1278">
        <v>0</v>
      </c>
      <c r="DA97" s="530">
        <v>0</v>
      </c>
      <c r="DB97" s="834">
        <f>DE97-DA97</f>
        <v>0</v>
      </c>
      <c r="DC97" s="530">
        <v>0</v>
      </c>
      <c r="DD97" s="1095">
        <f>DF97-DC97</f>
        <v>0</v>
      </c>
      <c r="DE97" s="530">
        <v>0</v>
      </c>
      <c r="DF97" s="834">
        <f>DG97-DE97</f>
        <v>0</v>
      </c>
      <c r="DG97" s="1278">
        <v>0</v>
      </c>
      <c r="DH97" s="834">
        <v>0</v>
      </c>
      <c r="DI97" s="834">
        <f>DL97-DH97</f>
        <v>0</v>
      </c>
      <c r="DJ97" s="530">
        <f>DM97/2</f>
        <v>0</v>
      </c>
      <c r="DK97" s="1095">
        <f>DM97-DJ97</f>
        <v>0</v>
      </c>
      <c r="DL97" s="530">
        <v>0</v>
      </c>
      <c r="DM97" s="834">
        <f>DN97-DL97</f>
        <v>0</v>
      </c>
      <c r="DN97" s="1278">
        <v>0</v>
      </c>
      <c r="DO97" s="834">
        <v>0</v>
      </c>
      <c r="DP97" s="834">
        <f>DS97-DO97</f>
        <v>0</v>
      </c>
      <c r="DQ97" s="860">
        <f>DT97/2</f>
        <v>0</v>
      </c>
      <c r="DR97" s="1109">
        <f>DT97-DQ97</f>
        <v>0</v>
      </c>
      <c r="DS97" s="1892">
        <v>0</v>
      </c>
      <c r="DT97" s="860">
        <f>DU97-DS97</f>
        <v>0</v>
      </c>
      <c r="DU97" s="748">
        <v>0</v>
      </c>
      <c r="DV97" s="860">
        <f>DZ97/2</f>
        <v>0</v>
      </c>
      <c r="DW97" s="860">
        <f>DZ97-DV97</f>
        <v>0</v>
      </c>
      <c r="DX97" s="860">
        <f>EA97/2</f>
        <v>0</v>
      </c>
      <c r="DY97" s="1109">
        <f>EA97-DX97</f>
        <v>0</v>
      </c>
      <c r="DZ97" s="860">
        <f>EB97/2</f>
        <v>0</v>
      </c>
      <c r="EA97" s="860">
        <f>EB97-DZ97</f>
        <v>0</v>
      </c>
      <c r="EB97" s="748">
        <v>0</v>
      </c>
      <c r="EC97" s="860">
        <f>EG97/2</f>
        <v>0</v>
      </c>
      <c r="ED97" s="860">
        <f>EG97-EC97</f>
        <v>0</v>
      </c>
      <c r="EE97" s="860">
        <f>EH97/2</f>
        <v>0</v>
      </c>
      <c r="EF97" s="1109">
        <f>EH97-EE97</f>
        <v>0</v>
      </c>
      <c r="EG97" s="860">
        <f>EI97/2</f>
        <v>0</v>
      </c>
      <c r="EH97" s="860">
        <f>EI97-EG97</f>
        <v>0</v>
      </c>
      <c r="EI97" s="748">
        <v>0</v>
      </c>
      <c r="EJ97" s="860">
        <f>EN97/2</f>
        <v>0</v>
      </c>
      <c r="EK97" s="860">
        <f>EN97-EJ97</f>
        <v>0</v>
      </c>
      <c r="EL97" s="860">
        <f>EO97/2</f>
        <v>0</v>
      </c>
      <c r="EM97" s="1109">
        <f>EO97-EL97</f>
        <v>0</v>
      </c>
      <c r="EN97" s="860">
        <f>EP97/2</f>
        <v>0</v>
      </c>
      <c r="EO97" s="860">
        <f>EP97-EN97</f>
        <v>0</v>
      </c>
      <c r="EP97" s="748">
        <v>0</v>
      </c>
      <c r="EQ97" s="860">
        <f>EU97/2</f>
        <v>0</v>
      </c>
      <c r="ER97" s="860">
        <f>EU97-EQ97</f>
        <v>0</v>
      </c>
      <c r="ES97" s="860">
        <f>EV97/2</f>
        <v>0</v>
      </c>
      <c r="ET97" s="1109">
        <f>EV97-ES97</f>
        <v>0</v>
      </c>
      <c r="EU97" s="860">
        <f>EW97/2</f>
        <v>0</v>
      </c>
      <c r="EV97" s="860">
        <f>EW97-EU97</f>
        <v>0</v>
      </c>
      <c r="EW97" s="748">
        <v>0</v>
      </c>
    </row>
    <row r="98" spans="1:153" ht="10.199999999999999" customHeight="1">
      <c r="A98" s="48" t="s">
        <v>146</v>
      </c>
      <c r="B98" s="319">
        <f t="shared" ref="B98:AH98" si="688">+B96-B97</f>
        <v>4625</v>
      </c>
      <c r="C98" s="319">
        <f t="shared" si="688"/>
        <v>2175</v>
      </c>
      <c r="D98" s="319">
        <f t="shared" si="688"/>
        <v>2146</v>
      </c>
      <c r="E98" s="319">
        <f>+E96-E97</f>
        <v>1404</v>
      </c>
      <c r="F98" s="319">
        <f t="shared" si="688"/>
        <v>1513</v>
      </c>
      <c r="G98" s="319">
        <f t="shared" si="688"/>
        <v>1634</v>
      </c>
      <c r="H98" s="319">
        <f t="shared" si="688"/>
        <v>1699</v>
      </c>
      <c r="I98" s="319">
        <f t="shared" si="688"/>
        <v>1609</v>
      </c>
      <c r="J98" s="319">
        <f>+J96-J97</f>
        <v>1768</v>
      </c>
      <c r="K98" s="319">
        <f t="shared" si="688"/>
        <v>1538</v>
      </c>
      <c r="L98" s="319">
        <f t="shared" si="688"/>
        <v>1843</v>
      </c>
      <c r="M98" s="319">
        <f>+M96-M97</f>
        <v>2015</v>
      </c>
      <c r="N98" s="319">
        <f>N72</f>
        <v>434</v>
      </c>
      <c r="O98" s="319">
        <f t="shared" ref="O98:S98" si="689">O72</f>
        <v>442</v>
      </c>
      <c r="P98" s="319">
        <f t="shared" si="689"/>
        <v>464</v>
      </c>
      <c r="Q98" s="760">
        <f t="shared" si="689"/>
        <v>587</v>
      </c>
      <c r="R98" s="319">
        <f t="shared" si="689"/>
        <v>876</v>
      </c>
      <c r="S98" s="319">
        <f t="shared" si="689"/>
        <v>1051</v>
      </c>
      <c r="T98" s="1268">
        <f>+T96-T97</f>
        <v>1888</v>
      </c>
      <c r="U98" s="319">
        <f>U72</f>
        <v>471</v>
      </c>
      <c r="V98" s="319">
        <f t="shared" ref="V98:Z98" si="690">V72</f>
        <v>483</v>
      </c>
      <c r="W98" s="319">
        <f t="shared" si="690"/>
        <v>514</v>
      </c>
      <c r="X98" s="760">
        <f t="shared" si="690"/>
        <v>682</v>
      </c>
      <c r="Y98" s="319">
        <f t="shared" si="690"/>
        <v>954</v>
      </c>
      <c r="Z98" s="319">
        <f t="shared" si="690"/>
        <v>1196</v>
      </c>
      <c r="AA98" s="1268">
        <f>+AA96-AA97</f>
        <v>2107</v>
      </c>
      <c r="AB98" s="319">
        <f>AB72</f>
        <v>525</v>
      </c>
      <c r="AC98" s="319">
        <f t="shared" ref="AC98:AG98" si="691">AC72</f>
        <v>560</v>
      </c>
      <c r="AD98" s="319">
        <f t="shared" si="691"/>
        <v>567</v>
      </c>
      <c r="AE98" s="760">
        <f t="shared" si="691"/>
        <v>814</v>
      </c>
      <c r="AF98" s="319">
        <f t="shared" si="691"/>
        <v>1085</v>
      </c>
      <c r="AG98" s="319">
        <f t="shared" si="691"/>
        <v>1381</v>
      </c>
      <c r="AH98" s="1268">
        <f t="shared" si="688"/>
        <v>2442</v>
      </c>
      <c r="AI98" s="319">
        <f>AI72</f>
        <v>512</v>
      </c>
      <c r="AJ98" s="319">
        <f t="shared" ref="AJ98:AN98" si="692">AJ72</f>
        <v>561</v>
      </c>
      <c r="AK98" s="319">
        <f t="shared" si="692"/>
        <v>507</v>
      </c>
      <c r="AL98" s="760">
        <f t="shared" si="692"/>
        <v>714</v>
      </c>
      <c r="AM98" s="319">
        <f t="shared" si="692"/>
        <v>1073</v>
      </c>
      <c r="AN98" s="319">
        <f t="shared" si="692"/>
        <v>1221</v>
      </c>
      <c r="AO98" s="1268">
        <f>AO72-AO84</f>
        <v>2250</v>
      </c>
      <c r="AP98" s="319">
        <f>AP72</f>
        <v>551</v>
      </c>
      <c r="AQ98" s="319">
        <f t="shared" ref="AQ98:AU98" si="693">AQ72</f>
        <v>535</v>
      </c>
      <c r="AR98" s="319">
        <f t="shared" si="693"/>
        <v>517</v>
      </c>
      <c r="AS98" s="760">
        <f t="shared" si="693"/>
        <v>695</v>
      </c>
      <c r="AT98" s="319">
        <f t="shared" si="693"/>
        <v>1086</v>
      </c>
      <c r="AU98" s="319">
        <f t="shared" si="693"/>
        <v>1212</v>
      </c>
      <c r="AV98" s="1268">
        <f t="shared" ref="AV98:CY98" si="694">+AV96-AV97</f>
        <v>2298</v>
      </c>
      <c r="AW98" s="319">
        <f>AW72</f>
        <v>551</v>
      </c>
      <c r="AX98" s="319">
        <f t="shared" ref="AX98:BB98" si="695">AX72</f>
        <v>535</v>
      </c>
      <c r="AY98" s="319">
        <f t="shared" si="695"/>
        <v>517</v>
      </c>
      <c r="AZ98" s="760">
        <f t="shared" si="695"/>
        <v>695</v>
      </c>
      <c r="BA98" s="319">
        <f t="shared" si="695"/>
        <v>1086</v>
      </c>
      <c r="BB98" s="319">
        <f t="shared" si="695"/>
        <v>1212</v>
      </c>
      <c r="BC98" s="1268">
        <f>+BC96-BC97</f>
        <v>2298</v>
      </c>
      <c r="BD98" s="319">
        <f>BD72</f>
        <v>564</v>
      </c>
      <c r="BE98" s="319">
        <f t="shared" ref="BE98:BI98" si="696">BE72</f>
        <v>598</v>
      </c>
      <c r="BF98" s="319">
        <f t="shared" si="696"/>
        <v>522</v>
      </c>
      <c r="BG98" s="760">
        <f t="shared" si="696"/>
        <v>760</v>
      </c>
      <c r="BH98" s="319">
        <f t="shared" si="696"/>
        <v>1162</v>
      </c>
      <c r="BI98" s="319">
        <f t="shared" si="696"/>
        <v>1282</v>
      </c>
      <c r="BJ98" s="1268">
        <f t="shared" si="694"/>
        <v>2444</v>
      </c>
      <c r="BK98" s="319">
        <f>BK72</f>
        <v>720</v>
      </c>
      <c r="BL98" s="319">
        <f t="shared" ref="BL98:BP98" si="697">BL72</f>
        <v>542</v>
      </c>
      <c r="BM98" s="319">
        <f t="shared" si="697"/>
        <v>730</v>
      </c>
      <c r="BN98" s="760">
        <f t="shared" si="697"/>
        <v>935</v>
      </c>
      <c r="BO98" s="319">
        <f t="shared" si="697"/>
        <v>1262</v>
      </c>
      <c r="BP98" s="319">
        <f t="shared" si="697"/>
        <v>1665</v>
      </c>
      <c r="BQ98" s="1268">
        <f t="shared" si="694"/>
        <v>2927</v>
      </c>
      <c r="BR98" s="319">
        <f t="shared" ref="BR98:BX99" si="698">BK98</f>
        <v>720</v>
      </c>
      <c r="BS98" s="123">
        <f t="shared" si="698"/>
        <v>542</v>
      </c>
      <c r="BT98" s="319">
        <f t="shared" si="698"/>
        <v>730</v>
      </c>
      <c r="BU98" s="692">
        <f t="shared" si="698"/>
        <v>935</v>
      </c>
      <c r="BV98" s="319">
        <f t="shared" si="698"/>
        <v>1262</v>
      </c>
      <c r="BW98" s="123">
        <f t="shared" si="698"/>
        <v>1665</v>
      </c>
      <c r="BX98" s="1268">
        <f t="shared" si="698"/>
        <v>2927</v>
      </c>
      <c r="BY98" s="319">
        <f>BY72</f>
        <v>828</v>
      </c>
      <c r="BZ98" s="319">
        <f t="shared" ref="BZ98:CD98" si="699">BZ72</f>
        <v>593</v>
      </c>
      <c r="CA98" s="319">
        <f t="shared" si="699"/>
        <v>623</v>
      </c>
      <c r="CB98" s="760">
        <f t="shared" si="699"/>
        <v>787</v>
      </c>
      <c r="CC98" s="319">
        <f t="shared" si="699"/>
        <v>1421</v>
      </c>
      <c r="CD98" s="319">
        <f t="shared" si="699"/>
        <v>1410</v>
      </c>
      <c r="CE98" s="1268">
        <f>+CE96-CE97</f>
        <v>2831</v>
      </c>
      <c r="CF98" s="319">
        <f>CF72</f>
        <v>597</v>
      </c>
      <c r="CG98" s="319">
        <f t="shared" ref="CG98:CK98" si="700">CG72</f>
        <v>454</v>
      </c>
      <c r="CH98" s="319">
        <f t="shared" si="700"/>
        <v>590</v>
      </c>
      <c r="CI98" s="760">
        <f t="shared" si="700"/>
        <v>684</v>
      </c>
      <c r="CJ98" s="319">
        <f t="shared" si="700"/>
        <v>1051</v>
      </c>
      <c r="CK98" s="319">
        <f t="shared" si="700"/>
        <v>1274</v>
      </c>
      <c r="CL98" s="1268">
        <f t="shared" si="694"/>
        <v>2325</v>
      </c>
      <c r="CM98" s="319">
        <f>CM72</f>
        <v>585</v>
      </c>
      <c r="CN98" s="319">
        <f t="shared" ref="CN98:CR98" si="701">CN72</f>
        <v>571</v>
      </c>
      <c r="CO98" s="319">
        <f t="shared" si="701"/>
        <v>484</v>
      </c>
      <c r="CP98" s="760">
        <f t="shared" si="701"/>
        <v>1076</v>
      </c>
      <c r="CQ98" s="319">
        <f t="shared" si="701"/>
        <v>1156</v>
      </c>
      <c r="CR98" s="319">
        <f t="shared" si="701"/>
        <v>1560</v>
      </c>
      <c r="CS98" s="1268">
        <f t="shared" si="694"/>
        <v>2716</v>
      </c>
      <c r="CT98" s="319">
        <f>+CT96-CT97</f>
        <v>495</v>
      </c>
      <c r="CU98" s="123">
        <f t="shared" si="694"/>
        <v>547</v>
      </c>
      <c r="CV98" s="319">
        <f>+CV96-CV97</f>
        <v>567</v>
      </c>
      <c r="CW98" s="692">
        <f t="shared" si="694"/>
        <v>633</v>
      </c>
      <c r="CX98" s="319">
        <f>+CX96-CX97</f>
        <v>1042</v>
      </c>
      <c r="CY98" s="123">
        <f t="shared" si="694"/>
        <v>1200</v>
      </c>
      <c r="CZ98" s="1268">
        <f t="shared" ref="CZ98" si="702">+CZ96-CZ97</f>
        <v>2242</v>
      </c>
      <c r="DA98" s="319">
        <f t="shared" ref="DA98:DB98" si="703">+DA96-DA97</f>
        <v>513</v>
      </c>
      <c r="DB98" s="123">
        <f t="shared" si="703"/>
        <v>786</v>
      </c>
      <c r="DC98" s="319">
        <f>+DC96-DC97</f>
        <v>565</v>
      </c>
      <c r="DD98" s="692">
        <f t="shared" ref="DD98" si="704">+DD96-DD97</f>
        <v>988.99999999999989</v>
      </c>
      <c r="DE98" s="319">
        <f>+DE96-DE97</f>
        <v>1299</v>
      </c>
      <c r="DF98" s="123">
        <f t="shared" ref="DF98:DG98" si="705">+DF96-DF97</f>
        <v>1554</v>
      </c>
      <c r="DG98" s="1268">
        <f t="shared" si="705"/>
        <v>2853</v>
      </c>
      <c r="DH98" s="123">
        <f t="shared" ref="DH98:DN98" si="706">+DH96-DH97</f>
        <v>626</v>
      </c>
      <c r="DI98" s="123">
        <f t="shared" si="706"/>
        <v>635.99999999999989</v>
      </c>
      <c r="DJ98" s="319">
        <f t="shared" si="706"/>
        <v>653</v>
      </c>
      <c r="DK98" s="692">
        <f t="shared" si="706"/>
        <v>1260.0000000000002</v>
      </c>
      <c r="DL98" s="319">
        <f>+DL96-DL97</f>
        <v>1262</v>
      </c>
      <c r="DM98" s="123">
        <f t="shared" ref="DM98" si="707">+DM96-DM97</f>
        <v>1913</v>
      </c>
      <c r="DN98" s="1268">
        <f t="shared" si="706"/>
        <v>3175</v>
      </c>
      <c r="DO98" s="123">
        <f t="shared" ref="DO98:DP98" si="708">+DO96-DO97</f>
        <v>686</v>
      </c>
      <c r="DP98" s="123">
        <f t="shared" si="708"/>
        <v>656</v>
      </c>
      <c r="DQ98" s="415">
        <f t="shared" ref="DQ98:DT98" si="709">+DQ96-DQ97</f>
        <v>735.9016206229868</v>
      </c>
      <c r="DR98" s="448">
        <f t="shared" si="709"/>
        <v>1555.0387065134578</v>
      </c>
      <c r="DS98" s="1910">
        <f>+DS96-DS97</f>
        <v>1342</v>
      </c>
      <c r="DT98" s="415">
        <f t="shared" si="709"/>
        <v>2290.9403271364449</v>
      </c>
      <c r="DU98" s="652">
        <f>+DU96-DU97</f>
        <v>3632.9403271364445</v>
      </c>
      <c r="DV98" s="415">
        <f t="shared" ref="DV98:EA98" si="710">+DV96-DV97</f>
        <v>919.04405631801524</v>
      </c>
      <c r="DW98" s="415">
        <f t="shared" si="710"/>
        <v>1009.2082133299646</v>
      </c>
      <c r="DX98" s="415">
        <f t="shared" si="710"/>
        <v>1003.6430871132917</v>
      </c>
      <c r="DY98" s="448">
        <f t="shared" si="710"/>
        <v>1117.6713777123841</v>
      </c>
      <c r="DZ98" s="415">
        <f t="shared" si="710"/>
        <v>1928.2522696479798</v>
      </c>
      <c r="EA98" s="415">
        <f t="shared" si="710"/>
        <v>2121.3144648256757</v>
      </c>
      <c r="EB98" s="652">
        <f>+EB96-EB97</f>
        <v>4049.5667344736557</v>
      </c>
      <c r="EC98" s="415">
        <f t="shared" ref="EC98:EH98" si="711">+EC96-EC97</f>
        <v>998.0189926578596</v>
      </c>
      <c r="ED98" s="415">
        <f t="shared" si="711"/>
        <v>1096.7622912713709</v>
      </c>
      <c r="EE98" s="415">
        <f t="shared" si="711"/>
        <v>1090.9407759784406</v>
      </c>
      <c r="EF98" s="448">
        <f t="shared" si="711"/>
        <v>1226.767168869641</v>
      </c>
      <c r="EG98" s="415">
        <f t="shared" si="711"/>
        <v>2094.7812839292305</v>
      </c>
      <c r="EH98" s="415">
        <f t="shared" si="711"/>
        <v>2317.7079448480818</v>
      </c>
      <c r="EI98" s="652">
        <f>+EI96-EI97</f>
        <v>4412.4892287773127</v>
      </c>
      <c r="EJ98" s="415">
        <f t="shared" ref="EJ98:EO98" si="712">+EJ96-EJ97</f>
        <v>1070.360711612283</v>
      </c>
      <c r="EK98" s="415">
        <f t="shared" si="712"/>
        <v>1137.4140276331932</v>
      </c>
      <c r="EL98" s="415">
        <f t="shared" si="712"/>
        <v>1131.2893591740267</v>
      </c>
      <c r="EM98" s="448">
        <f t="shared" si="712"/>
        <v>1272.9435271586676</v>
      </c>
      <c r="EN98" s="415">
        <f t="shared" si="712"/>
        <v>2207.7747392454762</v>
      </c>
      <c r="EO98" s="415">
        <f t="shared" si="712"/>
        <v>2404.2328863326943</v>
      </c>
      <c r="EP98" s="652">
        <f>+EP96-EP97</f>
        <v>4612.0076255781696</v>
      </c>
      <c r="EQ98" s="415">
        <f t="shared" ref="EQ98:EV98" si="713">+EQ96-EQ97</f>
        <v>1106.1487659272141</v>
      </c>
      <c r="ER98" s="415">
        <f t="shared" si="713"/>
        <v>1176.632893519755</v>
      </c>
      <c r="ES98" s="415">
        <f t="shared" si="713"/>
        <v>1170.2275318231084</v>
      </c>
      <c r="ET98" s="448">
        <f t="shared" si="713"/>
        <v>1317.6462150936006</v>
      </c>
      <c r="EU98" s="415">
        <f t="shared" si="713"/>
        <v>2282.7816594469691</v>
      </c>
      <c r="EV98" s="415">
        <f t="shared" si="713"/>
        <v>2487.873746916709</v>
      </c>
      <c r="EW98" s="652">
        <f>+EW96-EW97</f>
        <v>4770.6554063636777</v>
      </c>
    </row>
    <row r="99" spans="1:153" ht="10.199999999999999" customHeight="1">
      <c r="A99" s="51" t="s">
        <v>139</v>
      </c>
      <c r="B99" s="809"/>
      <c r="C99" s="809"/>
      <c r="D99" s="809"/>
      <c r="E99" s="809"/>
      <c r="F99" s="809"/>
      <c r="G99" s="809"/>
      <c r="H99" s="809"/>
      <c r="I99" s="809"/>
      <c r="J99" s="809">
        <f t="shared" ref="J99:BQ99" si="714">J98/J13</f>
        <v>4.1287188828172436E-2</v>
      </c>
      <c r="K99" s="809">
        <f t="shared" si="714"/>
        <v>3.3616016786151427E-2</v>
      </c>
      <c r="L99" s="809">
        <f t="shared" si="714"/>
        <v>3.7514248493730661E-2</v>
      </c>
      <c r="M99" s="809">
        <f t="shared" si="714"/>
        <v>3.5676345609065158E-2</v>
      </c>
      <c r="N99" s="809">
        <f>N98/N13</f>
        <v>3.5885563089135111E-2</v>
      </c>
      <c r="O99" s="251">
        <f t="shared" ref="O99" si="715">O98/O13</f>
        <v>3.2557454331172658E-2</v>
      </c>
      <c r="P99" s="809">
        <f>P98/P13</f>
        <v>3.4947653837463281E-2</v>
      </c>
      <c r="Q99" s="1277">
        <f t="shared" ref="Q99" si="716">Q98/Q13</f>
        <v>3.1525241675617613E-2</v>
      </c>
      <c r="R99" s="809">
        <f>R98/R13</f>
        <v>3.4125438254772107E-2</v>
      </c>
      <c r="S99" s="251">
        <f t="shared" ref="S99" si="717">S98/S13</f>
        <v>3.2949807191898925E-2</v>
      </c>
      <c r="T99" s="1275">
        <f t="shared" si="714"/>
        <v>3.2796567477895319E-2</v>
      </c>
      <c r="U99" s="809">
        <f>U98/U13</f>
        <v>3.7239089184060721E-2</v>
      </c>
      <c r="V99" s="251">
        <f t="shared" ref="V99" si="718">V98/V13</f>
        <v>3.3191313908741069E-2</v>
      </c>
      <c r="W99" s="809">
        <f>W98/W13</f>
        <v>3.8655335790027827E-2</v>
      </c>
      <c r="X99" s="1277">
        <f t="shared" ref="X99" si="719">X98/X13</f>
        <v>3.3735654926790662E-2</v>
      </c>
      <c r="Y99" s="809">
        <f>Y98/Y13</f>
        <v>3.5073529411764705E-2</v>
      </c>
      <c r="Z99" s="251">
        <f t="shared" ref="Z99" si="720">Z98/Z13</f>
        <v>3.5687643600990658E-2</v>
      </c>
      <c r="AA99" s="1275">
        <f t="shared" si="714"/>
        <v>3.4704264325597485E-2</v>
      </c>
      <c r="AB99" s="809">
        <f>AB98/AB13</f>
        <v>4.3467461500248383E-2</v>
      </c>
      <c r="AC99" s="251">
        <f t="shared" ref="AC99" si="721">AC98/AC13</f>
        <v>3.3303597977995834E-2</v>
      </c>
      <c r="AD99" s="809">
        <f>AD98/AD13</f>
        <v>4.0292779988629901E-2</v>
      </c>
      <c r="AE99" s="1277">
        <f t="shared" ref="AE99" si="722">AE98/AE13</f>
        <v>3.7886897835699325E-2</v>
      </c>
      <c r="AF99" s="809">
        <f>AF98/AF13</f>
        <v>3.7552348319662199E-2</v>
      </c>
      <c r="AG99" s="251">
        <f t="shared" ref="AG99" si="723">AG98/AG13</f>
        <v>3.8839047163708972E-2</v>
      </c>
      <c r="AH99" s="1275">
        <f t="shared" si="714"/>
        <v>3.7889837083010088E-2</v>
      </c>
      <c r="AI99" s="809">
        <f>AI98/AI13</f>
        <v>4.2025773618977261E-2</v>
      </c>
      <c r="AJ99" s="251">
        <f t="shared" ref="AJ99" si="724">AJ98/AJ13</f>
        <v>3.3852280955829109E-2</v>
      </c>
      <c r="AK99" s="809">
        <f>AK98/AK13</f>
        <v>3.6344086021505378E-2</v>
      </c>
      <c r="AL99" s="1277">
        <f t="shared" ref="AL99" si="725">AL98/AL13</f>
        <v>2.9904506617523873E-2</v>
      </c>
      <c r="AM99" s="809">
        <f>AM98/AM13</f>
        <v>3.7315249521822288E-2</v>
      </c>
      <c r="AN99" s="251">
        <f t="shared" ref="AN99" si="726">AN98/AN13</f>
        <v>3.2279384550309313E-2</v>
      </c>
      <c r="AO99" s="1275">
        <f t="shared" si="714"/>
        <v>3.379342455054745E-2</v>
      </c>
      <c r="AP99" s="809">
        <f>AP98/AP13</f>
        <v>4.2423775793039728E-2</v>
      </c>
      <c r="AQ99" s="251">
        <f t="shared" ref="AQ99" si="727">AQ98/AQ13</f>
        <v>3.4030914063990843E-2</v>
      </c>
      <c r="AR99" s="809">
        <f>AR98/AR13</f>
        <v>3.6295984274080317E-2</v>
      </c>
      <c r="AS99" s="1277">
        <f t="shared" ref="AS99" si="728">AS98/AS13</f>
        <v>2.9184513311497438E-2</v>
      </c>
      <c r="AT99" s="809">
        <f>AT98/AT13</f>
        <v>3.7827858859591071E-2</v>
      </c>
      <c r="AU99" s="251">
        <f t="shared" ref="AU99" si="729">AU98/AU13</f>
        <v>3.1846129591675862E-2</v>
      </c>
      <c r="AV99" s="1275">
        <f t="shared" si="714"/>
        <v>3.4418200608084835E-2</v>
      </c>
      <c r="AW99" s="809">
        <f>AW98/AW13</f>
        <v>4.8155916797762627E-2</v>
      </c>
      <c r="AX99" s="251">
        <f t="shared" ref="AX99" si="730">AX98/AX13</f>
        <v>3.8957256244083596E-2</v>
      </c>
      <c r="AY99" s="809">
        <f>AY98/AY13</f>
        <v>4.0289900249376558E-2</v>
      </c>
      <c r="AZ99" s="1277">
        <f t="shared" ref="AZ99" si="731">AZ98/AZ13</f>
        <v>3.3071615512729004E-2</v>
      </c>
      <c r="BA99" s="809">
        <f>BA98/BA13</f>
        <v>4.3138033763654417E-2</v>
      </c>
      <c r="BB99" s="251">
        <f t="shared" ref="BB99" si="732">BB98/BB13</f>
        <v>3.5808195704198305E-2</v>
      </c>
      <c r="BC99" s="1275">
        <f t="shared" si="714"/>
        <v>3.8934634543051745E-2</v>
      </c>
      <c r="BD99" s="809">
        <f>BD98/BD13</f>
        <v>5.5736732878742958E-2</v>
      </c>
      <c r="BE99" s="251">
        <f t="shared" ref="BE99" si="733">BE98/BE13</f>
        <v>4.0266648710524544E-2</v>
      </c>
      <c r="BF99" s="809">
        <f>BF98/BF13</f>
        <v>3.3784221086013852E-2</v>
      </c>
      <c r="BG99" s="1277">
        <f t="shared" ref="BG99" si="734">BG98/BG13</f>
        <v>3.263763634802027E-2</v>
      </c>
      <c r="BH99" s="809">
        <f>BH98/BH13</f>
        <v>4.6535843011613939E-2</v>
      </c>
      <c r="BI99" s="251">
        <f t="shared" ref="BI99" si="735">BI98/BI13</f>
        <v>3.3094973797661152E-2</v>
      </c>
      <c r="BJ99" s="1275">
        <f t="shared" si="714"/>
        <v>3.8363131210071108E-2</v>
      </c>
      <c r="BK99" s="809">
        <f>BK98/BK13</f>
        <v>5.7375089648577578E-2</v>
      </c>
      <c r="BL99" s="251">
        <f t="shared" ref="BL99" si="736">BL98/BL13</f>
        <v>2.9589998362177211E-2</v>
      </c>
      <c r="BM99" s="809">
        <f>BM98/BM13</f>
        <v>4.7706182198405438E-2</v>
      </c>
      <c r="BN99" s="1277">
        <f t="shared" ref="BN99" si="737">BN98/BN13</f>
        <v>3.8461538461538464E-2</v>
      </c>
      <c r="BO99" s="809">
        <f>BO98/BO13</f>
        <v>4.0886412233525564E-2</v>
      </c>
      <c r="BP99" s="251">
        <f t="shared" ref="BP99" si="738">BP98/BP13</f>
        <v>4.203271735837625E-2</v>
      </c>
      <c r="BQ99" s="1275">
        <f t="shared" si="714"/>
        <v>4.1530690428218733E-2</v>
      </c>
      <c r="BR99" s="809">
        <f t="shared" si="698"/>
        <v>5.7375089648577578E-2</v>
      </c>
      <c r="BS99" s="251">
        <f t="shared" si="698"/>
        <v>2.9589998362177211E-2</v>
      </c>
      <c r="BT99" s="809">
        <f t="shared" si="698"/>
        <v>4.7706182198405438E-2</v>
      </c>
      <c r="BU99" s="1277">
        <f t="shared" si="698"/>
        <v>3.8461538461538464E-2</v>
      </c>
      <c r="BV99" s="809">
        <f t="shared" si="698"/>
        <v>4.0886412233525564E-2</v>
      </c>
      <c r="BW99" s="251">
        <f t="shared" si="698"/>
        <v>4.203271735837625E-2</v>
      </c>
      <c r="BX99" s="1275">
        <f t="shared" si="698"/>
        <v>4.1530690428218733E-2</v>
      </c>
      <c r="BY99" s="809">
        <f>BY98/BY13</f>
        <v>7.7885429404571535E-2</v>
      </c>
      <c r="BZ99" s="251">
        <f t="shared" ref="BZ99" si="739">BZ98/BZ13</f>
        <v>7.129974750511002E-2</v>
      </c>
      <c r="CA99" s="809">
        <f>CA98/CA13</f>
        <v>5.5560510122179614E-2</v>
      </c>
      <c r="CB99" s="1277">
        <f t="shared" ref="CB99" si="740">CB98/CB13</f>
        <v>3.9846083742595309E-2</v>
      </c>
      <c r="CC99" s="809">
        <f>CC98/CC13</f>
        <v>7.4994722398142283E-2</v>
      </c>
      <c r="CD99" s="251">
        <f t="shared" ref="CD99" si="741">CD98/CD13</f>
        <v>4.5536752357576538E-2</v>
      </c>
      <c r="CE99" s="1275">
        <f t="shared" ref="CE99:DV99" si="742">CE98/CE13</f>
        <v>5.6719826895335793E-2</v>
      </c>
      <c r="CF99" s="809">
        <f>CF98/CF13</f>
        <v>5.7074569789674949E-2</v>
      </c>
      <c r="CG99" s="251">
        <f t="shared" ref="CG99" si="743">CG98/CG13</f>
        <v>3.2023700359737603E-2</v>
      </c>
      <c r="CH99" s="809">
        <f>CH98/CH13</f>
        <v>5.6094314508461682E-2</v>
      </c>
      <c r="CI99" s="1277">
        <f t="shared" ref="CI99" si="744">CI98/CI13</f>
        <v>4.0249499823467108E-2</v>
      </c>
      <c r="CJ99" s="809">
        <f>CJ98/CJ13</f>
        <v>4.2659414701465274E-2</v>
      </c>
      <c r="CK99" s="251">
        <f t="shared" ref="CK99" si="745">CK98/CK13</f>
        <v>4.6307066007560335E-2</v>
      </c>
      <c r="CL99" s="1275">
        <f t="shared" si="742"/>
        <v>4.4583788759132485E-2</v>
      </c>
      <c r="CM99" s="809">
        <f>CM98/CM13</f>
        <v>4.8750000000000002E-2</v>
      </c>
      <c r="CN99" s="251">
        <f t="shared" si="742"/>
        <v>4.4574551131928181E-2</v>
      </c>
      <c r="CO99" s="809">
        <f>CO98/CO13</f>
        <v>3.6366368622736497E-2</v>
      </c>
      <c r="CP99" s="1277">
        <f t="shared" si="742"/>
        <v>5.2121681844603758E-2</v>
      </c>
      <c r="CQ99" s="809">
        <f>CQ98/CQ13</f>
        <v>4.6594115276098344E-2</v>
      </c>
      <c r="CR99" s="251">
        <f t="shared" si="742"/>
        <v>4.5945866344652905E-2</v>
      </c>
      <c r="CS99" s="1275">
        <f t="shared" si="742"/>
        <v>4.6219559927165053E-2</v>
      </c>
      <c r="CT99" s="809">
        <f>CT98/CT13</f>
        <v>4.2081101759755164E-2</v>
      </c>
      <c r="CU99" s="251">
        <f t="shared" si="742"/>
        <v>3.4402515723270438E-2</v>
      </c>
      <c r="CV99" s="809">
        <f>CV98/CV13</f>
        <v>3.8061354635161443E-2</v>
      </c>
      <c r="CW99" s="1277">
        <f t="shared" si="742"/>
        <v>2.7658830726208162E-2</v>
      </c>
      <c r="CX99" s="809">
        <f>CX98/CX13</f>
        <v>3.7667642699634893E-2</v>
      </c>
      <c r="CY99" s="251">
        <f t="shared" si="742"/>
        <v>3.1760315485800494E-2</v>
      </c>
      <c r="CZ99" s="1275">
        <f t="shared" ref="CZ99" si="746">CZ98/CZ13</f>
        <v>3.4257250252116248E-2</v>
      </c>
      <c r="DA99" s="809">
        <f t="shared" si="742"/>
        <v>3.9984411535463754E-2</v>
      </c>
      <c r="DB99" s="251">
        <f t="shared" ref="DB99" si="747">DB98/DB13</f>
        <v>4.9140356361362929E-2</v>
      </c>
      <c r="DC99" s="809">
        <f>DC98/DC13</f>
        <v>3.6012492829370898E-2</v>
      </c>
      <c r="DD99" s="1277">
        <f t="shared" ref="DD99" si="748">DD98/DD13</f>
        <v>4.0014565463667252E-2</v>
      </c>
      <c r="DE99" s="809">
        <f>DE98/DE13</f>
        <v>4.5065047701647876E-2</v>
      </c>
      <c r="DF99" s="251">
        <f t="shared" ref="DF99:DG99" si="749">DF98/DF13</f>
        <v>3.8460586561069175E-2</v>
      </c>
      <c r="DG99" s="1275">
        <f t="shared" si="749"/>
        <v>4.12104578939766E-2</v>
      </c>
      <c r="DH99" s="251">
        <f t="shared" si="742"/>
        <v>4.6226554423275737E-2</v>
      </c>
      <c r="DI99" s="251">
        <f t="shared" si="742"/>
        <v>3.9581777445855108E-2</v>
      </c>
      <c r="DJ99" s="809">
        <f t="shared" si="742"/>
        <v>3.6631886009200046E-2</v>
      </c>
      <c r="DK99" s="1277">
        <f t="shared" si="742"/>
        <v>4.8491379310344834E-2</v>
      </c>
      <c r="DL99" s="809">
        <f>DL98/DL13</f>
        <v>4.2620736237757514E-2</v>
      </c>
      <c r="DM99" s="251">
        <f t="shared" ref="DM99" si="750">DM98/DM13</f>
        <v>4.3665829719242183E-2</v>
      </c>
      <c r="DN99" s="1275">
        <f t="shared" si="742"/>
        <v>4.324434758921275E-2</v>
      </c>
      <c r="DO99" s="251">
        <f t="shared" ref="DO99:DP99" si="751">DO98/DO13</f>
        <v>5.4224962453560982E-2</v>
      </c>
      <c r="DP99" s="251">
        <f t="shared" si="751"/>
        <v>3.1961023142509135E-2</v>
      </c>
      <c r="DQ99" s="449">
        <f t="shared" si="742"/>
        <v>3.7938390942127115E-2</v>
      </c>
      <c r="DR99" s="450">
        <f t="shared" si="742"/>
        <v>5.5567136508524753E-2</v>
      </c>
      <c r="DS99" s="1871">
        <f>DS98/DS13</f>
        <v>4.0450928381962868E-2</v>
      </c>
      <c r="DT99" s="449">
        <f t="shared" si="742"/>
        <v>4.8350288567022608E-2</v>
      </c>
      <c r="DU99" s="1108">
        <f t="shared" si="742"/>
        <v>4.5097120593708281E-2</v>
      </c>
      <c r="DV99" s="449">
        <f t="shared" si="742"/>
        <v>4.5545675084085496E-2</v>
      </c>
      <c r="DW99" s="449">
        <f t="shared" ref="DW99:EW99" si="752">DW98/DW13</f>
        <v>4.5320183211948202E-2</v>
      </c>
      <c r="DX99" s="449">
        <f t="shared" si="752"/>
        <v>4.5282822451417924E-2</v>
      </c>
      <c r="DY99" s="450">
        <f t="shared" si="752"/>
        <v>4.4624413584750194E-2</v>
      </c>
      <c r="DZ99" s="449">
        <f t="shared" si="752"/>
        <v>4.5427378056654623E-2</v>
      </c>
      <c r="EA99" s="449">
        <f t="shared" si="752"/>
        <v>4.4933519175697829E-2</v>
      </c>
      <c r="EB99" s="1108">
        <f t="shared" si="752"/>
        <v>4.5167330158735843E-2</v>
      </c>
      <c r="EC99" s="449">
        <f t="shared" si="752"/>
        <v>4.5569693134987474E-2</v>
      </c>
      <c r="ED99" s="449">
        <f t="shared" si="752"/>
        <v>4.5349973244079883E-2</v>
      </c>
      <c r="EE99" s="449">
        <f t="shared" si="752"/>
        <v>4.5314000376467149E-2</v>
      </c>
      <c r="EF99" s="450">
        <f t="shared" si="752"/>
        <v>4.4683714988170205E-2</v>
      </c>
      <c r="EG99" s="449">
        <f t="shared" si="752"/>
        <v>4.5454389766132502E-2</v>
      </c>
      <c r="EH99" s="449">
        <f t="shared" si="752"/>
        <v>4.4978190564546904E-2</v>
      </c>
      <c r="EI99" s="1108">
        <f t="shared" si="752"/>
        <v>4.5203010707478397E-2</v>
      </c>
      <c r="EJ99" s="449">
        <f t="shared" si="752"/>
        <v>4.555718210660778E-2</v>
      </c>
      <c r="EK99" s="449">
        <f t="shared" si="752"/>
        <v>4.5356577322284049E-2</v>
      </c>
      <c r="EL99" s="449">
        <f t="shared" si="752"/>
        <v>4.5320195155787654E-2</v>
      </c>
      <c r="EM99" s="450">
        <f t="shared" si="752"/>
        <v>4.4689738079528571E-2</v>
      </c>
      <c r="EN99" s="449">
        <f t="shared" si="752"/>
        <v>4.5453612283340945E-2</v>
      </c>
      <c r="EO99" s="449">
        <f t="shared" si="752"/>
        <v>4.4984194391538911E-2</v>
      </c>
      <c r="EP99" s="1108">
        <f t="shared" si="752"/>
        <v>4.5207689638536282E-2</v>
      </c>
      <c r="EQ99" s="449">
        <f t="shared" si="752"/>
        <v>4.5555136384693613E-2</v>
      </c>
      <c r="ER99" s="449">
        <f t="shared" si="752"/>
        <v>4.5354248242645806E-2</v>
      </c>
      <c r="ES99" s="449">
        <f t="shared" si="752"/>
        <v>4.5317314796598313E-2</v>
      </c>
      <c r="ET99" s="450">
        <f t="shared" si="752"/>
        <v>4.4686508087051928E-2</v>
      </c>
      <c r="EU99" s="449">
        <f t="shared" si="752"/>
        <v>4.5451369229443546E-2</v>
      </c>
      <c r="EV99" s="449">
        <f t="shared" si="752"/>
        <v>4.4981020370306574E-2</v>
      </c>
      <c r="EW99" s="1108">
        <f t="shared" si="752"/>
        <v>4.5204863937041588E-2</v>
      </c>
    </row>
    <row r="100" spans="1:153" ht="10.199999999999999" customHeight="1">
      <c r="A100" s="43"/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0"/>
      <c r="Q100" s="680"/>
      <c r="R100" s="530"/>
      <c r="S100" s="530"/>
      <c r="T100" s="1085"/>
      <c r="U100" s="530"/>
      <c r="V100" s="530"/>
      <c r="W100" s="530"/>
      <c r="X100" s="680"/>
      <c r="Y100" s="530"/>
      <c r="Z100" s="530"/>
      <c r="AA100" s="1085"/>
      <c r="AB100" s="530"/>
      <c r="AC100" s="530"/>
      <c r="AD100" s="530"/>
      <c r="AE100" s="680"/>
      <c r="AF100" s="530"/>
      <c r="AG100" s="530"/>
      <c r="AH100" s="1085"/>
      <c r="AI100" s="530"/>
      <c r="AJ100" s="530"/>
      <c r="AK100" s="530"/>
      <c r="AL100" s="680"/>
      <c r="AM100" s="530"/>
      <c r="AN100" s="530"/>
      <c r="AO100" s="1085"/>
      <c r="AP100" s="530"/>
      <c r="AQ100" s="530"/>
      <c r="AR100" s="530"/>
      <c r="AS100" s="680"/>
      <c r="AT100" s="530"/>
      <c r="AU100" s="530"/>
      <c r="AV100" s="1085"/>
      <c r="AW100" s="530"/>
      <c r="AX100" s="530"/>
      <c r="AY100" s="530"/>
      <c r="AZ100" s="680"/>
      <c r="BA100" s="530"/>
      <c r="BB100" s="530"/>
      <c r="BC100" s="1085"/>
      <c r="BD100" s="530"/>
      <c r="BE100" s="530"/>
      <c r="BF100" s="530"/>
      <c r="BG100" s="680"/>
      <c r="BH100" s="530"/>
      <c r="BI100" s="530"/>
      <c r="BJ100" s="1085"/>
      <c r="BK100" s="530"/>
      <c r="BL100" s="530"/>
      <c r="BM100" s="530"/>
      <c r="BN100" s="680"/>
      <c r="BO100" s="530"/>
      <c r="BP100" s="530"/>
      <c r="BQ100" s="1085"/>
      <c r="BR100" s="530"/>
      <c r="BS100" s="530"/>
      <c r="BT100" s="530"/>
      <c r="BU100" s="680"/>
      <c r="BV100" s="530"/>
      <c r="BW100" s="530"/>
      <c r="BX100" s="1085"/>
      <c r="BY100" s="530"/>
      <c r="BZ100" s="530"/>
      <c r="CA100" s="530"/>
      <c r="CB100" s="680"/>
      <c r="CC100" s="530"/>
      <c r="CD100" s="530"/>
      <c r="CE100" s="1085"/>
      <c r="CF100" s="530"/>
      <c r="CG100" s="530"/>
      <c r="CH100" s="530"/>
      <c r="CI100" s="680"/>
      <c r="CJ100" s="530"/>
      <c r="CK100" s="530"/>
      <c r="CL100" s="1085"/>
      <c r="CM100" s="530"/>
      <c r="CN100" s="530"/>
      <c r="CO100" s="530"/>
      <c r="CP100" s="680"/>
      <c r="CQ100" s="530"/>
      <c r="CR100" s="530"/>
      <c r="CS100" s="1085"/>
      <c r="CT100" s="530"/>
      <c r="CU100" s="530"/>
      <c r="CV100" s="530"/>
      <c r="CW100" s="680"/>
      <c r="CX100" s="530"/>
      <c r="CY100" s="530"/>
      <c r="CZ100" s="1085"/>
      <c r="DA100" s="530"/>
      <c r="DB100" s="530"/>
      <c r="DC100" s="530"/>
      <c r="DD100" s="680"/>
      <c r="DE100" s="530"/>
      <c r="DF100" s="530"/>
      <c r="DG100" s="1085"/>
      <c r="DH100" s="530"/>
      <c r="DI100" s="530"/>
      <c r="DJ100" s="530"/>
      <c r="DK100" s="680"/>
      <c r="DL100" s="530"/>
      <c r="DM100" s="530"/>
      <c r="DN100" s="1085"/>
      <c r="DO100" s="530"/>
      <c r="DP100" s="530"/>
      <c r="DQ100" s="530"/>
      <c r="DR100" s="680"/>
      <c r="DS100" s="2009"/>
      <c r="DT100" s="530"/>
      <c r="DU100" s="1085"/>
      <c r="DV100" s="530"/>
      <c r="DW100" s="530"/>
      <c r="DX100" s="530"/>
      <c r="DY100" s="680"/>
      <c r="DZ100" s="530"/>
      <c r="EA100" s="530"/>
      <c r="EB100" s="1085"/>
      <c r="EC100" s="530"/>
      <c r="ED100" s="530"/>
      <c r="EE100" s="530"/>
      <c r="EF100" s="680"/>
      <c r="EG100" s="530"/>
      <c r="EH100" s="530"/>
      <c r="EI100" s="1085"/>
      <c r="EJ100" s="530"/>
      <c r="EK100" s="530"/>
      <c r="EL100" s="530"/>
      <c r="EM100" s="680"/>
      <c r="EN100" s="530"/>
      <c r="EO100" s="530"/>
      <c r="EP100" s="1085"/>
      <c r="EQ100" s="530"/>
      <c r="ER100" s="530"/>
      <c r="ES100" s="530"/>
      <c r="ET100" s="680"/>
      <c r="EU100" s="530"/>
      <c r="EV100" s="530"/>
      <c r="EW100" s="1085"/>
    </row>
    <row r="101" spans="1:153" ht="10.199999999999999" customHeight="1">
      <c r="A101" s="48" t="s">
        <v>778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094"/>
      <c r="R101" s="1"/>
      <c r="S101" s="1"/>
      <c r="T101" s="353"/>
      <c r="U101" s="1"/>
      <c r="V101" s="1"/>
      <c r="W101" s="1"/>
      <c r="X101" s="1094"/>
      <c r="Y101" s="1"/>
      <c r="Z101" s="1"/>
      <c r="AA101" s="353"/>
      <c r="AB101" s="1"/>
      <c r="AC101" s="1"/>
      <c r="AD101" s="1"/>
      <c r="AE101" s="1094"/>
      <c r="AF101" s="1"/>
      <c r="AG101" s="1"/>
      <c r="AH101" s="353"/>
      <c r="AI101" s="1"/>
      <c r="AJ101" s="1"/>
      <c r="AK101" s="1"/>
      <c r="AL101" s="1094"/>
      <c r="AM101" s="1"/>
      <c r="AN101" s="1"/>
      <c r="AO101" s="353"/>
      <c r="AP101" s="1"/>
      <c r="AQ101" s="1"/>
      <c r="AR101" s="1"/>
      <c r="AS101" s="1094"/>
      <c r="AT101" s="1"/>
      <c r="AU101" s="1"/>
      <c r="AV101" s="353"/>
      <c r="AW101" s="1"/>
      <c r="AX101" s="1"/>
      <c r="AY101" s="1"/>
      <c r="AZ101" s="1094"/>
      <c r="BA101" s="1"/>
      <c r="BB101" s="1"/>
      <c r="BC101" s="353"/>
      <c r="BD101" s="1"/>
      <c r="BE101" s="1"/>
      <c r="BF101" s="1"/>
      <c r="BG101" s="1094"/>
      <c r="BH101" s="1"/>
      <c r="BI101" s="1"/>
      <c r="BJ101" s="353"/>
      <c r="BK101" s="1"/>
      <c r="BL101" s="1"/>
      <c r="BM101" s="1"/>
      <c r="BN101" s="1094"/>
      <c r="BO101" s="1"/>
      <c r="BP101" s="1"/>
      <c r="BQ101" s="353"/>
      <c r="BR101" s="1"/>
      <c r="BS101" s="1"/>
      <c r="BT101" s="1"/>
      <c r="BU101" s="1094"/>
      <c r="BV101" s="1"/>
      <c r="BW101" s="1"/>
      <c r="BX101" s="353"/>
      <c r="BY101" s="1"/>
      <c r="BZ101" s="1"/>
      <c r="CA101" s="1"/>
      <c r="CB101" s="1094"/>
      <c r="CC101" s="1"/>
      <c r="CD101" s="1"/>
      <c r="CE101" s="353"/>
      <c r="CF101" s="1"/>
      <c r="CG101" s="1"/>
      <c r="CH101" s="1"/>
      <c r="CI101" s="1094"/>
      <c r="CJ101" s="1"/>
      <c r="CK101" s="1"/>
      <c r="CL101" s="353"/>
      <c r="CM101" s="1"/>
      <c r="CN101" s="1"/>
      <c r="CO101" s="1"/>
      <c r="CP101" s="1094"/>
      <c r="CQ101" s="1"/>
      <c r="CR101" s="1"/>
      <c r="CS101" s="353"/>
      <c r="CT101" s="1"/>
      <c r="CU101" s="1"/>
      <c r="CV101" s="1"/>
      <c r="CW101" s="1094"/>
      <c r="CX101" s="1"/>
      <c r="CY101" s="1"/>
      <c r="CZ101" s="353"/>
      <c r="DA101" s="1"/>
      <c r="DB101" s="1"/>
      <c r="DC101" s="1"/>
      <c r="DD101" s="1094"/>
      <c r="DE101" s="1"/>
      <c r="DF101" s="1"/>
      <c r="DG101" s="353"/>
      <c r="DH101" s="1"/>
      <c r="DI101" s="1"/>
      <c r="DJ101" s="1"/>
      <c r="DK101" s="1094"/>
      <c r="DL101" s="1"/>
      <c r="DM101" s="1"/>
      <c r="DN101" s="353"/>
      <c r="DO101" s="1"/>
      <c r="DP101" s="1"/>
      <c r="DQ101" s="1"/>
      <c r="DR101" s="1094"/>
      <c r="DS101" s="1879"/>
      <c r="DT101" s="1"/>
      <c r="DU101" s="353"/>
      <c r="DV101" s="1"/>
      <c r="DW101" s="1"/>
      <c r="DX101" s="1"/>
      <c r="DY101" s="1094"/>
      <c r="DZ101" s="1"/>
      <c r="EA101" s="1"/>
      <c r="EB101" s="353"/>
      <c r="EC101" s="1"/>
      <c r="ED101" s="1"/>
      <c r="EE101" s="1"/>
      <c r="EF101" s="1094"/>
      <c r="EG101" s="1"/>
      <c r="EH101" s="1"/>
      <c r="EI101" s="353"/>
      <c r="EJ101" s="1"/>
      <c r="EK101" s="1"/>
      <c r="EL101" s="1"/>
      <c r="EM101" s="1094"/>
      <c r="EN101" s="1"/>
      <c r="EO101" s="1"/>
      <c r="EP101" s="353"/>
      <c r="EQ101" s="1"/>
      <c r="ER101" s="1"/>
      <c r="ES101" s="1"/>
      <c r="ET101" s="1094"/>
      <c r="EU101" s="1"/>
      <c r="EV101" s="1"/>
      <c r="EW101" s="353"/>
    </row>
    <row r="102" spans="1:153" ht="10.199999999999999" customHeight="1">
      <c r="A102" s="43" t="str">
        <f>A16</f>
        <v>Airbus</v>
      </c>
      <c r="B102" s="317">
        <f t="shared" ref="B102:BQ102" si="753">B51+B87</f>
        <v>2890</v>
      </c>
      <c r="C102" s="317">
        <f t="shared" si="753"/>
        <v>2795</v>
      </c>
      <c r="D102" s="317">
        <f t="shared" si="753"/>
        <v>2821</v>
      </c>
      <c r="E102" s="317">
        <f t="shared" si="753"/>
        <v>2881</v>
      </c>
      <c r="F102" s="317">
        <f t="shared" si="753"/>
        <v>3338</v>
      </c>
      <c r="G102" s="317">
        <f t="shared" si="753"/>
        <v>538</v>
      </c>
      <c r="H102" s="317">
        <f t="shared" si="753"/>
        <v>334</v>
      </c>
      <c r="I102" s="317">
        <f t="shared" si="753"/>
        <v>3321</v>
      </c>
      <c r="J102" s="317">
        <f t="shared" si="753"/>
        <v>1359</v>
      </c>
      <c r="K102" s="317">
        <f t="shared" si="753"/>
        <v>1223</v>
      </c>
      <c r="L102" s="317">
        <f t="shared" si="753"/>
        <v>1582</v>
      </c>
      <c r="M102" s="317">
        <f t="shared" si="753"/>
        <v>2305</v>
      </c>
      <c r="N102" s="317"/>
      <c r="O102" s="130"/>
      <c r="P102" s="317"/>
      <c r="Q102" s="698"/>
      <c r="R102" s="317"/>
      <c r="S102" s="130"/>
      <c r="T102" s="314">
        <f t="shared" si="753"/>
        <v>2775</v>
      </c>
      <c r="U102" s="317"/>
      <c r="V102" s="130"/>
      <c r="W102" s="317"/>
      <c r="X102" s="698"/>
      <c r="Y102" s="317"/>
      <c r="Z102" s="130"/>
      <c r="AA102" s="314">
        <f t="shared" si="753"/>
        <v>4065</v>
      </c>
      <c r="AB102" s="317"/>
      <c r="AC102" s="130"/>
      <c r="AD102" s="317"/>
      <c r="AE102" s="698"/>
      <c r="AF102" s="317"/>
      <c r="AG102" s="130"/>
      <c r="AH102" s="314">
        <f t="shared" si="753"/>
        <v>3895</v>
      </c>
      <c r="AI102" s="317"/>
      <c r="AJ102" s="130"/>
      <c r="AK102" s="317"/>
      <c r="AL102" s="698"/>
      <c r="AM102" s="317"/>
      <c r="AN102" s="130"/>
      <c r="AO102" s="314">
        <f t="shared" si="753"/>
        <v>3109</v>
      </c>
      <c r="AP102" s="317"/>
      <c r="AQ102" s="130"/>
      <c r="AR102" s="317"/>
      <c r="AS102" s="698"/>
      <c r="AT102" s="317"/>
      <c r="AU102" s="130"/>
      <c r="AV102" s="314">
        <f t="shared" si="753"/>
        <v>5021</v>
      </c>
      <c r="AW102" s="317"/>
      <c r="AX102" s="130"/>
      <c r="AY102" s="317"/>
      <c r="AZ102" s="698"/>
      <c r="BA102" s="317"/>
      <c r="BB102" s="130"/>
      <c r="BC102" s="314">
        <f t="shared" si="753"/>
        <v>3918</v>
      </c>
      <c r="BD102" s="317"/>
      <c r="BE102" s="130"/>
      <c r="BF102" s="317"/>
      <c r="BG102" s="698"/>
      <c r="BH102" s="317"/>
      <c r="BI102" s="130"/>
      <c r="BJ102" s="314">
        <f t="shared" si="753"/>
        <v>6089</v>
      </c>
      <c r="BK102" s="317"/>
      <c r="BL102" s="130"/>
      <c r="BM102" s="317"/>
      <c r="BN102" s="698"/>
      <c r="BO102" s="317"/>
      <c r="BP102" s="130"/>
      <c r="BQ102" s="314">
        <f t="shared" si="753"/>
        <v>4335</v>
      </c>
      <c r="BR102" s="317"/>
      <c r="BS102" s="130"/>
      <c r="BT102" s="317"/>
      <c r="BU102" s="698"/>
      <c r="BV102" s="317"/>
      <c r="BW102" s="130"/>
      <c r="BX102" s="314"/>
      <c r="BY102" s="317"/>
      <c r="BZ102" s="130"/>
      <c r="CA102" s="317"/>
      <c r="CB102" s="698"/>
      <c r="CC102" s="317"/>
      <c r="CD102" s="130"/>
      <c r="CE102" s="314">
        <f t="shared" ref="CE102:DG104" si="754">CE51+CE87</f>
        <v>621</v>
      </c>
      <c r="CF102" s="317"/>
      <c r="CG102" s="130"/>
      <c r="CH102" s="317"/>
      <c r="CI102" s="698"/>
      <c r="CJ102" s="317"/>
      <c r="CK102" s="130"/>
      <c r="CL102" s="314">
        <f t="shared" si="754"/>
        <v>5791</v>
      </c>
      <c r="CM102" s="317"/>
      <c r="CN102" s="130"/>
      <c r="CO102" s="317"/>
      <c r="CP102" s="698"/>
      <c r="CQ102" s="317"/>
      <c r="CR102" s="130"/>
      <c r="CS102" s="314">
        <f t="shared" si="754"/>
        <v>6371</v>
      </c>
      <c r="CT102" s="317">
        <f t="shared" ref="CT102:CZ104" si="755">CT51+CT87</f>
        <v>560.79099999999994</v>
      </c>
      <c r="CU102" s="130">
        <f t="shared" si="755"/>
        <v>1739.6980000000001</v>
      </c>
      <c r="CV102" s="317">
        <f t="shared" ref="CV102" si="756">CV51+CV87</f>
        <v>1215.1120000000001</v>
      </c>
      <c r="CW102" s="698">
        <f t="shared" si="755"/>
        <v>1691.3989999999999</v>
      </c>
      <c r="CX102" s="317">
        <f t="shared" ref="CX102" si="757">CX51+CX87</f>
        <v>2300.489</v>
      </c>
      <c r="CY102" s="130">
        <f t="shared" si="755"/>
        <v>2906.511</v>
      </c>
      <c r="CZ102" s="314">
        <f t="shared" si="755"/>
        <v>5207</v>
      </c>
      <c r="DA102" s="317">
        <f t="shared" ref="DA102:DD104" si="758">DA51+DA87</f>
        <v>774.43599999999992</v>
      </c>
      <c r="DB102" s="130">
        <f t="shared" si="758"/>
        <v>1996.652</v>
      </c>
      <c r="DC102" s="317">
        <f t="shared" si="758"/>
        <v>1205.74</v>
      </c>
      <c r="DD102" s="698">
        <f t="shared" si="758"/>
        <v>2796.172</v>
      </c>
      <c r="DE102" s="317">
        <f t="shared" si="754"/>
        <v>2771.0880000000002</v>
      </c>
      <c r="DF102" s="130">
        <f t="shared" si="754"/>
        <v>4001.9119999999998</v>
      </c>
      <c r="DG102" s="314">
        <f t="shared" si="754"/>
        <v>6773</v>
      </c>
      <c r="DH102" s="130">
        <f t="shared" ref="DH102:DN102" si="759">DH51+DH87</f>
        <v>904.2</v>
      </c>
      <c r="DI102" s="130">
        <f t="shared" si="759"/>
        <v>1205.8249999999998</v>
      </c>
      <c r="DJ102" s="317">
        <f t="shared" si="759"/>
        <v>1775.875</v>
      </c>
      <c r="DK102" s="698">
        <f t="shared" si="759"/>
        <v>3112.1000000000004</v>
      </c>
      <c r="DL102" s="317">
        <f t="shared" si="759"/>
        <v>2110.0249999999996</v>
      </c>
      <c r="DM102" s="130">
        <f t="shared" si="759"/>
        <v>4887.9750000000004</v>
      </c>
      <c r="DN102" s="314">
        <f t="shared" si="759"/>
        <v>6998</v>
      </c>
      <c r="DO102" s="130">
        <f t="shared" ref="DO102:DP102" si="760">DO51+DO87</f>
        <v>497.28</v>
      </c>
      <c r="DP102" s="130">
        <f t="shared" si="760"/>
        <v>2368.52</v>
      </c>
      <c r="DQ102" s="617">
        <f t="shared" ref="DQ102:DU102" si="761">DQ51+DQ87</f>
        <v>2043.4073508823435</v>
      </c>
      <c r="DR102" s="618">
        <f t="shared" si="761"/>
        <v>3446.7148564365016</v>
      </c>
      <c r="DS102" s="1878">
        <f t="shared" si="761"/>
        <v>2865.8</v>
      </c>
      <c r="DT102" s="617">
        <f t="shared" si="761"/>
        <v>5490.1222073188455</v>
      </c>
      <c r="DU102" s="651">
        <f t="shared" si="761"/>
        <v>8355.9222073188448</v>
      </c>
      <c r="DV102" s="617">
        <f t="shared" ref="DV102:EB102" si="762">DV51+DV87</f>
        <v>2435.1512276879607</v>
      </c>
      <c r="DW102" s="617">
        <f t="shared" si="762"/>
        <v>2634.8550097200132</v>
      </c>
      <c r="DX102" s="617">
        <f t="shared" si="762"/>
        <v>2639.3272940666457</v>
      </c>
      <c r="DY102" s="618">
        <f t="shared" si="762"/>
        <v>2583.9110380529751</v>
      </c>
      <c r="DZ102" s="617">
        <f t="shared" si="762"/>
        <v>5070.0062374079735</v>
      </c>
      <c r="EA102" s="617">
        <f t="shared" si="762"/>
        <v>5223.2383321196212</v>
      </c>
      <c r="EB102" s="651">
        <f t="shared" si="762"/>
        <v>10293.244569527595</v>
      </c>
      <c r="EC102" s="617">
        <f t="shared" ref="EC102:EI102" si="763">EC51+EC87</f>
        <v>2991.9909687117524</v>
      </c>
      <c r="ED102" s="617">
        <f t="shared" si="763"/>
        <v>3203.3493530931692</v>
      </c>
      <c r="EE102" s="617">
        <f t="shared" si="763"/>
        <v>3208.4397666362142</v>
      </c>
      <c r="EF102" s="618">
        <f t="shared" si="763"/>
        <v>3255.9296932184529</v>
      </c>
      <c r="EG102" s="617">
        <f t="shared" si="763"/>
        <v>6195.3403218049216</v>
      </c>
      <c r="EH102" s="617">
        <f t="shared" si="763"/>
        <v>6464.3694598546672</v>
      </c>
      <c r="EI102" s="651">
        <f t="shared" si="763"/>
        <v>12659.709781659589</v>
      </c>
      <c r="EJ102" s="617">
        <f t="shared" ref="EJ102:EP102" si="764">EJ51+EJ87</f>
        <v>3378.5820086736394</v>
      </c>
      <c r="EK102" s="617">
        <f t="shared" si="764"/>
        <v>3392.5283725611253</v>
      </c>
      <c r="EL102" s="617">
        <f t="shared" si="764"/>
        <v>3397.8683543157103</v>
      </c>
      <c r="EM102" s="618">
        <f t="shared" si="764"/>
        <v>3453.3308477260416</v>
      </c>
      <c r="EN102" s="617">
        <f t="shared" si="764"/>
        <v>6771.1103812347646</v>
      </c>
      <c r="EO102" s="617">
        <f t="shared" si="764"/>
        <v>6851.199202041752</v>
      </c>
      <c r="EP102" s="651">
        <f t="shared" si="764"/>
        <v>13622.309583276518</v>
      </c>
      <c r="EQ102" s="617">
        <f t="shared" ref="EQ102:EW102" si="765">EQ51+EQ87</f>
        <v>3554.6054649407843</v>
      </c>
      <c r="ER102" s="617">
        <f t="shared" si="765"/>
        <v>3570.3899017217968</v>
      </c>
      <c r="ES102" s="617">
        <f t="shared" si="765"/>
        <v>3576.0345108913102</v>
      </c>
      <c r="ET102" s="618">
        <f t="shared" si="765"/>
        <v>3630.6909247437707</v>
      </c>
      <c r="EU102" s="617">
        <f t="shared" si="765"/>
        <v>7124.9953666625806</v>
      </c>
      <c r="EV102" s="617">
        <f t="shared" si="765"/>
        <v>7206.7254356350804</v>
      </c>
      <c r="EW102" s="651">
        <f t="shared" si="765"/>
        <v>14331.720802297663</v>
      </c>
    </row>
    <row r="103" spans="1:153" ht="10.199999999999999" customHeight="1">
      <c r="A103" s="108" t="s">
        <v>325</v>
      </c>
      <c r="B103" s="317">
        <f t="shared" ref="B103:BQ103" si="766">B52+B88</f>
        <v>215.6</v>
      </c>
      <c r="C103" s="317">
        <f t="shared" si="766"/>
        <v>264.59999999999997</v>
      </c>
      <c r="D103" s="317">
        <f t="shared" si="766"/>
        <v>247.09999999999997</v>
      </c>
      <c r="E103" s="317">
        <f t="shared" si="766"/>
        <v>253</v>
      </c>
      <c r="F103" s="317">
        <f t="shared" si="766"/>
        <v>280</v>
      </c>
      <c r="G103" s="317">
        <f t="shared" si="766"/>
        <v>331</v>
      </c>
      <c r="H103" s="317">
        <f t="shared" si="766"/>
        <v>286</v>
      </c>
      <c r="I103" s="317">
        <f t="shared" si="766"/>
        <v>377</v>
      </c>
      <c r="J103" s="317">
        <f t="shared" si="766"/>
        <v>348</v>
      </c>
      <c r="K103" s="317">
        <f t="shared" si="766"/>
        <v>273</v>
      </c>
      <c r="L103" s="317">
        <f t="shared" si="766"/>
        <v>398</v>
      </c>
      <c r="M103" s="317">
        <f t="shared" si="766"/>
        <v>444</v>
      </c>
      <c r="N103" s="317"/>
      <c r="O103" s="130"/>
      <c r="P103" s="317"/>
      <c r="Q103" s="698"/>
      <c r="R103" s="317"/>
      <c r="S103" s="130"/>
      <c r="T103" s="314">
        <f t="shared" si="766"/>
        <v>532</v>
      </c>
      <c r="U103" s="317"/>
      <c r="V103" s="130"/>
      <c r="W103" s="317"/>
      <c r="X103" s="698"/>
      <c r="Y103" s="317"/>
      <c r="Z103" s="130"/>
      <c r="AA103" s="314">
        <f t="shared" si="766"/>
        <v>570</v>
      </c>
      <c r="AB103" s="317"/>
      <c r="AC103" s="130"/>
      <c r="AD103" s="317"/>
      <c r="AE103" s="698"/>
      <c r="AF103" s="317"/>
      <c r="AG103" s="130"/>
      <c r="AH103" s="314">
        <f t="shared" si="766"/>
        <v>586</v>
      </c>
      <c r="AI103" s="317"/>
      <c r="AJ103" s="130"/>
      <c r="AK103" s="317"/>
      <c r="AL103" s="698"/>
      <c r="AM103" s="317"/>
      <c r="AN103" s="130"/>
      <c r="AO103" s="314">
        <f t="shared" si="766"/>
        <v>486</v>
      </c>
      <c r="AP103" s="317"/>
      <c r="AQ103" s="130"/>
      <c r="AR103" s="317"/>
      <c r="AS103" s="698"/>
      <c r="AT103" s="317"/>
      <c r="AU103" s="130"/>
      <c r="AV103" s="314">
        <f t="shared" si="766"/>
        <v>546</v>
      </c>
      <c r="AW103" s="317"/>
      <c r="AX103" s="130"/>
      <c r="AY103" s="317"/>
      <c r="AZ103" s="698"/>
      <c r="BA103" s="317"/>
      <c r="BB103" s="130"/>
      <c r="BC103" s="314">
        <f t="shared" si="766"/>
        <v>456</v>
      </c>
      <c r="BD103" s="317"/>
      <c r="BE103" s="130"/>
      <c r="BF103" s="317"/>
      <c r="BG103" s="698"/>
      <c r="BH103" s="317"/>
      <c r="BI103" s="130"/>
      <c r="BJ103" s="314">
        <f t="shared" si="766"/>
        <v>533</v>
      </c>
      <c r="BK103" s="317"/>
      <c r="BL103" s="130"/>
      <c r="BM103" s="317"/>
      <c r="BN103" s="698"/>
      <c r="BO103" s="317"/>
      <c r="BP103" s="130"/>
      <c r="BQ103" s="314">
        <f t="shared" si="766"/>
        <v>574</v>
      </c>
      <c r="BR103" s="317"/>
      <c r="BS103" s="130"/>
      <c r="BT103" s="317"/>
      <c r="BU103" s="698"/>
      <c r="BV103" s="317"/>
      <c r="BW103" s="130"/>
      <c r="BX103" s="314"/>
      <c r="BY103" s="317"/>
      <c r="BZ103" s="130"/>
      <c r="CA103" s="317"/>
      <c r="CB103" s="698"/>
      <c r="CC103" s="317"/>
      <c r="CD103" s="130"/>
      <c r="CE103" s="314">
        <f t="shared" si="754"/>
        <v>663</v>
      </c>
      <c r="CF103" s="317"/>
      <c r="CG103" s="130"/>
      <c r="CH103" s="317"/>
      <c r="CI103" s="698"/>
      <c r="CJ103" s="317"/>
      <c r="CK103" s="130"/>
      <c r="CL103" s="314">
        <f t="shared" si="754"/>
        <v>719</v>
      </c>
      <c r="CM103" s="317"/>
      <c r="CN103" s="130"/>
      <c r="CO103" s="317"/>
      <c r="CP103" s="698"/>
      <c r="CQ103" s="317"/>
      <c r="CR103" s="130"/>
      <c r="CS103" s="314">
        <f t="shared" si="754"/>
        <v>828</v>
      </c>
      <c r="CT103" s="317">
        <f t="shared" si="755"/>
        <v>197.548</v>
      </c>
      <c r="CU103" s="130">
        <f t="shared" si="755"/>
        <v>152.49600000000001</v>
      </c>
      <c r="CV103" s="317">
        <f t="shared" ref="CV103" si="767">CV52+CV88</f>
        <v>181.16800000000001</v>
      </c>
      <c r="CW103" s="698">
        <f t="shared" si="755"/>
        <v>377.78800000000001</v>
      </c>
      <c r="CX103" s="317">
        <f t="shared" ref="CX103" si="768">CX52+CX88</f>
        <v>350.04399999999998</v>
      </c>
      <c r="CY103" s="130">
        <f t="shared" si="755"/>
        <v>558.95600000000002</v>
      </c>
      <c r="CZ103" s="314">
        <f t="shared" si="755"/>
        <v>909</v>
      </c>
      <c r="DA103" s="317">
        <f t="shared" ref="DA103:DB103" si="769">DA52+DA88</f>
        <v>110.447</v>
      </c>
      <c r="DB103" s="130">
        <f t="shared" si="769"/>
        <v>205.70999999999998</v>
      </c>
      <c r="DC103" s="317">
        <f t="shared" si="758"/>
        <v>235.46799999999999</v>
      </c>
      <c r="DD103" s="698">
        <f t="shared" si="758"/>
        <v>481.375</v>
      </c>
      <c r="DE103" s="317">
        <f t="shared" si="754"/>
        <v>316.15699999999998</v>
      </c>
      <c r="DF103" s="130">
        <f t="shared" si="754"/>
        <v>716.84300000000007</v>
      </c>
      <c r="DG103" s="314">
        <f t="shared" si="754"/>
        <v>1033</v>
      </c>
      <c r="DH103" s="130">
        <f t="shared" ref="DH103:DN103" si="770">DH52+DH88</f>
        <v>118</v>
      </c>
      <c r="DI103" s="130">
        <f t="shared" si="770"/>
        <v>223.32499999999999</v>
      </c>
      <c r="DJ103" s="317">
        <f t="shared" si="770"/>
        <v>294.97500000000002</v>
      </c>
      <c r="DK103" s="698">
        <f t="shared" si="770"/>
        <v>567.70000000000005</v>
      </c>
      <c r="DL103" s="317">
        <f t="shared" si="770"/>
        <v>341.32499999999999</v>
      </c>
      <c r="DM103" s="130">
        <f t="shared" si="770"/>
        <v>862.67499999999995</v>
      </c>
      <c r="DN103" s="314">
        <f t="shared" si="770"/>
        <v>1204</v>
      </c>
      <c r="DO103" s="130">
        <f t="shared" ref="DO103:DP103" si="771">DO52+DO88</f>
        <v>113.12</v>
      </c>
      <c r="DP103" s="130">
        <f t="shared" si="771"/>
        <v>237.28</v>
      </c>
      <c r="DQ103" s="617">
        <f t="shared" ref="DQ103:DU103" si="772">DQ52+DQ88</f>
        <v>322.69872374999994</v>
      </c>
      <c r="DR103" s="618">
        <f t="shared" si="772"/>
        <v>571.80019041000014</v>
      </c>
      <c r="DS103" s="1878">
        <f t="shared" si="772"/>
        <v>350.4</v>
      </c>
      <c r="DT103" s="617">
        <f t="shared" si="772"/>
        <v>894.49891416000014</v>
      </c>
      <c r="DU103" s="651">
        <f t="shared" si="772"/>
        <v>1244.89891416</v>
      </c>
      <c r="DV103" s="617">
        <f t="shared" ref="DV103:EB103" si="773">DV52+DV88</f>
        <v>229.93574183999999</v>
      </c>
      <c r="DW103" s="617">
        <f t="shared" si="773"/>
        <v>298.46007576</v>
      </c>
      <c r="DX103" s="617">
        <f t="shared" si="773"/>
        <v>299.30831664300001</v>
      </c>
      <c r="DY103" s="618">
        <f t="shared" si="773"/>
        <v>521.48917815069626</v>
      </c>
      <c r="DZ103" s="617">
        <f t="shared" si="773"/>
        <v>528.39581759999999</v>
      </c>
      <c r="EA103" s="617">
        <f t="shared" si="773"/>
        <v>820.79749479369616</v>
      </c>
      <c r="EB103" s="651">
        <f t="shared" si="773"/>
        <v>1349.193312393696</v>
      </c>
      <c r="EC103" s="617">
        <f t="shared" ref="EC103:EI103" si="774">EC52+EC88</f>
        <v>249.28901542684801</v>
      </c>
      <c r="ED103" s="617">
        <f t="shared" si="774"/>
        <v>323.22055084387205</v>
      </c>
      <c r="EE103" s="617">
        <f t="shared" si="774"/>
        <v>324.1407879222246</v>
      </c>
      <c r="EF103" s="618">
        <f t="shared" si="774"/>
        <v>563.68932860592122</v>
      </c>
      <c r="EG103" s="617">
        <f t="shared" si="774"/>
        <v>572.50956627072003</v>
      </c>
      <c r="EH103" s="617">
        <f t="shared" si="774"/>
        <v>887.83011652814582</v>
      </c>
      <c r="EI103" s="651">
        <f t="shared" si="774"/>
        <v>1460.3396827988659</v>
      </c>
      <c r="EJ103" s="617">
        <f t="shared" ref="EJ103:EP103" si="775">EJ52+EJ88</f>
        <v>264.46561731071654</v>
      </c>
      <c r="EK103" s="617">
        <f t="shared" si="775"/>
        <v>343.80241274313556</v>
      </c>
      <c r="EL103" s="617">
        <f t="shared" si="775"/>
        <v>344.77716446957322</v>
      </c>
      <c r="EM103" s="618">
        <f t="shared" si="775"/>
        <v>602.25417551469877</v>
      </c>
      <c r="EN103" s="617">
        <f t="shared" si="775"/>
        <v>608.26803005385216</v>
      </c>
      <c r="EO103" s="617">
        <f t="shared" si="775"/>
        <v>947.03133998427211</v>
      </c>
      <c r="EP103" s="651">
        <f t="shared" si="775"/>
        <v>1555.2993700381242</v>
      </c>
      <c r="EQ103" s="617">
        <f t="shared" ref="EQ103:EW103" si="776">EQ52+EQ88</f>
        <v>276.62242056334952</v>
      </c>
      <c r="ER103" s="617">
        <f t="shared" si="776"/>
        <v>359.25416384387825</v>
      </c>
      <c r="ES103" s="617">
        <f t="shared" si="776"/>
        <v>360.27430967050805</v>
      </c>
      <c r="ET103" s="618">
        <f t="shared" si="776"/>
        <v>628.28508982751248</v>
      </c>
      <c r="EU103" s="617">
        <f t="shared" si="776"/>
        <v>635.87658440722782</v>
      </c>
      <c r="EV103" s="617">
        <f t="shared" si="776"/>
        <v>988.55939949802053</v>
      </c>
      <c r="EW103" s="651">
        <f t="shared" si="776"/>
        <v>1624.4359839052481</v>
      </c>
    </row>
    <row r="104" spans="1:153" ht="10.199999999999999" customHeight="1">
      <c r="A104" s="108" t="s">
        <v>324</v>
      </c>
      <c r="B104" s="317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130"/>
      <c r="P104" s="317"/>
      <c r="Q104" s="698"/>
      <c r="R104" s="317"/>
      <c r="S104" s="130"/>
      <c r="T104" s="314">
        <f t="shared" ref="T104:BQ104" si="777">T53+T89</f>
        <v>1169</v>
      </c>
      <c r="U104" s="317"/>
      <c r="V104" s="130"/>
      <c r="W104" s="317"/>
      <c r="X104" s="698"/>
      <c r="Y104" s="317"/>
      <c r="Z104" s="130"/>
      <c r="AA104" s="314">
        <f t="shared" si="777"/>
        <v>933</v>
      </c>
      <c r="AB104" s="317"/>
      <c r="AC104" s="130"/>
      <c r="AD104" s="317"/>
      <c r="AE104" s="698"/>
      <c r="AF104" s="317"/>
      <c r="AG104" s="130"/>
      <c r="AH104" s="314">
        <f t="shared" si="777"/>
        <v>1390</v>
      </c>
      <c r="AI104" s="317"/>
      <c r="AJ104" s="130"/>
      <c r="AK104" s="317"/>
      <c r="AL104" s="698"/>
      <c r="AM104" s="317"/>
      <c r="AN104" s="130"/>
      <c r="AO104" s="314">
        <f t="shared" si="777"/>
        <v>390</v>
      </c>
      <c r="AP104" s="317"/>
      <c r="AQ104" s="130"/>
      <c r="AR104" s="317"/>
      <c r="AS104" s="698"/>
      <c r="AT104" s="317"/>
      <c r="AU104" s="130"/>
      <c r="AV104" s="314">
        <f t="shared" si="777"/>
        <v>641</v>
      </c>
      <c r="AW104" s="317"/>
      <c r="AX104" s="130"/>
      <c r="AY104" s="317"/>
      <c r="AZ104" s="698"/>
      <c r="BA104" s="317"/>
      <c r="BB104" s="130"/>
      <c r="BC104" s="314">
        <f t="shared" si="777"/>
        <v>891</v>
      </c>
      <c r="BD104" s="317"/>
      <c r="BE104" s="130"/>
      <c r="BF104" s="317"/>
      <c r="BG104" s="698"/>
      <c r="BH104" s="317"/>
      <c r="BI104" s="130"/>
      <c r="BJ104" s="314">
        <f t="shared" si="777"/>
        <v>1133</v>
      </c>
      <c r="BK104" s="317"/>
      <c r="BL104" s="130"/>
      <c r="BM104" s="317"/>
      <c r="BN104" s="698"/>
      <c r="BO104" s="317"/>
      <c r="BP104" s="130"/>
      <c r="BQ104" s="314">
        <f t="shared" si="777"/>
        <v>-326</v>
      </c>
      <c r="BR104" s="317"/>
      <c r="BS104" s="130"/>
      <c r="BT104" s="317"/>
      <c r="BU104" s="698"/>
      <c r="BV104" s="317"/>
      <c r="BW104" s="130"/>
      <c r="BX104" s="314"/>
      <c r="BY104" s="317"/>
      <c r="BZ104" s="130"/>
      <c r="CA104" s="317"/>
      <c r="CB104" s="698"/>
      <c r="CC104" s="317"/>
      <c r="CD104" s="130"/>
      <c r="CE104" s="314">
        <f t="shared" si="754"/>
        <v>1080</v>
      </c>
      <c r="CF104" s="317"/>
      <c r="CG104" s="130"/>
      <c r="CH104" s="317"/>
      <c r="CI104" s="698"/>
      <c r="CJ104" s="317"/>
      <c r="CK104" s="130"/>
      <c r="CL104" s="314">
        <f t="shared" si="754"/>
        <v>1093</v>
      </c>
      <c r="CM104" s="317"/>
      <c r="CN104" s="130"/>
      <c r="CO104" s="317"/>
      <c r="CP104" s="698"/>
      <c r="CQ104" s="317"/>
      <c r="CR104" s="130"/>
      <c r="CS104" s="314">
        <f t="shared" si="754"/>
        <v>843</v>
      </c>
      <c r="CT104" s="317">
        <f t="shared" si="755"/>
        <v>125.661</v>
      </c>
      <c r="CU104" s="130">
        <f t="shared" si="755"/>
        <v>142.80600000000001</v>
      </c>
      <c r="CV104" s="317">
        <f t="shared" ref="CV104" si="778">CV53+CV89</f>
        <v>6.7199999999999989</v>
      </c>
      <c r="CW104" s="698">
        <f t="shared" si="755"/>
        <v>397.81299999999999</v>
      </c>
      <c r="CX104" s="317">
        <f t="shared" ref="CX104" si="779">CX53+CX89</f>
        <v>268.46699999999998</v>
      </c>
      <c r="CY104" s="130">
        <f t="shared" si="755"/>
        <v>404.53300000000002</v>
      </c>
      <c r="CZ104" s="314">
        <f t="shared" si="755"/>
        <v>673</v>
      </c>
      <c r="DA104" s="317">
        <f t="shared" ref="DA104:DB104" si="780">DA53+DA89</f>
        <v>229.11700000000002</v>
      </c>
      <c r="DB104" s="130">
        <f t="shared" si="780"/>
        <v>-575.36200000000008</v>
      </c>
      <c r="DC104" s="317">
        <f t="shared" si="758"/>
        <v>360.79200000000003</v>
      </c>
      <c r="DD104" s="698">
        <f t="shared" si="758"/>
        <v>327.45299999999997</v>
      </c>
      <c r="DE104" s="317">
        <f t="shared" si="754"/>
        <v>-346.245</v>
      </c>
      <c r="DF104" s="130">
        <f t="shared" si="754"/>
        <v>688.245</v>
      </c>
      <c r="DG104" s="314">
        <f t="shared" si="754"/>
        <v>342</v>
      </c>
      <c r="DH104" s="130">
        <f t="shared" ref="DH104:DN104" si="781">DH53+DH89</f>
        <v>101.80000000000001</v>
      </c>
      <c r="DI104" s="130">
        <f t="shared" si="781"/>
        <v>349.85</v>
      </c>
      <c r="DJ104" s="317">
        <f t="shared" si="781"/>
        <v>345.15</v>
      </c>
      <c r="DK104" s="698">
        <f t="shared" si="781"/>
        <v>323.19999999999993</v>
      </c>
      <c r="DL104" s="317">
        <f t="shared" si="781"/>
        <v>451.65000000000003</v>
      </c>
      <c r="DM104" s="130">
        <f t="shared" si="781"/>
        <v>668.34999999999991</v>
      </c>
      <c r="DN104" s="314">
        <f t="shared" si="781"/>
        <v>1120</v>
      </c>
      <c r="DO104" s="130">
        <f t="shared" ref="DO104:DP104" si="782">DO53+DO89</f>
        <v>275.60000000000002</v>
      </c>
      <c r="DP104" s="130">
        <f t="shared" si="782"/>
        <v>582.20000000000005</v>
      </c>
      <c r="DQ104" s="617">
        <f t="shared" ref="DQ104:DU104" si="783">DQ53+DQ89</f>
        <v>378.95436000000001</v>
      </c>
      <c r="DR104" s="618">
        <f t="shared" si="783"/>
        <v>561.9680400000002</v>
      </c>
      <c r="DS104" s="1878">
        <f t="shared" si="783"/>
        <v>857.8</v>
      </c>
      <c r="DT104" s="617">
        <f t="shared" si="783"/>
        <v>940.92240000000015</v>
      </c>
      <c r="DU104" s="651">
        <f t="shared" si="783"/>
        <v>1798.7224000000001</v>
      </c>
      <c r="DV104" s="617">
        <f t="shared" ref="DV104:EB104" si="784">DV53+DV89</f>
        <v>377.62950000000001</v>
      </c>
      <c r="DW104" s="617">
        <f t="shared" si="784"/>
        <v>464.96437499999996</v>
      </c>
      <c r="DX104" s="617">
        <f t="shared" si="784"/>
        <v>445.75264687499998</v>
      </c>
      <c r="DY104" s="618">
        <f t="shared" si="784"/>
        <v>650.18404062500008</v>
      </c>
      <c r="DZ104" s="617">
        <f t="shared" si="784"/>
        <v>842.59387500000003</v>
      </c>
      <c r="EA104" s="617">
        <f t="shared" si="784"/>
        <v>1095.9366875000001</v>
      </c>
      <c r="EB104" s="651">
        <f t="shared" si="784"/>
        <v>1938.5305625000001</v>
      </c>
      <c r="EC104" s="617">
        <f t="shared" ref="EC104:EI104" si="785">EC53+EC89</f>
        <v>412.37141400000002</v>
      </c>
      <c r="ED104" s="617">
        <f t="shared" si="785"/>
        <v>507.74109750000014</v>
      </c>
      <c r="EE104" s="617">
        <f t="shared" si="785"/>
        <v>486.76189038750005</v>
      </c>
      <c r="EF104" s="618">
        <f t="shared" si="785"/>
        <v>710.00097236250042</v>
      </c>
      <c r="EG104" s="617">
        <f t="shared" si="785"/>
        <v>920.11251150000021</v>
      </c>
      <c r="EH104" s="617">
        <f t="shared" si="785"/>
        <v>1196.7628627500005</v>
      </c>
      <c r="EI104" s="651">
        <f t="shared" si="785"/>
        <v>2116.8753742500003</v>
      </c>
      <c r="EJ104" s="617">
        <f t="shared" ref="EJ104:EP104" si="786">EJ53+EJ89</f>
        <v>438.39933480000002</v>
      </c>
      <c r="EK104" s="617">
        <f t="shared" si="786"/>
        <v>539.05171950000022</v>
      </c>
      <c r="EL104" s="617">
        <f t="shared" si="786"/>
        <v>517.57994422968761</v>
      </c>
      <c r="EM104" s="618">
        <f t="shared" si="786"/>
        <v>753.75832248281279</v>
      </c>
      <c r="EN104" s="617">
        <f t="shared" si="786"/>
        <v>977.45105430000012</v>
      </c>
      <c r="EO104" s="617">
        <f t="shared" si="786"/>
        <v>1271.3382667125004</v>
      </c>
      <c r="EP104" s="651">
        <f t="shared" si="786"/>
        <v>2248.7893210125003</v>
      </c>
      <c r="EQ104" s="617">
        <f t="shared" ref="EQ104:EW104" si="787">EQ53+EQ89</f>
        <v>465.99911914500007</v>
      </c>
      <c r="ER104" s="617">
        <f t="shared" si="787"/>
        <v>572.22405095625027</v>
      </c>
      <c r="ES104" s="617">
        <f t="shared" si="787"/>
        <v>550.26289873012513</v>
      </c>
      <c r="ET104" s="618">
        <f t="shared" si="787"/>
        <v>800.11640518425043</v>
      </c>
      <c r="EU104" s="617">
        <f t="shared" si="787"/>
        <v>1038.2231701012502</v>
      </c>
      <c r="EV104" s="617">
        <f t="shared" si="787"/>
        <v>1350.3793039143757</v>
      </c>
      <c r="EW104" s="651">
        <f t="shared" si="787"/>
        <v>2388.6024740156258</v>
      </c>
    </row>
    <row r="105" spans="1:153" ht="10.199999999999999" hidden="1" customHeight="1" outlineLevel="1">
      <c r="A105" s="127" t="str">
        <f>A19</f>
        <v>Airbus Military</v>
      </c>
      <c r="B105" s="317">
        <f t="shared" ref="B105:M105" si="788">B54+B90</f>
        <v>-32</v>
      </c>
      <c r="C105" s="317">
        <f t="shared" si="788"/>
        <v>-26</v>
      </c>
      <c r="D105" s="317">
        <f t="shared" si="788"/>
        <v>51</v>
      </c>
      <c r="E105" s="317">
        <f t="shared" si="788"/>
        <v>60</v>
      </c>
      <c r="F105" s="317">
        <f t="shared" si="788"/>
        <v>89</v>
      </c>
      <c r="G105" s="317">
        <f t="shared" si="788"/>
        <v>101</v>
      </c>
      <c r="H105" s="317">
        <f t="shared" si="788"/>
        <v>-128</v>
      </c>
      <c r="I105" s="317">
        <f t="shared" si="788"/>
        <v>-424</v>
      </c>
      <c r="J105" s="317">
        <f t="shared" si="788"/>
        <v>-1582</v>
      </c>
      <c r="K105" s="317">
        <f t="shared" si="788"/>
        <v>54</v>
      </c>
      <c r="L105" s="317">
        <f t="shared" si="788"/>
        <v>168</v>
      </c>
      <c r="M105" s="317">
        <f t="shared" si="788"/>
        <v>169</v>
      </c>
      <c r="N105" s="317"/>
      <c r="O105" s="129"/>
      <c r="P105" s="317"/>
      <c r="Q105" s="698"/>
      <c r="R105" s="317"/>
      <c r="S105" s="130"/>
      <c r="T105" s="314"/>
      <c r="U105" s="317"/>
      <c r="V105" s="129"/>
      <c r="W105" s="317"/>
      <c r="X105" s="698"/>
      <c r="Y105" s="317"/>
      <c r="Z105" s="130"/>
      <c r="AA105" s="314"/>
      <c r="AB105" s="317"/>
      <c r="AC105" s="129"/>
      <c r="AD105" s="317"/>
      <c r="AE105" s="698"/>
      <c r="AF105" s="317"/>
      <c r="AG105" s="130"/>
      <c r="AH105" s="314"/>
      <c r="AI105" s="317"/>
      <c r="AJ105" s="129"/>
      <c r="AK105" s="317"/>
      <c r="AL105" s="698"/>
      <c r="AM105" s="317"/>
      <c r="AN105" s="130"/>
      <c r="AO105" s="314"/>
      <c r="AP105" s="317"/>
      <c r="AQ105" s="129"/>
      <c r="AR105" s="317"/>
      <c r="AS105" s="698"/>
      <c r="AT105" s="317"/>
      <c r="AU105" s="130"/>
      <c r="AV105" s="314"/>
      <c r="AW105" s="317"/>
      <c r="AX105" s="129"/>
      <c r="AY105" s="317"/>
      <c r="AZ105" s="698"/>
      <c r="BA105" s="317"/>
      <c r="BB105" s="130"/>
      <c r="BC105" s="314"/>
      <c r="BD105" s="317"/>
      <c r="BE105" s="129"/>
      <c r="BF105" s="317"/>
      <c r="BG105" s="698"/>
      <c r="BH105" s="317"/>
      <c r="BI105" s="130"/>
      <c r="BJ105" s="314"/>
      <c r="BK105" s="317"/>
      <c r="BL105" s="129"/>
      <c r="BM105" s="317"/>
      <c r="BN105" s="698"/>
      <c r="BO105" s="317"/>
      <c r="BP105" s="130"/>
      <c r="BQ105" s="314"/>
      <c r="BR105" s="317"/>
      <c r="BS105" s="129"/>
      <c r="BT105" s="317"/>
      <c r="BU105" s="698"/>
      <c r="BV105" s="317"/>
      <c r="BW105" s="130"/>
      <c r="BX105" s="314"/>
      <c r="BY105" s="317"/>
      <c r="BZ105" s="129"/>
      <c r="CA105" s="317"/>
      <c r="CB105" s="698"/>
      <c r="CC105" s="317"/>
      <c r="CD105" s="130"/>
      <c r="CE105" s="314"/>
      <c r="CF105" s="317"/>
      <c r="CG105" s="129"/>
      <c r="CH105" s="317"/>
      <c r="CI105" s="698"/>
      <c r="CJ105" s="317"/>
      <c r="CK105" s="130"/>
      <c r="CL105" s="314"/>
      <c r="CM105" s="317"/>
      <c r="CN105" s="129"/>
      <c r="CO105" s="317"/>
      <c r="CP105" s="698"/>
      <c r="CQ105" s="317"/>
      <c r="CR105" s="130"/>
      <c r="CS105" s="314"/>
      <c r="CT105" s="317"/>
      <c r="CU105" s="129"/>
      <c r="CV105" s="317"/>
      <c r="CW105" s="698"/>
      <c r="CX105" s="317"/>
      <c r="CY105" s="130"/>
      <c r="CZ105" s="314"/>
      <c r="DA105" s="317"/>
      <c r="DB105" s="129"/>
      <c r="DC105" s="317"/>
      <c r="DD105" s="698"/>
      <c r="DE105" s="317"/>
      <c r="DF105" s="130"/>
      <c r="DG105" s="314"/>
      <c r="DH105" s="130"/>
      <c r="DI105" s="129"/>
      <c r="DJ105" s="317"/>
      <c r="DK105" s="698"/>
      <c r="DL105" s="317"/>
      <c r="DM105" s="130"/>
      <c r="DN105" s="314"/>
      <c r="DO105" s="130"/>
      <c r="DP105" s="129"/>
      <c r="DQ105" s="129"/>
      <c r="DR105" s="1112"/>
      <c r="DS105" s="1878"/>
      <c r="DT105" s="129"/>
      <c r="DU105" s="1086"/>
      <c r="DV105" s="129"/>
      <c r="DW105" s="129"/>
      <c r="DX105" s="129"/>
      <c r="DY105" s="1112"/>
      <c r="DZ105" s="129"/>
      <c r="EA105" s="129"/>
      <c r="EB105" s="1086"/>
      <c r="EC105" s="129"/>
      <c r="ED105" s="129"/>
      <c r="EE105" s="129"/>
      <c r="EF105" s="1112"/>
      <c r="EG105" s="129"/>
      <c r="EH105" s="129"/>
      <c r="EI105" s="1086"/>
      <c r="EJ105" s="129"/>
      <c r="EK105" s="129"/>
      <c r="EL105" s="129"/>
      <c r="EM105" s="1112"/>
      <c r="EN105" s="129"/>
      <c r="EO105" s="129"/>
      <c r="EP105" s="1086"/>
      <c r="EQ105" s="129"/>
      <c r="ER105" s="129"/>
      <c r="ES105" s="129"/>
      <c r="ET105" s="1112"/>
      <c r="EU105" s="129"/>
      <c r="EV105" s="129"/>
      <c r="EW105" s="1086"/>
    </row>
    <row r="106" spans="1:153" ht="10.199999999999999" hidden="1" customHeight="1" outlineLevel="1">
      <c r="A106" s="127" t="str">
        <f>A20</f>
        <v>Cassidian</v>
      </c>
      <c r="B106" s="317">
        <f t="shared" ref="B106:M106" si="789">B55+B91</f>
        <v>1424</v>
      </c>
      <c r="C106" s="317">
        <f t="shared" si="789"/>
        <v>337</v>
      </c>
      <c r="D106" s="317">
        <f t="shared" si="789"/>
        <v>442</v>
      </c>
      <c r="E106" s="317">
        <f t="shared" si="789"/>
        <v>365</v>
      </c>
      <c r="F106" s="317">
        <f t="shared" si="789"/>
        <v>347</v>
      </c>
      <c r="G106" s="317">
        <f t="shared" si="789"/>
        <v>470</v>
      </c>
      <c r="H106" s="317">
        <f t="shared" si="789"/>
        <v>475</v>
      </c>
      <c r="I106" s="317">
        <f t="shared" si="789"/>
        <v>548</v>
      </c>
      <c r="J106" s="317">
        <f t="shared" si="789"/>
        <v>587</v>
      </c>
      <c r="K106" s="317">
        <f t="shared" si="789"/>
        <v>591</v>
      </c>
      <c r="L106" s="317">
        <f t="shared" si="789"/>
        <v>491</v>
      </c>
      <c r="M106" s="317">
        <f t="shared" si="789"/>
        <v>388</v>
      </c>
      <c r="N106" s="317"/>
      <c r="O106" s="129"/>
      <c r="P106" s="317"/>
      <c r="Q106" s="698"/>
      <c r="R106" s="317"/>
      <c r="S106" s="130"/>
      <c r="T106" s="314"/>
      <c r="U106" s="317"/>
      <c r="V106" s="129"/>
      <c r="W106" s="317"/>
      <c r="X106" s="698"/>
      <c r="Y106" s="317"/>
      <c r="Z106" s="130"/>
      <c r="AA106" s="314"/>
      <c r="AB106" s="317"/>
      <c r="AC106" s="129"/>
      <c r="AD106" s="317"/>
      <c r="AE106" s="698"/>
      <c r="AF106" s="317"/>
      <c r="AG106" s="130"/>
      <c r="AH106" s="314"/>
      <c r="AI106" s="317"/>
      <c r="AJ106" s="129"/>
      <c r="AK106" s="317"/>
      <c r="AL106" s="698"/>
      <c r="AM106" s="317"/>
      <c r="AN106" s="130"/>
      <c r="AO106" s="314"/>
      <c r="AP106" s="317"/>
      <c r="AQ106" s="129"/>
      <c r="AR106" s="317"/>
      <c r="AS106" s="698"/>
      <c r="AT106" s="317"/>
      <c r="AU106" s="130"/>
      <c r="AV106" s="314"/>
      <c r="AW106" s="317"/>
      <c r="AX106" s="129"/>
      <c r="AY106" s="317"/>
      <c r="AZ106" s="698"/>
      <c r="BA106" s="317"/>
      <c r="BB106" s="130"/>
      <c r="BC106" s="314"/>
      <c r="BD106" s="317"/>
      <c r="BE106" s="129"/>
      <c r="BF106" s="317"/>
      <c r="BG106" s="698"/>
      <c r="BH106" s="317"/>
      <c r="BI106" s="130"/>
      <c r="BJ106" s="314"/>
      <c r="BK106" s="317"/>
      <c r="BL106" s="129"/>
      <c r="BM106" s="317"/>
      <c r="BN106" s="698"/>
      <c r="BO106" s="317"/>
      <c r="BP106" s="130"/>
      <c r="BQ106" s="314"/>
      <c r="BR106" s="317"/>
      <c r="BS106" s="129"/>
      <c r="BT106" s="317"/>
      <c r="BU106" s="698"/>
      <c r="BV106" s="317"/>
      <c r="BW106" s="130"/>
      <c r="BX106" s="314"/>
      <c r="BY106" s="317"/>
      <c r="BZ106" s="129"/>
      <c r="CA106" s="317"/>
      <c r="CB106" s="698"/>
      <c r="CC106" s="317"/>
      <c r="CD106" s="130"/>
      <c r="CE106" s="314"/>
      <c r="CF106" s="317"/>
      <c r="CG106" s="129"/>
      <c r="CH106" s="317"/>
      <c r="CI106" s="698"/>
      <c r="CJ106" s="317"/>
      <c r="CK106" s="130"/>
      <c r="CL106" s="314"/>
      <c r="CM106" s="317"/>
      <c r="CN106" s="129"/>
      <c r="CO106" s="317"/>
      <c r="CP106" s="698"/>
      <c r="CQ106" s="317"/>
      <c r="CR106" s="130"/>
      <c r="CS106" s="314"/>
      <c r="CT106" s="317"/>
      <c r="CU106" s="129"/>
      <c r="CV106" s="317"/>
      <c r="CW106" s="698"/>
      <c r="CX106" s="317"/>
      <c r="CY106" s="130"/>
      <c r="CZ106" s="314"/>
      <c r="DA106" s="317"/>
      <c r="DB106" s="129"/>
      <c r="DC106" s="317"/>
      <c r="DD106" s="698"/>
      <c r="DE106" s="317"/>
      <c r="DF106" s="130"/>
      <c r="DG106" s="314"/>
      <c r="DH106" s="130"/>
      <c r="DI106" s="129"/>
      <c r="DJ106" s="317"/>
      <c r="DK106" s="698"/>
      <c r="DL106" s="317"/>
      <c r="DM106" s="130"/>
      <c r="DN106" s="314"/>
      <c r="DO106" s="130"/>
      <c r="DP106" s="129"/>
      <c r="DQ106" s="129"/>
      <c r="DR106" s="1112"/>
      <c r="DS106" s="1878"/>
      <c r="DT106" s="129"/>
      <c r="DU106" s="1086"/>
      <c r="DV106" s="129"/>
      <c r="DW106" s="129"/>
      <c r="DX106" s="129"/>
      <c r="DY106" s="1112"/>
      <c r="DZ106" s="129"/>
      <c r="EA106" s="129"/>
      <c r="EB106" s="1086"/>
      <c r="EC106" s="129"/>
      <c r="ED106" s="129"/>
      <c r="EE106" s="129"/>
      <c r="EF106" s="1112"/>
      <c r="EG106" s="129"/>
      <c r="EH106" s="129"/>
      <c r="EI106" s="1086"/>
      <c r="EJ106" s="129"/>
      <c r="EK106" s="129"/>
      <c r="EL106" s="129"/>
      <c r="EM106" s="1112"/>
      <c r="EN106" s="129"/>
      <c r="EO106" s="129"/>
      <c r="EP106" s="1086"/>
      <c r="EQ106" s="129"/>
      <c r="ER106" s="129"/>
      <c r="ES106" s="129"/>
      <c r="ET106" s="1112"/>
      <c r="EU106" s="129"/>
      <c r="EV106" s="129"/>
      <c r="EW106" s="1086"/>
    </row>
    <row r="107" spans="1:153" ht="10.199999999999999" hidden="1" customHeight="1" outlineLevel="1">
      <c r="A107" s="127" t="str">
        <f>A21</f>
        <v>Astrium</v>
      </c>
      <c r="B107" s="317">
        <f t="shared" ref="B107:M107" si="790">B56+B92</f>
        <v>182</v>
      </c>
      <c r="C107" s="317">
        <f t="shared" si="790"/>
        <v>-121</v>
      </c>
      <c r="D107" s="317">
        <f t="shared" si="790"/>
        <v>-258</v>
      </c>
      <c r="E107" s="317">
        <f t="shared" si="790"/>
        <v>119</v>
      </c>
      <c r="F107" s="317">
        <f t="shared" si="790"/>
        <v>175</v>
      </c>
      <c r="G107" s="317">
        <f t="shared" si="790"/>
        <v>253</v>
      </c>
      <c r="H107" s="317">
        <f t="shared" si="790"/>
        <v>336</v>
      </c>
      <c r="I107" s="317">
        <f t="shared" si="790"/>
        <v>419</v>
      </c>
      <c r="J107" s="317">
        <f t="shared" si="790"/>
        <v>485</v>
      </c>
      <c r="K107" s="317">
        <f t="shared" si="790"/>
        <v>497</v>
      </c>
      <c r="L107" s="317">
        <f t="shared" si="790"/>
        <v>498</v>
      </c>
      <c r="M107" s="317">
        <f t="shared" si="790"/>
        <v>606</v>
      </c>
      <c r="N107" s="317"/>
      <c r="O107" s="129"/>
      <c r="P107" s="317"/>
      <c r="Q107" s="698"/>
      <c r="R107" s="317"/>
      <c r="S107" s="130"/>
      <c r="T107" s="314"/>
      <c r="U107" s="317"/>
      <c r="V107" s="129"/>
      <c r="W107" s="317"/>
      <c r="X107" s="698"/>
      <c r="Y107" s="317"/>
      <c r="Z107" s="130"/>
      <c r="AA107" s="314"/>
      <c r="AB107" s="317"/>
      <c r="AC107" s="129"/>
      <c r="AD107" s="317"/>
      <c r="AE107" s="698"/>
      <c r="AF107" s="317"/>
      <c r="AG107" s="130"/>
      <c r="AH107" s="314"/>
      <c r="AI107" s="317"/>
      <c r="AJ107" s="129"/>
      <c r="AK107" s="317"/>
      <c r="AL107" s="698"/>
      <c r="AM107" s="317"/>
      <c r="AN107" s="130"/>
      <c r="AO107" s="314"/>
      <c r="AP107" s="317"/>
      <c r="AQ107" s="129"/>
      <c r="AR107" s="317"/>
      <c r="AS107" s="698"/>
      <c r="AT107" s="317"/>
      <c r="AU107" s="130"/>
      <c r="AV107" s="314"/>
      <c r="AW107" s="317"/>
      <c r="AX107" s="129"/>
      <c r="AY107" s="317"/>
      <c r="AZ107" s="698"/>
      <c r="BA107" s="317"/>
      <c r="BB107" s="130"/>
      <c r="BC107" s="314"/>
      <c r="BD107" s="317"/>
      <c r="BE107" s="129"/>
      <c r="BF107" s="317"/>
      <c r="BG107" s="698"/>
      <c r="BH107" s="317"/>
      <c r="BI107" s="130"/>
      <c r="BJ107" s="314"/>
      <c r="BK107" s="317"/>
      <c r="BL107" s="129"/>
      <c r="BM107" s="317"/>
      <c r="BN107" s="698"/>
      <c r="BO107" s="317"/>
      <c r="BP107" s="130"/>
      <c r="BQ107" s="314"/>
      <c r="BR107" s="317"/>
      <c r="BS107" s="129"/>
      <c r="BT107" s="317"/>
      <c r="BU107" s="698"/>
      <c r="BV107" s="317"/>
      <c r="BW107" s="130"/>
      <c r="BX107" s="314"/>
      <c r="BY107" s="317"/>
      <c r="BZ107" s="129"/>
      <c r="CA107" s="317"/>
      <c r="CB107" s="698"/>
      <c r="CC107" s="317"/>
      <c r="CD107" s="130"/>
      <c r="CE107" s="314"/>
      <c r="CF107" s="317"/>
      <c r="CG107" s="129"/>
      <c r="CH107" s="317"/>
      <c r="CI107" s="698"/>
      <c r="CJ107" s="317"/>
      <c r="CK107" s="130"/>
      <c r="CL107" s="314"/>
      <c r="CM107" s="317"/>
      <c r="CN107" s="129"/>
      <c r="CO107" s="317"/>
      <c r="CP107" s="698"/>
      <c r="CQ107" s="317"/>
      <c r="CR107" s="130"/>
      <c r="CS107" s="314"/>
      <c r="CT107" s="317"/>
      <c r="CU107" s="129"/>
      <c r="CV107" s="317"/>
      <c r="CW107" s="698"/>
      <c r="CX107" s="317"/>
      <c r="CY107" s="130"/>
      <c r="CZ107" s="314"/>
      <c r="DA107" s="317"/>
      <c r="DB107" s="129"/>
      <c r="DC107" s="317"/>
      <c r="DD107" s="698"/>
      <c r="DE107" s="317"/>
      <c r="DF107" s="130"/>
      <c r="DG107" s="314"/>
      <c r="DH107" s="130"/>
      <c r="DI107" s="129"/>
      <c r="DJ107" s="317"/>
      <c r="DK107" s="698"/>
      <c r="DL107" s="317"/>
      <c r="DM107" s="130"/>
      <c r="DN107" s="314"/>
      <c r="DO107" s="130"/>
      <c r="DP107" s="129"/>
      <c r="DQ107" s="129"/>
      <c r="DR107" s="1112"/>
      <c r="DS107" s="1878"/>
      <c r="DT107" s="129"/>
      <c r="DU107" s="1086"/>
      <c r="DV107" s="129"/>
      <c r="DW107" s="129"/>
      <c r="DX107" s="129"/>
      <c r="DY107" s="1112"/>
      <c r="DZ107" s="129"/>
      <c r="EA107" s="129"/>
      <c r="EB107" s="1086"/>
      <c r="EC107" s="129"/>
      <c r="ED107" s="129"/>
      <c r="EE107" s="129"/>
      <c r="EF107" s="1112"/>
      <c r="EG107" s="129"/>
      <c r="EH107" s="129"/>
      <c r="EI107" s="1086"/>
      <c r="EJ107" s="129"/>
      <c r="EK107" s="129"/>
      <c r="EL107" s="129"/>
      <c r="EM107" s="1112"/>
      <c r="EN107" s="129"/>
      <c r="EO107" s="129"/>
      <c r="EP107" s="1086"/>
      <c r="EQ107" s="129"/>
      <c r="ER107" s="129"/>
      <c r="ES107" s="129"/>
      <c r="ET107" s="1112"/>
      <c r="EU107" s="129"/>
      <c r="EV107" s="129"/>
      <c r="EW107" s="1086"/>
    </row>
    <row r="108" spans="1:153" ht="10.199999999999999" hidden="1" customHeight="1" outlineLevel="1">
      <c r="A108" s="127" t="str">
        <f>A22</f>
        <v>Other Businesses</v>
      </c>
      <c r="B108" s="317">
        <f t="shared" ref="B108:M108" si="791">B57+B93</f>
        <v>399.4</v>
      </c>
      <c r="C108" s="317">
        <f t="shared" si="791"/>
        <v>125.4</v>
      </c>
      <c r="D108" s="317">
        <f t="shared" si="791"/>
        <v>95.899999999999991</v>
      </c>
      <c r="E108" s="317">
        <f t="shared" si="791"/>
        <v>56</v>
      </c>
      <c r="F108" s="317">
        <f t="shared" si="791"/>
        <v>-116</v>
      </c>
      <c r="G108" s="317">
        <f t="shared" si="791"/>
        <v>-200</v>
      </c>
      <c r="H108" s="317">
        <f t="shared" si="791"/>
        <v>126</v>
      </c>
      <c r="I108" s="317">
        <f t="shared" si="791"/>
        <v>86</v>
      </c>
      <c r="J108" s="317">
        <f t="shared" si="791"/>
        <v>52</v>
      </c>
      <c r="K108" s="317">
        <f t="shared" si="791"/>
        <v>50</v>
      </c>
      <c r="L108" s="317">
        <f t="shared" si="791"/>
        <v>117</v>
      </c>
      <c r="M108" s="317">
        <f t="shared" si="791"/>
        <v>94</v>
      </c>
      <c r="N108" s="317"/>
      <c r="O108" s="129"/>
      <c r="P108" s="317"/>
      <c r="Q108" s="698"/>
      <c r="R108" s="317"/>
      <c r="S108" s="130"/>
      <c r="T108" s="314"/>
      <c r="U108" s="317"/>
      <c r="V108" s="129"/>
      <c r="W108" s="317"/>
      <c r="X108" s="698"/>
      <c r="Y108" s="317"/>
      <c r="Z108" s="130"/>
      <c r="AA108" s="314"/>
      <c r="AB108" s="317"/>
      <c r="AC108" s="129"/>
      <c r="AD108" s="317"/>
      <c r="AE108" s="698"/>
      <c r="AF108" s="317"/>
      <c r="AG108" s="130"/>
      <c r="AH108" s="314"/>
      <c r="AI108" s="317"/>
      <c r="AJ108" s="129"/>
      <c r="AK108" s="317"/>
      <c r="AL108" s="698"/>
      <c r="AM108" s="317"/>
      <c r="AN108" s="130"/>
      <c r="AO108" s="314"/>
      <c r="AP108" s="317"/>
      <c r="AQ108" s="129"/>
      <c r="AR108" s="317"/>
      <c r="AS108" s="698"/>
      <c r="AT108" s="317"/>
      <c r="AU108" s="130"/>
      <c r="AV108" s="314"/>
      <c r="AW108" s="317"/>
      <c r="AX108" s="129"/>
      <c r="AY108" s="317"/>
      <c r="AZ108" s="698"/>
      <c r="BA108" s="317"/>
      <c r="BB108" s="130"/>
      <c r="BC108" s="314"/>
      <c r="BD108" s="317"/>
      <c r="BE108" s="129"/>
      <c r="BF108" s="317"/>
      <c r="BG108" s="698"/>
      <c r="BH108" s="317"/>
      <c r="BI108" s="130"/>
      <c r="BJ108" s="314"/>
      <c r="BK108" s="317"/>
      <c r="BL108" s="129"/>
      <c r="BM108" s="317"/>
      <c r="BN108" s="698"/>
      <c r="BO108" s="317"/>
      <c r="BP108" s="130"/>
      <c r="BQ108" s="314"/>
      <c r="BR108" s="317"/>
      <c r="BS108" s="129"/>
      <c r="BT108" s="317"/>
      <c r="BU108" s="698"/>
      <c r="BV108" s="317"/>
      <c r="BW108" s="130"/>
      <c r="BX108" s="314"/>
      <c r="BY108" s="317"/>
      <c r="BZ108" s="129"/>
      <c r="CA108" s="317"/>
      <c r="CB108" s="698"/>
      <c r="CC108" s="317"/>
      <c r="CD108" s="130"/>
      <c r="CE108" s="314"/>
      <c r="CF108" s="317"/>
      <c r="CG108" s="129"/>
      <c r="CH108" s="317"/>
      <c r="CI108" s="698"/>
      <c r="CJ108" s="317"/>
      <c r="CK108" s="130"/>
      <c r="CL108" s="314"/>
      <c r="CM108" s="317"/>
      <c r="CN108" s="129"/>
      <c r="CO108" s="317"/>
      <c r="CP108" s="698"/>
      <c r="CQ108" s="317"/>
      <c r="CR108" s="130"/>
      <c r="CS108" s="314"/>
      <c r="CT108" s="317"/>
      <c r="CU108" s="129"/>
      <c r="CV108" s="317"/>
      <c r="CW108" s="698"/>
      <c r="CX108" s="317"/>
      <c r="CY108" s="130"/>
      <c r="CZ108" s="314"/>
      <c r="DA108" s="317"/>
      <c r="DB108" s="129"/>
      <c r="DC108" s="317"/>
      <c r="DD108" s="698"/>
      <c r="DE108" s="317"/>
      <c r="DF108" s="130"/>
      <c r="DG108" s="314"/>
      <c r="DH108" s="130"/>
      <c r="DI108" s="129"/>
      <c r="DJ108" s="317"/>
      <c r="DK108" s="698"/>
      <c r="DL108" s="317"/>
      <c r="DM108" s="130"/>
      <c r="DN108" s="314"/>
      <c r="DO108" s="130"/>
      <c r="DP108" s="129"/>
      <c r="DQ108" s="129"/>
      <c r="DR108" s="1112"/>
      <c r="DS108" s="1878"/>
      <c r="DT108" s="129"/>
      <c r="DU108" s="1086"/>
      <c r="DV108" s="129"/>
      <c r="DW108" s="129"/>
      <c r="DX108" s="129"/>
      <c r="DY108" s="1112"/>
      <c r="DZ108" s="129"/>
      <c r="EA108" s="129"/>
      <c r="EB108" s="1086"/>
      <c r="EC108" s="129"/>
      <c r="ED108" s="129"/>
      <c r="EE108" s="129"/>
      <c r="EF108" s="1112"/>
      <c r="EG108" s="129"/>
      <c r="EH108" s="129"/>
      <c r="EI108" s="1086"/>
      <c r="EJ108" s="129"/>
      <c r="EK108" s="129"/>
      <c r="EL108" s="129"/>
      <c r="EM108" s="1112"/>
      <c r="EN108" s="129"/>
      <c r="EO108" s="129"/>
      <c r="EP108" s="1086"/>
      <c r="EQ108" s="129"/>
      <c r="ER108" s="129"/>
      <c r="ES108" s="129"/>
      <c r="ET108" s="1112"/>
      <c r="EU108" s="129"/>
      <c r="EV108" s="129"/>
      <c r="EW108" s="1086"/>
    </row>
    <row r="109" spans="1:153" ht="10.199999999999999" customHeight="1" collapsed="1">
      <c r="A109" s="48" t="s">
        <v>168</v>
      </c>
      <c r="B109" s="319">
        <f t="shared" ref="B109:K109" si="792">B58+B94</f>
        <v>5079</v>
      </c>
      <c r="C109" s="319">
        <f t="shared" si="792"/>
        <v>3375</v>
      </c>
      <c r="D109" s="319">
        <f t="shared" si="792"/>
        <v>3399</v>
      </c>
      <c r="E109" s="319">
        <f t="shared" si="792"/>
        <v>3734</v>
      </c>
      <c r="F109" s="319">
        <f t="shared" si="792"/>
        <v>4113</v>
      </c>
      <c r="G109" s="319">
        <f t="shared" si="792"/>
        <v>1493</v>
      </c>
      <c r="H109" s="319">
        <f t="shared" si="792"/>
        <v>1429</v>
      </c>
      <c r="I109" s="319">
        <f t="shared" si="792"/>
        <v>4327</v>
      </c>
      <c r="J109" s="319">
        <f t="shared" si="792"/>
        <v>1249</v>
      </c>
      <c r="K109" s="319">
        <f t="shared" si="792"/>
        <v>2688</v>
      </c>
      <c r="L109" s="319">
        <f t="shared" ref="L109:BQ109" si="793">+SUM(L102:L108)</f>
        <v>3254</v>
      </c>
      <c r="M109" s="319">
        <f t="shared" si="793"/>
        <v>4006</v>
      </c>
      <c r="N109" s="319"/>
      <c r="O109" s="92"/>
      <c r="P109" s="319"/>
      <c r="Q109" s="699"/>
      <c r="R109" s="319"/>
      <c r="S109" s="92"/>
      <c r="T109" s="1268">
        <f t="shared" si="793"/>
        <v>4476</v>
      </c>
      <c r="U109" s="319"/>
      <c r="V109" s="92"/>
      <c r="W109" s="319"/>
      <c r="X109" s="699"/>
      <c r="Y109" s="319"/>
      <c r="Z109" s="92"/>
      <c r="AA109" s="1268">
        <f t="shared" si="793"/>
        <v>5568</v>
      </c>
      <c r="AB109" s="319"/>
      <c r="AC109" s="92"/>
      <c r="AD109" s="319"/>
      <c r="AE109" s="699"/>
      <c r="AF109" s="319"/>
      <c r="AG109" s="92"/>
      <c r="AH109" s="1268">
        <f t="shared" si="793"/>
        <v>5871</v>
      </c>
      <c r="AI109" s="319"/>
      <c r="AJ109" s="92"/>
      <c r="AK109" s="319"/>
      <c r="AL109" s="699"/>
      <c r="AM109" s="319"/>
      <c r="AN109" s="92"/>
      <c r="AO109" s="1268">
        <f t="shared" si="793"/>
        <v>3985</v>
      </c>
      <c r="AP109" s="319"/>
      <c r="AQ109" s="92"/>
      <c r="AR109" s="319"/>
      <c r="AS109" s="699"/>
      <c r="AT109" s="319"/>
      <c r="AU109" s="92"/>
      <c r="AV109" s="1268">
        <f t="shared" si="793"/>
        <v>6208</v>
      </c>
      <c r="AW109" s="319"/>
      <c r="AX109" s="92"/>
      <c r="AY109" s="319"/>
      <c r="AZ109" s="699"/>
      <c r="BA109" s="319"/>
      <c r="BB109" s="92"/>
      <c r="BC109" s="1268">
        <f t="shared" si="793"/>
        <v>5265</v>
      </c>
      <c r="BD109" s="319"/>
      <c r="BE109" s="92"/>
      <c r="BF109" s="319"/>
      <c r="BG109" s="699"/>
      <c r="BH109" s="319"/>
      <c r="BI109" s="92"/>
      <c r="BJ109" s="1268">
        <f t="shared" si="793"/>
        <v>7755</v>
      </c>
      <c r="BK109" s="319"/>
      <c r="BL109" s="92"/>
      <c r="BM109" s="319"/>
      <c r="BN109" s="699"/>
      <c r="BO109" s="319"/>
      <c r="BP109" s="92"/>
      <c r="BQ109" s="1268">
        <f t="shared" si="793"/>
        <v>4583</v>
      </c>
      <c r="BR109" s="319"/>
      <c r="BS109" s="92"/>
      <c r="BT109" s="319"/>
      <c r="BU109" s="699"/>
      <c r="BV109" s="319"/>
      <c r="BW109" s="92"/>
      <c r="BX109" s="1268"/>
      <c r="BY109" s="319"/>
      <c r="BZ109" s="92"/>
      <c r="CA109" s="319"/>
      <c r="CB109" s="699"/>
      <c r="CC109" s="319"/>
      <c r="CD109" s="92"/>
      <c r="CE109" s="1268">
        <f t="shared" ref="CE109:DT109" si="794">+SUM(CE102:CE108)</f>
        <v>2364</v>
      </c>
      <c r="CF109" s="319"/>
      <c r="CG109" s="92"/>
      <c r="CH109" s="319"/>
      <c r="CI109" s="699"/>
      <c r="CJ109" s="319"/>
      <c r="CK109" s="92"/>
      <c r="CL109" s="1268">
        <f t="shared" si="794"/>
        <v>7603</v>
      </c>
      <c r="CM109" s="319"/>
      <c r="CN109" s="92"/>
      <c r="CO109" s="319"/>
      <c r="CP109" s="699"/>
      <c r="CQ109" s="319"/>
      <c r="CR109" s="92"/>
      <c r="CS109" s="1268">
        <f t="shared" si="794"/>
        <v>8042</v>
      </c>
      <c r="CT109" s="319">
        <f t="shared" ref="CT109:CZ109" si="795">+SUM(CT102:CT108)</f>
        <v>884</v>
      </c>
      <c r="CU109" s="92">
        <f t="shared" si="795"/>
        <v>2035.0000000000002</v>
      </c>
      <c r="CV109" s="319">
        <f t="shared" ref="CV109" si="796">+SUM(CV102:CV108)</f>
        <v>1403.0000000000002</v>
      </c>
      <c r="CW109" s="699">
        <f t="shared" si="795"/>
        <v>2467</v>
      </c>
      <c r="CX109" s="319">
        <f t="shared" ref="CX109" si="797">+SUM(CX102:CX108)</f>
        <v>2919</v>
      </c>
      <c r="CY109" s="92">
        <f t="shared" si="795"/>
        <v>3870</v>
      </c>
      <c r="CZ109" s="1268">
        <f t="shared" si="795"/>
        <v>6789</v>
      </c>
      <c r="DA109" s="319">
        <f t="shared" ref="DA109:DD109" si="798">+SUM(DA102:DA108)</f>
        <v>1114</v>
      </c>
      <c r="DB109" s="92">
        <f t="shared" si="798"/>
        <v>1627</v>
      </c>
      <c r="DC109" s="319">
        <f t="shared" si="798"/>
        <v>1802</v>
      </c>
      <c r="DD109" s="699">
        <f t="shared" si="798"/>
        <v>3605</v>
      </c>
      <c r="DE109" s="319">
        <f t="shared" si="794"/>
        <v>2741.0000000000005</v>
      </c>
      <c r="DF109" s="92">
        <f t="shared" si="794"/>
        <v>5407</v>
      </c>
      <c r="DG109" s="1268">
        <f t="shared" si="794"/>
        <v>8148</v>
      </c>
      <c r="DH109" s="92">
        <f t="shared" ref="DH109:DN109" si="799">+SUM(DH102:DH108)</f>
        <v>1124</v>
      </c>
      <c r="DI109" s="92">
        <f t="shared" si="799"/>
        <v>1779</v>
      </c>
      <c r="DJ109" s="319">
        <f t="shared" si="799"/>
        <v>2416</v>
      </c>
      <c r="DK109" s="699">
        <f t="shared" si="799"/>
        <v>4003</v>
      </c>
      <c r="DL109" s="319">
        <f t="shared" si="799"/>
        <v>2902.9999999999995</v>
      </c>
      <c r="DM109" s="92">
        <f t="shared" si="799"/>
        <v>6419</v>
      </c>
      <c r="DN109" s="1268">
        <f t="shared" si="799"/>
        <v>9322</v>
      </c>
      <c r="DO109" s="92">
        <f t="shared" ref="DO109:DP109" si="800">+SUM(DO102:DO108)</f>
        <v>886</v>
      </c>
      <c r="DP109" s="92">
        <f t="shared" si="800"/>
        <v>3188</v>
      </c>
      <c r="DQ109" s="622">
        <f t="shared" si="794"/>
        <v>2745.0604346323435</v>
      </c>
      <c r="DR109" s="623">
        <f t="shared" si="794"/>
        <v>4580.4830868465015</v>
      </c>
      <c r="DS109" s="1874">
        <f t="shared" si="794"/>
        <v>4074</v>
      </c>
      <c r="DT109" s="622">
        <f t="shared" si="794"/>
        <v>7325.5435214788458</v>
      </c>
      <c r="DU109" s="652">
        <f t="shared" ref="DU109:EA109" si="801">+SUM(DU102:DU108)</f>
        <v>11399.543521478845</v>
      </c>
      <c r="DV109" s="622">
        <f t="shared" si="801"/>
        <v>3042.7164695279607</v>
      </c>
      <c r="DW109" s="622">
        <f t="shared" si="801"/>
        <v>3398.2794604800133</v>
      </c>
      <c r="DX109" s="622">
        <f t="shared" si="801"/>
        <v>3384.3882575846455</v>
      </c>
      <c r="DY109" s="623">
        <f t="shared" si="801"/>
        <v>3755.5842568286716</v>
      </c>
      <c r="DZ109" s="622">
        <f t="shared" si="801"/>
        <v>6440.9959300079736</v>
      </c>
      <c r="EA109" s="622">
        <f t="shared" si="801"/>
        <v>7139.9725144133172</v>
      </c>
      <c r="EB109" s="652">
        <f t="shared" ref="EB109:EH109" si="802">+SUM(EB102:EB108)</f>
        <v>13580.968444421291</v>
      </c>
      <c r="EC109" s="622">
        <f t="shared" si="802"/>
        <v>3653.6513981386006</v>
      </c>
      <c r="ED109" s="622">
        <f t="shared" si="802"/>
        <v>4034.3110014370413</v>
      </c>
      <c r="EE109" s="622">
        <f t="shared" si="802"/>
        <v>4019.342444945939</v>
      </c>
      <c r="EF109" s="623">
        <f t="shared" si="802"/>
        <v>4529.6199941868745</v>
      </c>
      <c r="EG109" s="622">
        <f t="shared" si="802"/>
        <v>7687.9623995756419</v>
      </c>
      <c r="EH109" s="622">
        <f t="shared" si="802"/>
        <v>8548.9624391328125</v>
      </c>
      <c r="EI109" s="652">
        <f t="shared" ref="EI109:EO109" si="803">+SUM(EI102:EI108)</f>
        <v>16236.924838708455</v>
      </c>
      <c r="EJ109" s="622">
        <f t="shared" si="803"/>
        <v>4081.4469607843557</v>
      </c>
      <c r="EK109" s="622">
        <f t="shared" si="803"/>
        <v>4275.3825048042609</v>
      </c>
      <c r="EL109" s="622">
        <f t="shared" si="803"/>
        <v>4260.225463014971</v>
      </c>
      <c r="EM109" s="623">
        <f t="shared" si="803"/>
        <v>4809.3433457235533</v>
      </c>
      <c r="EN109" s="622">
        <f t="shared" si="803"/>
        <v>8356.8294655886166</v>
      </c>
      <c r="EO109" s="622">
        <f t="shared" si="803"/>
        <v>9069.5688087385242</v>
      </c>
      <c r="EP109" s="652">
        <f t="shared" ref="EP109:EV109" si="804">+SUM(EP102:EP108)</f>
        <v>17426.398274327141</v>
      </c>
      <c r="EQ109" s="622">
        <f t="shared" si="804"/>
        <v>4297.227004649134</v>
      </c>
      <c r="ER109" s="622">
        <f t="shared" si="804"/>
        <v>4501.8681165219259</v>
      </c>
      <c r="ES109" s="622">
        <f t="shared" si="804"/>
        <v>4486.5717192919437</v>
      </c>
      <c r="ET109" s="623">
        <f t="shared" si="804"/>
        <v>5059.0924197555341</v>
      </c>
      <c r="EU109" s="622">
        <f t="shared" si="804"/>
        <v>8799.0951211710581</v>
      </c>
      <c r="EV109" s="622">
        <f t="shared" si="804"/>
        <v>9545.6641390474761</v>
      </c>
      <c r="EW109" s="652">
        <f>+SUM(EW102:EW108)</f>
        <v>18344.759260218536</v>
      </c>
    </row>
    <row r="110" spans="1:153" ht="10.199999999999999" customHeight="1">
      <c r="A110" s="108" t="s">
        <v>326</v>
      </c>
      <c r="B110" s="530">
        <f t="shared" ref="B110:K110" si="805">B59+B95</f>
        <v>1240</v>
      </c>
      <c r="C110" s="530">
        <f t="shared" si="805"/>
        <v>226</v>
      </c>
      <c r="D110" s="530">
        <f t="shared" si="805"/>
        <v>290</v>
      </c>
      <c r="E110" s="530">
        <f t="shared" si="805"/>
        <v>102</v>
      </c>
      <c r="F110" s="530">
        <f t="shared" si="805"/>
        <v>252</v>
      </c>
      <c r="G110" s="530">
        <f t="shared" si="805"/>
        <v>540</v>
      </c>
      <c r="H110" s="530">
        <f t="shared" si="805"/>
        <v>322</v>
      </c>
      <c r="I110" s="530">
        <f t="shared" si="805"/>
        <v>112</v>
      </c>
      <c r="J110" s="530">
        <f t="shared" si="805"/>
        <v>197</v>
      </c>
      <c r="K110" s="530">
        <f t="shared" si="805"/>
        <v>81</v>
      </c>
      <c r="L110" s="530">
        <f t="shared" ref="L110:BQ110" si="806">L59+L95</f>
        <v>285</v>
      </c>
      <c r="M110" s="530">
        <f t="shared" si="806"/>
        <v>195</v>
      </c>
      <c r="N110" s="530"/>
      <c r="O110" s="197"/>
      <c r="P110" s="530"/>
      <c r="Q110" s="688"/>
      <c r="R110" s="530"/>
      <c r="S110" s="197"/>
      <c r="T110" s="1278">
        <f t="shared" si="806"/>
        <v>36</v>
      </c>
      <c r="U110" s="530"/>
      <c r="V110" s="197"/>
      <c r="W110" s="530"/>
      <c r="X110" s="688"/>
      <c r="Y110" s="530"/>
      <c r="Z110" s="197"/>
      <c r="AA110" s="1278">
        <f t="shared" si="806"/>
        <v>579</v>
      </c>
      <c r="AB110" s="530"/>
      <c r="AC110" s="197"/>
      <c r="AD110" s="530"/>
      <c r="AE110" s="688"/>
      <c r="AF110" s="530"/>
      <c r="AG110" s="197"/>
      <c r="AH110" s="1278">
        <f t="shared" si="806"/>
        <v>657</v>
      </c>
      <c r="AI110" s="530"/>
      <c r="AJ110" s="197"/>
      <c r="AK110" s="530"/>
      <c r="AL110" s="688"/>
      <c r="AM110" s="530"/>
      <c r="AN110" s="197"/>
      <c r="AO110" s="1278">
        <f t="shared" si="806"/>
        <v>523</v>
      </c>
      <c r="AP110" s="530"/>
      <c r="AQ110" s="197"/>
      <c r="AR110" s="530"/>
      <c r="AS110" s="688"/>
      <c r="AT110" s="530"/>
      <c r="AU110" s="197"/>
      <c r="AV110" s="1278">
        <f t="shared" si="806"/>
        <v>-489</v>
      </c>
      <c r="AW110" s="530"/>
      <c r="AX110" s="197"/>
      <c r="AY110" s="530"/>
      <c r="AZ110" s="688"/>
      <c r="BA110" s="530"/>
      <c r="BB110" s="197"/>
      <c r="BC110" s="1278">
        <f t="shared" si="806"/>
        <v>-302</v>
      </c>
      <c r="BD110" s="530"/>
      <c r="BE110" s="197"/>
      <c r="BF110" s="530"/>
      <c r="BG110" s="688"/>
      <c r="BH110" s="530"/>
      <c r="BI110" s="197"/>
      <c r="BJ110" s="1278">
        <f t="shared" si="806"/>
        <v>-263</v>
      </c>
      <c r="BK110" s="530"/>
      <c r="BL110" s="197"/>
      <c r="BM110" s="530"/>
      <c r="BN110" s="688"/>
      <c r="BO110" s="530"/>
      <c r="BP110" s="197"/>
      <c r="BQ110" s="1278">
        <f t="shared" si="806"/>
        <v>-317</v>
      </c>
      <c r="BR110" s="530"/>
      <c r="BS110" s="197"/>
      <c r="BT110" s="530"/>
      <c r="BU110" s="688"/>
      <c r="BV110" s="530"/>
      <c r="BW110" s="197"/>
      <c r="BX110" s="1278"/>
      <c r="BY110" s="530"/>
      <c r="BZ110" s="197"/>
      <c r="CA110" s="530"/>
      <c r="CB110" s="688"/>
      <c r="CC110" s="530"/>
      <c r="CD110" s="197"/>
      <c r="CE110" s="1278">
        <f t="shared" ref="CE110:DT110" si="807">CE59+CE95</f>
        <v>-43</v>
      </c>
      <c r="CF110" s="530"/>
      <c r="CG110" s="197"/>
      <c r="CH110" s="530"/>
      <c r="CI110" s="688"/>
      <c r="CJ110" s="530"/>
      <c r="CK110" s="197"/>
      <c r="CL110" s="1278">
        <f t="shared" si="807"/>
        <v>64</v>
      </c>
      <c r="CM110" s="530"/>
      <c r="CN110" s="197"/>
      <c r="CO110" s="530"/>
      <c r="CP110" s="688"/>
      <c r="CQ110" s="530"/>
      <c r="CR110" s="197"/>
      <c r="CS110" s="1278">
        <f t="shared" si="807"/>
        <v>-1</v>
      </c>
      <c r="CT110" s="530">
        <f t="shared" ref="CT110:CZ110" si="808">CT59+CT95</f>
        <v>1</v>
      </c>
      <c r="CU110" s="197">
        <f t="shared" si="808"/>
        <v>9</v>
      </c>
      <c r="CV110" s="530">
        <f t="shared" ref="CV110" si="809">CV59+CV95</f>
        <v>-11</v>
      </c>
      <c r="CW110" s="688">
        <f t="shared" si="808"/>
        <v>57</v>
      </c>
      <c r="CX110" s="530">
        <f t="shared" ref="CX110" si="810">CX59+CX95</f>
        <v>10</v>
      </c>
      <c r="CY110" s="197">
        <f t="shared" si="808"/>
        <v>46</v>
      </c>
      <c r="CZ110" s="1278">
        <f t="shared" si="808"/>
        <v>56</v>
      </c>
      <c r="DA110" s="530">
        <f t="shared" ref="DA110:DD110" si="811">DA59+DA95</f>
        <v>8</v>
      </c>
      <c r="DB110" s="197">
        <f t="shared" si="811"/>
        <v>6</v>
      </c>
      <c r="DC110" s="530">
        <f t="shared" si="811"/>
        <v>-3</v>
      </c>
      <c r="DD110" s="688">
        <f t="shared" si="811"/>
        <v>-2</v>
      </c>
      <c r="DE110" s="530">
        <f t="shared" si="807"/>
        <v>14</v>
      </c>
      <c r="DF110" s="197">
        <f t="shared" si="807"/>
        <v>-5</v>
      </c>
      <c r="DG110" s="1278">
        <f t="shared" si="807"/>
        <v>9</v>
      </c>
      <c r="DH110" s="197">
        <f t="shared" ref="DH110:DN110" si="812">DH59+DH95</f>
        <v>-25</v>
      </c>
      <c r="DI110" s="197">
        <f t="shared" si="812"/>
        <v>1</v>
      </c>
      <c r="DJ110" s="530">
        <f t="shared" si="812"/>
        <v>-15</v>
      </c>
      <c r="DK110" s="688">
        <f t="shared" si="812"/>
        <v>-26</v>
      </c>
      <c r="DL110" s="530">
        <f t="shared" si="812"/>
        <v>-24</v>
      </c>
      <c r="DM110" s="197">
        <f t="shared" si="812"/>
        <v>-41</v>
      </c>
      <c r="DN110" s="1278">
        <f t="shared" si="812"/>
        <v>-65</v>
      </c>
      <c r="DO110" s="197">
        <f t="shared" ref="DO110:DP110" si="813">DO59+DO95</f>
        <v>24</v>
      </c>
      <c r="DP110" s="197">
        <f t="shared" si="813"/>
        <v>-11</v>
      </c>
      <c r="DQ110" s="322">
        <f t="shared" si="807"/>
        <v>0</v>
      </c>
      <c r="DR110" s="430">
        <f t="shared" si="807"/>
        <v>0</v>
      </c>
      <c r="DS110" s="2023">
        <f t="shared" si="807"/>
        <v>13</v>
      </c>
      <c r="DT110" s="322">
        <f t="shared" si="807"/>
        <v>0</v>
      </c>
      <c r="DU110" s="385">
        <f t="shared" ref="DU110:EA110" si="814">DU59+DU95</f>
        <v>13</v>
      </c>
      <c r="DV110" s="322">
        <f t="shared" si="814"/>
        <v>0</v>
      </c>
      <c r="DW110" s="322">
        <f t="shared" si="814"/>
        <v>0</v>
      </c>
      <c r="DX110" s="322">
        <f t="shared" si="814"/>
        <v>0</v>
      </c>
      <c r="DY110" s="430">
        <f t="shared" si="814"/>
        <v>0</v>
      </c>
      <c r="DZ110" s="322">
        <f t="shared" si="814"/>
        <v>0</v>
      </c>
      <c r="EA110" s="322">
        <f t="shared" si="814"/>
        <v>0</v>
      </c>
      <c r="EB110" s="385">
        <f t="shared" ref="EB110:EH110" si="815">EB59+EB95</f>
        <v>0</v>
      </c>
      <c r="EC110" s="322">
        <f t="shared" si="815"/>
        <v>0</v>
      </c>
      <c r="ED110" s="322">
        <f t="shared" si="815"/>
        <v>0</v>
      </c>
      <c r="EE110" s="322">
        <f t="shared" si="815"/>
        <v>0</v>
      </c>
      <c r="EF110" s="430">
        <f t="shared" si="815"/>
        <v>0</v>
      </c>
      <c r="EG110" s="322">
        <f t="shared" si="815"/>
        <v>0</v>
      </c>
      <c r="EH110" s="322">
        <f t="shared" si="815"/>
        <v>0</v>
      </c>
      <c r="EI110" s="385">
        <f t="shared" ref="EI110:EO110" si="816">EI59+EI95</f>
        <v>0</v>
      </c>
      <c r="EJ110" s="322">
        <f t="shared" si="816"/>
        <v>0</v>
      </c>
      <c r="EK110" s="322">
        <f t="shared" si="816"/>
        <v>0</v>
      </c>
      <c r="EL110" s="322">
        <f t="shared" si="816"/>
        <v>0</v>
      </c>
      <c r="EM110" s="430">
        <f t="shared" si="816"/>
        <v>0</v>
      </c>
      <c r="EN110" s="322">
        <f t="shared" si="816"/>
        <v>0</v>
      </c>
      <c r="EO110" s="322">
        <f t="shared" si="816"/>
        <v>0</v>
      </c>
      <c r="EP110" s="385">
        <f t="shared" ref="EP110:EV110" si="817">EP59+EP95</f>
        <v>0</v>
      </c>
      <c r="EQ110" s="322">
        <f t="shared" si="817"/>
        <v>0</v>
      </c>
      <c r="ER110" s="322">
        <f t="shared" si="817"/>
        <v>0</v>
      </c>
      <c r="ES110" s="322">
        <f t="shared" si="817"/>
        <v>0</v>
      </c>
      <c r="ET110" s="430">
        <f t="shared" si="817"/>
        <v>0</v>
      </c>
      <c r="EU110" s="322">
        <f t="shared" si="817"/>
        <v>0</v>
      </c>
      <c r="EV110" s="322">
        <f t="shared" si="817"/>
        <v>0</v>
      </c>
      <c r="EW110" s="385">
        <f>EW59+EW95</f>
        <v>0</v>
      </c>
    </row>
    <row r="111" spans="1:153" ht="10.199999999999999" customHeight="1">
      <c r="A111" s="48" t="s">
        <v>72</v>
      </c>
      <c r="B111" s="319">
        <f t="shared" ref="B111:K111" si="818">+B109+B110</f>
        <v>6319</v>
      </c>
      <c r="C111" s="319">
        <f t="shared" si="818"/>
        <v>3601</v>
      </c>
      <c r="D111" s="319">
        <f t="shared" si="818"/>
        <v>3689</v>
      </c>
      <c r="E111" s="319">
        <f t="shared" si="818"/>
        <v>3836</v>
      </c>
      <c r="F111" s="319">
        <f t="shared" si="818"/>
        <v>4365</v>
      </c>
      <c r="G111" s="319">
        <f t="shared" si="818"/>
        <v>2033</v>
      </c>
      <c r="H111" s="319">
        <f t="shared" si="818"/>
        <v>1751</v>
      </c>
      <c r="I111" s="319">
        <f t="shared" si="818"/>
        <v>4439</v>
      </c>
      <c r="J111" s="319">
        <f t="shared" si="818"/>
        <v>1446</v>
      </c>
      <c r="K111" s="319">
        <f t="shared" si="818"/>
        <v>2769</v>
      </c>
      <c r="L111" s="319">
        <f>+L109+L110</f>
        <v>3539</v>
      </c>
      <c r="M111" s="319">
        <f>+M109+M110</f>
        <v>4201</v>
      </c>
      <c r="N111" s="111">
        <f t="shared" ref="N111:S111" si="819">N60+N98</f>
        <v>1023</v>
      </c>
      <c r="O111" s="111">
        <f t="shared" si="819"/>
        <v>1331</v>
      </c>
      <c r="P111" s="111">
        <f t="shared" si="819"/>
        <v>1117</v>
      </c>
      <c r="Q111" s="682">
        <f t="shared" si="819"/>
        <v>1080</v>
      </c>
      <c r="R111" s="111">
        <f t="shared" si="819"/>
        <v>2354</v>
      </c>
      <c r="S111" s="111">
        <f t="shared" si="819"/>
        <v>2197</v>
      </c>
      <c r="T111" s="1268">
        <f>+T109+T110</f>
        <v>4512</v>
      </c>
      <c r="U111" s="111">
        <f t="shared" ref="U111:Z111" si="820">U60+U98</f>
        <v>1190</v>
      </c>
      <c r="V111" s="111">
        <f t="shared" si="820"/>
        <v>1603</v>
      </c>
      <c r="W111" s="111">
        <f t="shared" si="820"/>
        <v>1258</v>
      </c>
      <c r="X111" s="682">
        <f t="shared" si="820"/>
        <v>2139</v>
      </c>
      <c r="Y111" s="111">
        <f t="shared" si="820"/>
        <v>2793</v>
      </c>
      <c r="Z111" s="111">
        <f t="shared" si="820"/>
        <v>3397</v>
      </c>
      <c r="AA111" s="1268">
        <f>+AA109+AA110</f>
        <v>6147</v>
      </c>
      <c r="AB111" s="111">
        <f t="shared" ref="AB111:AG111" si="821">AB60+AB98</f>
        <v>1766</v>
      </c>
      <c r="AC111" s="111">
        <f t="shared" si="821"/>
        <v>1548</v>
      </c>
      <c r="AD111" s="111">
        <f t="shared" si="821"/>
        <v>1284</v>
      </c>
      <c r="AE111" s="682">
        <f t="shared" si="821"/>
        <v>1954</v>
      </c>
      <c r="AF111" s="111">
        <f t="shared" si="821"/>
        <v>3314</v>
      </c>
      <c r="AG111" s="111">
        <f t="shared" si="821"/>
        <v>3238</v>
      </c>
      <c r="AH111" s="1268">
        <f>+AH109+AH110</f>
        <v>6528</v>
      </c>
      <c r="AI111" s="111">
        <f t="shared" ref="AI111:AN111" si="822">AI60+AI98</f>
        <v>874</v>
      </c>
      <c r="AJ111" s="111">
        <f t="shared" si="822"/>
        <v>2050</v>
      </c>
      <c r="AK111" s="111">
        <f t="shared" si="822"/>
        <v>1012</v>
      </c>
      <c r="AL111" s="682">
        <f t="shared" si="822"/>
        <v>616</v>
      </c>
      <c r="AM111" s="111">
        <f t="shared" si="822"/>
        <v>2924</v>
      </c>
      <c r="AN111" s="111">
        <f t="shared" si="822"/>
        <v>1628</v>
      </c>
      <c r="AO111" s="1268">
        <f>AO60+AO98</f>
        <v>4508</v>
      </c>
      <c r="AP111" s="111">
        <f t="shared" ref="AP111:AU111" si="823">AP60+AP98</f>
        <v>1403</v>
      </c>
      <c r="AQ111" s="111">
        <f t="shared" si="823"/>
        <v>1474</v>
      </c>
      <c r="AR111" s="111">
        <f t="shared" si="823"/>
        <v>1038</v>
      </c>
      <c r="AS111" s="682">
        <f t="shared" si="823"/>
        <v>1804</v>
      </c>
      <c r="AT111" s="111">
        <f t="shared" si="823"/>
        <v>2877</v>
      </c>
      <c r="AU111" s="111">
        <f t="shared" si="823"/>
        <v>2842</v>
      </c>
      <c r="AV111" s="1268">
        <f>AV60+AV98</f>
        <v>5719</v>
      </c>
      <c r="AW111" s="111">
        <f t="shared" ref="AW111:BB111" si="824">AW60+AW98</f>
        <v>1126</v>
      </c>
      <c r="AX111" s="111">
        <f t="shared" si="824"/>
        <v>1171</v>
      </c>
      <c r="AY111" s="111">
        <f t="shared" si="824"/>
        <v>979</v>
      </c>
      <c r="AZ111" s="682">
        <f t="shared" si="824"/>
        <v>1687</v>
      </c>
      <c r="BA111" s="111">
        <f t="shared" si="824"/>
        <v>2297</v>
      </c>
      <c r="BB111" s="111">
        <f t="shared" si="824"/>
        <v>2666</v>
      </c>
      <c r="BC111" s="1268">
        <f>BC60+BC98</f>
        <v>4963</v>
      </c>
      <c r="BD111" s="111">
        <f t="shared" ref="BD111:BI111" si="825">BD60+BD98</f>
        <v>763</v>
      </c>
      <c r="BE111" s="111">
        <f t="shared" si="825"/>
        <v>1519</v>
      </c>
      <c r="BF111" s="111">
        <f t="shared" si="825"/>
        <v>2085</v>
      </c>
      <c r="BG111" s="682">
        <f t="shared" si="825"/>
        <v>3125</v>
      </c>
      <c r="BH111" s="111">
        <f t="shared" si="825"/>
        <v>2282</v>
      </c>
      <c r="BI111" s="111">
        <f t="shared" si="825"/>
        <v>5210</v>
      </c>
      <c r="BJ111" s="1268">
        <f t="shared" ref="BJ111:DG111" si="826">+BJ109+BJ110</f>
        <v>7492</v>
      </c>
      <c r="BK111" s="111">
        <f t="shared" ref="BK111:BP111" si="827">BK60+BK98</f>
        <v>901</v>
      </c>
      <c r="BL111" s="111">
        <f t="shared" si="827"/>
        <v>2454</v>
      </c>
      <c r="BM111" s="111">
        <f t="shared" si="827"/>
        <v>2068</v>
      </c>
      <c r="BN111" s="682">
        <f t="shared" si="827"/>
        <v>-1157</v>
      </c>
      <c r="BO111" s="111">
        <f t="shared" si="827"/>
        <v>3355</v>
      </c>
      <c r="BP111" s="111">
        <f t="shared" si="827"/>
        <v>911</v>
      </c>
      <c r="BQ111" s="1268">
        <f>+BQ109+BQ110</f>
        <v>4266</v>
      </c>
      <c r="BR111" s="111">
        <f t="shared" ref="BR111:CD111" si="828">BR60+BR98</f>
        <v>901</v>
      </c>
      <c r="BS111" s="111">
        <f t="shared" si="828"/>
        <v>2454</v>
      </c>
      <c r="BT111" s="111">
        <f t="shared" si="828"/>
        <v>2068</v>
      </c>
      <c r="BU111" s="682">
        <f t="shared" si="828"/>
        <v>-1157</v>
      </c>
      <c r="BV111" s="111">
        <f t="shared" si="828"/>
        <v>3355</v>
      </c>
      <c r="BW111" s="111">
        <f t="shared" si="828"/>
        <v>911</v>
      </c>
      <c r="BX111" s="1268">
        <f t="shared" ref="BX111" si="829">BQ111</f>
        <v>4266</v>
      </c>
      <c r="BY111" s="111">
        <f t="shared" si="828"/>
        <v>907</v>
      </c>
      <c r="BZ111" s="111">
        <f t="shared" si="828"/>
        <v>-1045</v>
      </c>
      <c r="CA111" s="111">
        <f t="shared" si="828"/>
        <v>-3</v>
      </c>
      <c r="CB111" s="682">
        <f t="shared" si="828"/>
        <v>2462</v>
      </c>
      <c r="CC111" s="111">
        <f t="shared" si="828"/>
        <v>-138</v>
      </c>
      <c r="CD111" s="111">
        <f t="shared" si="828"/>
        <v>2459</v>
      </c>
      <c r="CE111" s="1268">
        <f>+CE109+CE110</f>
        <v>2321</v>
      </c>
      <c r="CF111" s="319">
        <f>CF60+CF98</f>
        <v>1059</v>
      </c>
      <c r="CG111" s="319">
        <f t="shared" ref="CG111:CK111" si="830">CG60+CG98</f>
        <v>2719</v>
      </c>
      <c r="CH111" s="319">
        <f t="shared" si="830"/>
        <v>1300</v>
      </c>
      <c r="CI111" s="760">
        <f t="shared" si="830"/>
        <v>2589</v>
      </c>
      <c r="CJ111" s="319">
        <f t="shared" si="830"/>
        <v>3778</v>
      </c>
      <c r="CK111" s="319">
        <f t="shared" si="830"/>
        <v>3889</v>
      </c>
      <c r="CL111" s="1268">
        <f t="shared" si="826"/>
        <v>7667</v>
      </c>
      <c r="CM111" s="319">
        <f>CM60+CM98</f>
        <v>2014</v>
      </c>
      <c r="CN111" s="319">
        <f t="shared" ref="CN111:CR111" si="831">CN60+CN98</f>
        <v>1721</v>
      </c>
      <c r="CO111" s="319">
        <f t="shared" si="831"/>
        <v>1457</v>
      </c>
      <c r="CP111" s="760">
        <f t="shared" si="831"/>
        <v>2849</v>
      </c>
      <c r="CQ111" s="319">
        <f t="shared" si="831"/>
        <v>3735</v>
      </c>
      <c r="CR111" s="319">
        <f t="shared" si="831"/>
        <v>4306</v>
      </c>
      <c r="CS111" s="1268">
        <f t="shared" si="826"/>
        <v>8041</v>
      </c>
      <c r="CT111" s="319">
        <f t="shared" ref="CT111:CZ111" si="832">+CT109+CT110</f>
        <v>885</v>
      </c>
      <c r="CU111" s="92">
        <f t="shared" si="832"/>
        <v>2044.0000000000002</v>
      </c>
      <c r="CV111" s="319">
        <f t="shared" ref="CV111" si="833">+CV109+CV110</f>
        <v>1392.0000000000002</v>
      </c>
      <c r="CW111" s="699">
        <f t="shared" si="832"/>
        <v>2524</v>
      </c>
      <c r="CX111" s="319">
        <f t="shared" ref="CX111" si="834">+CX109+CX110</f>
        <v>2929</v>
      </c>
      <c r="CY111" s="92">
        <f t="shared" si="832"/>
        <v>3916</v>
      </c>
      <c r="CZ111" s="1268">
        <f t="shared" si="832"/>
        <v>6845</v>
      </c>
      <c r="DA111" s="319">
        <f t="shared" ref="DA111:DD111" si="835">+DA109+DA110</f>
        <v>1122</v>
      </c>
      <c r="DB111" s="92">
        <f t="shared" si="835"/>
        <v>1633</v>
      </c>
      <c r="DC111" s="319">
        <f t="shared" si="835"/>
        <v>1799</v>
      </c>
      <c r="DD111" s="699">
        <f t="shared" si="835"/>
        <v>3603</v>
      </c>
      <c r="DE111" s="319">
        <f t="shared" si="826"/>
        <v>2755.0000000000005</v>
      </c>
      <c r="DF111" s="92">
        <f t="shared" si="826"/>
        <v>5402</v>
      </c>
      <c r="DG111" s="1268">
        <f t="shared" si="826"/>
        <v>8157</v>
      </c>
      <c r="DH111" s="92">
        <f t="shared" ref="DH111:DN111" si="836">+DH109+DH110</f>
        <v>1099</v>
      </c>
      <c r="DI111" s="92">
        <f t="shared" si="836"/>
        <v>1780</v>
      </c>
      <c r="DJ111" s="319">
        <f t="shared" si="836"/>
        <v>2401</v>
      </c>
      <c r="DK111" s="699">
        <f t="shared" si="836"/>
        <v>3977</v>
      </c>
      <c r="DL111" s="319">
        <f t="shared" si="836"/>
        <v>2878.9999999999995</v>
      </c>
      <c r="DM111" s="92">
        <f t="shared" si="836"/>
        <v>6378</v>
      </c>
      <c r="DN111" s="1268">
        <f t="shared" si="836"/>
        <v>9257</v>
      </c>
      <c r="DO111" s="92">
        <f t="shared" ref="DO111:DP111" si="837">+DO109+DO110</f>
        <v>910</v>
      </c>
      <c r="DP111" s="92">
        <f t="shared" si="837"/>
        <v>3177</v>
      </c>
      <c r="DQ111" s="622">
        <f t="shared" ref="DQ111:DT111" si="838">+DQ109+DQ110</f>
        <v>2745.0604346323435</v>
      </c>
      <c r="DR111" s="623">
        <f t="shared" si="838"/>
        <v>4580.4830868465015</v>
      </c>
      <c r="DS111" s="1874">
        <f t="shared" si="838"/>
        <v>4087</v>
      </c>
      <c r="DT111" s="622">
        <f t="shared" si="838"/>
        <v>7325.5435214788458</v>
      </c>
      <c r="DU111" s="652">
        <f>+DU109+DU110</f>
        <v>11412.543521478845</v>
      </c>
      <c r="DV111" s="622">
        <f t="shared" ref="DV111:EA111" si="839">+DV109+DV110</f>
        <v>3042.7164695279607</v>
      </c>
      <c r="DW111" s="622">
        <f t="shared" si="839"/>
        <v>3398.2794604800133</v>
      </c>
      <c r="DX111" s="622">
        <f t="shared" si="839"/>
        <v>3384.3882575846455</v>
      </c>
      <c r="DY111" s="623">
        <f t="shared" si="839"/>
        <v>3755.5842568286716</v>
      </c>
      <c r="DZ111" s="622">
        <f t="shared" si="839"/>
        <v>6440.9959300079736</v>
      </c>
      <c r="EA111" s="622">
        <f t="shared" si="839"/>
        <v>7139.9725144133172</v>
      </c>
      <c r="EB111" s="652">
        <f>+EB109+EB110</f>
        <v>13580.968444421291</v>
      </c>
      <c r="EC111" s="622">
        <f t="shared" ref="EC111:EH111" si="840">+EC109+EC110</f>
        <v>3653.6513981386006</v>
      </c>
      <c r="ED111" s="622">
        <f t="shared" si="840"/>
        <v>4034.3110014370413</v>
      </c>
      <c r="EE111" s="622">
        <f t="shared" si="840"/>
        <v>4019.342444945939</v>
      </c>
      <c r="EF111" s="623">
        <f t="shared" si="840"/>
        <v>4529.6199941868745</v>
      </c>
      <c r="EG111" s="622">
        <f t="shared" si="840"/>
        <v>7687.9623995756419</v>
      </c>
      <c r="EH111" s="622">
        <f t="shared" si="840"/>
        <v>8548.9624391328125</v>
      </c>
      <c r="EI111" s="652">
        <f>+EI109+EI110</f>
        <v>16236.924838708455</v>
      </c>
      <c r="EJ111" s="622">
        <f t="shared" ref="EJ111:EO111" si="841">+EJ109+EJ110</f>
        <v>4081.4469607843557</v>
      </c>
      <c r="EK111" s="622">
        <f t="shared" si="841"/>
        <v>4275.3825048042609</v>
      </c>
      <c r="EL111" s="622">
        <f t="shared" si="841"/>
        <v>4260.225463014971</v>
      </c>
      <c r="EM111" s="623">
        <f t="shared" si="841"/>
        <v>4809.3433457235533</v>
      </c>
      <c r="EN111" s="622">
        <f t="shared" si="841"/>
        <v>8356.8294655886166</v>
      </c>
      <c r="EO111" s="622">
        <f t="shared" si="841"/>
        <v>9069.5688087385242</v>
      </c>
      <c r="EP111" s="652">
        <f>+EP109+EP110</f>
        <v>17426.398274327141</v>
      </c>
      <c r="EQ111" s="622">
        <f t="shared" ref="EQ111:EV111" si="842">+EQ109+EQ110</f>
        <v>4297.227004649134</v>
      </c>
      <c r="ER111" s="622">
        <f t="shared" si="842"/>
        <v>4501.8681165219259</v>
      </c>
      <c r="ES111" s="622">
        <f t="shared" si="842"/>
        <v>4486.5717192919437</v>
      </c>
      <c r="ET111" s="623">
        <f t="shared" si="842"/>
        <v>5059.0924197555341</v>
      </c>
      <c r="EU111" s="622">
        <f t="shared" si="842"/>
        <v>8799.0951211710581</v>
      </c>
      <c r="EV111" s="622">
        <f t="shared" si="842"/>
        <v>9545.6641390474761</v>
      </c>
      <c r="EW111" s="652">
        <f>+EW109+EW110</f>
        <v>18344.759260218536</v>
      </c>
    </row>
    <row r="112" spans="1:153" ht="10.199999999999999" customHeight="1">
      <c r="A112" s="43" t="s">
        <v>4</v>
      </c>
      <c r="B112" s="1067"/>
      <c r="C112" s="1067">
        <f t="shared" ref="C112:M112" si="843">+C111/B111-1</f>
        <v>-0.43013134989713564</v>
      </c>
      <c r="D112" s="1067">
        <f t="shared" si="843"/>
        <v>2.4437656206609315E-2</v>
      </c>
      <c r="E112" s="1067">
        <f t="shared" si="843"/>
        <v>3.9848197343453462E-2</v>
      </c>
      <c r="F112" s="1067">
        <f t="shared" si="843"/>
        <v>0.13790406673618349</v>
      </c>
      <c r="G112" s="1067">
        <f t="shared" si="843"/>
        <v>-0.53424971363115692</v>
      </c>
      <c r="H112" s="1067">
        <f t="shared" si="843"/>
        <v>-0.13871126414166257</v>
      </c>
      <c r="I112" s="1067">
        <f t="shared" si="843"/>
        <v>1.5351227869788691</v>
      </c>
      <c r="J112" s="1067">
        <f t="shared" si="843"/>
        <v>-0.67425095742284302</v>
      </c>
      <c r="K112" s="1067">
        <f t="shared" si="843"/>
        <v>0.91493775933609967</v>
      </c>
      <c r="L112" s="1067">
        <f>+L111/K111-1</f>
        <v>0.27807872878295403</v>
      </c>
      <c r="M112" s="1067">
        <f t="shared" si="843"/>
        <v>0.1870584910991806</v>
      </c>
      <c r="N112" s="321"/>
      <c r="O112" s="321"/>
      <c r="P112" s="321"/>
      <c r="Q112" s="444"/>
      <c r="R112" s="321"/>
      <c r="S112" s="321"/>
      <c r="T112" s="1270">
        <f>+T111/M111-1</f>
        <v>7.4029992858843041E-2</v>
      </c>
      <c r="U112" s="223">
        <f t="shared" ref="U112" si="844">+U111/N111-1</f>
        <v>0.16324535679374397</v>
      </c>
      <c r="V112" s="223">
        <f t="shared" ref="V112" si="845">+V111/O111-1</f>
        <v>0.2043576258452291</v>
      </c>
      <c r="W112" s="223">
        <f t="shared" ref="W112" si="846">+W111/P111-1</f>
        <v>0.12623097582811105</v>
      </c>
      <c r="X112" s="717">
        <f t="shared" ref="X112" si="847">+X111/Q111-1</f>
        <v>0.98055555555555562</v>
      </c>
      <c r="Y112" s="223">
        <f t="shared" ref="Y112" si="848">+Y111/R111-1</f>
        <v>0.18649107901444339</v>
      </c>
      <c r="Z112" s="223">
        <f t="shared" ref="Z112" si="849">+Z111/S111-1</f>
        <v>0.54619936276741021</v>
      </c>
      <c r="AA112" s="1270">
        <f>+AA111/T111-1</f>
        <v>0.3623670212765957</v>
      </c>
      <c r="AB112" s="223">
        <f t="shared" ref="AB112" si="850">+AB111/U111-1</f>
        <v>0.48403361344537821</v>
      </c>
      <c r="AC112" s="223">
        <f t="shared" ref="AC112" si="851">+AC111/V111-1</f>
        <v>-3.4310667498440472E-2</v>
      </c>
      <c r="AD112" s="223">
        <f t="shared" ref="AD112" si="852">+AD111/W111-1</f>
        <v>2.0667726550079424E-2</v>
      </c>
      <c r="AE112" s="717">
        <f t="shared" ref="AE112" si="853">+AE111/X111-1</f>
        <v>-8.6489013557737304E-2</v>
      </c>
      <c r="AF112" s="223">
        <f t="shared" ref="AF112" si="854">+AF111/Y111-1</f>
        <v>0.18653777300393837</v>
      </c>
      <c r="AG112" s="223">
        <f t="shared" ref="AG112" si="855">+AG111/Z111-1</f>
        <v>-4.6806005298793085E-2</v>
      </c>
      <c r="AH112" s="1270">
        <f>+AH111/AA111-1</f>
        <v>6.1981454367984412E-2</v>
      </c>
      <c r="AI112" s="223">
        <f t="shared" ref="AI112:AN112" si="856">+AI111/AB111-1</f>
        <v>-0.50509626274065678</v>
      </c>
      <c r="AJ112" s="223">
        <f t="shared" si="856"/>
        <v>0.32428940568475451</v>
      </c>
      <c r="AK112" s="223">
        <f t="shared" si="856"/>
        <v>-0.21183800623052962</v>
      </c>
      <c r="AL112" s="717">
        <f t="shared" si="856"/>
        <v>-0.68474923234390994</v>
      </c>
      <c r="AM112" s="223">
        <f t="shared" si="856"/>
        <v>-0.11768255884127943</v>
      </c>
      <c r="AN112" s="223">
        <f t="shared" si="856"/>
        <v>-0.49722050648548488</v>
      </c>
      <c r="AO112" s="1270">
        <f>+AO111/AH111-1</f>
        <v>-0.30943627450980393</v>
      </c>
      <c r="AP112" s="223">
        <f t="shared" ref="AP112:AU112" si="857">+AP111/AI111-1</f>
        <v>0.60526315789473695</v>
      </c>
      <c r="AQ112" s="223">
        <f t="shared" si="857"/>
        <v>-0.28097560975609759</v>
      </c>
      <c r="AR112" s="223">
        <f t="shared" si="857"/>
        <v>2.5691699604743157E-2</v>
      </c>
      <c r="AS112" s="717">
        <f t="shared" si="857"/>
        <v>1.9285714285714284</v>
      </c>
      <c r="AT112" s="223">
        <f t="shared" si="857"/>
        <v>-1.6073871409028717E-2</v>
      </c>
      <c r="AU112" s="223">
        <f t="shared" si="857"/>
        <v>0.74570024570024573</v>
      </c>
      <c r="AV112" s="1270">
        <f>+AV111/AO111-1</f>
        <v>0.26863354037267073</v>
      </c>
      <c r="AW112" s="223">
        <f t="shared" ref="AW112:BB112" si="858">+AW111/AI111-1</f>
        <v>0.28832951945080088</v>
      </c>
      <c r="AX112" s="223">
        <f t="shared" si="858"/>
        <v>-0.4287804878048781</v>
      </c>
      <c r="AY112" s="223">
        <f t="shared" si="858"/>
        <v>-3.2608695652173947E-2</v>
      </c>
      <c r="AZ112" s="717">
        <f t="shared" si="858"/>
        <v>1.7386363636363638</v>
      </c>
      <c r="BA112" s="223">
        <f t="shared" si="858"/>
        <v>-0.21443228454172369</v>
      </c>
      <c r="BB112" s="223">
        <f t="shared" si="858"/>
        <v>0.63759213759213762</v>
      </c>
      <c r="BC112" s="1270">
        <f>+BC111/AO111-1</f>
        <v>0.10093167701863348</v>
      </c>
      <c r="BD112" s="223">
        <f t="shared" ref="BD112:BI112" si="859">+BD111/AP111-1</f>
        <v>-0.45616535994297935</v>
      </c>
      <c r="BE112" s="223">
        <f t="shared" si="859"/>
        <v>3.0529172320217013E-2</v>
      </c>
      <c r="BF112" s="223">
        <f t="shared" si="859"/>
        <v>1.0086705202312141</v>
      </c>
      <c r="BG112" s="717">
        <f t="shared" si="859"/>
        <v>0.73226164079822609</v>
      </c>
      <c r="BH112" s="223">
        <f t="shared" si="859"/>
        <v>-0.20681265206812649</v>
      </c>
      <c r="BI112" s="223">
        <f t="shared" si="859"/>
        <v>0.83321604503870517</v>
      </c>
      <c r="BJ112" s="1270">
        <f>+BJ111/AV111-1</f>
        <v>0.31001923413184129</v>
      </c>
      <c r="BK112" s="223">
        <f t="shared" ref="BK112:BP112" si="860">+BK111/BD111-1</f>
        <v>0.18086500655307991</v>
      </c>
      <c r="BL112" s="223">
        <f t="shared" si="860"/>
        <v>0.61553653719552348</v>
      </c>
      <c r="BM112" s="223">
        <f t="shared" si="860"/>
        <v>-8.1534772182254578E-3</v>
      </c>
      <c r="BN112" s="717">
        <f t="shared" si="860"/>
        <v>-1.3702399999999999</v>
      </c>
      <c r="BO112" s="223">
        <f t="shared" si="860"/>
        <v>0.47020157756354086</v>
      </c>
      <c r="BP112" s="223">
        <f t="shared" si="860"/>
        <v>-0.82514395393474094</v>
      </c>
      <c r="BQ112" s="1270">
        <f>+BQ111/BJ111-1</f>
        <v>-0.43059263214095034</v>
      </c>
      <c r="BR112" s="223">
        <f t="shared" ref="BR112:BW112" si="861">+BR111/BD111-1</f>
        <v>0.18086500655307991</v>
      </c>
      <c r="BS112" s="223">
        <f t="shared" si="861"/>
        <v>0.61553653719552348</v>
      </c>
      <c r="BT112" s="223">
        <f t="shared" si="861"/>
        <v>-8.1534772182254578E-3</v>
      </c>
      <c r="BU112" s="717">
        <f t="shared" si="861"/>
        <v>-1.3702399999999999</v>
      </c>
      <c r="BV112" s="223">
        <f t="shared" si="861"/>
        <v>0.47020157756354086</v>
      </c>
      <c r="BW112" s="223">
        <f t="shared" si="861"/>
        <v>-0.82514395393474094</v>
      </c>
      <c r="BX112" s="1270">
        <f>+BX111/BJ111-1</f>
        <v>-0.43059263214095034</v>
      </c>
      <c r="BY112" s="223">
        <f t="shared" ref="BY112" si="862">+BY111/BR111-1</f>
        <v>6.6592674805772134E-3</v>
      </c>
      <c r="BZ112" s="223">
        <f t="shared" ref="BZ112" si="863">+BZ111/BS111-1</f>
        <v>-1.4258353708231459</v>
      </c>
      <c r="CA112" s="223">
        <f t="shared" ref="CA112" si="864">+CA111/BT111-1</f>
        <v>-1.0014506769825919</v>
      </c>
      <c r="CB112" s="717">
        <f t="shared" ref="CB112" si="865">+CB111/BU111-1</f>
        <v>-3.1279170267934311</v>
      </c>
      <c r="CC112" s="223">
        <f t="shared" ref="CC112" si="866">+CC111/BV111-1</f>
        <v>-1.0411326378539494</v>
      </c>
      <c r="CD112" s="223">
        <f t="shared" ref="CD112" si="867">+CD111/BW111-1</f>
        <v>1.6992316136114161</v>
      </c>
      <c r="CE112" s="1270">
        <f>+CE111/BQ111-1</f>
        <v>-0.45593061415846226</v>
      </c>
      <c r="CF112" s="223">
        <f t="shared" ref="CF112" si="868">+CF111/BY111-1</f>
        <v>0.16758544652701213</v>
      </c>
      <c r="CG112" s="223">
        <f t="shared" ref="CG112" si="869">+CG111/BZ111-1</f>
        <v>-3.6019138755980862</v>
      </c>
      <c r="CH112" s="223">
        <f t="shared" ref="CH112" si="870">+CH111/CA111-1</f>
        <v>-434.33333333333331</v>
      </c>
      <c r="CI112" s="717">
        <f t="shared" ref="CI112" si="871">+CI111/CB111-1</f>
        <v>5.1584077985377785E-2</v>
      </c>
      <c r="CJ112" s="223">
        <f t="shared" ref="CJ112" si="872">+CJ111/CC111-1</f>
        <v>-28.376811594202898</v>
      </c>
      <c r="CK112" s="223">
        <f t="shared" ref="CK112" si="873">+CK111/CD111-1</f>
        <v>0.58153721024806826</v>
      </c>
      <c r="CL112" s="1270">
        <f>+CL111/CE111-1</f>
        <v>2.3033175355450237</v>
      </c>
      <c r="CM112" s="223">
        <f t="shared" ref="CM112" si="874">+CM111/CF111-1</f>
        <v>0.90179414542020764</v>
      </c>
      <c r="CN112" s="223">
        <f t="shared" ref="CN112" si="875">+CN111/CG111-1</f>
        <v>-0.3670467083486576</v>
      </c>
      <c r="CO112" s="223">
        <f t="shared" ref="CO112" si="876">+CO111/CH111-1</f>
        <v>0.12076923076923074</v>
      </c>
      <c r="CP112" s="717">
        <f t="shared" ref="CP112" si="877">+CP111/CI111-1</f>
        <v>0.10042487446890691</v>
      </c>
      <c r="CQ112" s="223">
        <f t="shared" ref="CQ112" si="878">+CQ111/CJ111-1</f>
        <v>-1.138168343038648E-2</v>
      </c>
      <c r="CR112" s="223">
        <f t="shared" ref="CR112" si="879">+CR111/CK111-1</f>
        <v>0.10722550784263296</v>
      </c>
      <c r="CS112" s="1270">
        <f>+CS111/CL111-1</f>
        <v>4.8780487804878092E-2</v>
      </c>
      <c r="CT112" s="223">
        <f t="shared" ref="CT112" si="880">+CT111/CM111-1</f>
        <v>-0.56057596822244293</v>
      </c>
      <c r="CU112" s="223">
        <f t="shared" ref="CU112" si="881">+CU111/CN111-1</f>
        <v>0.18768158047646732</v>
      </c>
      <c r="CV112" s="223">
        <f t="shared" ref="CV112" si="882">+CV111/CO111-1</f>
        <v>-4.4612216884008071E-2</v>
      </c>
      <c r="CW112" s="717">
        <f t="shared" ref="CW112" si="883">+CW111/CP111-1</f>
        <v>-0.11407511407511406</v>
      </c>
      <c r="CX112" s="223">
        <f t="shared" ref="CX112" si="884">+CX111/CQ111-1</f>
        <v>-0.21579651941097722</v>
      </c>
      <c r="CY112" s="223">
        <f t="shared" ref="CY112" si="885">+CY111/CR111-1</f>
        <v>-9.0571295866233137E-2</v>
      </c>
      <c r="CZ112" s="1270">
        <f t="shared" ref="CZ112:EE112" si="886">+CZ111/CS111-1</f>
        <v>-0.14873771918915557</v>
      </c>
      <c r="DA112" s="223">
        <f t="shared" si="886"/>
        <v>0.26779661016949152</v>
      </c>
      <c r="DB112" s="223">
        <f t="shared" si="886"/>
        <v>-0.2010763209393347</v>
      </c>
      <c r="DC112" s="223">
        <f t="shared" si="886"/>
        <v>0.29238505747126409</v>
      </c>
      <c r="DD112" s="717">
        <f t="shared" si="886"/>
        <v>0.42749603803486536</v>
      </c>
      <c r="DE112" s="223">
        <f t="shared" si="886"/>
        <v>-5.9405940594059237E-2</v>
      </c>
      <c r="DF112" s="223">
        <f t="shared" ref="DF112" si="887">+DF111/CY111-1</f>
        <v>0.3794688457609805</v>
      </c>
      <c r="DG112" s="1270">
        <f t="shared" ref="DG112" si="888">+DG111/CZ111-1</f>
        <v>0.19167275383491589</v>
      </c>
      <c r="DH112" s="223">
        <f t="shared" si="886"/>
        <v>-2.049910873440286E-2</v>
      </c>
      <c r="DI112" s="223">
        <f t="shared" si="886"/>
        <v>9.0018371096141969E-2</v>
      </c>
      <c r="DJ112" s="223">
        <f t="shared" si="886"/>
        <v>0.33463035019455245</v>
      </c>
      <c r="DK112" s="717">
        <f t="shared" si="886"/>
        <v>0.1038023868998057</v>
      </c>
      <c r="DL112" s="223">
        <f t="shared" si="886"/>
        <v>4.5009074410162997E-2</v>
      </c>
      <c r="DM112" s="223">
        <f t="shared" si="886"/>
        <v>0.18067382450944103</v>
      </c>
      <c r="DN112" s="1270">
        <f t="shared" si="886"/>
        <v>0.13485350006129715</v>
      </c>
      <c r="DO112" s="223">
        <f t="shared" si="886"/>
        <v>-0.17197452229299359</v>
      </c>
      <c r="DP112" s="223">
        <f t="shared" si="886"/>
        <v>0.78483146067415732</v>
      </c>
      <c r="DQ112" s="321">
        <f t="shared" si="886"/>
        <v>0.14329880659406236</v>
      </c>
      <c r="DR112" s="444">
        <f t="shared" si="886"/>
        <v>0.15174329566167999</v>
      </c>
      <c r="DS112" s="274">
        <f t="shared" si="886"/>
        <v>0.41959013546370283</v>
      </c>
      <c r="DT112" s="321">
        <f t="shared" si="886"/>
        <v>0.14856436523657046</v>
      </c>
      <c r="DU112" s="387">
        <f t="shared" si="886"/>
        <v>0.23285551706587926</v>
      </c>
      <c r="DV112" s="321">
        <f t="shared" si="886"/>
        <v>2.3436444720087479</v>
      </c>
      <c r="DW112" s="321">
        <f t="shared" si="886"/>
        <v>6.9650443966009945E-2</v>
      </c>
      <c r="DX112" s="321">
        <f t="shared" si="886"/>
        <v>0.23290118311654928</v>
      </c>
      <c r="DY112" s="444">
        <f t="shared" si="886"/>
        <v>-0.18008991942064856</v>
      </c>
      <c r="DZ112" s="321">
        <f t="shared" si="886"/>
        <v>0.57597160019769356</v>
      </c>
      <c r="EA112" s="321">
        <f t="shared" si="886"/>
        <v>-2.5332046219017856E-2</v>
      </c>
      <c r="EB112" s="387">
        <f t="shared" si="886"/>
        <v>0.19000364983155471</v>
      </c>
      <c r="EC112" s="321">
        <f t="shared" si="886"/>
        <v>0.20078601957461339</v>
      </c>
      <c r="ED112" s="321">
        <f t="shared" si="886"/>
        <v>0.1871628123448057</v>
      </c>
      <c r="EE112" s="321">
        <f t="shared" si="886"/>
        <v>0.18761269069478592</v>
      </c>
      <c r="EF112" s="444">
        <f t="shared" ref="EF112:EW112" si="889">+EF111/DY111-1</f>
        <v>0.20610261531233021</v>
      </c>
      <c r="EG112" s="321">
        <f t="shared" si="889"/>
        <v>0.19359839427287517</v>
      </c>
      <c r="EH112" s="321">
        <f t="shared" si="889"/>
        <v>0.19733828412857268</v>
      </c>
      <c r="EI112" s="387">
        <f t="shared" si="889"/>
        <v>0.19556458032844937</v>
      </c>
      <c r="EJ112" s="321">
        <f t="shared" si="889"/>
        <v>0.11708713175638508</v>
      </c>
      <c r="EK112" s="321">
        <f t="shared" si="889"/>
        <v>5.9755309712451243E-2</v>
      </c>
      <c r="EL112" s="321">
        <f t="shared" si="889"/>
        <v>5.9930951733641491E-2</v>
      </c>
      <c r="EM112" s="444">
        <f t="shared" si="889"/>
        <v>6.175426457311306E-2</v>
      </c>
      <c r="EN112" s="321">
        <f t="shared" si="889"/>
        <v>8.7001864895943637E-2</v>
      </c>
      <c r="EO112" s="321">
        <f t="shared" si="889"/>
        <v>6.0897023856677723E-2</v>
      </c>
      <c r="EP112" s="387">
        <f t="shared" si="889"/>
        <v>7.3257309954592342E-2</v>
      </c>
      <c r="EQ112" s="321">
        <f t="shared" si="889"/>
        <v>5.2868515979271891E-2</v>
      </c>
      <c r="ER112" s="321">
        <f t="shared" si="889"/>
        <v>5.297435059042388E-2</v>
      </c>
      <c r="ES112" s="321">
        <f t="shared" si="889"/>
        <v>5.3130112066131607E-2</v>
      </c>
      <c r="ET112" s="444">
        <f t="shared" si="889"/>
        <v>5.1929973819410558E-2</v>
      </c>
      <c r="EU112" s="321">
        <f t="shared" si="889"/>
        <v>5.2922661327909459E-2</v>
      </c>
      <c r="EV112" s="321">
        <f t="shared" si="889"/>
        <v>5.2493711702174206E-2</v>
      </c>
      <c r="EW112" s="387">
        <f t="shared" si="889"/>
        <v>5.2699414499457475E-2</v>
      </c>
    </row>
    <row r="113" spans="1:153" ht="10.199999999999999" customHeight="1">
      <c r="A113" s="43"/>
      <c r="B113" s="1073"/>
      <c r="C113" s="1073"/>
      <c r="D113" s="1073"/>
      <c r="E113" s="1073"/>
      <c r="F113" s="1073"/>
      <c r="G113" s="1073"/>
      <c r="H113" s="1073"/>
      <c r="I113" s="1073"/>
      <c r="J113" s="1073"/>
      <c r="K113" s="1073"/>
      <c r="L113" s="1073"/>
      <c r="M113" s="1073"/>
      <c r="N113" s="1067"/>
      <c r="O113" s="1067"/>
      <c r="P113" s="1067"/>
      <c r="Q113" s="1097"/>
      <c r="R113" s="1067"/>
      <c r="S113" s="1067"/>
      <c r="T113" s="343"/>
      <c r="U113" s="1067"/>
      <c r="V113" s="1067"/>
      <c r="W113" s="1067"/>
      <c r="X113" s="1097"/>
      <c r="Y113" s="1067"/>
      <c r="Z113" s="1067"/>
      <c r="AA113" s="343"/>
      <c r="AB113" s="1067"/>
      <c r="AC113" s="1067"/>
      <c r="AD113" s="1067"/>
      <c r="AE113" s="1097"/>
      <c r="AF113" s="1067"/>
      <c r="AG113" s="1067"/>
      <c r="AH113" s="343"/>
      <c r="AI113" s="1067"/>
      <c r="AJ113" s="1067"/>
      <c r="AK113" s="1067"/>
      <c r="AL113" s="1097"/>
      <c r="AM113" s="1067"/>
      <c r="AN113" s="1067"/>
      <c r="AO113" s="343"/>
      <c r="AP113" s="1067"/>
      <c r="AQ113" s="1067"/>
      <c r="AR113" s="1067"/>
      <c r="AS113" s="1097"/>
      <c r="AT113" s="1067"/>
      <c r="AU113" s="1067"/>
      <c r="AV113" s="343"/>
      <c r="AW113" s="1067"/>
      <c r="AX113" s="1067"/>
      <c r="AY113" s="1067"/>
      <c r="AZ113" s="1097"/>
      <c r="BA113" s="1067"/>
      <c r="BB113" s="1067"/>
      <c r="BC113" s="343"/>
      <c r="BD113" s="1067"/>
      <c r="BE113" s="1067"/>
      <c r="BF113" s="1067"/>
      <c r="BG113" s="1097"/>
      <c r="BH113" s="1067"/>
      <c r="BI113" s="1067"/>
      <c r="BJ113" s="343"/>
      <c r="BK113" s="1067"/>
      <c r="BL113" s="1067"/>
      <c r="BM113" s="1067"/>
      <c r="BN113" s="1097"/>
      <c r="BO113" s="1067"/>
      <c r="BP113" s="1067"/>
      <c r="BQ113" s="343"/>
      <c r="BR113" s="1067"/>
      <c r="BS113" s="1067"/>
      <c r="BT113" s="1067"/>
      <c r="BU113" s="1097"/>
      <c r="BV113" s="1067"/>
      <c r="BW113" s="1067"/>
      <c r="BX113" s="343"/>
      <c r="BY113" s="1067"/>
      <c r="BZ113" s="1067"/>
      <c r="CA113" s="1067"/>
      <c r="CB113" s="1097"/>
      <c r="CC113" s="1067"/>
      <c r="CD113" s="1067"/>
      <c r="CE113" s="343"/>
      <c r="CF113" s="1067"/>
      <c r="CG113" s="1067"/>
      <c r="CH113" s="1067"/>
      <c r="CI113" s="1097"/>
      <c r="CJ113" s="1067"/>
      <c r="CK113" s="1067"/>
      <c r="CL113" s="343"/>
      <c r="CM113" s="1067"/>
      <c r="CN113" s="1067"/>
      <c r="CO113" s="1067"/>
      <c r="CP113" s="1097"/>
      <c r="CQ113" s="1067"/>
      <c r="CR113" s="1067"/>
      <c r="CS113" s="343"/>
      <c r="CT113" s="1067"/>
      <c r="CU113" s="1067"/>
      <c r="CV113" s="1067"/>
      <c r="CW113" s="1097"/>
      <c r="CX113" s="1067"/>
      <c r="CY113" s="1067"/>
      <c r="CZ113" s="343"/>
      <c r="DA113" s="1067"/>
      <c r="DB113" s="1067"/>
      <c r="DC113" s="1067"/>
      <c r="DD113" s="1097"/>
      <c r="DE113" s="1067"/>
      <c r="DF113" s="1067"/>
      <c r="DG113" s="343"/>
      <c r="DH113" s="1067"/>
      <c r="DI113" s="1067"/>
      <c r="DJ113" s="1067"/>
      <c r="DK113" s="1097"/>
      <c r="DL113" s="1067"/>
      <c r="DM113" s="1067"/>
      <c r="DN113" s="343"/>
      <c r="DO113" s="1067"/>
      <c r="DP113" s="1067"/>
      <c r="DQ113" s="1067"/>
      <c r="DR113" s="1097"/>
      <c r="DS113" s="1205"/>
      <c r="DT113" s="1067"/>
      <c r="DU113" s="343"/>
      <c r="DV113" s="1067"/>
      <c r="DW113" s="1067"/>
      <c r="DX113" s="1067"/>
      <c r="DY113" s="1097"/>
      <c r="DZ113" s="1067"/>
      <c r="EA113" s="1067"/>
      <c r="EB113" s="343"/>
      <c r="EC113" s="1067"/>
      <c r="ED113" s="1067"/>
      <c r="EE113" s="1067"/>
      <c r="EF113" s="1097"/>
      <c r="EG113" s="1067"/>
      <c r="EH113" s="1067"/>
      <c r="EI113" s="343"/>
      <c r="EJ113" s="1067"/>
      <c r="EK113" s="1067"/>
      <c r="EL113" s="1067"/>
      <c r="EM113" s="1097"/>
      <c r="EN113" s="1067"/>
      <c r="EO113" s="1067"/>
      <c r="EP113" s="343"/>
      <c r="EQ113" s="1067"/>
      <c r="ER113" s="1067"/>
      <c r="ES113" s="1067"/>
      <c r="ET113" s="1097"/>
      <c r="EU113" s="1067"/>
      <c r="EV113" s="1067"/>
      <c r="EW113" s="343"/>
    </row>
    <row r="114" spans="1:153" ht="10.199999999999999" customHeight="1">
      <c r="A114" s="48" t="s">
        <v>166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094"/>
      <c r="R114" s="1"/>
      <c r="S114" s="1"/>
      <c r="T114" s="353"/>
      <c r="U114" s="1"/>
      <c r="V114" s="1"/>
      <c r="W114" s="1"/>
      <c r="X114" s="1094"/>
      <c r="Y114" s="1"/>
      <c r="Z114" s="1"/>
      <c r="AA114" s="353"/>
      <c r="AB114" s="1"/>
      <c r="AC114" s="1"/>
      <c r="AD114" s="1"/>
      <c r="AE114" s="1094"/>
      <c r="AF114" s="1"/>
      <c r="AG114" s="1"/>
      <c r="AH114" s="353"/>
      <c r="AI114" s="1"/>
      <c r="AJ114" s="1"/>
      <c r="AK114" s="1"/>
      <c r="AL114" s="1094"/>
      <c r="AM114" s="1"/>
      <c r="AN114" s="1"/>
      <c r="AO114" s="353"/>
      <c r="AP114" s="1"/>
      <c r="AQ114" s="1"/>
      <c r="AR114" s="1"/>
      <c r="AS114" s="1094"/>
      <c r="AT114" s="1"/>
      <c r="AU114" s="1"/>
      <c r="AV114" s="353"/>
      <c r="AW114" s="1"/>
      <c r="AX114" s="1"/>
      <c r="AY114" s="1"/>
      <c r="AZ114" s="1094"/>
      <c r="BA114" s="1"/>
      <c r="BB114" s="1"/>
      <c r="BC114" s="353"/>
      <c r="BD114" s="1"/>
      <c r="BE114" s="1"/>
      <c r="BF114" s="1"/>
      <c r="BG114" s="1094"/>
      <c r="BH114" s="1"/>
      <c r="BI114" s="1"/>
      <c r="BJ114" s="353"/>
      <c r="BK114" s="1"/>
      <c r="BL114" s="1"/>
      <c r="BM114" s="1"/>
      <c r="BN114" s="1094"/>
      <c r="BO114" s="1"/>
      <c r="BP114" s="1"/>
      <c r="BQ114" s="353"/>
      <c r="BR114" s="1"/>
      <c r="BS114" s="1"/>
      <c r="BT114" s="1"/>
      <c r="BU114" s="1094"/>
      <c r="BV114" s="1"/>
      <c r="BW114" s="1"/>
      <c r="BX114" s="353"/>
      <c r="BY114" s="1"/>
      <c r="BZ114" s="1"/>
      <c r="CA114" s="1"/>
      <c r="CB114" s="1094"/>
      <c r="CC114" s="1"/>
      <c r="CD114" s="1"/>
      <c r="CE114" s="353"/>
      <c r="CF114" s="1"/>
      <c r="CG114" s="1"/>
      <c r="CH114" s="1"/>
      <c r="CI114" s="1094"/>
      <c r="CJ114" s="1"/>
      <c r="CK114" s="1"/>
      <c r="CL114" s="353"/>
      <c r="CM114" s="1"/>
      <c r="CN114" s="1"/>
      <c r="CO114" s="1"/>
      <c r="CP114" s="1094"/>
      <c r="CQ114" s="1"/>
      <c r="CR114" s="1"/>
      <c r="CS114" s="353"/>
      <c r="CT114" s="1"/>
      <c r="CU114" s="1"/>
      <c r="CV114" s="1"/>
      <c r="CW114" s="1094"/>
      <c r="CX114" s="1"/>
      <c r="CY114" s="1"/>
      <c r="CZ114" s="353"/>
      <c r="DA114" s="1"/>
      <c r="DB114" s="1"/>
      <c r="DC114" s="1"/>
      <c r="DD114" s="1094"/>
      <c r="DE114" s="1"/>
      <c r="DF114" s="1"/>
      <c r="DG114" s="353"/>
      <c r="DH114" s="1"/>
      <c r="DI114" s="1"/>
      <c r="DJ114" s="1"/>
      <c r="DK114" s="1094"/>
      <c r="DL114" s="1"/>
      <c r="DM114" s="1"/>
      <c r="DN114" s="353"/>
      <c r="DO114" s="1"/>
      <c r="DP114" s="1"/>
      <c r="DQ114" s="1"/>
      <c r="DR114" s="1094"/>
      <c r="DS114" s="1879"/>
      <c r="DT114" s="1"/>
      <c r="DU114" s="353"/>
      <c r="DV114" s="1"/>
      <c r="DW114" s="1"/>
      <c r="DX114" s="1"/>
      <c r="DY114" s="1094"/>
      <c r="DZ114" s="1"/>
      <c r="EA114" s="1"/>
      <c r="EB114" s="353"/>
      <c r="EC114" s="1"/>
      <c r="ED114" s="1"/>
      <c r="EE114" s="1"/>
      <c r="EF114" s="1094"/>
      <c r="EG114" s="1"/>
      <c r="EH114" s="1"/>
      <c r="EI114" s="353"/>
      <c r="EJ114" s="1"/>
      <c r="EK114" s="1"/>
      <c r="EL114" s="1"/>
      <c r="EM114" s="1094"/>
      <c r="EN114" s="1"/>
      <c r="EO114" s="1"/>
      <c r="EP114" s="353"/>
      <c r="EQ114" s="1"/>
      <c r="ER114" s="1"/>
      <c r="ES114" s="1"/>
      <c r="ET114" s="1094"/>
      <c r="EU114" s="1"/>
      <c r="EV114" s="1"/>
      <c r="EW114" s="353"/>
    </row>
    <row r="115" spans="1:153" ht="10.199999999999999" customHeight="1">
      <c r="A115" s="43" t="str">
        <f>A63</f>
        <v>Airbus</v>
      </c>
      <c r="B115" s="317">
        <v>1425</v>
      </c>
      <c r="C115" s="317">
        <v>1682</v>
      </c>
      <c r="D115" s="317">
        <v>1819</v>
      </c>
      <c r="E115" s="317">
        <v>1734</v>
      </c>
      <c r="F115" s="317">
        <v>1659</v>
      </c>
      <c r="G115" s="317">
        <v>2035</v>
      </c>
      <c r="H115" s="317">
        <v>2175</v>
      </c>
      <c r="I115" s="317">
        <v>2210</v>
      </c>
      <c r="J115" s="317">
        <v>2293</v>
      </c>
      <c r="K115" s="317">
        <v>2311</v>
      </c>
      <c r="L115" s="317">
        <v>2467</v>
      </c>
      <c r="M115" s="317">
        <v>2431</v>
      </c>
      <c r="N115" s="317">
        <v>482</v>
      </c>
      <c r="O115" s="317">
        <f>R115-N115</f>
        <v>613</v>
      </c>
      <c r="P115" s="317">
        <f>1681-R115</f>
        <v>586</v>
      </c>
      <c r="Q115" s="714">
        <f>S115-P115</f>
        <v>752</v>
      </c>
      <c r="R115" s="317">
        <v>1095</v>
      </c>
      <c r="S115" s="317">
        <f>T115-R115</f>
        <v>1338</v>
      </c>
      <c r="T115" s="314">
        <v>2433</v>
      </c>
      <c r="U115" s="317">
        <v>576</v>
      </c>
      <c r="V115" s="317">
        <f>Y115-U115</f>
        <v>649</v>
      </c>
      <c r="W115" s="317">
        <f>1869-Y115</f>
        <v>644</v>
      </c>
      <c r="X115" s="714">
        <f>Z115-W115</f>
        <v>798</v>
      </c>
      <c r="Y115" s="317">
        <v>1225</v>
      </c>
      <c r="Z115" s="317">
        <f>AA115-Y115</f>
        <v>1442</v>
      </c>
      <c r="AA115" s="314">
        <v>2667</v>
      </c>
      <c r="AB115" s="317">
        <v>548</v>
      </c>
      <c r="AC115" s="317">
        <f>AF115-AB115</f>
        <v>600</v>
      </c>
      <c r="AD115" s="317">
        <f>1732-AF115</f>
        <v>584</v>
      </c>
      <c r="AE115" s="714">
        <f>AG115-AD115</f>
        <v>970</v>
      </c>
      <c r="AF115" s="317">
        <v>1148</v>
      </c>
      <c r="AG115" s="317">
        <f>AH115-AF115</f>
        <v>1554</v>
      </c>
      <c r="AH115" s="314">
        <v>2702</v>
      </c>
      <c r="AI115" s="317">
        <v>380</v>
      </c>
      <c r="AJ115" s="317">
        <f>AM115-AI115</f>
        <v>577</v>
      </c>
      <c r="AK115" s="317">
        <f>1479-AM115</f>
        <v>522</v>
      </c>
      <c r="AL115" s="714">
        <f>AN115-AK115</f>
        <v>668</v>
      </c>
      <c r="AM115" s="317">
        <v>957</v>
      </c>
      <c r="AN115" s="317">
        <f>AO115-AM115</f>
        <v>1190</v>
      </c>
      <c r="AO115" s="314">
        <v>2147</v>
      </c>
      <c r="AP115" s="317">
        <v>403</v>
      </c>
      <c r="AQ115" s="317">
        <f>+AT115-AP115</f>
        <v>525</v>
      </c>
      <c r="AR115" s="317">
        <f>1368-AT115</f>
        <v>440</v>
      </c>
      <c r="AS115" s="714">
        <f>AU115-AR115</f>
        <v>643</v>
      </c>
      <c r="AT115" s="317">
        <v>928</v>
      </c>
      <c r="AU115" s="317">
        <f>AV115-AT115</f>
        <v>1083</v>
      </c>
      <c r="AV115" s="314">
        <v>2011</v>
      </c>
      <c r="AW115" s="317">
        <v>374</v>
      </c>
      <c r="AX115" s="317">
        <f>+BA115-AW115</f>
        <v>554</v>
      </c>
      <c r="AY115" s="317">
        <f>1303-BA115</f>
        <v>375</v>
      </c>
      <c r="AZ115" s="714">
        <f>BB115-AY115</f>
        <v>539</v>
      </c>
      <c r="BA115" s="317">
        <v>928</v>
      </c>
      <c r="BB115" s="317">
        <f>BC115-BA115</f>
        <v>914</v>
      </c>
      <c r="BC115" s="314">
        <v>1842</v>
      </c>
      <c r="BD115" s="317">
        <v>430</v>
      </c>
      <c r="BE115" s="317">
        <f>BH115-BD115</f>
        <v>545</v>
      </c>
      <c r="BF115" s="317">
        <f>1456-BH115</f>
        <v>481</v>
      </c>
      <c r="BG115" s="714">
        <f>BI115-BF115</f>
        <v>758</v>
      </c>
      <c r="BH115" s="317">
        <v>975</v>
      </c>
      <c r="BI115" s="317">
        <f>BJ115-BH115</f>
        <v>1239</v>
      </c>
      <c r="BJ115" s="314">
        <v>2214</v>
      </c>
      <c r="BK115" s="317">
        <v>527</v>
      </c>
      <c r="BL115" s="317">
        <f>BO115-BK115</f>
        <v>481</v>
      </c>
      <c r="BM115" s="317">
        <f>1495-BO115</f>
        <v>487</v>
      </c>
      <c r="BN115" s="714">
        <f>BP115-BM115</f>
        <v>910</v>
      </c>
      <c r="BO115" s="317">
        <v>1008</v>
      </c>
      <c r="BP115" s="317">
        <f>BQ115-BO115</f>
        <v>1397</v>
      </c>
      <c r="BQ115" s="314">
        <v>2405</v>
      </c>
      <c r="BR115" s="317">
        <v>527</v>
      </c>
      <c r="BS115" s="317">
        <f>BV115-BR115</f>
        <v>481</v>
      </c>
      <c r="BT115" s="317">
        <f>1495-BV115</f>
        <v>487</v>
      </c>
      <c r="BU115" s="714">
        <f>BW115-BT115</f>
        <v>910</v>
      </c>
      <c r="BV115" s="317">
        <v>1008</v>
      </c>
      <c r="BW115" s="317">
        <f>BX115-BV115</f>
        <v>1397</v>
      </c>
      <c r="BX115" s="314">
        <v>2405</v>
      </c>
      <c r="BY115" s="317">
        <v>543</v>
      </c>
      <c r="BZ115" s="317">
        <f>CC115-BY115</f>
        <v>603</v>
      </c>
      <c r="CA115" s="317">
        <f>1674-CC115</f>
        <v>528</v>
      </c>
      <c r="CB115" s="714">
        <f>CD115-CA115</f>
        <v>762</v>
      </c>
      <c r="CC115" s="317">
        <v>1146</v>
      </c>
      <c r="CD115" s="317">
        <f>CE115-CC115</f>
        <v>1290</v>
      </c>
      <c r="CE115" s="314">
        <v>2436</v>
      </c>
      <c r="CF115" s="317">
        <v>520</v>
      </c>
      <c r="CG115" s="317">
        <f>CJ115-CF115</f>
        <v>519</v>
      </c>
      <c r="CH115" s="317">
        <f>1584-CJ115</f>
        <v>545</v>
      </c>
      <c r="CI115" s="714">
        <f>CK115-CH115</f>
        <v>668</v>
      </c>
      <c r="CJ115" s="317">
        <v>1039</v>
      </c>
      <c r="CK115" s="317">
        <f>CL115-CJ115</f>
        <v>1213</v>
      </c>
      <c r="CL115" s="314">
        <v>2252</v>
      </c>
      <c r="CM115" s="317">
        <v>477</v>
      </c>
      <c r="CN115" s="317">
        <f>CQ115-CM115</f>
        <v>562</v>
      </c>
      <c r="CO115" s="317">
        <f>1584-CQ115</f>
        <v>545</v>
      </c>
      <c r="CP115" s="714">
        <f>CR115-CO115</f>
        <v>1023</v>
      </c>
      <c r="CQ115" s="317">
        <v>1039</v>
      </c>
      <c r="CR115" s="317">
        <f>CS115-CQ115</f>
        <v>1568</v>
      </c>
      <c r="CS115" s="314">
        <v>2607</v>
      </c>
      <c r="CT115" s="317">
        <v>569</v>
      </c>
      <c r="CU115" s="317">
        <f>CX115-CT115</f>
        <v>627</v>
      </c>
      <c r="CV115" s="317">
        <f>1798-CT115-CU115</f>
        <v>602</v>
      </c>
      <c r="CW115" s="714">
        <f>CY115-CV115</f>
        <v>900</v>
      </c>
      <c r="CX115" s="317">
        <v>1196</v>
      </c>
      <c r="CY115" s="317">
        <f>CZ115-CX115</f>
        <v>1502</v>
      </c>
      <c r="CZ115" s="314">
        <v>2698</v>
      </c>
      <c r="DA115" s="317">
        <v>614</v>
      </c>
      <c r="DB115" s="317">
        <f>DE115-DA115</f>
        <v>687</v>
      </c>
      <c r="DC115" s="317">
        <f>1919-DA115-DB115</f>
        <v>618</v>
      </c>
      <c r="DD115" s="714">
        <f>DF115-DC115</f>
        <v>757</v>
      </c>
      <c r="DE115" s="317">
        <v>1301</v>
      </c>
      <c r="DF115" s="317">
        <f>DG115-DE115</f>
        <v>1375</v>
      </c>
      <c r="DG115" s="314">
        <v>2676</v>
      </c>
      <c r="DH115" s="317">
        <v>545</v>
      </c>
      <c r="DI115" s="317">
        <f>DL115-DH115</f>
        <v>596</v>
      </c>
      <c r="DJ115" s="317">
        <f>1728-DH115-DI115</f>
        <v>587</v>
      </c>
      <c r="DK115" s="714">
        <f>DM115-DJ115</f>
        <v>809</v>
      </c>
      <c r="DL115" s="2079">
        <v>1141</v>
      </c>
      <c r="DM115" s="317">
        <f>DN115-DL115</f>
        <v>1396</v>
      </c>
      <c r="DN115" s="314">
        <v>2537</v>
      </c>
      <c r="DO115" s="317">
        <v>566</v>
      </c>
      <c r="DP115" s="317">
        <f>DS115-DO115</f>
        <v>628</v>
      </c>
      <c r="DQ115" s="624">
        <f>Airbus!DK42</f>
        <v>614.76927343505542</v>
      </c>
      <c r="DR115" s="741">
        <f>Airbus!DL42</f>
        <v>962.32179559119174</v>
      </c>
      <c r="DS115" s="1909">
        <v>1194</v>
      </c>
      <c r="DT115" s="624">
        <f>Airbus!DN42</f>
        <v>1577.0910690262472</v>
      </c>
      <c r="DU115" s="1113">
        <f>Airbus!DO42</f>
        <v>2771.0910690262472</v>
      </c>
      <c r="DV115" s="624">
        <f>Airbus!DP42</f>
        <v>757.52541534012732</v>
      </c>
      <c r="DW115" s="624">
        <f>Airbus!DQ42</f>
        <v>800.25592046607369</v>
      </c>
      <c r="DX115" s="624">
        <f>Airbus!DR42</f>
        <v>802.29678482186353</v>
      </c>
      <c r="DY115" s="741">
        <f>Airbus!DS42</f>
        <v>785.98878991579147</v>
      </c>
      <c r="DZ115" s="624">
        <f>Airbus!DT42</f>
        <v>1557.781335806201</v>
      </c>
      <c r="EA115" s="624">
        <f>Airbus!DU42</f>
        <v>1588.285574737655</v>
      </c>
      <c r="EB115" s="1113">
        <f>Airbus!DV42</f>
        <v>3146.066910543856</v>
      </c>
      <c r="EC115" s="624">
        <f>Airbus!DW42</f>
        <v>830.4670153693869</v>
      </c>
      <c r="ED115" s="624">
        <f>Airbus!DX42</f>
        <v>879.76218428127231</v>
      </c>
      <c r="EE115" s="624">
        <f>Airbus!DY42</f>
        <v>881.92882602938153</v>
      </c>
      <c r="EF115" s="741">
        <f>Airbus!DZ42</f>
        <v>882.25277509549232</v>
      </c>
      <c r="EG115" s="624">
        <f>Airbus!EA42</f>
        <v>1710.2291996506592</v>
      </c>
      <c r="EH115" s="624">
        <f>Airbus!EB42</f>
        <v>1764.1816011248739</v>
      </c>
      <c r="EI115" s="1113">
        <f>Airbus!EC42</f>
        <v>3474.4108007755331</v>
      </c>
      <c r="EJ115" s="624">
        <f>Airbus!ED42</f>
        <v>895.89424747459202</v>
      </c>
      <c r="EK115" s="624">
        <f>Airbus!EE42</f>
        <v>909.12852166065295</v>
      </c>
      <c r="EL115" s="624">
        <f>Airbus!EF42</f>
        <v>911.39142556599325</v>
      </c>
      <c r="EM115" s="741">
        <f>Airbus!EG42</f>
        <v>911.18933118472648</v>
      </c>
      <c r="EN115" s="624">
        <f>Airbus!EH42</f>
        <v>1805.022769135245</v>
      </c>
      <c r="EO115" s="624">
        <f>Airbus!EI42</f>
        <v>1822.5807567507197</v>
      </c>
      <c r="EP115" s="1113">
        <f>Airbus!EJ42</f>
        <v>3627.6035258859647</v>
      </c>
      <c r="EQ115" s="624">
        <f>Airbus!EK42</f>
        <v>922.19912489726892</v>
      </c>
      <c r="ER115" s="624">
        <f>Airbus!EL42</f>
        <v>936.31944384543647</v>
      </c>
      <c r="ES115" s="624">
        <f>Airbus!EM42</f>
        <v>938.72315787778712</v>
      </c>
      <c r="ET115" s="741">
        <f>Airbus!EN42</f>
        <v>937.61354990630161</v>
      </c>
      <c r="EU115" s="624">
        <f>Airbus!EO42</f>
        <v>1858.5185687427054</v>
      </c>
      <c r="EV115" s="624">
        <f>Airbus!EP42</f>
        <v>1876.3367077840887</v>
      </c>
      <c r="EW115" s="1113">
        <f>Airbus!EQ42</f>
        <v>3734.8552765267941</v>
      </c>
    </row>
    <row r="116" spans="1:153" ht="10.199999999999999" customHeight="1">
      <c r="A116" s="108" t="s">
        <v>325</v>
      </c>
      <c r="B116" s="317">
        <f>132*0.7</f>
        <v>92.399999999999991</v>
      </c>
      <c r="C116" s="317">
        <f>150*0.7</f>
        <v>105</v>
      </c>
      <c r="D116" s="317">
        <v>56</v>
      </c>
      <c r="E116" s="317">
        <v>61</v>
      </c>
      <c r="F116" s="317">
        <v>70</v>
      </c>
      <c r="G116" s="317">
        <v>78</v>
      </c>
      <c r="H116" s="317">
        <v>93</v>
      </c>
      <c r="I116" s="317">
        <v>134</v>
      </c>
      <c r="J116" s="317">
        <v>164</v>
      </c>
      <c r="K116" s="317">
        <v>189</v>
      </c>
      <c r="L116" s="317">
        <v>235</v>
      </c>
      <c r="M116" s="317">
        <v>297</v>
      </c>
      <c r="N116" s="317">
        <v>66</v>
      </c>
      <c r="O116" s="317">
        <f>R116-N116</f>
        <v>77</v>
      </c>
      <c r="P116" s="317">
        <f>218-R116</f>
        <v>75</v>
      </c>
      <c r="Q116" s="714">
        <f>S116-P116</f>
        <v>88</v>
      </c>
      <c r="R116" s="317">
        <v>143</v>
      </c>
      <c r="S116" s="317">
        <f>T116-R116</f>
        <v>163</v>
      </c>
      <c r="T116" s="314">
        <v>306</v>
      </c>
      <c r="U116" s="317">
        <v>73</v>
      </c>
      <c r="V116" s="317">
        <f>Y116-U116</f>
        <v>91</v>
      </c>
      <c r="W116" s="317">
        <f>230-Y116</f>
        <v>66</v>
      </c>
      <c r="X116" s="714">
        <f>Z116-W116</f>
        <v>95</v>
      </c>
      <c r="Y116" s="317">
        <v>164</v>
      </c>
      <c r="Z116" s="317">
        <f>AA116-Y116</f>
        <v>161</v>
      </c>
      <c r="AA116" s="314">
        <v>325</v>
      </c>
      <c r="AB116" s="317">
        <v>70</v>
      </c>
      <c r="AC116" s="317">
        <f>AF116-AB116</f>
        <v>83</v>
      </c>
      <c r="AD116" s="317">
        <f>221-AF116</f>
        <v>68</v>
      </c>
      <c r="AE116" s="714">
        <f>AG116-AD116</f>
        <v>104</v>
      </c>
      <c r="AF116" s="317">
        <v>153</v>
      </c>
      <c r="AG116" s="317">
        <f>AH116-AF116</f>
        <v>172</v>
      </c>
      <c r="AH116" s="314">
        <v>325</v>
      </c>
      <c r="AI116" s="317">
        <v>63</v>
      </c>
      <c r="AJ116" s="317">
        <f>AM116-AI116</f>
        <v>88</v>
      </c>
      <c r="AK116" s="317">
        <f>226-AM116</f>
        <v>75</v>
      </c>
      <c r="AL116" s="714">
        <f>AN116-AK116</f>
        <v>101</v>
      </c>
      <c r="AM116" s="317">
        <v>151</v>
      </c>
      <c r="AN116" s="317">
        <f>AO116-AM116</f>
        <v>176</v>
      </c>
      <c r="AO116" s="314">
        <v>327</v>
      </c>
      <c r="AP116" s="317">
        <v>65</v>
      </c>
      <c r="AQ116" s="317">
        <f>+AT116-AP116</f>
        <v>77</v>
      </c>
      <c r="AR116" s="317">
        <f>205-AT116</f>
        <v>63</v>
      </c>
      <c r="AS116" s="714">
        <f>AU116-AR116</f>
        <v>117</v>
      </c>
      <c r="AT116" s="317">
        <v>142</v>
      </c>
      <c r="AU116" s="317">
        <f>AV116-AT116</f>
        <v>180</v>
      </c>
      <c r="AV116" s="314">
        <v>322</v>
      </c>
      <c r="AW116" s="317">
        <v>65</v>
      </c>
      <c r="AX116" s="317">
        <f>+BA116-AW116</f>
        <v>77</v>
      </c>
      <c r="AY116" s="317">
        <f>205-BA116</f>
        <v>63</v>
      </c>
      <c r="AZ116" s="714">
        <f>BB116-AY116</f>
        <v>101</v>
      </c>
      <c r="BA116" s="317">
        <v>142</v>
      </c>
      <c r="BB116" s="317">
        <f>BC116-BA116</f>
        <v>164</v>
      </c>
      <c r="BC116" s="314">
        <v>306</v>
      </c>
      <c r="BD116" s="317">
        <v>70</v>
      </c>
      <c r="BE116" s="317">
        <f>BH116-BD116</f>
        <v>77</v>
      </c>
      <c r="BF116" s="317">
        <f>214-BH116</f>
        <v>67</v>
      </c>
      <c r="BG116" s="714">
        <f>BI116-BF116</f>
        <v>101</v>
      </c>
      <c r="BH116" s="317">
        <v>147</v>
      </c>
      <c r="BI116" s="317">
        <f>BJ116-BH116</f>
        <v>168</v>
      </c>
      <c r="BJ116" s="314">
        <v>315</v>
      </c>
      <c r="BK116" s="317">
        <v>69</v>
      </c>
      <c r="BL116" s="317">
        <f>BO116-BK116</f>
        <v>74</v>
      </c>
      <c r="BM116" s="317">
        <f>216-BO116</f>
        <v>73</v>
      </c>
      <c r="BN116" s="714">
        <f>BP116-BM116</f>
        <v>75</v>
      </c>
      <c r="BO116" s="317">
        <v>143</v>
      </c>
      <c r="BP116" s="317">
        <f>BQ116-BO116</f>
        <v>148</v>
      </c>
      <c r="BQ116" s="314">
        <v>291</v>
      </c>
      <c r="BR116" s="317">
        <v>69</v>
      </c>
      <c r="BS116" s="317">
        <f>BV116-BR116</f>
        <v>74</v>
      </c>
      <c r="BT116" s="317">
        <f>216-BV116</f>
        <v>73</v>
      </c>
      <c r="BU116" s="714">
        <f>BW116-BT116</f>
        <v>75</v>
      </c>
      <c r="BV116" s="317">
        <v>143</v>
      </c>
      <c r="BW116" s="317">
        <f>BX116-BV116</f>
        <v>148</v>
      </c>
      <c r="BX116" s="314">
        <v>291</v>
      </c>
      <c r="BY116" s="317">
        <v>75</v>
      </c>
      <c r="BZ116" s="317">
        <f>CC116-BY116</f>
        <v>65</v>
      </c>
      <c r="CA116" s="317">
        <f>196-CC116</f>
        <v>56</v>
      </c>
      <c r="CB116" s="714">
        <f>CD116-CA116</f>
        <v>77</v>
      </c>
      <c r="CC116" s="317">
        <v>140</v>
      </c>
      <c r="CD116" s="317">
        <f>CE116-CC116</f>
        <v>133</v>
      </c>
      <c r="CE116" s="314">
        <v>273</v>
      </c>
      <c r="CF116" s="317">
        <v>55</v>
      </c>
      <c r="CG116" s="317">
        <f>CJ116-CF116</f>
        <v>64</v>
      </c>
      <c r="CH116" s="317">
        <f>177-CJ116</f>
        <v>58</v>
      </c>
      <c r="CI116" s="714">
        <f>CK116-CH116</f>
        <v>98</v>
      </c>
      <c r="CJ116" s="317">
        <v>119</v>
      </c>
      <c r="CK116" s="317">
        <f t="shared" ref="CK116:CK117" si="890">CL116-CJ116</f>
        <v>156</v>
      </c>
      <c r="CL116" s="314">
        <v>275</v>
      </c>
      <c r="CM116" s="317">
        <v>56</v>
      </c>
      <c r="CN116" s="317">
        <f>CQ116-CM116</f>
        <v>63</v>
      </c>
      <c r="CO116" s="317">
        <f>177-CQ116</f>
        <v>58</v>
      </c>
      <c r="CP116" s="714">
        <f>CR116-CO116</f>
        <v>98</v>
      </c>
      <c r="CQ116" s="317">
        <v>119</v>
      </c>
      <c r="CR116" s="317">
        <f t="shared" ref="CR116:CR117" si="891">CS116-CQ116</f>
        <v>156</v>
      </c>
      <c r="CS116" s="314">
        <v>275</v>
      </c>
      <c r="CT116" s="317">
        <v>66</v>
      </c>
      <c r="CU116" s="317">
        <f t="shared" ref="CU116:CU117" si="892">CX116-CT116</f>
        <v>79</v>
      </c>
      <c r="CV116" s="317">
        <f>223-CT116-CU116</f>
        <v>78</v>
      </c>
      <c r="CW116" s="714">
        <f>CY116-CV116</f>
        <v>112</v>
      </c>
      <c r="CX116" s="317">
        <v>145</v>
      </c>
      <c r="CY116" s="317">
        <f>CZ116-CX116</f>
        <v>190</v>
      </c>
      <c r="CZ116" s="314">
        <v>335</v>
      </c>
      <c r="DA116" s="317">
        <v>71</v>
      </c>
      <c r="DB116" s="317">
        <f t="shared" ref="DB116:DB117" si="893">DE116-DA116</f>
        <v>84</v>
      </c>
      <c r="DC116" s="317">
        <f>227-DA116-DB116</f>
        <v>72</v>
      </c>
      <c r="DD116" s="714">
        <f>DF116-DC116</f>
        <v>111</v>
      </c>
      <c r="DE116" s="317">
        <v>155</v>
      </c>
      <c r="DF116" s="317">
        <f>DG116-DE116</f>
        <v>183</v>
      </c>
      <c r="DG116" s="314">
        <v>338</v>
      </c>
      <c r="DH116" s="317">
        <v>66</v>
      </c>
      <c r="DI116" s="317">
        <f t="shared" ref="DI116:DI117" si="894">DL116-DH116</f>
        <v>79</v>
      </c>
      <c r="DJ116" s="317">
        <f>227-DH116-DI116</f>
        <v>82</v>
      </c>
      <c r="DK116" s="714">
        <f>DM116-DJ116</f>
        <v>119</v>
      </c>
      <c r="DL116" s="2079">
        <v>145</v>
      </c>
      <c r="DM116" s="317">
        <f>DN116-DL116</f>
        <v>201</v>
      </c>
      <c r="DN116" s="314">
        <v>346</v>
      </c>
      <c r="DO116" s="317">
        <v>76</v>
      </c>
      <c r="DP116" s="317">
        <f t="shared" ref="DP116:DP117" si="895">DS116-DO116</f>
        <v>74</v>
      </c>
      <c r="DQ116" s="624">
        <f>Helicopters!DC14</f>
        <v>83.277089999999987</v>
      </c>
      <c r="DR116" s="741">
        <f>Helicopters!DD14</f>
        <v>141.58311864000007</v>
      </c>
      <c r="DS116" s="1909">
        <v>150</v>
      </c>
      <c r="DT116" s="624">
        <f>Helicopters!DF14</f>
        <v>224.86020864000005</v>
      </c>
      <c r="DU116" s="1113">
        <f>Helicopters!DG14</f>
        <v>374.86020864000005</v>
      </c>
      <c r="DV116" s="624">
        <f>Helicopters!DH14</f>
        <v>67.115466240000003</v>
      </c>
      <c r="DW116" s="624">
        <f>Helicopters!DI14</f>
        <v>86.78036736</v>
      </c>
      <c r="DX116" s="624">
        <f>Helicopters!DJ14</f>
        <v>87.028520147999984</v>
      </c>
      <c r="DY116" s="741">
        <f>Helicopters!DK14</f>
        <v>150.63573679305608</v>
      </c>
      <c r="DZ116" s="624">
        <f>Helicopters!DL14</f>
        <v>153.8958336</v>
      </c>
      <c r="EA116" s="624">
        <f>Helicopters!DM14</f>
        <v>237.66425694105607</v>
      </c>
      <c r="EB116" s="1113">
        <f>Helicopters!DN14</f>
        <v>391.56009054105607</v>
      </c>
      <c r="EC116" s="624">
        <f>Helicopters!DO14</f>
        <v>70.208503428096009</v>
      </c>
      <c r="ED116" s="624">
        <f>Helicopters!DP14</f>
        <v>90.691123129343993</v>
      </c>
      <c r="EE116" s="624">
        <f>Helicopters!DQ14</f>
        <v>90.950859859579211</v>
      </c>
      <c r="EF116" s="741">
        <f>Helicopters!DR14</f>
        <v>157.16193772749551</v>
      </c>
      <c r="EG116" s="624">
        <f>Helicopters!DS14</f>
        <v>160.89962655744</v>
      </c>
      <c r="EH116" s="624">
        <f>Helicopters!DT14</f>
        <v>248.11279758707474</v>
      </c>
      <c r="EI116" s="1113">
        <f>Helicopters!DU14</f>
        <v>409.01242414451474</v>
      </c>
      <c r="EJ116" s="624">
        <f>Helicopters!DV14</f>
        <v>73.4455779361911</v>
      </c>
      <c r="EK116" s="624">
        <f>Helicopters!DW14</f>
        <v>94.780114878169499</v>
      </c>
      <c r="EL116" s="624">
        <f>Helicopters!DX14</f>
        <v>95.051981470386195</v>
      </c>
      <c r="EM116" s="741">
        <f>Helicopters!DY14</f>
        <v>163.97382303808638</v>
      </c>
      <c r="EN116" s="624">
        <f>Helicopters!DZ14</f>
        <v>168.2256928143606</v>
      </c>
      <c r="EO116" s="624">
        <f>Helicopters!EA14</f>
        <v>259.02580450847256</v>
      </c>
      <c r="EP116" s="1113">
        <f>Helicopters!EB14</f>
        <v>427.25149732283319</v>
      </c>
      <c r="EQ116" s="624">
        <f>Helicopters!EC14</f>
        <v>76.833462802893209</v>
      </c>
      <c r="ER116" s="624">
        <f>Helicopters!ED14</f>
        <v>99.055555412367553</v>
      </c>
      <c r="ES116" s="624">
        <f>Helicopters!EE14</f>
        <v>99.340123737893805</v>
      </c>
      <c r="ET116" s="741">
        <f>Helicopters!EF14</f>
        <v>171.08403566654499</v>
      </c>
      <c r="EU116" s="624">
        <f>Helicopters!EG14</f>
        <v>175.88901821526076</v>
      </c>
      <c r="EV116" s="624">
        <f>Helicopters!EH14</f>
        <v>270.4241594044388</v>
      </c>
      <c r="EW116" s="1113">
        <f>Helicopters!EI14</f>
        <v>446.31317761969956</v>
      </c>
    </row>
    <row r="117" spans="1:153" ht="10.199999999999999" customHeight="1">
      <c r="A117" s="108" t="s">
        <v>324</v>
      </c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>
        <v>65</v>
      </c>
      <c r="O117" s="317">
        <f>R117-N117</f>
        <v>93</v>
      </c>
      <c r="P117" s="317">
        <f>238-R117</f>
        <v>80</v>
      </c>
      <c r="Q117" s="714">
        <f>S117-P117</f>
        <v>106</v>
      </c>
      <c r="R117" s="317">
        <v>158</v>
      </c>
      <c r="S117" s="317">
        <f>T117-R117</f>
        <v>186</v>
      </c>
      <c r="T117" s="314">
        <v>344</v>
      </c>
      <c r="U117" s="317">
        <v>76</v>
      </c>
      <c r="V117" s="317">
        <f>Y117-U117</f>
        <v>87</v>
      </c>
      <c r="W117" s="317">
        <f>249-Y117</f>
        <v>86</v>
      </c>
      <c r="X117" s="714">
        <f>Z117-W117</f>
        <v>111</v>
      </c>
      <c r="Y117" s="317">
        <v>163</v>
      </c>
      <c r="Z117" s="317">
        <f>AA117-Y117</f>
        <v>197</v>
      </c>
      <c r="AA117" s="314">
        <v>360</v>
      </c>
      <c r="AB117" s="317">
        <v>66</v>
      </c>
      <c r="AC117" s="317">
        <f>AF117-AB117</f>
        <v>93</v>
      </c>
      <c r="AD117" s="317">
        <f>245-AF117</f>
        <v>86</v>
      </c>
      <c r="AE117" s="714">
        <f>AG117-AD117</f>
        <v>99</v>
      </c>
      <c r="AF117" s="317">
        <v>159</v>
      </c>
      <c r="AG117" s="317">
        <f>AH117-AF117</f>
        <v>185</v>
      </c>
      <c r="AH117" s="314">
        <v>344</v>
      </c>
      <c r="AI117" s="317">
        <v>66</v>
      </c>
      <c r="AJ117" s="317">
        <f>AM117-AI117</f>
        <v>86</v>
      </c>
      <c r="AK117" s="317">
        <f>237-AM117</f>
        <v>85</v>
      </c>
      <c r="AL117" s="714">
        <f>AN117-AK117</f>
        <v>95</v>
      </c>
      <c r="AM117" s="317">
        <v>152</v>
      </c>
      <c r="AN117" s="317">
        <f>AO117-AM117</f>
        <v>180</v>
      </c>
      <c r="AO117" s="314">
        <v>332</v>
      </c>
      <c r="AP117" s="317">
        <v>60</v>
      </c>
      <c r="AQ117" s="317">
        <f>+AT117-AP117</f>
        <v>84</v>
      </c>
      <c r="AR117" s="317">
        <f>220-AT117</f>
        <v>76</v>
      </c>
      <c r="AS117" s="714">
        <f>AU117-AR117</f>
        <v>86</v>
      </c>
      <c r="AT117" s="317">
        <v>144</v>
      </c>
      <c r="AU117" s="317">
        <f>AV117-AT117</f>
        <v>162</v>
      </c>
      <c r="AV117" s="314">
        <v>306</v>
      </c>
      <c r="AW117" s="317">
        <v>60</v>
      </c>
      <c r="AX117" s="317">
        <f>+BA117-AW117</f>
        <v>84</v>
      </c>
      <c r="AY117" s="317">
        <f>220-BA117</f>
        <v>76</v>
      </c>
      <c r="AZ117" s="714">
        <f>BB117-AY117</f>
        <v>102</v>
      </c>
      <c r="BA117" s="317">
        <v>144</v>
      </c>
      <c r="BB117" s="317">
        <f>BC117-BA117</f>
        <v>178</v>
      </c>
      <c r="BC117" s="314">
        <v>322</v>
      </c>
      <c r="BD117" s="317">
        <v>58</v>
      </c>
      <c r="BE117" s="317">
        <f>BH117-BD117</f>
        <v>78</v>
      </c>
      <c r="BF117" s="317">
        <f>219-BH117</f>
        <v>83</v>
      </c>
      <c r="BG117" s="714">
        <f>BI117-BF117</f>
        <v>109</v>
      </c>
      <c r="BH117" s="317">
        <v>136</v>
      </c>
      <c r="BI117" s="317">
        <f>BJ117-BH117</f>
        <v>192</v>
      </c>
      <c r="BJ117" s="314">
        <v>328</v>
      </c>
      <c r="BK117" s="317">
        <v>61</v>
      </c>
      <c r="BL117" s="317">
        <f>BO117-BK117</f>
        <v>77</v>
      </c>
      <c r="BM117" s="317">
        <f>216-BO117</f>
        <v>78</v>
      </c>
      <c r="BN117" s="714">
        <f>BP117-BM117</f>
        <v>86</v>
      </c>
      <c r="BO117" s="317">
        <v>138</v>
      </c>
      <c r="BP117" s="317">
        <f>BQ117-BO117</f>
        <v>164</v>
      </c>
      <c r="BQ117" s="314">
        <v>302</v>
      </c>
      <c r="BR117" s="317">
        <v>61</v>
      </c>
      <c r="BS117" s="317">
        <f>BV117-BR117</f>
        <v>77</v>
      </c>
      <c r="BT117" s="317">
        <f>216-BV117</f>
        <v>78</v>
      </c>
      <c r="BU117" s="714">
        <f>BW117-BT117</f>
        <v>86</v>
      </c>
      <c r="BV117" s="317">
        <v>138</v>
      </c>
      <c r="BW117" s="317">
        <f>BX117-BV117</f>
        <v>164</v>
      </c>
      <c r="BX117" s="314">
        <v>302</v>
      </c>
      <c r="BY117" s="317">
        <v>51</v>
      </c>
      <c r="BZ117" s="317">
        <f>CC117-BY117</f>
        <v>68</v>
      </c>
      <c r="CA117" s="317">
        <f>177-CC117</f>
        <v>58</v>
      </c>
      <c r="CB117" s="714">
        <f>CD117-CA117</f>
        <v>48</v>
      </c>
      <c r="CC117" s="317">
        <v>119</v>
      </c>
      <c r="CD117" s="317">
        <f>CE117-CC117</f>
        <v>106</v>
      </c>
      <c r="CE117" s="314">
        <v>225</v>
      </c>
      <c r="CF117" s="317">
        <v>47</v>
      </c>
      <c r="CG117" s="317">
        <f>CJ117-CF117</f>
        <v>66</v>
      </c>
      <c r="CH117" s="317">
        <f>169-CJ117</f>
        <v>56</v>
      </c>
      <c r="CI117" s="714">
        <f>CK117-CH117</f>
        <v>80</v>
      </c>
      <c r="CJ117" s="317">
        <v>113</v>
      </c>
      <c r="CK117" s="317">
        <f t="shared" si="890"/>
        <v>136</v>
      </c>
      <c r="CL117" s="314">
        <v>249</v>
      </c>
      <c r="CM117" s="317">
        <v>53</v>
      </c>
      <c r="CN117" s="317">
        <f>CQ117-CM117</f>
        <v>60</v>
      </c>
      <c r="CO117" s="317">
        <f>169-CQ117</f>
        <v>56</v>
      </c>
      <c r="CP117" s="714">
        <f>CR117-CO117</f>
        <v>97</v>
      </c>
      <c r="CQ117" s="317">
        <v>113</v>
      </c>
      <c r="CR117" s="317">
        <f t="shared" si="891"/>
        <v>153</v>
      </c>
      <c r="CS117" s="314">
        <v>266</v>
      </c>
      <c r="CT117" s="317">
        <v>45</v>
      </c>
      <c r="CU117" s="317">
        <f t="shared" si="892"/>
        <v>51</v>
      </c>
      <c r="CV117" s="317">
        <f>165-CT117-CU117</f>
        <v>69</v>
      </c>
      <c r="CW117" s="714">
        <f>CY117-CV117</f>
        <v>110</v>
      </c>
      <c r="CX117" s="317">
        <v>96</v>
      </c>
      <c r="CY117" s="317">
        <f>CZ117-CX117</f>
        <v>179</v>
      </c>
      <c r="CZ117" s="314">
        <v>275</v>
      </c>
      <c r="DA117" s="317">
        <v>58</v>
      </c>
      <c r="DB117" s="317">
        <f t="shared" si="893"/>
        <v>92</v>
      </c>
      <c r="DC117" s="317">
        <f>228-DA117-DB117</f>
        <v>78</v>
      </c>
      <c r="DD117" s="714">
        <f>DF117-DC117</f>
        <v>48</v>
      </c>
      <c r="DE117" s="317">
        <v>150</v>
      </c>
      <c r="DF117" s="317">
        <f>DG117-DE117</f>
        <v>126</v>
      </c>
      <c r="DG117" s="314">
        <v>276</v>
      </c>
      <c r="DH117" s="317">
        <v>57</v>
      </c>
      <c r="DI117" s="317">
        <f t="shared" si="894"/>
        <v>68</v>
      </c>
      <c r="DJ117" s="317">
        <f>206-DH117-DI117</f>
        <v>81</v>
      </c>
      <c r="DK117" s="714">
        <f>DM117-DJ117</f>
        <v>63</v>
      </c>
      <c r="DL117" s="2079">
        <v>125</v>
      </c>
      <c r="DM117" s="317">
        <f>DN117-DL117</f>
        <v>144</v>
      </c>
      <c r="DN117" s="314">
        <v>269</v>
      </c>
      <c r="DO117" s="317">
        <v>78</v>
      </c>
      <c r="DP117" s="317">
        <f t="shared" si="895"/>
        <v>44</v>
      </c>
      <c r="DQ117" s="624">
        <f>'Defence &amp; Space'!CQ18</f>
        <v>83.581612500000006</v>
      </c>
      <c r="DR117" s="741">
        <f>'Defence &amp; Space'!CR18</f>
        <v>157.69388750000002</v>
      </c>
      <c r="DS117" s="1909">
        <v>122</v>
      </c>
      <c r="DT117" s="624">
        <f>'Defence &amp; Space'!CT18</f>
        <v>241.27550000000002</v>
      </c>
      <c r="DU117" s="1113">
        <f>'Defence &amp; Space'!CU18</f>
        <v>363.27550000000002</v>
      </c>
      <c r="DV117" s="624">
        <f>'Defence &amp; Space'!CV18</f>
        <v>90.631079999999997</v>
      </c>
      <c r="DW117" s="624">
        <f>'Defence &amp; Space'!CW18</f>
        <v>111.59145000000001</v>
      </c>
      <c r="DX117" s="624">
        <f>'Defence &amp; Space'!CX18</f>
        <v>106.98063524999999</v>
      </c>
      <c r="DY117" s="741">
        <f>'Defence &amp; Space'!CY18</f>
        <v>156.04416975000004</v>
      </c>
      <c r="DZ117" s="624">
        <f>'Defence &amp; Space'!CZ18</f>
        <v>202.22253000000001</v>
      </c>
      <c r="EA117" s="624">
        <f>'Defence &amp; Space'!DA18</f>
        <v>263.02480500000001</v>
      </c>
      <c r="EB117" s="1113">
        <f>'Defence &amp; Space'!DB18</f>
        <v>465.24733500000002</v>
      </c>
      <c r="EC117" s="624">
        <f>'Defence &amp; Space'!DC18</f>
        <v>111.02307300000002</v>
      </c>
      <c r="ED117" s="624">
        <f>'Defence &amp; Space'!DD18</f>
        <v>136.69952625000002</v>
      </c>
      <c r="EE117" s="624">
        <f>'Defence &amp; Space'!DE18</f>
        <v>131.05127818125001</v>
      </c>
      <c r="EF117" s="741">
        <f>'Defence &amp; Space'!DF18</f>
        <v>191.15410794375012</v>
      </c>
      <c r="EG117" s="624">
        <f>'Defence &amp; Space'!DG18</f>
        <v>247.72259925000006</v>
      </c>
      <c r="EH117" s="624">
        <f>'Defence &amp; Space'!DH18</f>
        <v>322.20538612500013</v>
      </c>
      <c r="EI117" s="1113">
        <f>'Defence &amp; Space'!DI18</f>
        <v>569.92798537500016</v>
      </c>
      <c r="EJ117" s="624">
        <f>'Defence &amp; Space'!DJ18</f>
        <v>133.2276876</v>
      </c>
      <c r="EK117" s="624">
        <f>'Defence &amp; Space'!DK18</f>
        <v>164.03943150000006</v>
      </c>
      <c r="EL117" s="624">
        <f>'Defence &amp; Space'!DL18</f>
        <v>157.26153381750004</v>
      </c>
      <c r="EM117" s="741">
        <f>'Defence &amp; Space'!DM18</f>
        <v>229.38492953250005</v>
      </c>
      <c r="EN117" s="624">
        <f>'Defence &amp; Space'!DN18</f>
        <v>297.26711910000006</v>
      </c>
      <c r="EO117" s="624">
        <f>'Defence &amp; Space'!DO18</f>
        <v>386.64646335000009</v>
      </c>
      <c r="EP117" s="1113">
        <f>'Defence &amp; Space'!DP18</f>
        <v>683.91358245000015</v>
      </c>
      <c r="EQ117" s="624">
        <f>'Defence &amp; Space'!DQ18</f>
        <v>157.3752059775</v>
      </c>
      <c r="ER117" s="624">
        <f>'Defence &amp; Space'!DR18</f>
        <v>193.77157845937506</v>
      </c>
      <c r="ES117" s="624">
        <f>'Defence &amp; Space'!DS18</f>
        <v>185.76518682192193</v>
      </c>
      <c r="ET117" s="741">
        <f>'Defence &amp; Space'!DT18</f>
        <v>270.96094801026578</v>
      </c>
      <c r="EU117" s="624">
        <f>'Defence &amp; Space'!DU18</f>
        <v>351.14678443687507</v>
      </c>
      <c r="EV117" s="624">
        <f>'Defence &amp; Space'!DV18</f>
        <v>456.72613483218771</v>
      </c>
      <c r="EW117" s="1113">
        <f>'Defence &amp; Space'!DW18</f>
        <v>807.87291926906278</v>
      </c>
    </row>
    <row r="118" spans="1:153" ht="10.199999999999999" hidden="1" customHeight="1" outlineLevel="1">
      <c r="A118" s="127" t="str">
        <f>A66</f>
        <v>Airbus Military</v>
      </c>
      <c r="B118" s="317">
        <v>53</v>
      </c>
      <c r="C118" s="317">
        <v>40</v>
      </c>
      <c r="D118" s="317">
        <v>23</v>
      </c>
      <c r="E118" s="317">
        <v>26</v>
      </c>
      <c r="F118" s="317">
        <v>18</v>
      </c>
      <c r="G118" s="317">
        <v>13</v>
      </c>
      <c r="H118" s="317">
        <v>16</v>
      </c>
      <c r="I118" s="317">
        <v>9</v>
      </c>
      <c r="J118" s="317">
        <v>13</v>
      </c>
      <c r="K118" s="317">
        <v>10</v>
      </c>
      <c r="L118" s="317">
        <v>14</v>
      </c>
      <c r="M118" s="317">
        <v>11</v>
      </c>
      <c r="N118" s="624"/>
      <c r="O118" s="624"/>
      <c r="P118" s="624"/>
      <c r="Q118" s="714"/>
      <c r="R118" s="624"/>
      <c r="S118" s="317"/>
      <c r="T118" s="314"/>
      <c r="U118" s="624"/>
      <c r="V118" s="624"/>
      <c r="W118" s="624"/>
      <c r="X118" s="714"/>
      <c r="Y118" s="624"/>
      <c r="Z118" s="317"/>
      <c r="AA118" s="314"/>
      <c r="AB118" s="624"/>
      <c r="AC118" s="624"/>
      <c r="AD118" s="624"/>
      <c r="AE118" s="714"/>
      <c r="AF118" s="624"/>
      <c r="AG118" s="317"/>
      <c r="AH118" s="314"/>
      <c r="AI118" s="624"/>
      <c r="AJ118" s="624"/>
      <c r="AK118" s="624"/>
      <c r="AL118" s="714"/>
      <c r="AM118" s="624"/>
      <c r="AN118" s="317"/>
      <c r="AO118" s="314"/>
      <c r="AP118" s="624"/>
      <c r="AQ118" s="624"/>
      <c r="AR118" s="624"/>
      <c r="AS118" s="714"/>
      <c r="AT118" s="624"/>
      <c r="AU118" s="317"/>
      <c r="AV118" s="314"/>
      <c r="AW118" s="624"/>
      <c r="AX118" s="624"/>
      <c r="AY118" s="624"/>
      <c r="AZ118" s="714"/>
      <c r="BA118" s="624"/>
      <c r="BB118" s="317"/>
      <c r="BC118" s="314"/>
      <c r="BD118" s="624"/>
      <c r="BE118" s="624"/>
      <c r="BF118" s="624"/>
      <c r="BG118" s="714"/>
      <c r="BH118" s="624"/>
      <c r="BI118" s="317"/>
      <c r="BJ118" s="314"/>
      <c r="BK118" s="624"/>
      <c r="BL118" s="624"/>
      <c r="BM118" s="624"/>
      <c r="BN118" s="714"/>
      <c r="BO118" s="624"/>
      <c r="BP118" s="317"/>
      <c r="BQ118" s="314"/>
      <c r="BR118" s="624"/>
      <c r="BS118" s="624"/>
      <c r="BT118" s="624"/>
      <c r="BU118" s="714"/>
      <c r="BV118" s="624"/>
      <c r="BW118" s="317"/>
      <c r="BX118" s="314"/>
      <c r="BY118" s="624"/>
      <c r="BZ118" s="624"/>
      <c r="CA118" s="624"/>
      <c r="CB118" s="714"/>
      <c r="CC118" s="624"/>
      <c r="CD118" s="317"/>
      <c r="CE118" s="314"/>
      <c r="CF118" s="624"/>
      <c r="CG118" s="624"/>
      <c r="CH118" s="624"/>
      <c r="CI118" s="714"/>
      <c r="CJ118" s="624"/>
      <c r="CK118" s="317"/>
      <c r="CL118" s="314"/>
      <c r="CM118" s="624"/>
      <c r="CN118" s="624"/>
      <c r="CO118" s="624"/>
      <c r="CP118" s="714"/>
      <c r="CQ118" s="624"/>
      <c r="CR118" s="317"/>
      <c r="CS118" s="314"/>
      <c r="CT118" s="624"/>
      <c r="CU118" s="624"/>
      <c r="CV118" s="624"/>
      <c r="CW118" s="714"/>
      <c r="CX118" s="624"/>
      <c r="CY118" s="317"/>
      <c r="CZ118" s="314"/>
      <c r="DA118" s="624"/>
      <c r="DB118" s="624"/>
      <c r="DC118" s="624"/>
      <c r="DD118" s="714"/>
      <c r="DE118" s="624"/>
      <c r="DF118" s="317"/>
      <c r="DG118" s="314"/>
      <c r="DH118" s="317"/>
      <c r="DI118" s="624"/>
      <c r="DJ118" s="624"/>
      <c r="DK118" s="714"/>
      <c r="DL118" s="624"/>
      <c r="DM118" s="317"/>
      <c r="DN118" s="314"/>
      <c r="DO118" s="317"/>
      <c r="DP118" s="624"/>
      <c r="DQ118" s="624"/>
      <c r="DR118" s="741"/>
      <c r="DS118" s="1909"/>
      <c r="DT118" s="624"/>
      <c r="DU118" s="1113"/>
      <c r="DV118" s="624"/>
      <c r="DW118" s="624"/>
      <c r="DX118" s="624"/>
      <c r="DY118" s="741"/>
      <c r="DZ118" s="624"/>
      <c r="EA118" s="624"/>
      <c r="EB118" s="1113"/>
      <c r="EC118" s="624"/>
      <c r="ED118" s="624"/>
      <c r="EE118" s="624"/>
      <c r="EF118" s="741"/>
      <c r="EG118" s="624"/>
      <c r="EH118" s="624"/>
      <c r="EI118" s="1113"/>
      <c r="EJ118" s="624"/>
      <c r="EK118" s="624"/>
      <c r="EL118" s="624"/>
      <c r="EM118" s="741"/>
      <c r="EN118" s="624"/>
      <c r="EO118" s="624"/>
      <c r="EP118" s="1113"/>
      <c r="EQ118" s="624"/>
      <c r="ER118" s="624"/>
      <c r="ES118" s="624"/>
      <c r="ET118" s="741"/>
      <c r="EU118" s="624"/>
      <c r="EV118" s="624"/>
      <c r="EW118" s="1113"/>
    </row>
    <row r="119" spans="1:153" ht="10.199999999999999" hidden="1" customHeight="1" outlineLevel="1">
      <c r="A119" s="127" t="str">
        <f>A67</f>
        <v>Cassidian</v>
      </c>
      <c r="B119" s="317">
        <v>173</v>
      </c>
      <c r="C119" s="317">
        <v>167</v>
      </c>
      <c r="D119" s="317">
        <v>223</v>
      </c>
      <c r="E119" s="317">
        <v>185</v>
      </c>
      <c r="F119" s="317">
        <v>207</v>
      </c>
      <c r="G119" s="317">
        <v>195</v>
      </c>
      <c r="H119" s="317">
        <v>169</v>
      </c>
      <c r="I119" s="317">
        <v>174</v>
      </c>
      <c r="J119" s="317">
        <v>216</v>
      </c>
      <c r="K119" s="317">
        <v>251</v>
      </c>
      <c r="L119" s="317">
        <v>275</v>
      </c>
      <c r="M119" s="317">
        <v>234</v>
      </c>
      <c r="N119" s="624"/>
      <c r="O119" s="624"/>
      <c r="P119" s="624"/>
      <c r="Q119" s="714"/>
      <c r="R119" s="624"/>
      <c r="S119" s="317"/>
      <c r="T119" s="314"/>
      <c r="U119" s="624"/>
      <c r="V119" s="624"/>
      <c r="W119" s="624"/>
      <c r="X119" s="714"/>
      <c r="Y119" s="624"/>
      <c r="Z119" s="317"/>
      <c r="AA119" s="314"/>
      <c r="AB119" s="624"/>
      <c r="AC119" s="624"/>
      <c r="AD119" s="624"/>
      <c r="AE119" s="714"/>
      <c r="AF119" s="624"/>
      <c r="AG119" s="317"/>
      <c r="AH119" s="314"/>
      <c r="AI119" s="624"/>
      <c r="AJ119" s="624"/>
      <c r="AK119" s="624"/>
      <c r="AL119" s="714"/>
      <c r="AM119" s="624"/>
      <c r="AN119" s="317"/>
      <c r="AO119" s="314"/>
      <c r="AP119" s="624"/>
      <c r="AQ119" s="624"/>
      <c r="AR119" s="624"/>
      <c r="AS119" s="714"/>
      <c r="AT119" s="624"/>
      <c r="AU119" s="317"/>
      <c r="AV119" s="314"/>
      <c r="AW119" s="624"/>
      <c r="AX119" s="624"/>
      <c r="AY119" s="624"/>
      <c r="AZ119" s="714"/>
      <c r="BA119" s="624"/>
      <c r="BB119" s="317"/>
      <c r="BC119" s="314"/>
      <c r="BD119" s="624"/>
      <c r="BE119" s="624"/>
      <c r="BF119" s="624"/>
      <c r="BG119" s="714"/>
      <c r="BH119" s="624"/>
      <c r="BI119" s="317"/>
      <c r="BJ119" s="314"/>
      <c r="BK119" s="624"/>
      <c r="BL119" s="624"/>
      <c r="BM119" s="624"/>
      <c r="BN119" s="714"/>
      <c r="BO119" s="624"/>
      <c r="BP119" s="317"/>
      <c r="BQ119" s="314"/>
      <c r="BR119" s="624"/>
      <c r="BS119" s="624"/>
      <c r="BT119" s="624"/>
      <c r="BU119" s="714"/>
      <c r="BV119" s="624"/>
      <c r="BW119" s="317"/>
      <c r="BX119" s="314"/>
      <c r="BY119" s="624"/>
      <c r="BZ119" s="624"/>
      <c r="CA119" s="624"/>
      <c r="CB119" s="714"/>
      <c r="CC119" s="624"/>
      <c r="CD119" s="317"/>
      <c r="CE119" s="314"/>
      <c r="CF119" s="624"/>
      <c r="CG119" s="624"/>
      <c r="CH119" s="624"/>
      <c r="CI119" s="714"/>
      <c r="CJ119" s="624"/>
      <c r="CK119" s="317"/>
      <c r="CL119" s="314"/>
      <c r="CM119" s="624"/>
      <c r="CN119" s="624"/>
      <c r="CO119" s="624"/>
      <c r="CP119" s="714"/>
      <c r="CQ119" s="624"/>
      <c r="CR119" s="317"/>
      <c r="CS119" s="314"/>
      <c r="CT119" s="624"/>
      <c r="CU119" s="624"/>
      <c r="CV119" s="624"/>
      <c r="CW119" s="714"/>
      <c r="CX119" s="624"/>
      <c r="CY119" s="317"/>
      <c r="CZ119" s="314"/>
      <c r="DA119" s="624"/>
      <c r="DB119" s="624"/>
      <c r="DC119" s="624"/>
      <c r="DD119" s="714"/>
      <c r="DE119" s="624"/>
      <c r="DF119" s="317"/>
      <c r="DG119" s="314"/>
      <c r="DH119" s="317"/>
      <c r="DI119" s="624"/>
      <c r="DJ119" s="624"/>
      <c r="DK119" s="714"/>
      <c r="DL119" s="624"/>
      <c r="DM119" s="317"/>
      <c r="DN119" s="314"/>
      <c r="DO119" s="317"/>
      <c r="DP119" s="624"/>
      <c r="DQ119" s="624"/>
      <c r="DR119" s="741"/>
      <c r="DS119" s="1909"/>
      <c r="DT119" s="624"/>
      <c r="DU119" s="1113"/>
      <c r="DV119" s="624"/>
      <c r="DW119" s="624"/>
      <c r="DX119" s="624"/>
      <c r="DY119" s="741"/>
      <c r="DZ119" s="624"/>
      <c r="EA119" s="624"/>
      <c r="EB119" s="1113"/>
      <c r="EC119" s="624"/>
      <c r="ED119" s="624"/>
      <c r="EE119" s="624"/>
      <c r="EF119" s="741"/>
      <c r="EG119" s="624"/>
      <c r="EH119" s="624"/>
      <c r="EI119" s="1113"/>
      <c r="EJ119" s="624"/>
      <c r="EK119" s="624"/>
      <c r="EL119" s="624"/>
      <c r="EM119" s="741"/>
      <c r="EN119" s="624"/>
      <c r="EO119" s="624"/>
      <c r="EP119" s="1113"/>
      <c r="EQ119" s="624"/>
      <c r="ER119" s="624"/>
      <c r="ES119" s="624"/>
      <c r="ET119" s="741"/>
      <c r="EU119" s="624"/>
      <c r="EV119" s="624"/>
      <c r="EW119" s="1113"/>
    </row>
    <row r="120" spans="1:153" ht="10.199999999999999" hidden="1" customHeight="1" outlineLevel="1">
      <c r="A120" s="127" t="str">
        <f>A68</f>
        <v>Astrium</v>
      </c>
      <c r="B120" s="317">
        <v>60</v>
      </c>
      <c r="C120" s="317">
        <v>59</v>
      </c>
      <c r="D120" s="317">
        <v>62</v>
      </c>
      <c r="E120" s="317">
        <v>61</v>
      </c>
      <c r="F120" s="317">
        <v>58</v>
      </c>
      <c r="G120" s="317">
        <v>71</v>
      </c>
      <c r="H120" s="317">
        <v>78</v>
      </c>
      <c r="I120" s="317">
        <v>69</v>
      </c>
      <c r="J120" s="317">
        <v>74</v>
      </c>
      <c r="K120" s="317">
        <v>85</v>
      </c>
      <c r="L120" s="317">
        <v>109</v>
      </c>
      <c r="M120" s="317">
        <v>128</v>
      </c>
      <c r="N120" s="624"/>
      <c r="O120" s="624"/>
      <c r="P120" s="624"/>
      <c r="Q120" s="714"/>
      <c r="R120" s="624"/>
      <c r="S120" s="317"/>
      <c r="T120" s="314"/>
      <c r="U120" s="624"/>
      <c r="V120" s="624"/>
      <c r="W120" s="624"/>
      <c r="X120" s="714"/>
      <c r="Y120" s="624"/>
      <c r="Z120" s="317"/>
      <c r="AA120" s="314"/>
      <c r="AB120" s="624"/>
      <c r="AC120" s="624"/>
      <c r="AD120" s="624"/>
      <c r="AE120" s="714"/>
      <c r="AF120" s="624"/>
      <c r="AG120" s="317"/>
      <c r="AH120" s="314"/>
      <c r="AI120" s="624"/>
      <c r="AJ120" s="624"/>
      <c r="AK120" s="624"/>
      <c r="AL120" s="714"/>
      <c r="AM120" s="624"/>
      <c r="AN120" s="317"/>
      <c r="AO120" s="314"/>
      <c r="AP120" s="624"/>
      <c r="AQ120" s="624"/>
      <c r="AR120" s="624"/>
      <c r="AS120" s="714"/>
      <c r="AT120" s="624"/>
      <c r="AU120" s="317"/>
      <c r="AV120" s="314"/>
      <c r="AW120" s="624"/>
      <c r="AX120" s="624"/>
      <c r="AY120" s="624"/>
      <c r="AZ120" s="714"/>
      <c r="BA120" s="624"/>
      <c r="BB120" s="317"/>
      <c r="BC120" s="314"/>
      <c r="BD120" s="624"/>
      <c r="BE120" s="624"/>
      <c r="BF120" s="624"/>
      <c r="BG120" s="714"/>
      <c r="BH120" s="624"/>
      <c r="BI120" s="317"/>
      <c r="BJ120" s="314"/>
      <c r="BK120" s="624"/>
      <c r="BL120" s="624"/>
      <c r="BM120" s="624"/>
      <c r="BN120" s="714"/>
      <c r="BO120" s="624"/>
      <c r="BP120" s="317"/>
      <c r="BQ120" s="314"/>
      <c r="BR120" s="624"/>
      <c r="BS120" s="624"/>
      <c r="BT120" s="624"/>
      <c r="BU120" s="714"/>
      <c r="BV120" s="624"/>
      <c r="BW120" s="317"/>
      <c r="BX120" s="314"/>
      <c r="BY120" s="624"/>
      <c r="BZ120" s="624"/>
      <c r="CA120" s="624"/>
      <c r="CB120" s="714"/>
      <c r="CC120" s="624"/>
      <c r="CD120" s="317"/>
      <c r="CE120" s="314"/>
      <c r="CF120" s="624"/>
      <c r="CG120" s="624"/>
      <c r="CH120" s="624"/>
      <c r="CI120" s="714"/>
      <c r="CJ120" s="624"/>
      <c r="CK120" s="317"/>
      <c r="CL120" s="314"/>
      <c r="CM120" s="624"/>
      <c r="CN120" s="624"/>
      <c r="CO120" s="624"/>
      <c r="CP120" s="714"/>
      <c r="CQ120" s="624"/>
      <c r="CR120" s="317"/>
      <c r="CS120" s="314"/>
      <c r="CT120" s="624"/>
      <c r="CU120" s="624"/>
      <c r="CV120" s="624"/>
      <c r="CW120" s="714"/>
      <c r="CX120" s="624"/>
      <c r="CY120" s="317"/>
      <c r="CZ120" s="314"/>
      <c r="DA120" s="624"/>
      <c r="DB120" s="624"/>
      <c r="DC120" s="624"/>
      <c r="DD120" s="714"/>
      <c r="DE120" s="624"/>
      <c r="DF120" s="317"/>
      <c r="DG120" s="314"/>
      <c r="DH120" s="317"/>
      <c r="DI120" s="624"/>
      <c r="DJ120" s="624"/>
      <c r="DK120" s="714"/>
      <c r="DL120" s="624"/>
      <c r="DM120" s="317"/>
      <c r="DN120" s="314"/>
      <c r="DO120" s="317"/>
      <c r="DP120" s="624"/>
      <c r="DQ120" s="624"/>
      <c r="DR120" s="741"/>
      <c r="DS120" s="1909"/>
      <c r="DT120" s="624"/>
      <c r="DU120" s="1113"/>
      <c r="DV120" s="624"/>
      <c r="DW120" s="624"/>
      <c r="DX120" s="624"/>
      <c r="DY120" s="741"/>
      <c r="DZ120" s="624"/>
      <c r="EA120" s="624"/>
      <c r="EB120" s="1113"/>
      <c r="EC120" s="624"/>
      <c r="ED120" s="624"/>
      <c r="EE120" s="624"/>
      <c r="EF120" s="741"/>
      <c r="EG120" s="624"/>
      <c r="EH120" s="624"/>
      <c r="EI120" s="1113"/>
      <c r="EJ120" s="624"/>
      <c r="EK120" s="624"/>
      <c r="EL120" s="624"/>
      <c r="EM120" s="741"/>
      <c r="EN120" s="624"/>
      <c r="EO120" s="624"/>
      <c r="EP120" s="1113"/>
      <c r="EQ120" s="624"/>
      <c r="ER120" s="624"/>
      <c r="ES120" s="624"/>
      <c r="ET120" s="741"/>
      <c r="EU120" s="624"/>
      <c r="EV120" s="624"/>
      <c r="EW120" s="1113"/>
    </row>
    <row r="121" spans="1:153" ht="10.199999999999999" hidden="1" customHeight="1" outlineLevel="1">
      <c r="A121" s="127" t="str">
        <f>+A22</f>
        <v>Other Businesses</v>
      </c>
      <c r="B121" s="317">
        <f>132*0.3</f>
        <v>39.6</v>
      </c>
      <c r="C121" s="317">
        <f>150*0.3</f>
        <v>45</v>
      </c>
      <c r="D121" s="317">
        <v>6</v>
      </c>
      <c r="E121" s="317">
        <v>7</v>
      </c>
      <c r="F121" s="317">
        <v>6</v>
      </c>
      <c r="G121" s="317">
        <v>6</v>
      </c>
      <c r="H121" s="317">
        <v>8</v>
      </c>
      <c r="I121" s="317">
        <v>9</v>
      </c>
      <c r="J121" s="317">
        <v>6</v>
      </c>
      <c r="K121" s="317">
        <v>10</v>
      </c>
      <c r="L121" s="317">
        <v>10</v>
      </c>
      <c r="M121" s="317">
        <v>12</v>
      </c>
      <c r="N121" s="624"/>
      <c r="O121" s="624"/>
      <c r="P121" s="624"/>
      <c r="Q121" s="714"/>
      <c r="R121" s="624"/>
      <c r="S121" s="317"/>
      <c r="T121" s="314"/>
      <c r="U121" s="624"/>
      <c r="V121" s="624"/>
      <c r="W121" s="624"/>
      <c r="X121" s="714"/>
      <c r="Y121" s="624"/>
      <c r="Z121" s="317"/>
      <c r="AA121" s="314"/>
      <c r="AB121" s="624"/>
      <c r="AC121" s="624"/>
      <c r="AD121" s="624"/>
      <c r="AE121" s="714"/>
      <c r="AF121" s="624"/>
      <c r="AG121" s="317"/>
      <c r="AH121" s="314"/>
      <c r="AI121" s="624"/>
      <c r="AJ121" s="624"/>
      <c r="AK121" s="624"/>
      <c r="AL121" s="714"/>
      <c r="AM121" s="624"/>
      <c r="AN121" s="317"/>
      <c r="AO121" s="314"/>
      <c r="AP121" s="624"/>
      <c r="AQ121" s="624"/>
      <c r="AR121" s="624"/>
      <c r="AS121" s="714"/>
      <c r="AT121" s="624"/>
      <c r="AU121" s="317"/>
      <c r="AV121" s="314"/>
      <c r="AW121" s="624"/>
      <c r="AX121" s="624"/>
      <c r="AY121" s="624"/>
      <c r="AZ121" s="714"/>
      <c r="BA121" s="624"/>
      <c r="BB121" s="317"/>
      <c r="BC121" s="314"/>
      <c r="BD121" s="624"/>
      <c r="BE121" s="624"/>
      <c r="BF121" s="624"/>
      <c r="BG121" s="714"/>
      <c r="BH121" s="624"/>
      <c r="BI121" s="317"/>
      <c r="BJ121" s="314"/>
      <c r="BK121" s="624"/>
      <c r="BL121" s="624"/>
      <c r="BM121" s="624"/>
      <c r="BN121" s="714"/>
      <c r="BO121" s="624"/>
      <c r="BP121" s="317"/>
      <c r="BQ121" s="314"/>
      <c r="BR121" s="624"/>
      <c r="BS121" s="624"/>
      <c r="BT121" s="624"/>
      <c r="BU121" s="714"/>
      <c r="BV121" s="624"/>
      <c r="BW121" s="317"/>
      <c r="BX121" s="314"/>
      <c r="BY121" s="624"/>
      <c r="BZ121" s="624"/>
      <c r="CA121" s="624"/>
      <c r="CB121" s="714"/>
      <c r="CC121" s="624"/>
      <c r="CD121" s="317"/>
      <c r="CE121" s="314"/>
      <c r="CF121" s="624"/>
      <c r="CG121" s="624"/>
      <c r="CH121" s="624"/>
      <c r="CI121" s="714"/>
      <c r="CJ121" s="624"/>
      <c r="CK121" s="317"/>
      <c r="CL121" s="314"/>
      <c r="CM121" s="624"/>
      <c r="CN121" s="624"/>
      <c r="CO121" s="624"/>
      <c r="CP121" s="714"/>
      <c r="CQ121" s="624"/>
      <c r="CR121" s="317"/>
      <c r="CS121" s="314"/>
      <c r="CT121" s="624"/>
      <c r="CU121" s="624"/>
      <c r="CV121" s="624"/>
      <c r="CW121" s="714"/>
      <c r="CX121" s="624"/>
      <c r="CY121" s="317"/>
      <c r="CZ121" s="314"/>
      <c r="DA121" s="624"/>
      <c r="DB121" s="624"/>
      <c r="DC121" s="624"/>
      <c r="DD121" s="714"/>
      <c r="DE121" s="624"/>
      <c r="DF121" s="317"/>
      <c r="DG121" s="314"/>
      <c r="DH121" s="317"/>
      <c r="DI121" s="624"/>
      <c r="DJ121" s="624"/>
      <c r="DK121" s="714"/>
      <c r="DL121" s="624"/>
      <c r="DM121" s="317"/>
      <c r="DN121" s="314"/>
      <c r="DO121" s="317"/>
      <c r="DP121" s="624"/>
      <c r="DQ121" s="624"/>
      <c r="DR121" s="741"/>
      <c r="DS121" s="1909"/>
      <c r="DT121" s="624"/>
      <c r="DU121" s="1113"/>
      <c r="DV121" s="624"/>
      <c r="DW121" s="624"/>
      <c r="DX121" s="624"/>
      <c r="DY121" s="741"/>
      <c r="DZ121" s="624"/>
      <c r="EA121" s="624"/>
      <c r="EB121" s="1113"/>
      <c r="EC121" s="624"/>
      <c r="ED121" s="624"/>
      <c r="EE121" s="624"/>
      <c r="EF121" s="741"/>
      <c r="EG121" s="624"/>
      <c r="EH121" s="624"/>
      <c r="EI121" s="1113"/>
      <c r="EJ121" s="624"/>
      <c r="EK121" s="624"/>
      <c r="EL121" s="624"/>
      <c r="EM121" s="741"/>
      <c r="EN121" s="624"/>
      <c r="EO121" s="624"/>
      <c r="EP121" s="1113"/>
      <c r="EQ121" s="624"/>
      <c r="ER121" s="624"/>
      <c r="ES121" s="624"/>
      <c r="ET121" s="741"/>
      <c r="EU121" s="624"/>
      <c r="EV121" s="624"/>
      <c r="EW121" s="1113"/>
    </row>
    <row r="122" spans="1:153" ht="10.199999999999999" customHeight="1" collapsed="1">
      <c r="A122" s="48" t="s">
        <v>168</v>
      </c>
      <c r="B122" s="319">
        <f t="shared" ref="B122:BQ122" si="896">+SUM(B115:B121)</f>
        <v>1843</v>
      </c>
      <c r="C122" s="319">
        <f t="shared" si="896"/>
        <v>2098</v>
      </c>
      <c r="D122" s="319">
        <f t="shared" si="896"/>
        <v>2189</v>
      </c>
      <c r="E122" s="319">
        <f t="shared" si="896"/>
        <v>2074</v>
      </c>
      <c r="F122" s="319">
        <f t="shared" si="896"/>
        <v>2018</v>
      </c>
      <c r="G122" s="319">
        <f t="shared" si="896"/>
        <v>2398</v>
      </c>
      <c r="H122" s="319">
        <f t="shared" si="896"/>
        <v>2539</v>
      </c>
      <c r="I122" s="319">
        <f t="shared" si="896"/>
        <v>2605</v>
      </c>
      <c r="J122" s="319">
        <f t="shared" si="896"/>
        <v>2766</v>
      </c>
      <c r="K122" s="319">
        <f t="shared" si="896"/>
        <v>2856</v>
      </c>
      <c r="L122" s="319">
        <f t="shared" si="896"/>
        <v>3110</v>
      </c>
      <c r="M122" s="319">
        <f t="shared" si="896"/>
        <v>3113</v>
      </c>
      <c r="N122" s="319">
        <f t="shared" si="896"/>
        <v>613</v>
      </c>
      <c r="O122" s="319">
        <f t="shared" si="896"/>
        <v>783</v>
      </c>
      <c r="P122" s="319">
        <f t="shared" si="896"/>
        <v>741</v>
      </c>
      <c r="Q122" s="760">
        <f t="shared" si="896"/>
        <v>946</v>
      </c>
      <c r="R122" s="319">
        <f t="shared" si="896"/>
        <v>1396</v>
      </c>
      <c r="S122" s="319">
        <f t="shared" si="896"/>
        <v>1687</v>
      </c>
      <c r="T122" s="1268">
        <f t="shared" si="896"/>
        <v>3083</v>
      </c>
      <c r="U122" s="319">
        <f t="shared" si="896"/>
        <v>725</v>
      </c>
      <c r="V122" s="319">
        <f t="shared" si="896"/>
        <v>827</v>
      </c>
      <c r="W122" s="319">
        <f t="shared" si="896"/>
        <v>796</v>
      </c>
      <c r="X122" s="760">
        <f t="shared" si="896"/>
        <v>1004</v>
      </c>
      <c r="Y122" s="319">
        <f t="shared" si="896"/>
        <v>1552</v>
      </c>
      <c r="Z122" s="319">
        <f t="shared" si="896"/>
        <v>1800</v>
      </c>
      <c r="AA122" s="1268">
        <f t="shared" si="896"/>
        <v>3352</v>
      </c>
      <c r="AB122" s="319">
        <f t="shared" ref="AB122:AG122" si="897">+SUM(AB115:AB121)</f>
        <v>684</v>
      </c>
      <c r="AC122" s="319">
        <f t="shared" si="897"/>
        <v>776</v>
      </c>
      <c r="AD122" s="319">
        <f t="shared" si="897"/>
        <v>738</v>
      </c>
      <c r="AE122" s="760">
        <f t="shared" si="897"/>
        <v>1173</v>
      </c>
      <c r="AF122" s="319">
        <f t="shared" si="897"/>
        <v>1460</v>
      </c>
      <c r="AG122" s="319">
        <f t="shared" si="897"/>
        <v>1911</v>
      </c>
      <c r="AH122" s="1268">
        <f t="shared" si="896"/>
        <v>3371</v>
      </c>
      <c r="AI122" s="319">
        <f t="shared" si="896"/>
        <v>509</v>
      </c>
      <c r="AJ122" s="319">
        <f t="shared" si="896"/>
        <v>751</v>
      </c>
      <c r="AK122" s="319">
        <f t="shared" si="896"/>
        <v>682</v>
      </c>
      <c r="AL122" s="760">
        <f t="shared" si="896"/>
        <v>864</v>
      </c>
      <c r="AM122" s="319">
        <f t="shared" si="896"/>
        <v>1260</v>
      </c>
      <c r="AN122" s="319">
        <f t="shared" si="896"/>
        <v>1546</v>
      </c>
      <c r="AO122" s="1268">
        <f t="shared" si="896"/>
        <v>2806</v>
      </c>
      <c r="AP122" s="319">
        <f t="shared" ref="AP122:AR122" si="898">+SUM(AP115:AP121)</f>
        <v>528</v>
      </c>
      <c r="AQ122" s="319">
        <f t="shared" si="898"/>
        <v>686</v>
      </c>
      <c r="AR122" s="319">
        <f t="shared" si="898"/>
        <v>579</v>
      </c>
      <c r="AS122" s="760">
        <f>+SUM(AS115:AS121)</f>
        <v>846</v>
      </c>
      <c r="AT122" s="319">
        <f t="shared" ref="AT122" si="899">+SUM(AT115:AT121)</f>
        <v>1214</v>
      </c>
      <c r="AU122" s="319">
        <f>+SUM(AU115:AU121)</f>
        <v>1425</v>
      </c>
      <c r="AV122" s="1268">
        <f t="shared" si="896"/>
        <v>2639</v>
      </c>
      <c r="AW122" s="319">
        <f t="shared" ref="AW122:AX122" si="900">+SUM(AW115:AW121)</f>
        <v>499</v>
      </c>
      <c r="AX122" s="319">
        <f t="shared" si="900"/>
        <v>715</v>
      </c>
      <c r="AY122" s="319">
        <f t="shared" ref="AY122" si="901">+SUM(AY115:AY121)</f>
        <v>514</v>
      </c>
      <c r="AZ122" s="760">
        <f>+SUM(AZ115:AZ121)</f>
        <v>742</v>
      </c>
      <c r="BA122" s="319">
        <f t="shared" ref="BA122" si="902">+SUM(BA115:BA121)</f>
        <v>1214</v>
      </c>
      <c r="BB122" s="319">
        <f>+SUM(BB115:BB121)</f>
        <v>1256</v>
      </c>
      <c r="BC122" s="1268">
        <f t="shared" si="896"/>
        <v>2470</v>
      </c>
      <c r="BD122" s="319">
        <f t="shared" ref="BD122:BE122" si="903">+SUM(BD115:BD121)</f>
        <v>558</v>
      </c>
      <c r="BE122" s="319">
        <f t="shared" si="903"/>
        <v>700</v>
      </c>
      <c r="BF122" s="319">
        <f t="shared" ref="BF122" si="904">+SUM(BF115:BF121)</f>
        <v>631</v>
      </c>
      <c r="BG122" s="760">
        <f>+SUM(BG115:BG121)</f>
        <v>968</v>
      </c>
      <c r="BH122" s="319">
        <f t="shared" ref="BH122" si="905">+SUM(BH115:BH121)</f>
        <v>1258</v>
      </c>
      <c r="BI122" s="319">
        <f>+SUM(BI115:BI121)</f>
        <v>1599</v>
      </c>
      <c r="BJ122" s="1268">
        <f t="shared" si="896"/>
        <v>2857</v>
      </c>
      <c r="BK122" s="319">
        <f t="shared" ref="BK122:BL122" si="906">+SUM(BK115:BK121)</f>
        <v>657</v>
      </c>
      <c r="BL122" s="319">
        <f t="shared" si="906"/>
        <v>632</v>
      </c>
      <c r="BM122" s="319">
        <f t="shared" ref="BM122" si="907">+SUM(BM115:BM121)</f>
        <v>638</v>
      </c>
      <c r="BN122" s="760">
        <f>+SUM(BN115:BN121)</f>
        <v>1071</v>
      </c>
      <c r="BO122" s="319">
        <f t="shared" ref="BO122" si="908">+SUM(BO115:BO121)</f>
        <v>1289</v>
      </c>
      <c r="BP122" s="319">
        <f>+SUM(BP115:BP121)</f>
        <v>1709</v>
      </c>
      <c r="BQ122" s="1268">
        <f t="shared" si="896"/>
        <v>2998</v>
      </c>
      <c r="BR122" s="319">
        <f t="shared" ref="BR122:BS122" si="909">+SUM(BR115:BR121)</f>
        <v>657</v>
      </c>
      <c r="BS122" s="319">
        <f t="shared" si="909"/>
        <v>632</v>
      </c>
      <c r="BT122" s="319">
        <f t="shared" ref="BT122" si="910">+SUM(BT115:BT121)</f>
        <v>638</v>
      </c>
      <c r="BU122" s="760">
        <f>+SUM(BU115:BU121)</f>
        <v>1071</v>
      </c>
      <c r="BV122" s="319">
        <f t="shared" ref="BV122" si="911">+SUM(BV115:BV121)</f>
        <v>1289</v>
      </c>
      <c r="BW122" s="319">
        <f>+SUM(BW115:BW121)</f>
        <v>1709</v>
      </c>
      <c r="BX122" s="1268">
        <f t="shared" ref="BX122" si="912">+SUM(BX115:BX121)</f>
        <v>2998</v>
      </c>
      <c r="BY122" s="319">
        <f t="shared" ref="BY122:BZ122" si="913">+SUM(BY115:BY121)</f>
        <v>669</v>
      </c>
      <c r="BZ122" s="319">
        <f t="shared" si="913"/>
        <v>736</v>
      </c>
      <c r="CA122" s="319">
        <f t="shared" ref="CA122" si="914">+SUM(CA115:CA121)</f>
        <v>642</v>
      </c>
      <c r="CB122" s="760">
        <f>+SUM(CB115:CB121)</f>
        <v>887</v>
      </c>
      <c r="CC122" s="319">
        <f t="shared" ref="CC122" si="915">+SUM(CC115:CC121)</f>
        <v>1405</v>
      </c>
      <c r="CD122" s="319">
        <f>+SUM(CD115:CD121)</f>
        <v>1529</v>
      </c>
      <c r="CE122" s="1268">
        <f t="shared" ref="CE122:DT122" si="916">+SUM(CE115:CE121)</f>
        <v>2934</v>
      </c>
      <c r="CF122" s="319">
        <f t="shared" ref="CF122:CG122" si="917">+SUM(CF115:CF121)</f>
        <v>622</v>
      </c>
      <c r="CG122" s="319">
        <f t="shared" si="917"/>
        <v>649</v>
      </c>
      <c r="CH122" s="319">
        <f t="shared" ref="CH122" si="918">+SUM(CH115:CH121)</f>
        <v>659</v>
      </c>
      <c r="CI122" s="760">
        <f>+SUM(CI115:CI121)</f>
        <v>846</v>
      </c>
      <c r="CJ122" s="319">
        <f t="shared" ref="CJ122" si="919">+SUM(CJ115:CJ121)</f>
        <v>1271</v>
      </c>
      <c r="CK122" s="319">
        <f>+SUM(CK115:CK121)</f>
        <v>1505</v>
      </c>
      <c r="CL122" s="1268">
        <f t="shared" si="916"/>
        <v>2776</v>
      </c>
      <c r="CM122" s="319">
        <f t="shared" si="916"/>
        <v>586</v>
      </c>
      <c r="CN122" s="319">
        <f t="shared" si="916"/>
        <v>685</v>
      </c>
      <c r="CO122" s="319">
        <f t="shared" ref="CO122" si="920">+SUM(CO115:CO121)</f>
        <v>659</v>
      </c>
      <c r="CP122" s="760">
        <f>+SUM(CP115:CP121)</f>
        <v>1218</v>
      </c>
      <c r="CQ122" s="319">
        <f t="shared" ref="CQ122" si="921">+SUM(CQ115:CQ121)</f>
        <v>1271</v>
      </c>
      <c r="CR122" s="319">
        <f>+SUM(CR115:CR121)</f>
        <v>1877</v>
      </c>
      <c r="CS122" s="1268">
        <f t="shared" si="916"/>
        <v>3148</v>
      </c>
      <c r="CT122" s="319">
        <f t="shared" si="916"/>
        <v>680</v>
      </c>
      <c r="CU122" s="319">
        <f t="shared" si="916"/>
        <v>757</v>
      </c>
      <c r="CV122" s="319">
        <f t="shared" ref="CV122" si="922">+SUM(CV115:CV121)</f>
        <v>749</v>
      </c>
      <c r="CW122" s="760">
        <f>+SUM(CW115:CW121)</f>
        <v>1122</v>
      </c>
      <c r="CX122" s="319">
        <f t="shared" ref="CX122" si="923">+SUM(CX115:CX121)</f>
        <v>1437</v>
      </c>
      <c r="CY122" s="319">
        <f>+SUM(CY115:CY121)</f>
        <v>1871</v>
      </c>
      <c r="CZ122" s="1268">
        <f t="shared" ref="CZ122" si="924">+SUM(CZ115:CZ121)</f>
        <v>3308</v>
      </c>
      <c r="DA122" s="319">
        <f t="shared" ref="DA122" si="925">+SUM(DA115:DA121)</f>
        <v>743</v>
      </c>
      <c r="DB122" s="319">
        <f t="shared" ref="DB122:DC122" si="926">+SUM(DB115:DB121)</f>
        <v>863</v>
      </c>
      <c r="DC122" s="319">
        <f t="shared" si="926"/>
        <v>768</v>
      </c>
      <c r="DD122" s="760">
        <f>+SUM(DD115:DD121)</f>
        <v>916</v>
      </c>
      <c r="DE122" s="319">
        <f t="shared" ref="DE122" si="927">+SUM(DE115:DE121)</f>
        <v>1606</v>
      </c>
      <c r="DF122" s="319">
        <f>+SUM(DF115:DF121)</f>
        <v>1684</v>
      </c>
      <c r="DG122" s="1268">
        <f t="shared" si="916"/>
        <v>3290</v>
      </c>
      <c r="DH122" s="319">
        <f t="shared" ref="DH122:DN122" si="928">+SUM(DH115:DH121)</f>
        <v>668</v>
      </c>
      <c r="DI122" s="319">
        <f t="shared" si="928"/>
        <v>743</v>
      </c>
      <c r="DJ122" s="319">
        <f t="shared" si="928"/>
        <v>750</v>
      </c>
      <c r="DK122" s="760">
        <f>+SUM(DK115:DK121)</f>
        <v>991</v>
      </c>
      <c r="DL122" s="319">
        <f t="shared" si="928"/>
        <v>1411</v>
      </c>
      <c r="DM122" s="319">
        <f>+SUM(DM115:DM121)</f>
        <v>1741</v>
      </c>
      <c r="DN122" s="1268">
        <f t="shared" si="928"/>
        <v>3152</v>
      </c>
      <c r="DO122" s="319">
        <f t="shared" ref="DO122:DP122" si="929">+SUM(DO115:DO121)</f>
        <v>720</v>
      </c>
      <c r="DP122" s="319">
        <f t="shared" si="929"/>
        <v>746</v>
      </c>
      <c r="DQ122" s="625">
        <f t="shared" si="916"/>
        <v>781.62797593505536</v>
      </c>
      <c r="DR122" s="761">
        <f t="shared" si="916"/>
        <v>1261.598801731192</v>
      </c>
      <c r="DS122" s="1919">
        <f t="shared" si="916"/>
        <v>1466</v>
      </c>
      <c r="DT122" s="625">
        <f t="shared" si="916"/>
        <v>2043.2267776662472</v>
      </c>
      <c r="DU122" s="762">
        <f t="shared" ref="DU122:EA122" si="930">+SUM(DU115:DU121)</f>
        <v>3509.2267776662475</v>
      </c>
      <c r="DV122" s="625">
        <f t="shared" si="930"/>
        <v>915.27196158012737</v>
      </c>
      <c r="DW122" s="625">
        <f t="shared" si="930"/>
        <v>998.62773782607371</v>
      </c>
      <c r="DX122" s="625">
        <f t="shared" si="930"/>
        <v>996.30594021986349</v>
      </c>
      <c r="DY122" s="761">
        <f t="shared" si="930"/>
        <v>1092.6686964588475</v>
      </c>
      <c r="DZ122" s="625">
        <f t="shared" si="930"/>
        <v>1913.8996994062011</v>
      </c>
      <c r="EA122" s="625">
        <f t="shared" si="930"/>
        <v>2088.9746366787112</v>
      </c>
      <c r="EB122" s="762">
        <f t="shared" ref="EB122:EH122" si="931">+SUM(EB115:EB121)</f>
        <v>4002.8743360849121</v>
      </c>
      <c r="EC122" s="625">
        <f t="shared" si="931"/>
        <v>1011.698591797483</v>
      </c>
      <c r="ED122" s="625">
        <f t="shared" si="931"/>
        <v>1107.1528336606164</v>
      </c>
      <c r="EE122" s="625">
        <f t="shared" si="931"/>
        <v>1103.9309640702106</v>
      </c>
      <c r="EF122" s="761">
        <f t="shared" si="931"/>
        <v>1230.5688207667381</v>
      </c>
      <c r="EG122" s="625">
        <f t="shared" si="931"/>
        <v>2118.8514254580996</v>
      </c>
      <c r="EH122" s="625">
        <f t="shared" si="931"/>
        <v>2334.4997848369485</v>
      </c>
      <c r="EI122" s="762">
        <f t="shared" ref="EI122:EO122" si="932">+SUM(EI115:EI121)</f>
        <v>4453.3512102950481</v>
      </c>
      <c r="EJ122" s="625">
        <f t="shared" si="932"/>
        <v>1102.5675130107832</v>
      </c>
      <c r="EK122" s="625">
        <f t="shared" si="932"/>
        <v>1167.9480680388224</v>
      </c>
      <c r="EL122" s="625">
        <f t="shared" si="932"/>
        <v>1163.7049408538794</v>
      </c>
      <c r="EM122" s="761">
        <f t="shared" si="932"/>
        <v>1304.548083755313</v>
      </c>
      <c r="EN122" s="625">
        <f t="shared" si="932"/>
        <v>2270.5155810496058</v>
      </c>
      <c r="EO122" s="625">
        <f t="shared" si="932"/>
        <v>2468.2530246091924</v>
      </c>
      <c r="EP122" s="762">
        <f t="shared" ref="EP122:EV122" si="933">+SUM(EP115:EP121)</f>
        <v>4738.7686056587982</v>
      </c>
      <c r="EQ122" s="625">
        <f t="shared" si="933"/>
        <v>1156.4077936776621</v>
      </c>
      <c r="ER122" s="625">
        <f t="shared" si="933"/>
        <v>1229.1465777171793</v>
      </c>
      <c r="ES122" s="625">
        <f t="shared" si="933"/>
        <v>1223.8284684376026</v>
      </c>
      <c r="ET122" s="761">
        <f t="shared" si="933"/>
        <v>1379.6585335831123</v>
      </c>
      <c r="EU122" s="625">
        <f t="shared" si="933"/>
        <v>2385.5543713948409</v>
      </c>
      <c r="EV122" s="625">
        <f t="shared" si="933"/>
        <v>2603.487002020715</v>
      </c>
      <c r="EW122" s="762">
        <f>+SUM(EW115:EW121)</f>
        <v>4989.0413734155563</v>
      </c>
    </row>
    <row r="123" spans="1:153" ht="10.199999999999999" customHeight="1">
      <c r="A123" s="108" t="s">
        <v>326</v>
      </c>
      <c r="B123" s="317">
        <v>-2</v>
      </c>
      <c r="C123" s="317">
        <v>-2</v>
      </c>
      <c r="D123" s="317">
        <v>0</v>
      </c>
      <c r="E123" s="317">
        <f>E124-E122</f>
        <v>52</v>
      </c>
      <c r="F123" s="317">
        <f>F124-F122</f>
        <v>57</v>
      </c>
      <c r="G123" s="317">
        <f>G124-G122</f>
        <v>60</v>
      </c>
      <c r="H123" s="317">
        <f>H124-H122</f>
        <v>69</v>
      </c>
      <c r="I123" s="317">
        <v>64</v>
      </c>
      <c r="J123" s="317">
        <v>59</v>
      </c>
      <c r="K123" s="317">
        <v>83</v>
      </c>
      <c r="L123" s="317">
        <v>42</v>
      </c>
      <c r="M123" s="317">
        <v>29</v>
      </c>
      <c r="N123" s="317">
        <v>4</v>
      </c>
      <c r="O123" s="317">
        <f>R123-N123</f>
        <v>-1</v>
      </c>
      <c r="P123" s="317">
        <f>15-R123</f>
        <v>12</v>
      </c>
      <c r="Q123" s="714">
        <f>S123-P123</f>
        <v>20</v>
      </c>
      <c r="R123" s="317">
        <v>3</v>
      </c>
      <c r="S123" s="317">
        <f>T123-R123</f>
        <v>32</v>
      </c>
      <c r="T123" s="314">
        <v>35</v>
      </c>
      <c r="U123" s="317">
        <v>2</v>
      </c>
      <c r="V123" s="317">
        <f>Y123-U123</f>
        <v>10</v>
      </c>
      <c r="W123" s="317">
        <f>28-Y123</f>
        <v>16</v>
      </c>
      <c r="X123" s="714">
        <f>Z123-W123</f>
        <v>11</v>
      </c>
      <c r="Y123" s="317">
        <v>12</v>
      </c>
      <c r="Z123" s="317">
        <f>AA123-Y123</f>
        <v>27</v>
      </c>
      <c r="AA123" s="314">
        <v>39</v>
      </c>
      <c r="AB123" s="317">
        <v>17</v>
      </c>
      <c r="AC123" s="317">
        <f>AF123-AB123</f>
        <v>29</v>
      </c>
      <c r="AD123" s="317">
        <f>89-AF123</f>
        <v>43</v>
      </c>
      <c r="AE123" s="714">
        <f>AG123-AD123</f>
        <v>0</v>
      </c>
      <c r="AF123" s="317">
        <v>46</v>
      </c>
      <c r="AG123" s="317">
        <f>AH123-AF123</f>
        <v>43</v>
      </c>
      <c r="AH123" s="314">
        <v>89</v>
      </c>
      <c r="AI123" s="317">
        <v>38</v>
      </c>
      <c r="AJ123" s="317">
        <f>AM123-AI123</f>
        <v>11</v>
      </c>
      <c r="AK123" s="317">
        <f>73-AM123</f>
        <v>24</v>
      </c>
      <c r="AL123" s="714">
        <f>AN123-AK123</f>
        <v>91</v>
      </c>
      <c r="AM123" s="317">
        <v>49</v>
      </c>
      <c r="AN123" s="317">
        <f>AO123-AM123</f>
        <v>115</v>
      </c>
      <c r="AO123" s="314">
        <v>164</v>
      </c>
      <c r="AP123" s="317">
        <v>20</v>
      </c>
      <c r="AQ123" s="317">
        <f>+AT123-AP123</f>
        <v>54</v>
      </c>
      <c r="AR123" s="317">
        <f>125-AT123</f>
        <v>51</v>
      </c>
      <c r="AS123" s="714">
        <f>AU123-AR123</f>
        <v>43</v>
      </c>
      <c r="AT123" s="317">
        <v>74</v>
      </c>
      <c r="AU123" s="317">
        <f>AV123-AT123</f>
        <v>94</v>
      </c>
      <c r="AV123" s="314">
        <f>2807-AV122</f>
        <v>168</v>
      </c>
      <c r="AW123" s="317">
        <v>49</v>
      </c>
      <c r="AX123" s="317">
        <f>+BA123-AW123</f>
        <v>25</v>
      </c>
      <c r="AY123" s="317">
        <f>190-BA123</f>
        <v>116</v>
      </c>
      <c r="AZ123" s="714">
        <f>BB123-AY123</f>
        <v>147</v>
      </c>
      <c r="BA123" s="317">
        <v>74</v>
      </c>
      <c r="BB123" s="317">
        <f>BC123-BA123</f>
        <v>263</v>
      </c>
      <c r="BC123" s="314">
        <v>337</v>
      </c>
      <c r="BD123" s="317">
        <v>58</v>
      </c>
      <c r="BE123" s="317">
        <f>BH123-BD123</f>
        <v>87</v>
      </c>
      <c r="BF123" s="317">
        <f>214-BH123</f>
        <v>69</v>
      </c>
      <c r="BG123" s="714">
        <f>BI123-BF123</f>
        <v>146</v>
      </c>
      <c r="BH123" s="317">
        <v>145</v>
      </c>
      <c r="BI123" s="317">
        <f>BJ123-BH123</f>
        <v>215</v>
      </c>
      <c r="BJ123" s="314">
        <v>360</v>
      </c>
      <c r="BK123" s="317">
        <v>-3</v>
      </c>
      <c r="BL123" s="317">
        <f>BO123-BK123</f>
        <v>137</v>
      </c>
      <c r="BM123" s="317">
        <f>223-BO123</f>
        <v>89</v>
      </c>
      <c r="BN123" s="714">
        <f>BP123-BM123</f>
        <v>137</v>
      </c>
      <c r="BO123" s="317">
        <v>134</v>
      </c>
      <c r="BP123" s="317">
        <f>BQ123-BO123</f>
        <v>226</v>
      </c>
      <c r="BQ123" s="314">
        <v>360</v>
      </c>
      <c r="BR123" s="317">
        <v>-3</v>
      </c>
      <c r="BS123" s="317">
        <f>BV123-BR123</f>
        <v>137</v>
      </c>
      <c r="BT123" s="317">
        <f>223-BV123</f>
        <v>89</v>
      </c>
      <c r="BU123" s="714">
        <f>BW123-BT123</f>
        <v>137</v>
      </c>
      <c r="BV123" s="317">
        <v>134</v>
      </c>
      <c r="BW123" s="317">
        <f>BX123-BV123</f>
        <v>226</v>
      </c>
      <c r="BX123" s="314">
        <v>360</v>
      </c>
      <c r="BY123" s="317">
        <v>-6</v>
      </c>
      <c r="BZ123" s="317">
        <f>CC123-BY123</f>
        <v>-3</v>
      </c>
      <c r="CA123" s="317">
        <f>-15-CC123</f>
        <v>-6</v>
      </c>
      <c r="CB123" s="714">
        <f>CD123-CA123</f>
        <v>-61</v>
      </c>
      <c r="CC123" s="317">
        <v>-9</v>
      </c>
      <c r="CD123" s="317">
        <f>CE123-CC123</f>
        <v>-67</v>
      </c>
      <c r="CE123" s="314">
        <v>-76</v>
      </c>
      <c r="CF123" s="317">
        <v>-2</v>
      </c>
      <c r="CG123" s="317">
        <f>CJ123-CF123</f>
        <v>-7</v>
      </c>
      <c r="CH123" s="317">
        <f>-11-CJ123</f>
        <v>-2</v>
      </c>
      <c r="CI123" s="714">
        <f>CK123-CH123</f>
        <v>-19</v>
      </c>
      <c r="CJ123" s="317">
        <v>-9</v>
      </c>
      <c r="CK123" s="317">
        <f>CL123-CJ123</f>
        <v>-21</v>
      </c>
      <c r="CL123" s="314">
        <v>-30</v>
      </c>
      <c r="CM123" s="317">
        <v>0</v>
      </c>
      <c r="CN123" s="317">
        <f>CQ123-CM123</f>
        <v>-9</v>
      </c>
      <c r="CO123" s="317">
        <f>35-CQ123</f>
        <v>44</v>
      </c>
      <c r="CP123" s="714">
        <f>CR123-CO123</f>
        <v>-104</v>
      </c>
      <c r="CQ123" s="317">
        <v>-9</v>
      </c>
      <c r="CR123" s="317">
        <f t="shared" ref="CR123" si="934">CS123-CQ123</f>
        <v>-60</v>
      </c>
      <c r="CS123" s="314">
        <v>-69</v>
      </c>
      <c r="CT123" s="317">
        <v>3</v>
      </c>
      <c r="CU123" s="317">
        <f t="shared" ref="CU123" si="935">CX123-CT123</f>
        <v>-9</v>
      </c>
      <c r="CV123" s="317">
        <f>-19-CT123-CU123</f>
        <v>-13</v>
      </c>
      <c r="CW123" s="714">
        <f>CY123-CV123</f>
        <v>-32</v>
      </c>
      <c r="CX123" s="317">
        <v>-6</v>
      </c>
      <c r="CY123" s="317">
        <f>CZ123-CX123</f>
        <v>-45</v>
      </c>
      <c r="CZ123" s="314">
        <v>-51</v>
      </c>
      <c r="DA123" s="317">
        <v>0</v>
      </c>
      <c r="DB123" s="317">
        <f t="shared" ref="DB123" si="936">DE123-DA123</f>
        <v>-13</v>
      </c>
      <c r="DC123" s="317">
        <f>-23-DA123-DB123</f>
        <v>-10</v>
      </c>
      <c r="DD123" s="714">
        <f>DF123-DC123</f>
        <v>-17</v>
      </c>
      <c r="DE123" s="317">
        <v>-13</v>
      </c>
      <c r="DF123" s="317">
        <f>DG123-DE123</f>
        <v>-27</v>
      </c>
      <c r="DG123" s="314">
        <v>-40</v>
      </c>
      <c r="DH123" s="317">
        <v>5</v>
      </c>
      <c r="DI123" s="317">
        <f t="shared" ref="DI123" si="937">DL123-DH123</f>
        <v>-10</v>
      </c>
      <c r="DJ123" s="317">
        <f>-16-DH123-DI123</f>
        <v>-11</v>
      </c>
      <c r="DK123" s="714">
        <f>DM123-DJ123</f>
        <v>17</v>
      </c>
      <c r="DL123" s="2079">
        <v>-5</v>
      </c>
      <c r="DM123" s="317">
        <f>DN123-DL123</f>
        <v>6</v>
      </c>
      <c r="DN123" s="314">
        <v>1</v>
      </c>
      <c r="DO123" s="317">
        <v>10</v>
      </c>
      <c r="DP123" s="317">
        <f t="shared" ref="DP123" si="938">DS123-DO123</f>
        <v>-10</v>
      </c>
      <c r="DQ123" s="624">
        <f>DT123/2</f>
        <v>0</v>
      </c>
      <c r="DR123" s="741">
        <f>DT123-DQ123</f>
        <v>0</v>
      </c>
      <c r="DS123" s="1909">
        <v>0</v>
      </c>
      <c r="DT123" s="624">
        <f>DU123-DS123</f>
        <v>0</v>
      </c>
      <c r="DU123" s="1964">
        <v>0</v>
      </c>
      <c r="DV123" s="624">
        <f>DZ123/2</f>
        <v>0</v>
      </c>
      <c r="DW123" s="624">
        <f>DZ123-DV123</f>
        <v>0</v>
      </c>
      <c r="DX123" s="624">
        <f>EA123/2</f>
        <v>0</v>
      </c>
      <c r="DY123" s="741">
        <f>EA123-DX123</f>
        <v>0</v>
      </c>
      <c r="DZ123" s="624">
        <f>EB123/2</f>
        <v>0</v>
      </c>
      <c r="EA123" s="624">
        <f>EB123-DZ123</f>
        <v>0</v>
      </c>
      <c r="EB123" s="1964">
        <v>0</v>
      </c>
      <c r="EC123" s="624">
        <f>EG123/2</f>
        <v>0</v>
      </c>
      <c r="ED123" s="624">
        <f>EG123-EC123</f>
        <v>0</v>
      </c>
      <c r="EE123" s="624">
        <f>EH123/2</f>
        <v>0</v>
      </c>
      <c r="EF123" s="741">
        <f>EH123-EE123</f>
        <v>0</v>
      </c>
      <c r="EG123" s="624">
        <f>EI123/2</f>
        <v>0</v>
      </c>
      <c r="EH123" s="624">
        <f>EI123-EG123</f>
        <v>0</v>
      </c>
      <c r="EI123" s="1964">
        <v>0</v>
      </c>
      <c r="EJ123" s="624">
        <f>EN123/2</f>
        <v>0</v>
      </c>
      <c r="EK123" s="624">
        <f>EN123-EJ123</f>
        <v>0</v>
      </c>
      <c r="EL123" s="624">
        <f>EO123/2</f>
        <v>0</v>
      </c>
      <c r="EM123" s="741">
        <f>EO123-EL123</f>
        <v>0</v>
      </c>
      <c r="EN123" s="624">
        <f>EP123/2</f>
        <v>0</v>
      </c>
      <c r="EO123" s="624">
        <f>EP123-EN123</f>
        <v>0</v>
      </c>
      <c r="EP123" s="1964">
        <v>0</v>
      </c>
      <c r="EQ123" s="624">
        <f>EU123/2</f>
        <v>0</v>
      </c>
      <c r="ER123" s="624">
        <f>EU123-EQ123</f>
        <v>0</v>
      </c>
      <c r="ES123" s="624">
        <f>EV123/2</f>
        <v>0</v>
      </c>
      <c r="ET123" s="741">
        <f>EV123-ES123</f>
        <v>0</v>
      </c>
      <c r="EU123" s="624">
        <f>EW123/2</f>
        <v>0</v>
      </c>
      <c r="EV123" s="624">
        <f>EW123-EU123</f>
        <v>0</v>
      </c>
      <c r="EW123" s="1964">
        <v>0</v>
      </c>
    </row>
    <row r="124" spans="1:153" ht="10.199999999999999" customHeight="1">
      <c r="A124" s="48" t="s">
        <v>584</v>
      </c>
      <c r="B124" s="319">
        <f t="shared" ref="B124:AU124" si="939">+B122+B123</f>
        <v>1841</v>
      </c>
      <c r="C124" s="319">
        <f t="shared" si="939"/>
        <v>2096</v>
      </c>
      <c r="D124" s="319">
        <f t="shared" si="939"/>
        <v>2189</v>
      </c>
      <c r="E124" s="319">
        <v>2126</v>
      </c>
      <c r="F124" s="319">
        <v>2075</v>
      </c>
      <c r="G124" s="319">
        <v>2458</v>
      </c>
      <c r="H124" s="319">
        <v>2608</v>
      </c>
      <c r="I124" s="319">
        <f>+I122+I123</f>
        <v>2669</v>
      </c>
      <c r="J124" s="319">
        <f>+J122+J123</f>
        <v>2825</v>
      </c>
      <c r="K124" s="319">
        <f>+K122+K123</f>
        <v>2939</v>
      </c>
      <c r="L124" s="319">
        <f t="shared" si="939"/>
        <v>3152</v>
      </c>
      <c r="M124" s="319">
        <f t="shared" si="939"/>
        <v>3142</v>
      </c>
      <c r="N124" s="319">
        <f t="shared" si="939"/>
        <v>617</v>
      </c>
      <c r="O124" s="319">
        <f t="shared" si="939"/>
        <v>782</v>
      </c>
      <c r="P124" s="319">
        <f t="shared" si="939"/>
        <v>753</v>
      </c>
      <c r="Q124" s="760">
        <f t="shared" si="939"/>
        <v>966</v>
      </c>
      <c r="R124" s="319">
        <f t="shared" si="939"/>
        <v>1399</v>
      </c>
      <c r="S124" s="319">
        <f t="shared" si="939"/>
        <v>1719</v>
      </c>
      <c r="T124" s="1268">
        <f t="shared" si="939"/>
        <v>3118</v>
      </c>
      <c r="U124" s="319">
        <f t="shared" ref="U124:Z124" si="940">+U122+U123</f>
        <v>727</v>
      </c>
      <c r="V124" s="319">
        <f t="shared" si="940"/>
        <v>837</v>
      </c>
      <c r="W124" s="319">
        <f t="shared" si="940"/>
        <v>812</v>
      </c>
      <c r="X124" s="760">
        <f t="shared" si="940"/>
        <v>1015</v>
      </c>
      <c r="Y124" s="319">
        <f t="shared" si="940"/>
        <v>1564</v>
      </c>
      <c r="Z124" s="319">
        <f t="shared" si="940"/>
        <v>1827</v>
      </c>
      <c r="AA124" s="1268">
        <f t="shared" si="939"/>
        <v>3391</v>
      </c>
      <c r="AB124" s="319">
        <f t="shared" si="939"/>
        <v>701</v>
      </c>
      <c r="AC124" s="319">
        <f t="shared" si="939"/>
        <v>805</v>
      </c>
      <c r="AD124" s="319">
        <f t="shared" si="939"/>
        <v>781</v>
      </c>
      <c r="AE124" s="760">
        <f t="shared" si="939"/>
        <v>1173</v>
      </c>
      <c r="AF124" s="319">
        <f t="shared" si="939"/>
        <v>1506</v>
      </c>
      <c r="AG124" s="319">
        <f t="shared" si="939"/>
        <v>1954</v>
      </c>
      <c r="AH124" s="1268">
        <f t="shared" si="939"/>
        <v>3460</v>
      </c>
      <c r="AI124" s="319">
        <f t="shared" ref="AI124:AN124" si="941">+AI122+AI123</f>
        <v>547</v>
      </c>
      <c r="AJ124" s="319">
        <f t="shared" si="941"/>
        <v>762</v>
      </c>
      <c r="AK124" s="319">
        <f t="shared" si="941"/>
        <v>706</v>
      </c>
      <c r="AL124" s="760">
        <f t="shared" si="941"/>
        <v>955</v>
      </c>
      <c r="AM124" s="319">
        <f t="shared" si="941"/>
        <v>1309</v>
      </c>
      <c r="AN124" s="319">
        <f t="shared" si="941"/>
        <v>1661</v>
      </c>
      <c r="AO124" s="1268">
        <f t="shared" si="939"/>
        <v>2970</v>
      </c>
      <c r="AP124" s="319">
        <f t="shared" si="939"/>
        <v>548</v>
      </c>
      <c r="AQ124" s="319">
        <f t="shared" si="939"/>
        <v>740</v>
      </c>
      <c r="AR124" s="319">
        <f t="shared" si="939"/>
        <v>630</v>
      </c>
      <c r="AS124" s="760">
        <f t="shared" si="939"/>
        <v>889</v>
      </c>
      <c r="AT124" s="319">
        <f t="shared" si="939"/>
        <v>1288</v>
      </c>
      <c r="AU124" s="319">
        <f t="shared" si="939"/>
        <v>1519</v>
      </c>
      <c r="AV124" s="1268">
        <f t="shared" ref="AV124:DG124" si="942">+AV122+AV123</f>
        <v>2807</v>
      </c>
      <c r="AW124" s="319">
        <f t="shared" si="942"/>
        <v>548</v>
      </c>
      <c r="AX124" s="319">
        <f t="shared" si="942"/>
        <v>740</v>
      </c>
      <c r="AY124" s="319">
        <f t="shared" si="942"/>
        <v>630</v>
      </c>
      <c r="AZ124" s="760">
        <f t="shared" si="942"/>
        <v>889</v>
      </c>
      <c r="BA124" s="319">
        <f t="shared" si="942"/>
        <v>1288</v>
      </c>
      <c r="BB124" s="319">
        <f t="shared" si="942"/>
        <v>1519</v>
      </c>
      <c r="BC124" s="1268">
        <f>+BC122+BC123</f>
        <v>2807</v>
      </c>
      <c r="BD124" s="319">
        <f t="shared" ref="BD124:BI124" si="943">+BD122+BD123</f>
        <v>616</v>
      </c>
      <c r="BE124" s="319">
        <f t="shared" si="943"/>
        <v>787</v>
      </c>
      <c r="BF124" s="319">
        <f t="shared" si="943"/>
        <v>700</v>
      </c>
      <c r="BG124" s="760">
        <f t="shared" si="943"/>
        <v>1114</v>
      </c>
      <c r="BH124" s="319">
        <f t="shared" si="943"/>
        <v>1403</v>
      </c>
      <c r="BI124" s="319">
        <f t="shared" si="943"/>
        <v>1814</v>
      </c>
      <c r="BJ124" s="1268">
        <f t="shared" si="942"/>
        <v>3217</v>
      </c>
      <c r="BK124" s="319">
        <f t="shared" ref="BK124:BP124" si="944">+BK122+BK123</f>
        <v>654</v>
      </c>
      <c r="BL124" s="319">
        <f t="shared" si="944"/>
        <v>769</v>
      </c>
      <c r="BM124" s="319">
        <f t="shared" si="944"/>
        <v>727</v>
      </c>
      <c r="BN124" s="760">
        <f t="shared" si="944"/>
        <v>1208</v>
      </c>
      <c r="BO124" s="319">
        <f t="shared" si="944"/>
        <v>1423</v>
      </c>
      <c r="BP124" s="319">
        <f t="shared" si="944"/>
        <v>1935</v>
      </c>
      <c r="BQ124" s="1268">
        <f t="shared" si="942"/>
        <v>3358</v>
      </c>
      <c r="BR124" s="319">
        <f t="shared" si="942"/>
        <v>654</v>
      </c>
      <c r="BS124" s="319">
        <f t="shared" si="942"/>
        <v>769</v>
      </c>
      <c r="BT124" s="319">
        <f t="shared" si="942"/>
        <v>727</v>
      </c>
      <c r="BU124" s="760">
        <f t="shared" si="942"/>
        <v>1208</v>
      </c>
      <c r="BV124" s="319">
        <f t="shared" si="942"/>
        <v>1423</v>
      </c>
      <c r="BW124" s="319">
        <f t="shared" si="942"/>
        <v>1935</v>
      </c>
      <c r="BX124" s="1268">
        <f t="shared" ref="BX124" si="945">+BX122+BX123</f>
        <v>3358</v>
      </c>
      <c r="BY124" s="319">
        <f t="shared" ref="BY124:CD124" si="946">+BY122+BY123</f>
        <v>663</v>
      </c>
      <c r="BZ124" s="319">
        <f t="shared" si="946"/>
        <v>733</v>
      </c>
      <c r="CA124" s="319">
        <f t="shared" si="946"/>
        <v>636</v>
      </c>
      <c r="CB124" s="760">
        <f t="shared" si="946"/>
        <v>826</v>
      </c>
      <c r="CC124" s="319">
        <f t="shared" si="946"/>
        <v>1396</v>
      </c>
      <c r="CD124" s="319">
        <f t="shared" si="946"/>
        <v>1462</v>
      </c>
      <c r="CE124" s="1268">
        <f t="shared" si="942"/>
        <v>2858</v>
      </c>
      <c r="CF124" s="319">
        <f t="shared" ref="CF124:CK124" si="947">+CF122+CF123</f>
        <v>620</v>
      </c>
      <c r="CG124" s="319">
        <f t="shared" si="947"/>
        <v>642</v>
      </c>
      <c r="CH124" s="319">
        <f t="shared" si="947"/>
        <v>657</v>
      </c>
      <c r="CI124" s="760">
        <f t="shared" si="947"/>
        <v>827</v>
      </c>
      <c r="CJ124" s="319">
        <f t="shared" si="947"/>
        <v>1262</v>
      </c>
      <c r="CK124" s="319">
        <f t="shared" si="947"/>
        <v>1484</v>
      </c>
      <c r="CL124" s="1268">
        <f t="shared" si="942"/>
        <v>2746</v>
      </c>
      <c r="CM124" s="319">
        <f t="shared" si="942"/>
        <v>586</v>
      </c>
      <c r="CN124" s="319">
        <f t="shared" si="942"/>
        <v>676</v>
      </c>
      <c r="CO124" s="319">
        <f t="shared" si="942"/>
        <v>703</v>
      </c>
      <c r="CP124" s="760">
        <f t="shared" si="942"/>
        <v>1114</v>
      </c>
      <c r="CQ124" s="319">
        <f t="shared" si="942"/>
        <v>1262</v>
      </c>
      <c r="CR124" s="319">
        <f t="shared" si="942"/>
        <v>1817</v>
      </c>
      <c r="CS124" s="1268">
        <f t="shared" si="942"/>
        <v>3079</v>
      </c>
      <c r="CT124" s="319">
        <f t="shared" ref="CT124:DA124" si="948">+CT122+CT123</f>
        <v>683</v>
      </c>
      <c r="CU124" s="319">
        <f t="shared" si="948"/>
        <v>748</v>
      </c>
      <c r="CV124" s="319">
        <f t="shared" ref="CV124" si="949">+CV122+CV123</f>
        <v>736</v>
      </c>
      <c r="CW124" s="760">
        <f t="shared" si="948"/>
        <v>1090</v>
      </c>
      <c r="CX124" s="319">
        <f t="shared" ref="CX124" si="950">+CX122+CX123</f>
        <v>1431</v>
      </c>
      <c r="CY124" s="319">
        <f t="shared" si="948"/>
        <v>1826</v>
      </c>
      <c r="CZ124" s="1268">
        <f t="shared" si="948"/>
        <v>3257</v>
      </c>
      <c r="DA124" s="319">
        <f t="shared" si="948"/>
        <v>743</v>
      </c>
      <c r="DB124" s="319">
        <f t="shared" ref="DB124:DD124" si="951">+DB122+DB123</f>
        <v>850</v>
      </c>
      <c r="DC124" s="319">
        <f t="shared" si="951"/>
        <v>758</v>
      </c>
      <c r="DD124" s="760">
        <f t="shared" si="951"/>
        <v>899</v>
      </c>
      <c r="DE124" s="319">
        <f t="shared" si="942"/>
        <v>1593</v>
      </c>
      <c r="DF124" s="319">
        <f t="shared" si="942"/>
        <v>1657</v>
      </c>
      <c r="DG124" s="1268">
        <f t="shared" si="942"/>
        <v>3250</v>
      </c>
      <c r="DH124" s="319">
        <f t="shared" ref="DH124:DN124" si="952">+DH122+DH123</f>
        <v>673</v>
      </c>
      <c r="DI124" s="319">
        <f t="shared" si="952"/>
        <v>733</v>
      </c>
      <c r="DJ124" s="319">
        <f t="shared" si="952"/>
        <v>739</v>
      </c>
      <c r="DK124" s="760">
        <f t="shared" si="952"/>
        <v>1008</v>
      </c>
      <c r="DL124" s="319">
        <f t="shared" si="952"/>
        <v>1406</v>
      </c>
      <c r="DM124" s="319">
        <f t="shared" si="952"/>
        <v>1747</v>
      </c>
      <c r="DN124" s="1268">
        <f t="shared" si="952"/>
        <v>3153</v>
      </c>
      <c r="DO124" s="319">
        <f t="shared" ref="DO124:DP124" si="953">+DO122+DO123</f>
        <v>730</v>
      </c>
      <c r="DP124" s="319">
        <f t="shared" si="953"/>
        <v>736</v>
      </c>
      <c r="DQ124" s="625">
        <f t="shared" ref="DQ124:DT124" si="954">+DQ122+DQ123</f>
        <v>781.62797593505536</v>
      </c>
      <c r="DR124" s="761">
        <f t="shared" si="954"/>
        <v>1261.598801731192</v>
      </c>
      <c r="DS124" s="1919">
        <f t="shared" si="954"/>
        <v>1466</v>
      </c>
      <c r="DT124" s="625">
        <f t="shared" si="954"/>
        <v>2043.2267776662472</v>
      </c>
      <c r="DU124" s="762">
        <f>+DU122+DU123</f>
        <v>3509.2267776662475</v>
      </c>
      <c r="DV124" s="625">
        <f t="shared" ref="DV124:EA124" si="955">+DV122+DV123</f>
        <v>915.27196158012737</v>
      </c>
      <c r="DW124" s="625">
        <f t="shared" si="955"/>
        <v>998.62773782607371</v>
      </c>
      <c r="DX124" s="625">
        <f t="shared" si="955"/>
        <v>996.30594021986349</v>
      </c>
      <c r="DY124" s="761">
        <f t="shared" si="955"/>
        <v>1092.6686964588475</v>
      </c>
      <c r="DZ124" s="625">
        <f t="shared" si="955"/>
        <v>1913.8996994062011</v>
      </c>
      <c r="EA124" s="625">
        <f t="shared" si="955"/>
        <v>2088.9746366787112</v>
      </c>
      <c r="EB124" s="762">
        <f>+EB122+EB123</f>
        <v>4002.8743360849121</v>
      </c>
      <c r="EC124" s="625">
        <f t="shared" ref="EC124:EH124" si="956">+EC122+EC123</f>
        <v>1011.698591797483</v>
      </c>
      <c r="ED124" s="625">
        <f t="shared" si="956"/>
        <v>1107.1528336606164</v>
      </c>
      <c r="EE124" s="625">
        <f t="shared" si="956"/>
        <v>1103.9309640702106</v>
      </c>
      <c r="EF124" s="761">
        <f t="shared" si="956"/>
        <v>1230.5688207667381</v>
      </c>
      <c r="EG124" s="625">
        <f t="shared" si="956"/>
        <v>2118.8514254580996</v>
      </c>
      <c r="EH124" s="625">
        <f t="shared" si="956"/>
        <v>2334.4997848369485</v>
      </c>
      <c r="EI124" s="762">
        <f>+EI122+EI123</f>
        <v>4453.3512102950481</v>
      </c>
      <c r="EJ124" s="625">
        <f t="shared" ref="EJ124:EO124" si="957">+EJ122+EJ123</f>
        <v>1102.5675130107832</v>
      </c>
      <c r="EK124" s="625">
        <f t="shared" si="957"/>
        <v>1167.9480680388224</v>
      </c>
      <c r="EL124" s="625">
        <f t="shared" si="957"/>
        <v>1163.7049408538794</v>
      </c>
      <c r="EM124" s="761">
        <f t="shared" si="957"/>
        <v>1304.548083755313</v>
      </c>
      <c r="EN124" s="625">
        <f t="shared" si="957"/>
        <v>2270.5155810496058</v>
      </c>
      <c r="EO124" s="625">
        <f t="shared" si="957"/>
        <v>2468.2530246091924</v>
      </c>
      <c r="EP124" s="762">
        <f>+EP122+EP123</f>
        <v>4738.7686056587982</v>
      </c>
      <c r="EQ124" s="625">
        <f t="shared" ref="EQ124:EV124" si="958">+EQ122+EQ123</f>
        <v>1156.4077936776621</v>
      </c>
      <c r="ER124" s="625">
        <f t="shared" si="958"/>
        <v>1229.1465777171793</v>
      </c>
      <c r="ES124" s="625">
        <f t="shared" si="958"/>
        <v>1223.8284684376026</v>
      </c>
      <c r="ET124" s="761">
        <f t="shared" si="958"/>
        <v>1379.6585335831123</v>
      </c>
      <c r="EU124" s="625">
        <f t="shared" si="958"/>
        <v>2385.5543713948409</v>
      </c>
      <c r="EV124" s="625">
        <f t="shared" si="958"/>
        <v>2603.487002020715</v>
      </c>
      <c r="EW124" s="762">
        <f>+EW122+EW123</f>
        <v>4989.0413734155563</v>
      </c>
    </row>
    <row r="125" spans="1:153" ht="10.199999999999999" customHeight="1">
      <c r="A125" s="43" t="s">
        <v>126</v>
      </c>
      <c r="B125" s="809">
        <f t="shared" ref="B125:BQ125" si="959">B124/B13</f>
        <v>5.9776608870705891E-2</v>
      </c>
      <c r="C125" s="809">
        <f t="shared" si="959"/>
        <v>7.0097990033778132E-2</v>
      </c>
      <c r="D125" s="809">
        <f t="shared" si="959"/>
        <v>7.2644608900540933E-2</v>
      </c>
      <c r="E125" s="809">
        <f t="shared" si="959"/>
        <v>6.6937438997512672E-2</v>
      </c>
      <c r="F125" s="809">
        <f t="shared" si="959"/>
        <v>6.0661872186166171E-2</v>
      </c>
      <c r="G125" s="809">
        <f t="shared" si="959"/>
        <v>6.2331997768423186E-2</v>
      </c>
      <c r="H125" s="809">
        <f t="shared" si="959"/>
        <v>6.6661554584259902E-2</v>
      </c>
      <c r="I125" s="809">
        <f t="shared" si="959"/>
        <v>6.1689587426326131E-2</v>
      </c>
      <c r="J125" s="809">
        <f t="shared" si="959"/>
        <v>6.5970762692074164E-2</v>
      </c>
      <c r="K125" s="809">
        <f t="shared" si="959"/>
        <v>6.4237628956111209E-2</v>
      </c>
      <c r="L125" s="809">
        <f t="shared" si="959"/>
        <v>6.4158931770070024E-2</v>
      </c>
      <c r="M125" s="809">
        <f t="shared" si="959"/>
        <v>5.5630311614730879E-2</v>
      </c>
      <c r="N125" s="809">
        <f t="shared" si="959"/>
        <v>5.1017033239622957E-2</v>
      </c>
      <c r="O125" s="809">
        <f t="shared" si="959"/>
        <v>5.7601649970536239E-2</v>
      </c>
      <c r="P125" s="809">
        <f t="shared" si="959"/>
        <v>5.6714619266400541E-2</v>
      </c>
      <c r="Q125" s="1101">
        <f t="shared" si="959"/>
        <v>5.1879699248120303E-2</v>
      </c>
      <c r="R125" s="809">
        <f t="shared" si="959"/>
        <v>5.4499415660303856E-2</v>
      </c>
      <c r="S125" s="809">
        <f t="shared" si="959"/>
        <v>5.3892215568862277E-2</v>
      </c>
      <c r="T125" s="1275">
        <f t="shared" si="959"/>
        <v>5.4162975315719078E-2</v>
      </c>
      <c r="U125" s="809">
        <f t="shared" ref="U125:Z125" si="960">U124/U13</f>
        <v>5.747944339025933E-2</v>
      </c>
      <c r="V125" s="809">
        <f t="shared" si="960"/>
        <v>5.7517866959868061E-2</v>
      </c>
      <c r="W125" s="809">
        <f t="shared" si="960"/>
        <v>6.1066405956230731E-2</v>
      </c>
      <c r="X125" s="1101">
        <f t="shared" si="960"/>
        <v>5.020775623268698E-2</v>
      </c>
      <c r="Y125" s="809">
        <f t="shared" si="960"/>
        <v>5.7500000000000002E-2</v>
      </c>
      <c r="Z125" s="809">
        <f t="shared" si="960"/>
        <v>5.4516157908871182E-2</v>
      </c>
      <c r="AA125" s="1275">
        <f t="shared" si="959"/>
        <v>5.5852947474181805E-2</v>
      </c>
      <c r="AB125" s="809">
        <f t="shared" si="959"/>
        <v>5.803941049842689E-2</v>
      </c>
      <c r="AC125" s="809">
        <f t="shared" si="959"/>
        <v>4.7873922093369013E-2</v>
      </c>
      <c r="AD125" s="809">
        <f t="shared" si="959"/>
        <v>5.5500284252416147E-2</v>
      </c>
      <c r="AE125" s="1101">
        <f t="shared" si="959"/>
        <v>5.4596229927856642E-2</v>
      </c>
      <c r="AF125" s="809">
        <f t="shared" si="959"/>
        <v>5.2123351676876754E-2</v>
      </c>
      <c r="AG125" s="809">
        <f t="shared" si="959"/>
        <v>5.4954017493039346E-2</v>
      </c>
      <c r="AH125" s="1275">
        <f t="shared" si="959"/>
        <v>5.3685027152831653E-2</v>
      </c>
      <c r="AI125" s="809">
        <f t="shared" ref="AI125:AN125" si="961">AI124/AI13</f>
        <v>4.4898629237462039E-2</v>
      </c>
      <c r="AJ125" s="809">
        <f t="shared" si="961"/>
        <v>4.5981173062997829E-2</v>
      </c>
      <c r="AK125" s="809">
        <f t="shared" si="961"/>
        <v>5.060931899641577E-2</v>
      </c>
      <c r="AL125" s="1101">
        <f t="shared" si="961"/>
        <v>3.9998324677500419E-2</v>
      </c>
      <c r="AM125" s="809">
        <f t="shared" si="961"/>
        <v>4.5522517822987309E-2</v>
      </c>
      <c r="AN125" s="809">
        <f t="shared" si="961"/>
        <v>4.3911595199069425E-2</v>
      </c>
      <c r="AO125" s="1275">
        <f t="shared" si="959"/>
        <v>4.4607320406722641E-2</v>
      </c>
      <c r="AP125" s="809">
        <f>AP124/AP13</f>
        <v>4.2192793347705572E-2</v>
      </c>
      <c r="AQ125" s="809">
        <f t="shared" ref="AQ125" si="962">AQ124/AQ13</f>
        <v>4.7070797023090132E-2</v>
      </c>
      <c r="AR125" s="809">
        <f>AR124/AR13</f>
        <v>4.4229149115417019E-2</v>
      </c>
      <c r="AS125" s="1101">
        <f t="shared" ref="AS125" si="963">AS124/AS13</f>
        <v>3.7330981775426222E-2</v>
      </c>
      <c r="AT125" s="809">
        <f>AT124/AT13</f>
        <v>4.4863979936605243E-2</v>
      </c>
      <c r="AU125" s="809">
        <f t="shared" ref="AU125" si="964">AU124/AU13</f>
        <v>3.9912764727521151E-2</v>
      </c>
      <c r="AV125" s="1275">
        <f t="shared" si="959"/>
        <v>4.204172720056315E-2</v>
      </c>
      <c r="AW125" s="809">
        <f>AW124/AW13</f>
        <v>4.7893724873273903E-2</v>
      </c>
      <c r="AX125" s="809">
        <f t="shared" ref="AX125" si="965">AX124/AX13</f>
        <v>5.3884803029199735E-2</v>
      </c>
      <c r="AY125" s="809">
        <f>AY124/AY13</f>
        <v>4.9096009975062346E-2</v>
      </c>
      <c r="AZ125" s="1101">
        <f t="shared" ref="AZ125" si="966">AZ124/AZ13</f>
        <v>4.2303116821318106E-2</v>
      </c>
      <c r="BA125" s="809">
        <f>BA124/BA13</f>
        <v>5.1161866931479644E-2</v>
      </c>
      <c r="BB125" s="809">
        <f t="shared" ref="BB125" si="967">BB124/BB13</f>
        <v>4.4878423493958104E-2</v>
      </c>
      <c r="BC125" s="1275">
        <f t="shared" si="959"/>
        <v>4.7558537494493576E-2</v>
      </c>
      <c r="BD125" s="809">
        <f>BD124/BD13</f>
        <v>6.0875580590967489E-2</v>
      </c>
      <c r="BE125" s="809">
        <f t="shared" ref="BE125" si="968">BE124/BE13</f>
        <v>5.2993064440105042E-2</v>
      </c>
      <c r="BF125" s="809">
        <f>BF124/BF13</f>
        <v>4.5304511034884476E-2</v>
      </c>
      <c r="BG125" s="1101">
        <f t="shared" ref="BG125" si="969">BG124/BG13</f>
        <v>4.7839903804861292E-2</v>
      </c>
      <c r="BH125" s="809">
        <f>BH124/BH13</f>
        <v>5.618742490989187E-2</v>
      </c>
      <c r="BI125" s="809">
        <f t="shared" ref="BI125" si="970">BI124/BI13</f>
        <v>4.6828613470325527E-2</v>
      </c>
      <c r="BJ125" s="1275">
        <f t="shared" si="959"/>
        <v>5.049680568854286E-2</v>
      </c>
      <c r="BK125" s="809">
        <f>BK124/BK13</f>
        <v>5.2115706430791296E-2</v>
      </c>
      <c r="BL125" s="809">
        <f t="shared" ref="BL125" si="971">BL124/BL13</f>
        <v>4.1982857454823386E-2</v>
      </c>
      <c r="BM125" s="809">
        <f>BM124/BM13</f>
        <v>4.7510129394850345E-2</v>
      </c>
      <c r="BN125" s="1101">
        <f t="shared" ref="BN125" si="972">BN124/BN13</f>
        <v>4.9691484985602635E-2</v>
      </c>
      <c r="BO125" s="809">
        <f>BO124/BO13</f>
        <v>4.6102507613555367E-2</v>
      </c>
      <c r="BP125" s="809">
        <f t="shared" ref="BP125" si="973">BP124/BP13</f>
        <v>4.8848833686761586E-2</v>
      </c>
      <c r="BQ125" s="1275">
        <f t="shared" si="959"/>
        <v>4.7646073952155282E-2</v>
      </c>
      <c r="BR125" s="809">
        <f>BR124/BR13</f>
        <v>5.2115706430791296E-2</v>
      </c>
      <c r="BS125" s="809">
        <f t="shared" ref="BS125" si="974">BS124/BS13</f>
        <v>4.1982857454823386E-2</v>
      </c>
      <c r="BT125" s="809">
        <f>BT124/BT13</f>
        <v>4.7510129394850345E-2</v>
      </c>
      <c r="BU125" s="1101">
        <f t="shared" ref="BU125" si="975">BU124/BU13</f>
        <v>4.9691484985602635E-2</v>
      </c>
      <c r="BV125" s="809">
        <f>BV124/BV13</f>
        <v>4.6102507613555367E-2</v>
      </c>
      <c r="BW125" s="809">
        <f t="shared" ref="BW125" si="976">BW124/BW13</f>
        <v>4.8848833686761586E-2</v>
      </c>
      <c r="BX125" s="1275">
        <f t="shared" ref="BX125" si="977">BX124/BX13</f>
        <v>4.7646073952155282E-2</v>
      </c>
      <c r="BY125" s="809">
        <f>BY124/BY13</f>
        <v>6.2364782240617062E-2</v>
      </c>
      <c r="BZ125" s="809">
        <f t="shared" ref="BZ125" si="978">BZ124/BZ13</f>
        <v>8.8132740170734636E-2</v>
      </c>
      <c r="CA125" s="809">
        <f>CA124/CA13</f>
        <v>5.6719878712209043E-2</v>
      </c>
      <c r="CB125" s="1101">
        <f t="shared" ref="CB125" si="979">CB124/CB13</f>
        <v>4.1820667307984408E-2</v>
      </c>
      <c r="CC125" s="809">
        <f>CC124/CC13</f>
        <v>7.3675321933713317E-2</v>
      </c>
      <c r="CD125" s="809">
        <f t="shared" ref="CD125" si="980">CD124/CD13</f>
        <v>4.7216121948068727E-2</v>
      </c>
      <c r="CE125" s="1275">
        <f t="shared" ref="CE125:DV125" si="981">CE124/CE13</f>
        <v>5.726077897098894E-2</v>
      </c>
      <c r="CF125" s="809">
        <f>CF124/CF13</f>
        <v>5.9273422562141492E-2</v>
      </c>
      <c r="CG125" s="809">
        <f t="shared" ref="CG125" si="982">CG124/CG13</f>
        <v>4.5284615927206041E-2</v>
      </c>
      <c r="CH125" s="809">
        <f>CH124/CH13</f>
        <v>6.246434683399886E-2</v>
      </c>
      <c r="CI125" s="1101">
        <f t="shared" ref="CI125" si="983">CI124/CI13</f>
        <v>4.8664234435683185E-2</v>
      </c>
      <c r="CJ125" s="809">
        <f>CJ124/CJ13</f>
        <v>5.1223769127734707E-2</v>
      </c>
      <c r="CK125" s="809">
        <f t="shared" ref="CK125" si="984">CK124/CK13</f>
        <v>5.3940098865949401E-2</v>
      </c>
      <c r="CL125" s="1275">
        <f t="shared" si="981"/>
        <v>5.2656810293581852E-2</v>
      </c>
      <c r="CM125" s="809">
        <f>CM124/CM13</f>
        <v>4.8833333333333333E-2</v>
      </c>
      <c r="CN125" s="809">
        <f t="shared" ref="CN125" si="985">CN124/CN13</f>
        <v>5.2771272443403593E-2</v>
      </c>
      <c r="CO125" s="809">
        <f>CO124/CO13</f>
        <v>5.2821399053272225E-2</v>
      </c>
      <c r="CP125" s="1101">
        <f t="shared" ref="CP125" si="986">CP124/CP13</f>
        <v>5.3962410385584192E-2</v>
      </c>
      <c r="CQ125" s="809">
        <f>CQ124/CQ13</f>
        <v>5.0866586054010482E-2</v>
      </c>
      <c r="CR125" s="809">
        <f t="shared" ref="CR125" si="987">CR124/CR13</f>
        <v>5.3515153300150206E-2</v>
      </c>
      <c r="CS125" s="1275">
        <f t="shared" si="981"/>
        <v>5.2396916427003386E-2</v>
      </c>
      <c r="CT125" s="809">
        <f>CT124/CT13</f>
        <v>5.8063419195783388E-2</v>
      </c>
      <c r="CU125" s="809">
        <f t="shared" si="981"/>
        <v>4.7044025157232702E-2</v>
      </c>
      <c r="CV125" s="809">
        <f>CV124/CV13</f>
        <v>4.9405920655165469E-2</v>
      </c>
      <c r="CW125" s="1101">
        <f t="shared" si="981"/>
        <v>4.7627370444813424E-2</v>
      </c>
      <c r="CX125" s="809">
        <f>CX124/CX13</f>
        <v>5.172974731590934E-2</v>
      </c>
      <c r="CY125" s="809">
        <f t="shared" si="981"/>
        <v>4.8328613397559748E-2</v>
      </c>
      <c r="CZ125" s="1275">
        <f t="shared" ref="CZ125" si="988">CZ124/CZ13</f>
        <v>4.9766219478654158E-2</v>
      </c>
      <c r="DA125" s="809">
        <f>DA124/DA13</f>
        <v>5.7911145752143414E-2</v>
      </c>
      <c r="DB125" s="809">
        <f t="shared" ref="DB125" si="989">DB124/DB13</f>
        <v>5.3141606752110035E-2</v>
      </c>
      <c r="DC125" s="809">
        <f>DC124/DC13</f>
        <v>4.8314105424182546E-2</v>
      </c>
      <c r="DD125" s="1101">
        <f t="shared" ref="DD125" si="990">DD124/DD13</f>
        <v>3.6373199546852239E-2</v>
      </c>
      <c r="DE125" s="809">
        <f>DE124/DE13</f>
        <v>5.5264527320034694E-2</v>
      </c>
      <c r="DF125" s="809">
        <f t="shared" ref="DF125" si="991">DF124/DF13</f>
        <v>4.1009776017819577E-2</v>
      </c>
      <c r="DG125" s="1275">
        <f t="shared" si="981"/>
        <v>4.6944966055178394E-2</v>
      </c>
      <c r="DH125" s="809">
        <f t="shared" si="981"/>
        <v>4.9697238221828387E-2</v>
      </c>
      <c r="DI125" s="809">
        <f t="shared" si="981"/>
        <v>4.5618620861339311E-2</v>
      </c>
      <c r="DJ125" s="809">
        <f>DJ124/DJ13</f>
        <v>4.145629978682823E-2</v>
      </c>
      <c r="DK125" s="1101">
        <f t="shared" ref="DK125" si="992">DK124/DK13</f>
        <v>3.8793103448275863E-2</v>
      </c>
      <c r="DL125" s="809">
        <f>DL124/DL13</f>
        <v>4.7483958122255997E-2</v>
      </c>
      <c r="DM125" s="809">
        <f t="shared" ref="DM125" si="993">DM124/DM13</f>
        <v>3.987674047021228E-2</v>
      </c>
      <c r="DN125" s="1275">
        <f t="shared" ref="DN125:DP125" si="994">DN124/DN13</f>
        <v>4.2944701716153638E-2</v>
      </c>
      <c r="DO125" s="809">
        <f t="shared" si="994"/>
        <v>5.7702948383526992E-2</v>
      </c>
      <c r="DP125" s="809">
        <f t="shared" si="994"/>
        <v>3.5858708891595613E-2</v>
      </c>
      <c r="DQ125" s="900">
        <f t="shared" si="981"/>
        <v>4.0295749990635892E-2</v>
      </c>
      <c r="DR125" s="1114">
        <f t="shared" si="981"/>
        <v>4.508147131074753E-2</v>
      </c>
      <c r="DS125" s="2025">
        <f>DS124/DS13</f>
        <v>4.4188570050639017E-2</v>
      </c>
      <c r="DT125" s="900">
        <f t="shared" si="981"/>
        <v>4.3122294866367761E-2</v>
      </c>
      <c r="DU125" s="755">
        <f t="shared" si="981"/>
        <v>4.3561415529174301E-2</v>
      </c>
      <c r="DV125" s="900">
        <f t="shared" si="981"/>
        <v>4.5358738886481946E-2</v>
      </c>
      <c r="DW125" s="900">
        <f t="shared" ref="DW125:EW125" si="995">DW124/DW13</f>
        <v>4.4845049258446491E-2</v>
      </c>
      <c r="DX125" s="900">
        <f t="shared" si="995"/>
        <v>4.4951781741487166E-2</v>
      </c>
      <c r="DY125" s="1114">
        <f t="shared" si="995"/>
        <v>4.3626150578973719E-2</v>
      </c>
      <c r="DZ125" s="900">
        <f t="shared" si="995"/>
        <v>4.5089248215076892E-2</v>
      </c>
      <c r="EA125" s="900">
        <f t="shared" si="995"/>
        <v>4.424849943332794E-2</v>
      </c>
      <c r="EB125" s="755">
        <f t="shared" si="995"/>
        <v>4.4646540871335266E-2</v>
      </c>
      <c r="EC125" s="900">
        <f t="shared" si="995"/>
        <v>4.6194305631932192E-2</v>
      </c>
      <c r="ED125" s="900">
        <f t="shared" si="995"/>
        <v>4.5779611300652313E-2</v>
      </c>
      <c r="EE125" s="900">
        <f t="shared" si="995"/>
        <v>4.5853568977295103E-2</v>
      </c>
      <c r="EF125" s="1114">
        <f t="shared" si="995"/>
        <v>4.482218619457741E-2</v>
      </c>
      <c r="EG125" s="900">
        <f t="shared" si="995"/>
        <v>4.5976684672609312E-2</v>
      </c>
      <c r="EH125" s="900">
        <f t="shared" si="995"/>
        <v>4.5304058446489263E-2</v>
      </c>
      <c r="EI125" s="755">
        <f t="shared" si="995"/>
        <v>4.5621614468826677E-2</v>
      </c>
      <c r="EJ125" s="900">
        <f t="shared" si="995"/>
        <v>4.6927982716593458E-2</v>
      </c>
      <c r="EK125" s="900">
        <f t="shared" si="995"/>
        <v>4.657418105405927E-2</v>
      </c>
      <c r="EL125" s="900">
        <f t="shared" si="995"/>
        <v>4.6618784659795631E-2</v>
      </c>
      <c r="EM125" s="1114">
        <f t="shared" si="995"/>
        <v>4.5799291902058573E-2</v>
      </c>
      <c r="EN125" s="900">
        <f t="shared" si="995"/>
        <v>4.6745319198454011E-2</v>
      </c>
      <c r="EO125" s="900">
        <f t="shared" si="995"/>
        <v>4.6182037729251522E-2</v>
      </c>
      <c r="EP125" s="755">
        <f t="shared" si="995"/>
        <v>4.6450222502961748E-2</v>
      </c>
      <c r="EQ125" s="900">
        <f t="shared" si="995"/>
        <v>4.7624981720383673E-2</v>
      </c>
      <c r="ER125" s="900">
        <f t="shared" si="995"/>
        <v>4.737842985642108E-2</v>
      </c>
      <c r="ES125" s="900">
        <f t="shared" si="995"/>
        <v>4.739302268407837E-2</v>
      </c>
      <c r="ET125" s="1114">
        <f t="shared" si="995"/>
        <v>4.6789587001509668E-2</v>
      </c>
      <c r="EU125" s="900">
        <f t="shared" si="995"/>
        <v>4.7497627336574831E-2</v>
      </c>
      <c r="EV125" s="900">
        <f t="shared" si="995"/>
        <v>4.7071320245593948E-2</v>
      </c>
      <c r="EW125" s="755">
        <f t="shared" si="995"/>
        <v>4.7274203909316845E-2</v>
      </c>
    </row>
    <row r="126" spans="1:153" ht="10.199999999999999" customHeight="1">
      <c r="A126" s="43"/>
      <c r="B126" s="1067"/>
      <c r="C126" s="1067"/>
      <c r="D126" s="1067"/>
      <c r="E126" s="1067"/>
      <c r="F126" s="1067"/>
      <c r="G126" s="1067"/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97"/>
      <c r="R126" s="1067"/>
      <c r="S126" s="1067"/>
      <c r="T126" s="343"/>
      <c r="U126" s="1067"/>
      <c r="V126" s="1067"/>
      <c r="W126" s="1067"/>
      <c r="X126" s="1097"/>
      <c r="Y126" s="1067"/>
      <c r="Z126" s="1067"/>
      <c r="AA126" s="343"/>
      <c r="AB126" s="1067"/>
      <c r="AC126" s="1067"/>
      <c r="AD126" s="1067"/>
      <c r="AE126" s="1097"/>
      <c r="AF126" s="1067"/>
      <c r="AG126" s="1067"/>
      <c r="AH126" s="343"/>
      <c r="AI126" s="1067"/>
      <c r="AJ126" s="1067"/>
      <c r="AK126" s="1067"/>
      <c r="AL126" s="1097"/>
      <c r="AM126" s="1067"/>
      <c r="AN126" s="1067"/>
      <c r="AO126" s="343"/>
      <c r="AP126" s="1067"/>
      <c r="AQ126" s="1067"/>
      <c r="AR126" s="1067"/>
      <c r="AS126" s="1097"/>
      <c r="AT126" s="1067"/>
      <c r="AU126" s="1067"/>
      <c r="AV126" s="343"/>
      <c r="AW126" s="1067"/>
      <c r="AX126" s="1067"/>
      <c r="AY126" s="1067"/>
      <c r="AZ126" s="1097"/>
      <c r="BA126" s="1067"/>
      <c r="BB126" s="1067"/>
      <c r="BC126" s="343"/>
      <c r="BD126" s="1067"/>
      <c r="BE126" s="1067"/>
      <c r="BF126" s="1067"/>
      <c r="BG126" s="1097"/>
      <c r="BH126" s="1067"/>
      <c r="BI126" s="1067"/>
      <c r="BJ126" s="343"/>
      <c r="BK126" s="1067"/>
      <c r="BL126" s="1067"/>
      <c r="BM126" s="1067"/>
      <c r="BN126" s="1097"/>
      <c r="BO126" s="1067"/>
      <c r="BP126" s="1067"/>
      <c r="BQ126" s="343"/>
      <c r="BR126" s="1067"/>
      <c r="BS126" s="1067"/>
      <c r="BT126" s="1067"/>
      <c r="BU126" s="1097"/>
      <c r="BV126" s="1067"/>
      <c r="BW126" s="1067"/>
      <c r="BX126" s="343"/>
      <c r="BY126" s="1067"/>
      <c r="BZ126" s="1067"/>
      <c r="CA126" s="1067"/>
      <c r="CB126" s="1097"/>
      <c r="CC126" s="1067"/>
      <c r="CD126" s="1067"/>
      <c r="CE126" s="343"/>
      <c r="CF126" s="1067"/>
      <c r="CG126" s="1067"/>
      <c r="CH126" s="1067"/>
      <c r="CI126" s="1097"/>
      <c r="CJ126" s="1067"/>
      <c r="CK126" s="1067"/>
      <c r="CL126" s="343"/>
      <c r="CM126" s="1067"/>
      <c r="CN126" s="1067"/>
      <c r="CO126" s="1067"/>
      <c r="CP126" s="1097"/>
      <c r="CQ126" s="1067"/>
      <c r="CR126" s="1067"/>
      <c r="CS126" s="343"/>
      <c r="CT126" s="1067"/>
      <c r="CU126" s="1067"/>
      <c r="CV126" s="1067"/>
      <c r="CW126" s="1097"/>
      <c r="CX126" s="1067"/>
      <c r="CY126" s="1067"/>
      <c r="CZ126" s="343"/>
      <c r="DA126" s="1067"/>
      <c r="DB126" s="1067"/>
      <c r="DC126" s="1067"/>
      <c r="DD126" s="1097"/>
      <c r="DE126" s="1067"/>
      <c r="DF126" s="1067"/>
      <c r="DG126" s="343"/>
      <c r="DH126" s="1067"/>
      <c r="DI126" s="1067"/>
      <c r="DJ126" s="1067"/>
      <c r="DK126" s="1097"/>
      <c r="DL126" s="1067"/>
      <c r="DM126" s="1067"/>
      <c r="DN126" s="343"/>
      <c r="DO126" s="1067"/>
      <c r="DP126" s="1067"/>
      <c r="DQ126" s="1067"/>
      <c r="DR126" s="1097"/>
      <c r="DS126" s="1205"/>
      <c r="DT126" s="1067"/>
      <c r="DU126" s="343"/>
      <c r="DV126" s="1067"/>
      <c r="DW126" s="1067"/>
      <c r="DX126" s="1067"/>
      <c r="DY126" s="1097"/>
      <c r="DZ126" s="1067"/>
      <c r="EA126" s="1067"/>
      <c r="EB126" s="343"/>
      <c r="EC126" s="1067"/>
      <c r="ED126" s="1067"/>
      <c r="EE126" s="1067"/>
      <c r="EF126" s="1097"/>
      <c r="EG126" s="1067"/>
      <c r="EH126" s="1067"/>
      <c r="EI126" s="343"/>
      <c r="EJ126" s="1067"/>
      <c r="EK126" s="1067"/>
      <c r="EL126" s="1067"/>
      <c r="EM126" s="1097"/>
      <c r="EN126" s="1067"/>
      <c r="EO126" s="1067"/>
      <c r="EP126" s="343"/>
      <c r="EQ126" s="1067"/>
      <c r="ER126" s="1067"/>
      <c r="ES126" s="1067"/>
      <c r="ET126" s="1097"/>
      <c r="EU126" s="1067"/>
      <c r="EV126" s="1067"/>
      <c r="EW126" s="343"/>
    </row>
    <row r="127" spans="1:153" ht="10.199999999999999" customHeight="1">
      <c r="A127" s="108" t="s">
        <v>70</v>
      </c>
      <c r="B127" s="1067"/>
      <c r="C127" s="1067"/>
      <c r="D127" s="1067"/>
      <c r="E127" s="1067"/>
      <c r="F127" s="1067"/>
      <c r="G127" s="1067"/>
      <c r="H127" s="1067"/>
      <c r="I127" s="1067"/>
      <c r="J127" s="1067"/>
      <c r="K127" s="1067"/>
      <c r="L127" s="1067"/>
      <c r="M127" s="1067"/>
      <c r="N127" s="1074">
        <v>83</v>
      </c>
      <c r="O127" s="317">
        <f t="shared" ref="O127:O130" si="996">R127-N127</f>
        <v>120</v>
      </c>
      <c r="P127" s="917">
        <f>295-N127-O127</f>
        <v>92</v>
      </c>
      <c r="Q127" s="964">
        <f>S127-P127</f>
        <v>69</v>
      </c>
      <c r="R127" s="1074">
        <v>203</v>
      </c>
      <c r="S127" s="1074">
        <f>T127-R127</f>
        <v>161</v>
      </c>
      <c r="T127" s="1285">
        <v>364</v>
      </c>
      <c r="U127" s="1074">
        <v>51</v>
      </c>
      <c r="V127" s="317">
        <f t="shared" ref="V127:V130" si="997">Y127-U127</f>
        <v>26</v>
      </c>
      <c r="W127" s="917">
        <f>90-U127-V127</f>
        <v>13</v>
      </c>
      <c r="X127" s="964">
        <f>Z127-W127</f>
        <v>26</v>
      </c>
      <c r="Y127" s="1074">
        <v>77</v>
      </c>
      <c r="Z127" s="1074">
        <f>AA127-Y127</f>
        <v>39</v>
      </c>
      <c r="AA127" s="1285">
        <v>116</v>
      </c>
      <c r="AB127" s="1074">
        <v>15</v>
      </c>
      <c r="AC127" s="317">
        <f t="shared" ref="AC127:AC130" si="998">AF127-AB127</f>
        <v>24</v>
      </c>
      <c r="AD127" s="917">
        <f>123-AB127-AC127</f>
        <v>84</v>
      </c>
      <c r="AE127" s="964">
        <f>AG127-AD127</f>
        <v>-65</v>
      </c>
      <c r="AF127" s="1074">
        <v>39</v>
      </c>
      <c r="AG127" s="1074">
        <f>AH127-AF127</f>
        <v>19</v>
      </c>
      <c r="AH127" s="1285">
        <v>58</v>
      </c>
      <c r="AI127" s="1074">
        <v>30</v>
      </c>
      <c r="AJ127" s="317">
        <f t="shared" ref="AJ127:AJ130" si="999">AM127-AI127</f>
        <v>41</v>
      </c>
      <c r="AK127" s="917">
        <f>112-AI127-AJ127</f>
        <v>41</v>
      </c>
      <c r="AL127" s="964">
        <f>AN127-AK127</f>
        <v>98</v>
      </c>
      <c r="AM127" s="1074">
        <v>71</v>
      </c>
      <c r="AN127" s="1074">
        <f>AO127-AM127</f>
        <v>139</v>
      </c>
      <c r="AO127" s="1285">
        <v>210</v>
      </c>
      <c r="AP127" s="1074">
        <v>42</v>
      </c>
      <c r="AQ127" s="317">
        <f t="shared" ref="AQ127:AQ130" si="1000">AT127-AP127</f>
        <v>22</v>
      </c>
      <c r="AR127" s="917">
        <f>97-AP127-AQ127</f>
        <v>33</v>
      </c>
      <c r="AS127" s="964">
        <f>AU127-AR127</f>
        <v>25</v>
      </c>
      <c r="AT127" s="1074">
        <v>64</v>
      </c>
      <c r="AU127" s="1074">
        <f>AV127-AT127</f>
        <v>58</v>
      </c>
      <c r="AV127" s="1285">
        <v>122</v>
      </c>
      <c r="AW127" s="1074">
        <v>42</v>
      </c>
      <c r="AX127" s="317">
        <f t="shared" ref="AX127:AX130" si="1001">BA127-AW127</f>
        <v>22</v>
      </c>
      <c r="AY127" s="917">
        <f>97-AW127-AX127</f>
        <v>33</v>
      </c>
      <c r="AZ127" s="964">
        <f>BB127-AY127</f>
        <v>25</v>
      </c>
      <c r="BA127" s="1074">
        <v>64</v>
      </c>
      <c r="BB127" s="1074">
        <f>BC127-BA127</f>
        <v>58</v>
      </c>
      <c r="BC127" s="1285">
        <v>122</v>
      </c>
      <c r="BD127" s="1074">
        <v>9</v>
      </c>
      <c r="BE127" s="317">
        <f t="shared" ref="BE127:BE130" si="1002">BH127-BD127</f>
        <v>13</v>
      </c>
      <c r="BF127" s="917">
        <f>36-BD127-BE127</f>
        <v>14</v>
      </c>
      <c r="BG127" s="964">
        <f>BI127-BF127</f>
        <v>15</v>
      </c>
      <c r="BH127" s="1074">
        <v>22</v>
      </c>
      <c r="BI127" s="1074">
        <f>BJ127-BH127</f>
        <v>29</v>
      </c>
      <c r="BJ127" s="1285">
        <v>51</v>
      </c>
      <c r="BK127" s="1074">
        <v>3</v>
      </c>
      <c r="BL127" s="317">
        <f t="shared" ref="BL127:BL130" si="1003">BO127-BK127</f>
        <v>16</v>
      </c>
      <c r="BM127" s="917">
        <f>40-BK127-BL127</f>
        <v>21</v>
      </c>
      <c r="BN127" s="964">
        <f>BP127-BM127</f>
        <v>41</v>
      </c>
      <c r="BO127" s="1074">
        <v>19</v>
      </c>
      <c r="BP127" s="1074">
        <f>BQ127-BO127</f>
        <v>62</v>
      </c>
      <c r="BQ127" s="1285">
        <v>81</v>
      </c>
      <c r="BR127" s="1074">
        <v>3</v>
      </c>
      <c r="BS127" s="317">
        <f t="shared" ref="BS127:BS130" si="1004">BV127-BR127</f>
        <v>16</v>
      </c>
      <c r="BT127" s="917">
        <f>40-BR127-BS127</f>
        <v>21</v>
      </c>
      <c r="BU127" s="964">
        <f>BW127-BT127</f>
        <v>41</v>
      </c>
      <c r="BV127" s="1074">
        <v>19</v>
      </c>
      <c r="BW127" s="1074">
        <f>BX127-BV127</f>
        <v>62</v>
      </c>
      <c r="BX127" s="1285">
        <v>81</v>
      </c>
      <c r="BY127" s="1074">
        <v>23</v>
      </c>
      <c r="BZ127" s="317">
        <f t="shared" ref="BZ127:BZ130" si="1005">CC127-BY127</f>
        <v>-18</v>
      </c>
      <c r="CA127" s="917">
        <f>8-BY127-BZ127</f>
        <v>3</v>
      </c>
      <c r="CB127" s="964">
        <f>CD127-CA127</f>
        <v>15</v>
      </c>
      <c r="CC127" s="1074">
        <v>5</v>
      </c>
      <c r="CD127" s="1074">
        <f>CE127-CC127</f>
        <v>18</v>
      </c>
      <c r="CE127" s="1285">
        <v>23</v>
      </c>
      <c r="CF127" s="1074">
        <v>1</v>
      </c>
      <c r="CG127" s="317">
        <f t="shared" ref="CG127:CG130" si="1006">CJ127-CF127</f>
        <v>0</v>
      </c>
      <c r="CH127" s="917">
        <f>1-CF127-CG127</f>
        <v>0</v>
      </c>
      <c r="CI127" s="964">
        <f>CK127-CH127</f>
        <v>1</v>
      </c>
      <c r="CJ127" s="1074">
        <v>1</v>
      </c>
      <c r="CK127" s="1074">
        <f>CL127-CJ127</f>
        <v>1</v>
      </c>
      <c r="CL127" s="1285">
        <v>2</v>
      </c>
      <c r="CM127" s="1074">
        <v>16</v>
      </c>
      <c r="CN127" s="317">
        <f t="shared" ref="CN127:CN130" si="1007">CQ127-CM127</f>
        <v>50</v>
      </c>
      <c r="CO127" s="917">
        <f>96-CM127-CN127</f>
        <v>30</v>
      </c>
      <c r="CP127" s="964">
        <f>CR127-CO127</f>
        <v>77</v>
      </c>
      <c r="CQ127" s="1074">
        <v>66</v>
      </c>
      <c r="CR127" s="1074">
        <f>CS127-CQ127</f>
        <v>107</v>
      </c>
      <c r="CS127" s="1285">
        <v>173</v>
      </c>
      <c r="CT127" s="1074">
        <v>31</v>
      </c>
      <c r="CU127" s="317">
        <f t="shared" ref="CU127:CU130" si="1008">CX127-CT127</f>
        <v>31</v>
      </c>
      <c r="CV127" s="917">
        <f>98-CT127-CU127</f>
        <v>36</v>
      </c>
      <c r="CW127" s="964">
        <f>CY127-CV127</f>
        <v>47</v>
      </c>
      <c r="CX127" s="1074">
        <v>62</v>
      </c>
      <c r="CY127" s="1074">
        <f>CZ127-CX127</f>
        <v>83</v>
      </c>
      <c r="CZ127" s="1285">
        <v>145</v>
      </c>
      <c r="DA127" s="1074">
        <v>20</v>
      </c>
      <c r="DB127" s="317">
        <f t="shared" ref="DB127:DB130" si="1009">DE127-DA127</f>
        <v>53</v>
      </c>
      <c r="DC127" s="917">
        <f>144-DA127-DB127</f>
        <v>71</v>
      </c>
      <c r="DD127" s="964">
        <f>DF127-DC127</f>
        <v>102</v>
      </c>
      <c r="DE127" s="1074">
        <v>73</v>
      </c>
      <c r="DF127" s="1074">
        <f>DG127-DE127</f>
        <v>173</v>
      </c>
      <c r="DG127" s="1285">
        <v>246</v>
      </c>
      <c r="DH127" s="1074">
        <v>48</v>
      </c>
      <c r="DI127" s="317">
        <f t="shared" ref="DI127:DI130" si="1010">DL127-DH127</f>
        <v>59</v>
      </c>
      <c r="DJ127" s="917">
        <f>166-DH127-DI127</f>
        <v>59</v>
      </c>
      <c r="DK127" s="964">
        <f>DM127-DJ127</f>
        <v>117</v>
      </c>
      <c r="DL127" s="2087">
        <v>107</v>
      </c>
      <c r="DM127" s="1074">
        <f>DN127-DL127</f>
        <v>176</v>
      </c>
      <c r="DN127" s="1285">
        <v>283</v>
      </c>
      <c r="DO127" s="1074">
        <v>43</v>
      </c>
      <c r="DP127" s="317">
        <f t="shared" ref="DP127:DP130" si="1011">DS127-DO127</f>
        <v>59</v>
      </c>
      <c r="DQ127" s="1074"/>
      <c r="DR127" s="1104"/>
      <c r="DS127" s="2028">
        <v>102</v>
      </c>
      <c r="DT127" s="1074"/>
      <c r="DU127" s="343"/>
      <c r="DV127" s="1074"/>
      <c r="DW127" s="1074"/>
      <c r="DX127" s="1074"/>
      <c r="DY127" s="1104"/>
      <c r="DZ127" s="1074"/>
      <c r="EA127" s="1074"/>
      <c r="EB127" s="343"/>
      <c r="EC127" s="1074"/>
      <c r="ED127" s="1074"/>
      <c r="EE127" s="1074"/>
      <c r="EF127" s="1104"/>
      <c r="EG127" s="1074"/>
      <c r="EH127" s="1074"/>
      <c r="EI127" s="343"/>
      <c r="EJ127" s="1074"/>
      <c r="EK127" s="1074"/>
      <c r="EL127" s="1074"/>
      <c r="EM127" s="1104"/>
      <c r="EN127" s="1074"/>
      <c r="EO127" s="1074"/>
      <c r="EP127" s="343"/>
      <c r="EQ127" s="1074"/>
      <c r="ER127" s="1074"/>
      <c r="ES127" s="1074"/>
      <c r="ET127" s="1104"/>
      <c r="EU127" s="1074"/>
      <c r="EV127" s="1074"/>
      <c r="EW127" s="343"/>
    </row>
    <row r="128" spans="1:153" ht="10.199999999999999" customHeight="1">
      <c r="A128" s="108" t="s">
        <v>325</v>
      </c>
      <c r="B128" s="812"/>
      <c r="C128" s="812"/>
      <c r="D128" s="812"/>
      <c r="E128" s="812"/>
      <c r="F128" s="812"/>
      <c r="G128" s="812"/>
      <c r="H128" s="812"/>
      <c r="I128" s="812"/>
      <c r="J128" s="812"/>
      <c r="K128" s="812"/>
      <c r="L128" s="812"/>
      <c r="M128" s="812"/>
      <c r="N128" s="1074">
        <v>11</v>
      </c>
      <c r="O128" s="317">
        <f t="shared" si="996"/>
        <v>18</v>
      </c>
      <c r="P128" s="917">
        <f>27-N128-O128</f>
        <v>-2</v>
      </c>
      <c r="Q128" s="964">
        <f>S128-P128</f>
        <v>9</v>
      </c>
      <c r="R128" s="1074">
        <v>29</v>
      </c>
      <c r="S128" s="1074">
        <f>T128-R128</f>
        <v>7</v>
      </c>
      <c r="T128" s="1285">
        <v>36</v>
      </c>
      <c r="U128" s="1074">
        <v>11</v>
      </c>
      <c r="V128" s="317">
        <f t="shared" si="997"/>
        <v>16</v>
      </c>
      <c r="W128" s="917">
        <f>35-U128-V128</f>
        <v>8</v>
      </c>
      <c r="X128" s="964">
        <f>Z128-W128</f>
        <v>12</v>
      </c>
      <c r="Y128" s="1074">
        <v>27</v>
      </c>
      <c r="Z128" s="1074">
        <f>AA128-Y128</f>
        <v>20</v>
      </c>
      <c r="AA128" s="1285">
        <v>47</v>
      </c>
      <c r="AB128" s="1074">
        <v>13</v>
      </c>
      <c r="AC128" s="317">
        <f t="shared" si="998"/>
        <v>6</v>
      </c>
      <c r="AD128" s="917">
        <f>25-AB128-AC128</f>
        <v>6</v>
      </c>
      <c r="AE128" s="964">
        <f>AG128-AD128</f>
        <v>19</v>
      </c>
      <c r="AF128" s="1074">
        <v>19</v>
      </c>
      <c r="AG128" s="1074">
        <f>AH128-AF128</f>
        <v>25</v>
      </c>
      <c r="AH128" s="1285">
        <v>44</v>
      </c>
      <c r="AI128" s="1074">
        <v>15</v>
      </c>
      <c r="AJ128" s="317">
        <f t="shared" si="999"/>
        <v>11</v>
      </c>
      <c r="AK128" s="917">
        <f>38-AI128-AJ128</f>
        <v>12</v>
      </c>
      <c r="AL128" s="964">
        <f>AN128-AK128</f>
        <v>31</v>
      </c>
      <c r="AM128" s="1074">
        <v>26</v>
      </c>
      <c r="AN128" s="1074">
        <f>AO128-AM128</f>
        <v>43</v>
      </c>
      <c r="AO128" s="1285">
        <v>69</v>
      </c>
      <c r="AP128" s="1074">
        <v>16</v>
      </c>
      <c r="AQ128" s="317">
        <f t="shared" si="1000"/>
        <v>61</v>
      </c>
      <c r="AR128" s="917">
        <f>89-AP128-AQ128</f>
        <v>12</v>
      </c>
      <c r="AS128" s="964">
        <f>AU128-AR128</f>
        <v>-19</v>
      </c>
      <c r="AT128" s="1074">
        <v>77</v>
      </c>
      <c r="AU128" s="1074">
        <f>AV128-AT128</f>
        <v>-7</v>
      </c>
      <c r="AV128" s="1285">
        <v>70</v>
      </c>
      <c r="AW128" s="1074">
        <v>16</v>
      </c>
      <c r="AX128" s="317">
        <f t="shared" si="1001"/>
        <v>61</v>
      </c>
      <c r="AY128" s="917">
        <f>89-AW128-AX128</f>
        <v>12</v>
      </c>
      <c r="AZ128" s="964">
        <f>BB128-AY128</f>
        <v>-19</v>
      </c>
      <c r="BA128" s="1074">
        <v>77</v>
      </c>
      <c r="BB128" s="1074">
        <f>BC128-BA128</f>
        <v>-7</v>
      </c>
      <c r="BC128" s="1285">
        <v>70</v>
      </c>
      <c r="BD128" s="1074">
        <v>6</v>
      </c>
      <c r="BE128" s="317">
        <f t="shared" si="1002"/>
        <v>6</v>
      </c>
      <c r="BF128" s="917">
        <f>16-BD128-BE128</f>
        <v>4</v>
      </c>
      <c r="BG128" s="964">
        <f>BI128-BF128</f>
        <v>12</v>
      </c>
      <c r="BH128" s="1074">
        <v>12</v>
      </c>
      <c r="BI128" s="1074">
        <f>BJ128-BH128</f>
        <v>16</v>
      </c>
      <c r="BJ128" s="1285">
        <v>28</v>
      </c>
      <c r="BK128" s="1074">
        <v>1</v>
      </c>
      <c r="BL128" s="317">
        <f t="shared" si="1003"/>
        <v>8</v>
      </c>
      <c r="BM128" s="917">
        <f>14-BK128-BL128</f>
        <v>5</v>
      </c>
      <c r="BN128" s="964">
        <f>BP128-BM128</f>
        <v>2</v>
      </c>
      <c r="BO128" s="1074">
        <v>9</v>
      </c>
      <c r="BP128" s="1074">
        <f>BQ128-BO128</f>
        <v>7</v>
      </c>
      <c r="BQ128" s="1285">
        <v>16</v>
      </c>
      <c r="BR128" s="1074">
        <v>1</v>
      </c>
      <c r="BS128" s="317">
        <f t="shared" si="1004"/>
        <v>8</v>
      </c>
      <c r="BT128" s="917">
        <f>14-BR128-BS128</f>
        <v>5</v>
      </c>
      <c r="BU128" s="964">
        <f>BW128-BT128</f>
        <v>2</v>
      </c>
      <c r="BV128" s="1074">
        <v>9</v>
      </c>
      <c r="BW128" s="1074">
        <f>BX128-BV128</f>
        <v>7</v>
      </c>
      <c r="BX128" s="1285">
        <v>16</v>
      </c>
      <c r="BY128" s="1074">
        <v>4</v>
      </c>
      <c r="BZ128" s="317">
        <f t="shared" si="1005"/>
        <v>2</v>
      </c>
      <c r="CA128" s="917">
        <f>8-BY128-BZ128</f>
        <v>2</v>
      </c>
      <c r="CB128" s="964">
        <f>CD128-CA128</f>
        <v>-1</v>
      </c>
      <c r="CC128" s="1074">
        <v>6</v>
      </c>
      <c r="CD128" s="1074">
        <f>CE128-CC128</f>
        <v>1</v>
      </c>
      <c r="CE128" s="1285">
        <v>7</v>
      </c>
      <c r="CF128" s="1074">
        <v>0</v>
      </c>
      <c r="CG128" s="317">
        <f t="shared" si="1006"/>
        <v>0</v>
      </c>
      <c r="CH128" s="917">
        <f>0-CF128-CG128</f>
        <v>0</v>
      </c>
      <c r="CI128" s="964">
        <f>CK128-CH128</f>
        <v>0</v>
      </c>
      <c r="CJ128" s="1074">
        <v>0</v>
      </c>
      <c r="CK128" s="1074">
        <f>CL128-CJ128</f>
        <v>0</v>
      </c>
      <c r="CL128" s="1285">
        <v>0</v>
      </c>
      <c r="CM128" s="1074">
        <v>0</v>
      </c>
      <c r="CN128" s="317">
        <f t="shared" si="1007"/>
        <v>0</v>
      </c>
      <c r="CO128" s="917">
        <f>0-CM128-CN128</f>
        <v>0</v>
      </c>
      <c r="CP128" s="964">
        <f>CR128-CO128</f>
        <v>0</v>
      </c>
      <c r="CQ128" s="1074">
        <v>0</v>
      </c>
      <c r="CR128" s="1074">
        <f>CS128-CQ128</f>
        <v>0</v>
      </c>
      <c r="CS128" s="1285">
        <v>0</v>
      </c>
      <c r="CT128" s="1074">
        <v>0</v>
      </c>
      <c r="CU128" s="317">
        <f t="shared" si="1008"/>
        <v>0</v>
      </c>
      <c r="CV128" s="917">
        <f>1-CT128-CU128</f>
        <v>1</v>
      </c>
      <c r="CW128" s="964">
        <f>CY128-CV128</f>
        <v>0</v>
      </c>
      <c r="CX128" s="1074">
        <v>0</v>
      </c>
      <c r="CY128" s="1074">
        <f>CZ128-CX128</f>
        <v>1</v>
      </c>
      <c r="CZ128" s="1285">
        <v>1</v>
      </c>
      <c r="DA128" s="1074">
        <v>0</v>
      </c>
      <c r="DB128" s="317">
        <f t="shared" si="1009"/>
        <v>1</v>
      </c>
      <c r="DC128" s="917">
        <f>1-DA128-DB128</f>
        <v>0</v>
      </c>
      <c r="DD128" s="964">
        <f>DF128-DC128</f>
        <v>0</v>
      </c>
      <c r="DE128" s="1074">
        <v>1</v>
      </c>
      <c r="DF128" s="1074">
        <f>DG128-DE128</f>
        <v>0</v>
      </c>
      <c r="DG128" s="1285">
        <v>1</v>
      </c>
      <c r="DH128" s="1074">
        <v>0</v>
      </c>
      <c r="DI128" s="317">
        <f t="shared" si="1010"/>
        <v>0</v>
      </c>
      <c r="DJ128" s="917">
        <f>0-DH128-DI128</f>
        <v>0</v>
      </c>
      <c r="DK128" s="964">
        <f>DM128-DJ128</f>
        <v>0</v>
      </c>
      <c r="DL128" s="2087">
        <v>0</v>
      </c>
      <c r="DM128" s="1074">
        <f>DN128-DL128</f>
        <v>0</v>
      </c>
      <c r="DN128" s="1285">
        <v>0</v>
      </c>
      <c r="DO128" s="1074">
        <v>0</v>
      </c>
      <c r="DP128" s="317">
        <f t="shared" si="1011"/>
        <v>0</v>
      </c>
      <c r="DQ128" s="1074"/>
      <c r="DR128" s="1104"/>
      <c r="DS128" s="2028">
        <v>0</v>
      </c>
      <c r="DT128" s="1074"/>
      <c r="DU128" s="343"/>
      <c r="DV128" s="1074"/>
      <c r="DW128" s="1074"/>
      <c r="DX128" s="1074"/>
      <c r="DY128" s="1104"/>
      <c r="DZ128" s="1074"/>
      <c r="EA128" s="1074"/>
      <c r="EB128" s="343"/>
      <c r="EC128" s="1074"/>
      <c r="ED128" s="1074"/>
      <c r="EE128" s="1074"/>
      <c r="EF128" s="1104"/>
      <c r="EG128" s="1074"/>
      <c r="EH128" s="1074"/>
      <c r="EI128" s="343"/>
      <c r="EJ128" s="1074"/>
      <c r="EK128" s="1074"/>
      <c r="EL128" s="1074"/>
      <c r="EM128" s="1104"/>
      <c r="EN128" s="1074"/>
      <c r="EO128" s="1074"/>
      <c r="EP128" s="343"/>
      <c r="EQ128" s="1074"/>
      <c r="ER128" s="1074"/>
      <c r="ES128" s="1074"/>
      <c r="ET128" s="1104"/>
      <c r="EU128" s="1074"/>
      <c r="EV128" s="1074"/>
      <c r="EW128" s="343"/>
    </row>
    <row r="129" spans="1:153" ht="10.199999999999999" customHeight="1">
      <c r="A129" s="108" t="s">
        <v>324</v>
      </c>
      <c r="B129" s="812"/>
      <c r="C129" s="812"/>
      <c r="D129" s="812"/>
      <c r="E129" s="812"/>
      <c r="F129" s="812"/>
      <c r="G129" s="812"/>
      <c r="H129" s="812"/>
      <c r="I129" s="812"/>
      <c r="J129" s="812"/>
      <c r="K129" s="812"/>
      <c r="L129" s="812"/>
      <c r="M129" s="812"/>
      <c r="N129" s="1074">
        <v>12</v>
      </c>
      <c r="O129" s="317">
        <f t="shared" si="996"/>
        <v>-2</v>
      </c>
      <c r="P129" s="917">
        <f>15-N129-O129</f>
        <v>5</v>
      </c>
      <c r="Q129" s="964">
        <f>S129-P129</f>
        <v>2</v>
      </c>
      <c r="R129" s="1074">
        <v>10</v>
      </c>
      <c r="S129" s="1074">
        <f>T129-R129</f>
        <v>7</v>
      </c>
      <c r="T129" s="1285">
        <v>17</v>
      </c>
      <c r="U129" s="1074">
        <v>16</v>
      </c>
      <c r="V129" s="317">
        <f t="shared" si="997"/>
        <v>9</v>
      </c>
      <c r="W129" s="917">
        <f>33-U129-V129</f>
        <v>8</v>
      </c>
      <c r="X129" s="964">
        <f>Z129-W129</f>
        <v>27</v>
      </c>
      <c r="Y129" s="1074">
        <v>25</v>
      </c>
      <c r="Z129" s="1074">
        <f>AA129-Y129</f>
        <v>35</v>
      </c>
      <c r="AA129" s="1285">
        <v>60</v>
      </c>
      <c r="AB129" s="1074">
        <v>10</v>
      </c>
      <c r="AC129" s="317">
        <f t="shared" si="998"/>
        <v>8</v>
      </c>
      <c r="AD129" s="917">
        <f>28-AB129-AC129</f>
        <v>10</v>
      </c>
      <c r="AE129" s="964">
        <f>AG129-AD129</f>
        <v>24</v>
      </c>
      <c r="AF129" s="1074">
        <v>18</v>
      </c>
      <c r="AG129" s="1074">
        <f>AH129-AF129</f>
        <v>34</v>
      </c>
      <c r="AH129" s="1285">
        <v>52</v>
      </c>
      <c r="AI129" s="1074">
        <v>6</v>
      </c>
      <c r="AJ129" s="317">
        <f t="shared" si="999"/>
        <v>9</v>
      </c>
      <c r="AK129" s="917">
        <f>28-AI129-AJ129</f>
        <v>13</v>
      </c>
      <c r="AL129" s="964">
        <f>AN129-AK129</f>
        <v>4</v>
      </c>
      <c r="AM129" s="1074">
        <v>15</v>
      </c>
      <c r="AN129" s="1074">
        <f>AO129-AM129</f>
        <v>17</v>
      </c>
      <c r="AO129" s="1285">
        <v>32</v>
      </c>
      <c r="AP129" s="1074">
        <v>3</v>
      </c>
      <c r="AQ129" s="317">
        <f t="shared" si="1000"/>
        <v>5</v>
      </c>
      <c r="AR129" s="917">
        <f>17-AP129-AQ129</f>
        <v>9</v>
      </c>
      <c r="AS129" s="964">
        <f>AU129-AR129</f>
        <v>10</v>
      </c>
      <c r="AT129" s="1074">
        <v>8</v>
      </c>
      <c r="AU129" s="1074">
        <f>AV129-AT129</f>
        <v>19</v>
      </c>
      <c r="AV129" s="1285">
        <v>27</v>
      </c>
      <c r="AW129" s="1074">
        <v>3</v>
      </c>
      <c r="AX129" s="317">
        <f t="shared" si="1001"/>
        <v>5</v>
      </c>
      <c r="AY129" s="917">
        <f>17-AW129-AX129</f>
        <v>9</v>
      </c>
      <c r="AZ129" s="964">
        <f>BB129-AY129</f>
        <v>10</v>
      </c>
      <c r="BA129" s="1074">
        <v>8</v>
      </c>
      <c r="BB129" s="1074">
        <f>BC129-BA129</f>
        <v>19</v>
      </c>
      <c r="BC129" s="1285">
        <v>27</v>
      </c>
      <c r="BD129" s="1074">
        <v>3</v>
      </c>
      <c r="BE129" s="317">
        <f t="shared" si="1002"/>
        <v>3</v>
      </c>
      <c r="BF129" s="917">
        <f>9-BD129-BE129</f>
        <v>3</v>
      </c>
      <c r="BG129" s="964">
        <f>BI129-BF129</f>
        <v>3</v>
      </c>
      <c r="BH129" s="1074">
        <v>6</v>
      </c>
      <c r="BI129" s="1074">
        <f>BJ129-BH129</f>
        <v>6</v>
      </c>
      <c r="BJ129" s="1285">
        <v>12</v>
      </c>
      <c r="BK129" s="1074">
        <v>23</v>
      </c>
      <c r="BL129" s="317">
        <f t="shared" si="1003"/>
        <v>-6</v>
      </c>
      <c r="BM129" s="917">
        <f>24-BK129-BL129</f>
        <v>7</v>
      </c>
      <c r="BN129" s="964">
        <f>BP129-BM129</f>
        <v>12</v>
      </c>
      <c r="BO129" s="1074">
        <v>17</v>
      </c>
      <c r="BP129" s="1074">
        <f>BQ129-BO129</f>
        <v>19</v>
      </c>
      <c r="BQ129" s="1285">
        <v>36</v>
      </c>
      <c r="BR129" s="1074">
        <v>23</v>
      </c>
      <c r="BS129" s="317">
        <f t="shared" si="1004"/>
        <v>-6</v>
      </c>
      <c r="BT129" s="917">
        <f>24-BR129-BS129</f>
        <v>7</v>
      </c>
      <c r="BU129" s="964">
        <f>BW129-BT129</f>
        <v>12</v>
      </c>
      <c r="BV129" s="1074">
        <v>17</v>
      </c>
      <c r="BW129" s="1074">
        <f>BX129-BV129</f>
        <v>19</v>
      </c>
      <c r="BX129" s="1285">
        <v>36</v>
      </c>
      <c r="BY129" s="1074">
        <v>8</v>
      </c>
      <c r="BZ129" s="317">
        <f t="shared" si="1005"/>
        <v>12</v>
      </c>
      <c r="CA129" s="917">
        <f>52-BY129-BZ129</f>
        <v>32</v>
      </c>
      <c r="CB129" s="964">
        <f>CD129-CA129</f>
        <v>19</v>
      </c>
      <c r="CC129" s="1074">
        <v>20</v>
      </c>
      <c r="CD129" s="1074">
        <f>CE129-CC129</f>
        <v>51</v>
      </c>
      <c r="CE129" s="1285">
        <v>71</v>
      </c>
      <c r="CF129" s="1074">
        <v>15</v>
      </c>
      <c r="CG129" s="317">
        <f t="shared" si="1006"/>
        <v>47</v>
      </c>
      <c r="CH129" s="917">
        <f>93-CF129-CG129</f>
        <v>31</v>
      </c>
      <c r="CI129" s="964">
        <f>CK129-CH129</f>
        <v>57</v>
      </c>
      <c r="CJ129" s="1074">
        <v>62</v>
      </c>
      <c r="CK129" s="1074">
        <f>CL129-CJ129</f>
        <v>88</v>
      </c>
      <c r="CL129" s="1285">
        <v>150</v>
      </c>
      <c r="CM129" s="1074">
        <v>26</v>
      </c>
      <c r="CN129" s="317">
        <f t="shared" si="1007"/>
        <v>11</v>
      </c>
      <c r="CO129" s="917">
        <f>83-CM129-CN129</f>
        <v>46</v>
      </c>
      <c r="CP129" s="964">
        <f>CR129-CO129</f>
        <v>63</v>
      </c>
      <c r="CQ129" s="1074">
        <v>37</v>
      </c>
      <c r="CR129" s="1074">
        <f>CS129-CQ129</f>
        <v>109</v>
      </c>
      <c r="CS129" s="1285">
        <v>146</v>
      </c>
      <c r="CT129" s="1074">
        <v>52</v>
      </c>
      <c r="CU129" s="317">
        <f t="shared" si="1008"/>
        <v>49</v>
      </c>
      <c r="CV129" s="917">
        <f>154-CT129-CU129</f>
        <v>53</v>
      </c>
      <c r="CW129" s="964">
        <f>CY129-CV129</f>
        <v>78</v>
      </c>
      <c r="CX129" s="1074">
        <v>101</v>
      </c>
      <c r="CY129" s="1074">
        <f>CZ129-CX129</f>
        <v>131</v>
      </c>
      <c r="CZ129" s="1285">
        <v>232</v>
      </c>
      <c r="DA129" s="1074">
        <v>37</v>
      </c>
      <c r="DB129" s="317">
        <f t="shared" si="1009"/>
        <v>53</v>
      </c>
      <c r="DC129" s="917">
        <f>128-DA129-DB129</f>
        <v>38</v>
      </c>
      <c r="DD129" s="964">
        <f>DF129-DC129</f>
        <v>75</v>
      </c>
      <c r="DE129" s="1074">
        <v>90</v>
      </c>
      <c r="DF129" s="1074">
        <f>DG129-DE129</f>
        <v>113</v>
      </c>
      <c r="DG129" s="1285">
        <v>203</v>
      </c>
      <c r="DH129" s="1074">
        <v>17</v>
      </c>
      <c r="DI129" s="317">
        <f t="shared" si="1010"/>
        <v>19</v>
      </c>
      <c r="DJ129" s="917">
        <f>55-DH129-DI129</f>
        <v>19</v>
      </c>
      <c r="DK129" s="964">
        <f>DM129-DJ129</f>
        <v>18</v>
      </c>
      <c r="DL129" s="2087">
        <v>36</v>
      </c>
      <c r="DM129" s="1074">
        <f>DN129-DL129</f>
        <v>37</v>
      </c>
      <c r="DN129" s="1285">
        <v>73</v>
      </c>
      <c r="DO129" s="1074">
        <v>9</v>
      </c>
      <c r="DP129" s="317">
        <f t="shared" si="1011"/>
        <v>11</v>
      </c>
      <c r="DQ129" s="1074"/>
      <c r="DR129" s="1104"/>
      <c r="DS129" s="2028">
        <v>20</v>
      </c>
      <c r="DT129" s="1074"/>
      <c r="DU129" s="343"/>
      <c r="DV129" s="1074"/>
      <c r="DW129" s="1074"/>
      <c r="DX129" s="1074"/>
      <c r="DY129" s="1104"/>
      <c r="DZ129" s="1074"/>
      <c r="EA129" s="1074"/>
      <c r="EB129" s="343"/>
      <c r="EC129" s="1074"/>
      <c r="ED129" s="1074"/>
      <c r="EE129" s="1074"/>
      <c r="EF129" s="1104"/>
      <c r="EG129" s="1074"/>
      <c r="EH129" s="1074"/>
      <c r="EI129" s="343"/>
      <c r="EJ129" s="1074"/>
      <c r="EK129" s="1074"/>
      <c r="EL129" s="1074"/>
      <c r="EM129" s="1104"/>
      <c r="EN129" s="1074"/>
      <c r="EO129" s="1074"/>
      <c r="EP129" s="343"/>
      <c r="EQ129" s="1074"/>
      <c r="ER129" s="1074"/>
      <c r="ES129" s="1074"/>
      <c r="ET129" s="1104"/>
      <c r="EU129" s="1074"/>
      <c r="EV129" s="1074"/>
      <c r="EW129" s="343"/>
    </row>
    <row r="130" spans="1:153" ht="10.199999999999999" customHeight="1">
      <c r="A130" s="108" t="s">
        <v>400</v>
      </c>
      <c r="B130" s="812"/>
      <c r="C130" s="812"/>
      <c r="D130" s="812"/>
      <c r="E130" s="812"/>
      <c r="F130" s="812"/>
      <c r="G130" s="812"/>
      <c r="H130" s="812"/>
      <c r="I130" s="812"/>
      <c r="J130" s="812"/>
      <c r="K130" s="812"/>
      <c r="L130" s="812"/>
      <c r="M130" s="812"/>
      <c r="N130" s="1074">
        <v>0</v>
      </c>
      <c r="O130" s="317">
        <f t="shared" si="996"/>
        <v>0</v>
      </c>
      <c r="P130" s="1074">
        <v>0</v>
      </c>
      <c r="Q130" s="964">
        <f>S130-P130</f>
        <v>0</v>
      </c>
      <c r="R130" s="1074">
        <v>0</v>
      </c>
      <c r="S130" s="1074">
        <f>T130-R130</f>
        <v>0</v>
      </c>
      <c r="T130" s="1286">
        <v>0</v>
      </c>
      <c r="U130" s="1074">
        <v>0</v>
      </c>
      <c r="V130" s="317">
        <f t="shared" si="997"/>
        <v>0</v>
      </c>
      <c r="W130" s="1074">
        <v>0</v>
      </c>
      <c r="X130" s="964">
        <f>Z130-W130</f>
        <v>2</v>
      </c>
      <c r="Y130" s="1074">
        <v>0</v>
      </c>
      <c r="Z130" s="1074">
        <f>AA130-Y130</f>
        <v>2</v>
      </c>
      <c r="AA130" s="1286">
        <f>AA131-AA129-AA128-AA127</f>
        <v>2</v>
      </c>
      <c r="AB130" s="1074">
        <v>0</v>
      </c>
      <c r="AC130" s="317">
        <f t="shared" si="998"/>
        <v>0</v>
      </c>
      <c r="AD130" s="1074">
        <v>0</v>
      </c>
      <c r="AE130" s="964">
        <f>AG130-AD130</f>
        <v>0</v>
      </c>
      <c r="AF130" s="1074">
        <v>0</v>
      </c>
      <c r="AG130" s="1074">
        <f>AH130-AF130</f>
        <v>0</v>
      </c>
      <c r="AH130" s="1286">
        <f>AH131-AH129-AH128-AH127</f>
        <v>0</v>
      </c>
      <c r="AI130" s="1074">
        <v>0</v>
      </c>
      <c r="AJ130" s="317">
        <f t="shared" si="999"/>
        <v>0</v>
      </c>
      <c r="AK130" s="1074">
        <v>0</v>
      </c>
      <c r="AL130" s="964">
        <f>AN130-AK130</f>
        <v>0</v>
      </c>
      <c r="AM130" s="1074">
        <v>0</v>
      </c>
      <c r="AN130" s="1074">
        <f>AO130-AM130</f>
        <v>0</v>
      </c>
      <c r="AO130" s="1286">
        <f>AO131-AO129-AO128-AO127</f>
        <v>0</v>
      </c>
      <c r="AP130" s="1074">
        <v>0</v>
      </c>
      <c r="AQ130" s="317">
        <f t="shared" si="1000"/>
        <v>0</v>
      </c>
      <c r="AR130" s="1074">
        <v>0</v>
      </c>
      <c r="AS130" s="964">
        <f>AU130-AR130</f>
        <v>0</v>
      </c>
      <c r="AT130" s="1074">
        <v>0</v>
      </c>
      <c r="AU130" s="1074">
        <f>AV130-AT130</f>
        <v>0</v>
      </c>
      <c r="AV130" s="1286">
        <f>AV131-AV129-AV128-AV127</f>
        <v>0</v>
      </c>
      <c r="AW130" s="1074">
        <v>0</v>
      </c>
      <c r="AX130" s="317">
        <f t="shared" si="1001"/>
        <v>0</v>
      </c>
      <c r="AY130" s="1074">
        <v>0</v>
      </c>
      <c r="AZ130" s="964">
        <f>BB130-AY130</f>
        <v>0</v>
      </c>
      <c r="BA130" s="1074">
        <v>0</v>
      </c>
      <c r="BB130" s="1074">
        <f>BC130-BA130</f>
        <v>0</v>
      </c>
      <c r="BC130" s="1286">
        <v>0</v>
      </c>
      <c r="BD130" s="1074">
        <v>0</v>
      </c>
      <c r="BE130" s="317">
        <f t="shared" si="1002"/>
        <v>0</v>
      </c>
      <c r="BF130" s="1074">
        <v>0</v>
      </c>
      <c r="BG130" s="964">
        <f>BI130-BF130</f>
        <v>0</v>
      </c>
      <c r="BH130" s="1074">
        <v>0</v>
      </c>
      <c r="BI130" s="1074">
        <f>BJ130-BH130</f>
        <v>0</v>
      </c>
      <c r="BJ130" s="1286">
        <v>0</v>
      </c>
      <c r="BK130" s="1074">
        <v>0</v>
      </c>
      <c r="BL130" s="317">
        <f t="shared" si="1003"/>
        <v>0</v>
      </c>
      <c r="BM130" s="1074">
        <v>0</v>
      </c>
      <c r="BN130" s="964">
        <f>BP130-BM130</f>
        <v>1</v>
      </c>
      <c r="BO130" s="1074">
        <v>0</v>
      </c>
      <c r="BP130" s="1074">
        <f>BQ130-BO130</f>
        <v>1</v>
      </c>
      <c r="BQ130" s="1286">
        <v>1</v>
      </c>
      <c r="BR130" s="1074">
        <v>0</v>
      </c>
      <c r="BS130" s="317">
        <f t="shared" si="1004"/>
        <v>0</v>
      </c>
      <c r="BT130" s="1074">
        <v>0</v>
      </c>
      <c r="BU130" s="964">
        <f>BW130-BT130</f>
        <v>0</v>
      </c>
      <c r="BV130" s="1074">
        <v>0</v>
      </c>
      <c r="BW130" s="1074">
        <f>BX130-BV130</f>
        <v>0</v>
      </c>
      <c r="BX130" s="1286">
        <v>0</v>
      </c>
      <c r="BY130" s="1074">
        <v>0</v>
      </c>
      <c r="BZ130" s="317">
        <f t="shared" si="1005"/>
        <v>0</v>
      </c>
      <c r="CA130" s="1074">
        <v>0</v>
      </c>
      <c r="CB130" s="964">
        <f>CD130-CA130</f>
        <v>0</v>
      </c>
      <c r="CC130" s="1074">
        <v>0</v>
      </c>
      <c r="CD130" s="1074">
        <f>CE130-CC130</f>
        <v>0</v>
      </c>
      <c r="CE130" s="1286">
        <v>0</v>
      </c>
      <c r="CF130" s="1074">
        <v>0</v>
      </c>
      <c r="CG130" s="317">
        <f t="shared" si="1006"/>
        <v>0</v>
      </c>
      <c r="CH130" s="1074">
        <v>0</v>
      </c>
      <c r="CI130" s="964">
        <f>CK130-CH130</f>
        <v>0</v>
      </c>
      <c r="CJ130" s="1074">
        <v>0</v>
      </c>
      <c r="CK130" s="1074">
        <f>CL130-CJ130</f>
        <v>0</v>
      </c>
      <c r="CL130" s="1286">
        <v>0</v>
      </c>
      <c r="CM130" s="1074">
        <v>0</v>
      </c>
      <c r="CN130" s="317">
        <f t="shared" si="1007"/>
        <v>0</v>
      </c>
      <c r="CO130" s="1074">
        <v>0</v>
      </c>
      <c r="CP130" s="964">
        <f>CR130-CO130</f>
        <v>0</v>
      </c>
      <c r="CQ130" s="1074">
        <v>0</v>
      </c>
      <c r="CR130" s="1074">
        <f>CS130-CQ130</f>
        <v>0</v>
      </c>
      <c r="CS130" s="1286">
        <v>0</v>
      </c>
      <c r="CT130" s="1074">
        <v>0</v>
      </c>
      <c r="CU130" s="317">
        <f t="shared" si="1008"/>
        <v>0</v>
      </c>
      <c r="CV130" s="1074">
        <v>0</v>
      </c>
      <c r="CW130" s="964">
        <f>CY130-CV130</f>
        <v>0</v>
      </c>
      <c r="CX130" s="1074">
        <v>0</v>
      </c>
      <c r="CY130" s="1074">
        <f>CZ130-CX130</f>
        <v>0</v>
      </c>
      <c r="CZ130" s="1286">
        <v>0</v>
      </c>
      <c r="DA130" s="1074">
        <v>0</v>
      </c>
      <c r="DB130" s="317">
        <f t="shared" si="1009"/>
        <v>0</v>
      </c>
      <c r="DC130" s="1074">
        <v>0</v>
      </c>
      <c r="DD130" s="964">
        <f>DF130-DC130</f>
        <v>0</v>
      </c>
      <c r="DE130" s="1074">
        <v>0</v>
      </c>
      <c r="DF130" s="1074">
        <f>DG130-DE130</f>
        <v>0</v>
      </c>
      <c r="DG130" s="1286">
        <v>0</v>
      </c>
      <c r="DH130" s="917">
        <v>0</v>
      </c>
      <c r="DI130" s="317">
        <f t="shared" si="1010"/>
        <v>0</v>
      </c>
      <c r="DJ130" s="1074">
        <v>0</v>
      </c>
      <c r="DK130" s="964">
        <f>DM130-DJ130</f>
        <v>0</v>
      </c>
      <c r="DL130" s="2087">
        <v>0</v>
      </c>
      <c r="DM130" s="1074">
        <f>DN130-DL130</f>
        <v>0</v>
      </c>
      <c r="DN130" s="1286">
        <v>0</v>
      </c>
      <c r="DO130" s="917">
        <v>0</v>
      </c>
      <c r="DP130" s="317">
        <f t="shared" si="1011"/>
        <v>0</v>
      </c>
      <c r="DQ130" s="917"/>
      <c r="DR130" s="964"/>
      <c r="DS130" s="2029">
        <v>0</v>
      </c>
      <c r="DT130" s="917"/>
      <c r="DU130" s="343"/>
      <c r="DV130" s="917"/>
      <c r="DW130" s="917"/>
      <c r="DX130" s="917"/>
      <c r="DY130" s="964"/>
      <c r="DZ130" s="917"/>
      <c r="EA130" s="917"/>
      <c r="EB130" s="343"/>
      <c r="EC130" s="917"/>
      <c r="ED130" s="917"/>
      <c r="EE130" s="917"/>
      <c r="EF130" s="964"/>
      <c r="EG130" s="917"/>
      <c r="EH130" s="917"/>
      <c r="EI130" s="343"/>
      <c r="EJ130" s="917"/>
      <c r="EK130" s="917"/>
      <c r="EL130" s="917"/>
      <c r="EM130" s="964"/>
      <c r="EN130" s="917"/>
      <c r="EO130" s="917"/>
      <c r="EP130" s="343"/>
      <c r="EQ130" s="917"/>
      <c r="ER130" s="917"/>
      <c r="ES130" s="917"/>
      <c r="ET130" s="964"/>
      <c r="EU130" s="917"/>
      <c r="EV130" s="917"/>
      <c r="EW130" s="343"/>
    </row>
    <row r="131" spans="1:153" ht="10.199999999999999" customHeight="1">
      <c r="A131" s="48" t="s">
        <v>401</v>
      </c>
      <c r="B131" s="812"/>
      <c r="C131" s="812"/>
      <c r="D131" s="812"/>
      <c r="E131" s="812"/>
      <c r="F131" s="812"/>
      <c r="G131" s="812"/>
      <c r="H131" s="812"/>
      <c r="I131" s="812"/>
      <c r="J131" s="812"/>
      <c r="K131" s="812"/>
      <c r="L131" s="812"/>
      <c r="M131" s="812"/>
      <c r="N131" s="58">
        <f t="shared" ref="N131:S131" si="1012">SUM(N127:N130)</f>
        <v>106</v>
      </c>
      <c r="O131" s="58">
        <f t="shared" si="1012"/>
        <v>136</v>
      </c>
      <c r="P131" s="58">
        <f t="shared" si="1012"/>
        <v>95</v>
      </c>
      <c r="Q131" s="1288">
        <f t="shared" si="1012"/>
        <v>80</v>
      </c>
      <c r="R131" s="58">
        <f t="shared" si="1012"/>
        <v>242</v>
      </c>
      <c r="S131" s="58">
        <f t="shared" si="1012"/>
        <v>175</v>
      </c>
      <c r="T131" s="1287">
        <f>T135</f>
        <v>417</v>
      </c>
      <c r="U131" s="58">
        <f t="shared" ref="U131:X131" si="1013">SUM(U127:U130)</f>
        <v>78</v>
      </c>
      <c r="V131" s="58">
        <f t="shared" si="1013"/>
        <v>51</v>
      </c>
      <c r="W131" s="58">
        <f t="shared" si="1013"/>
        <v>29</v>
      </c>
      <c r="X131" s="1288">
        <f t="shared" si="1013"/>
        <v>67</v>
      </c>
      <c r="Y131" s="58">
        <f t="shared" ref="Y131:Z131" si="1014">SUM(Y127:Y130)</f>
        <v>129</v>
      </c>
      <c r="Z131" s="58">
        <f t="shared" si="1014"/>
        <v>96</v>
      </c>
      <c r="AA131" s="1287">
        <f>AA135</f>
        <v>225</v>
      </c>
      <c r="AB131" s="58">
        <f t="shared" ref="AB131:AG131" si="1015">SUM(AB127:AB130)</f>
        <v>38</v>
      </c>
      <c r="AC131" s="58">
        <f t="shared" si="1015"/>
        <v>38</v>
      </c>
      <c r="AD131" s="58">
        <f t="shared" si="1015"/>
        <v>100</v>
      </c>
      <c r="AE131" s="1288">
        <f t="shared" si="1015"/>
        <v>-22</v>
      </c>
      <c r="AF131" s="58">
        <f t="shared" si="1015"/>
        <v>76</v>
      </c>
      <c r="AG131" s="58">
        <f t="shared" si="1015"/>
        <v>78</v>
      </c>
      <c r="AH131" s="1287">
        <f>AH135</f>
        <v>154</v>
      </c>
      <c r="AI131" s="58">
        <f t="shared" ref="AI131:AN131" si="1016">SUM(AI127:AI130)</f>
        <v>51</v>
      </c>
      <c r="AJ131" s="58">
        <f t="shared" si="1016"/>
        <v>61</v>
      </c>
      <c r="AK131" s="58">
        <f t="shared" si="1016"/>
        <v>66</v>
      </c>
      <c r="AL131" s="1288">
        <f t="shared" si="1016"/>
        <v>133</v>
      </c>
      <c r="AM131" s="58">
        <f t="shared" si="1016"/>
        <v>112</v>
      </c>
      <c r="AN131" s="58">
        <f t="shared" si="1016"/>
        <v>199</v>
      </c>
      <c r="AO131" s="1287">
        <f>AO135</f>
        <v>311</v>
      </c>
      <c r="AP131" s="58">
        <f t="shared" ref="AP131:AS131" si="1017">SUM(AP127:AP130)</f>
        <v>61</v>
      </c>
      <c r="AQ131" s="58">
        <f t="shared" si="1017"/>
        <v>88</v>
      </c>
      <c r="AR131" s="58">
        <f t="shared" si="1017"/>
        <v>54</v>
      </c>
      <c r="AS131" s="1288">
        <f t="shared" si="1017"/>
        <v>16</v>
      </c>
      <c r="AT131" s="58">
        <f t="shared" ref="AT131:AU131" si="1018">SUM(AT127:AT130)</f>
        <v>149</v>
      </c>
      <c r="AU131" s="58">
        <f t="shared" si="1018"/>
        <v>70</v>
      </c>
      <c r="AV131" s="1287">
        <v>219</v>
      </c>
      <c r="AW131" s="58">
        <f t="shared" ref="AW131:AZ131" si="1019">SUM(AW127:AW130)</f>
        <v>61</v>
      </c>
      <c r="AX131" s="58">
        <f t="shared" si="1019"/>
        <v>88</v>
      </c>
      <c r="AY131" s="58">
        <f t="shared" si="1019"/>
        <v>54</v>
      </c>
      <c r="AZ131" s="1288">
        <f t="shared" si="1019"/>
        <v>16</v>
      </c>
      <c r="BA131" s="58">
        <f t="shared" ref="BA131:BB131" si="1020">SUM(BA127:BA130)</f>
        <v>149</v>
      </c>
      <c r="BB131" s="58">
        <f t="shared" si="1020"/>
        <v>70</v>
      </c>
      <c r="BC131" s="1287">
        <f>+SUM(BC127:BC130)</f>
        <v>219</v>
      </c>
      <c r="BD131" s="58">
        <f t="shared" ref="BD131:BG131" si="1021">SUM(BD127:BD130)</f>
        <v>18</v>
      </c>
      <c r="BE131" s="58">
        <f t="shared" si="1021"/>
        <v>22</v>
      </c>
      <c r="BF131" s="58">
        <f t="shared" si="1021"/>
        <v>21</v>
      </c>
      <c r="BG131" s="1288">
        <f t="shared" si="1021"/>
        <v>30</v>
      </c>
      <c r="BH131" s="58">
        <f t="shared" ref="BH131:BI131" si="1022">SUM(BH127:BH130)</f>
        <v>40</v>
      </c>
      <c r="BI131" s="58">
        <f t="shared" si="1022"/>
        <v>51</v>
      </c>
      <c r="BJ131" s="1287">
        <f>+SUM(BJ127:BJ130)</f>
        <v>91</v>
      </c>
      <c r="BK131" s="58">
        <f t="shared" ref="BK131:BP131" si="1023">SUM(BK127:BK130)</f>
        <v>27</v>
      </c>
      <c r="BL131" s="58">
        <f t="shared" si="1023"/>
        <v>18</v>
      </c>
      <c r="BM131" s="58">
        <f t="shared" si="1023"/>
        <v>33</v>
      </c>
      <c r="BN131" s="1288">
        <f t="shared" si="1023"/>
        <v>56</v>
      </c>
      <c r="BO131" s="58">
        <f t="shared" si="1023"/>
        <v>45</v>
      </c>
      <c r="BP131" s="58">
        <f t="shared" si="1023"/>
        <v>89</v>
      </c>
      <c r="BQ131" s="1287">
        <f>+SUM(BQ127:BQ130)</f>
        <v>134</v>
      </c>
      <c r="BR131" s="58">
        <f t="shared" ref="BR131:BW131" si="1024">SUM(BR127:BR130)</f>
        <v>27</v>
      </c>
      <c r="BS131" s="58">
        <f t="shared" si="1024"/>
        <v>18</v>
      </c>
      <c r="BT131" s="58">
        <f t="shared" si="1024"/>
        <v>33</v>
      </c>
      <c r="BU131" s="1288">
        <f t="shared" si="1024"/>
        <v>55</v>
      </c>
      <c r="BV131" s="58">
        <f t="shared" si="1024"/>
        <v>45</v>
      </c>
      <c r="BW131" s="58">
        <f t="shared" si="1024"/>
        <v>88</v>
      </c>
      <c r="BX131" s="1287">
        <f>+SUM(BX127:BX130)</f>
        <v>133</v>
      </c>
      <c r="BY131" s="58">
        <f t="shared" ref="BY131:CB131" si="1025">SUM(BY127:BY130)</f>
        <v>35</v>
      </c>
      <c r="BZ131" s="58">
        <f t="shared" si="1025"/>
        <v>-4</v>
      </c>
      <c r="CA131" s="58">
        <f t="shared" si="1025"/>
        <v>37</v>
      </c>
      <c r="CB131" s="1288">
        <f t="shared" si="1025"/>
        <v>33</v>
      </c>
      <c r="CC131" s="58">
        <f t="shared" ref="CC131:CD131" si="1026">SUM(CC127:CC130)</f>
        <v>31</v>
      </c>
      <c r="CD131" s="58">
        <f t="shared" si="1026"/>
        <v>70</v>
      </c>
      <c r="CE131" s="1287">
        <f>+SUM(CE127:CE130)</f>
        <v>101</v>
      </c>
      <c r="CF131" s="58">
        <f t="shared" ref="CF131:CK131" si="1027">SUM(CF127:CF130)</f>
        <v>16</v>
      </c>
      <c r="CG131" s="58">
        <f t="shared" si="1027"/>
        <v>47</v>
      </c>
      <c r="CH131" s="58">
        <f t="shared" si="1027"/>
        <v>31</v>
      </c>
      <c r="CI131" s="1288">
        <f t="shared" si="1027"/>
        <v>58</v>
      </c>
      <c r="CJ131" s="58">
        <f t="shared" si="1027"/>
        <v>63</v>
      </c>
      <c r="CK131" s="58">
        <f t="shared" si="1027"/>
        <v>89</v>
      </c>
      <c r="CL131" s="1287">
        <v>152</v>
      </c>
      <c r="CM131" s="58">
        <f t="shared" ref="CM131:CP131" si="1028">SUM(CM127:CM130)</f>
        <v>42</v>
      </c>
      <c r="CN131" s="58">
        <f t="shared" si="1028"/>
        <v>61</v>
      </c>
      <c r="CO131" s="58">
        <f t="shared" si="1028"/>
        <v>76</v>
      </c>
      <c r="CP131" s="1288">
        <f t="shared" si="1028"/>
        <v>140</v>
      </c>
      <c r="CQ131" s="58">
        <f t="shared" ref="CQ131:CR131" si="1029">SUM(CQ127:CQ130)</f>
        <v>103</v>
      </c>
      <c r="CR131" s="58">
        <f t="shared" si="1029"/>
        <v>216</v>
      </c>
      <c r="CS131" s="1287">
        <v>319</v>
      </c>
      <c r="CT131" s="58">
        <f t="shared" ref="CT131:CZ131" si="1030">SUM(CT127:CT130)</f>
        <v>83</v>
      </c>
      <c r="CU131" s="58">
        <f t="shared" si="1030"/>
        <v>80</v>
      </c>
      <c r="CV131" s="58">
        <f t="shared" si="1030"/>
        <v>90</v>
      </c>
      <c r="CW131" s="1288">
        <f t="shared" si="1030"/>
        <v>125</v>
      </c>
      <c r="CX131" s="58">
        <f t="shared" si="1030"/>
        <v>163</v>
      </c>
      <c r="CY131" s="58">
        <f t="shared" si="1030"/>
        <v>215</v>
      </c>
      <c r="CZ131" s="1287">
        <f t="shared" si="1030"/>
        <v>378</v>
      </c>
      <c r="DA131" s="58">
        <f t="shared" ref="DA131:DD131" si="1031">SUM(DA127:DA130)</f>
        <v>57</v>
      </c>
      <c r="DB131" s="58">
        <f t="shared" si="1031"/>
        <v>107</v>
      </c>
      <c r="DC131" s="58">
        <f t="shared" si="1031"/>
        <v>109</v>
      </c>
      <c r="DD131" s="1288">
        <f t="shared" si="1031"/>
        <v>177</v>
      </c>
      <c r="DE131" s="58">
        <f t="shared" ref="DE131:DF131" si="1032">SUM(DE127:DE130)</f>
        <v>164</v>
      </c>
      <c r="DF131" s="58">
        <f t="shared" si="1032"/>
        <v>286</v>
      </c>
      <c r="DG131" s="1287">
        <f t="shared" ref="DG131:DK131" si="1033">SUM(DG127:DG130)</f>
        <v>450</v>
      </c>
      <c r="DH131" s="58">
        <f t="shared" si="1033"/>
        <v>65</v>
      </c>
      <c r="DI131" s="58">
        <f t="shared" si="1033"/>
        <v>78</v>
      </c>
      <c r="DJ131" s="58">
        <f t="shared" si="1033"/>
        <v>78</v>
      </c>
      <c r="DK131" s="1288">
        <f t="shared" si="1033"/>
        <v>135</v>
      </c>
      <c r="DL131" s="58">
        <f t="shared" ref="DL131:DM131" si="1034">SUM(DL127:DL130)</f>
        <v>143</v>
      </c>
      <c r="DM131" s="58">
        <f t="shared" si="1034"/>
        <v>213</v>
      </c>
      <c r="DN131" s="1287">
        <f t="shared" ref="DN131:DP131" si="1035">SUM(DN127:DN130)</f>
        <v>356</v>
      </c>
      <c r="DO131" s="58">
        <f t="shared" si="1035"/>
        <v>52</v>
      </c>
      <c r="DP131" s="58">
        <f t="shared" si="1035"/>
        <v>70</v>
      </c>
      <c r="DQ131" s="983">
        <f>DQ124*DQ132</f>
        <v>78.162797593505545</v>
      </c>
      <c r="DR131" s="998">
        <f>DT131-DQ131</f>
        <v>150.7598801731192</v>
      </c>
      <c r="DS131" s="2030">
        <f t="shared" ref="DS131" si="1036">SUM(DS127:DS130)</f>
        <v>122</v>
      </c>
      <c r="DT131" s="983">
        <f>DU131-DS131</f>
        <v>228.92267776662476</v>
      </c>
      <c r="DU131" s="971">
        <f>DU124*DU132</f>
        <v>350.92267776662476</v>
      </c>
      <c r="DV131" s="983">
        <f>DV124*DV132</f>
        <v>91.527196158012742</v>
      </c>
      <c r="DW131" s="983">
        <f>DZ131-DV131</f>
        <v>99.862773782607377</v>
      </c>
      <c r="DX131" s="983">
        <f>DX124*DX132</f>
        <v>99.630594021986354</v>
      </c>
      <c r="DY131" s="998">
        <f>EA131-DX131</f>
        <v>109.26686964588478</v>
      </c>
      <c r="DZ131" s="983">
        <f>DZ124*DZ132</f>
        <v>191.38996994062012</v>
      </c>
      <c r="EA131" s="983">
        <f>EB131-DZ131</f>
        <v>208.89746366787114</v>
      </c>
      <c r="EB131" s="971">
        <f>EB124*EB132</f>
        <v>400.28743360849126</v>
      </c>
      <c r="EC131" s="983">
        <f>EC124*EC132</f>
        <v>101.1698591797483</v>
      </c>
      <c r="ED131" s="983">
        <f>EG131-EC131</f>
        <v>110.71528336606167</v>
      </c>
      <c r="EE131" s="983">
        <f>EE124*EE132</f>
        <v>110.39309640702106</v>
      </c>
      <c r="EF131" s="998">
        <f>EH131-EE131</f>
        <v>123.05688207667379</v>
      </c>
      <c r="EG131" s="983">
        <f>EG124*EG132</f>
        <v>211.88514254580997</v>
      </c>
      <c r="EH131" s="983">
        <f>EI131-EG131</f>
        <v>233.44997848369485</v>
      </c>
      <c r="EI131" s="971">
        <f>EI124*EI132</f>
        <v>445.33512102950482</v>
      </c>
      <c r="EJ131" s="983">
        <f>EJ124*EJ132</f>
        <v>110.25675130107832</v>
      </c>
      <c r="EK131" s="983">
        <f>EN131-EJ131</f>
        <v>116.79480680388225</v>
      </c>
      <c r="EL131" s="983">
        <f>EL124*EL132</f>
        <v>116.37049408538795</v>
      </c>
      <c r="EM131" s="998">
        <f>EO131-EL131</f>
        <v>130.45480837553131</v>
      </c>
      <c r="EN131" s="983">
        <f>EN124*EN132</f>
        <v>227.05155810496058</v>
      </c>
      <c r="EO131" s="983">
        <f>EP131-EN131</f>
        <v>246.82530246091926</v>
      </c>
      <c r="EP131" s="971">
        <f>EP124*EP132</f>
        <v>473.87686056587984</v>
      </c>
      <c r="EQ131" s="983">
        <f>EQ124*EQ132</f>
        <v>115.64077936776621</v>
      </c>
      <c r="ER131" s="983">
        <f>EU131-EQ131</f>
        <v>122.91465777171788</v>
      </c>
      <c r="ES131" s="983">
        <f>ES124*ES132</f>
        <v>122.38284684376026</v>
      </c>
      <c r="ET131" s="998">
        <f>EV131-ES131</f>
        <v>137.96585335831128</v>
      </c>
      <c r="EU131" s="983">
        <f>EU124*EU132</f>
        <v>238.5554371394841</v>
      </c>
      <c r="EV131" s="983">
        <f>EW131-EU131</f>
        <v>260.34870020207154</v>
      </c>
      <c r="EW131" s="971">
        <f>EW124*EW132</f>
        <v>498.90413734155567</v>
      </c>
    </row>
    <row r="132" spans="1:153" ht="10.199999999999999" customHeight="1">
      <c r="A132" s="108" t="s">
        <v>402</v>
      </c>
      <c r="B132" s="812"/>
      <c r="C132" s="812"/>
      <c r="D132" s="812"/>
      <c r="E132" s="812"/>
      <c r="F132" s="812"/>
      <c r="G132" s="812"/>
      <c r="H132" s="812"/>
      <c r="I132" s="812"/>
      <c r="J132" s="812"/>
      <c r="K132" s="812"/>
      <c r="L132" s="812"/>
      <c r="M132" s="812"/>
      <c r="N132" s="1067">
        <f t="shared" ref="N132:S132" si="1037">N131/N124</f>
        <v>0.17179902755267423</v>
      </c>
      <c r="O132" s="1067">
        <f t="shared" si="1037"/>
        <v>0.17391304347826086</v>
      </c>
      <c r="P132" s="1067">
        <f t="shared" si="1037"/>
        <v>0.12616201859229748</v>
      </c>
      <c r="Q132" s="1097">
        <f t="shared" si="1037"/>
        <v>8.2815734989648032E-2</v>
      </c>
      <c r="R132" s="1067">
        <f t="shared" si="1037"/>
        <v>0.17298070050035741</v>
      </c>
      <c r="S132" s="1067">
        <f t="shared" si="1037"/>
        <v>0.10180337405468295</v>
      </c>
      <c r="T132" s="1279">
        <f t="shared" ref="T132:BW132" si="1038">T131/T124</f>
        <v>0.1337395766516998</v>
      </c>
      <c r="U132" s="1067">
        <f t="shared" si="1038"/>
        <v>0.10729023383768914</v>
      </c>
      <c r="V132" s="1067">
        <f t="shared" si="1038"/>
        <v>6.093189964157706E-2</v>
      </c>
      <c r="W132" s="1067">
        <f t="shared" si="1038"/>
        <v>3.5714285714285712E-2</v>
      </c>
      <c r="X132" s="1097">
        <f t="shared" si="1038"/>
        <v>6.6009852216748766E-2</v>
      </c>
      <c r="Y132" s="1067">
        <f t="shared" ref="Y132:Z132" si="1039">Y131/Y124</f>
        <v>8.2480818414322254E-2</v>
      </c>
      <c r="Z132" s="1067">
        <f t="shared" si="1039"/>
        <v>5.2545155993431854E-2</v>
      </c>
      <c r="AA132" s="1279">
        <f t="shared" si="1038"/>
        <v>6.6352108522559711E-2</v>
      </c>
      <c r="AB132" s="1067">
        <f t="shared" ref="AB132:AG132" si="1040">AB131/AB124</f>
        <v>5.4208273894436519E-2</v>
      </c>
      <c r="AC132" s="1067">
        <f t="shared" si="1040"/>
        <v>4.7204968944099382E-2</v>
      </c>
      <c r="AD132" s="1067">
        <f t="shared" si="1040"/>
        <v>0.12804097311139565</v>
      </c>
      <c r="AE132" s="1097">
        <f t="shared" si="1040"/>
        <v>-1.8755328218243821E-2</v>
      </c>
      <c r="AF132" s="1067">
        <f t="shared" si="1040"/>
        <v>5.0464807436918988E-2</v>
      </c>
      <c r="AG132" s="1067">
        <f t="shared" si="1040"/>
        <v>3.9918116683725691E-2</v>
      </c>
      <c r="AH132" s="1279">
        <f t="shared" si="1038"/>
        <v>4.4508670520231212E-2</v>
      </c>
      <c r="AI132" s="1067">
        <f t="shared" si="1038"/>
        <v>9.3235831809872036E-2</v>
      </c>
      <c r="AJ132" s="1067">
        <f t="shared" si="1038"/>
        <v>8.0052493438320216E-2</v>
      </c>
      <c r="AK132" s="1067">
        <f t="shared" si="1038"/>
        <v>9.3484419263456089E-2</v>
      </c>
      <c r="AL132" s="1097">
        <f t="shared" si="1038"/>
        <v>0.13926701570680627</v>
      </c>
      <c r="AM132" s="1067">
        <f t="shared" si="1038"/>
        <v>8.5561497326203204E-2</v>
      </c>
      <c r="AN132" s="1067">
        <f t="shared" si="1038"/>
        <v>0.11980734497290789</v>
      </c>
      <c r="AO132" s="1279">
        <f t="shared" si="1038"/>
        <v>0.10471380471380472</v>
      </c>
      <c r="AP132" s="1067">
        <f t="shared" si="1038"/>
        <v>0.11131386861313869</v>
      </c>
      <c r="AQ132" s="1067">
        <f t="shared" si="1038"/>
        <v>0.11891891891891893</v>
      </c>
      <c r="AR132" s="1067">
        <f t="shared" si="1038"/>
        <v>8.5714285714285715E-2</v>
      </c>
      <c r="AS132" s="1097">
        <f t="shared" si="1038"/>
        <v>1.799775028121485E-2</v>
      </c>
      <c r="AT132" s="1067">
        <f t="shared" ref="AT132:AU132" si="1041">AT131/AT124</f>
        <v>0.11568322981366459</v>
      </c>
      <c r="AU132" s="1067">
        <f t="shared" si="1041"/>
        <v>4.6082949308755762E-2</v>
      </c>
      <c r="AV132" s="1279">
        <f t="shared" si="1038"/>
        <v>7.8019237620235132E-2</v>
      </c>
      <c r="AW132" s="1067">
        <f t="shared" ref="AW132:AZ132" si="1042">AW131/AW124</f>
        <v>0.11131386861313869</v>
      </c>
      <c r="AX132" s="1067">
        <f t="shared" si="1042"/>
        <v>0.11891891891891893</v>
      </c>
      <c r="AY132" s="1067">
        <f t="shared" si="1042"/>
        <v>8.5714285714285715E-2</v>
      </c>
      <c r="AZ132" s="1097">
        <f t="shared" si="1042"/>
        <v>1.799775028121485E-2</v>
      </c>
      <c r="BA132" s="1067">
        <f t="shared" ref="BA132:BB132" si="1043">BA131/BA124</f>
        <v>0.11568322981366459</v>
      </c>
      <c r="BB132" s="1067">
        <f t="shared" si="1043"/>
        <v>4.6082949308755762E-2</v>
      </c>
      <c r="BC132" s="1279">
        <f t="shared" si="1038"/>
        <v>7.8019237620235132E-2</v>
      </c>
      <c r="BD132" s="1067">
        <f t="shared" si="1038"/>
        <v>2.922077922077922E-2</v>
      </c>
      <c r="BE132" s="1067">
        <f t="shared" si="1038"/>
        <v>2.795425667090216E-2</v>
      </c>
      <c r="BF132" s="1067">
        <f t="shared" si="1038"/>
        <v>0.03</v>
      </c>
      <c r="BG132" s="1097">
        <f t="shared" si="1038"/>
        <v>2.6929982046678635E-2</v>
      </c>
      <c r="BH132" s="1067">
        <f t="shared" ref="BH132:BI132" si="1044">BH131/BH124</f>
        <v>2.851033499643621E-2</v>
      </c>
      <c r="BI132" s="1067">
        <f t="shared" si="1044"/>
        <v>2.8114663726571114E-2</v>
      </c>
      <c r="BJ132" s="1279">
        <f t="shared" si="1038"/>
        <v>2.8287224121852656E-2</v>
      </c>
      <c r="BK132" s="1067">
        <f t="shared" ref="BK132:BP132" si="1045">BK131/BK124</f>
        <v>4.1284403669724773E-2</v>
      </c>
      <c r="BL132" s="1067">
        <f t="shared" si="1045"/>
        <v>2.3407022106631991E-2</v>
      </c>
      <c r="BM132" s="1067">
        <f t="shared" si="1045"/>
        <v>4.5392022008253097E-2</v>
      </c>
      <c r="BN132" s="1097">
        <f t="shared" si="1045"/>
        <v>4.6357615894039736E-2</v>
      </c>
      <c r="BO132" s="1067">
        <f t="shared" si="1045"/>
        <v>3.1623330990864368E-2</v>
      </c>
      <c r="BP132" s="1067">
        <f t="shared" si="1045"/>
        <v>4.5994832041343671E-2</v>
      </c>
      <c r="BQ132" s="1279">
        <f t="shared" si="1038"/>
        <v>3.9904705181655745E-2</v>
      </c>
      <c r="BR132" s="1067">
        <f t="shared" si="1038"/>
        <v>4.1284403669724773E-2</v>
      </c>
      <c r="BS132" s="1067">
        <f t="shared" si="1038"/>
        <v>2.3407022106631991E-2</v>
      </c>
      <c r="BT132" s="1067">
        <f t="shared" si="1038"/>
        <v>4.5392022008253097E-2</v>
      </c>
      <c r="BU132" s="1097">
        <f t="shared" si="1038"/>
        <v>4.5529801324503308E-2</v>
      </c>
      <c r="BV132" s="1067">
        <f t="shared" si="1038"/>
        <v>3.1623330990864368E-2</v>
      </c>
      <c r="BW132" s="1067">
        <f t="shared" si="1038"/>
        <v>4.5478036175710591E-2</v>
      </c>
      <c r="BX132" s="1279">
        <f t="shared" ref="BX132" si="1046">BX131/BX124</f>
        <v>3.9606908874329959E-2</v>
      </c>
      <c r="BY132" s="1067">
        <f t="shared" ref="BY132:CB132" si="1047">BY131/BY124</f>
        <v>5.2790346907993967E-2</v>
      </c>
      <c r="BZ132" s="1067">
        <f t="shared" si="1047"/>
        <v>-5.4570259208731242E-3</v>
      </c>
      <c r="CA132" s="1067">
        <f t="shared" si="1047"/>
        <v>5.8176100628930819E-2</v>
      </c>
      <c r="CB132" s="1097">
        <f t="shared" si="1047"/>
        <v>3.9951573849878935E-2</v>
      </c>
      <c r="CC132" s="1067">
        <f t="shared" ref="CC132:CD132" si="1048">CC131/CC124</f>
        <v>2.2206303724928367E-2</v>
      </c>
      <c r="CD132" s="1067">
        <f t="shared" si="1048"/>
        <v>4.7879616963064295E-2</v>
      </c>
      <c r="CE132" s="1279">
        <f t="shared" ref="CE132:CY132" si="1049">CE131/CE124</f>
        <v>3.5339398180545836E-2</v>
      </c>
      <c r="CF132" s="1067">
        <f t="shared" si="1049"/>
        <v>2.5806451612903226E-2</v>
      </c>
      <c r="CG132" s="1067">
        <f t="shared" si="1049"/>
        <v>7.3208722741433016E-2</v>
      </c>
      <c r="CH132" s="1067">
        <f t="shared" si="1049"/>
        <v>4.7184170471841702E-2</v>
      </c>
      <c r="CI132" s="1097">
        <f t="shared" si="1049"/>
        <v>7.0133010882708582E-2</v>
      </c>
      <c r="CJ132" s="1067">
        <f t="shared" si="1049"/>
        <v>4.992076069730586E-2</v>
      </c>
      <c r="CK132" s="1067">
        <f t="shared" si="1049"/>
        <v>5.9973045822102423E-2</v>
      </c>
      <c r="CL132" s="1279">
        <f t="shared" si="1049"/>
        <v>5.5353241077931534E-2</v>
      </c>
      <c r="CM132" s="1067">
        <f t="shared" ref="CM132:CP132" si="1050">CM131/CM124</f>
        <v>7.1672354948805458E-2</v>
      </c>
      <c r="CN132" s="1067">
        <f t="shared" si="1050"/>
        <v>9.0236686390532547E-2</v>
      </c>
      <c r="CO132" s="1067">
        <f t="shared" si="1050"/>
        <v>0.10810810810810811</v>
      </c>
      <c r="CP132" s="1097">
        <f t="shared" si="1050"/>
        <v>0.12567324955116696</v>
      </c>
      <c r="CQ132" s="1067">
        <f t="shared" ref="CQ132:CR132" si="1051">CQ131/CQ124</f>
        <v>8.1616481774960378E-2</v>
      </c>
      <c r="CR132" s="1067">
        <f t="shared" si="1051"/>
        <v>0.11887727022564668</v>
      </c>
      <c r="CS132" s="1279">
        <f t="shared" si="1049"/>
        <v>0.10360506658005846</v>
      </c>
      <c r="CT132" s="1067">
        <f t="shared" si="1049"/>
        <v>0.12152269399707175</v>
      </c>
      <c r="CU132" s="1067">
        <f t="shared" si="1049"/>
        <v>0.10695187165775401</v>
      </c>
      <c r="CV132" s="1067">
        <f t="shared" si="1049"/>
        <v>0.12228260869565218</v>
      </c>
      <c r="CW132" s="1097">
        <f t="shared" ref="CW132" si="1052">CW131/CW124</f>
        <v>0.11467889908256881</v>
      </c>
      <c r="CX132" s="1067">
        <f t="shared" si="1049"/>
        <v>0.11390635918937805</v>
      </c>
      <c r="CY132" s="1067">
        <f t="shared" si="1049"/>
        <v>0.11774370208105148</v>
      </c>
      <c r="CZ132" s="1279">
        <f t="shared" ref="CZ132:DD132" si="1053">CZ131/CZ124</f>
        <v>0.11605772182990481</v>
      </c>
      <c r="DA132" s="1067">
        <f t="shared" si="1053"/>
        <v>7.6716016150740238E-2</v>
      </c>
      <c r="DB132" s="1067">
        <f t="shared" si="1053"/>
        <v>0.12588235294117647</v>
      </c>
      <c r="DC132" s="1067">
        <f t="shared" si="1053"/>
        <v>0.14379947229551451</v>
      </c>
      <c r="DD132" s="1097">
        <f t="shared" si="1053"/>
        <v>0.19688542825361513</v>
      </c>
      <c r="DE132" s="1067">
        <f t="shared" ref="DE132:DF132" si="1054">DE131/DE124</f>
        <v>0.1029504080351538</v>
      </c>
      <c r="DF132" s="1067">
        <f t="shared" si="1054"/>
        <v>0.17260108630054316</v>
      </c>
      <c r="DG132" s="1279">
        <f t="shared" ref="DG132:DK132" si="1055">DG131/DG124</f>
        <v>0.13846153846153847</v>
      </c>
      <c r="DH132" s="1067">
        <f t="shared" si="1055"/>
        <v>9.658246656760773E-2</v>
      </c>
      <c r="DI132" s="1067">
        <f t="shared" si="1055"/>
        <v>0.10641200545702592</v>
      </c>
      <c r="DJ132" s="1067">
        <f t="shared" si="1055"/>
        <v>0.10554803788903924</v>
      </c>
      <c r="DK132" s="1097">
        <f t="shared" si="1055"/>
        <v>0.13392857142857142</v>
      </c>
      <c r="DL132" s="1067">
        <f t="shared" ref="DL132:DM132" si="1056">DL131/DL124</f>
        <v>0.10170697012802275</v>
      </c>
      <c r="DM132" s="1067">
        <f t="shared" si="1056"/>
        <v>0.12192329708070979</v>
      </c>
      <c r="DN132" s="1279">
        <f t="shared" ref="DN132:DP132" si="1057">DN131/DN124</f>
        <v>0.11290834126228988</v>
      </c>
      <c r="DO132" s="1067">
        <f t="shared" si="1057"/>
        <v>7.1232876712328766E-2</v>
      </c>
      <c r="DP132" s="1067">
        <f t="shared" si="1057"/>
        <v>9.5108695652173919E-2</v>
      </c>
      <c r="DQ132" s="901">
        <f>DU132</f>
        <v>0.1</v>
      </c>
      <c r="DR132" s="1122">
        <f>DR131/DR124</f>
        <v>0.1194990673471181</v>
      </c>
      <c r="DS132" s="1205">
        <f t="shared" ref="DS132" si="1058">DS131/DS124</f>
        <v>8.3219645293315145E-2</v>
      </c>
      <c r="DT132" s="901">
        <f>DT131/DT124</f>
        <v>0.11203977956284319</v>
      </c>
      <c r="DU132" s="1642">
        <v>0.1</v>
      </c>
      <c r="DV132" s="901">
        <f>EB132</f>
        <v>0.1</v>
      </c>
      <c r="DW132" s="901">
        <f>DW131/DW124</f>
        <v>0.1</v>
      </c>
      <c r="DX132" s="901">
        <f>EB132</f>
        <v>0.1</v>
      </c>
      <c r="DY132" s="1122">
        <f>DY131/DY124</f>
        <v>0.10000000000000002</v>
      </c>
      <c r="DZ132" s="901">
        <f>EB132</f>
        <v>0.1</v>
      </c>
      <c r="EA132" s="901">
        <f>EA131/EA124</f>
        <v>0.1</v>
      </c>
      <c r="EB132" s="1115">
        <f>DU132</f>
        <v>0.1</v>
      </c>
      <c r="EC132" s="901">
        <f>EI132</f>
        <v>0.1</v>
      </c>
      <c r="ED132" s="901">
        <f>ED131/ED124</f>
        <v>0.10000000000000003</v>
      </c>
      <c r="EE132" s="901">
        <f>EI132</f>
        <v>0.1</v>
      </c>
      <c r="EF132" s="1122">
        <f>EF131/EF124</f>
        <v>9.9999999999999978E-2</v>
      </c>
      <c r="EG132" s="901">
        <f>EI132</f>
        <v>0.1</v>
      </c>
      <c r="EH132" s="901">
        <f>EH131/EH124</f>
        <v>0.1</v>
      </c>
      <c r="EI132" s="1115">
        <f>EB132</f>
        <v>0.1</v>
      </c>
      <c r="EJ132" s="901">
        <f>EP132</f>
        <v>0.1</v>
      </c>
      <c r="EK132" s="901">
        <f>EK131/EK124</f>
        <v>0.1</v>
      </c>
      <c r="EL132" s="901">
        <f>EP132</f>
        <v>0.1</v>
      </c>
      <c r="EM132" s="1122">
        <f>EM131/EM124</f>
        <v>0.10000000000000002</v>
      </c>
      <c r="EN132" s="901">
        <f>EP132</f>
        <v>0.1</v>
      </c>
      <c r="EO132" s="901">
        <f>EO131/EO124</f>
        <v>0.1</v>
      </c>
      <c r="EP132" s="1115">
        <f>EI132</f>
        <v>0.1</v>
      </c>
      <c r="EQ132" s="901">
        <f>EW132</f>
        <v>0.1</v>
      </c>
      <c r="ER132" s="901">
        <f>ER131/ER124</f>
        <v>9.9999999999999964E-2</v>
      </c>
      <c r="ES132" s="901">
        <f>EW132</f>
        <v>0.1</v>
      </c>
      <c r="ET132" s="1122">
        <f>ET131/ET124</f>
        <v>0.10000000000000003</v>
      </c>
      <c r="EU132" s="901">
        <f>EW132</f>
        <v>0.1</v>
      </c>
      <c r="EV132" s="901">
        <f>EV131/EV124</f>
        <v>0.10000000000000002</v>
      </c>
      <c r="EW132" s="1115">
        <f>EP132</f>
        <v>0.1</v>
      </c>
    </row>
    <row r="133" spans="1:153" ht="10.199999999999999" customHeight="1">
      <c r="A133" s="43"/>
      <c r="B133" s="812"/>
      <c r="C133" s="812"/>
      <c r="D133" s="812"/>
      <c r="E133" s="812"/>
      <c r="F133" s="812"/>
      <c r="G133" s="812"/>
      <c r="H133" s="812"/>
      <c r="I133" s="812"/>
      <c r="J133" s="812"/>
      <c r="K133" s="812"/>
      <c r="L133" s="812"/>
      <c r="M133" s="812"/>
      <c r="N133" s="1067"/>
      <c r="O133" s="1067"/>
      <c r="P133" s="1067"/>
      <c r="Q133" s="1097"/>
      <c r="R133" s="1067"/>
      <c r="S133" s="1067"/>
      <c r="T133" s="343"/>
      <c r="U133" s="1067"/>
      <c r="V133" s="1067"/>
      <c r="W133" s="1067"/>
      <c r="X133" s="1097"/>
      <c r="Y133" s="1067"/>
      <c r="Z133" s="1067"/>
      <c r="AA133" s="343"/>
      <c r="AB133" s="1067"/>
      <c r="AC133" s="1067"/>
      <c r="AD133" s="1067"/>
      <c r="AE133" s="1097"/>
      <c r="AF133" s="1067"/>
      <c r="AG133" s="1067"/>
      <c r="AH133" s="343"/>
      <c r="AI133" s="1067"/>
      <c r="AJ133" s="1067"/>
      <c r="AK133" s="1067"/>
      <c r="AL133" s="1097"/>
      <c r="AM133" s="1067"/>
      <c r="AN133" s="1067"/>
      <c r="AO133" s="343"/>
      <c r="AP133" s="1067"/>
      <c r="AQ133" s="1067"/>
      <c r="AR133" s="1067"/>
      <c r="AS133" s="1097"/>
      <c r="AT133" s="1067"/>
      <c r="AU133" s="1067"/>
      <c r="AV133" s="343"/>
      <c r="AW133" s="1067"/>
      <c r="AX133" s="1067"/>
      <c r="AY133" s="1067"/>
      <c r="AZ133" s="1097"/>
      <c r="BA133" s="1067"/>
      <c r="BB133" s="1067"/>
      <c r="BC133" s="343"/>
      <c r="BD133" s="1067"/>
      <c r="BE133" s="1067"/>
      <c r="BF133" s="1067"/>
      <c r="BG133" s="1097"/>
      <c r="BH133" s="1067"/>
      <c r="BI133" s="1067"/>
      <c r="BJ133" s="343"/>
      <c r="BK133" s="1067"/>
      <c r="BL133" s="1067"/>
      <c r="BM133" s="1067"/>
      <c r="BN133" s="1097"/>
      <c r="BO133" s="1067"/>
      <c r="BP133" s="1067"/>
      <c r="BQ133" s="343"/>
      <c r="BR133" s="1067"/>
      <c r="BS133" s="1067"/>
      <c r="BT133" s="1067"/>
      <c r="BU133" s="1097"/>
      <c r="BV133" s="1067"/>
      <c r="BW133" s="1067"/>
      <c r="BX133" s="343"/>
      <c r="BY133" s="1067"/>
      <c r="BZ133" s="1067"/>
      <c r="CA133" s="1067"/>
      <c r="CB133" s="1097"/>
      <c r="CC133" s="1067"/>
      <c r="CD133" s="1067"/>
      <c r="CE133" s="343"/>
      <c r="CF133" s="1067"/>
      <c r="CG133" s="1067"/>
      <c r="CH133" s="1067"/>
      <c r="CI133" s="1097"/>
      <c r="CJ133" s="1067"/>
      <c r="CK133" s="1067"/>
      <c r="CL133" s="343"/>
      <c r="CM133" s="1067"/>
      <c r="CN133" s="1067"/>
      <c r="CO133" s="1067"/>
      <c r="CP133" s="1097"/>
      <c r="CQ133" s="1067"/>
      <c r="CR133" s="1067"/>
      <c r="CS133" s="343"/>
      <c r="CT133" s="1067"/>
      <c r="CU133" s="1067"/>
      <c r="CV133" s="1067"/>
      <c r="CW133" s="1097"/>
      <c r="CX133" s="1067"/>
      <c r="CY133" s="1067"/>
      <c r="CZ133" s="343"/>
      <c r="DA133" s="1067"/>
      <c r="DB133" s="1067"/>
      <c r="DC133" s="1067"/>
      <c r="DD133" s="1097"/>
      <c r="DE133" s="1067"/>
      <c r="DF133" s="1067"/>
      <c r="DG133" s="343"/>
      <c r="DH133" s="1067"/>
      <c r="DI133" s="1067"/>
      <c r="DJ133" s="1067"/>
      <c r="DK133" s="1097"/>
      <c r="DL133" s="1067"/>
      <c r="DM133" s="1067"/>
      <c r="DN133" s="343"/>
      <c r="DO133" s="1067"/>
      <c r="DP133" s="1067"/>
      <c r="DQ133" s="1067"/>
      <c r="DR133" s="1097"/>
      <c r="DS133" s="1205"/>
      <c r="DT133" s="1067"/>
      <c r="DU133" s="343"/>
      <c r="DV133" s="1067"/>
      <c r="DW133" s="1067"/>
      <c r="DX133" s="1067"/>
      <c r="DY133" s="1097"/>
      <c r="DZ133" s="1067"/>
      <c r="EA133" s="1067"/>
      <c r="EB133" s="343"/>
      <c r="EC133" s="1067"/>
      <c r="ED133" s="1067"/>
      <c r="EE133" s="1067"/>
      <c r="EF133" s="1097"/>
      <c r="EG133" s="1067"/>
      <c r="EH133" s="1067"/>
      <c r="EI133" s="343"/>
      <c r="EJ133" s="1067"/>
      <c r="EK133" s="1067"/>
      <c r="EL133" s="1067"/>
      <c r="EM133" s="1097"/>
      <c r="EN133" s="1067"/>
      <c r="EO133" s="1067"/>
      <c r="EP133" s="343"/>
      <c r="EQ133" s="1067"/>
      <c r="ER133" s="1067"/>
      <c r="ES133" s="1067"/>
      <c r="ET133" s="1097"/>
      <c r="EU133" s="1067"/>
      <c r="EV133" s="1067"/>
      <c r="EW133" s="343"/>
    </row>
    <row r="134" spans="1:153" ht="10.199999999999999" customHeight="1">
      <c r="A134" s="48" t="s">
        <v>374</v>
      </c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>
        <v>965</v>
      </c>
      <c r="N134" s="319"/>
      <c r="O134" s="319"/>
      <c r="P134" s="319"/>
      <c r="Q134" s="760"/>
      <c r="R134" s="319"/>
      <c r="S134" s="319"/>
      <c r="T134" s="1289">
        <v>1334</v>
      </c>
      <c r="U134" s="319"/>
      <c r="V134" s="319"/>
      <c r="W134" s="319"/>
      <c r="X134" s="760"/>
      <c r="Y134" s="319"/>
      <c r="Z134" s="319"/>
      <c r="AA134" s="1289">
        <f>T138</f>
        <v>1597</v>
      </c>
      <c r="AB134" s="319"/>
      <c r="AC134" s="319"/>
      <c r="AD134" s="319"/>
      <c r="AE134" s="760"/>
      <c r="AF134" s="319"/>
      <c r="AG134" s="319"/>
      <c r="AH134" s="1289">
        <f>AA138</f>
        <v>1688</v>
      </c>
      <c r="AI134" s="319"/>
      <c r="AJ134" s="319"/>
      <c r="AK134" s="319"/>
      <c r="AL134" s="760"/>
      <c r="AM134" s="319"/>
      <c r="AN134" s="319"/>
      <c r="AO134" s="1289">
        <f>AH138</f>
        <v>1659</v>
      </c>
      <c r="AP134" s="319"/>
      <c r="AQ134" s="319"/>
      <c r="AR134" s="319"/>
      <c r="AS134" s="760"/>
      <c r="AT134" s="319"/>
      <c r="AU134" s="319"/>
      <c r="AV134" s="1289">
        <f>AO138</f>
        <v>1707</v>
      </c>
      <c r="AW134" s="319"/>
      <c r="AX134" s="319"/>
      <c r="AY134" s="319"/>
      <c r="AZ134" s="760"/>
      <c r="BA134" s="319"/>
      <c r="BB134" s="319"/>
      <c r="BC134" s="1289">
        <f>+AO138</f>
        <v>1707</v>
      </c>
      <c r="BD134" s="319"/>
      <c r="BE134" s="319"/>
      <c r="BF134" s="319"/>
      <c r="BG134" s="760"/>
      <c r="BH134" s="319"/>
      <c r="BI134" s="319"/>
      <c r="BJ134" s="1289">
        <f>AV138</f>
        <v>1763</v>
      </c>
      <c r="BK134" s="319"/>
      <c r="BL134" s="319"/>
      <c r="BM134" s="319"/>
      <c r="BN134" s="760"/>
      <c r="BO134" s="319"/>
      <c r="BP134" s="319"/>
      <c r="BQ134" s="1289">
        <f>BJ138</f>
        <v>1582</v>
      </c>
      <c r="BR134" s="319"/>
      <c r="BS134" s="319"/>
      <c r="BT134" s="319"/>
      <c r="BU134" s="760"/>
      <c r="BV134" s="319"/>
      <c r="BW134" s="319"/>
      <c r="BX134" s="1289"/>
      <c r="BY134" s="319"/>
      <c r="BZ134" s="319"/>
      <c r="CA134" s="319"/>
      <c r="CB134" s="760"/>
      <c r="CC134" s="319"/>
      <c r="CD134" s="319"/>
      <c r="CE134" s="1289">
        <f>BQ138</f>
        <v>1460</v>
      </c>
      <c r="CF134" s="319"/>
      <c r="CG134" s="319"/>
      <c r="CH134" s="319"/>
      <c r="CI134" s="760"/>
      <c r="CJ134" s="319"/>
      <c r="CK134" s="319"/>
      <c r="CL134" s="1289">
        <f>CE138</f>
        <v>1258</v>
      </c>
      <c r="CM134" s="319"/>
      <c r="CN134" s="319"/>
      <c r="CO134" s="319"/>
      <c r="CP134" s="760"/>
      <c r="CQ134" s="319"/>
      <c r="CR134" s="319"/>
      <c r="CS134" s="1289">
        <f>CL138</f>
        <v>1286</v>
      </c>
      <c r="CT134" s="319"/>
      <c r="CU134" s="319"/>
      <c r="CV134" s="319"/>
      <c r="CW134" s="760"/>
      <c r="CX134" s="319"/>
      <c r="CY134" s="319"/>
      <c r="CZ134" s="1289">
        <f>CS138</f>
        <v>1482</v>
      </c>
      <c r="DA134" s="319"/>
      <c r="DB134" s="319"/>
      <c r="DC134" s="319"/>
      <c r="DD134" s="760"/>
      <c r="DE134" s="319"/>
      <c r="DF134" s="319"/>
      <c r="DG134" s="1289">
        <f>CZ138</f>
        <v>1706</v>
      </c>
      <c r="DH134" s="92">
        <f>DG138</f>
        <v>1631</v>
      </c>
      <c r="DI134" s="92">
        <f>DH138</f>
        <v>1654</v>
      </c>
      <c r="DJ134" s="92">
        <f>DI138</f>
        <v>1690</v>
      </c>
      <c r="DK134" s="1908">
        <f>DJ138</f>
        <v>1726</v>
      </c>
      <c r="DL134" s="92">
        <f>DG138</f>
        <v>1631</v>
      </c>
      <c r="DM134" s="1874">
        <f>DL138</f>
        <v>1690</v>
      </c>
      <c r="DN134" s="1846">
        <f>DG138</f>
        <v>1631</v>
      </c>
      <c r="DO134" s="92">
        <f>DN138</f>
        <v>1790</v>
      </c>
      <c r="DP134" s="92">
        <f>DO138</f>
        <v>1795.9166161687879</v>
      </c>
      <c r="DQ134" s="622">
        <f>DP138</f>
        <v>1819.8332323375757</v>
      </c>
      <c r="DR134" s="623">
        <f>DQ138</f>
        <v>1851.9126460998691</v>
      </c>
      <c r="DS134" s="1874">
        <f>DN138</f>
        <v>1790</v>
      </c>
      <c r="DT134" s="622">
        <f>DS138</f>
        <v>1819.8332323375755</v>
      </c>
      <c r="DU134" s="652">
        <f>DN138</f>
        <v>1790</v>
      </c>
      <c r="DV134" s="622">
        <f>DU138</f>
        <v>1956.5891424417759</v>
      </c>
      <c r="DW134" s="622">
        <f>DV138</f>
        <v>1996.8279504835471</v>
      </c>
      <c r="DX134" s="622">
        <f>DW138</f>
        <v>2045.4023361499128</v>
      </c>
      <c r="DY134" s="623">
        <f>DX138</f>
        <v>2093.7445420556578</v>
      </c>
      <c r="DZ134" s="622">
        <f>DU138</f>
        <v>1956.5891424417759</v>
      </c>
      <c r="EA134" s="622">
        <f>DZ138</f>
        <v>2045.4023361499128</v>
      </c>
      <c r="EB134" s="652">
        <f>DU138</f>
        <v>1956.5891424417759</v>
      </c>
      <c r="EC134" s="622">
        <f>EB138</f>
        <v>2151.7230235853008</v>
      </c>
      <c r="ED134" s="622">
        <f>EC138</f>
        <v>2197.0521373666347</v>
      </c>
      <c r="EE134" s="622">
        <f>ED138</f>
        <v>2251.9266753342822</v>
      </c>
      <c r="EF134" s="623">
        <f>EE138</f>
        <v>2306.479026342889</v>
      </c>
      <c r="EG134" s="622">
        <f>EB138</f>
        <v>2151.7230235853008</v>
      </c>
      <c r="EH134" s="622">
        <f>EG138</f>
        <v>2251.9266753342827</v>
      </c>
      <c r="EI134" s="652">
        <f>EB138</f>
        <v>2151.7230235853008</v>
      </c>
      <c r="EJ134" s="622">
        <f>EI138</f>
        <v>2373.6951630211488</v>
      </c>
      <c r="EK134" s="622">
        <f>EJ138</f>
        <v>2425.592272986873</v>
      </c>
      <c r="EL134" s="622">
        <f>EK138</f>
        <v>2484.0274384554014</v>
      </c>
      <c r="EM134" s="623">
        <f>EL138</f>
        <v>2542.0382912054356</v>
      </c>
      <c r="EN134" s="622">
        <f>EI138</f>
        <v>2373.6951630211488</v>
      </c>
      <c r="EO134" s="622">
        <f>EN138</f>
        <v>2484.0274384554014</v>
      </c>
      <c r="EP134" s="652">
        <f>EI138</f>
        <v>2373.6951630211488</v>
      </c>
      <c r="EQ134" s="622">
        <f>EP138</f>
        <v>2614.1334582456129</v>
      </c>
      <c r="ER134" s="622">
        <f>EQ138</f>
        <v>2669.4033179703597</v>
      </c>
      <c r="ES134" s="622">
        <f>ER138</f>
        <v>2731.947056099058</v>
      </c>
      <c r="ET134" s="623">
        <f>ES138</f>
        <v>2793.9589832997985</v>
      </c>
      <c r="EU134" s="622">
        <f>EP138</f>
        <v>2614.1334582456129</v>
      </c>
      <c r="EV134" s="622">
        <f>EU138</f>
        <v>2731.9470560990585</v>
      </c>
      <c r="EW134" s="652">
        <f>EP138</f>
        <v>2614.1334582456129</v>
      </c>
    </row>
    <row r="135" spans="1:153" ht="10.199999999999999" customHeight="1">
      <c r="A135" s="108" t="s">
        <v>373</v>
      </c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>
        <v>488</v>
      </c>
      <c r="N135" s="317"/>
      <c r="O135" s="317"/>
      <c r="P135" s="317"/>
      <c r="Q135" s="714"/>
      <c r="R135" s="317"/>
      <c r="S135" s="317"/>
      <c r="T135" s="314">
        <v>417</v>
      </c>
      <c r="U135" s="317"/>
      <c r="V135" s="317"/>
      <c r="W135" s="317"/>
      <c r="X135" s="714"/>
      <c r="Y135" s="317"/>
      <c r="Z135" s="317"/>
      <c r="AA135" s="314">
        <v>225</v>
      </c>
      <c r="AB135" s="317"/>
      <c r="AC135" s="317"/>
      <c r="AD135" s="317"/>
      <c r="AE135" s="714"/>
      <c r="AF135" s="317"/>
      <c r="AG135" s="317"/>
      <c r="AH135" s="314">
        <v>154</v>
      </c>
      <c r="AI135" s="317"/>
      <c r="AJ135" s="317"/>
      <c r="AK135" s="317"/>
      <c r="AL135" s="714"/>
      <c r="AM135" s="317"/>
      <c r="AN135" s="317"/>
      <c r="AO135" s="314">
        <v>311</v>
      </c>
      <c r="AP135" s="317"/>
      <c r="AQ135" s="317"/>
      <c r="AR135" s="317"/>
      <c r="AS135" s="714"/>
      <c r="AT135" s="317"/>
      <c r="AU135" s="317"/>
      <c r="AV135" s="314">
        <v>220</v>
      </c>
      <c r="AW135" s="317"/>
      <c r="AX135" s="317"/>
      <c r="AY135" s="317"/>
      <c r="AZ135" s="714"/>
      <c r="BA135" s="317"/>
      <c r="BB135" s="317"/>
      <c r="BC135" s="314">
        <f>+BC131</f>
        <v>219</v>
      </c>
      <c r="BD135" s="317"/>
      <c r="BE135" s="317"/>
      <c r="BF135" s="317"/>
      <c r="BG135" s="714"/>
      <c r="BH135" s="317"/>
      <c r="BI135" s="317"/>
      <c r="BJ135" s="314">
        <v>91</v>
      </c>
      <c r="BK135" s="317"/>
      <c r="BL135" s="317"/>
      <c r="BM135" s="317"/>
      <c r="BN135" s="714"/>
      <c r="BO135" s="317"/>
      <c r="BP135" s="317"/>
      <c r="BQ135" s="314">
        <v>134</v>
      </c>
      <c r="BR135" s="317"/>
      <c r="BS135" s="317"/>
      <c r="BT135" s="317"/>
      <c r="BU135" s="714"/>
      <c r="BV135" s="317"/>
      <c r="BW135" s="317"/>
      <c r="BX135" s="314"/>
      <c r="BY135" s="317"/>
      <c r="BZ135" s="317"/>
      <c r="CA135" s="317"/>
      <c r="CB135" s="714"/>
      <c r="CC135" s="317"/>
      <c r="CD135" s="317"/>
      <c r="CE135" s="314">
        <f>CE131</f>
        <v>101</v>
      </c>
      <c r="CF135" s="317"/>
      <c r="CG135" s="317"/>
      <c r="CH135" s="317"/>
      <c r="CI135" s="714"/>
      <c r="CJ135" s="317"/>
      <c r="CK135" s="317"/>
      <c r="CL135" s="314">
        <f>CL131</f>
        <v>152</v>
      </c>
      <c r="CM135" s="317"/>
      <c r="CN135" s="317"/>
      <c r="CO135" s="317"/>
      <c r="CP135" s="714"/>
      <c r="CQ135" s="317"/>
      <c r="CR135" s="317"/>
      <c r="CS135" s="314">
        <f>CS131</f>
        <v>319</v>
      </c>
      <c r="CT135" s="317"/>
      <c r="CU135" s="317"/>
      <c r="CV135" s="317"/>
      <c r="CW135" s="714"/>
      <c r="CX135" s="317"/>
      <c r="CY135" s="317"/>
      <c r="CZ135" s="314">
        <f>CZ131</f>
        <v>378</v>
      </c>
      <c r="DA135" s="317"/>
      <c r="DB135" s="317"/>
      <c r="DC135" s="317"/>
      <c r="DD135" s="714"/>
      <c r="DE135" s="317"/>
      <c r="DF135" s="317"/>
      <c r="DG135" s="314">
        <f>DG131</f>
        <v>450</v>
      </c>
      <c r="DH135" s="130">
        <f t="shared" ref="DH135" si="1059">DH131</f>
        <v>65</v>
      </c>
      <c r="DI135" s="130">
        <f t="shared" ref="DI135:DM135" si="1060">DI131</f>
        <v>78</v>
      </c>
      <c r="DJ135" s="130">
        <f t="shared" si="1060"/>
        <v>78</v>
      </c>
      <c r="DK135" s="1907">
        <f t="shared" si="1060"/>
        <v>135</v>
      </c>
      <c r="DL135" s="130">
        <f t="shared" si="1060"/>
        <v>143</v>
      </c>
      <c r="DM135" s="1878">
        <f t="shared" si="1060"/>
        <v>213</v>
      </c>
      <c r="DN135" s="1847">
        <f>DN131</f>
        <v>356</v>
      </c>
      <c r="DO135" s="130">
        <f t="shared" ref="DO135:DP135" si="1061">DO131</f>
        <v>52</v>
      </c>
      <c r="DP135" s="130">
        <f t="shared" si="1061"/>
        <v>70</v>
      </c>
      <c r="DQ135" s="617">
        <f t="shared" ref="DQ135:DT135" si="1062">DQ131</f>
        <v>78.162797593505545</v>
      </c>
      <c r="DR135" s="618">
        <f t="shared" si="1062"/>
        <v>150.7598801731192</v>
      </c>
      <c r="DS135" s="1878">
        <f t="shared" si="1062"/>
        <v>122</v>
      </c>
      <c r="DT135" s="617">
        <f t="shared" si="1062"/>
        <v>228.92267776662476</v>
      </c>
      <c r="DU135" s="651">
        <f>DU131</f>
        <v>350.92267776662476</v>
      </c>
      <c r="DV135" s="617">
        <f t="shared" ref="DV135:EA135" si="1063">DV131</f>
        <v>91.527196158012742</v>
      </c>
      <c r="DW135" s="617">
        <f t="shared" si="1063"/>
        <v>99.862773782607377</v>
      </c>
      <c r="DX135" s="617">
        <f t="shared" si="1063"/>
        <v>99.630594021986354</v>
      </c>
      <c r="DY135" s="618">
        <f t="shared" si="1063"/>
        <v>109.26686964588478</v>
      </c>
      <c r="DZ135" s="617">
        <f t="shared" si="1063"/>
        <v>191.38996994062012</v>
      </c>
      <c r="EA135" s="617">
        <f t="shared" si="1063"/>
        <v>208.89746366787114</v>
      </c>
      <c r="EB135" s="651">
        <f>EB131</f>
        <v>400.28743360849126</v>
      </c>
      <c r="EC135" s="617">
        <f t="shared" ref="EC135:EH135" si="1064">EC131</f>
        <v>101.1698591797483</v>
      </c>
      <c r="ED135" s="617">
        <f t="shared" si="1064"/>
        <v>110.71528336606167</v>
      </c>
      <c r="EE135" s="617">
        <f t="shared" si="1064"/>
        <v>110.39309640702106</v>
      </c>
      <c r="EF135" s="618">
        <f t="shared" si="1064"/>
        <v>123.05688207667379</v>
      </c>
      <c r="EG135" s="617">
        <f t="shared" si="1064"/>
        <v>211.88514254580997</v>
      </c>
      <c r="EH135" s="617">
        <f t="shared" si="1064"/>
        <v>233.44997848369485</v>
      </c>
      <c r="EI135" s="651">
        <f>EI131</f>
        <v>445.33512102950482</v>
      </c>
      <c r="EJ135" s="617">
        <f t="shared" ref="EJ135:EO135" si="1065">EJ131</f>
        <v>110.25675130107832</v>
      </c>
      <c r="EK135" s="617">
        <f t="shared" si="1065"/>
        <v>116.79480680388225</v>
      </c>
      <c r="EL135" s="617">
        <f t="shared" si="1065"/>
        <v>116.37049408538795</v>
      </c>
      <c r="EM135" s="618">
        <f t="shared" si="1065"/>
        <v>130.45480837553131</v>
      </c>
      <c r="EN135" s="617">
        <f t="shared" si="1065"/>
        <v>227.05155810496058</v>
      </c>
      <c r="EO135" s="617">
        <f t="shared" si="1065"/>
        <v>246.82530246091926</v>
      </c>
      <c r="EP135" s="651">
        <f>EP131</f>
        <v>473.87686056587984</v>
      </c>
      <c r="EQ135" s="617">
        <f t="shared" ref="EQ135:EV135" si="1066">EQ131</f>
        <v>115.64077936776621</v>
      </c>
      <c r="ER135" s="617">
        <f t="shared" si="1066"/>
        <v>122.91465777171788</v>
      </c>
      <c r="ES135" s="617">
        <f t="shared" si="1066"/>
        <v>122.38284684376026</v>
      </c>
      <c r="ET135" s="618">
        <f t="shared" si="1066"/>
        <v>137.96585335831128</v>
      </c>
      <c r="EU135" s="617">
        <f t="shared" si="1066"/>
        <v>238.5554371394841</v>
      </c>
      <c r="EV135" s="617">
        <f t="shared" si="1066"/>
        <v>260.34870020207154</v>
      </c>
      <c r="EW135" s="651">
        <f>EW131</f>
        <v>498.90413734155567</v>
      </c>
    </row>
    <row r="136" spans="1:153" ht="10.199999999999999" customHeight="1">
      <c r="A136" s="108" t="s">
        <v>285</v>
      </c>
      <c r="B136" s="317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>
        <v>-171</v>
      </c>
      <c r="N136" s="317"/>
      <c r="O136" s="317"/>
      <c r="P136" s="317"/>
      <c r="Q136" s="714"/>
      <c r="R136" s="317"/>
      <c r="S136" s="317"/>
      <c r="T136" s="314">
        <v>-106</v>
      </c>
      <c r="U136" s="317"/>
      <c r="V136" s="317"/>
      <c r="W136" s="317"/>
      <c r="X136" s="714"/>
      <c r="Y136" s="317"/>
      <c r="Z136" s="317"/>
      <c r="AA136" s="314">
        <v>-137</v>
      </c>
      <c r="AB136" s="317"/>
      <c r="AC136" s="317"/>
      <c r="AD136" s="317"/>
      <c r="AE136" s="714"/>
      <c r="AF136" s="317"/>
      <c r="AG136" s="317"/>
      <c r="AH136" s="314">
        <v>-203</v>
      </c>
      <c r="AI136" s="317"/>
      <c r="AJ136" s="317"/>
      <c r="AK136" s="317"/>
      <c r="AL136" s="714"/>
      <c r="AM136" s="317"/>
      <c r="AN136" s="317"/>
      <c r="AO136" s="314">
        <v>-209</v>
      </c>
      <c r="AP136" s="317"/>
      <c r="AQ136" s="317"/>
      <c r="AR136" s="317"/>
      <c r="AS136" s="714"/>
      <c r="AT136" s="317"/>
      <c r="AU136" s="317"/>
      <c r="AV136" s="314">
        <v>-185</v>
      </c>
      <c r="AW136" s="317"/>
      <c r="AX136" s="317"/>
      <c r="AY136" s="317"/>
      <c r="AZ136" s="714"/>
      <c r="BA136" s="317"/>
      <c r="BB136" s="317"/>
      <c r="BC136" s="314">
        <f>+AV136</f>
        <v>-185</v>
      </c>
      <c r="BD136" s="317"/>
      <c r="BE136" s="317"/>
      <c r="BF136" s="317"/>
      <c r="BG136" s="714"/>
      <c r="BH136" s="317"/>
      <c r="BI136" s="317"/>
      <c r="BJ136" s="314">
        <v>-259</v>
      </c>
      <c r="BK136" s="317"/>
      <c r="BL136" s="317"/>
      <c r="BM136" s="317"/>
      <c r="BN136" s="714"/>
      <c r="BO136" s="317"/>
      <c r="BP136" s="317"/>
      <c r="BQ136" s="314">
        <v>-333</v>
      </c>
      <c r="BR136" s="317"/>
      <c r="BS136" s="317"/>
      <c r="BT136" s="317"/>
      <c r="BU136" s="714"/>
      <c r="BV136" s="317"/>
      <c r="BW136" s="317"/>
      <c r="BX136" s="314"/>
      <c r="BY136" s="317"/>
      <c r="BZ136" s="317"/>
      <c r="CA136" s="317"/>
      <c r="CB136" s="714"/>
      <c r="CC136" s="317"/>
      <c r="CD136" s="317"/>
      <c r="CE136" s="314">
        <v>-222</v>
      </c>
      <c r="CF136" s="317"/>
      <c r="CG136" s="317"/>
      <c r="CH136" s="317"/>
      <c r="CI136" s="714"/>
      <c r="CJ136" s="317"/>
      <c r="CK136" s="317"/>
      <c r="CL136" s="314">
        <v>-106</v>
      </c>
      <c r="CM136" s="317"/>
      <c r="CN136" s="317"/>
      <c r="CO136" s="317"/>
      <c r="CP136" s="714"/>
      <c r="CQ136" s="317"/>
      <c r="CR136" s="317"/>
      <c r="CS136" s="314">
        <v>-110</v>
      </c>
      <c r="CT136" s="317"/>
      <c r="CU136" s="317"/>
      <c r="CV136" s="317"/>
      <c r="CW136" s="714"/>
      <c r="CX136" s="317"/>
      <c r="CY136" s="317"/>
      <c r="CZ136" s="314">
        <v>-164</v>
      </c>
      <c r="DA136" s="317"/>
      <c r="DB136" s="317"/>
      <c r="DC136" s="317"/>
      <c r="DD136" s="714"/>
      <c r="DE136" s="317"/>
      <c r="DF136" s="317"/>
      <c r="DG136" s="2084">
        <v>-556</v>
      </c>
      <c r="DH136" s="317">
        <f>DL136/2</f>
        <v>-42</v>
      </c>
      <c r="DI136" s="317">
        <f>DL136-DH136</f>
        <v>-42</v>
      </c>
      <c r="DJ136" s="317">
        <f>DM136/2</f>
        <v>-42</v>
      </c>
      <c r="DK136" s="1906">
        <f>DM136-DJ136</f>
        <v>-42</v>
      </c>
      <c r="DL136" s="317">
        <f>DN136/2</f>
        <v>-84</v>
      </c>
      <c r="DM136" s="1909">
        <f>DN136-DL136</f>
        <v>-84</v>
      </c>
      <c r="DN136" s="1848">
        <v>-168</v>
      </c>
      <c r="DO136" s="317">
        <f>DS136/2</f>
        <v>-46.083383831212231</v>
      </c>
      <c r="DP136" s="317">
        <f>DS136-DO136</f>
        <v>-46.083383831212231</v>
      </c>
      <c r="DQ136" s="624">
        <f>DT136/2</f>
        <v>-46.083383831212231</v>
      </c>
      <c r="DR136" s="741">
        <f>DT136-DQ136</f>
        <v>-46.083383831212231</v>
      </c>
      <c r="DS136" s="1909">
        <f>DU136/2</f>
        <v>-92.166767662424462</v>
      </c>
      <c r="DT136" s="624">
        <f>DU136-DS136</f>
        <v>-92.166767662424462</v>
      </c>
      <c r="DU136" s="1113">
        <f>DN136/DN13*DU13</f>
        <v>-184.33353532484892</v>
      </c>
      <c r="DV136" s="624">
        <f>DZ136/2</f>
        <v>-51.288388116241713</v>
      </c>
      <c r="DW136" s="624">
        <f>DZ136-DV136</f>
        <v>-51.288388116241713</v>
      </c>
      <c r="DX136" s="624">
        <f>EA136/2</f>
        <v>-51.288388116241713</v>
      </c>
      <c r="DY136" s="741">
        <f>EA136-DX136</f>
        <v>-51.288388116241713</v>
      </c>
      <c r="DZ136" s="624">
        <f>EB136/2</f>
        <v>-102.57677623248343</v>
      </c>
      <c r="EA136" s="624">
        <f>EB136-DZ136</f>
        <v>-102.57677623248343</v>
      </c>
      <c r="EB136" s="1113">
        <f>DU136/DU13*EB13</f>
        <v>-205.15355246496685</v>
      </c>
      <c r="EC136" s="624">
        <f>EG136/2</f>
        <v>-55.840745398414207</v>
      </c>
      <c r="ED136" s="624">
        <f>EG136-EC136</f>
        <v>-55.840745398414207</v>
      </c>
      <c r="EE136" s="624">
        <f>EH136/2</f>
        <v>-55.840745398414207</v>
      </c>
      <c r="EF136" s="741">
        <f>EH136-EE136</f>
        <v>-55.840745398414207</v>
      </c>
      <c r="EG136" s="624">
        <f>EI136/2</f>
        <v>-111.68149079682841</v>
      </c>
      <c r="EH136" s="624">
        <f>EI136-EG136</f>
        <v>-111.68149079682841</v>
      </c>
      <c r="EI136" s="1113">
        <f>EB136/EB13*EI13</f>
        <v>-223.36298159365683</v>
      </c>
      <c r="EJ136" s="624">
        <f>EN136/2</f>
        <v>-58.359641335353913</v>
      </c>
      <c r="EK136" s="624">
        <f>EN136-EJ136</f>
        <v>-58.359641335353913</v>
      </c>
      <c r="EL136" s="624">
        <f>EO136/2</f>
        <v>-58.359641335353913</v>
      </c>
      <c r="EM136" s="741">
        <f>EO136-EL136</f>
        <v>-58.359641335353913</v>
      </c>
      <c r="EN136" s="624">
        <f>EP136/2</f>
        <v>-116.71928267070783</v>
      </c>
      <c r="EO136" s="624">
        <f>EP136-EN136</f>
        <v>-116.71928267070783</v>
      </c>
      <c r="EP136" s="1113">
        <f>EI136/EI13*EP13</f>
        <v>-233.43856534141565</v>
      </c>
      <c r="EQ136" s="624">
        <f>EU136/2</f>
        <v>-60.370919643019313</v>
      </c>
      <c r="ER136" s="624">
        <f>EU136-EQ136</f>
        <v>-60.370919643019313</v>
      </c>
      <c r="ES136" s="624">
        <f>EV136/2</f>
        <v>-60.370919643019313</v>
      </c>
      <c r="ET136" s="741">
        <f>EV136-ES136</f>
        <v>-60.370919643019313</v>
      </c>
      <c r="EU136" s="624">
        <f>EW136/2</f>
        <v>-120.74183928603863</v>
      </c>
      <c r="EV136" s="624">
        <f>EW136-EU136</f>
        <v>-120.74183928603863</v>
      </c>
      <c r="EW136" s="1113">
        <f>EP136/EP13*EW13</f>
        <v>-241.48367857207725</v>
      </c>
    </row>
    <row r="137" spans="1:153" ht="10.199999999999999" customHeight="1">
      <c r="A137" s="108" t="s">
        <v>140</v>
      </c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>
        <f t="shared" ref="M137:CE137" si="1067">M138-M136-M135-M134</f>
        <v>83</v>
      </c>
      <c r="N137" s="317"/>
      <c r="O137" s="317"/>
      <c r="P137" s="317"/>
      <c r="Q137" s="714"/>
      <c r="R137" s="317"/>
      <c r="S137" s="317"/>
      <c r="T137" s="314">
        <f t="shared" si="1067"/>
        <v>-48</v>
      </c>
      <c r="U137" s="317"/>
      <c r="V137" s="317"/>
      <c r="W137" s="317"/>
      <c r="X137" s="714"/>
      <c r="Y137" s="317"/>
      <c r="Z137" s="317"/>
      <c r="AA137" s="314">
        <f t="shared" si="1067"/>
        <v>3</v>
      </c>
      <c r="AB137" s="317"/>
      <c r="AC137" s="317"/>
      <c r="AD137" s="317"/>
      <c r="AE137" s="714"/>
      <c r="AF137" s="317"/>
      <c r="AG137" s="317"/>
      <c r="AH137" s="314">
        <f t="shared" si="1067"/>
        <v>20</v>
      </c>
      <c r="AI137" s="317"/>
      <c r="AJ137" s="317"/>
      <c r="AK137" s="317"/>
      <c r="AL137" s="714"/>
      <c r="AM137" s="317"/>
      <c r="AN137" s="317"/>
      <c r="AO137" s="314">
        <f t="shared" si="1067"/>
        <v>-54</v>
      </c>
      <c r="AP137" s="317"/>
      <c r="AQ137" s="317"/>
      <c r="AR137" s="317"/>
      <c r="AS137" s="714"/>
      <c r="AT137" s="317"/>
      <c r="AU137" s="317"/>
      <c r="AV137" s="314">
        <f t="shared" si="1067"/>
        <v>21</v>
      </c>
      <c r="AW137" s="317"/>
      <c r="AX137" s="317"/>
      <c r="AY137" s="317"/>
      <c r="AZ137" s="714"/>
      <c r="BA137" s="317"/>
      <c r="BB137" s="317"/>
      <c r="BC137" s="314">
        <f t="shared" si="1067"/>
        <v>22</v>
      </c>
      <c r="BD137" s="317"/>
      <c r="BE137" s="317"/>
      <c r="BF137" s="317"/>
      <c r="BG137" s="714"/>
      <c r="BH137" s="317"/>
      <c r="BI137" s="317"/>
      <c r="BJ137" s="314">
        <f t="shared" si="1067"/>
        <v>-13</v>
      </c>
      <c r="BK137" s="317"/>
      <c r="BL137" s="317"/>
      <c r="BM137" s="317"/>
      <c r="BN137" s="714"/>
      <c r="BO137" s="317"/>
      <c r="BP137" s="317"/>
      <c r="BQ137" s="314">
        <f t="shared" si="1067"/>
        <v>77</v>
      </c>
      <c r="BR137" s="317"/>
      <c r="BS137" s="317"/>
      <c r="BT137" s="317"/>
      <c r="BU137" s="714"/>
      <c r="BV137" s="317"/>
      <c r="BW137" s="317"/>
      <c r="BX137" s="314"/>
      <c r="BY137" s="317"/>
      <c r="BZ137" s="317"/>
      <c r="CA137" s="317"/>
      <c r="CB137" s="714"/>
      <c r="CC137" s="317"/>
      <c r="CD137" s="317"/>
      <c r="CE137" s="314">
        <f t="shared" si="1067"/>
        <v>-81</v>
      </c>
      <c r="CF137" s="317"/>
      <c r="CG137" s="317"/>
      <c r="CH137" s="317"/>
      <c r="CI137" s="714"/>
      <c r="CJ137" s="317"/>
      <c r="CK137" s="317"/>
      <c r="CL137" s="314">
        <f>12-14-16</f>
        <v>-18</v>
      </c>
      <c r="CM137" s="317"/>
      <c r="CN137" s="317"/>
      <c r="CO137" s="317"/>
      <c r="CP137" s="714"/>
      <c r="CQ137" s="317"/>
      <c r="CR137" s="317"/>
      <c r="CS137" s="314">
        <f>-12-1</f>
        <v>-13</v>
      </c>
      <c r="CT137" s="317"/>
      <c r="CU137" s="317"/>
      <c r="CV137" s="317"/>
      <c r="CW137" s="714"/>
      <c r="CX137" s="317"/>
      <c r="CY137" s="317"/>
      <c r="CZ137" s="314">
        <f>2+8</f>
        <v>10</v>
      </c>
      <c r="DA137" s="317"/>
      <c r="DB137" s="317"/>
      <c r="DC137" s="317"/>
      <c r="DD137" s="714"/>
      <c r="DE137" s="317"/>
      <c r="DF137" s="317"/>
      <c r="DG137" s="2085">
        <f>21+11-1</f>
        <v>31</v>
      </c>
      <c r="DH137" s="130">
        <v>0</v>
      </c>
      <c r="DI137" s="317">
        <f>DL137-DH137</f>
        <v>0</v>
      </c>
      <c r="DJ137" s="130">
        <v>0</v>
      </c>
      <c r="DK137" s="1906">
        <f>DM137-DJ137</f>
        <v>-29</v>
      </c>
      <c r="DL137" s="130">
        <v>0</v>
      </c>
      <c r="DM137" s="1909">
        <f>DN137-DL137</f>
        <v>-29</v>
      </c>
      <c r="DN137" s="1848">
        <f>-19-10</f>
        <v>-29</v>
      </c>
      <c r="DO137" s="130">
        <v>0</v>
      </c>
      <c r="DP137" s="317">
        <f>DS137-DO137</f>
        <v>0</v>
      </c>
      <c r="DQ137" s="663">
        <v>0</v>
      </c>
      <c r="DR137" s="741">
        <f>DT137-DQ137</f>
        <v>0</v>
      </c>
      <c r="DS137" s="1878">
        <v>0</v>
      </c>
      <c r="DT137" s="624">
        <f>DU137-DS137</f>
        <v>0</v>
      </c>
      <c r="DU137" s="726">
        <v>0</v>
      </c>
      <c r="DV137" s="663">
        <v>0</v>
      </c>
      <c r="DW137" s="624">
        <f>DZ137-DV137</f>
        <v>0</v>
      </c>
      <c r="DX137" s="663">
        <v>0</v>
      </c>
      <c r="DY137" s="741">
        <f>EA137-DX137</f>
        <v>0</v>
      </c>
      <c r="DZ137" s="663">
        <v>0</v>
      </c>
      <c r="EA137" s="624">
        <f>EB137-DZ137</f>
        <v>0</v>
      </c>
      <c r="EB137" s="726">
        <v>0</v>
      </c>
      <c r="EC137" s="663">
        <v>0</v>
      </c>
      <c r="ED137" s="624">
        <f>EG137-EC137</f>
        <v>0</v>
      </c>
      <c r="EE137" s="663">
        <v>0</v>
      </c>
      <c r="EF137" s="741">
        <f>EH137-EE137</f>
        <v>0</v>
      </c>
      <c r="EG137" s="663">
        <v>0</v>
      </c>
      <c r="EH137" s="624">
        <f>EI137-EG137</f>
        <v>0</v>
      </c>
      <c r="EI137" s="726">
        <v>0</v>
      </c>
      <c r="EJ137" s="663">
        <v>0</v>
      </c>
      <c r="EK137" s="624">
        <f>EN137-EJ137</f>
        <v>0</v>
      </c>
      <c r="EL137" s="663">
        <v>0</v>
      </c>
      <c r="EM137" s="741">
        <f>EO137-EL137</f>
        <v>0</v>
      </c>
      <c r="EN137" s="663">
        <v>0</v>
      </c>
      <c r="EO137" s="624">
        <f>EP137-EN137</f>
        <v>0</v>
      </c>
      <c r="EP137" s="726">
        <v>0</v>
      </c>
      <c r="EQ137" s="663">
        <v>0</v>
      </c>
      <c r="ER137" s="624">
        <f>EU137-EQ137</f>
        <v>0</v>
      </c>
      <c r="ES137" s="663">
        <v>0</v>
      </c>
      <c r="ET137" s="741">
        <f>EV137-ES137</f>
        <v>0</v>
      </c>
      <c r="EU137" s="663">
        <v>0</v>
      </c>
      <c r="EV137" s="624">
        <f>EW137-EU137</f>
        <v>0</v>
      </c>
      <c r="EW137" s="726">
        <v>0</v>
      </c>
    </row>
    <row r="138" spans="1:153" ht="10.199999999999999" customHeight="1">
      <c r="A138" s="48" t="s">
        <v>375</v>
      </c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>
        <v>1365</v>
      </c>
      <c r="N138" s="319"/>
      <c r="O138" s="319"/>
      <c r="P138" s="319"/>
      <c r="Q138" s="760"/>
      <c r="R138" s="319"/>
      <c r="S138" s="319"/>
      <c r="T138" s="1268">
        <v>1597</v>
      </c>
      <c r="U138" s="319"/>
      <c r="V138" s="319"/>
      <c r="W138" s="319"/>
      <c r="X138" s="760"/>
      <c r="Y138" s="319"/>
      <c r="Z138" s="319"/>
      <c r="AA138" s="1268">
        <v>1688</v>
      </c>
      <c r="AB138" s="319"/>
      <c r="AC138" s="319"/>
      <c r="AD138" s="319"/>
      <c r="AE138" s="760"/>
      <c r="AF138" s="319"/>
      <c r="AG138" s="319"/>
      <c r="AH138" s="1268">
        <v>1659</v>
      </c>
      <c r="AI138" s="319"/>
      <c r="AJ138" s="319"/>
      <c r="AK138" s="319"/>
      <c r="AL138" s="760"/>
      <c r="AM138" s="319"/>
      <c r="AN138" s="319"/>
      <c r="AO138" s="1268">
        <v>1707</v>
      </c>
      <c r="AP138" s="319"/>
      <c r="AQ138" s="319"/>
      <c r="AR138" s="319"/>
      <c r="AS138" s="760"/>
      <c r="AT138" s="319"/>
      <c r="AU138" s="319"/>
      <c r="AV138" s="1268">
        <v>1763</v>
      </c>
      <c r="AW138" s="319"/>
      <c r="AX138" s="319"/>
      <c r="AY138" s="319"/>
      <c r="AZ138" s="760"/>
      <c r="BA138" s="319"/>
      <c r="BB138" s="319"/>
      <c r="BC138" s="1268">
        <v>1763</v>
      </c>
      <c r="BD138" s="319"/>
      <c r="BE138" s="319"/>
      <c r="BF138" s="319"/>
      <c r="BG138" s="760"/>
      <c r="BH138" s="319"/>
      <c r="BI138" s="319"/>
      <c r="BJ138" s="1268">
        <v>1582</v>
      </c>
      <c r="BK138" s="319"/>
      <c r="BL138" s="319"/>
      <c r="BM138" s="319"/>
      <c r="BN138" s="760"/>
      <c r="BO138" s="319"/>
      <c r="BP138" s="319"/>
      <c r="BQ138" s="1268">
        <v>1460</v>
      </c>
      <c r="BR138" s="319"/>
      <c r="BS138" s="319"/>
      <c r="BT138" s="319"/>
      <c r="BU138" s="760"/>
      <c r="BV138" s="319"/>
      <c r="BW138" s="319"/>
      <c r="BX138" s="1268"/>
      <c r="BY138" s="319"/>
      <c r="BZ138" s="319"/>
      <c r="CA138" s="319"/>
      <c r="CB138" s="760"/>
      <c r="CC138" s="319"/>
      <c r="CD138" s="319"/>
      <c r="CE138" s="1268">
        <v>1258</v>
      </c>
      <c r="CF138" s="319"/>
      <c r="CG138" s="319"/>
      <c r="CH138" s="319"/>
      <c r="CI138" s="760"/>
      <c r="CJ138" s="319"/>
      <c r="CK138" s="319"/>
      <c r="CL138" s="1268">
        <f>SUM(CL134:CL137)</f>
        <v>1286</v>
      </c>
      <c r="CM138" s="319"/>
      <c r="CN138" s="319"/>
      <c r="CO138" s="319"/>
      <c r="CP138" s="760"/>
      <c r="CQ138" s="319"/>
      <c r="CR138" s="319"/>
      <c r="CS138" s="1268">
        <f>SUM(CS134:CS137)</f>
        <v>1482</v>
      </c>
      <c r="CT138" s="319"/>
      <c r="CU138" s="319"/>
      <c r="CV138" s="319"/>
      <c r="CW138" s="760"/>
      <c r="CX138" s="319"/>
      <c r="CY138" s="319"/>
      <c r="CZ138" s="1268">
        <f>SUM(CZ134:CZ137)</f>
        <v>1706</v>
      </c>
      <c r="DA138" s="319"/>
      <c r="DB138" s="319"/>
      <c r="DC138" s="319"/>
      <c r="DD138" s="760"/>
      <c r="DE138" s="319"/>
      <c r="DF138" s="319"/>
      <c r="DG138" s="1268">
        <f>SUM(DG134:DG137)</f>
        <v>1631</v>
      </c>
      <c r="DH138" s="92">
        <f t="shared" ref="DH138" si="1068">SUM(DH134:DH137)</f>
        <v>1654</v>
      </c>
      <c r="DI138" s="92">
        <f t="shared" ref="DI138:DM138" si="1069">SUM(DI134:DI137)</f>
        <v>1690</v>
      </c>
      <c r="DJ138" s="92">
        <f t="shared" si="1069"/>
        <v>1726</v>
      </c>
      <c r="DK138" s="1908">
        <f t="shared" si="1069"/>
        <v>1790</v>
      </c>
      <c r="DL138" s="92">
        <f t="shared" si="1069"/>
        <v>1690</v>
      </c>
      <c r="DM138" s="1874">
        <f t="shared" si="1069"/>
        <v>1790</v>
      </c>
      <c r="DN138" s="1846">
        <f>SUM(DN134:DN137)</f>
        <v>1790</v>
      </c>
      <c r="DO138" s="92">
        <f t="shared" ref="DO138:DP138" si="1070">SUM(DO134:DO137)</f>
        <v>1795.9166161687879</v>
      </c>
      <c r="DP138" s="92">
        <f t="shared" si="1070"/>
        <v>1819.8332323375757</v>
      </c>
      <c r="DQ138" s="622">
        <f t="shared" ref="DQ138" si="1071">SUM(DQ134:DQ137)</f>
        <v>1851.9126460998691</v>
      </c>
      <c r="DR138" s="623">
        <f t="shared" ref="DR138:DS138" si="1072">SUM(DR134:DR137)</f>
        <v>1956.5891424417762</v>
      </c>
      <c r="DS138" s="1874">
        <f t="shared" si="1072"/>
        <v>1819.8332323375755</v>
      </c>
      <c r="DT138" s="622">
        <f t="shared" ref="DT138" si="1073">SUM(DT134:DT137)</f>
        <v>1956.5891424417757</v>
      </c>
      <c r="DU138" s="652">
        <f>SUM(DU134:DU137)</f>
        <v>1956.5891424417759</v>
      </c>
      <c r="DV138" s="622">
        <f t="shared" ref="DV138" si="1074">SUM(DV134:DV137)</f>
        <v>1996.8279504835471</v>
      </c>
      <c r="DW138" s="622">
        <f t="shared" ref="DW138" si="1075">SUM(DW134:DW137)</f>
        <v>2045.4023361499128</v>
      </c>
      <c r="DX138" s="622">
        <f t="shared" ref="DX138" si="1076">SUM(DX134:DX137)</f>
        <v>2093.7445420556578</v>
      </c>
      <c r="DY138" s="623">
        <f t="shared" ref="DY138" si="1077">SUM(DY134:DY137)</f>
        <v>2151.7230235853012</v>
      </c>
      <c r="DZ138" s="622">
        <f t="shared" ref="DZ138" si="1078">SUM(DZ134:DZ137)</f>
        <v>2045.4023361499128</v>
      </c>
      <c r="EA138" s="622">
        <f t="shared" ref="EA138" si="1079">SUM(EA134:EA137)</f>
        <v>2151.7230235853003</v>
      </c>
      <c r="EB138" s="652">
        <f>SUM(EB134:EB137)</f>
        <v>2151.7230235853008</v>
      </c>
      <c r="EC138" s="622">
        <f t="shared" ref="EC138" si="1080">SUM(EC134:EC137)</f>
        <v>2197.0521373666347</v>
      </c>
      <c r="ED138" s="622">
        <f t="shared" ref="ED138" si="1081">SUM(ED134:ED137)</f>
        <v>2251.9266753342822</v>
      </c>
      <c r="EE138" s="622">
        <f t="shared" ref="EE138" si="1082">SUM(EE134:EE137)</f>
        <v>2306.479026342889</v>
      </c>
      <c r="EF138" s="623">
        <f t="shared" ref="EF138" si="1083">SUM(EF134:EF137)</f>
        <v>2373.6951630211488</v>
      </c>
      <c r="EG138" s="622">
        <f t="shared" ref="EG138" si="1084">SUM(EG134:EG137)</f>
        <v>2251.9266753342827</v>
      </c>
      <c r="EH138" s="622">
        <f t="shared" ref="EH138" si="1085">SUM(EH134:EH137)</f>
        <v>2373.6951630211493</v>
      </c>
      <c r="EI138" s="652">
        <f>SUM(EI134:EI137)</f>
        <v>2373.6951630211488</v>
      </c>
      <c r="EJ138" s="622">
        <f t="shared" ref="EJ138" si="1086">SUM(EJ134:EJ137)</f>
        <v>2425.592272986873</v>
      </c>
      <c r="EK138" s="622">
        <f t="shared" ref="EK138" si="1087">SUM(EK134:EK137)</f>
        <v>2484.0274384554014</v>
      </c>
      <c r="EL138" s="622">
        <f t="shared" ref="EL138" si="1088">SUM(EL134:EL137)</f>
        <v>2542.0382912054356</v>
      </c>
      <c r="EM138" s="623">
        <f t="shared" ref="EM138" si="1089">SUM(EM134:EM137)</f>
        <v>2614.1334582456129</v>
      </c>
      <c r="EN138" s="622">
        <f t="shared" ref="EN138" si="1090">SUM(EN134:EN137)</f>
        <v>2484.0274384554014</v>
      </c>
      <c r="EO138" s="622">
        <f t="shared" ref="EO138" si="1091">SUM(EO134:EO137)</f>
        <v>2614.1334582456129</v>
      </c>
      <c r="EP138" s="652">
        <f>SUM(EP134:EP137)</f>
        <v>2614.1334582456129</v>
      </c>
      <c r="EQ138" s="622">
        <f t="shared" ref="EQ138" si="1092">SUM(EQ134:EQ137)</f>
        <v>2669.4033179703597</v>
      </c>
      <c r="ER138" s="622">
        <f t="shared" ref="ER138" si="1093">SUM(ER134:ER137)</f>
        <v>2731.947056099058</v>
      </c>
      <c r="ES138" s="622">
        <f t="shared" ref="ES138" si="1094">SUM(ES134:ES137)</f>
        <v>2793.9589832997985</v>
      </c>
      <c r="ET138" s="623">
        <f t="shared" ref="ET138" si="1095">SUM(ET134:ET137)</f>
        <v>2871.5539170150901</v>
      </c>
      <c r="EU138" s="622">
        <f t="shared" ref="EU138" si="1096">SUM(EU134:EU137)</f>
        <v>2731.9470560990585</v>
      </c>
      <c r="EV138" s="622">
        <f t="shared" ref="EV138" si="1097">SUM(EV134:EV137)</f>
        <v>2871.5539170150914</v>
      </c>
      <c r="EW138" s="652">
        <f>SUM(EW134:EW137)</f>
        <v>2871.5539170150914</v>
      </c>
    </row>
    <row r="139" spans="1:153" ht="10.199999999999999" customHeight="1">
      <c r="A139" s="43"/>
      <c r="B139" s="812"/>
      <c r="C139" s="812"/>
      <c r="D139" s="812"/>
      <c r="E139" s="812"/>
      <c r="F139" s="812"/>
      <c r="G139" s="812"/>
      <c r="H139" s="812"/>
      <c r="I139" s="812"/>
      <c r="J139" s="812"/>
      <c r="K139" s="812"/>
      <c r="L139" s="812"/>
      <c r="M139" s="812"/>
      <c r="N139" s="1067"/>
      <c r="O139" s="1067"/>
      <c r="P139" s="1067"/>
      <c r="Q139" s="1097"/>
      <c r="R139" s="1067"/>
      <c r="S139" s="1067"/>
      <c r="T139" s="343"/>
      <c r="U139" s="1067"/>
      <c r="V139" s="1067"/>
      <c r="W139" s="1067"/>
      <c r="X139" s="1097"/>
      <c r="Y139" s="1067"/>
      <c r="Z139" s="1067"/>
      <c r="AA139" s="343"/>
      <c r="AB139" s="1067"/>
      <c r="AC139" s="1067"/>
      <c r="AD139" s="1067"/>
      <c r="AE139" s="1097"/>
      <c r="AF139" s="1067"/>
      <c r="AG139" s="1067"/>
      <c r="AH139" s="343"/>
      <c r="AI139" s="1067"/>
      <c r="AJ139" s="1067"/>
      <c r="AK139" s="1067"/>
      <c r="AL139" s="1097"/>
      <c r="AM139" s="1067"/>
      <c r="AN139" s="1067"/>
      <c r="AO139" s="343"/>
      <c r="AP139" s="1067"/>
      <c r="AQ139" s="1067"/>
      <c r="AR139" s="1067"/>
      <c r="AS139" s="1097"/>
      <c r="AT139" s="1067"/>
      <c r="AU139" s="1067"/>
      <c r="AV139" s="343"/>
      <c r="AW139" s="1067"/>
      <c r="AX139" s="1067"/>
      <c r="AY139" s="1067"/>
      <c r="AZ139" s="1097"/>
      <c r="BA139" s="1067"/>
      <c r="BB139" s="1067"/>
      <c r="BC139" s="343"/>
      <c r="BD139" s="1067"/>
      <c r="BE139" s="1067"/>
      <c r="BF139" s="1067"/>
      <c r="BG139" s="1097"/>
      <c r="BH139" s="1067"/>
      <c r="BI139" s="1067"/>
      <c r="BJ139" s="343"/>
      <c r="BK139" s="1067"/>
      <c r="BL139" s="1067"/>
      <c r="BM139" s="1067"/>
      <c r="BN139" s="1097"/>
      <c r="BO139" s="1067"/>
      <c r="BP139" s="1067"/>
      <c r="BQ139" s="343"/>
      <c r="BR139" s="1067"/>
      <c r="BS139" s="1067"/>
      <c r="BT139" s="1067"/>
      <c r="BU139" s="1097"/>
      <c r="BV139" s="1067"/>
      <c r="BW139" s="1067"/>
      <c r="BX139" s="343"/>
      <c r="BY139" s="1067"/>
      <c r="BZ139" s="1067"/>
      <c r="CA139" s="1067"/>
      <c r="CB139" s="1097"/>
      <c r="CC139" s="1067"/>
      <c r="CD139" s="1067"/>
      <c r="CE139" s="343"/>
      <c r="CF139" s="1067"/>
      <c r="CG139" s="1067"/>
      <c r="CH139" s="1067"/>
      <c r="CI139" s="1097"/>
      <c r="CJ139" s="1067"/>
      <c r="CK139" s="1067"/>
      <c r="CL139" s="343"/>
      <c r="CM139" s="1067"/>
      <c r="CN139" s="1067"/>
      <c r="CO139" s="1067"/>
      <c r="CP139" s="1097"/>
      <c r="CQ139" s="1067"/>
      <c r="CR139" s="1067"/>
      <c r="CS139" s="343"/>
      <c r="CT139" s="1067"/>
      <c r="CU139" s="1067"/>
      <c r="CV139" s="1067"/>
      <c r="CW139" s="1097"/>
      <c r="CX139" s="1067"/>
      <c r="CY139" s="1067"/>
      <c r="CZ139" s="343"/>
      <c r="DA139" s="1067"/>
      <c r="DB139" s="1067"/>
      <c r="DC139" s="1067"/>
      <c r="DD139" s="1097"/>
      <c r="DE139" s="1067"/>
      <c r="DF139" s="1067"/>
      <c r="DG139" s="343"/>
      <c r="DH139" s="1067"/>
      <c r="DI139" s="1067"/>
      <c r="DJ139" s="1067"/>
      <c r="DK139" s="1905"/>
      <c r="DL139" s="1067"/>
      <c r="DM139" s="1205"/>
      <c r="DN139" s="343"/>
      <c r="DO139" s="1067"/>
      <c r="DP139" s="1067"/>
      <c r="DQ139" s="1067"/>
      <c r="DR139" s="1097"/>
      <c r="DS139" s="1205"/>
      <c r="DT139" s="1067"/>
      <c r="DU139" s="343"/>
      <c r="DV139" s="1067"/>
      <c r="DW139" s="1067"/>
      <c r="DX139" s="1067"/>
      <c r="DY139" s="1097"/>
      <c r="DZ139" s="1067"/>
      <c r="EA139" s="1067"/>
      <c r="EB139" s="343"/>
      <c r="EC139" s="1067"/>
      <c r="ED139" s="1067"/>
      <c r="EE139" s="1067"/>
      <c r="EF139" s="1097"/>
      <c r="EG139" s="1067"/>
      <c r="EH139" s="1067"/>
      <c r="EI139" s="343"/>
      <c r="EJ139" s="1067"/>
      <c r="EK139" s="1067"/>
      <c r="EL139" s="1067"/>
      <c r="EM139" s="1097"/>
      <c r="EN139" s="1067"/>
      <c r="EO139" s="1067"/>
      <c r="EP139" s="343"/>
      <c r="EQ139" s="1067"/>
      <c r="ER139" s="1067"/>
      <c r="ES139" s="1067"/>
      <c r="ET139" s="1097"/>
      <c r="EU139" s="1067"/>
      <c r="EV139" s="1067"/>
      <c r="EW139" s="343"/>
    </row>
    <row r="140" spans="1:153" ht="10.199999999999999" customHeight="1">
      <c r="A140" s="48" t="s">
        <v>405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094"/>
      <c r="R140" s="1"/>
      <c r="S140" s="1"/>
      <c r="T140" s="353"/>
      <c r="U140" s="1"/>
      <c r="V140" s="1"/>
      <c r="W140" s="1"/>
      <c r="X140" s="1094"/>
      <c r="Y140" s="1"/>
      <c r="Z140" s="1"/>
      <c r="AA140" s="353"/>
      <c r="AB140" s="1"/>
      <c r="AC140" s="1"/>
      <c r="AD140" s="1"/>
      <c r="AE140" s="1094"/>
      <c r="AF140" s="1"/>
      <c r="AG140" s="1"/>
      <c r="AH140" s="353"/>
      <c r="AI140" s="1"/>
      <c r="AJ140" s="1"/>
      <c r="AK140" s="1"/>
      <c r="AL140" s="1094"/>
      <c r="AM140" s="1"/>
      <c r="AN140" s="1"/>
      <c r="AO140" s="353"/>
      <c r="AP140" s="1"/>
      <c r="AQ140" s="1"/>
      <c r="AR140" s="1"/>
      <c r="AS140" s="1094"/>
      <c r="AT140" s="1"/>
      <c r="AU140" s="1"/>
      <c r="AV140" s="353"/>
      <c r="AW140" s="1"/>
      <c r="AX140" s="1"/>
      <c r="AY140" s="1"/>
      <c r="AZ140" s="1094"/>
      <c r="BA140" s="1"/>
      <c r="BB140" s="1"/>
      <c r="BC140" s="353"/>
      <c r="BD140" s="1"/>
      <c r="BE140" s="1"/>
      <c r="BF140" s="1"/>
      <c r="BG140" s="1094"/>
      <c r="BH140" s="1"/>
      <c r="BI140" s="1"/>
      <c r="BJ140" s="353"/>
      <c r="BK140" s="1"/>
      <c r="BL140" s="1"/>
      <c r="BM140" s="1"/>
      <c r="BN140" s="1094"/>
      <c r="BO140" s="1"/>
      <c r="BP140" s="1"/>
      <c r="BQ140" s="353"/>
      <c r="BR140" s="1"/>
      <c r="BS140" s="1"/>
      <c r="BT140" s="1"/>
      <c r="BU140" s="1094"/>
      <c r="BV140" s="1"/>
      <c r="BW140" s="1"/>
      <c r="BX140" s="353"/>
      <c r="BY140" s="1"/>
      <c r="BZ140" s="1"/>
      <c r="CA140" s="1"/>
      <c r="CB140" s="1094"/>
      <c r="CC140" s="1"/>
      <c r="CD140" s="1"/>
      <c r="CE140" s="353"/>
      <c r="CF140" s="1"/>
      <c r="CG140" s="1"/>
      <c r="CH140" s="1"/>
      <c r="CI140" s="1094"/>
      <c r="CJ140" s="1"/>
      <c r="CK140" s="1"/>
      <c r="CL140" s="353"/>
      <c r="CM140" s="1"/>
      <c r="CN140" s="1"/>
      <c r="CO140" s="1"/>
      <c r="CP140" s="1094"/>
      <c r="CQ140" s="1"/>
      <c r="CR140" s="1"/>
      <c r="CS140" s="353"/>
      <c r="CT140" s="1"/>
      <c r="CU140" s="1"/>
      <c r="CV140" s="1"/>
      <c r="CW140" s="1094"/>
      <c r="CX140" s="1"/>
      <c r="CY140" s="1"/>
      <c r="CZ140" s="353"/>
      <c r="DA140" s="1"/>
      <c r="DB140" s="1"/>
      <c r="DC140" s="1"/>
      <c r="DD140" s="1094"/>
      <c r="DE140" s="1"/>
      <c r="DF140" s="1"/>
      <c r="DG140" s="353"/>
      <c r="DH140" s="1"/>
      <c r="DI140" s="1"/>
      <c r="DJ140" s="1"/>
      <c r="DK140" s="1904"/>
      <c r="DL140" s="1"/>
      <c r="DM140" s="1879"/>
      <c r="DN140" s="353"/>
      <c r="DO140" s="1"/>
      <c r="DP140" s="1"/>
      <c r="DQ140" s="1"/>
      <c r="DR140" s="1094"/>
      <c r="DS140" s="1879"/>
      <c r="DT140" s="1"/>
      <c r="DU140" s="353"/>
      <c r="DV140" s="1"/>
      <c r="DW140" s="1"/>
      <c r="DX140" s="1"/>
      <c r="DY140" s="1094"/>
      <c r="DZ140" s="1"/>
      <c r="EA140" s="1"/>
      <c r="EB140" s="353"/>
      <c r="EC140" s="1"/>
      <c r="ED140" s="1"/>
      <c r="EE140" s="1"/>
      <c r="EF140" s="1094"/>
      <c r="EG140" s="1"/>
      <c r="EH140" s="1"/>
      <c r="EI140" s="353"/>
      <c r="EJ140" s="1"/>
      <c r="EK140" s="1"/>
      <c r="EL140" s="1"/>
      <c r="EM140" s="1094"/>
      <c r="EN140" s="1"/>
      <c r="EO140" s="1"/>
      <c r="EP140" s="353"/>
      <c r="EQ140" s="1"/>
      <c r="ER140" s="1"/>
      <c r="ES140" s="1"/>
      <c r="ET140" s="1094"/>
      <c r="EU140" s="1"/>
      <c r="EV140" s="1"/>
      <c r="EW140" s="353"/>
    </row>
    <row r="141" spans="1:153" ht="10.199999999999999" customHeight="1">
      <c r="A141" s="43" t="str">
        <f>+A63</f>
        <v>Airbus</v>
      </c>
      <c r="B141" s="865">
        <v>1433</v>
      </c>
      <c r="C141" s="865">
        <v>1674</v>
      </c>
      <c r="D141" s="865">
        <v>2027</v>
      </c>
      <c r="E141" s="865">
        <v>2778</v>
      </c>
      <c r="F141" s="865">
        <v>1864</v>
      </c>
      <c r="G141" s="865">
        <v>1750</v>
      </c>
      <c r="H141" s="865">
        <v>946</v>
      </c>
      <c r="I141" s="865">
        <v>887</v>
      </c>
      <c r="J141" s="865">
        <v>1254</v>
      </c>
      <c r="K141" s="865">
        <v>1419</v>
      </c>
      <c r="L141" s="865">
        <v>1331</v>
      </c>
      <c r="M141" s="865">
        <v>2288</v>
      </c>
      <c r="N141" s="865"/>
      <c r="O141" s="135"/>
      <c r="P141" s="865"/>
      <c r="Q141" s="961"/>
      <c r="R141" s="135"/>
      <c r="S141" s="135"/>
      <c r="T141" s="948">
        <v>2116</v>
      </c>
      <c r="U141" s="865"/>
      <c r="V141" s="135"/>
      <c r="W141" s="865"/>
      <c r="X141" s="961"/>
      <c r="Y141" s="135"/>
      <c r="Z141" s="135"/>
      <c r="AA141" s="948">
        <v>1713</v>
      </c>
      <c r="AB141" s="865"/>
      <c r="AC141" s="135"/>
      <c r="AD141" s="865"/>
      <c r="AE141" s="961"/>
      <c r="AF141" s="135"/>
      <c r="AG141" s="135"/>
      <c r="AH141" s="948">
        <v>2001</v>
      </c>
      <c r="AI141" s="865"/>
      <c r="AJ141" s="135"/>
      <c r="AK141" s="865"/>
      <c r="AL141" s="961"/>
      <c r="AM141" s="135"/>
      <c r="AN141" s="135"/>
      <c r="AO141" s="948">
        <v>2304</v>
      </c>
      <c r="AP141" s="865"/>
      <c r="AQ141" s="135"/>
      <c r="AR141" s="865"/>
      <c r="AS141" s="961"/>
      <c r="AT141" s="135"/>
      <c r="AU141" s="135"/>
      <c r="AV141" s="948">
        <v>1851</v>
      </c>
      <c r="AW141" s="865"/>
      <c r="AX141" s="135"/>
      <c r="AY141" s="865"/>
      <c r="AZ141" s="961"/>
      <c r="BA141" s="135"/>
      <c r="BB141" s="135"/>
      <c r="BC141" s="948">
        <v>1885</v>
      </c>
      <c r="BD141" s="865"/>
      <c r="BE141" s="135"/>
      <c r="BF141" s="865"/>
      <c r="BG141" s="961"/>
      <c r="BH141" s="135"/>
      <c r="BI141" s="135"/>
      <c r="BJ141" s="948">
        <v>1618</v>
      </c>
      <c r="BK141" s="865"/>
      <c r="BL141" s="135"/>
      <c r="BM141" s="865"/>
      <c r="BN141" s="961"/>
      <c r="BO141" s="135"/>
      <c r="BP141" s="135"/>
      <c r="BQ141" s="948">
        <f>+Airbus!BR70</f>
        <v>1678</v>
      </c>
      <c r="BR141" s="865"/>
      <c r="BS141" s="135"/>
      <c r="BT141" s="865"/>
      <c r="BU141" s="961"/>
      <c r="BV141" s="135"/>
      <c r="BW141" s="135"/>
      <c r="BX141" s="948"/>
      <c r="BY141" s="865"/>
      <c r="BZ141" s="135"/>
      <c r="CA141" s="865"/>
      <c r="CB141" s="961"/>
      <c r="CC141" s="135"/>
      <c r="CD141" s="135"/>
      <c r="CE141" s="948">
        <f>+Airbus!BY70</f>
        <v>1191</v>
      </c>
      <c r="CF141" s="865"/>
      <c r="CG141" s="135"/>
      <c r="CH141" s="865"/>
      <c r="CI141" s="961"/>
      <c r="CJ141" s="135"/>
      <c r="CK141" s="135"/>
      <c r="CL141" s="948">
        <f>+Airbus!CF70</f>
        <v>1270</v>
      </c>
      <c r="CM141" s="865"/>
      <c r="CN141" s="135"/>
      <c r="CO141" s="865"/>
      <c r="CP141" s="961"/>
      <c r="CQ141" s="135"/>
      <c r="CR141" s="135"/>
      <c r="CS141" s="948">
        <f>+Airbus!CM70</f>
        <v>1730</v>
      </c>
      <c r="CT141" s="865">
        <f>+Airbus!CN70</f>
        <v>295.00288</v>
      </c>
      <c r="CU141" s="135">
        <f>+Airbus!CO70</f>
        <v>387.37328000000002</v>
      </c>
      <c r="CV141" s="865">
        <f>+Airbus!CP70</f>
        <v>383.74840000000006</v>
      </c>
      <c r="CW141" s="961">
        <f>+Airbus!CQ70</f>
        <v>986.87543999999991</v>
      </c>
      <c r="CX141" s="135">
        <f>+Airbus!CR70</f>
        <v>682.37616000000003</v>
      </c>
      <c r="CY141" s="135">
        <f>+Airbus!CS70</f>
        <v>1370.62384</v>
      </c>
      <c r="CZ141" s="948">
        <f>+Airbus!CT70</f>
        <v>2053</v>
      </c>
      <c r="DA141" s="135">
        <f>+Airbus!CU70</f>
        <v>317.27402999999993</v>
      </c>
      <c r="DB141" s="135">
        <f>+Airbus!CV70</f>
        <v>616.9514200000001</v>
      </c>
      <c r="DC141" s="865">
        <f>+Airbus!CW70</f>
        <v>562.42228</v>
      </c>
      <c r="DD141" s="961">
        <f>+Airbus!CX70</f>
        <v>1240.3522700000001</v>
      </c>
      <c r="DE141" s="135">
        <f>+Airbus!CY70</f>
        <v>934.22545000000002</v>
      </c>
      <c r="DF141" s="135">
        <f>+Airbus!CZ70</f>
        <v>1802.7745500000001</v>
      </c>
      <c r="DG141" s="948">
        <f>+Airbus!DA70</f>
        <v>2737</v>
      </c>
      <c r="DH141" s="135">
        <f>+Airbus!DB70</f>
        <v>376.36</v>
      </c>
      <c r="DI141" s="135">
        <f>+Airbus!DC70</f>
        <v>475.005</v>
      </c>
      <c r="DJ141" s="135">
        <f>+Airbus!DD70</f>
        <v>663.13499999999999</v>
      </c>
      <c r="DK141" s="1903">
        <f>+Airbus!DE70</f>
        <v>1522.5000000000002</v>
      </c>
      <c r="DL141" s="135">
        <f>+Airbus!DF70</f>
        <v>851.36500000000001</v>
      </c>
      <c r="DM141" s="1873">
        <f>+Airbus!DG70</f>
        <v>2185.6350000000002</v>
      </c>
      <c r="DN141" s="948">
        <f>+Airbus!DH70</f>
        <v>3037</v>
      </c>
      <c r="DO141" s="135">
        <f>+Airbus!DI70</f>
        <v>415.65599999999995</v>
      </c>
      <c r="DP141" s="135">
        <f>+Airbus!DJ70</f>
        <v>602.06400000000008</v>
      </c>
      <c r="DQ141" s="442">
        <f>+Airbus!DK70</f>
        <v>658.16475155988292</v>
      </c>
      <c r="DR141" s="443">
        <f>+Airbus!DL70</f>
        <v>1474.4082532278503</v>
      </c>
      <c r="DS141" s="1873">
        <f>+Airbus!DM70</f>
        <v>1017.72</v>
      </c>
      <c r="DT141" s="442">
        <f>+Airbus!DN70</f>
        <v>2132.5730047877332</v>
      </c>
      <c r="DU141" s="548">
        <f>+Airbus!DO70</f>
        <v>3150.2930047877335</v>
      </c>
      <c r="DV141" s="442">
        <f>+Airbus!DP70</f>
        <v>789.4212223018169</v>
      </c>
      <c r="DW141" s="442">
        <f>+Airbus!DQ70</f>
        <v>833.95090659096104</v>
      </c>
      <c r="DX141" s="442">
        <f>+Airbus!DR70</f>
        <v>836.07770207752094</v>
      </c>
      <c r="DY141" s="443">
        <f>+Airbus!DS70</f>
        <v>819.08305475435111</v>
      </c>
      <c r="DZ141" s="442">
        <f>+Airbus!DT70</f>
        <v>1623.3721288927779</v>
      </c>
      <c r="EA141" s="442">
        <f>+Airbus!DU70</f>
        <v>1655.160756831872</v>
      </c>
      <c r="EB141" s="548">
        <f>+Airbus!DV70</f>
        <v>3278.53288572465</v>
      </c>
      <c r="EC141" s="442">
        <f>+Airbus!DW70</f>
        <v>826.09613634112691</v>
      </c>
      <c r="ED141" s="442">
        <f>+Airbus!DX70</f>
        <v>875.13185699558119</v>
      </c>
      <c r="EE141" s="442">
        <f>+Airbus!DY70</f>
        <v>877.28709536606902</v>
      </c>
      <c r="EF141" s="443">
        <f>+Airbus!DZ70</f>
        <v>877.60933943709551</v>
      </c>
      <c r="EG141" s="442">
        <f>+Airbus!EA70</f>
        <v>1701.2279933367081</v>
      </c>
      <c r="EH141" s="442">
        <f>+Airbus!EB70</f>
        <v>1754.8964348031645</v>
      </c>
      <c r="EI141" s="548">
        <f>+Airbus!EC70</f>
        <v>3456.1244281398726</v>
      </c>
      <c r="EJ141" s="442">
        <f>+Airbus!ED70</f>
        <v>848.74191866013973</v>
      </c>
      <c r="EK141" s="442">
        <f>+Airbus!EE70</f>
        <v>861.27965209956585</v>
      </c>
      <c r="EL141" s="442">
        <f>+Airbus!EF70</f>
        <v>863.42345579936193</v>
      </c>
      <c r="EM141" s="443">
        <f>+Airbus!EG70</f>
        <v>863.23199796447773</v>
      </c>
      <c r="EN141" s="442">
        <f>+Airbus!EH70</f>
        <v>1710.0215707597056</v>
      </c>
      <c r="EO141" s="442">
        <f>+Airbus!EI70</f>
        <v>1726.6554537638397</v>
      </c>
      <c r="EP141" s="548">
        <f>+Airbus!EJ70</f>
        <v>3436.6770245235452</v>
      </c>
      <c r="EQ141" s="442">
        <f>+Airbus!EK70</f>
        <v>873.66232885004422</v>
      </c>
      <c r="ER141" s="442">
        <f>+Airbus!EL70</f>
        <v>887.03947311672925</v>
      </c>
      <c r="ES141" s="442">
        <f>+Airbus!EM70</f>
        <v>889.31667588421931</v>
      </c>
      <c r="ET141" s="443">
        <f>+Airbus!EN70</f>
        <v>888.26546833228542</v>
      </c>
      <c r="EU141" s="442">
        <f>+Airbus!EO70</f>
        <v>1760.7018019667735</v>
      </c>
      <c r="EV141" s="442">
        <f>+Airbus!EP70</f>
        <v>1777.5821442165047</v>
      </c>
      <c r="EW141" s="548">
        <f>+Airbus!EQ70</f>
        <v>3538.2839461832782</v>
      </c>
    </row>
    <row r="142" spans="1:153" ht="10.199999999999999" customHeight="1">
      <c r="A142" s="43" t="str">
        <f>+A64</f>
        <v>Airbus Helicopters</v>
      </c>
      <c r="B142" s="865">
        <v>281</v>
      </c>
      <c r="C142" s="865">
        <v>137</v>
      </c>
      <c r="D142" s="865">
        <v>142</v>
      </c>
      <c r="E142" s="865">
        <v>92</v>
      </c>
      <c r="F142" s="865">
        <v>79</v>
      </c>
      <c r="G142" s="865">
        <v>110</v>
      </c>
      <c r="H142" s="865">
        <v>206</v>
      </c>
      <c r="I142" s="865">
        <v>190</v>
      </c>
      <c r="J142" s="865">
        <v>149</v>
      </c>
      <c r="K142" s="865">
        <v>166</v>
      </c>
      <c r="L142" s="865">
        <v>200</v>
      </c>
      <c r="M142" s="865">
        <v>323</v>
      </c>
      <c r="N142" s="865"/>
      <c r="O142" s="135"/>
      <c r="P142" s="865"/>
      <c r="Q142" s="961"/>
      <c r="R142" s="135"/>
      <c r="S142" s="135"/>
      <c r="T142" s="948">
        <v>279</v>
      </c>
      <c r="U142" s="865"/>
      <c r="V142" s="135"/>
      <c r="W142" s="865"/>
      <c r="X142" s="961"/>
      <c r="Y142" s="135"/>
      <c r="Z142" s="135"/>
      <c r="AA142" s="948">
        <v>303</v>
      </c>
      <c r="AB142" s="865"/>
      <c r="AC142" s="135"/>
      <c r="AD142" s="865"/>
      <c r="AE142" s="961"/>
      <c r="AF142" s="135"/>
      <c r="AG142" s="135"/>
      <c r="AH142" s="948">
        <v>280</v>
      </c>
      <c r="AI142" s="865"/>
      <c r="AJ142" s="135"/>
      <c r="AK142" s="865"/>
      <c r="AL142" s="961"/>
      <c r="AM142" s="135"/>
      <c r="AN142" s="135"/>
      <c r="AO142" s="948">
        <v>236</v>
      </c>
      <c r="AP142" s="865"/>
      <c r="AQ142" s="135"/>
      <c r="AR142" s="865"/>
      <c r="AS142" s="961"/>
      <c r="AT142" s="135"/>
      <c r="AU142" s="135"/>
      <c r="AV142" s="948">
        <v>192</v>
      </c>
      <c r="AW142" s="865"/>
      <c r="AX142" s="135"/>
      <c r="AY142" s="865"/>
      <c r="AZ142" s="961"/>
      <c r="BA142" s="135"/>
      <c r="BB142" s="135"/>
      <c r="BC142" s="948">
        <v>192</v>
      </c>
      <c r="BD142" s="865"/>
      <c r="BE142" s="135"/>
      <c r="BF142" s="865"/>
      <c r="BG142" s="961"/>
      <c r="BH142" s="135"/>
      <c r="BI142" s="135"/>
      <c r="BJ142" s="948">
        <v>149</v>
      </c>
      <c r="BK142" s="865"/>
      <c r="BL142" s="135"/>
      <c r="BM142" s="865"/>
      <c r="BN142" s="961"/>
      <c r="BO142" s="135"/>
      <c r="BP142" s="135"/>
      <c r="BQ142" s="948">
        <f>Helicopters!BJ20</f>
        <v>163</v>
      </c>
      <c r="BR142" s="865"/>
      <c r="BS142" s="135"/>
      <c r="BT142" s="865"/>
      <c r="BU142" s="961"/>
      <c r="BV142" s="135"/>
      <c r="BW142" s="135"/>
      <c r="BX142" s="948"/>
      <c r="BY142" s="865"/>
      <c r="BZ142" s="135"/>
      <c r="CA142" s="865"/>
      <c r="CB142" s="961"/>
      <c r="CC142" s="135"/>
      <c r="CD142" s="135"/>
      <c r="CE142" s="948">
        <f>Helicopters!BQ20</f>
        <v>113</v>
      </c>
      <c r="CF142" s="865"/>
      <c r="CG142" s="135"/>
      <c r="CH142" s="865"/>
      <c r="CI142" s="961"/>
      <c r="CJ142" s="135"/>
      <c r="CK142" s="135"/>
      <c r="CL142" s="948">
        <f>Helicopters!BX20</f>
        <v>175</v>
      </c>
      <c r="CM142" s="865"/>
      <c r="CN142" s="135"/>
      <c r="CO142" s="865"/>
      <c r="CP142" s="961"/>
      <c r="CQ142" s="135"/>
      <c r="CR142" s="135"/>
      <c r="CS142" s="948">
        <f>Helicopters!CE20</f>
        <v>183</v>
      </c>
      <c r="CT142" s="865">
        <f>Helicopters!CF20</f>
        <v>47.780199999999994</v>
      </c>
      <c r="CU142" s="135">
        <f>Helicopters!CG20</f>
        <v>47.720399999999998</v>
      </c>
      <c r="CV142" s="865">
        <f>Helicopters!CH20</f>
        <v>43.893199999999993</v>
      </c>
      <c r="CW142" s="961">
        <f>Helicopters!CI20</f>
        <v>81.606200000000015</v>
      </c>
      <c r="CX142" s="135">
        <f>Helicopters!CJ20</f>
        <v>95.500599999999991</v>
      </c>
      <c r="CY142" s="135">
        <f>Helicopters!CK20</f>
        <v>125.49940000000001</v>
      </c>
      <c r="CZ142" s="948">
        <f>Helicopters!CL20</f>
        <v>221</v>
      </c>
      <c r="DA142" s="135">
        <f>Helicopters!CM20</f>
        <v>49.308750000000003</v>
      </c>
      <c r="DB142" s="135">
        <f>Helicopters!CN20</f>
        <v>58.387499999999989</v>
      </c>
      <c r="DC142" s="865">
        <f>Helicopters!CO20</f>
        <v>56.834999999999994</v>
      </c>
      <c r="DD142" s="961">
        <f>Helicopters!CP20</f>
        <v>104.46875000000001</v>
      </c>
      <c r="DE142" s="135">
        <f>Helicopters!CQ20</f>
        <v>107.69624999999999</v>
      </c>
      <c r="DF142" s="135">
        <f>Helicopters!CR20</f>
        <v>161.30375000000001</v>
      </c>
      <c r="DG142" s="948">
        <f>Helicopters!CS20</f>
        <v>269</v>
      </c>
      <c r="DH142" s="135">
        <f>Helicopters!CT20</f>
        <v>48</v>
      </c>
      <c r="DI142" s="135">
        <f>Helicopters!CU20</f>
        <v>62.790000000000006</v>
      </c>
      <c r="DJ142" s="135">
        <f>Helicopters!CV20</f>
        <v>58.769999999999996</v>
      </c>
      <c r="DK142" s="1903">
        <f>Helicopters!CW20</f>
        <v>127.43999999999998</v>
      </c>
      <c r="DL142" s="135">
        <f>Helicopters!CX20</f>
        <v>110.79</v>
      </c>
      <c r="DM142" s="1873">
        <f>Helicopters!CY20</f>
        <v>186.20999999999998</v>
      </c>
      <c r="DN142" s="948">
        <f>Helicopters!CZ20</f>
        <v>297</v>
      </c>
      <c r="DO142" s="135">
        <f>Helicopters!DA20</f>
        <v>57.743999999999993</v>
      </c>
      <c r="DP142" s="135">
        <f>Helicopters!DB20</f>
        <v>74.73599999999999</v>
      </c>
      <c r="DQ142" s="442">
        <f>Helicopters!DC20</f>
        <v>74.949380999999988</v>
      </c>
      <c r="DR142" s="443">
        <f>Helicopters!DD20</f>
        <v>129.94480677600006</v>
      </c>
      <c r="DS142" s="1873">
        <f>Helicopters!DE20</f>
        <v>132.47999999999999</v>
      </c>
      <c r="DT142" s="442">
        <f>Helicopters!DF20</f>
        <v>204.89418777600005</v>
      </c>
      <c r="DU142" s="548">
        <f>Helicopters!DG20</f>
        <v>337.37418777600004</v>
      </c>
      <c r="DV142" s="442">
        <f>Helicopters!DH20</f>
        <v>55.370259648000001</v>
      </c>
      <c r="DW142" s="442">
        <f>Helicopters!DI20</f>
        <v>71.593803072000014</v>
      </c>
      <c r="DX142" s="442">
        <f>Helicopters!DJ20</f>
        <v>71.798529122099993</v>
      </c>
      <c r="DY142" s="443">
        <f>Helicopters!DK20</f>
        <v>124.27448285427128</v>
      </c>
      <c r="DZ142" s="442">
        <f>Helicopters!DL20</f>
        <v>126.96406272000002</v>
      </c>
      <c r="EA142" s="442">
        <f>Helicopters!DM20</f>
        <v>196.07301197637128</v>
      </c>
      <c r="EB142" s="548">
        <f>Helicopters!DN20</f>
        <v>323.03707469637129</v>
      </c>
      <c r="EC142" s="442">
        <f>Helicopters!DO20</f>
        <v>52.656377571072007</v>
      </c>
      <c r="ED142" s="442">
        <f>Helicopters!DP20</f>
        <v>68.018342347008002</v>
      </c>
      <c r="EE142" s="442">
        <f>Helicopters!DQ20</f>
        <v>68.213144894684405</v>
      </c>
      <c r="EF142" s="443">
        <f>Helicopters!DR20</f>
        <v>117.87145329562162</v>
      </c>
      <c r="EG142" s="442">
        <f>Helicopters!DS20</f>
        <v>120.67471991808</v>
      </c>
      <c r="EH142" s="442">
        <f>Helicopters!DT20</f>
        <v>186.08459819030602</v>
      </c>
      <c r="EI142" s="548">
        <f>Helicopters!DU20</f>
        <v>306.75931810838603</v>
      </c>
      <c r="EJ142" s="442">
        <f>Helicopters!DV20</f>
        <v>55.084183452143321</v>
      </c>
      <c r="EK142" s="442">
        <f>Helicopters!DW20</f>
        <v>71.085086158627121</v>
      </c>
      <c r="EL142" s="442">
        <f>Helicopters!DX20</f>
        <v>71.28898610278965</v>
      </c>
      <c r="EM142" s="443">
        <f>Helicopters!DY20</f>
        <v>122.98036727856477</v>
      </c>
      <c r="EN142" s="442">
        <f>Helicopters!DZ20</f>
        <v>126.16926961077044</v>
      </c>
      <c r="EO142" s="442">
        <f>Helicopters!EA20</f>
        <v>194.26935338135442</v>
      </c>
      <c r="EP142" s="548">
        <f>Helicopters!EB20</f>
        <v>320.43862299212486</v>
      </c>
      <c r="EQ142" s="442">
        <f>Helicopters!EC20</f>
        <v>57.625097102169903</v>
      </c>
      <c r="ER142" s="442">
        <f>Helicopters!ED20</f>
        <v>74.291666559275669</v>
      </c>
      <c r="ES142" s="442">
        <f>Helicopters!EE20</f>
        <v>74.505092803420354</v>
      </c>
      <c r="ET142" s="443">
        <f>Helicopters!EF20</f>
        <v>128.31302674990872</v>
      </c>
      <c r="EU142" s="442">
        <f>Helicopters!EG20</f>
        <v>131.91676366144557</v>
      </c>
      <c r="EV142" s="442">
        <f>Helicopters!EH20</f>
        <v>202.81811955332907</v>
      </c>
      <c r="EW142" s="548">
        <f>Helicopters!EI20</f>
        <v>334.73488321477464</v>
      </c>
    </row>
    <row r="143" spans="1:153" ht="10.199999999999999" customHeight="1">
      <c r="A143" s="108" t="s">
        <v>324</v>
      </c>
      <c r="B143" s="865"/>
      <c r="C143" s="865"/>
      <c r="D143" s="865"/>
      <c r="E143" s="865"/>
      <c r="F143" s="865"/>
      <c r="G143" s="865"/>
      <c r="H143" s="865"/>
      <c r="I143" s="865"/>
      <c r="J143" s="865"/>
      <c r="K143" s="865"/>
      <c r="L143" s="865"/>
      <c r="M143" s="865"/>
      <c r="N143" s="865"/>
      <c r="O143" s="135"/>
      <c r="P143" s="865"/>
      <c r="Q143" s="961"/>
      <c r="R143" s="135"/>
      <c r="S143" s="135"/>
      <c r="T143" s="948">
        <v>466</v>
      </c>
      <c r="U143" s="865"/>
      <c r="V143" s="135"/>
      <c r="W143" s="865"/>
      <c r="X143" s="961"/>
      <c r="Y143" s="135"/>
      <c r="Z143" s="135"/>
      <c r="AA143" s="948">
        <v>497</v>
      </c>
      <c r="AB143" s="865"/>
      <c r="AC143" s="135"/>
      <c r="AD143" s="865"/>
      <c r="AE143" s="961"/>
      <c r="AF143" s="135"/>
      <c r="AG143" s="135"/>
      <c r="AH143" s="948">
        <v>552</v>
      </c>
      <c r="AI143" s="865"/>
      <c r="AJ143" s="135"/>
      <c r="AK143" s="865"/>
      <c r="AL143" s="961"/>
      <c r="AM143" s="135"/>
      <c r="AN143" s="135"/>
      <c r="AO143" s="948">
        <v>469</v>
      </c>
      <c r="AP143" s="865"/>
      <c r="AQ143" s="135"/>
      <c r="AR143" s="865"/>
      <c r="AS143" s="961"/>
      <c r="AT143" s="135"/>
      <c r="AU143" s="135"/>
      <c r="AV143" s="948">
        <v>481</v>
      </c>
      <c r="AW143" s="865"/>
      <c r="AX143" s="135"/>
      <c r="AY143" s="865"/>
      <c r="AZ143" s="961"/>
      <c r="BA143" s="135"/>
      <c r="BB143" s="135"/>
      <c r="BC143" s="948">
        <v>481</v>
      </c>
      <c r="BD143" s="865"/>
      <c r="BE143" s="135"/>
      <c r="BF143" s="865"/>
      <c r="BG143" s="961"/>
      <c r="BH143" s="135"/>
      <c r="BI143" s="135"/>
      <c r="BJ143" s="948">
        <v>518</v>
      </c>
      <c r="BK143" s="865"/>
      <c r="BL143" s="135"/>
      <c r="BM143" s="865"/>
      <c r="BN143" s="961"/>
      <c r="BO143" s="135"/>
      <c r="BP143" s="135"/>
      <c r="BQ143" s="948">
        <f>'Defence &amp; Space'!AX24</f>
        <v>498</v>
      </c>
      <c r="BR143" s="865"/>
      <c r="BS143" s="135"/>
      <c r="BT143" s="865"/>
      <c r="BU143" s="961"/>
      <c r="BV143" s="135"/>
      <c r="BW143" s="135"/>
      <c r="BX143" s="948"/>
      <c r="BY143" s="865"/>
      <c r="BZ143" s="135"/>
      <c r="CA143" s="865"/>
      <c r="CB143" s="961"/>
      <c r="CC143" s="135"/>
      <c r="CD143" s="135"/>
      <c r="CE143" s="948">
        <f>'Defence &amp; Space'!BE24</f>
        <v>455</v>
      </c>
      <c r="CF143" s="865"/>
      <c r="CG143" s="135"/>
      <c r="CH143" s="865"/>
      <c r="CI143" s="961"/>
      <c r="CJ143" s="135"/>
      <c r="CK143" s="135"/>
      <c r="CL143" s="948">
        <f>'Defence &amp; Space'!BL24</f>
        <v>483</v>
      </c>
      <c r="CM143" s="865"/>
      <c r="CN143" s="135"/>
      <c r="CO143" s="865"/>
      <c r="CP143" s="961"/>
      <c r="CQ143" s="135"/>
      <c r="CR143" s="135"/>
      <c r="CS143" s="948">
        <f>'Defence &amp; Space'!BS24</f>
        <v>551</v>
      </c>
      <c r="CT143" s="865">
        <f>'Defence &amp; Space'!BT24</f>
        <v>154.21691999999999</v>
      </c>
      <c r="CU143" s="135">
        <f>'Defence &amp; Space'!BU24</f>
        <v>157.90632000000002</v>
      </c>
      <c r="CV143" s="865">
        <f>'Defence &amp; Space'!BV24</f>
        <v>166.35839999999999</v>
      </c>
      <c r="CW143" s="961">
        <f>'Defence &amp; Space'!BW24</f>
        <v>298.51836000000003</v>
      </c>
      <c r="CX143" s="135">
        <f>'Defence &amp; Space'!BX24</f>
        <v>312.12324000000001</v>
      </c>
      <c r="CY143" s="135">
        <f>'Defence &amp; Space'!BY24</f>
        <v>464.87675999999999</v>
      </c>
      <c r="CZ143" s="948">
        <f>'Defence &amp; Space'!BZ24</f>
        <v>777</v>
      </c>
      <c r="DA143" s="135">
        <f>'Defence &amp; Space'!CA24</f>
        <v>131.41722000000001</v>
      </c>
      <c r="DB143" s="135">
        <f>'Defence &amp; Space'!CB24</f>
        <v>141.66108</v>
      </c>
      <c r="DC143" s="865">
        <f>'Defence &amp; Space'!CC24</f>
        <v>143.74272000000002</v>
      </c>
      <c r="DD143" s="961">
        <f>'Defence &amp; Space'!CD24</f>
        <v>246.17897999999997</v>
      </c>
      <c r="DE143" s="135">
        <f>'Defence &amp; Space'!CE24</f>
        <v>273.07830000000001</v>
      </c>
      <c r="DF143" s="135">
        <f>'Defence &amp; Space'!CF24</f>
        <v>389.92169999999999</v>
      </c>
      <c r="DG143" s="948">
        <f>'Defence &amp; Space'!CG24</f>
        <v>663</v>
      </c>
      <c r="DH143" s="135">
        <f>'Defence &amp; Space'!CH24</f>
        <v>172.64000000000001</v>
      </c>
      <c r="DI143" s="135">
        <f>'Defence &amp; Space'!CI24</f>
        <v>205.20500000000007</v>
      </c>
      <c r="DJ143" s="135">
        <f>'Defence &amp; Space'!CJ24</f>
        <v>199.09500000000003</v>
      </c>
      <c r="DK143" s="1903">
        <f>'Defence &amp; Space'!CK24</f>
        <v>53.059999999999889</v>
      </c>
      <c r="DL143" s="135">
        <f>'Defence &amp; Space'!CL24</f>
        <v>377.84500000000008</v>
      </c>
      <c r="DM143" s="1873">
        <f>'Defence &amp; Space'!CM24</f>
        <v>252.15499999999992</v>
      </c>
      <c r="DN143" s="948">
        <f>'Defence &amp; Space'!CN24</f>
        <v>630</v>
      </c>
      <c r="DO143" s="135">
        <f>'Defence &amp; Space'!CO24</f>
        <v>141.6</v>
      </c>
      <c r="DP143" s="135">
        <f>'Defence &amp; Space'!CP24</f>
        <v>174.20000000000002</v>
      </c>
      <c r="DQ143" s="442">
        <f>'Defence &amp; Space'!CQ24</f>
        <v>167.16322500000001</v>
      </c>
      <c r="DR143" s="443">
        <f>'Defence &amp; Space'!CR24</f>
        <v>243.58777500000002</v>
      </c>
      <c r="DS143" s="1873">
        <f>'Defence &amp; Space'!CS24</f>
        <v>315.8</v>
      </c>
      <c r="DT143" s="442">
        <f>'Defence &amp; Space'!CT24</f>
        <v>410.75100000000003</v>
      </c>
      <c r="DU143" s="548">
        <f>'Defence &amp; Space'!CU24</f>
        <v>726.55100000000004</v>
      </c>
      <c r="DV143" s="442">
        <f>'Defence &amp; Space'!CV24</f>
        <v>151.05180000000001</v>
      </c>
      <c r="DW143" s="442">
        <f>'Defence &amp; Space'!CW24</f>
        <v>185.98575</v>
      </c>
      <c r="DX143" s="442">
        <f>'Defence &amp; Space'!CX24</f>
        <v>178.30105875000001</v>
      </c>
      <c r="DY143" s="443">
        <f>'Defence &amp; Space'!CY24</f>
        <v>260.07361624999999</v>
      </c>
      <c r="DZ143" s="442">
        <f>'Defence &amp; Space'!CZ24</f>
        <v>337.03755000000001</v>
      </c>
      <c r="EA143" s="442">
        <f>'Defence &amp; Space'!DA24</f>
        <v>438.37467500000002</v>
      </c>
      <c r="EB143" s="548">
        <f>'Defence &amp; Space'!DB24</f>
        <v>775.41222500000003</v>
      </c>
      <c r="EC143" s="442">
        <f>'Defence &amp; Space'!DC24</f>
        <v>158.60439000000002</v>
      </c>
      <c r="ED143" s="442">
        <f>'Defence &amp; Space'!DD24</f>
        <v>195.28503750000004</v>
      </c>
      <c r="EE143" s="442">
        <f>'Defence &amp; Space'!DE24</f>
        <v>187.21611168750002</v>
      </c>
      <c r="EF143" s="443">
        <f>'Defence &amp; Space'!DF24</f>
        <v>273.07729706250018</v>
      </c>
      <c r="EG143" s="442">
        <f>'Defence &amp; Space'!DG24</f>
        <v>353.88942750000007</v>
      </c>
      <c r="EH143" s="442">
        <f>'Defence &amp; Space'!DH24</f>
        <v>460.2934087500002</v>
      </c>
      <c r="EI143" s="548">
        <f>'Defence &amp; Space'!DI24</f>
        <v>814.18283625000026</v>
      </c>
      <c r="EJ143" s="442">
        <f>'Defence &amp; Space'!DJ24</f>
        <v>166.53460949999999</v>
      </c>
      <c r="EK143" s="442">
        <f>'Defence &amp; Space'!DK24</f>
        <v>205.04928937500011</v>
      </c>
      <c r="EL143" s="442">
        <f>'Defence &amp; Space'!DL24</f>
        <v>196.57691727187503</v>
      </c>
      <c r="EM143" s="443">
        <f>'Defence &amp; Space'!DM24</f>
        <v>286.73116191562497</v>
      </c>
      <c r="EN143" s="442">
        <f>'Defence &amp; Space'!DN24</f>
        <v>371.5838988750001</v>
      </c>
      <c r="EO143" s="442">
        <f>'Defence &amp; Space'!DO24</f>
        <v>483.30807918750003</v>
      </c>
      <c r="EP143" s="548">
        <f>'Defence &amp; Space'!DP24</f>
        <v>854.89197806250013</v>
      </c>
      <c r="EQ143" s="442">
        <f>'Defence &amp; Space'!DQ24</f>
        <v>174.86133997500002</v>
      </c>
      <c r="ER143" s="442">
        <f>'Defence &amp; Space'!DR24</f>
        <v>215.30175384375008</v>
      </c>
      <c r="ES143" s="442">
        <f>'Defence &amp; Space'!DS24</f>
        <v>206.40576313546882</v>
      </c>
      <c r="ET143" s="443">
        <f>'Defence &amp; Space'!DT24</f>
        <v>301.06772001140649</v>
      </c>
      <c r="EU143" s="442">
        <f>'Defence &amp; Space'!DU24</f>
        <v>390.1630938187501</v>
      </c>
      <c r="EV143" s="442">
        <f>'Defence &amp; Space'!DV24</f>
        <v>507.47348314687531</v>
      </c>
      <c r="EW143" s="548">
        <f>'Defence &amp; Space'!DW24</f>
        <v>897.63657696562541</v>
      </c>
    </row>
    <row r="144" spans="1:153" ht="10.199999999999999" hidden="1" customHeight="1" outlineLevel="1">
      <c r="A144" s="127" t="str">
        <f>+A66</f>
        <v>Airbus Military</v>
      </c>
      <c r="B144" s="865">
        <v>63</v>
      </c>
      <c r="C144" s="865">
        <v>68</v>
      </c>
      <c r="D144" s="865">
        <v>28</v>
      </c>
      <c r="E144" s="865">
        <v>49</v>
      </c>
      <c r="F144" s="865">
        <v>93</v>
      </c>
      <c r="G144" s="865">
        <v>121</v>
      </c>
      <c r="H144" s="865">
        <v>102</v>
      </c>
      <c r="I144" s="865">
        <v>170</v>
      </c>
      <c r="J144" s="865">
        <v>80</v>
      </c>
      <c r="K144" s="865">
        <v>64</v>
      </c>
      <c r="L144" s="865">
        <v>110</v>
      </c>
      <c r="M144" s="865">
        <v>85</v>
      </c>
      <c r="N144" s="865"/>
      <c r="O144" s="865"/>
      <c r="P144" s="865"/>
      <c r="Q144" s="1102"/>
      <c r="R144" s="865"/>
      <c r="S144" s="865"/>
      <c r="T144" s="948"/>
      <c r="U144" s="865"/>
      <c r="V144" s="865"/>
      <c r="W144" s="865"/>
      <c r="X144" s="1102"/>
      <c r="Y144" s="865"/>
      <c r="Z144" s="865"/>
      <c r="AA144" s="948"/>
      <c r="AB144" s="865"/>
      <c r="AC144" s="865"/>
      <c r="AD144" s="865"/>
      <c r="AE144" s="1102"/>
      <c r="AF144" s="865"/>
      <c r="AG144" s="865"/>
      <c r="AH144" s="948"/>
      <c r="AI144" s="865"/>
      <c r="AJ144" s="865"/>
      <c r="AK144" s="865"/>
      <c r="AL144" s="1102"/>
      <c r="AM144" s="865"/>
      <c r="AN144" s="865"/>
      <c r="AO144" s="948"/>
      <c r="AP144" s="865"/>
      <c r="AQ144" s="865"/>
      <c r="AR144" s="865"/>
      <c r="AS144" s="1102"/>
      <c r="AT144" s="865"/>
      <c r="AU144" s="865"/>
      <c r="AV144" s="948"/>
      <c r="AW144" s="865"/>
      <c r="AX144" s="865"/>
      <c r="AY144" s="865"/>
      <c r="AZ144" s="1102"/>
      <c r="BA144" s="865"/>
      <c r="BB144" s="865"/>
      <c r="BC144" s="948"/>
      <c r="BD144" s="865"/>
      <c r="BE144" s="865"/>
      <c r="BF144" s="865"/>
      <c r="BG144" s="1102"/>
      <c r="BH144" s="865"/>
      <c r="BI144" s="865"/>
      <c r="BJ144" s="948"/>
      <c r="BK144" s="865"/>
      <c r="BL144" s="865"/>
      <c r="BM144" s="865"/>
      <c r="BN144" s="1102"/>
      <c r="BO144" s="865"/>
      <c r="BP144" s="865"/>
      <c r="BQ144" s="948"/>
      <c r="BR144" s="865"/>
      <c r="BS144" s="865"/>
      <c r="BT144" s="865"/>
      <c r="BU144" s="1102"/>
      <c r="BV144" s="865"/>
      <c r="BW144" s="865"/>
      <c r="BX144" s="948"/>
      <c r="BY144" s="865"/>
      <c r="BZ144" s="865"/>
      <c r="CA144" s="865"/>
      <c r="CB144" s="1102"/>
      <c r="CC144" s="865"/>
      <c r="CD144" s="865"/>
      <c r="CE144" s="948"/>
      <c r="CF144" s="865"/>
      <c r="CG144" s="865"/>
      <c r="CH144" s="865"/>
      <c r="CI144" s="1102"/>
      <c r="CJ144" s="865"/>
      <c r="CK144" s="865"/>
      <c r="CL144" s="948"/>
      <c r="CM144" s="865"/>
      <c r="CN144" s="865"/>
      <c r="CO144" s="865"/>
      <c r="CP144" s="1102"/>
      <c r="CQ144" s="865"/>
      <c r="CR144" s="865"/>
      <c r="CS144" s="948"/>
      <c r="CT144" s="865"/>
      <c r="CU144" s="865"/>
      <c r="CV144" s="865"/>
      <c r="CW144" s="1102"/>
      <c r="CX144" s="865"/>
      <c r="CY144" s="865"/>
      <c r="CZ144" s="948"/>
      <c r="DA144" s="865"/>
      <c r="DB144" s="865"/>
      <c r="DC144" s="865"/>
      <c r="DD144" s="1102"/>
      <c r="DE144" s="865"/>
      <c r="DF144" s="865"/>
      <c r="DG144" s="948"/>
      <c r="DH144" s="865"/>
      <c r="DI144" s="865"/>
      <c r="DJ144" s="865"/>
      <c r="DK144" s="1902"/>
      <c r="DL144" s="865"/>
      <c r="DM144" s="1872"/>
      <c r="DN144" s="948"/>
      <c r="DO144" s="865"/>
      <c r="DP144" s="865"/>
      <c r="DQ144" s="865"/>
      <c r="DR144" s="1102"/>
      <c r="DS144" s="1872"/>
      <c r="DT144" s="865"/>
      <c r="DU144" s="948"/>
      <c r="DV144" s="865"/>
      <c r="DW144" s="865"/>
      <c r="DX144" s="865"/>
      <c r="DY144" s="1102"/>
      <c r="DZ144" s="865"/>
      <c r="EA144" s="865"/>
      <c r="EB144" s="948"/>
      <c r="EC144" s="865"/>
      <c r="ED144" s="865"/>
      <c r="EE144" s="865"/>
      <c r="EF144" s="1102"/>
      <c r="EG144" s="865"/>
      <c r="EH144" s="865"/>
      <c r="EI144" s="948"/>
      <c r="EJ144" s="865"/>
      <c r="EK144" s="865"/>
      <c r="EL144" s="865"/>
      <c r="EM144" s="1102"/>
      <c r="EN144" s="865"/>
      <c r="EO144" s="865"/>
      <c r="EP144" s="948"/>
      <c r="EQ144" s="865"/>
      <c r="ER144" s="865"/>
      <c r="ES144" s="865"/>
      <c r="ET144" s="1102"/>
      <c r="EU144" s="865"/>
      <c r="EV144" s="865"/>
      <c r="EW144" s="948"/>
    </row>
    <row r="145" spans="1:153" ht="10.199999999999999" hidden="1" customHeight="1" outlineLevel="1">
      <c r="A145" s="127" t="str">
        <f>+A67</f>
        <v>Cassidian</v>
      </c>
      <c r="B145" s="865">
        <v>159</v>
      </c>
      <c r="C145" s="865">
        <v>189</v>
      </c>
      <c r="D145" s="865">
        <v>207</v>
      </c>
      <c r="E145" s="865">
        <v>174</v>
      </c>
      <c r="F145" s="865">
        <v>205</v>
      </c>
      <c r="G145" s="865">
        <v>214</v>
      </c>
      <c r="H145" s="865">
        <v>233</v>
      </c>
      <c r="I145" s="865">
        <v>188</v>
      </c>
      <c r="J145" s="865">
        <v>157</v>
      </c>
      <c r="K145" s="865">
        <v>212</v>
      </c>
      <c r="L145" s="865">
        <v>149</v>
      </c>
      <c r="M145" s="865">
        <v>179</v>
      </c>
      <c r="N145" s="865"/>
      <c r="O145" s="865"/>
      <c r="P145" s="865"/>
      <c r="Q145" s="1102"/>
      <c r="R145" s="865"/>
      <c r="S145" s="865"/>
      <c r="T145" s="948"/>
      <c r="U145" s="865"/>
      <c r="V145" s="865"/>
      <c r="W145" s="865"/>
      <c r="X145" s="1102"/>
      <c r="Y145" s="865"/>
      <c r="Z145" s="865"/>
      <c r="AA145" s="948"/>
      <c r="AB145" s="865"/>
      <c r="AC145" s="865"/>
      <c r="AD145" s="865"/>
      <c r="AE145" s="1102"/>
      <c r="AF145" s="865"/>
      <c r="AG145" s="865"/>
      <c r="AH145" s="948"/>
      <c r="AI145" s="865"/>
      <c r="AJ145" s="865"/>
      <c r="AK145" s="865"/>
      <c r="AL145" s="1102"/>
      <c r="AM145" s="865"/>
      <c r="AN145" s="865"/>
      <c r="AO145" s="948"/>
      <c r="AP145" s="865"/>
      <c r="AQ145" s="865"/>
      <c r="AR145" s="865"/>
      <c r="AS145" s="1102"/>
      <c r="AT145" s="865"/>
      <c r="AU145" s="865"/>
      <c r="AV145" s="948"/>
      <c r="AW145" s="865"/>
      <c r="AX145" s="865"/>
      <c r="AY145" s="865"/>
      <c r="AZ145" s="1102"/>
      <c r="BA145" s="865"/>
      <c r="BB145" s="865"/>
      <c r="BC145" s="948"/>
      <c r="BD145" s="865"/>
      <c r="BE145" s="865"/>
      <c r="BF145" s="865"/>
      <c r="BG145" s="1102"/>
      <c r="BH145" s="865"/>
      <c r="BI145" s="865"/>
      <c r="BJ145" s="948"/>
      <c r="BK145" s="865"/>
      <c r="BL145" s="865"/>
      <c r="BM145" s="865"/>
      <c r="BN145" s="1102"/>
      <c r="BO145" s="865"/>
      <c r="BP145" s="865"/>
      <c r="BQ145" s="948"/>
      <c r="BR145" s="865"/>
      <c r="BS145" s="865"/>
      <c r="BT145" s="865"/>
      <c r="BU145" s="1102"/>
      <c r="BV145" s="865"/>
      <c r="BW145" s="865"/>
      <c r="BX145" s="948"/>
      <c r="BY145" s="865"/>
      <c r="BZ145" s="865"/>
      <c r="CA145" s="865"/>
      <c r="CB145" s="1102"/>
      <c r="CC145" s="865"/>
      <c r="CD145" s="865"/>
      <c r="CE145" s="948"/>
      <c r="CF145" s="865"/>
      <c r="CG145" s="865"/>
      <c r="CH145" s="865"/>
      <c r="CI145" s="1102"/>
      <c r="CJ145" s="865"/>
      <c r="CK145" s="865"/>
      <c r="CL145" s="948"/>
      <c r="CM145" s="865"/>
      <c r="CN145" s="865"/>
      <c r="CO145" s="865"/>
      <c r="CP145" s="1102"/>
      <c r="CQ145" s="865"/>
      <c r="CR145" s="865"/>
      <c r="CS145" s="948"/>
      <c r="CT145" s="865"/>
      <c r="CU145" s="865"/>
      <c r="CV145" s="865"/>
      <c r="CW145" s="1102"/>
      <c r="CX145" s="865"/>
      <c r="CY145" s="865"/>
      <c r="CZ145" s="948"/>
      <c r="DA145" s="865"/>
      <c r="DB145" s="865"/>
      <c r="DC145" s="865"/>
      <c r="DD145" s="1102"/>
      <c r="DE145" s="865"/>
      <c r="DF145" s="865"/>
      <c r="DG145" s="948"/>
      <c r="DH145" s="865"/>
      <c r="DI145" s="865"/>
      <c r="DJ145" s="865"/>
      <c r="DK145" s="1902"/>
      <c r="DL145" s="865"/>
      <c r="DM145" s="1872"/>
      <c r="DN145" s="948"/>
      <c r="DO145" s="865"/>
      <c r="DP145" s="865"/>
      <c r="DQ145" s="865"/>
      <c r="DR145" s="1102"/>
      <c r="DS145" s="1872"/>
      <c r="DT145" s="865"/>
      <c r="DU145" s="948"/>
      <c r="DV145" s="865"/>
      <c r="DW145" s="865"/>
      <c r="DX145" s="865"/>
      <c r="DY145" s="1102"/>
      <c r="DZ145" s="865"/>
      <c r="EA145" s="865"/>
      <c r="EB145" s="948"/>
      <c r="EC145" s="865"/>
      <c r="ED145" s="865"/>
      <c r="EE145" s="865"/>
      <c r="EF145" s="1102"/>
      <c r="EG145" s="865"/>
      <c r="EH145" s="865"/>
      <c r="EI145" s="948"/>
      <c r="EJ145" s="865"/>
      <c r="EK145" s="865"/>
      <c r="EL145" s="865"/>
      <c r="EM145" s="1102"/>
      <c r="EN145" s="865"/>
      <c r="EO145" s="865"/>
      <c r="EP145" s="948"/>
      <c r="EQ145" s="865"/>
      <c r="ER145" s="865"/>
      <c r="ES145" s="865"/>
      <c r="ET145" s="1102"/>
      <c r="EU145" s="865"/>
      <c r="EV145" s="865"/>
      <c r="EW145" s="948"/>
    </row>
    <row r="146" spans="1:153" ht="10.199999999999999" hidden="1" customHeight="1" outlineLevel="1">
      <c r="A146" s="127" t="str">
        <f>+A68</f>
        <v>Astrium</v>
      </c>
      <c r="B146" s="865">
        <v>99</v>
      </c>
      <c r="C146" s="865">
        <v>89</v>
      </c>
      <c r="D146" s="865">
        <v>473</v>
      </c>
      <c r="E146" s="865">
        <v>423</v>
      </c>
      <c r="F146" s="865">
        <v>467</v>
      </c>
      <c r="G146" s="865">
        <v>462</v>
      </c>
      <c r="H146" s="865">
        <v>446</v>
      </c>
      <c r="I146" s="865">
        <v>244</v>
      </c>
      <c r="J146" s="865">
        <v>272</v>
      </c>
      <c r="K146" s="865">
        <v>339</v>
      </c>
      <c r="L146" s="865">
        <v>344</v>
      </c>
      <c r="M146" s="865">
        <v>393</v>
      </c>
      <c r="N146" s="865"/>
      <c r="O146" s="865"/>
      <c r="P146" s="865"/>
      <c r="Q146" s="1102"/>
      <c r="R146" s="865"/>
      <c r="S146" s="865"/>
      <c r="T146" s="948"/>
      <c r="U146" s="865"/>
      <c r="V146" s="865"/>
      <c r="W146" s="865"/>
      <c r="X146" s="1102"/>
      <c r="Y146" s="865"/>
      <c r="Z146" s="865"/>
      <c r="AA146" s="948"/>
      <c r="AB146" s="865"/>
      <c r="AC146" s="865"/>
      <c r="AD146" s="865"/>
      <c r="AE146" s="1102"/>
      <c r="AF146" s="865"/>
      <c r="AG146" s="865"/>
      <c r="AH146" s="948"/>
      <c r="AI146" s="865"/>
      <c r="AJ146" s="865"/>
      <c r="AK146" s="865"/>
      <c r="AL146" s="1102"/>
      <c r="AM146" s="865"/>
      <c r="AN146" s="865"/>
      <c r="AO146" s="948"/>
      <c r="AP146" s="865"/>
      <c r="AQ146" s="865"/>
      <c r="AR146" s="865"/>
      <c r="AS146" s="1102"/>
      <c r="AT146" s="865"/>
      <c r="AU146" s="865"/>
      <c r="AV146" s="948"/>
      <c r="AW146" s="865"/>
      <c r="AX146" s="865"/>
      <c r="AY146" s="865"/>
      <c r="AZ146" s="1102"/>
      <c r="BA146" s="865"/>
      <c r="BB146" s="865"/>
      <c r="BC146" s="948"/>
      <c r="BD146" s="865"/>
      <c r="BE146" s="865"/>
      <c r="BF146" s="865"/>
      <c r="BG146" s="1102"/>
      <c r="BH146" s="865"/>
      <c r="BI146" s="865"/>
      <c r="BJ146" s="948"/>
      <c r="BK146" s="865"/>
      <c r="BL146" s="865"/>
      <c r="BM146" s="865"/>
      <c r="BN146" s="1102"/>
      <c r="BO146" s="865"/>
      <c r="BP146" s="865"/>
      <c r="BQ146" s="948"/>
      <c r="BR146" s="865"/>
      <c r="BS146" s="865"/>
      <c r="BT146" s="865"/>
      <c r="BU146" s="1102"/>
      <c r="BV146" s="865"/>
      <c r="BW146" s="865"/>
      <c r="BX146" s="948"/>
      <c r="BY146" s="865"/>
      <c r="BZ146" s="865"/>
      <c r="CA146" s="865"/>
      <c r="CB146" s="1102"/>
      <c r="CC146" s="865"/>
      <c r="CD146" s="865"/>
      <c r="CE146" s="948"/>
      <c r="CF146" s="865"/>
      <c r="CG146" s="865"/>
      <c r="CH146" s="865"/>
      <c r="CI146" s="1102"/>
      <c r="CJ146" s="865"/>
      <c r="CK146" s="865"/>
      <c r="CL146" s="948"/>
      <c r="CM146" s="865"/>
      <c r="CN146" s="865"/>
      <c r="CO146" s="865"/>
      <c r="CP146" s="1102"/>
      <c r="CQ146" s="865"/>
      <c r="CR146" s="865"/>
      <c r="CS146" s="948"/>
      <c r="CT146" s="865"/>
      <c r="CU146" s="865"/>
      <c r="CV146" s="865"/>
      <c r="CW146" s="1102"/>
      <c r="CX146" s="865"/>
      <c r="CY146" s="865"/>
      <c r="CZ146" s="948"/>
      <c r="DA146" s="865"/>
      <c r="DB146" s="865"/>
      <c r="DC146" s="865"/>
      <c r="DD146" s="1102"/>
      <c r="DE146" s="865"/>
      <c r="DF146" s="865"/>
      <c r="DG146" s="948"/>
      <c r="DH146" s="865"/>
      <c r="DI146" s="865"/>
      <c r="DJ146" s="865"/>
      <c r="DK146" s="1902"/>
      <c r="DL146" s="865"/>
      <c r="DM146" s="1872"/>
      <c r="DN146" s="948"/>
      <c r="DO146" s="865"/>
      <c r="DP146" s="865"/>
      <c r="DQ146" s="865"/>
      <c r="DR146" s="1102"/>
      <c r="DS146" s="1872"/>
      <c r="DT146" s="865"/>
      <c r="DU146" s="948"/>
      <c r="DV146" s="865"/>
      <c r="DW146" s="865"/>
      <c r="DX146" s="865"/>
      <c r="DY146" s="1102"/>
      <c r="DZ146" s="865"/>
      <c r="EA146" s="865"/>
      <c r="EB146" s="948"/>
      <c r="EC146" s="865"/>
      <c r="ED146" s="865"/>
      <c r="EE146" s="865"/>
      <c r="EF146" s="1102"/>
      <c r="EG146" s="865"/>
      <c r="EH146" s="865"/>
      <c r="EI146" s="948"/>
      <c r="EJ146" s="865"/>
      <c r="EK146" s="865"/>
      <c r="EL146" s="865"/>
      <c r="EM146" s="1102"/>
      <c r="EN146" s="865"/>
      <c r="EO146" s="865"/>
      <c r="EP146" s="948"/>
      <c r="EQ146" s="865"/>
      <c r="ER146" s="865"/>
      <c r="ES146" s="865"/>
      <c r="ET146" s="1102"/>
      <c r="EU146" s="865"/>
      <c r="EV146" s="865"/>
      <c r="EW146" s="948"/>
    </row>
    <row r="147" spans="1:153" ht="10.199999999999999" hidden="1" customHeight="1" outlineLevel="1">
      <c r="A147" s="43" t="str">
        <f>+A71</f>
        <v>HQ/Eliminations &amp; other businesses</v>
      </c>
      <c r="B147" s="865">
        <v>161</v>
      </c>
      <c r="C147" s="865">
        <v>157</v>
      </c>
      <c r="D147" s="865">
        <v>74</v>
      </c>
      <c r="E147" s="865">
        <v>72</v>
      </c>
      <c r="F147" s="865">
        <v>86</v>
      </c>
      <c r="G147" s="865">
        <v>130</v>
      </c>
      <c r="H147" s="865">
        <v>68</v>
      </c>
      <c r="I147" s="865">
        <v>41</v>
      </c>
      <c r="J147" s="865">
        <v>16</v>
      </c>
      <c r="K147" s="865">
        <v>20</v>
      </c>
      <c r="L147" s="865">
        <v>49</v>
      </c>
      <c r="M147" s="865">
        <v>-39</v>
      </c>
      <c r="N147" s="865"/>
      <c r="O147" s="865"/>
      <c r="P147" s="865"/>
      <c r="Q147" s="1102"/>
      <c r="R147" s="865"/>
      <c r="S147" s="865"/>
      <c r="T147" s="948">
        <v>0</v>
      </c>
      <c r="U147" s="865"/>
      <c r="V147" s="865"/>
      <c r="W147" s="865"/>
      <c r="X147" s="1102"/>
      <c r="Y147" s="865"/>
      <c r="Z147" s="865"/>
      <c r="AA147" s="948">
        <f>+T147</f>
        <v>0</v>
      </c>
      <c r="AB147" s="865"/>
      <c r="AC147" s="865"/>
      <c r="AD147" s="865"/>
      <c r="AE147" s="1102"/>
      <c r="AF147" s="865"/>
      <c r="AG147" s="865"/>
      <c r="AH147" s="948">
        <f>+AA147</f>
        <v>0</v>
      </c>
      <c r="AI147" s="865"/>
      <c r="AJ147" s="865"/>
      <c r="AK147" s="865"/>
      <c r="AL147" s="1102"/>
      <c r="AM147" s="865"/>
      <c r="AN147" s="865"/>
      <c r="AO147" s="948">
        <f>+AH147</f>
        <v>0</v>
      </c>
      <c r="AP147" s="865"/>
      <c r="AQ147" s="865"/>
      <c r="AR147" s="865"/>
      <c r="AS147" s="1102"/>
      <c r="AT147" s="865"/>
      <c r="AU147" s="865"/>
      <c r="AV147" s="948">
        <f>+AO147</f>
        <v>0</v>
      </c>
      <c r="AW147" s="865"/>
      <c r="AX147" s="865"/>
      <c r="AY147" s="865"/>
      <c r="AZ147" s="1102"/>
      <c r="BA147" s="865"/>
      <c r="BB147" s="865"/>
      <c r="BC147" s="948"/>
      <c r="BD147" s="865"/>
      <c r="BE147" s="865"/>
      <c r="BF147" s="865"/>
      <c r="BG147" s="1102"/>
      <c r="BH147" s="865"/>
      <c r="BI147" s="865"/>
      <c r="BJ147" s="948">
        <f>+AV147</f>
        <v>0</v>
      </c>
      <c r="BK147" s="865"/>
      <c r="BL147" s="865"/>
      <c r="BM147" s="865"/>
      <c r="BN147" s="1102"/>
      <c r="BO147" s="865"/>
      <c r="BP147" s="865"/>
      <c r="BQ147" s="948">
        <f>+BJ147</f>
        <v>0</v>
      </c>
      <c r="BR147" s="865"/>
      <c r="BS147" s="865"/>
      <c r="BT147" s="865"/>
      <c r="BU147" s="1102"/>
      <c r="BV147" s="865"/>
      <c r="BW147" s="865"/>
      <c r="BX147" s="948"/>
      <c r="BY147" s="865"/>
      <c r="BZ147" s="865"/>
      <c r="CA147" s="865"/>
      <c r="CB147" s="1102"/>
      <c r="CC147" s="865"/>
      <c r="CD147" s="865"/>
      <c r="CE147" s="948">
        <f>+BQ147</f>
        <v>0</v>
      </c>
      <c r="CF147" s="865"/>
      <c r="CG147" s="865"/>
      <c r="CH147" s="865"/>
      <c r="CI147" s="1102"/>
      <c r="CJ147" s="865"/>
      <c r="CK147" s="865"/>
      <c r="CL147" s="948">
        <f t="shared" ref="CL147" si="1098">+CE147</f>
        <v>0</v>
      </c>
      <c r="CM147" s="865"/>
      <c r="CN147" s="865"/>
      <c r="CO147" s="865"/>
      <c r="CP147" s="1102"/>
      <c r="CQ147" s="865"/>
      <c r="CR147" s="865"/>
      <c r="CS147" s="948">
        <f>+CL147</f>
        <v>0</v>
      </c>
      <c r="CT147" s="865">
        <f>CX147/2</f>
        <v>0</v>
      </c>
      <c r="CU147" s="865">
        <f>CX147-CT147</f>
        <v>0</v>
      </c>
      <c r="CV147" s="865">
        <v>0</v>
      </c>
      <c r="CW147" s="1102">
        <f>CY147-CV147</f>
        <v>0</v>
      </c>
      <c r="CX147" s="865">
        <f>CZ147/2</f>
        <v>0</v>
      </c>
      <c r="CY147" s="865">
        <f>CZ147-CX147</f>
        <v>0</v>
      </c>
      <c r="CZ147" s="948">
        <v>0</v>
      </c>
      <c r="DA147" s="865">
        <v>0</v>
      </c>
      <c r="DB147" s="865">
        <f>DE147-DA147</f>
        <v>0</v>
      </c>
      <c r="DC147" s="865">
        <v>0</v>
      </c>
      <c r="DD147" s="1102">
        <f>DF147-DC147</f>
        <v>0</v>
      </c>
      <c r="DE147" s="865">
        <v>0</v>
      </c>
      <c r="DF147" s="865">
        <f>DG147-DE147</f>
        <v>0</v>
      </c>
      <c r="DG147" s="948">
        <v>0</v>
      </c>
      <c r="DH147" s="865">
        <f>DL147/2</f>
        <v>0</v>
      </c>
      <c r="DI147" s="865">
        <f>DL147-DH147</f>
        <v>0</v>
      </c>
      <c r="DJ147" s="865">
        <f>DM147/2</f>
        <v>0</v>
      </c>
      <c r="DK147" s="1902">
        <f>DM147-DJ147</f>
        <v>0</v>
      </c>
      <c r="DL147" s="865">
        <v>0</v>
      </c>
      <c r="DM147" s="1872">
        <f>DN147-DL147</f>
        <v>0</v>
      </c>
      <c r="DN147" s="1842"/>
      <c r="DO147" s="865">
        <f>DS147/2</f>
        <v>0</v>
      </c>
      <c r="DP147" s="865">
        <f>DS147-DO147</f>
        <v>0</v>
      </c>
      <c r="DQ147" s="897">
        <f>DT147/2</f>
        <v>0</v>
      </c>
      <c r="DR147" s="1117">
        <f>DT147-DQ147</f>
        <v>0</v>
      </c>
      <c r="DS147" s="1872"/>
      <c r="DT147" s="897">
        <f>DU147-DS147</f>
        <v>0</v>
      </c>
      <c r="DU147" s="548">
        <f>+DN147</f>
        <v>0</v>
      </c>
      <c r="DV147" s="897">
        <f>DZ147/2</f>
        <v>0</v>
      </c>
      <c r="DW147" s="897">
        <f>DZ147-DV147</f>
        <v>0</v>
      </c>
      <c r="DX147" s="897">
        <f>EA147/2</f>
        <v>0</v>
      </c>
      <c r="DY147" s="1117">
        <f>EA147-DX147</f>
        <v>0</v>
      </c>
      <c r="DZ147" s="897">
        <f>EB147/2</f>
        <v>0</v>
      </c>
      <c r="EA147" s="897">
        <f>EB147-DZ147</f>
        <v>0</v>
      </c>
      <c r="EB147" s="548">
        <f>+DU147</f>
        <v>0</v>
      </c>
      <c r="EC147" s="897">
        <f>EG147/2</f>
        <v>0</v>
      </c>
      <c r="ED147" s="897">
        <f>EG147-EC147</f>
        <v>0</v>
      </c>
      <c r="EE147" s="897">
        <f>EH147/2</f>
        <v>0</v>
      </c>
      <c r="EF147" s="1117">
        <f>EH147-EE147</f>
        <v>0</v>
      </c>
      <c r="EG147" s="897">
        <f>EI147/2</f>
        <v>0</v>
      </c>
      <c r="EH147" s="897">
        <f>EI147-EG147</f>
        <v>0</v>
      </c>
      <c r="EI147" s="548">
        <f>+EB147</f>
        <v>0</v>
      </c>
      <c r="EJ147" s="897">
        <f>EN147/2</f>
        <v>0</v>
      </c>
      <c r="EK147" s="897">
        <f>EN147-EJ147</f>
        <v>0</v>
      </c>
      <c r="EL147" s="897">
        <f>EO147/2</f>
        <v>0</v>
      </c>
      <c r="EM147" s="1117">
        <f>EO147-EL147</f>
        <v>0</v>
      </c>
      <c r="EN147" s="897">
        <f>EP147/2</f>
        <v>0</v>
      </c>
      <c r="EO147" s="897">
        <f>EP147-EN147</f>
        <v>0</v>
      </c>
      <c r="EP147" s="548">
        <f>+EI147</f>
        <v>0</v>
      </c>
      <c r="EQ147" s="897">
        <f>EU147/2</f>
        <v>0</v>
      </c>
      <c r="ER147" s="897">
        <f>EU147-EQ147</f>
        <v>0</v>
      </c>
      <c r="ES147" s="897">
        <f>EV147/2</f>
        <v>0</v>
      </c>
      <c r="ET147" s="1117">
        <f>EV147-ES147</f>
        <v>0</v>
      </c>
      <c r="EU147" s="897">
        <f>EW147/2</f>
        <v>0</v>
      </c>
      <c r="EV147" s="897">
        <f>EW147-EU147</f>
        <v>0</v>
      </c>
      <c r="EW147" s="548">
        <f>+EP147</f>
        <v>0</v>
      </c>
    </row>
    <row r="148" spans="1:153" ht="10.199999999999999" customHeight="1" collapsed="1">
      <c r="A148" s="108" t="s">
        <v>326</v>
      </c>
      <c r="B148" s="865">
        <v>0</v>
      </c>
      <c r="C148" s="865">
        <v>0</v>
      </c>
      <c r="D148" s="865">
        <v>0</v>
      </c>
      <c r="E148" s="865">
        <v>85</v>
      </c>
      <c r="F148" s="865">
        <v>64</v>
      </c>
      <c r="G148" s="865">
        <v>68</v>
      </c>
      <c r="H148" s="865">
        <v>57</v>
      </c>
      <c r="I148" s="865">
        <v>117</v>
      </c>
      <c r="J148" s="865">
        <v>29</v>
      </c>
      <c r="K148" s="865">
        <v>30</v>
      </c>
      <c r="L148" s="865">
        <v>14</v>
      </c>
      <c r="M148" s="865">
        <v>41</v>
      </c>
      <c r="N148" s="865"/>
      <c r="O148" s="865"/>
      <c r="P148" s="865"/>
      <c r="Q148" s="1102"/>
      <c r="R148" s="865"/>
      <c r="S148" s="865"/>
      <c r="T148" s="1280">
        <v>57</v>
      </c>
      <c r="U148" s="865"/>
      <c r="V148" s="865"/>
      <c r="W148" s="865"/>
      <c r="X148" s="1102"/>
      <c r="Y148" s="865"/>
      <c r="Z148" s="865"/>
      <c r="AA148" s="1280">
        <v>35</v>
      </c>
      <c r="AB148" s="865"/>
      <c r="AC148" s="865"/>
      <c r="AD148" s="865"/>
      <c r="AE148" s="1102"/>
      <c r="AF148" s="865"/>
      <c r="AG148" s="865"/>
      <c r="AH148" s="1280">
        <v>91</v>
      </c>
      <c r="AI148" s="865"/>
      <c r="AJ148" s="865"/>
      <c r="AK148" s="865"/>
      <c r="AL148" s="1102"/>
      <c r="AM148" s="865"/>
      <c r="AN148" s="865"/>
      <c r="AO148" s="1280">
        <v>51</v>
      </c>
      <c r="AP148" s="865"/>
      <c r="AQ148" s="865"/>
      <c r="AR148" s="865"/>
      <c r="AS148" s="1102"/>
      <c r="AT148" s="865"/>
      <c r="AU148" s="865"/>
      <c r="AV148" s="1280">
        <v>34</v>
      </c>
      <c r="AW148" s="865"/>
      <c r="AX148" s="865"/>
      <c r="AY148" s="865"/>
      <c r="AZ148" s="1102"/>
      <c r="BA148" s="865"/>
      <c r="BB148" s="865"/>
      <c r="BC148" s="1280">
        <v>0</v>
      </c>
      <c r="BD148" s="865"/>
      <c r="BE148" s="865"/>
      <c r="BF148" s="865"/>
      <c r="BG148" s="1102"/>
      <c r="BH148" s="865"/>
      <c r="BI148" s="865"/>
      <c r="BJ148" s="1280">
        <v>0</v>
      </c>
      <c r="BK148" s="865"/>
      <c r="BL148" s="865"/>
      <c r="BM148" s="865"/>
      <c r="BN148" s="1102"/>
      <c r="BO148" s="865"/>
      <c r="BP148" s="865"/>
      <c r="BQ148" s="1280">
        <v>1</v>
      </c>
      <c r="BR148" s="865"/>
      <c r="BS148" s="865"/>
      <c r="BT148" s="865"/>
      <c r="BU148" s="1102"/>
      <c r="BV148" s="865"/>
      <c r="BW148" s="865"/>
      <c r="BX148" s="1280"/>
      <c r="BY148" s="865"/>
      <c r="BZ148" s="865"/>
      <c r="CA148" s="865"/>
      <c r="CB148" s="1102"/>
      <c r="CC148" s="865"/>
      <c r="CD148" s="865"/>
      <c r="CE148" s="1280">
        <v>0</v>
      </c>
      <c r="CF148" s="865"/>
      <c r="CG148" s="865"/>
      <c r="CH148" s="865"/>
      <c r="CI148" s="1102"/>
      <c r="CJ148" s="865"/>
      <c r="CK148" s="865"/>
      <c r="CL148" s="1280">
        <v>0</v>
      </c>
      <c r="CM148" s="865"/>
      <c r="CN148" s="865"/>
      <c r="CO148" s="865"/>
      <c r="CP148" s="1102"/>
      <c r="CQ148" s="865"/>
      <c r="CR148" s="865"/>
      <c r="CS148" s="1280">
        <v>0</v>
      </c>
      <c r="CT148" s="865">
        <v>0</v>
      </c>
      <c r="CU148" s="865">
        <f>CX148-CT148</f>
        <v>0</v>
      </c>
      <c r="CV148" s="865">
        <v>0</v>
      </c>
      <c r="CW148" s="1102">
        <f>CY148-CV148</f>
        <v>0</v>
      </c>
      <c r="CX148" s="865">
        <v>0</v>
      </c>
      <c r="CY148" s="865">
        <f>CZ148-CX148</f>
        <v>0</v>
      </c>
      <c r="CZ148" s="1280">
        <v>0</v>
      </c>
      <c r="DA148" s="865">
        <v>0</v>
      </c>
      <c r="DB148" s="865">
        <f>DE148-DA148</f>
        <v>0</v>
      </c>
      <c r="DC148" s="865">
        <v>0</v>
      </c>
      <c r="DD148" s="1102">
        <f>DF148-DC148</f>
        <v>0</v>
      </c>
      <c r="DE148" s="865">
        <v>0</v>
      </c>
      <c r="DF148" s="865">
        <f>DG148-DE148</f>
        <v>0</v>
      </c>
      <c r="DG148" s="1280">
        <v>0</v>
      </c>
      <c r="DH148" s="865">
        <v>0</v>
      </c>
      <c r="DI148" s="865">
        <f>DL148-DH148</f>
        <v>0</v>
      </c>
      <c r="DJ148" s="865">
        <v>0</v>
      </c>
      <c r="DK148" s="1902">
        <f>DM148-DJ148</f>
        <v>0</v>
      </c>
      <c r="DL148" s="865">
        <v>0</v>
      </c>
      <c r="DM148" s="1872">
        <f>DN148-DL148</f>
        <v>0</v>
      </c>
      <c r="DN148" s="1280">
        <v>0</v>
      </c>
      <c r="DO148" s="865">
        <f>DS148/2</f>
        <v>0</v>
      </c>
      <c r="DP148" s="865">
        <f>DS148-DO148</f>
        <v>0</v>
      </c>
      <c r="DQ148" s="897">
        <f>DT148/2</f>
        <v>0</v>
      </c>
      <c r="DR148" s="1117">
        <f>DT148-DQ148</f>
        <v>0</v>
      </c>
      <c r="DS148" s="1872">
        <v>0</v>
      </c>
      <c r="DT148" s="897">
        <f>DU148-DS148</f>
        <v>0</v>
      </c>
      <c r="DU148" s="1961">
        <v>0</v>
      </c>
      <c r="DV148" s="897">
        <f>DZ148/2</f>
        <v>0</v>
      </c>
      <c r="DW148" s="897">
        <f>DZ148-DV148</f>
        <v>0</v>
      </c>
      <c r="DX148" s="897">
        <f>EA148/2</f>
        <v>0</v>
      </c>
      <c r="DY148" s="1117">
        <f>EA148-DX148</f>
        <v>0</v>
      </c>
      <c r="DZ148" s="897">
        <f>EB148/2</f>
        <v>0</v>
      </c>
      <c r="EA148" s="897">
        <f>EB148-DZ148</f>
        <v>0</v>
      </c>
      <c r="EB148" s="1961">
        <v>0</v>
      </c>
      <c r="EC148" s="897">
        <f>EG148/2</f>
        <v>0</v>
      </c>
      <c r="ED148" s="897">
        <f>EG148-EC148</f>
        <v>0</v>
      </c>
      <c r="EE148" s="897">
        <f>EH148/2</f>
        <v>0</v>
      </c>
      <c r="EF148" s="1117">
        <f>EH148-EE148</f>
        <v>0</v>
      </c>
      <c r="EG148" s="897">
        <f>EI148/2</f>
        <v>0</v>
      </c>
      <c r="EH148" s="897">
        <f>EI148-EG148</f>
        <v>0</v>
      </c>
      <c r="EI148" s="1961">
        <v>0</v>
      </c>
      <c r="EJ148" s="897">
        <f>EN148/2</f>
        <v>0</v>
      </c>
      <c r="EK148" s="897">
        <f>EN148-EJ148</f>
        <v>0</v>
      </c>
      <c r="EL148" s="897">
        <f>EO148/2</f>
        <v>0</v>
      </c>
      <c r="EM148" s="1117">
        <f>EO148-EL148</f>
        <v>0</v>
      </c>
      <c r="EN148" s="897">
        <f>EP148/2</f>
        <v>0</v>
      </c>
      <c r="EO148" s="897">
        <f>EP148-EN148</f>
        <v>0</v>
      </c>
      <c r="EP148" s="1961">
        <v>0</v>
      </c>
      <c r="EQ148" s="897">
        <f>EU148/2</f>
        <v>0</v>
      </c>
      <c r="ER148" s="897">
        <f>EU148-EQ148</f>
        <v>0</v>
      </c>
      <c r="ES148" s="897">
        <f>EV148/2</f>
        <v>0</v>
      </c>
      <c r="ET148" s="1117">
        <f>EV148-ES148</f>
        <v>0</v>
      </c>
      <c r="EU148" s="897">
        <f>EW148/2</f>
        <v>0</v>
      </c>
      <c r="EV148" s="897">
        <f>EW148-EU148</f>
        <v>0</v>
      </c>
      <c r="EW148" s="1961">
        <v>0</v>
      </c>
    </row>
    <row r="149" spans="1:153" ht="10.199999999999999" customHeight="1">
      <c r="A149" s="48" t="s">
        <v>167</v>
      </c>
      <c r="B149" s="871">
        <f t="shared" ref="B149:BQ149" si="1099">+SUM(B141:B148)</f>
        <v>2196</v>
      </c>
      <c r="C149" s="871">
        <f t="shared" si="1099"/>
        <v>2314</v>
      </c>
      <c r="D149" s="871">
        <f t="shared" si="1099"/>
        <v>2951</v>
      </c>
      <c r="E149" s="871">
        <f t="shared" si="1099"/>
        <v>3673</v>
      </c>
      <c r="F149" s="871">
        <f t="shared" si="1099"/>
        <v>2858</v>
      </c>
      <c r="G149" s="871">
        <f t="shared" si="1099"/>
        <v>2855</v>
      </c>
      <c r="H149" s="871">
        <f t="shared" si="1099"/>
        <v>2058</v>
      </c>
      <c r="I149" s="871">
        <f t="shared" si="1099"/>
        <v>1837</v>
      </c>
      <c r="J149" s="871">
        <f t="shared" si="1099"/>
        <v>1957</v>
      </c>
      <c r="K149" s="871">
        <f t="shared" si="1099"/>
        <v>2250</v>
      </c>
      <c r="L149" s="871">
        <f t="shared" si="1099"/>
        <v>2197</v>
      </c>
      <c r="M149" s="871">
        <f t="shared" si="1099"/>
        <v>3270</v>
      </c>
      <c r="N149" s="123"/>
      <c r="O149" s="123"/>
      <c r="P149" s="123"/>
      <c r="Q149" s="692"/>
      <c r="R149" s="123"/>
      <c r="S149" s="123"/>
      <c r="T149" s="345">
        <f t="shared" si="1099"/>
        <v>2918</v>
      </c>
      <c r="U149" s="123"/>
      <c r="V149" s="123"/>
      <c r="W149" s="123"/>
      <c r="X149" s="692"/>
      <c r="Y149" s="123"/>
      <c r="Z149" s="123"/>
      <c r="AA149" s="345">
        <f t="shared" si="1099"/>
        <v>2548</v>
      </c>
      <c r="AB149" s="123"/>
      <c r="AC149" s="123"/>
      <c r="AD149" s="123"/>
      <c r="AE149" s="692"/>
      <c r="AF149" s="123"/>
      <c r="AG149" s="123"/>
      <c r="AH149" s="345">
        <f t="shared" si="1099"/>
        <v>2924</v>
      </c>
      <c r="AI149" s="123"/>
      <c r="AJ149" s="123"/>
      <c r="AK149" s="123"/>
      <c r="AL149" s="692"/>
      <c r="AM149" s="123"/>
      <c r="AN149" s="123"/>
      <c r="AO149" s="345">
        <f t="shared" si="1099"/>
        <v>3060</v>
      </c>
      <c r="AP149" s="123"/>
      <c r="AQ149" s="123"/>
      <c r="AR149" s="123"/>
      <c r="AS149" s="692"/>
      <c r="AT149" s="123"/>
      <c r="AU149" s="123"/>
      <c r="AV149" s="345">
        <f t="shared" si="1099"/>
        <v>2558</v>
      </c>
      <c r="AW149" s="123"/>
      <c r="AX149" s="123"/>
      <c r="AY149" s="123"/>
      <c r="AZ149" s="692"/>
      <c r="BA149" s="123"/>
      <c r="BB149" s="123"/>
      <c r="BC149" s="345">
        <f t="shared" si="1099"/>
        <v>2558</v>
      </c>
      <c r="BD149" s="123"/>
      <c r="BE149" s="123"/>
      <c r="BF149" s="123"/>
      <c r="BG149" s="692"/>
      <c r="BH149" s="123"/>
      <c r="BI149" s="123"/>
      <c r="BJ149" s="345">
        <f t="shared" si="1099"/>
        <v>2285</v>
      </c>
      <c r="BK149" s="123"/>
      <c r="BL149" s="123"/>
      <c r="BM149" s="123"/>
      <c r="BN149" s="692"/>
      <c r="BO149" s="123"/>
      <c r="BP149" s="123"/>
      <c r="BQ149" s="345">
        <f t="shared" si="1099"/>
        <v>2340</v>
      </c>
      <c r="BR149" s="123"/>
      <c r="BS149" s="123"/>
      <c r="BT149" s="123"/>
      <c r="BU149" s="692"/>
      <c r="BV149" s="123"/>
      <c r="BW149" s="123"/>
      <c r="BX149" s="345"/>
      <c r="BY149" s="123"/>
      <c r="BZ149" s="123"/>
      <c r="CA149" s="123"/>
      <c r="CB149" s="692"/>
      <c r="CC149" s="123"/>
      <c r="CD149" s="123"/>
      <c r="CE149" s="345">
        <f t="shared" ref="CE149:CY149" si="1100">+SUM(CE141:CE148)</f>
        <v>1759</v>
      </c>
      <c r="CF149" s="123"/>
      <c r="CG149" s="123"/>
      <c r="CH149" s="123"/>
      <c r="CI149" s="692"/>
      <c r="CJ149" s="123"/>
      <c r="CK149" s="123"/>
      <c r="CL149" s="345">
        <f t="shared" si="1100"/>
        <v>1928</v>
      </c>
      <c r="CM149" s="123"/>
      <c r="CN149" s="123"/>
      <c r="CO149" s="123"/>
      <c r="CP149" s="692"/>
      <c r="CQ149" s="123"/>
      <c r="CR149" s="123"/>
      <c r="CS149" s="345">
        <f t="shared" si="1100"/>
        <v>2464</v>
      </c>
      <c r="CT149" s="123">
        <f t="shared" si="1100"/>
        <v>497</v>
      </c>
      <c r="CU149" s="123">
        <f t="shared" si="1100"/>
        <v>593</v>
      </c>
      <c r="CV149" s="123">
        <f t="shared" ref="CV149" si="1101">+SUM(CV141:CV148)</f>
        <v>594</v>
      </c>
      <c r="CW149" s="692">
        <f t="shared" si="1100"/>
        <v>1367</v>
      </c>
      <c r="CX149" s="123">
        <f t="shared" si="1100"/>
        <v>1090</v>
      </c>
      <c r="CY149" s="123">
        <f t="shared" si="1100"/>
        <v>1961</v>
      </c>
      <c r="CZ149" s="345">
        <f>+SUM(CZ141:CZ148)</f>
        <v>3051</v>
      </c>
      <c r="DA149" s="123">
        <f t="shared" ref="DA149:DF149" si="1102">+SUM(DA141:DA148)</f>
        <v>498</v>
      </c>
      <c r="DB149" s="123">
        <f t="shared" ref="DB149:DC149" si="1103">+SUM(DB141:DB148)</f>
        <v>817.00000000000011</v>
      </c>
      <c r="DC149" s="123">
        <f t="shared" si="1103"/>
        <v>763</v>
      </c>
      <c r="DD149" s="692">
        <f t="shared" si="1102"/>
        <v>1591</v>
      </c>
      <c r="DE149" s="123">
        <f t="shared" ref="DE149" si="1104">+SUM(DE141:DE148)</f>
        <v>1315</v>
      </c>
      <c r="DF149" s="123">
        <f t="shared" si="1102"/>
        <v>2354</v>
      </c>
      <c r="DG149" s="345">
        <f>+SUM(DG141:DG148)</f>
        <v>3669</v>
      </c>
      <c r="DH149" s="123">
        <f t="shared" ref="DH149:DM149" si="1105">+SUM(DH141:DH148)</f>
        <v>597</v>
      </c>
      <c r="DI149" s="123">
        <f t="shared" si="1105"/>
        <v>743</v>
      </c>
      <c r="DJ149" s="123">
        <f t="shared" si="1105"/>
        <v>921</v>
      </c>
      <c r="DK149" s="1877">
        <f t="shared" si="1105"/>
        <v>1703.0000000000002</v>
      </c>
      <c r="DL149" s="123">
        <f t="shared" si="1105"/>
        <v>1340</v>
      </c>
      <c r="DM149" s="1910">
        <f t="shared" si="1105"/>
        <v>2624</v>
      </c>
      <c r="DN149" s="345">
        <f>+SUM(DN141:DN148)</f>
        <v>3964</v>
      </c>
      <c r="DO149" s="123">
        <f t="shared" ref="DO149:DP149" si="1106">+SUM(DO141:DO148)</f>
        <v>614.99999999999989</v>
      </c>
      <c r="DP149" s="123">
        <f t="shared" si="1106"/>
        <v>851.00000000000011</v>
      </c>
      <c r="DQ149" s="415">
        <f t="shared" ref="DQ149:DT149" si="1107">+SUM(DQ141:DQ148)</f>
        <v>900.27735755988294</v>
      </c>
      <c r="DR149" s="448">
        <f t="shared" si="1107"/>
        <v>1847.9408350038502</v>
      </c>
      <c r="DS149" s="1910">
        <f t="shared" si="1107"/>
        <v>1466</v>
      </c>
      <c r="DT149" s="415">
        <f t="shared" si="1107"/>
        <v>2748.2181925637333</v>
      </c>
      <c r="DU149" s="414">
        <f>+SUM(DU141:DU148)</f>
        <v>4214.2181925637333</v>
      </c>
      <c r="DV149" s="415">
        <f t="shared" ref="DV149:EA149" si="1108">+SUM(DV141:DV148)</f>
        <v>995.84328194981686</v>
      </c>
      <c r="DW149" s="415">
        <f t="shared" si="1108"/>
        <v>1091.530459662961</v>
      </c>
      <c r="DX149" s="415">
        <f t="shared" si="1108"/>
        <v>1086.1772899496209</v>
      </c>
      <c r="DY149" s="448">
        <f t="shared" si="1108"/>
        <v>1203.4311538586223</v>
      </c>
      <c r="DZ149" s="415">
        <f t="shared" si="1108"/>
        <v>2087.3737416127778</v>
      </c>
      <c r="EA149" s="415">
        <f t="shared" si="1108"/>
        <v>2289.6084438082435</v>
      </c>
      <c r="EB149" s="414">
        <f>+SUM(EB141:EB148)</f>
        <v>4376.9821854210213</v>
      </c>
      <c r="EC149" s="415">
        <f t="shared" ref="EC149:EH149" si="1109">+SUM(EC141:EC148)</f>
        <v>1037.356903912199</v>
      </c>
      <c r="ED149" s="415">
        <f t="shared" si="1109"/>
        <v>1138.4352368425893</v>
      </c>
      <c r="EE149" s="415">
        <f t="shared" si="1109"/>
        <v>1132.7163519482535</v>
      </c>
      <c r="EF149" s="448">
        <f t="shared" si="1109"/>
        <v>1268.5580897952173</v>
      </c>
      <c r="EG149" s="415">
        <f t="shared" si="1109"/>
        <v>2175.7921407547883</v>
      </c>
      <c r="EH149" s="415">
        <f t="shared" si="1109"/>
        <v>2401.2744417434706</v>
      </c>
      <c r="EI149" s="414">
        <f>+SUM(EI141:EI148)</f>
        <v>4577.0665824982589</v>
      </c>
      <c r="EJ149" s="415">
        <f t="shared" ref="EJ149:EO149" si="1110">+SUM(EJ141:EJ148)</f>
        <v>1070.360711612283</v>
      </c>
      <c r="EK149" s="415">
        <f t="shared" si="1110"/>
        <v>1137.4140276331932</v>
      </c>
      <c r="EL149" s="415">
        <f t="shared" si="1110"/>
        <v>1131.2893591740267</v>
      </c>
      <c r="EM149" s="448">
        <f t="shared" si="1110"/>
        <v>1272.9435271586676</v>
      </c>
      <c r="EN149" s="415">
        <f t="shared" si="1110"/>
        <v>2207.7747392454762</v>
      </c>
      <c r="EO149" s="415">
        <f t="shared" si="1110"/>
        <v>2404.2328863326943</v>
      </c>
      <c r="EP149" s="414">
        <f>+SUM(EP141:EP148)</f>
        <v>4612.0076255781696</v>
      </c>
      <c r="EQ149" s="415">
        <f t="shared" ref="EQ149:EV149" si="1111">+SUM(EQ141:EQ148)</f>
        <v>1106.1487659272141</v>
      </c>
      <c r="ER149" s="415">
        <f t="shared" si="1111"/>
        <v>1176.632893519755</v>
      </c>
      <c r="ES149" s="415">
        <f t="shared" si="1111"/>
        <v>1170.2275318231084</v>
      </c>
      <c r="ET149" s="448">
        <f t="shared" si="1111"/>
        <v>1317.6462150936006</v>
      </c>
      <c r="EU149" s="415">
        <f t="shared" si="1111"/>
        <v>2282.7816594469691</v>
      </c>
      <c r="EV149" s="415">
        <f t="shared" si="1111"/>
        <v>2487.873746916709</v>
      </c>
      <c r="EW149" s="414">
        <f>+SUM(EW141:EW148)</f>
        <v>4770.6554063636777</v>
      </c>
    </row>
    <row r="150" spans="1:153" ht="10.199999999999999" customHeight="1">
      <c r="A150" s="43" t="s">
        <v>126</v>
      </c>
      <c r="B150" s="809">
        <f t="shared" ref="B150:BQ150" si="1112">B149/B13</f>
        <v>7.1303331385154878E-2</v>
      </c>
      <c r="C150" s="809">
        <f t="shared" si="1112"/>
        <v>7.7388716096451621E-2</v>
      </c>
      <c r="D150" s="809">
        <f t="shared" si="1112"/>
        <v>9.7932499253310323E-2</v>
      </c>
      <c r="E150" s="809">
        <f t="shared" si="1112"/>
        <v>0.11564497339504423</v>
      </c>
      <c r="F150" s="809">
        <f t="shared" si="1112"/>
        <v>8.3552593112319481E-2</v>
      </c>
      <c r="G150" s="809">
        <f t="shared" si="1112"/>
        <v>7.2399452249327992E-2</v>
      </c>
      <c r="H150" s="809">
        <f t="shared" si="1112"/>
        <v>5.2603327965646804E-2</v>
      </c>
      <c r="I150" s="809">
        <f t="shared" si="1112"/>
        <v>4.2459262683462382E-2</v>
      </c>
      <c r="J150" s="809">
        <f t="shared" si="1112"/>
        <v>4.5700807995889964E-2</v>
      </c>
      <c r="K150" s="809">
        <f t="shared" si="1112"/>
        <v>4.9178178003147402E-2</v>
      </c>
      <c r="L150" s="809">
        <f t="shared" si="1112"/>
        <v>4.4719915323237255E-2</v>
      </c>
      <c r="M150" s="809">
        <f t="shared" si="1112"/>
        <v>5.789660056657224E-2</v>
      </c>
      <c r="N150" s="251"/>
      <c r="O150" s="251"/>
      <c r="P150" s="251"/>
      <c r="Q150" s="1277"/>
      <c r="R150" s="251"/>
      <c r="S150" s="251"/>
      <c r="T150" s="1295">
        <f t="shared" si="1112"/>
        <v>5.0688762659162369E-2</v>
      </c>
      <c r="U150" s="251"/>
      <c r="V150" s="251"/>
      <c r="W150" s="251"/>
      <c r="X150" s="1277"/>
      <c r="Y150" s="251"/>
      <c r="Z150" s="251"/>
      <c r="AA150" s="1295">
        <f t="shared" si="1112"/>
        <v>4.1967947556536489E-2</v>
      </c>
      <c r="AB150" s="251"/>
      <c r="AC150" s="251"/>
      <c r="AD150" s="251"/>
      <c r="AE150" s="1277"/>
      <c r="AF150" s="251"/>
      <c r="AG150" s="251"/>
      <c r="AH150" s="1295">
        <f t="shared" si="1112"/>
        <v>4.5368502715283164E-2</v>
      </c>
      <c r="AI150" s="251"/>
      <c r="AJ150" s="251"/>
      <c r="AK150" s="251"/>
      <c r="AL150" s="1277"/>
      <c r="AM150" s="251"/>
      <c r="AN150" s="251"/>
      <c r="AO150" s="1295">
        <f t="shared" si="1112"/>
        <v>4.5959057388744534E-2</v>
      </c>
      <c r="AP150" s="251"/>
      <c r="AQ150" s="251"/>
      <c r="AR150" s="251"/>
      <c r="AS150" s="1277"/>
      <c r="AT150" s="251"/>
      <c r="AU150" s="251"/>
      <c r="AV150" s="1295">
        <f t="shared" si="1112"/>
        <v>3.8312339928407747E-2</v>
      </c>
      <c r="AW150" s="251"/>
      <c r="AX150" s="251"/>
      <c r="AY150" s="251"/>
      <c r="AZ150" s="1277"/>
      <c r="BA150" s="251"/>
      <c r="BB150" s="251"/>
      <c r="BC150" s="1295">
        <f t="shared" si="1112"/>
        <v>4.3339771610585887E-2</v>
      </c>
      <c r="BD150" s="251"/>
      <c r="BE150" s="251"/>
      <c r="BF150" s="251"/>
      <c r="BG150" s="1277"/>
      <c r="BH150" s="251"/>
      <c r="BI150" s="251"/>
      <c r="BJ150" s="1295">
        <f t="shared" si="1112"/>
        <v>3.5867330120708869E-2</v>
      </c>
      <c r="BK150" s="251"/>
      <c r="BL150" s="251"/>
      <c r="BM150" s="251"/>
      <c r="BN150" s="1277"/>
      <c r="BO150" s="251"/>
      <c r="BP150" s="251"/>
      <c r="BQ150" s="1295">
        <f t="shared" si="1112"/>
        <v>3.3201850222764548E-2</v>
      </c>
      <c r="BR150" s="251"/>
      <c r="BS150" s="251"/>
      <c r="BT150" s="251"/>
      <c r="BU150" s="1277"/>
      <c r="BV150" s="251"/>
      <c r="BW150" s="251"/>
      <c r="BX150" s="1295"/>
      <c r="BY150" s="251"/>
      <c r="BZ150" s="251"/>
      <c r="CA150" s="251"/>
      <c r="CB150" s="1277"/>
      <c r="CC150" s="251"/>
      <c r="CD150" s="251"/>
      <c r="CE150" s="1295">
        <f t="shared" ref="CE150:DV150" si="1113">CE149/CE13</f>
        <v>3.5242025965699635E-2</v>
      </c>
      <c r="CF150" s="251"/>
      <c r="CG150" s="251"/>
      <c r="CH150" s="251"/>
      <c r="CI150" s="1277"/>
      <c r="CJ150" s="251"/>
      <c r="CK150" s="251"/>
      <c r="CL150" s="1295">
        <f t="shared" si="1113"/>
        <v>3.6970986979616101E-2</v>
      </c>
      <c r="CM150" s="251"/>
      <c r="CN150" s="251"/>
      <c r="CO150" s="251"/>
      <c r="CP150" s="1277"/>
      <c r="CQ150" s="251"/>
      <c r="CR150" s="251"/>
      <c r="CS150" s="1295">
        <f t="shared" si="1113"/>
        <v>4.1931147150417777E-2</v>
      </c>
      <c r="CT150" s="251">
        <f t="shared" si="1113"/>
        <v>4.2251126413329933E-2</v>
      </c>
      <c r="CU150" s="251">
        <f t="shared" si="1113"/>
        <v>3.729559748427673E-2</v>
      </c>
      <c r="CV150" s="251">
        <f t="shared" ref="CV150" si="1114">CV149/CV13</f>
        <v>3.9873800093978652E-2</v>
      </c>
      <c r="CW150" s="1277">
        <f t="shared" si="1113"/>
        <v>5.9730839814733899E-2</v>
      </c>
      <c r="CX150" s="251">
        <f t="shared" si="1113"/>
        <v>3.9402812420923257E-2</v>
      </c>
      <c r="CY150" s="251">
        <f t="shared" si="1113"/>
        <v>5.1901648889712305E-2</v>
      </c>
      <c r="CZ150" s="1295">
        <f t="shared" si="1113"/>
        <v>4.6618586315435626E-2</v>
      </c>
      <c r="DA150" s="251">
        <f t="shared" si="1113"/>
        <v>3.8815276695245517E-2</v>
      </c>
      <c r="DB150" s="251">
        <f t="shared" ref="DB150:DC150" si="1115">DB149/DB13</f>
        <v>5.1078462019381064E-2</v>
      </c>
      <c r="DC150" s="251">
        <f t="shared" si="1115"/>
        <v>4.8632800050991139E-2</v>
      </c>
      <c r="DD150" s="1277">
        <f t="shared" si="1113"/>
        <v>6.4371257485029934E-2</v>
      </c>
      <c r="DE150" s="251">
        <f t="shared" ref="DE150" si="1116">DE149/DE13</f>
        <v>4.5620121422376411E-2</v>
      </c>
      <c r="DF150" s="251">
        <f t="shared" si="1113"/>
        <v>5.8260116322237349E-2</v>
      </c>
      <c r="DG150" s="1295">
        <f t="shared" si="1113"/>
        <v>5.299725552506139E-2</v>
      </c>
      <c r="DH150" s="251">
        <f t="shared" si="1113"/>
        <v>4.4085068675232611E-2</v>
      </c>
      <c r="DI150" s="251">
        <f t="shared" si="1113"/>
        <v>4.6240975852626341E-2</v>
      </c>
      <c r="DJ150" s="251">
        <f t="shared" si="1113"/>
        <v>5.1666105688320432E-2</v>
      </c>
      <c r="DK150" s="1880">
        <f t="shared" si="1113"/>
        <v>6.554033251231528E-2</v>
      </c>
      <c r="DL150" s="251">
        <f t="shared" si="1113"/>
        <v>4.5254981425194192E-2</v>
      </c>
      <c r="DM150" s="1871">
        <f t="shared" si="1113"/>
        <v>5.989500114129194E-2</v>
      </c>
      <c r="DN150" s="1295">
        <f t="shared" ref="DN150:DP150" si="1117">DN149/DN13</f>
        <v>5.399073821846908E-2</v>
      </c>
      <c r="DO150" s="251">
        <f t="shared" si="1117"/>
        <v>4.8612757884752188E-2</v>
      </c>
      <c r="DP150" s="251">
        <f t="shared" si="1117"/>
        <v>4.1461632155907438E-2</v>
      </c>
      <c r="DQ150" s="449">
        <f t="shared" si="1113"/>
        <v>4.6412554871855818E-2</v>
      </c>
      <c r="DR150" s="450">
        <f t="shared" si="1113"/>
        <v>6.6033585021536237E-2</v>
      </c>
      <c r="DS150" s="1871">
        <f t="shared" ref="DS150" si="1118">DS149/DS13</f>
        <v>4.4188570050639017E-2</v>
      </c>
      <c r="DT150" s="449">
        <f t="shared" si="1113"/>
        <v>5.8001136512223023E-2</v>
      </c>
      <c r="DU150" s="1108">
        <f t="shared" si="1113"/>
        <v>5.2312751910254057E-2</v>
      </c>
      <c r="DV150" s="449">
        <f t="shared" si="1113"/>
        <v>4.9351665181392695E-2</v>
      </c>
      <c r="DW150" s="449">
        <f t="shared" ref="DW150:EW150" si="1119">DW149/DW13</f>
        <v>4.9017001407591153E-2</v>
      </c>
      <c r="DX150" s="449">
        <f t="shared" si="1119"/>
        <v>4.9006637920477124E-2</v>
      </c>
      <c r="DY150" s="450">
        <f t="shared" si="1119"/>
        <v>4.8048478829686748E-2</v>
      </c>
      <c r="DZ150" s="449">
        <f t="shared" si="1119"/>
        <v>4.9176094641956956E-2</v>
      </c>
      <c r="EA150" s="449">
        <f t="shared" si="1119"/>
        <v>4.8498309242025466E-2</v>
      </c>
      <c r="EB150" s="1108">
        <f t="shared" si="1119"/>
        <v>4.88191978131488E-2</v>
      </c>
      <c r="EC150" s="449">
        <f t="shared" si="1119"/>
        <v>4.7365867914845761E-2</v>
      </c>
      <c r="ED150" s="449">
        <f t="shared" si="1119"/>
        <v>4.707310594265763E-2</v>
      </c>
      <c r="EE150" s="449">
        <f t="shared" si="1119"/>
        <v>4.7049216904170438E-2</v>
      </c>
      <c r="EF150" s="450">
        <f t="shared" si="1119"/>
        <v>4.6205905707907377E-2</v>
      </c>
      <c r="EG150" s="449">
        <f t="shared" si="1119"/>
        <v>4.7212233933295523E-2</v>
      </c>
      <c r="EH150" s="449">
        <f t="shared" si="1119"/>
        <v>4.6599909051782268E-2</v>
      </c>
      <c r="EI150" s="1108">
        <f t="shared" si="1119"/>
        <v>4.6888995986249897E-2</v>
      </c>
      <c r="EJ150" s="449">
        <f t="shared" si="1119"/>
        <v>4.555718210660778E-2</v>
      </c>
      <c r="EK150" s="449">
        <f t="shared" si="1119"/>
        <v>4.5356577322284049E-2</v>
      </c>
      <c r="EL150" s="449">
        <f t="shared" si="1119"/>
        <v>4.5320195155787654E-2</v>
      </c>
      <c r="EM150" s="450">
        <f t="shared" si="1119"/>
        <v>4.4689738079528571E-2</v>
      </c>
      <c r="EN150" s="449">
        <f t="shared" si="1119"/>
        <v>4.5453612283340945E-2</v>
      </c>
      <c r="EO150" s="449">
        <f t="shared" si="1119"/>
        <v>4.4984194391538911E-2</v>
      </c>
      <c r="EP150" s="1108">
        <f t="shared" si="1119"/>
        <v>4.5207689638536282E-2</v>
      </c>
      <c r="EQ150" s="449">
        <f t="shared" si="1119"/>
        <v>4.5555136384693613E-2</v>
      </c>
      <c r="ER150" s="449">
        <f t="shared" si="1119"/>
        <v>4.5354248242645806E-2</v>
      </c>
      <c r="ES150" s="449">
        <f t="shared" si="1119"/>
        <v>4.5317314796598313E-2</v>
      </c>
      <c r="ET150" s="450">
        <f t="shared" si="1119"/>
        <v>4.4686508087051928E-2</v>
      </c>
      <c r="EU150" s="449">
        <f t="shared" si="1119"/>
        <v>4.5451369229443546E-2</v>
      </c>
      <c r="EV150" s="449">
        <f t="shared" si="1119"/>
        <v>4.4981020370306574E-2</v>
      </c>
      <c r="EW150" s="1108">
        <f t="shared" si="1119"/>
        <v>4.5204863937041588E-2</v>
      </c>
    </row>
    <row r="151" spans="1:153" ht="10.199999999999999" customHeight="1">
      <c r="A151" s="43"/>
      <c r="B151" s="1067"/>
      <c r="C151" s="1067"/>
      <c r="D151" s="1067"/>
      <c r="E151" s="1067"/>
      <c r="F151" s="1067"/>
      <c r="G151" s="1067"/>
      <c r="H151" s="1067"/>
      <c r="I151" s="1067"/>
      <c r="J151" s="1067"/>
      <c r="K151" s="1067"/>
      <c r="L151" s="1067"/>
      <c r="M151" s="1067"/>
      <c r="N151" s="1067"/>
      <c r="O151" s="1067"/>
      <c r="P151" s="1067"/>
      <c r="Q151" s="1097"/>
      <c r="R151" s="1067"/>
      <c r="S151" s="1067"/>
      <c r="T151" s="343"/>
      <c r="U151" s="1067"/>
      <c r="V151" s="1067"/>
      <c r="W151" s="1067"/>
      <c r="X151" s="1097"/>
      <c r="Y151" s="1067"/>
      <c r="Z151" s="1067"/>
      <c r="AA151" s="343"/>
      <c r="AB151" s="1067"/>
      <c r="AC151" s="1067"/>
      <c r="AD151" s="1067"/>
      <c r="AE151" s="1097"/>
      <c r="AF151" s="1067"/>
      <c r="AG151" s="1067"/>
      <c r="AH151" s="343"/>
      <c r="AI151" s="1067"/>
      <c r="AJ151" s="1067"/>
      <c r="AK151" s="1067"/>
      <c r="AL151" s="1097"/>
      <c r="AM151" s="1067"/>
      <c r="AN151" s="1067"/>
      <c r="AO151" s="343"/>
      <c r="AP151" s="1067"/>
      <c r="AQ151" s="1067"/>
      <c r="AR151" s="1067"/>
      <c r="AS151" s="1097"/>
      <c r="AT151" s="1067"/>
      <c r="AU151" s="1067"/>
      <c r="AV151" s="343"/>
      <c r="AW151" s="1067"/>
      <c r="AX151" s="1067"/>
      <c r="AY151" s="1067"/>
      <c r="AZ151" s="1097"/>
      <c r="BA151" s="1067"/>
      <c r="BB151" s="1067"/>
      <c r="BC151" s="343"/>
      <c r="BD151" s="1067"/>
      <c r="BE151" s="1067"/>
      <c r="BF151" s="1067"/>
      <c r="BG151" s="1097"/>
      <c r="BH151" s="1067"/>
      <c r="BI151" s="1067"/>
      <c r="BJ151" s="343"/>
      <c r="BK151" s="1067"/>
      <c r="BL151" s="1067"/>
      <c r="BM151" s="1067"/>
      <c r="BN151" s="1097"/>
      <c r="BO151" s="1067"/>
      <c r="BP151" s="1067"/>
      <c r="BQ151" s="343"/>
      <c r="BR151" s="1067"/>
      <c r="BS151" s="1067"/>
      <c r="BT151" s="1067"/>
      <c r="BU151" s="1097"/>
      <c r="BV151" s="1067"/>
      <c r="BW151" s="1067"/>
      <c r="BX151" s="343"/>
      <c r="BY151" s="1067"/>
      <c r="BZ151" s="1067"/>
      <c r="CA151" s="1067"/>
      <c r="CB151" s="1097"/>
      <c r="CC151" s="1067"/>
      <c r="CD151" s="1067"/>
      <c r="CE151" s="343"/>
      <c r="CF151" s="1067"/>
      <c r="CG151" s="1067"/>
      <c r="CH151" s="1067"/>
      <c r="CI151" s="1097"/>
      <c r="CJ151" s="1067"/>
      <c r="CK151" s="1067"/>
      <c r="CL151" s="343"/>
      <c r="CM151" s="1067"/>
      <c r="CN151" s="1067"/>
      <c r="CO151" s="1067"/>
      <c r="CP151" s="1097"/>
      <c r="CQ151" s="1067"/>
      <c r="CR151" s="1067"/>
      <c r="CS151" s="343"/>
      <c r="CT151" s="1067"/>
      <c r="CU151" s="1067"/>
      <c r="CV151" s="1067"/>
      <c r="CW151" s="1097"/>
      <c r="CX151" s="1067"/>
      <c r="CY151" s="1067"/>
      <c r="CZ151" s="343"/>
      <c r="DA151" s="1067"/>
      <c r="DB151" s="1067"/>
      <c r="DC151" s="1067"/>
      <c r="DD151" s="1097"/>
      <c r="DE151" s="1067"/>
      <c r="DF151" s="1067"/>
      <c r="DG151" s="343"/>
      <c r="DH151" s="1067"/>
      <c r="DI151" s="1067"/>
      <c r="DJ151" s="1067"/>
      <c r="DK151" s="1905"/>
      <c r="DL151" s="1067"/>
      <c r="DM151" s="1205"/>
      <c r="DN151" s="343"/>
      <c r="DO151" s="1067"/>
      <c r="DP151" s="1067"/>
      <c r="DQ151" s="1067"/>
      <c r="DR151" s="1097"/>
      <c r="DS151" s="1205"/>
      <c r="DT151" s="1067"/>
      <c r="DU151" s="343"/>
      <c r="DV151" s="1067"/>
      <c r="DW151" s="1067"/>
      <c r="DX151" s="1067"/>
      <c r="DY151" s="1097"/>
      <c r="DZ151" s="1067"/>
      <c r="EA151" s="1067"/>
      <c r="EB151" s="343"/>
      <c r="EC151" s="1067"/>
      <c r="ED151" s="1067"/>
      <c r="EE151" s="1067"/>
      <c r="EF151" s="1097"/>
      <c r="EG151" s="1067"/>
      <c r="EH151" s="1067"/>
      <c r="EI151" s="343"/>
      <c r="EJ151" s="1067"/>
      <c r="EK151" s="1067"/>
      <c r="EL151" s="1067"/>
      <c r="EM151" s="1097"/>
      <c r="EN151" s="1067"/>
      <c r="EO151" s="1067"/>
      <c r="EP151" s="343"/>
      <c r="EQ151" s="1067"/>
      <c r="ER151" s="1067"/>
      <c r="ES151" s="1067"/>
      <c r="ET151" s="1097"/>
      <c r="EU151" s="1067"/>
      <c r="EV151" s="1067"/>
      <c r="EW151" s="343"/>
    </row>
    <row r="152" spans="1:153" ht="10.199999999999999" customHeight="1">
      <c r="A152" s="48" t="s">
        <v>403</v>
      </c>
      <c r="B152" s="1067"/>
      <c r="C152" s="1067"/>
      <c r="D152" s="1067"/>
      <c r="E152" s="1067"/>
      <c r="F152" s="1067"/>
      <c r="G152" s="1067"/>
      <c r="H152" s="1067"/>
      <c r="I152" s="1067"/>
      <c r="J152" s="1067"/>
      <c r="K152" s="1067"/>
      <c r="L152" s="1067"/>
      <c r="M152" s="1067"/>
      <c r="N152" s="319"/>
      <c r="O152" s="319"/>
      <c r="P152" s="319"/>
      <c r="Q152" s="760"/>
      <c r="R152" s="319"/>
      <c r="S152" s="319"/>
      <c r="T152" s="1289">
        <v>1011</v>
      </c>
      <c r="U152" s="319"/>
      <c r="V152" s="319"/>
      <c r="W152" s="319"/>
      <c r="X152" s="760"/>
      <c r="Y152" s="319"/>
      <c r="Z152" s="319"/>
      <c r="AA152" s="1289">
        <f>T156</f>
        <v>1031</v>
      </c>
      <c r="AB152" s="319"/>
      <c r="AC152" s="319"/>
      <c r="AD152" s="319"/>
      <c r="AE152" s="760"/>
      <c r="AF152" s="319"/>
      <c r="AG152" s="319"/>
      <c r="AH152" s="1289">
        <f>AA156</f>
        <v>1091</v>
      </c>
      <c r="AI152" s="319"/>
      <c r="AJ152" s="319"/>
      <c r="AK152" s="319"/>
      <c r="AL152" s="760"/>
      <c r="AM152" s="319"/>
      <c r="AN152" s="319"/>
      <c r="AO152" s="1289">
        <f>AH156</f>
        <v>989</v>
      </c>
      <c r="AP152" s="319"/>
      <c r="AQ152" s="319"/>
      <c r="AR152" s="319"/>
      <c r="AS152" s="760"/>
      <c r="AT152" s="319"/>
      <c r="AU152" s="319"/>
      <c r="AV152" s="1289">
        <f>AO156</f>
        <v>936</v>
      </c>
      <c r="AW152" s="319"/>
      <c r="AX152" s="319"/>
      <c r="AY152" s="319"/>
      <c r="AZ152" s="760"/>
      <c r="BA152" s="319"/>
      <c r="BB152" s="319"/>
      <c r="BC152" s="1289">
        <f>+AV152</f>
        <v>936</v>
      </c>
      <c r="BD152" s="319"/>
      <c r="BE152" s="319"/>
      <c r="BF152" s="319"/>
      <c r="BG152" s="760"/>
      <c r="BH152" s="319"/>
      <c r="BI152" s="319"/>
      <c r="BJ152" s="1289">
        <f>AV156</f>
        <v>725</v>
      </c>
      <c r="BK152" s="319"/>
      <c r="BL152" s="319"/>
      <c r="BM152" s="319"/>
      <c r="BN152" s="760"/>
      <c r="BO152" s="319"/>
      <c r="BP152" s="319"/>
      <c r="BQ152" s="1289">
        <f>BJ156</f>
        <v>2105</v>
      </c>
      <c r="BR152" s="319"/>
      <c r="BS152" s="319"/>
      <c r="BT152" s="319"/>
      <c r="BU152" s="760"/>
      <c r="BV152" s="319"/>
      <c r="BW152" s="319"/>
      <c r="BX152" s="1289"/>
      <c r="BY152" s="319"/>
      <c r="BZ152" s="319"/>
      <c r="CA152" s="319"/>
      <c r="CB152" s="760"/>
      <c r="CC152" s="319"/>
      <c r="CD152" s="319"/>
      <c r="CE152" s="1289">
        <f>BQ156</f>
        <v>2112</v>
      </c>
      <c r="CF152" s="319"/>
      <c r="CG152" s="319"/>
      <c r="CH152" s="319"/>
      <c r="CI152" s="760"/>
      <c r="CJ152" s="319"/>
      <c r="CK152" s="319"/>
      <c r="CL152" s="1289">
        <f t="shared" ref="CL152" si="1120">CE156</f>
        <v>1942</v>
      </c>
      <c r="CM152" s="319"/>
      <c r="CN152" s="319"/>
      <c r="CO152" s="319"/>
      <c r="CP152" s="760"/>
      <c r="CQ152" s="319"/>
      <c r="CR152" s="319"/>
      <c r="CS152" s="1289">
        <f>CL156</f>
        <v>2053</v>
      </c>
      <c r="CT152" s="319"/>
      <c r="CU152" s="319"/>
      <c r="CV152" s="319"/>
      <c r="CW152" s="760"/>
      <c r="CX152" s="319"/>
      <c r="CY152" s="319"/>
      <c r="CZ152" s="1289">
        <f>CS156</f>
        <v>2121</v>
      </c>
      <c r="DA152" s="319"/>
      <c r="DB152" s="319"/>
      <c r="DC152" s="319"/>
      <c r="DD152" s="760"/>
      <c r="DE152" s="319"/>
      <c r="DF152" s="319"/>
      <c r="DG152" s="1289">
        <f>CZ156</f>
        <v>2083</v>
      </c>
      <c r="DH152" s="92">
        <f>DG156</f>
        <v>2099</v>
      </c>
      <c r="DI152" s="92">
        <f>DH156</f>
        <v>2099</v>
      </c>
      <c r="DJ152" s="92">
        <f>DI156</f>
        <v>2099</v>
      </c>
      <c r="DK152" s="1908">
        <f>DJ156</f>
        <v>2099</v>
      </c>
      <c r="DL152" s="92">
        <f>DG156</f>
        <v>2099</v>
      </c>
      <c r="DM152" s="1874">
        <f>DL156</f>
        <v>2099</v>
      </c>
      <c r="DN152" s="1289">
        <f>DG156</f>
        <v>2099</v>
      </c>
      <c r="DO152" s="92">
        <f>DN156</f>
        <v>1501</v>
      </c>
      <c r="DP152" s="92">
        <f>DO156</f>
        <v>1501</v>
      </c>
      <c r="DQ152" s="622">
        <f>DP156</f>
        <v>1501</v>
      </c>
      <c r="DR152" s="623">
        <f>DQ156</f>
        <v>1501</v>
      </c>
      <c r="DS152" s="1874">
        <f>DN156</f>
        <v>1501</v>
      </c>
      <c r="DT152" s="622">
        <f>DS156</f>
        <v>1501</v>
      </c>
      <c r="DU152" s="652">
        <f>DN156</f>
        <v>1501</v>
      </c>
      <c r="DV152" s="622">
        <f>DU156</f>
        <v>1501</v>
      </c>
      <c r="DW152" s="622">
        <f>DV156</f>
        <v>1501</v>
      </c>
      <c r="DX152" s="622">
        <f>DW156</f>
        <v>1501</v>
      </c>
      <c r="DY152" s="623">
        <f>DX156</f>
        <v>1501</v>
      </c>
      <c r="DZ152" s="622">
        <f>DU156</f>
        <v>1501</v>
      </c>
      <c r="EA152" s="622">
        <f>DZ156</f>
        <v>1501</v>
      </c>
      <c r="EB152" s="652">
        <f>DU156</f>
        <v>1501</v>
      </c>
      <c r="EC152" s="622">
        <f>EB156</f>
        <v>1501</v>
      </c>
      <c r="ED152" s="622">
        <f>EC156</f>
        <v>1501</v>
      </c>
      <c r="EE152" s="622">
        <f>ED156</f>
        <v>1501</v>
      </c>
      <c r="EF152" s="623">
        <f>EE156</f>
        <v>1501</v>
      </c>
      <c r="EG152" s="622">
        <f>EB156</f>
        <v>1501</v>
      </c>
      <c r="EH152" s="622">
        <f>EG156</f>
        <v>1501</v>
      </c>
      <c r="EI152" s="652">
        <f>EB156</f>
        <v>1501</v>
      </c>
      <c r="EJ152" s="622">
        <f>EI156</f>
        <v>1501</v>
      </c>
      <c r="EK152" s="622">
        <f>EJ156</f>
        <v>1501</v>
      </c>
      <c r="EL152" s="622">
        <f>EK156</f>
        <v>1501</v>
      </c>
      <c r="EM152" s="623">
        <f>EL156</f>
        <v>1501</v>
      </c>
      <c r="EN152" s="622">
        <f>EI156</f>
        <v>1501</v>
      </c>
      <c r="EO152" s="622">
        <f>EN156</f>
        <v>1501</v>
      </c>
      <c r="EP152" s="652">
        <f>EI156</f>
        <v>1501</v>
      </c>
      <c r="EQ152" s="622">
        <f>EP156</f>
        <v>1501</v>
      </c>
      <c r="ER152" s="622">
        <f>EQ156</f>
        <v>1501</v>
      </c>
      <c r="ES152" s="622">
        <f>ER156</f>
        <v>1501</v>
      </c>
      <c r="ET152" s="623">
        <f>ES156</f>
        <v>1501</v>
      </c>
      <c r="EU152" s="622">
        <f>EP156</f>
        <v>1501</v>
      </c>
      <c r="EV152" s="622">
        <f>EU156</f>
        <v>1501</v>
      </c>
      <c r="EW152" s="652">
        <f>EP156</f>
        <v>1501</v>
      </c>
    </row>
    <row r="153" spans="1:153" ht="10.199999999999999" customHeight="1">
      <c r="A153" s="108" t="s">
        <v>373</v>
      </c>
      <c r="B153" s="1067"/>
      <c r="C153" s="1067"/>
      <c r="D153" s="1067"/>
      <c r="E153" s="1067"/>
      <c r="F153" s="1067"/>
      <c r="G153" s="1067"/>
      <c r="H153" s="1067"/>
      <c r="I153" s="1067"/>
      <c r="J153" s="1067"/>
      <c r="K153" s="1067"/>
      <c r="L153" s="1067"/>
      <c r="M153" s="1067"/>
      <c r="N153" s="317"/>
      <c r="O153" s="317"/>
      <c r="P153" s="317"/>
      <c r="Q153" s="714"/>
      <c r="R153" s="317"/>
      <c r="S153" s="317"/>
      <c r="T153" s="619">
        <v>225</v>
      </c>
      <c r="U153" s="317"/>
      <c r="V153" s="317"/>
      <c r="W153" s="317"/>
      <c r="X153" s="714"/>
      <c r="Y153" s="317"/>
      <c r="Z153" s="317"/>
      <c r="AA153" s="619">
        <v>195</v>
      </c>
      <c r="AB153" s="317"/>
      <c r="AC153" s="317"/>
      <c r="AD153" s="317"/>
      <c r="AE153" s="714"/>
      <c r="AF153" s="317"/>
      <c r="AG153" s="317"/>
      <c r="AH153" s="619">
        <v>211</v>
      </c>
      <c r="AI153" s="317"/>
      <c r="AJ153" s="317"/>
      <c r="AK153" s="317"/>
      <c r="AL153" s="714"/>
      <c r="AM153" s="317"/>
      <c r="AN153" s="317"/>
      <c r="AO153" s="619">
        <v>199</v>
      </c>
      <c r="AP153" s="317"/>
      <c r="AQ153" s="317"/>
      <c r="AR153" s="317"/>
      <c r="AS153" s="714"/>
      <c r="AT153" s="317"/>
      <c r="AU153" s="317"/>
      <c r="AV153" s="619">
        <v>189</v>
      </c>
      <c r="AW153" s="317"/>
      <c r="AX153" s="317"/>
      <c r="AY153" s="317"/>
      <c r="AZ153" s="714"/>
      <c r="BA153" s="317"/>
      <c r="BB153" s="317"/>
      <c r="BC153" s="619">
        <f>+AV153</f>
        <v>189</v>
      </c>
      <c r="BD153" s="317"/>
      <c r="BE153" s="317"/>
      <c r="BF153" s="317"/>
      <c r="BG153" s="714"/>
      <c r="BH153" s="317"/>
      <c r="BI153" s="317"/>
      <c r="BJ153" s="619">
        <v>233</v>
      </c>
      <c r="BK153" s="317"/>
      <c r="BL153" s="317"/>
      <c r="BM153" s="317"/>
      <c r="BN153" s="714"/>
      <c r="BO153" s="317"/>
      <c r="BP153" s="317"/>
      <c r="BQ153" s="619">
        <v>275</v>
      </c>
      <c r="BR153" s="317"/>
      <c r="BS153" s="317"/>
      <c r="BT153" s="317"/>
      <c r="BU153" s="714"/>
      <c r="BV153" s="317"/>
      <c r="BW153" s="317"/>
      <c r="BX153" s="619"/>
      <c r="BY153" s="317"/>
      <c r="BZ153" s="317"/>
      <c r="CA153" s="317"/>
      <c r="CB153" s="714"/>
      <c r="CC153" s="317"/>
      <c r="CD153" s="317"/>
      <c r="CE153" s="619">
        <v>199</v>
      </c>
      <c r="CF153" s="317"/>
      <c r="CG153" s="317"/>
      <c r="CH153" s="317"/>
      <c r="CI153" s="714"/>
      <c r="CJ153" s="317"/>
      <c r="CK153" s="317"/>
      <c r="CL153" s="619">
        <v>199</v>
      </c>
      <c r="CM153" s="317"/>
      <c r="CN153" s="317"/>
      <c r="CO153" s="317"/>
      <c r="CP153" s="714"/>
      <c r="CQ153" s="317"/>
      <c r="CR153" s="317"/>
      <c r="CS153" s="619">
        <v>160</v>
      </c>
      <c r="CT153" s="317"/>
      <c r="CU153" s="317"/>
      <c r="CV153" s="317"/>
      <c r="CW153" s="714"/>
      <c r="CX153" s="317"/>
      <c r="CY153" s="317"/>
      <c r="CZ153" s="619">
        <v>206</v>
      </c>
      <c r="DA153" s="317"/>
      <c r="DB153" s="317"/>
      <c r="DC153" s="317"/>
      <c r="DD153" s="714"/>
      <c r="DE153" s="317"/>
      <c r="DF153" s="317"/>
      <c r="DG153" s="2084">
        <v>190</v>
      </c>
      <c r="DH153" s="130">
        <f>DL153/2</f>
        <v>47.25</v>
      </c>
      <c r="DI153" s="130">
        <f>DL153-DH153</f>
        <v>47.25</v>
      </c>
      <c r="DJ153" s="130">
        <f>DM153/2</f>
        <v>47.25</v>
      </c>
      <c r="DK153" s="1907">
        <f>DM153-DJ153</f>
        <v>47.25</v>
      </c>
      <c r="DL153" s="130">
        <f>DN153/2</f>
        <v>94.5</v>
      </c>
      <c r="DM153" s="1909">
        <f>DN153-DL153</f>
        <v>94.5</v>
      </c>
      <c r="DN153" s="1848">
        <v>189</v>
      </c>
      <c r="DO153" s="130">
        <f>DS153/2</f>
        <v>46.576113832789382</v>
      </c>
      <c r="DP153" s="130">
        <f>DS153-DO153</f>
        <v>46.576113832789382</v>
      </c>
      <c r="DQ153" s="617">
        <f>DT153/2</f>
        <v>46.576113832789382</v>
      </c>
      <c r="DR153" s="618">
        <f>DT153-DQ153</f>
        <v>46.576113832789382</v>
      </c>
      <c r="DS153" s="1878">
        <f>DU153/2</f>
        <v>93.152227665578764</v>
      </c>
      <c r="DT153" s="624">
        <f>DU153-DS153</f>
        <v>93.152227665578764</v>
      </c>
      <c r="DU153" s="651">
        <f>DU135/DN135*DN153</f>
        <v>186.30445533115753</v>
      </c>
      <c r="DV153" s="617">
        <f>DZ153/2</f>
        <v>53.128037185396657</v>
      </c>
      <c r="DW153" s="617">
        <f>DZ153-DV153</f>
        <v>53.128037185396657</v>
      </c>
      <c r="DX153" s="617">
        <f>EA153/2</f>
        <v>53.128037185396657</v>
      </c>
      <c r="DY153" s="618">
        <f>EA153-DX153</f>
        <v>53.128037185396657</v>
      </c>
      <c r="DZ153" s="617">
        <f>EB153/2</f>
        <v>106.25607437079331</v>
      </c>
      <c r="EA153" s="624">
        <f>EB153-DZ153</f>
        <v>106.25607437079331</v>
      </c>
      <c r="EB153" s="651">
        <f>EB135/DU135*DU153</f>
        <v>212.51214874158663</v>
      </c>
      <c r="EC153" s="617">
        <f>EG153/2</f>
        <v>59.106978844505903</v>
      </c>
      <c r="ED153" s="617">
        <f>EG153-EC153</f>
        <v>59.106978844505903</v>
      </c>
      <c r="EE153" s="617">
        <f>EH153/2</f>
        <v>59.106978844505903</v>
      </c>
      <c r="EF153" s="618">
        <f>EH153-EE153</f>
        <v>59.106978844505903</v>
      </c>
      <c r="EG153" s="617">
        <f>EI153/2</f>
        <v>118.21395768901181</v>
      </c>
      <c r="EH153" s="624">
        <f>EI153-EG153</f>
        <v>118.21395768901181</v>
      </c>
      <c r="EI153" s="651">
        <f>EI135/EB135*EB153</f>
        <v>236.42791537802361</v>
      </c>
      <c r="EJ153" s="617">
        <f>EN153/2</f>
        <v>62.895173207128707</v>
      </c>
      <c r="EK153" s="617">
        <f>EN153-EJ153</f>
        <v>62.895173207128707</v>
      </c>
      <c r="EL153" s="617">
        <f>EO153/2</f>
        <v>62.895173207128707</v>
      </c>
      <c r="EM153" s="618">
        <f>EO153-EL153</f>
        <v>62.895173207128707</v>
      </c>
      <c r="EN153" s="617">
        <f>EP153/2</f>
        <v>125.79034641425741</v>
      </c>
      <c r="EO153" s="624">
        <f>EP153-EN153</f>
        <v>125.79034641425741</v>
      </c>
      <c r="EP153" s="651">
        <f>EP135/EI135*EI153</f>
        <v>251.58069282851483</v>
      </c>
      <c r="EQ153" s="617">
        <f>EU153/2</f>
        <v>66.21691148704636</v>
      </c>
      <c r="ER153" s="617">
        <f>EU153-EQ153</f>
        <v>66.21691148704636</v>
      </c>
      <c r="ES153" s="617">
        <f>EV153/2</f>
        <v>66.21691148704636</v>
      </c>
      <c r="ET153" s="618">
        <f>EV153-ES153</f>
        <v>66.21691148704636</v>
      </c>
      <c r="EU153" s="617">
        <f>EW153/2</f>
        <v>132.43382297409272</v>
      </c>
      <c r="EV153" s="624">
        <f>EW153-EU153</f>
        <v>132.43382297409272</v>
      </c>
      <c r="EW153" s="651">
        <f>EW135/EP135*EP153</f>
        <v>264.86764594818544</v>
      </c>
    </row>
    <row r="154" spans="1:153" ht="10.199999999999999" customHeight="1">
      <c r="A154" s="108" t="s">
        <v>285</v>
      </c>
      <c r="B154" s="1067"/>
      <c r="C154" s="1067"/>
      <c r="D154" s="1067"/>
      <c r="E154" s="1067"/>
      <c r="F154" s="1067"/>
      <c r="G154" s="1067"/>
      <c r="H154" s="1067"/>
      <c r="I154" s="1067"/>
      <c r="J154" s="1067"/>
      <c r="K154" s="1067"/>
      <c r="L154" s="1067"/>
      <c r="M154" s="1067"/>
      <c r="N154" s="317"/>
      <c r="O154" s="317"/>
      <c r="P154" s="317"/>
      <c r="Q154" s="714"/>
      <c r="R154" s="317"/>
      <c r="S154" s="317"/>
      <c r="T154" s="314">
        <v>-274</v>
      </c>
      <c r="U154" s="317"/>
      <c r="V154" s="317"/>
      <c r="W154" s="317"/>
      <c r="X154" s="714"/>
      <c r="Y154" s="317"/>
      <c r="Z154" s="317"/>
      <c r="AA154" s="314">
        <v>-282</v>
      </c>
      <c r="AB154" s="317"/>
      <c r="AC154" s="317"/>
      <c r="AD154" s="317"/>
      <c r="AE154" s="714"/>
      <c r="AF154" s="317"/>
      <c r="AG154" s="317"/>
      <c r="AH154" s="314">
        <v>-282</v>
      </c>
      <c r="AI154" s="317"/>
      <c r="AJ154" s="317"/>
      <c r="AK154" s="317"/>
      <c r="AL154" s="714"/>
      <c r="AM154" s="317"/>
      <c r="AN154" s="317"/>
      <c r="AO154" s="314">
        <v>-242</v>
      </c>
      <c r="AP154" s="317"/>
      <c r="AQ154" s="317"/>
      <c r="AR154" s="317"/>
      <c r="AS154" s="714"/>
      <c r="AT154" s="317"/>
      <c r="AU154" s="317"/>
      <c r="AV154" s="314">
        <v>-207</v>
      </c>
      <c r="AW154" s="317"/>
      <c r="AX154" s="317"/>
      <c r="AY154" s="317"/>
      <c r="AZ154" s="714"/>
      <c r="BA154" s="317"/>
      <c r="BB154" s="317"/>
      <c r="BC154" s="314">
        <f>+AV154</f>
        <v>-207</v>
      </c>
      <c r="BD154" s="317"/>
      <c r="BE154" s="317"/>
      <c r="BF154" s="317"/>
      <c r="BG154" s="714"/>
      <c r="BH154" s="317"/>
      <c r="BI154" s="317"/>
      <c r="BJ154" s="314">
        <v>-199</v>
      </c>
      <c r="BK154" s="317"/>
      <c r="BL154" s="317"/>
      <c r="BM154" s="317"/>
      <c r="BN154" s="714"/>
      <c r="BO154" s="317"/>
      <c r="BP154" s="317"/>
      <c r="BQ154" s="314">
        <v>-230</v>
      </c>
      <c r="BR154" s="317"/>
      <c r="BS154" s="317"/>
      <c r="BT154" s="317"/>
      <c r="BU154" s="714"/>
      <c r="BV154" s="317"/>
      <c r="BW154" s="317"/>
      <c r="BX154" s="314"/>
      <c r="BY154" s="317"/>
      <c r="BZ154" s="317"/>
      <c r="CA154" s="317"/>
      <c r="CB154" s="714"/>
      <c r="CC154" s="317"/>
      <c r="CD154" s="317"/>
      <c r="CE154" s="314">
        <v>-232</v>
      </c>
      <c r="CF154" s="317"/>
      <c r="CG154" s="317"/>
      <c r="CH154" s="317"/>
      <c r="CI154" s="714"/>
      <c r="CJ154" s="317"/>
      <c r="CK154" s="317"/>
      <c r="CL154" s="314">
        <v>-211</v>
      </c>
      <c r="CM154" s="317"/>
      <c r="CN154" s="317"/>
      <c r="CO154" s="317"/>
      <c r="CP154" s="714"/>
      <c r="CQ154" s="317"/>
      <c r="CR154" s="317"/>
      <c r="CS154" s="314">
        <v>-338</v>
      </c>
      <c r="CT154" s="317"/>
      <c r="CU154" s="317"/>
      <c r="CV154" s="317"/>
      <c r="CW154" s="714"/>
      <c r="CX154" s="317"/>
      <c r="CY154" s="317"/>
      <c r="CZ154" s="314">
        <v>-230</v>
      </c>
      <c r="DA154" s="317"/>
      <c r="DB154" s="317"/>
      <c r="DC154" s="317"/>
      <c r="DD154" s="714"/>
      <c r="DE154" s="317"/>
      <c r="DF154" s="317"/>
      <c r="DG154" s="2084">
        <v>-323</v>
      </c>
      <c r="DH154" s="317">
        <f t="shared" ref="DH154:DM154" si="1121">-DH153</f>
        <v>-47.25</v>
      </c>
      <c r="DI154" s="317">
        <f t="shared" si="1121"/>
        <v>-47.25</v>
      </c>
      <c r="DJ154" s="317">
        <f t="shared" si="1121"/>
        <v>-47.25</v>
      </c>
      <c r="DK154" s="1906">
        <f t="shared" si="1121"/>
        <v>-47.25</v>
      </c>
      <c r="DL154" s="317">
        <f t="shared" si="1121"/>
        <v>-94.5</v>
      </c>
      <c r="DM154" s="1909">
        <f t="shared" si="1121"/>
        <v>-94.5</v>
      </c>
      <c r="DN154" s="1848">
        <v>-773</v>
      </c>
      <c r="DO154" s="317">
        <f t="shared" ref="DO154:DP154" si="1122">-DO153</f>
        <v>-46.576113832789382</v>
      </c>
      <c r="DP154" s="317">
        <f t="shared" si="1122"/>
        <v>-46.576113832789382</v>
      </c>
      <c r="DQ154" s="624">
        <f t="shared" ref="DQ154" si="1123">-DQ153</f>
        <v>-46.576113832789382</v>
      </c>
      <c r="DR154" s="741">
        <f t="shared" ref="DR154:DS154" si="1124">-DR153</f>
        <v>-46.576113832789382</v>
      </c>
      <c r="DS154" s="1909">
        <f t="shared" si="1124"/>
        <v>-93.152227665578764</v>
      </c>
      <c r="DT154" s="624">
        <f t="shared" ref="DT154" si="1125">-DT153</f>
        <v>-93.152227665578764</v>
      </c>
      <c r="DU154" s="1113">
        <f>-DU153</f>
        <v>-186.30445533115753</v>
      </c>
      <c r="DV154" s="624">
        <f t="shared" ref="DV154" si="1126">-DV153</f>
        <v>-53.128037185396657</v>
      </c>
      <c r="DW154" s="624">
        <f t="shared" ref="DW154" si="1127">-DW153</f>
        <v>-53.128037185396657</v>
      </c>
      <c r="DX154" s="624">
        <f t="shared" ref="DX154" si="1128">-DX153</f>
        <v>-53.128037185396657</v>
      </c>
      <c r="DY154" s="741">
        <f t="shared" ref="DY154" si="1129">-DY153</f>
        <v>-53.128037185396657</v>
      </c>
      <c r="DZ154" s="624">
        <f t="shared" ref="DZ154" si="1130">-DZ153</f>
        <v>-106.25607437079331</v>
      </c>
      <c r="EA154" s="624">
        <f t="shared" ref="EA154" si="1131">-EA153</f>
        <v>-106.25607437079331</v>
      </c>
      <c r="EB154" s="1113">
        <f>-EB153</f>
        <v>-212.51214874158663</v>
      </c>
      <c r="EC154" s="624">
        <f t="shared" ref="EC154" si="1132">-EC153</f>
        <v>-59.106978844505903</v>
      </c>
      <c r="ED154" s="624">
        <f t="shared" ref="ED154" si="1133">-ED153</f>
        <v>-59.106978844505903</v>
      </c>
      <c r="EE154" s="624">
        <f t="shared" ref="EE154" si="1134">-EE153</f>
        <v>-59.106978844505903</v>
      </c>
      <c r="EF154" s="741">
        <f t="shared" ref="EF154" si="1135">-EF153</f>
        <v>-59.106978844505903</v>
      </c>
      <c r="EG154" s="624">
        <f t="shared" ref="EG154" si="1136">-EG153</f>
        <v>-118.21395768901181</v>
      </c>
      <c r="EH154" s="624">
        <f t="shared" ref="EH154" si="1137">-EH153</f>
        <v>-118.21395768901181</v>
      </c>
      <c r="EI154" s="1113">
        <f>-EI153</f>
        <v>-236.42791537802361</v>
      </c>
      <c r="EJ154" s="624">
        <f t="shared" ref="EJ154" si="1138">-EJ153</f>
        <v>-62.895173207128707</v>
      </c>
      <c r="EK154" s="624">
        <f t="shared" ref="EK154" si="1139">-EK153</f>
        <v>-62.895173207128707</v>
      </c>
      <c r="EL154" s="624">
        <f t="shared" ref="EL154" si="1140">-EL153</f>
        <v>-62.895173207128707</v>
      </c>
      <c r="EM154" s="741">
        <f t="shared" ref="EM154" si="1141">-EM153</f>
        <v>-62.895173207128707</v>
      </c>
      <c r="EN154" s="624">
        <f t="shared" ref="EN154" si="1142">-EN153</f>
        <v>-125.79034641425741</v>
      </c>
      <c r="EO154" s="624">
        <f t="shared" ref="EO154" si="1143">-EO153</f>
        <v>-125.79034641425741</v>
      </c>
      <c r="EP154" s="1113">
        <f>-EP153</f>
        <v>-251.58069282851483</v>
      </c>
      <c r="EQ154" s="624">
        <f t="shared" ref="EQ154" si="1144">-EQ153</f>
        <v>-66.21691148704636</v>
      </c>
      <c r="ER154" s="624">
        <f t="shared" ref="ER154" si="1145">-ER153</f>
        <v>-66.21691148704636</v>
      </c>
      <c r="ES154" s="624">
        <f t="shared" ref="ES154" si="1146">-ES153</f>
        <v>-66.21691148704636</v>
      </c>
      <c r="ET154" s="741">
        <f t="shared" ref="ET154" si="1147">-ET153</f>
        <v>-66.21691148704636</v>
      </c>
      <c r="EU154" s="624">
        <f t="shared" ref="EU154" si="1148">-EU153</f>
        <v>-132.43382297409272</v>
      </c>
      <c r="EV154" s="624">
        <f t="shared" ref="EV154" si="1149">-EV153</f>
        <v>-132.43382297409272</v>
      </c>
      <c r="EW154" s="1113">
        <f>-EW153</f>
        <v>-264.86764594818544</v>
      </c>
    </row>
    <row r="155" spans="1:153" ht="10.199999999999999" customHeight="1">
      <c r="A155" s="108" t="s">
        <v>140</v>
      </c>
      <c r="B155" s="1067"/>
      <c r="C155" s="1067"/>
      <c r="D155" s="1067"/>
      <c r="E155" s="1067"/>
      <c r="F155" s="1067"/>
      <c r="G155" s="1067"/>
      <c r="H155" s="1067"/>
      <c r="I155" s="1067"/>
      <c r="J155" s="1067"/>
      <c r="K155" s="1067"/>
      <c r="L155" s="1067"/>
      <c r="M155" s="1067"/>
      <c r="N155" s="317"/>
      <c r="O155" s="317"/>
      <c r="P155" s="317"/>
      <c r="Q155" s="714"/>
      <c r="R155" s="317"/>
      <c r="S155" s="317"/>
      <c r="T155" s="619">
        <f t="shared" ref="T155:CE155" si="1150">T156-T154-T153-T152</f>
        <v>69</v>
      </c>
      <c r="U155" s="317"/>
      <c r="V155" s="317"/>
      <c r="W155" s="317"/>
      <c r="X155" s="714"/>
      <c r="Y155" s="317"/>
      <c r="Z155" s="317"/>
      <c r="AA155" s="619">
        <f t="shared" si="1150"/>
        <v>147</v>
      </c>
      <c r="AB155" s="317"/>
      <c r="AC155" s="317"/>
      <c r="AD155" s="317"/>
      <c r="AE155" s="714"/>
      <c r="AF155" s="317"/>
      <c r="AG155" s="317"/>
      <c r="AH155" s="619">
        <f t="shared" si="1150"/>
        <v>-31</v>
      </c>
      <c r="AI155" s="317"/>
      <c r="AJ155" s="317"/>
      <c r="AK155" s="317"/>
      <c r="AL155" s="714"/>
      <c r="AM155" s="317"/>
      <c r="AN155" s="317"/>
      <c r="AO155" s="619">
        <f t="shared" si="1150"/>
        <v>-10</v>
      </c>
      <c r="AP155" s="317"/>
      <c r="AQ155" s="317"/>
      <c r="AR155" s="317"/>
      <c r="AS155" s="714"/>
      <c r="AT155" s="317"/>
      <c r="AU155" s="317"/>
      <c r="AV155" s="619">
        <f t="shared" si="1150"/>
        <v>-193</v>
      </c>
      <c r="AW155" s="317"/>
      <c r="AX155" s="317"/>
      <c r="AY155" s="317"/>
      <c r="AZ155" s="714"/>
      <c r="BA155" s="317"/>
      <c r="BB155" s="317"/>
      <c r="BC155" s="619">
        <f>+AV155</f>
        <v>-193</v>
      </c>
      <c r="BD155" s="317"/>
      <c r="BE155" s="317"/>
      <c r="BF155" s="317"/>
      <c r="BG155" s="714"/>
      <c r="BH155" s="317"/>
      <c r="BI155" s="317"/>
      <c r="BJ155" s="619">
        <f t="shared" si="1150"/>
        <v>1346</v>
      </c>
      <c r="BK155" s="317"/>
      <c r="BL155" s="317"/>
      <c r="BM155" s="317"/>
      <c r="BN155" s="714"/>
      <c r="BO155" s="317"/>
      <c r="BP155" s="317"/>
      <c r="BQ155" s="619">
        <f t="shared" si="1150"/>
        <v>-38</v>
      </c>
      <c r="BR155" s="317"/>
      <c r="BS155" s="317"/>
      <c r="BT155" s="317"/>
      <c r="BU155" s="714"/>
      <c r="BV155" s="317"/>
      <c r="BW155" s="317"/>
      <c r="BX155" s="619"/>
      <c r="BY155" s="317"/>
      <c r="BZ155" s="317"/>
      <c r="CA155" s="317"/>
      <c r="CB155" s="714"/>
      <c r="CC155" s="317"/>
      <c r="CD155" s="317"/>
      <c r="CE155" s="619">
        <f t="shared" si="1150"/>
        <v>-137</v>
      </c>
      <c r="CF155" s="317"/>
      <c r="CG155" s="317"/>
      <c r="CH155" s="317"/>
      <c r="CI155" s="714"/>
      <c r="CJ155" s="317"/>
      <c r="CK155" s="317"/>
      <c r="CL155" s="619">
        <f>113-1+16-5</f>
        <v>123</v>
      </c>
      <c r="CM155" s="317"/>
      <c r="CN155" s="317"/>
      <c r="CO155" s="317"/>
      <c r="CP155" s="714"/>
      <c r="CQ155" s="317"/>
      <c r="CR155" s="317"/>
      <c r="CS155" s="619">
        <f>89+159+5-7</f>
        <v>246</v>
      </c>
      <c r="CT155" s="317"/>
      <c r="CU155" s="317"/>
      <c r="CV155" s="317"/>
      <c r="CW155" s="714"/>
      <c r="CX155" s="317"/>
      <c r="CY155" s="317"/>
      <c r="CZ155" s="619">
        <f>-52+22+24-8</f>
        <v>-14</v>
      </c>
      <c r="DA155" s="317"/>
      <c r="DB155" s="317"/>
      <c r="DC155" s="317"/>
      <c r="DD155" s="714"/>
      <c r="DE155" s="317"/>
      <c r="DF155" s="317"/>
      <c r="DG155" s="2085">
        <f>89+70+9-18-1</f>
        <v>149</v>
      </c>
      <c r="DH155" s="130">
        <v>0</v>
      </c>
      <c r="DI155" s="130">
        <f>DL155-DH155</f>
        <v>0</v>
      </c>
      <c r="DJ155" s="130">
        <v>0</v>
      </c>
      <c r="DK155" s="1907">
        <f>DM155-DJ155</f>
        <v>-14</v>
      </c>
      <c r="DL155" s="130">
        <v>0</v>
      </c>
      <c r="DM155" s="1909">
        <f>DN155-DL155</f>
        <v>-14</v>
      </c>
      <c r="DN155" s="1848">
        <f>-169+65+97-7</f>
        <v>-14</v>
      </c>
      <c r="DO155" s="130">
        <v>0</v>
      </c>
      <c r="DP155" s="130">
        <f>DS155-DO155</f>
        <v>0</v>
      </c>
      <c r="DQ155" s="663">
        <v>0</v>
      </c>
      <c r="DR155" s="618">
        <f>DT155-DQ155</f>
        <v>0</v>
      </c>
      <c r="DS155" s="1878">
        <v>0</v>
      </c>
      <c r="DT155" s="624">
        <f>DU155-DS155</f>
        <v>0</v>
      </c>
      <c r="DU155" s="726">
        <v>0</v>
      </c>
      <c r="DV155" s="663">
        <v>0</v>
      </c>
      <c r="DW155" s="617">
        <f>DZ155-DV155</f>
        <v>0</v>
      </c>
      <c r="DX155" s="663">
        <v>0</v>
      </c>
      <c r="DY155" s="618">
        <f>EA155-DX155</f>
        <v>0</v>
      </c>
      <c r="DZ155" s="663">
        <v>0</v>
      </c>
      <c r="EA155" s="624">
        <f>EB155-DZ155</f>
        <v>0</v>
      </c>
      <c r="EB155" s="726">
        <v>0</v>
      </c>
      <c r="EC155" s="663">
        <v>0</v>
      </c>
      <c r="ED155" s="617">
        <f>EG155-EC155</f>
        <v>0</v>
      </c>
      <c r="EE155" s="663">
        <v>0</v>
      </c>
      <c r="EF155" s="618">
        <f>EH155-EE155</f>
        <v>0</v>
      </c>
      <c r="EG155" s="663">
        <v>0</v>
      </c>
      <c r="EH155" s="624">
        <f>EI155-EG155</f>
        <v>0</v>
      </c>
      <c r="EI155" s="726">
        <v>0</v>
      </c>
      <c r="EJ155" s="663">
        <v>0</v>
      </c>
      <c r="EK155" s="617">
        <f>EN155-EJ155</f>
        <v>0</v>
      </c>
      <c r="EL155" s="663">
        <v>0</v>
      </c>
      <c r="EM155" s="618">
        <f>EO155-EL155</f>
        <v>0</v>
      </c>
      <c r="EN155" s="663">
        <v>0</v>
      </c>
      <c r="EO155" s="624">
        <f>EP155-EN155</f>
        <v>0</v>
      </c>
      <c r="EP155" s="726">
        <v>0</v>
      </c>
      <c r="EQ155" s="663">
        <v>0</v>
      </c>
      <c r="ER155" s="617">
        <f>EU155-EQ155</f>
        <v>0</v>
      </c>
      <c r="ES155" s="663">
        <v>0</v>
      </c>
      <c r="ET155" s="618">
        <f>EV155-ES155</f>
        <v>0</v>
      </c>
      <c r="EU155" s="663">
        <v>0</v>
      </c>
      <c r="EV155" s="624">
        <f>EW155-EU155</f>
        <v>0</v>
      </c>
      <c r="EW155" s="726">
        <v>0</v>
      </c>
    </row>
    <row r="156" spans="1:153" ht="10.199999999999999" customHeight="1">
      <c r="A156" s="48" t="s">
        <v>404</v>
      </c>
      <c r="B156" s="1067"/>
      <c r="C156" s="1067"/>
      <c r="D156" s="1067"/>
      <c r="E156" s="1067"/>
      <c r="F156" s="1067"/>
      <c r="G156" s="1067"/>
      <c r="H156" s="1067"/>
      <c r="I156" s="1067"/>
      <c r="J156" s="1067"/>
      <c r="K156" s="1067"/>
      <c r="L156" s="1067"/>
      <c r="M156" s="1067"/>
      <c r="N156" s="319"/>
      <c r="O156" s="319"/>
      <c r="P156" s="319"/>
      <c r="Q156" s="760"/>
      <c r="R156" s="319"/>
      <c r="S156" s="319"/>
      <c r="T156" s="1289">
        <v>1031</v>
      </c>
      <c r="U156" s="319"/>
      <c r="V156" s="319"/>
      <c r="W156" s="319"/>
      <c r="X156" s="760"/>
      <c r="Y156" s="319"/>
      <c r="Z156" s="319"/>
      <c r="AA156" s="1289">
        <v>1091</v>
      </c>
      <c r="AB156" s="319"/>
      <c r="AC156" s="319"/>
      <c r="AD156" s="319"/>
      <c r="AE156" s="760"/>
      <c r="AF156" s="319"/>
      <c r="AG156" s="319"/>
      <c r="AH156" s="1289">
        <v>989</v>
      </c>
      <c r="AI156" s="319"/>
      <c r="AJ156" s="319"/>
      <c r="AK156" s="319"/>
      <c r="AL156" s="760"/>
      <c r="AM156" s="319"/>
      <c r="AN156" s="319"/>
      <c r="AO156" s="1289">
        <v>936</v>
      </c>
      <c r="AP156" s="319"/>
      <c r="AQ156" s="319"/>
      <c r="AR156" s="319"/>
      <c r="AS156" s="760"/>
      <c r="AT156" s="319"/>
      <c r="AU156" s="319"/>
      <c r="AV156" s="1289">
        <v>725</v>
      </c>
      <c r="AW156" s="319"/>
      <c r="AX156" s="319"/>
      <c r="AY156" s="319"/>
      <c r="AZ156" s="760"/>
      <c r="BA156" s="319"/>
      <c r="BB156" s="319"/>
      <c r="BC156" s="1289">
        <f>+AV156</f>
        <v>725</v>
      </c>
      <c r="BD156" s="319"/>
      <c r="BE156" s="319"/>
      <c r="BF156" s="319"/>
      <c r="BG156" s="760"/>
      <c r="BH156" s="319"/>
      <c r="BI156" s="319"/>
      <c r="BJ156" s="1289">
        <v>2105</v>
      </c>
      <c r="BK156" s="319"/>
      <c r="BL156" s="319"/>
      <c r="BM156" s="319"/>
      <c r="BN156" s="760"/>
      <c r="BO156" s="319"/>
      <c r="BP156" s="319"/>
      <c r="BQ156" s="1289">
        <v>2112</v>
      </c>
      <c r="BR156" s="319"/>
      <c r="BS156" s="319"/>
      <c r="BT156" s="319"/>
      <c r="BU156" s="760"/>
      <c r="BV156" s="319"/>
      <c r="BW156" s="319"/>
      <c r="BX156" s="1289"/>
      <c r="BY156" s="319"/>
      <c r="BZ156" s="319"/>
      <c r="CA156" s="319"/>
      <c r="CB156" s="760"/>
      <c r="CC156" s="319"/>
      <c r="CD156" s="319"/>
      <c r="CE156" s="1289">
        <v>1942</v>
      </c>
      <c r="CF156" s="319"/>
      <c r="CG156" s="319"/>
      <c r="CH156" s="319"/>
      <c r="CI156" s="760"/>
      <c r="CJ156" s="319"/>
      <c r="CK156" s="319"/>
      <c r="CL156" s="1289">
        <f>SUM(CL152:CL155)</f>
        <v>2053</v>
      </c>
      <c r="CM156" s="319"/>
      <c r="CN156" s="319"/>
      <c r="CO156" s="319"/>
      <c r="CP156" s="760"/>
      <c r="CQ156" s="319"/>
      <c r="CR156" s="319"/>
      <c r="CS156" s="1289">
        <f>SUM(CS152:CS155)</f>
        <v>2121</v>
      </c>
      <c r="CT156" s="319"/>
      <c r="CU156" s="319"/>
      <c r="CV156" s="319"/>
      <c r="CW156" s="760"/>
      <c r="CX156" s="319"/>
      <c r="CY156" s="319"/>
      <c r="CZ156" s="1289">
        <f>SUM(CZ152:CZ155)</f>
        <v>2083</v>
      </c>
      <c r="DA156" s="319"/>
      <c r="DB156" s="319"/>
      <c r="DC156" s="319"/>
      <c r="DD156" s="760"/>
      <c r="DE156" s="319"/>
      <c r="DF156" s="319"/>
      <c r="DG156" s="1289">
        <f>SUM(DG152:DG155)</f>
        <v>2099</v>
      </c>
      <c r="DH156" s="92">
        <f t="shared" ref="DH156:DM156" si="1151">SUM(DH152:DH155)</f>
        <v>2099</v>
      </c>
      <c r="DI156" s="92">
        <f t="shared" si="1151"/>
        <v>2099</v>
      </c>
      <c r="DJ156" s="92">
        <f t="shared" si="1151"/>
        <v>2099</v>
      </c>
      <c r="DK156" s="1908">
        <f t="shared" si="1151"/>
        <v>2085</v>
      </c>
      <c r="DL156" s="92">
        <f t="shared" si="1151"/>
        <v>2099</v>
      </c>
      <c r="DM156" s="1874">
        <f t="shared" si="1151"/>
        <v>2085</v>
      </c>
      <c r="DN156" s="1846">
        <f>SUM(DN152:DN155)</f>
        <v>1501</v>
      </c>
      <c r="DO156" s="92">
        <f t="shared" ref="DO156:DP156" si="1152">SUM(DO152:DO155)</f>
        <v>1501</v>
      </c>
      <c r="DP156" s="92">
        <f t="shared" si="1152"/>
        <v>1501</v>
      </c>
      <c r="DQ156" s="622">
        <f t="shared" ref="DQ156" si="1153">SUM(DQ152:DQ155)</f>
        <v>1501</v>
      </c>
      <c r="DR156" s="623">
        <f t="shared" ref="DR156:DS156" si="1154">SUM(DR152:DR155)</f>
        <v>1501</v>
      </c>
      <c r="DS156" s="1874">
        <f t="shared" si="1154"/>
        <v>1501</v>
      </c>
      <c r="DT156" s="622">
        <f t="shared" ref="DT156" si="1155">SUM(DT152:DT155)</f>
        <v>1501</v>
      </c>
      <c r="DU156" s="652">
        <f>SUM(DU152:DU155)</f>
        <v>1501</v>
      </c>
      <c r="DV156" s="622">
        <f t="shared" ref="DV156" si="1156">SUM(DV152:DV155)</f>
        <v>1501</v>
      </c>
      <c r="DW156" s="622">
        <f t="shared" ref="DW156" si="1157">SUM(DW152:DW155)</f>
        <v>1501</v>
      </c>
      <c r="DX156" s="622">
        <f t="shared" ref="DX156" si="1158">SUM(DX152:DX155)</f>
        <v>1501</v>
      </c>
      <c r="DY156" s="623">
        <f t="shared" ref="DY156" si="1159">SUM(DY152:DY155)</f>
        <v>1501</v>
      </c>
      <c r="DZ156" s="622">
        <f t="shared" ref="DZ156" si="1160">SUM(DZ152:DZ155)</f>
        <v>1501</v>
      </c>
      <c r="EA156" s="622">
        <f t="shared" ref="EA156" si="1161">SUM(EA152:EA155)</f>
        <v>1501</v>
      </c>
      <c r="EB156" s="652">
        <f>SUM(EB152:EB155)</f>
        <v>1501</v>
      </c>
      <c r="EC156" s="622">
        <f t="shared" ref="EC156" si="1162">SUM(EC152:EC155)</f>
        <v>1501</v>
      </c>
      <c r="ED156" s="622">
        <f t="shared" ref="ED156" si="1163">SUM(ED152:ED155)</f>
        <v>1501</v>
      </c>
      <c r="EE156" s="622">
        <f t="shared" ref="EE156" si="1164">SUM(EE152:EE155)</f>
        <v>1501</v>
      </c>
      <c r="EF156" s="623">
        <f t="shared" ref="EF156" si="1165">SUM(EF152:EF155)</f>
        <v>1501</v>
      </c>
      <c r="EG156" s="622">
        <f t="shared" ref="EG156" si="1166">SUM(EG152:EG155)</f>
        <v>1501</v>
      </c>
      <c r="EH156" s="622">
        <f t="shared" ref="EH156" si="1167">SUM(EH152:EH155)</f>
        <v>1501</v>
      </c>
      <c r="EI156" s="652">
        <f>SUM(EI152:EI155)</f>
        <v>1501</v>
      </c>
      <c r="EJ156" s="622">
        <f t="shared" ref="EJ156" si="1168">SUM(EJ152:EJ155)</f>
        <v>1501</v>
      </c>
      <c r="EK156" s="622">
        <f t="shared" ref="EK156" si="1169">SUM(EK152:EK155)</f>
        <v>1501</v>
      </c>
      <c r="EL156" s="622">
        <f t="shared" ref="EL156" si="1170">SUM(EL152:EL155)</f>
        <v>1501</v>
      </c>
      <c r="EM156" s="623">
        <f t="shared" ref="EM156" si="1171">SUM(EM152:EM155)</f>
        <v>1501</v>
      </c>
      <c r="EN156" s="622">
        <f t="shared" ref="EN156" si="1172">SUM(EN152:EN155)</f>
        <v>1501</v>
      </c>
      <c r="EO156" s="622">
        <f t="shared" ref="EO156" si="1173">SUM(EO152:EO155)</f>
        <v>1501</v>
      </c>
      <c r="EP156" s="652">
        <f>SUM(EP152:EP155)</f>
        <v>1501</v>
      </c>
      <c r="EQ156" s="622">
        <f t="shared" ref="EQ156" si="1174">SUM(EQ152:EQ155)</f>
        <v>1501</v>
      </c>
      <c r="ER156" s="622">
        <f t="shared" ref="ER156" si="1175">SUM(ER152:ER155)</f>
        <v>1501</v>
      </c>
      <c r="ES156" s="622">
        <f t="shared" ref="ES156" si="1176">SUM(ES152:ES155)</f>
        <v>1501</v>
      </c>
      <c r="ET156" s="623">
        <f t="shared" ref="ET156" si="1177">SUM(ET152:ET155)</f>
        <v>1501</v>
      </c>
      <c r="EU156" s="622">
        <f t="shared" ref="EU156" si="1178">SUM(EU152:EU155)</f>
        <v>1501</v>
      </c>
      <c r="EV156" s="622">
        <f t="shared" ref="EV156" si="1179">SUM(EV152:EV155)</f>
        <v>1501</v>
      </c>
      <c r="EW156" s="652">
        <f>SUM(EW152:EW155)</f>
        <v>1501</v>
      </c>
    </row>
    <row r="157" spans="1:153" ht="10.199999999999999" customHeight="1">
      <c r="A157" s="108"/>
      <c r="B157" s="1067"/>
      <c r="C157" s="1067"/>
      <c r="D157" s="1067"/>
      <c r="E157" s="1067"/>
      <c r="F157" s="1067"/>
      <c r="G157" s="1067"/>
      <c r="H157" s="1067"/>
      <c r="I157" s="1067"/>
      <c r="J157" s="1067"/>
      <c r="K157" s="1067"/>
      <c r="L157" s="1067"/>
      <c r="M157" s="1067"/>
      <c r="N157" s="21"/>
      <c r="O157" s="21"/>
      <c r="P157" s="21"/>
      <c r="Q157" s="1098"/>
      <c r="R157" s="21"/>
      <c r="S157" s="21"/>
      <c r="T157" s="338"/>
      <c r="U157" s="21"/>
      <c r="V157" s="21"/>
      <c r="W157" s="21"/>
      <c r="X157" s="1098"/>
      <c r="Y157" s="21"/>
      <c r="Z157" s="21"/>
      <c r="AA157" s="338"/>
      <c r="AB157" s="21"/>
      <c r="AC157" s="21"/>
      <c r="AD157" s="21"/>
      <c r="AE157" s="1098"/>
      <c r="AF157" s="21"/>
      <c r="AG157" s="21"/>
      <c r="AH157" s="338"/>
      <c r="AI157" s="21"/>
      <c r="AJ157" s="21"/>
      <c r="AK157" s="21"/>
      <c r="AL157" s="1098"/>
      <c r="AM157" s="21"/>
      <c r="AN157" s="21"/>
      <c r="AO157" s="338"/>
      <c r="AP157" s="21"/>
      <c r="AQ157" s="21"/>
      <c r="AR157" s="21"/>
      <c r="AS157" s="1098"/>
      <c r="AT157" s="21"/>
      <c r="AU157" s="21"/>
      <c r="AV157" s="338"/>
      <c r="AW157" s="21"/>
      <c r="AX157" s="21"/>
      <c r="AY157" s="21"/>
      <c r="AZ157" s="1098"/>
      <c r="BA157" s="21"/>
      <c r="BB157" s="21"/>
      <c r="BC157" s="338"/>
      <c r="BD157" s="21"/>
      <c r="BE157" s="21"/>
      <c r="BF157" s="21"/>
      <c r="BG157" s="1098"/>
      <c r="BH157" s="21"/>
      <c r="BI157" s="21"/>
      <c r="BJ157" s="338"/>
      <c r="BK157" s="21"/>
      <c r="BL157" s="21"/>
      <c r="BM157" s="21"/>
      <c r="BN157" s="1098"/>
      <c r="BO157" s="21"/>
      <c r="BP157" s="21"/>
      <c r="BQ157" s="338"/>
      <c r="BR157" s="21"/>
      <c r="BS157" s="21"/>
      <c r="BT157" s="21"/>
      <c r="BU157" s="1098"/>
      <c r="BV157" s="21"/>
      <c r="BW157" s="21"/>
      <c r="BX157" s="338"/>
      <c r="BY157" s="21"/>
      <c r="BZ157" s="21"/>
      <c r="CA157" s="21"/>
      <c r="CB157" s="1098"/>
      <c r="CC157" s="21"/>
      <c r="CD157" s="21"/>
      <c r="CE157" s="338"/>
      <c r="CF157" s="21"/>
      <c r="CG157" s="21"/>
      <c r="CH157" s="21"/>
      <c r="CI157" s="1098"/>
      <c r="CJ157" s="21"/>
      <c r="CK157" s="21"/>
      <c r="CL157" s="338"/>
      <c r="CM157" s="21"/>
      <c r="CN157" s="21"/>
      <c r="CO157" s="21"/>
      <c r="CP157" s="1098"/>
      <c r="CQ157" s="21"/>
      <c r="CR157" s="21"/>
      <c r="CS157" s="338"/>
      <c r="CT157" s="21"/>
      <c r="CU157" s="21"/>
      <c r="CV157" s="21"/>
      <c r="CW157" s="1098"/>
      <c r="CX157" s="21"/>
      <c r="CY157" s="21"/>
      <c r="CZ157" s="338"/>
      <c r="DA157" s="21"/>
      <c r="DB157" s="21"/>
      <c r="DC157" s="21"/>
      <c r="DD157" s="1098"/>
      <c r="DE157" s="21"/>
      <c r="DF157" s="21"/>
      <c r="DG157" s="338"/>
      <c r="DH157" s="47"/>
      <c r="DI157" s="21"/>
      <c r="DJ157" s="21"/>
      <c r="DK157" s="1876"/>
      <c r="DL157" s="21"/>
      <c r="DM157" s="1870"/>
      <c r="DN157" s="338"/>
      <c r="DO157" s="21"/>
      <c r="DP157" s="21"/>
      <c r="DQ157" s="21"/>
      <c r="DR157" s="1098"/>
      <c r="DS157" s="1870"/>
      <c r="DT157" s="21"/>
      <c r="DU157" s="338"/>
      <c r="DV157" s="21"/>
      <c r="DW157" s="21"/>
      <c r="DX157" s="21"/>
      <c r="DY157" s="1098"/>
      <c r="DZ157" s="21"/>
      <c r="EA157" s="21"/>
      <c r="EB157" s="338"/>
      <c r="EC157" s="21"/>
      <c r="ED157" s="21"/>
      <c r="EE157" s="21"/>
      <c r="EF157" s="1098"/>
      <c r="EG157" s="21"/>
      <c r="EH157" s="21"/>
      <c r="EI157" s="338"/>
      <c r="EJ157" s="21"/>
      <c r="EK157" s="21"/>
      <c r="EL157" s="21"/>
      <c r="EM157" s="1098"/>
      <c r="EN157" s="21"/>
      <c r="EO157" s="21"/>
      <c r="EP157" s="338"/>
      <c r="EQ157" s="21"/>
      <c r="ER157" s="21"/>
      <c r="ES157" s="21"/>
      <c r="ET157" s="1098"/>
      <c r="EU157" s="21"/>
      <c r="EV157" s="21"/>
      <c r="EW157" s="338"/>
    </row>
    <row r="158" spans="1:153" ht="10.199999999999999" customHeight="1">
      <c r="A158" s="43"/>
      <c r="B158" s="812"/>
      <c r="C158" s="812"/>
      <c r="D158" s="812"/>
      <c r="E158" s="812"/>
      <c r="F158" s="812"/>
      <c r="G158" s="812"/>
      <c r="H158" s="812"/>
      <c r="I158" s="812"/>
      <c r="J158" s="812"/>
      <c r="K158" s="812"/>
      <c r="L158" s="812"/>
      <c r="M158" s="812"/>
      <c r="N158" s="21"/>
      <c r="O158" s="21"/>
      <c r="P158" s="21"/>
      <c r="Q158" s="1098"/>
      <c r="R158" s="21"/>
      <c r="S158" s="21"/>
      <c r="T158" s="338"/>
      <c r="U158" s="21"/>
      <c r="V158" s="21"/>
      <c r="W158" s="21"/>
      <c r="X158" s="1098"/>
      <c r="Y158" s="21"/>
      <c r="Z158" s="21"/>
      <c r="AA158" s="338"/>
      <c r="AB158" s="21"/>
      <c r="AC158" s="21"/>
      <c r="AD158" s="21"/>
      <c r="AE158" s="1098"/>
      <c r="AF158" s="21"/>
      <c r="AG158" s="21"/>
      <c r="AH158" s="338"/>
      <c r="AI158" s="21"/>
      <c r="AJ158" s="21"/>
      <c r="AK158" s="21"/>
      <c r="AL158" s="1098"/>
      <c r="AM158" s="21"/>
      <c r="AN158" s="21"/>
      <c r="AO158" s="338"/>
      <c r="AP158" s="21"/>
      <c r="AQ158" s="21"/>
      <c r="AR158" s="21"/>
      <c r="AS158" s="1098"/>
      <c r="AT158" s="21"/>
      <c r="AU158" s="21"/>
      <c r="AV158" s="338"/>
      <c r="AW158" s="21"/>
      <c r="AX158" s="21"/>
      <c r="AY158" s="21"/>
      <c r="AZ158" s="1098"/>
      <c r="BA158" s="21"/>
      <c r="BB158" s="21"/>
      <c r="BC158" s="338"/>
      <c r="BD158" s="21"/>
      <c r="BE158" s="21"/>
      <c r="BF158" s="21"/>
      <c r="BG158" s="1098"/>
      <c r="BH158" s="21"/>
      <c r="BI158" s="21"/>
      <c r="BJ158" s="338"/>
      <c r="BK158" s="21"/>
      <c r="BL158" s="21"/>
      <c r="BM158" s="21"/>
      <c r="BN158" s="1098"/>
      <c r="BO158" s="21"/>
      <c r="BP158" s="21"/>
      <c r="BQ158" s="338"/>
      <c r="BR158" s="21"/>
      <c r="BS158" s="21"/>
      <c r="BT158" s="21"/>
      <c r="BU158" s="1098"/>
      <c r="BV158" s="21"/>
      <c r="BW158" s="21"/>
      <c r="BX158" s="338"/>
      <c r="BY158" s="21"/>
      <c r="BZ158" s="21"/>
      <c r="CA158" s="21"/>
      <c r="CB158" s="1098"/>
      <c r="CC158" s="21"/>
      <c r="CD158" s="21"/>
      <c r="CE158" s="338"/>
      <c r="CF158" s="21"/>
      <c r="CG158" s="21"/>
      <c r="CH158" s="21"/>
      <c r="CI158" s="1098"/>
      <c r="CJ158" s="21"/>
      <c r="CK158" s="21"/>
      <c r="CL158" s="338"/>
      <c r="CM158" s="21"/>
      <c r="CN158" s="21"/>
      <c r="CO158" s="21"/>
      <c r="CP158" s="1098"/>
      <c r="CQ158" s="21"/>
      <c r="CR158" s="21"/>
      <c r="CS158" s="338"/>
      <c r="CT158" s="21"/>
      <c r="CU158" s="21"/>
      <c r="CV158" s="21"/>
      <c r="CW158" s="1098"/>
      <c r="CX158" s="21"/>
      <c r="CY158" s="21"/>
      <c r="CZ158" s="338"/>
      <c r="DA158" s="21"/>
      <c r="DB158" s="21"/>
      <c r="DC158" s="21"/>
      <c r="DD158" s="1098"/>
      <c r="DE158" s="21"/>
      <c r="DF158" s="21"/>
      <c r="DG158" s="338"/>
      <c r="DH158" s="21"/>
      <c r="DI158" s="21"/>
      <c r="DJ158" s="21"/>
      <c r="DK158" s="1098"/>
      <c r="DL158" s="21"/>
      <c r="DM158" s="1870"/>
      <c r="DN158" s="338"/>
      <c r="DO158" s="21"/>
      <c r="DP158" s="21"/>
      <c r="DQ158" s="21"/>
      <c r="DR158" s="1098"/>
      <c r="DS158" s="1870"/>
      <c r="DT158" s="21"/>
      <c r="DU158" s="338"/>
      <c r="DV158" s="21"/>
      <c r="DW158" s="21"/>
      <c r="DX158" s="21"/>
      <c r="DY158" s="1098"/>
      <c r="DZ158" s="21"/>
      <c r="EA158" s="21"/>
      <c r="EB158" s="338"/>
      <c r="EC158" s="21"/>
      <c r="ED158" s="21"/>
      <c r="EE158" s="21"/>
      <c r="EF158" s="1098"/>
      <c r="EG158" s="21"/>
      <c r="EH158" s="21"/>
      <c r="EI158" s="338"/>
      <c r="EJ158" s="21"/>
      <c r="EK158" s="21"/>
      <c r="EL158" s="21"/>
      <c r="EM158" s="1098"/>
      <c r="EN158" s="21"/>
      <c r="EO158" s="21"/>
      <c r="EP158" s="338"/>
      <c r="EQ158" s="21"/>
      <c r="ER158" s="21"/>
      <c r="ES158" s="21"/>
      <c r="ET158" s="1098"/>
      <c r="EU158" s="21"/>
      <c r="EV158" s="21"/>
      <c r="EW158" s="338"/>
    </row>
    <row r="159" spans="1:153" ht="10.199999999999999" customHeight="1">
      <c r="A159" s="48" t="s">
        <v>52</v>
      </c>
      <c r="B159" s="812"/>
      <c r="C159" s="812"/>
      <c r="D159" s="812"/>
      <c r="E159" s="812"/>
      <c r="F159" s="812"/>
      <c r="G159" s="812"/>
      <c r="H159" s="812"/>
      <c r="I159" s="812"/>
      <c r="J159" s="812"/>
      <c r="K159" s="812"/>
      <c r="L159" s="812"/>
      <c r="M159" s="812"/>
      <c r="N159" s="21"/>
      <c r="O159" s="21"/>
      <c r="P159" s="21"/>
      <c r="Q159" s="1098"/>
      <c r="R159" s="21"/>
      <c r="S159" s="21"/>
      <c r="T159" s="338"/>
      <c r="U159" s="21"/>
      <c r="V159" s="21"/>
      <c r="W159" s="21"/>
      <c r="X159" s="1098"/>
      <c r="Y159" s="21"/>
      <c r="Z159" s="21"/>
      <c r="AA159" s="338"/>
      <c r="AB159" s="21"/>
      <c r="AC159" s="21"/>
      <c r="AD159" s="21"/>
      <c r="AE159" s="1098"/>
      <c r="AF159" s="21"/>
      <c r="AG159" s="21"/>
      <c r="AH159" s="338"/>
      <c r="AI159" s="21"/>
      <c r="AJ159" s="21"/>
      <c r="AK159" s="21"/>
      <c r="AL159" s="1098"/>
      <c r="AM159" s="21"/>
      <c r="AN159" s="21"/>
      <c r="AO159" s="338"/>
      <c r="AP159" s="21"/>
      <c r="AQ159" s="21"/>
      <c r="AR159" s="21"/>
      <c r="AS159" s="1098"/>
      <c r="AT159" s="21"/>
      <c r="AU159" s="21"/>
      <c r="AV159" s="338"/>
      <c r="AW159" s="21"/>
      <c r="AX159" s="21"/>
      <c r="AY159" s="21"/>
      <c r="AZ159" s="1098"/>
      <c r="BA159" s="21"/>
      <c r="BB159" s="21"/>
      <c r="BC159" s="338"/>
      <c r="BD159" s="21"/>
      <c r="BE159" s="21"/>
      <c r="BF159" s="21"/>
      <c r="BG159" s="1098"/>
      <c r="BH159" s="21"/>
      <c r="BI159" s="21"/>
      <c r="BJ159" s="338"/>
      <c r="BK159" s="21"/>
      <c r="BL159" s="21"/>
      <c r="BM159" s="21"/>
      <c r="BN159" s="1098"/>
      <c r="BO159" s="21"/>
      <c r="BP159" s="21"/>
      <c r="BQ159" s="338"/>
      <c r="BR159" s="21"/>
      <c r="BS159" s="21"/>
      <c r="BT159" s="21"/>
      <c r="BU159" s="1098"/>
      <c r="BV159" s="21"/>
      <c r="BW159" s="21"/>
      <c r="BX159" s="338"/>
      <c r="BY159" s="21"/>
      <c r="BZ159" s="21"/>
      <c r="CA159" s="21"/>
      <c r="CB159" s="1098"/>
      <c r="CC159" s="21"/>
      <c r="CD159" s="21"/>
      <c r="CE159" s="338"/>
      <c r="CF159" s="21"/>
      <c r="CG159" s="21"/>
      <c r="CH159" s="21"/>
      <c r="CI159" s="1098"/>
      <c r="CJ159" s="21"/>
      <c r="CK159" s="21"/>
      <c r="CL159" s="338"/>
      <c r="CM159" s="21"/>
      <c r="CN159" s="21"/>
      <c r="CO159" s="21"/>
      <c r="CP159" s="1098"/>
      <c r="CQ159" s="21"/>
      <c r="CR159" s="21"/>
      <c r="CS159" s="338"/>
      <c r="CT159" s="21"/>
      <c r="CU159" s="21"/>
      <c r="CV159" s="21"/>
      <c r="CW159" s="1098"/>
      <c r="CX159" s="21"/>
      <c r="CY159" s="21"/>
      <c r="CZ159" s="338"/>
      <c r="DA159" s="21"/>
      <c r="DB159" s="21"/>
      <c r="DC159" s="21"/>
      <c r="DD159" s="1098"/>
      <c r="DE159" s="21"/>
      <c r="DF159" s="21"/>
      <c r="DG159" s="338"/>
      <c r="DH159" s="21"/>
      <c r="DI159" s="21"/>
      <c r="DJ159" s="21"/>
      <c r="DK159" s="1098"/>
      <c r="DL159" s="21"/>
      <c r="DM159" s="21"/>
      <c r="DN159" s="338"/>
      <c r="DO159" s="21"/>
      <c r="DP159" s="21"/>
      <c r="DQ159" s="21"/>
      <c r="DR159" s="1098"/>
      <c r="DS159" s="1870"/>
      <c r="DT159" s="21"/>
      <c r="DU159" s="338"/>
      <c r="DV159" s="21"/>
      <c r="DW159" s="21"/>
      <c r="DX159" s="21"/>
      <c r="DY159" s="1098"/>
      <c r="DZ159" s="21"/>
      <c r="EA159" s="21"/>
      <c r="EB159" s="338"/>
      <c r="EC159" s="21"/>
      <c r="ED159" s="21"/>
      <c r="EE159" s="21"/>
      <c r="EF159" s="1098"/>
      <c r="EG159" s="21"/>
      <c r="EH159" s="21"/>
      <c r="EI159" s="338"/>
      <c r="EJ159" s="21"/>
      <c r="EK159" s="21"/>
      <c r="EL159" s="21"/>
      <c r="EM159" s="1098"/>
      <c r="EN159" s="21"/>
      <c r="EO159" s="21"/>
      <c r="EP159" s="338"/>
      <c r="EQ159" s="21"/>
      <c r="ER159" s="21"/>
      <c r="ES159" s="21"/>
      <c r="ET159" s="1098"/>
      <c r="EU159" s="21"/>
      <c r="EV159" s="21"/>
      <c r="EW159" s="338"/>
    </row>
    <row r="160" spans="1:153" ht="10.199999999999999" customHeight="1">
      <c r="A160" s="48" t="s">
        <v>70</v>
      </c>
      <c r="B160" s="1070"/>
      <c r="C160" s="1070"/>
      <c r="D160" s="1070"/>
      <c r="E160" s="1070"/>
      <c r="F160" s="1070"/>
      <c r="G160" s="1070"/>
      <c r="H160" s="1070"/>
      <c r="I160" s="1070"/>
      <c r="J160" s="1070"/>
      <c r="K160" s="1070"/>
      <c r="L160" s="1070"/>
      <c r="M160" s="1070"/>
      <c r="N160" s="230"/>
      <c r="O160" s="230"/>
      <c r="P160" s="230"/>
      <c r="Q160" s="1103"/>
      <c r="R160" s="230"/>
      <c r="S160" s="230"/>
      <c r="T160" s="1087"/>
      <c r="U160" s="230"/>
      <c r="V160" s="230"/>
      <c r="W160" s="230"/>
      <c r="X160" s="1103"/>
      <c r="Y160" s="230"/>
      <c r="Z160" s="230"/>
      <c r="AA160" s="1087"/>
      <c r="AB160" s="230"/>
      <c r="AC160" s="230"/>
      <c r="AD160" s="230"/>
      <c r="AE160" s="1103"/>
      <c r="AF160" s="230"/>
      <c r="AG160" s="230"/>
      <c r="AH160" s="1087"/>
      <c r="AI160" s="230"/>
      <c r="AJ160" s="230"/>
      <c r="AK160" s="230"/>
      <c r="AL160" s="1103"/>
      <c r="AM160" s="230"/>
      <c r="AN160" s="230"/>
      <c r="AO160" s="1087"/>
      <c r="AP160" s="230"/>
      <c r="AQ160" s="230"/>
      <c r="AR160" s="230"/>
      <c r="AS160" s="1103"/>
      <c r="AT160" s="230"/>
      <c r="AU160" s="230"/>
      <c r="AV160" s="1087"/>
      <c r="AW160" s="230"/>
      <c r="AX160" s="230"/>
      <c r="AY160" s="230"/>
      <c r="AZ160" s="1103"/>
      <c r="BA160" s="230"/>
      <c r="BB160" s="230"/>
      <c r="BC160" s="1087"/>
      <c r="BD160" s="230"/>
      <c r="BE160" s="230"/>
      <c r="BF160" s="230"/>
      <c r="BG160" s="1103"/>
      <c r="BH160" s="230"/>
      <c r="BI160" s="230"/>
      <c r="BJ160" s="1087"/>
      <c r="BK160" s="230"/>
      <c r="BL160" s="230"/>
      <c r="BM160" s="230"/>
      <c r="BN160" s="1103"/>
      <c r="BO160" s="230"/>
      <c r="BP160" s="230"/>
      <c r="BQ160" s="1087"/>
      <c r="BR160" s="230"/>
      <c r="BS160" s="230"/>
      <c r="BT160" s="230"/>
      <c r="BU160" s="1103"/>
      <c r="BV160" s="230"/>
      <c r="BW160" s="230"/>
      <c r="BX160" s="1087"/>
      <c r="BY160" s="230"/>
      <c r="BZ160" s="230"/>
      <c r="CA160" s="230"/>
      <c r="CB160" s="1103"/>
      <c r="CC160" s="230"/>
      <c r="CD160" s="230"/>
      <c r="CE160" s="1087"/>
      <c r="CF160" s="230"/>
      <c r="CG160" s="230"/>
      <c r="CH160" s="230"/>
      <c r="CI160" s="1103"/>
      <c r="CJ160" s="230"/>
      <c r="CK160" s="230"/>
      <c r="CL160" s="1087"/>
      <c r="CM160" s="230"/>
      <c r="CN160" s="230"/>
      <c r="CO160" s="230"/>
      <c r="CP160" s="1103"/>
      <c r="CQ160" s="230"/>
      <c r="CR160" s="230"/>
      <c r="CS160" s="1087"/>
      <c r="CT160" s="230"/>
      <c r="CU160" s="230"/>
      <c r="CV160" s="230"/>
      <c r="CW160" s="1103"/>
      <c r="CX160" s="230"/>
      <c r="CY160" s="230"/>
      <c r="CZ160" s="1087"/>
      <c r="DA160" s="230"/>
      <c r="DB160" s="230"/>
      <c r="DC160" s="230"/>
      <c r="DD160" s="1103"/>
      <c r="DE160" s="230"/>
      <c r="DF160" s="230"/>
      <c r="DG160" s="1087"/>
      <c r="DH160" s="230"/>
      <c r="DI160" s="230"/>
      <c r="DJ160" s="230"/>
      <c r="DK160" s="1103"/>
      <c r="DL160" s="230"/>
      <c r="DM160" s="230"/>
      <c r="DN160" s="1087"/>
      <c r="DO160" s="230"/>
      <c r="DP160" s="230"/>
      <c r="DQ160" s="230"/>
      <c r="DR160" s="1103"/>
      <c r="DS160" s="2027"/>
      <c r="DT160" s="230"/>
      <c r="DU160" s="1087"/>
      <c r="DV160" s="230"/>
      <c r="DW160" s="230"/>
      <c r="DX160" s="230"/>
      <c r="DY160" s="1103"/>
      <c r="DZ160" s="230"/>
      <c r="EA160" s="230"/>
      <c r="EB160" s="1087"/>
      <c r="EC160" s="230"/>
      <c r="ED160" s="230"/>
      <c r="EE160" s="230"/>
      <c r="EF160" s="1103"/>
      <c r="EG160" s="230"/>
      <c r="EH160" s="230"/>
      <c r="EI160" s="1087"/>
      <c r="EJ160" s="230"/>
      <c r="EK160" s="230"/>
      <c r="EL160" s="230"/>
      <c r="EM160" s="1103"/>
      <c r="EN160" s="230"/>
      <c r="EO160" s="230"/>
      <c r="EP160" s="1087"/>
      <c r="EQ160" s="230"/>
      <c r="ER160" s="230"/>
      <c r="ES160" s="230"/>
      <c r="ET160" s="1103"/>
      <c r="EU160" s="230"/>
      <c r="EV160" s="230"/>
      <c r="EW160" s="1087"/>
    </row>
    <row r="161" spans="1:153" ht="10.199999999999999" customHeight="1">
      <c r="A161" s="108" t="s">
        <v>3</v>
      </c>
      <c r="B161" s="917">
        <f t="shared" ref="B161:BQ161" si="1180">+B102</f>
        <v>2890</v>
      </c>
      <c r="C161" s="917">
        <f t="shared" si="1180"/>
        <v>2795</v>
      </c>
      <c r="D161" s="917">
        <f t="shared" si="1180"/>
        <v>2821</v>
      </c>
      <c r="E161" s="917">
        <f t="shared" si="1180"/>
        <v>2881</v>
      </c>
      <c r="F161" s="917">
        <f t="shared" si="1180"/>
        <v>3338</v>
      </c>
      <c r="G161" s="917">
        <f t="shared" si="1180"/>
        <v>538</v>
      </c>
      <c r="H161" s="917">
        <f t="shared" si="1180"/>
        <v>334</v>
      </c>
      <c r="I161" s="917">
        <f t="shared" si="1180"/>
        <v>3321</v>
      </c>
      <c r="J161" s="917">
        <f t="shared" si="1180"/>
        <v>1359</v>
      </c>
      <c r="K161" s="917">
        <f t="shared" si="1180"/>
        <v>1223</v>
      </c>
      <c r="L161" s="917">
        <f t="shared" si="1180"/>
        <v>1582</v>
      </c>
      <c r="M161" s="917">
        <f t="shared" si="1180"/>
        <v>2305</v>
      </c>
      <c r="N161" s="917"/>
      <c r="O161" s="917"/>
      <c r="P161" s="917"/>
      <c r="Q161" s="964"/>
      <c r="R161" s="917"/>
      <c r="S161" s="917"/>
      <c r="T161" s="1286">
        <f t="shared" si="1180"/>
        <v>2775</v>
      </c>
      <c r="U161" s="917"/>
      <c r="V161" s="917"/>
      <c r="W161" s="917"/>
      <c r="X161" s="964"/>
      <c r="Y161" s="917"/>
      <c r="Z161" s="917"/>
      <c r="AA161" s="1286">
        <f t="shared" si="1180"/>
        <v>4065</v>
      </c>
      <c r="AB161" s="917"/>
      <c r="AC161" s="917"/>
      <c r="AD161" s="917"/>
      <c r="AE161" s="964"/>
      <c r="AF161" s="917"/>
      <c r="AG161" s="917"/>
      <c r="AH161" s="1286">
        <f t="shared" si="1180"/>
        <v>3895</v>
      </c>
      <c r="AI161" s="917"/>
      <c r="AJ161" s="917"/>
      <c r="AK161" s="917"/>
      <c r="AL161" s="964"/>
      <c r="AM161" s="917"/>
      <c r="AN161" s="917"/>
      <c r="AO161" s="1286">
        <f t="shared" si="1180"/>
        <v>3109</v>
      </c>
      <c r="AP161" s="917"/>
      <c r="AQ161" s="917"/>
      <c r="AR161" s="917"/>
      <c r="AS161" s="964"/>
      <c r="AT161" s="917"/>
      <c r="AU161" s="917"/>
      <c r="AV161" s="1286">
        <f t="shared" si="1180"/>
        <v>5021</v>
      </c>
      <c r="AW161" s="917"/>
      <c r="AX161" s="917"/>
      <c r="AY161" s="917"/>
      <c r="AZ161" s="964"/>
      <c r="BA161" s="917"/>
      <c r="BB161" s="917"/>
      <c r="BC161" s="1286">
        <f t="shared" si="1180"/>
        <v>3918</v>
      </c>
      <c r="BD161" s="917"/>
      <c r="BE161" s="917"/>
      <c r="BF161" s="917"/>
      <c r="BG161" s="964"/>
      <c r="BH161" s="917"/>
      <c r="BI161" s="917"/>
      <c r="BJ161" s="1286">
        <f t="shared" si="1180"/>
        <v>6089</v>
      </c>
      <c r="BK161" s="917"/>
      <c r="BL161" s="917"/>
      <c r="BM161" s="917"/>
      <c r="BN161" s="964"/>
      <c r="BO161" s="917"/>
      <c r="BP161" s="917"/>
      <c r="BQ161" s="1286">
        <f t="shared" si="1180"/>
        <v>4335</v>
      </c>
      <c r="BR161" s="917"/>
      <c r="BS161" s="917"/>
      <c r="BT161" s="917"/>
      <c r="BU161" s="964"/>
      <c r="BV161" s="917"/>
      <c r="BW161" s="917"/>
      <c r="BX161" s="1286"/>
      <c r="BY161" s="917"/>
      <c r="BZ161" s="917"/>
      <c r="CA161" s="917"/>
      <c r="CB161" s="964"/>
      <c r="CC161" s="917"/>
      <c r="CD161" s="917"/>
      <c r="CE161" s="1286">
        <f>+CE102</f>
        <v>621</v>
      </c>
      <c r="CF161" s="917"/>
      <c r="CG161" s="917"/>
      <c r="CH161" s="917"/>
      <c r="CI161" s="964"/>
      <c r="CJ161" s="917"/>
      <c r="CK161" s="917"/>
      <c r="CL161" s="1286">
        <f>+CL102</f>
        <v>5791</v>
      </c>
      <c r="CM161" s="917"/>
      <c r="CN161" s="917"/>
      <c r="CO161" s="917"/>
      <c r="CP161" s="964"/>
      <c r="CQ161" s="917"/>
      <c r="CR161" s="917"/>
      <c r="CS161" s="1286">
        <f>+CS102</f>
        <v>6371</v>
      </c>
      <c r="CT161" s="917"/>
      <c r="CU161" s="917"/>
      <c r="CV161" s="917"/>
      <c r="CW161" s="964"/>
      <c r="CX161" s="917"/>
      <c r="CY161" s="917"/>
      <c r="CZ161" s="1286">
        <f>+CZ102</f>
        <v>5207</v>
      </c>
      <c r="DA161" s="917"/>
      <c r="DB161" s="917"/>
      <c r="DC161" s="917"/>
      <c r="DD161" s="964"/>
      <c r="DE161" s="917"/>
      <c r="DF161" s="917"/>
      <c r="DG161" s="1286">
        <f>+DG102</f>
        <v>6773</v>
      </c>
      <c r="DH161" s="917"/>
      <c r="DI161" s="917"/>
      <c r="DJ161" s="917"/>
      <c r="DK161" s="964"/>
      <c r="DL161" s="917"/>
      <c r="DM161" s="917"/>
      <c r="DN161" s="1286">
        <f>+DN102</f>
        <v>6998</v>
      </c>
      <c r="DO161" s="917"/>
      <c r="DP161" s="917"/>
      <c r="DQ161" s="917"/>
      <c r="DR161" s="964"/>
      <c r="DS161" s="2029"/>
      <c r="DT161" s="917"/>
      <c r="DU161" s="1118">
        <f>+DU102</f>
        <v>8355.9222073188448</v>
      </c>
      <c r="DV161" s="917"/>
      <c r="DW161" s="917"/>
      <c r="DX161" s="917"/>
      <c r="DY161" s="964"/>
      <c r="DZ161" s="917"/>
      <c r="EA161" s="917"/>
      <c r="EB161" s="1118">
        <f>+EB102</f>
        <v>10293.244569527595</v>
      </c>
      <c r="EC161" s="917"/>
      <c r="ED161" s="917"/>
      <c r="EE161" s="917"/>
      <c r="EF161" s="964"/>
      <c r="EG161" s="917"/>
      <c r="EH161" s="917"/>
      <c r="EI161" s="1118">
        <f>+EI102</f>
        <v>12659.709781659589</v>
      </c>
      <c r="EJ161" s="917"/>
      <c r="EK161" s="917"/>
      <c r="EL161" s="917"/>
      <c r="EM161" s="964"/>
      <c r="EN161" s="917"/>
      <c r="EO161" s="917"/>
      <c r="EP161" s="1118">
        <f>+EP102</f>
        <v>13622.309583276518</v>
      </c>
      <c r="EQ161" s="917"/>
      <c r="ER161" s="917"/>
      <c r="ES161" s="917"/>
      <c r="ET161" s="964"/>
      <c r="EU161" s="917"/>
      <c r="EV161" s="917"/>
      <c r="EW161" s="1118">
        <f>+EW102</f>
        <v>14331.720802297663</v>
      </c>
    </row>
    <row r="162" spans="1:153" ht="10.199999999999999" customHeight="1">
      <c r="A162" s="108" t="s">
        <v>327</v>
      </c>
      <c r="B162" s="530">
        <f t="shared" ref="B162:BQ162" si="1181">-B141</f>
        <v>-1433</v>
      </c>
      <c r="C162" s="530">
        <f t="shared" si="1181"/>
        <v>-1674</v>
      </c>
      <c r="D162" s="530">
        <f t="shared" si="1181"/>
        <v>-2027</v>
      </c>
      <c r="E162" s="530">
        <f t="shared" si="1181"/>
        <v>-2778</v>
      </c>
      <c r="F162" s="530">
        <f t="shared" si="1181"/>
        <v>-1864</v>
      </c>
      <c r="G162" s="530">
        <f t="shared" si="1181"/>
        <v>-1750</v>
      </c>
      <c r="H162" s="530">
        <f t="shared" si="1181"/>
        <v>-946</v>
      </c>
      <c r="I162" s="530">
        <f t="shared" si="1181"/>
        <v>-887</v>
      </c>
      <c r="J162" s="530">
        <f t="shared" si="1181"/>
        <v>-1254</v>
      </c>
      <c r="K162" s="530">
        <f t="shared" si="1181"/>
        <v>-1419</v>
      </c>
      <c r="L162" s="530">
        <f t="shared" si="1181"/>
        <v>-1331</v>
      </c>
      <c r="M162" s="530">
        <f t="shared" si="1181"/>
        <v>-2288</v>
      </c>
      <c r="N162" s="530"/>
      <c r="O162" s="530"/>
      <c r="P162" s="530"/>
      <c r="Q162" s="680"/>
      <c r="R162" s="530"/>
      <c r="S162" s="530"/>
      <c r="T162" s="1278">
        <f t="shared" si="1181"/>
        <v>-2116</v>
      </c>
      <c r="U162" s="530"/>
      <c r="V162" s="530"/>
      <c r="W162" s="530"/>
      <c r="X162" s="680"/>
      <c r="Y162" s="530"/>
      <c r="Z162" s="530"/>
      <c r="AA162" s="1278">
        <f t="shared" si="1181"/>
        <v>-1713</v>
      </c>
      <c r="AB162" s="530"/>
      <c r="AC162" s="530"/>
      <c r="AD162" s="530"/>
      <c r="AE162" s="680"/>
      <c r="AF162" s="530"/>
      <c r="AG162" s="530"/>
      <c r="AH162" s="1278">
        <f t="shared" si="1181"/>
        <v>-2001</v>
      </c>
      <c r="AI162" s="530"/>
      <c r="AJ162" s="530"/>
      <c r="AK162" s="530"/>
      <c r="AL162" s="680"/>
      <c r="AM162" s="530"/>
      <c r="AN162" s="530"/>
      <c r="AO162" s="1278">
        <f t="shared" si="1181"/>
        <v>-2304</v>
      </c>
      <c r="AP162" s="530"/>
      <c r="AQ162" s="530"/>
      <c r="AR162" s="530"/>
      <c r="AS162" s="680"/>
      <c r="AT162" s="530"/>
      <c r="AU162" s="530"/>
      <c r="AV162" s="1278">
        <f t="shared" si="1181"/>
        <v>-1851</v>
      </c>
      <c r="AW162" s="530"/>
      <c r="AX162" s="530"/>
      <c r="AY162" s="530"/>
      <c r="AZ162" s="680"/>
      <c r="BA162" s="530"/>
      <c r="BB162" s="530"/>
      <c r="BC162" s="1278">
        <f t="shared" si="1181"/>
        <v>-1885</v>
      </c>
      <c r="BD162" s="530"/>
      <c r="BE162" s="530"/>
      <c r="BF162" s="530"/>
      <c r="BG162" s="680"/>
      <c r="BH162" s="530"/>
      <c r="BI162" s="530"/>
      <c r="BJ162" s="1278">
        <f t="shared" si="1181"/>
        <v>-1618</v>
      </c>
      <c r="BK162" s="530"/>
      <c r="BL162" s="530"/>
      <c r="BM162" s="530"/>
      <c r="BN162" s="680"/>
      <c r="BO162" s="530"/>
      <c r="BP162" s="530"/>
      <c r="BQ162" s="1278">
        <f t="shared" si="1181"/>
        <v>-1678</v>
      </c>
      <c r="BR162" s="530"/>
      <c r="BS162" s="530"/>
      <c r="BT162" s="530"/>
      <c r="BU162" s="680"/>
      <c r="BV162" s="530"/>
      <c r="BW162" s="530"/>
      <c r="BX162" s="1278"/>
      <c r="BY162" s="530"/>
      <c r="BZ162" s="530"/>
      <c r="CA162" s="530"/>
      <c r="CB162" s="680"/>
      <c r="CC162" s="530"/>
      <c r="CD162" s="530"/>
      <c r="CE162" s="1278">
        <f>-CE141</f>
        <v>-1191</v>
      </c>
      <c r="CF162" s="530"/>
      <c r="CG162" s="530"/>
      <c r="CH162" s="530"/>
      <c r="CI162" s="680"/>
      <c r="CJ162" s="530"/>
      <c r="CK162" s="530"/>
      <c r="CL162" s="1278">
        <f>-CL141</f>
        <v>-1270</v>
      </c>
      <c r="CM162" s="530"/>
      <c r="CN162" s="530"/>
      <c r="CO162" s="530"/>
      <c r="CP162" s="680"/>
      <c r="CQ162" s="530"/>
      <c r="CR162" s="530"/>
      <c r="CS162" s="1278">
        <f>-CS141</f>
        <v>-1730</v>
      </c>
      <c r="CT162" s="530"/>
      <c r="CU162" s="530"/>
      <c r="CV162" s="530"/>
      <c r="CW162" s="680"/>
      <c r="CX162" s="530"/>
      <c r="CY162" s="530"/>
      <c r="CZ162" s="1278">
        <f>-CZ141</f>
        <v>-2053</v>
      </c>
      <c r="DA162" s="530"/>
      <c r="DB162" s="530"/>
      <c r="DC162" s="530"/>
      <c r="DD162" s="680"/>
      <c r="DE162" s="530"/>
      <c r="DF162" s="530"/>
      <c r="DG162" s="1278">
        <f>-DG141</f>
        <v>-2737</v>
      </c>
      <c r="DH162" s="530"/>
      <c r="DI162" s="530"/>
      <c r="DJ162" s="530"/>
      <c r="DK162" s="680"/>
      <c r="DL162" s="530"/>
      <c r="DM162" s="530"/>
      <c r="DN162" s="1278">
        <f>-DN141</f>
        <v>-3037</v>
      </c>
      <c r="DO162" s="530"/>
      <c r="DP162" s="530"/>
      <c r="DQ162" s="530"/>
      <c r="DR162" s="680"/>
      <c r="DS162" s="2009"/>
      <c r="DT162" s="530"/>
      <c r="DU162" s="385">
        <f>-DU141</f>
        <v>-3150.2930047877335</v>
      </c>
      <c r="DV162" s="530"/>
      <c r="DW162" s="530"/>
      <c r="DX162" s="530"/>
      <c r="DY162" s="680"/>
      <c r="DZ162" s="530"/>
      <c r="EA162" s="530"/>
      <c r="EB162" s="385">
        <f>-EB141</f>
        <v>-3278.53288572465</v>
      </c>
      <c r="EC162" s="530"/>
      <c r="ED162" s="530"/>
      <c r="EE162" s="530"/>
      <c r="EF162" s="680"/>
      <c r="EG162" s="530"/>
      <c r="EH162" s="530"/>
      <c r="EI162" s="385">
        <f>-EI141</f>
        <v>-3456.1244281398726</v>
      </c>
      <c r="EJ162" s="530"/>
      <c r="EK162" s="530"/>
      <c r="EL162" s="530"/>
      <c r="EM162" s="680"/>
      <c r="EN162" s="530"/>
      <c r="EO162" s="530"/>
      <c r="EP162" s="385">
        <f>-EP141</f>
        <v>-3436.6770245235452</v>
      </c>
      <c r="EQ162" s="530"/>
      <c r="ER162" s="530"/>
      <c r="ES162" s="530"/>
      <c r="ET162" s="680"/>
      <c r="EU162" s="530"/>
      <c r="EV162" s="530"/>
      <c r="EW162" s="385">
        <f>-EW141</f>
        <v>-3538.2839461832782</v>
      </c>
    </row>
    <row r="163" spans="1:153" ht="10.199999999999999" customHeight="1">
      <c r="A163" s="108" t="s">
        <v>615</v>
      </c>
      <c r="B163" s="530">
        <f>+B214</f>
        <v>692.54245246717892</v>
      </c>
      <c r="C163" s="530">
        <f t="shared" ref="C163:AO163" si="1182">+C224</f>
        <v>300</v>
      </c>
      <c r="D163" s="530">
        <f t="shared" si="1182"/>
        <v>1300</v>
      </c>
      <c r="E163" s="530">
        <f t="shared" si="1182"/>
        <v>1823</v>
      </c>
      <c r="F163" s="530">
        <f t="shared" si="1182"/>
        <v>4237</v>
      </c>
      <c r="G163" s="530">
        <f t="shared" si="1182"/>
        <v>1564</v>
      </c>
      <c r="H163" s="530">
        <f t="shared" si="1182"/>
        <v>4817</v>
      </c>
      <c r="I163" s="530">
        <f t="shared" si="1182"/>
        <v>2435</v>
      </c>
      <c r="J163" s="530">
        <f t="shared" si="1182"/>
        <v>2925</v>
      </c>
      <c r="K163" s="530">
        <f t="shared" si="1182"/>
        <v>1698</v>
      </c>
      <c r="L163" s="530">
        <f t="shared" si="1182"/>
        <v>1965</v>
      </c>
      <c r="M163" s="530">
        <f t="shared" si="1182"/>
        <v>1243</v>
      </c>
      <c r="N163" s="530"/>
      <c r="O163" s="530"/>
      <c r="P163" s="530"/>
      <c r="Q163" s="680"/>
      <c r="R163" s="530"/>
      <c r="S163" s="530"/>
      <c r="T163" s="1278">
        <f t="shared" si="1182"/>
        <v>580</v>
      </c>
      <c r="U163" s="530"/>
      <c r="V163" s="530"/>
      <c r="W163" s="530"/>
      <c r="X163" s="680"/>
      <c r="Y163" s="530"/>
      <c r="Z163" s="530"/>
      <c r="AA163" s="1278">
        <f t="shared" si="1182"/>
        <v>1715</v>
      </c>
      <c r="AB163" s="530"/>
      <c r="AC163" s="530"/>
      <c r="AD163" s="530"/>
      <c r="AE163" s="680"/>
      <c r="AF163" s="530"/>
      <c r="AG163" s="530"/>
      <c r="AH163" s="1278">
        <f t="shared" si="1182"/>
        <v>3752</v>
      </c>
      <c r="AI163" s="530"/>
      <c r="AJ163" s="530"/>
      <c r="AK163" s="530"/>
      <c r="AL163" s="680"/>
      <c r="AM163" s="530"/>
      <c r="AN163" s="530"/>
      <c r="AO163" s="1278">
        <f t="shared" si="1182"/>
        <v>4628</v>
      </c>
      <c r="AP163" s="530"/>
      <c r="AQ163" s="530"/>
      <c r="AR163" s="530"/>
      <c r="AS163" s="680"/>
      <c r="AT163" s="530"/>
      <c r="AU163" s="530"/>
      <c r="AV163" s="1278">
        <f>+AV224</f>
        <v>1268</v>
      </c>
      <c r="AW163" s="530"/>
      <c r="AX163" s="530"/>
      <c r="AY163" s="530"/>
      <c r="AZ163" s="680"/>
      <c r="BA163" s="530"/>
      <c r="BB163" s="530"/>
      <c r="BC163" s="1278">
        <f>+BC224</f>
        <v>0</v>
      </c>
      <c r="BD163" s="530"/>
      <c r="BE163" s="530"/>
      <c r="BF163" s="530"/>
      <c r="BG163" s="680"/>
      <c r="BH163" s="530"/>
      <c r="BI163" s="530"/>
      <c r="BJ163" s="1278">
        <f t="shared" ref="BJ163:CS163" si="1183">+BJ214</f>
        <v>-7004.6649064406738</v>
      </c>
      <c r="BK163" s="530"/>
      <c r="BL163" s="530"/>
      <c r="BM163" s="530"/>
      <c r="BN163" s="680"/>
      <c r="BO163" s="530"/>
      <c r="BP163" s="530"/>
      <c r="BQ163" s="1278">
        <f t="shared" si="1183"/>
        <v>-7871.1074627999969</v>
      </c>
      <c r="BR163" s="530"/>
      <c r="BS163" s="530"/>
      <c r="BT163" s="530"/>
      <c r="BU163" s="680"/>
      <c r="BV163" s="530"/>
      <c r="BW163" s="530"/>
      <c r="BX163" s="1278"/>
      <c r="BY163" s="530"/>
      <c r="BZ163" s="530"/>
      <c r="CA163" s="530"/>
      <c r="CB163" s="680"/>
      <c r="CC163" s="530"/>
      <c r="CD163" s="530"/>
      <c r="CE163" s="1278">
        <f t="shared" si="1183"/>
        <v>3903.9300746400004</v>
      </c>
      <c r="CF163" s="530"/>
      <c r="CG163" s="530"/>
      <c r="CH163" s="530"/>
      <c r="CI163" s="680"/>
      <c r="CJ163" s="530"/>
      <c r="CK163" s="530"/>
      <c r="CL163" s="1278">
        <f t="shared" si="1183"/>
        <v>5703.5480107723997</v>
      </c>
      <c r="CM163" s="530"/>
      <c r="CN163" s="530"/>
      <c r="CO163" s="530"/>
      <c r="CP163" s="680"/>
      <c r="CQ163" s="530"/>
      <c r="CR163" s="530"/>
      <c r="CS163" s="1278">
        <f t="shared" si="1183"/>
        <v>3117.7116082935281</v>
      </c>
      <c r="CT163" s="530"/>
      <c r="CU163" s="530"/>
      <c r="CV163" s="530"/>
      <c r="CW163" s="680"/>
      <c r="CX163" s="530"/>
      <c r="CY163" s="530"/>
      <c r="CZ163" s="1278">
        <f t="shared" ref="CZ163" si="1184">+CZ214</f>
        <v>1590.1186049028875</v>
      </c>
      <c r="DA163" s="530"/>
      <c r="DB163" s="530"/>
      <c r="DC163" s="530"/>
      <c r="DD163" s="680"/>
      <c r="DE163" s="530"/>
      <c r="DF163" s="530"/>
      <c r="DG163" s="1278">
        <f t="shared" ref="DG163" si="1185">+DG214</f>
        <v>1957.523363316468</v>
      </c>
      <c r="DH163" s="530"/>
      <c r="DI163" s="530"/>
      <c r="DJ163" s="530"/>
      <c r="DK163" s="680"/>
      <c r="DL163" s="530"/>
      <c r="DM163" s="530"/>
      <c r="DN163" s="1278">
        <f t="shared" ref="DN163" si="1186">+DN214</f>
        <v>5522.6967672125829</v>
      </c>
      <c r="DO163" s="530"/>
      <c r="DP163" s="530"/>
      <c r="DQ163" s="530"/>
      <c r="DR163" s="680"/>
      <c r="DS163" s="2009"/>
      <c r="DT163" s="530"/>
      <c r="DU163" s="385">
        <f>+DU214</f>
        <v>0</v>
      </c>
      <c r="DV163" s="530"/>
      <c r="DW163" s="530"/>
      <c r="DX163" s="530"/>
      <c r="DY163" s="680"/>
      <c r="DZ163" s="530"/>
      <c r="EA163" s="530"/>
      <c r="EB163" s="385">
        <f>+EB214</f>
        <v>0</v>
      </c>
      <c r="EC163" s="530"/>
      <c r="ED163" s="530"/>
      <c r="EE163" s="530"/>
      <c r="EF163" s="680"/>
      <c r="EG163" s="530"/>
      <c r="EH163" s="530"/>
      <c r="EI163" s="385">
        <f>+EI214</f>
        <v>0</v>
      </c>
      <c r="EJ163" s="530"/>
      <c r="EK163" s="530"/>
      <c r="EL163" s="530"/>
      <c r="EM163" s="680"/>
      <c r="EN163" s="530"/>
      <c r="EO163" s="530"/>
      <c r="EP163" s="385">
        <f>+EP214</f>
        <v>0</v>
      </c>
      <c r="EQ163" s="530"/>
      <c r="ER163" s="530"/>
      <c r="ES163" s="530"/>
      <c r="ET163" s="680"/>
      <c r="EU163" s="530"/>
      <c r="EV163" s="530"/>
      <c r="EW163" s="385">
        <f>+EW214</f>
        <v>0</v>
      </c>
    </row>
    <row r="164" spans="1:153" ht="10.199999999999999" customHeight="1">
      <c r="A164" s="108" t="s">
        <v>590</v>
      </c>
      <c r="B164" s="834"/>
      <c r="C164" s="834">
        <f>980-250</f>
        <v>730</v>
      </c>
      <c r="D164" s="834">
        <f>700</f>
        <v>700</v>
      </c>
      <c r="E164" s="834">
        <f>+E232</f>
        <v>348</v>
      </c>
      <c r="F164" s="834">
        <f>+F232</f>
        <v>-1200</v>
      </c>
      <c r="G164" s="834">
        <f t="shared" ref="G164:AH164" si="1187">+G232</f>
        <v>-400</v>
      </c>
      <c r="H164" s="834">
        <f t="shared" si="1187"/>
        <v>-700</v>
      </c>
      <c r="I164" s="834">
        <f t="shared" si="1187"/>
        <v>-612</v>
      </c>
      <c r="J164" s="834">
        <f t="shared" si="1187"/>
        <v>-1600</v>
      </c>
      <c r="K164" s="834">
        <f t="shared" si="1187"/>
        <v>-35</v>
      </c>
      <c r="L164" s="834">
        <f t="shared" si="1187"/>
        <v>-621</v>
      </c>
      <c r="M164" s="834">
        <f t="shared" si="1187"/>
        <v>-875</v>
      </c>
      <c r="N164" s="834"/>
      <c r="O164" s="834"/>
      <c r="P164" s="834"/>
      <c r="Q164" s="1095"/>
      <c r="R164" s="834"/>
      <c r="S164" s="834"/>
      <c r="T164" s="1269">
        <f t="shared" si="1187"/>
        <v>-1779</v>
      </c>
      <c r="U164" s="834"/>
      <c r="V164" s="834"/>
      <c r="W164" s="834"/>
      <c r="X164" s="1095"/>
      <c r="Y164" s="834"/>
      <c r="Z164" s="834"/>
      <c r="AA164" s="1269">
        <f t="shared" si="1187"/>
        <v>-1712</v>
      </c>
      <c r="AB164" s="834"/>
      <c r="AC164" s="834"/>
      <c r="AD164" s="834"/>
      <c r="AE164" s="1095"/>
      <c r="AF164" s="834"/>
      <c r="AG164" s="834"/>
      <c r="AH164" s="1269">
        <f t="shared" si="1187"/>
        <v>-2000</v>
      </c>
      <c r="AI164" s="834"/>
      <c r="AJ164" s="834"/>
      <c r="AK164" s="834"/>
      <c r="AL164" s="1095"/>
      <c r="AM164" s="834"/>
      <c r="AN164" s="834"/>
      <c r="AO164" s="1269">
        <f>+AO232</f>
        <v>-1469</v>
      </c>
      <c r="AP164" s="834"/>
      <c r="AQ164" s="834"/>
      <c r="AR164" s="834"/>
      <c r="AS164" s="1095"/>
      <c r="AT164" s="834"/>
      <c r="AU164" s="834"/>
      <c r="AV164" s="1269">
        <f>+AV232</f>
        <v>-2611</v>
      </c>
      <c r="AW164" s="834"/>
      <c r="AX164" s="834"/>
      <c r="AY164" s="834"/>
      <c r="AZ164" s="1095"/>
      <c r="BA164" s="834"/>
      <c r="BB164" s="834"/>
      <c r="BC164" s="1269">
        <f>+BC232</f>
        <v>0</v>
      </c>
      <c r="BD164" s="834"/>
      <c r="BE164" s="834"/>
      <c r="BF164" s="834"/>
      <c r="BG164" s="1095"/>
      <c r="BH164" s="834"/>
      <c r="BI164" s="834"/>
      <c r="BJ164" s="1269"/>
      <c r="BK164" s="834"/>
      <c r="BL164" s="834"/>
      <c r="BM164" s="834"/>
      <c r="BN164" s="1095"/>
      <c r="BO164" s="834"/>
      <c r="BP164" s="834"/>
      <c r="BQ164" s="1269"/>
      <c r="BR164" s="834"/>
      <c r="BS164" s="834"/>
      <c r="BT164" s="834"/>
      <c r="BU164" s="1095"/>
      <c r="BV164" s="834"/>
      <c r="BW164" s="834"/>
      <c r="BX164" s="1269"/>
      <c r="BY164" s="834"/>
      <c r="BZ164" s="834"/>
      <c r="CA164" s="834"/>
      <c r="CB164" s="1095"/>
      <c r="CC164" s="834"/>
      <c r="CD164" s="834"/>
      <c r="CE164" s="1269"/>
      <c r="CF164" s="834"/>
      <c r="CG164" s="834"/>
      <c r="CH164" s="834"/>
      <c r="CI164" s="1095"/>
      <c r="CJ164" s="834"/>
      <c r="CK164" s="834"/>
      <c r="CL164" s="1269"/>
      <c r="CM164" s="834"/>
      <c r="CN164" s="834"/>
      <c r="CO164" s="834"/>
      <c r="CP164" s="1095"/>
      <c r="CQ164" s="834"/>
      <c r="CR164" s="834"/>
      <c r="CS164" s="1269"/>
      <c r="CT164" s="834"/>
      <c r="CU164" s="834"/>
      <c r="CV164" s="834"/>
      <c r="CW164" s="1095"/>
      <c r="CX164" s="834"/>
      <c r="CY164" s="834"/>
      <c r="CZ164" s="1269"/>
      <c r="DA164" s="834"/>
      <c r="DB164" s="834"/>
      <c r="DC164" s="834"/>
      <c r="DD164" s="1095"/>
      <c r="DE164" s="834"/>
      <c r="DF164" s="834"/>
      <c r="DG164" s="1269"/>
      <c r="DH164" s="834"/>
      <c r="DI164" s="834"/>
      <c r="DJ164" s="834"/>
      <c r="DK164" s="1095"/>
      <c r="DL164" s="834"/>
      <c r="DM164" s="834"/>
      <c r="DN164" s="1269"/>
      <c r="DO164" s="834"/>
      <c r="DP164" s="834"/>
      <c r="DQ164" s="834"/>
      <c r="DR164" s="1095"/>
      <c r="DS164" s="1892"/>
      <c r="DT164" s="834"/>
      <c r="DU164" s="1088"/>
      <c r="DV164" s="834"/>
      <c r="DW164" s="834"/>
      <c r="DX164" s="834"/>
      <c r="DY164" s="1095"/>
      <c r="DZ164" s="834"/>
      <c r="EA164" s="834"/>
      <c r="EB164" s="1088"/>
      <c r="EC164" s="834"/>
      <c r="ED164" s="834"/>
      <c r="EE164" s="834"/>
      <c r="EF164" s="1095"/>
      <c r="EG164" s="834"/>
      <c r="EH164" s="834"/>
      <c r="EI164" s="1088"/>
      <c r="EJ164" s="834"/>
      <c r="EK164" s="834"/>
      <c r="EL164" s="834"/>
      <c r="EM164" s="1095"/>
      <c r="EN164" s="834"/>
      <c r="EO164" s="834"/>
      <c r="EP164" s="1088"/>
      <c r="EQ164" s="834"/>
      <c r="ER164" s="834"/>
      <c r="ES164" s="834"/>
      <c r="ET164" s="1095"/>
      <c r="EU164" s="834"/>
      <c r="EV164" s="834"/>
      <c r="EW164" s="1088"/>
    </row>
    <row r="165" spans="1:153" ht="10.199999999999999" customHeight="1">
      <c r="A165" s="108" t="s">
        <v>596</v>
      </c>
      <c r="B165" s="834"/>
      <c r="C165" s="834">
        <v>0</v>
      </c>
      <c r="D165" s="834">
        <v>0</v>
      </c>
      <c r="E165" s="834">
        <v>0</v>
      </c>
      <c r="F165" s="834">
        <v>0</v>
      </c>
      <c r="G165" s="834">
        <v>0</v>
      </c>
      <c r="H165" s="834">
        <v>0</v>
      </c>
      <c r="I165" s="834">
        <v>0</v>
      </c>
      <c r="J165" s="834">
        <v>0</v>
      </c>
      <c r="K165" s="834">
        <v>0</v>
      </c>
      <c r="L165" s="834">
        <v>0</v>
      </c>
      <c r="M165" s="834">
        <v>0</v>
      </c>
      <c r="N165" s="834"/>
      <c r="O165" s="834"/>
      <c r="P165" s="834"/>
      <c r="Q165" s="1095"/>
      <c r="R165" s="834"/>
      <c r="S165" s="834"/>
      <c r="T165" s="1269">
        <v>0</v>
      </c>
      <c r="U165" s="834"/>
      <c r="V165" s="834"/>
      <c r="W165" s="834"/>
      <c r="X165" s="1095"/>
      <c r="Y165" s="834"/>
      <c r="Z165" s="834"/>
      <c r="AA165" s="1269">
        <v>0</v>
      </c>
      <c r="AB165" s="834"/>
      <c r="AC165" s="834"/>
      <c r="AD165" s="834"/>
      <c r="AE165" s="1095"/>
      <c r="AF165" s="834"/>
      <c r="AG165" s="834"/>
      <c r="AH165" s="1269">
        <v>0</v>
      </c>
      <c r="AI165" s="834"/>
      <c r="AJ165" s="834"/>
      <c r="AK165" s="834"/>
      <c r="AL165" s="1095"/>
      <c r="AM165" s="834"/>
      <c r="AN165" s="834"/>
      <c r="AO165" s="1269">
        <v>0</v>
      </c>
      <c r="AP165" s="834"/>
      <c r="AQ165" s="834"/>
      <c r="AR165" s="834"/>
      <c r="AS165" s="1095"/>
      <c r="AT165" s="834"/>
      <c r="AU165" s="834"/>
      <c r="AV165" s="1269">
        <v>0</v>
      </c>
      <c r="AW165" s="834"/>
      <c r="AX165" s="834"/>
      <c r="AY165" s="834"/>
      <c r="AZ165" s="1095"/>
      <c r="BA165" s="834"/>
      <c r="BB165" s="834"/>
      <c r="BC165" s="1269">
        <v>0</v>
      </c>
      <c r="BD165" s="834"/>
      <c r="BE165" s="834"/>
      <c r="BF165" s="834"/>
      <c r="BG165" s="1095"/>
      <c r="BH165" s="834"/>
      <c r="BI165" s="834"/>
      <c r="BJ165" s="1269"/>
      <c r="BK165" s="834"/>
      <c r="BL165" s="834"/>
      <c r="BM165" s="834"/>
      <c r="BN165" s="1095"/>
      <c r="BO165" s="834"/>
      <c r="BP165" s="834"/>
      <c r="BQ165" s="1269"/>
      <c r="BR165" s="834"/>
      <c r="BS165" s="834"/>
      <c r="BT165" s="834"/>
      <c r="BU165" s="1095"/>
      <c r="BV165" s="834"/>
      <c r="BW165" s="834"/>
      <c r="BX165" s="1269"/>
      <c r="BY165" s="834"/>
      <c r="BZ165" s="834"/>
      <c r="CA165" s="834"/>
      <c r="CB165" s="1095"/>
      <c r="CC165" s="834"/>
      <c r="CD165" s="834"/>
      <c r="CE165" s="1269"/>
      <c r="CF165" s="834"/>
      <c r="CG165" s="834"/>
      <c r="CH165" s="834"/>
      <c r="CI165" s="1095"/>
      <c r="CJ165" s="834"/>
      <c r="CK165" s="834"/>
      <c r="CL165" s="1269"/>
      <c r="CM165" s="834"/>
      <c r="CN165" s="834"/>
      <c r="CO165" s="834"/>
      <c r="CP165" s="1095"/>
      <c r="CQ165" s="834"/>
      <c r="CR165" s="834"/>
      <c r="CS165" s="1269"/>
      <c r="CT165" s="834"/>
      <c r="CU165" s="834"/>
      <c r="CV165" s="834"/>
      <c r="CW165" s="1095"/>
      <c r="CX165" s="834"/>
      <c r="CY165" s="834"/>
      <c r="CZ165" s="1269"/>
      <c r="DA165" s="834"/>
      <c r="DB165" s="834"/>
      <c r="DC165" s="834"/>
      <c r="DD165" s="1095"/>
      <c r="DE165" s="834"/>
      <c r="DF165" s="834"/>
      <c r="DG165" s="1269"/>
      <c r="DH165" s="834"/>
      <c r="DI165" s="834"/>
      <c r="DJ165" s="834"/>
      <c r="DK165" s="1095"/>
      <c r="DL165" s="834"/>
      <c r="DM165" s="834"/>
      <c r="DN165" s="1269"/>
      <c r="DO165" s="834"/>
      <c r="DP165" s="834"/>
      <c r="DQ165" s="834"/>
      <c r="DR165" s="1095"/>
      <c r="DS165" s="1892"/>
      <c r="DT165" s="834"/>
      <c r="DU165" s="1088"/>
      <c r="DV165" s="834"/>
      <c r="DW165" s="834"/>
      <c r="DX165" s="834"/>
      <c r="DY165" s="1095"/>
      <c r="DZ165" s="834"/>
      <c r="EA165" s="834"/>
      <c r="EB165" s="1088"/>
      <c r="EC165" s="834"/>
      <c r="ED165" s="834"/>
      <c r="EE165" s="834"/>
      <c r="EF165" s="1095"/>
      <c r="EG165" s="834"/>
      <c r="EH165" s="834"/>
      <c r="EI165" s="1088"/>
      <c r="EJ165" s="834"/>
      <c r="EK165" s="834"/>
      <c r="EL165" s="834"/>
      <c r="EM165" s="1095"/>
      <c r="EN165" s="834"/>
      <c r="EO165" s="834"/>
      <c r="EP165" s="1088"/>
      <c r="EQ165" s="834"/>
      <c r="ER165" s="834"/>
      <c r="ES165" s="834"/>
      <c r="ET165" s="1095"/>
      <c r="EU165" s="834"/>
      <c r="EV165" s="834"/>
      <c r="EW165" s="1088"/>
    </row>
    <row r="166" spans="1:153" ht="10.199999999999999" customHeight="1">
      <c r="A166" s="108" t="s">
        <v>420</v>
      </c>
      <c r="B166" s="834"/>
      <c r="C166" s="834"/>
      <c r="D166" s="834"/>
      <c r="E166" s="834"/>
      <c r="F166" s="834"/>
      <c r="G166" s="834"/>
      <c r="H166" s="834"/>
      <c r="I166" s="834"/>
      <c r="J166" s="834"/>
      <c r="K166" s="834"/>
      <c r="L166" s="834"/>
      <c r="M166" s="834">
        <f>+CFS!M71</f>
        <v>-856</v>
      </c>
      <c r="N166" s="834"/>
      <c r="O166" s="834"/>
      <c r="P166" s="834"/>
      <c r="Q166" s="1095"/>
      <c r="R166" s="834"/>
      <c r="S166" s="834"/>
      <c r="T166" s="1269">
        <f>+CFS!T71</f>
        <v>-223</v>
      </c>
      <c r="U166" s="834"/>
      <c r="V166" s="834"/>
      <c r="W166" s="834"/>
      <c r="X166" s="1095"/>
      <c r="Y166" s="834"/>
      <c r="Z166" s="834"/>
      <c r="AA166" s="1269">
        <f>+CFS!AA71</f>
        <v>-462</v>
      </c>
      <c r="AB166" s="834"/>
      <c r="AC166" s="834"/>
      <c r="AD166" s="834"/>
      <c r="AE166" s="1095"/>
      <c r="AF166" s="834"/>
      <c r="AG166" s="834"/>
      <c r="AH166" s="1269">
        <f>+CFS!AH71</f>
        <v>-217</v>
      </c>
      <c r="AI166" s="834"/>
      <c r="AJ166" s="834"/>
      <c r="AK166" s="834"/>
      <c r="AL166" s="1095"/>
      <c r="AM166" s="834"/>
      <c r="AN166" s="834"/>
      <c r="AO166" s="1269">
        <f>+CFS!AO71</f>
        <v>-290</v>
      </c>
      <c r="AP166" s="834"/>
      <c r="AQ166" s="834"/>
      <c r="AR166" s="834"/>
      <c r="AS166" s="1095"/>
      <c r="AT166" s="834"/>
      <c r="AU166" s="834"/>
      <c r="AV166" s="1269">
        <f>+CFS!AV71</f>
        <v>-458</v>
      </c>
      <c r="AW166" s="834"/>
      <c r="AX166" s="834"/>
      <c r="AY166" s="834"/>
      <c r="AZ166" s="1095"/>
      <c r="BA166" s="834"/>
      <c r="BB166" s="834"/>
      <c r="BC166" s="1269">
        <f>+CFS!BC71</f>
        <v>-458</v>
      </c>
      <c r="BD166" s="834"/>
      <c r="BE166" s="834"/>
      <c r="BF166" s="834"/>
      <c r="BG166" s="1095"/>
      <c r="BH166" s="834"/>
      <c r="BI166" s="834"/>
      <c r="BJ166" s="1269"/>
      <c r="BK166" s="834"/>
      <c r="BL166" s="834"/>
      <c r="BM166" s="834"/>
      <c r="BN166" s="1095"/>
      <c r="BO166" s="834"/>
      <c r="BP166" s="834"/>
      <c r="BQ166" s="1269"/>
      <c r="BR166" s="834"/>
      <c r="BS166" s="834"/>
      <c r="BT166" s="834"/>
      <c r="BU166" s="1095"/>
      <c r="BV166" s="834"/>
      <c r="BW166" s="834"/>
      <c r="BX166" s="1269"/>
      <c r="BY166" s="834"/>
      <c r="BZ166" s="834"/>
      <c r="CA166" s="834"/>
      <c r="CB166" s="1095"/>
      <c r="CC166" s="834"/>
      <c r="CD166" s="834"/>
      <c r="CE166" s="1269"/>
      <c r="CF166" s="834"/>
      <c r="CG166" s="834"/>
      <c r="CH166" s="834"/>
      <c r="CI166" s="1095"/>
      <c r="CJ166" s="834"/>
      <c r="CK166" s="834"/>
      <c r="CL166" s="1269"/>
      <c r="CM166" s="834"/>
      <c r="CN166" s="834"/>
      <c r="CO166" s="834"/>
      <c r="CP166" s="1095"/>
      <c r="CQ166" s="834"/>
      <c r="CR166" s="834"/>
      <c r="CS166" s="1269"/>
      <c r="CT166" s="834"/>
      <c r="CU166" s="834"/>
      <c r="CV166" s="834"/>
      <c r="CW166" s="1095"/>
      <c r="CX166" s="834"/>
      <c r="CY166" s="834"/>
      <c r="CZ166" s="1269"/>
      <c r="DA166" s="834"/>
      <c r="DB166" s="834"/>
      <c r="DC166" s="834"/>
      <c r="DD166" s="1095"/>
      <c r="DE166" s="834"/>
      <c r="DF166" s="834"/>
      <c r="DG166" s="1269"/>
      <c r="DH166" s="834"/>
      <c r="DI166" s="834"/>
      <c r="DJ166" s="834"/>
      <c r="DK166" s="1095"/>
      <c r="DL166" s="834"/>
      <c r="DM166" s="834"/>
      <c r="DN166" s="1269"/>
      <c r="DO166" s="834"/>
      <c r="DP166" s="834"/>
      <c r="DQ166" s="834"/>
      <c r="DR166" s="1095"/>
      <c r="DS166" s="1892"/>
      <c r="DT166" s="834"/>
      <c r="DU166" s="1088"/>
      <c r="DV166" s="834"/>
      <c r="DW166" s="834"/>
      <c r="DX166" s="834"/>
      <c r="DY166" s="1095"/>
      <c r="DZ166" s="834"/>
      <c r="EA166" s="834"/>
      <c r="EB166" s="1088"/>
      <c r="EC166" s="834"/>
      <c r="ED166" s="834"/>
      <c r="EE166" s="834"/>
      <c r="EF166" s="1095"/>
      <c r="EG166" s="834"/>
      <c r="EH166" s="834"/>
      <c r="EI166" s="1088"/>
      <c r="EJ166" s="834"/>
      <c r="EK166" s="834"/>
      <c r="EL166" s="834"/>
      <c r="EM166" s="1095"/>
      <c r="EN166" s="834"/>
      <c r="EO166" s="834"/>
      <c r="EP166" s="1088"/>
      <c r="EQ166" s="834"/>
      <c r="ER166" s="834"/>
      <c r="ES166" s="834"/>
      <c r="ET166" s="1095"/>
      <c r="EU166" s="834"/>
      <c r="EV166" s="834"/>
      <c r="EW166" s="1088"/>
    </row>
    <row r="167" spans="1:153" ht="10.199999999999999" customHeight="1">
      <c r="A167" s="48" t="s">
        <v>587</v>
      </c>
      <c r="B167" s="852">
        <f t="shared" ref="B167:AO167" si="1188">+SUM(B161:B166)</f>
        <v>2149.5424524671789</v>
      </c>
      <c r="C167" s="852">
        <f t="shared" si="1188"/>
        <v>2151</v>
      </c>
      <c r="D167" s="852">
        <f t="shared" si="1188"/>
        <v>2794</v>
      </c>
      <c r="E167" s="852">
        <f t="shared" si="1188"/>
        <v>2274</v>
      </c>
      <c r="F167" s="852">
        <f t="shared" si="1188"/>
        <v>4511</v>
      </c>
      <c r="G167" s="852">
        <f t="shared" si="1188"/>
        <v>-48</v>
      </c>
      <c r="H167" s="852">
        <f t="shared" si="1188"/>
        <v>3505</v>
      </c>
      <c r="I167" s="852">
        <f t="shared" si="1188"/>
        <v>4257</v>
      </c>
      <c r="J167" s="852">
        <f t="shared" si="1188"/>
        <v>1430</v>
      </c>
      <c r="K167" s="852">
        <f t="shared" si="1188"/>
        <v>1467</v>
      </c>
      <c r="L167" s="852">
        <f t="shared" si="1188"/>
        <v>1595</v>
      </c>
      <c r="M167" s="852">
        <f t="shared" si="1188"/>
        <v>-471</v>
      </c>
      <c r="N167" s="852"/>
      <c r="O167" s="852"/>
      <c r="P167" s="852"/>
      <c r="Q167" s="1100"/>
      <c r="R167" s="852"/>
      <c r="S167" s="852"/>
      <c r="T167" s="1274">
        <f t="shared" si="1188"/>
        <v>-763</v>
      </c>
      <c r="U167" s="852"/>
      <c r="V167" s="852"/>
      <c r="W167" s="852"/>
      <c r="X167" s="1100"/>
      <c r="Y167" s="852"/>
      <c r="Z167" s="852"/>
      <c r="AA167" s="1274">
        <f t="shared" si="1188"/>
        <v>1893</v>
      </c>
      <c r="AB167" s="852"/>
      <c r="AC167" s="852"/>
      <c r="AD167" s="852"/>
      <c r="AE167" s="1100"/>
      <c r="AF167" s="852"/>
      <c r="AG167" s="852"/>
      <c r="AH167" s="1274">
        <f t="shared" si="1188"/>
        <v>3429</v>
      </c>
      <c r="AI167" s="852"/>
      <c r="AJ167" s="852"/>
      <c r="AK167" s="852"/>
      <c r="AL167" s="1100"/>
      <c r="AM167" s="852"/>
      <c r="AN167" s="852"/>
      <c r="AO167" s="1274">
        <f t="shared" si="1188"/>
        <v>3674</v>
      </c>
      <c r="AP167" s="852"/>
      <c r="AQ167" s="852"/>
      <c r="AR167" s="852"/>
      <c r="AS167" s="1100"/>
      <c r="AT167" s="852"/>
      <c r="AU167" s="852"/>
      <c r="AV167" s="1274">
        <f>+SUM(AV161:AV166)</f>
        <v>1369</v>
      </c>
      <c r="AW167" s="852"/>
      <c r="AX167" s="852"/>
      <c r="AY167" s="852"/>
      <c r="AZ167" s="1100"/>
      <c r="BA167" s="852"/>
      <c r="BB167" s="852"/>
      <c r="BC167" s="1274">
        <f>+SUM(BC161:BC166)</f>
        <v>1575</v>
      </c>
      <c r="BD167" s="852"/>
      <c r="BE167" s="852"/>
      <c r="BF167" s="852"/>
      <c r="BG167" s="1100"/>
      <c r="BH167" s="852"/>
      <c r="BI167" s="852"/>
      <c r="BJ167" s="1274">
        <f>+SUM(BJ161:BJ165)</f>
        <v>-2533.6649064406738</v>
      </c>
      <c r="BK167" s="852"/>
      <c r="BL167" s="852"/>
      <c r="BM167" s="852"/>
      <c r="BN167" s="1100"/>
      <c r="BO167" s="852"/>
      <c r="BP167" s="852"/>
      <c r="BQ167" s="1274">
        <f>+SUM(BQ161:BQ165)</f>
        <v>-5214.1074627999969</v>
      </c>
      <c r="BR167" s="852"/>
      <c r="BS167" s="852"/>
      <c r="BT167" s="852"/>
      <c r="BU167" s="1100"/>
      <c r="BV167" s="852"/>
      <c r="BW167" s="852"/>
      <c r="BX167" s="1274"/>
      <c r="BY167" s="852"/>
      <c r="BZ167" s="852"/>
      <c r="CA167" s="852"/>
      <c r="CB167" s="1100"/>
      <c r="CC167" s="852"/>
      <c r="CD167" s="852"/>
      <c r="CE167" s="1274">
        <f>+SUM(CE161:CE165)</f>
        <v>3333.9300746400004</v>
      </c>
      <c r="CF167" s="852"/>
      <c r="CG167" s="852"/>
      <c r="CH167" s="852"/>
      <c r="CI167" s="1100"/>
      <c r="CJ167" s="852"/>
      <c r="CK167" s="852"/>
      <c r="CL167" s="1274">
        <f>+SUM(CL161:CL165)</f>
        <v>10224.5480107724</v>
      </c>
      <c r="CM167" s="852"/>
      <c r="CN167" s="852"/>
      <c r="CO167" s="852"/>
      <c r="CP167" s="1100"/>
      <c r="CQ167" s="852"/>
      <c r="CR167" s="852"/>
      <c r="CS167" s="1274">
        <f>+SUM(CS161:CS165)</f>
        <v>7758.7116082935281</v>
      </c>
      <c r="CT167" s="852"/>
      <c r="CU167" s="852"/>
      <c r="CV167" s="852"/>
      <c r="CW167" s="1100"/>
      <c r="CX167" s="852"/>
      <c r="CY167" s="852"/>
      <c r="CZ167" s="1274">
        <f>+SUM(CZ161:CZ165)</f>
        <v>4744.1186049028875</v>
      </c>
      <c r="DA167" s="852"/>
      <c r="DB167" s="852"/>
      <c r="DC167" s="852"/>
      <c r="DD167" s="1100"/>
      <c r="DE167" s="852"/>
      <c r="DF167" s="852"/>
      <c r="DG167" s="1274">
        <f>+SUM(DG161:DG165)</f>
        <v>5993.523363316468</v>
      </c>
      <c r="DH167" s="852"/>
      <c r="DI167" s="852"/>
      <c r="DJ167" s="852"/>
      <c r="DK167" s="1100"/>
      <c r="DL167" s="852"/>
      <c r="DM167" s="852"/>
      <c r="DN167" s="1274">
        <f>+SUM(DN161:DN165)</f>
        <v>9483.6967672125829</v>
      </c>
      <c r="DO167" s="852"/>
      <c r="DP167" s="852"/>
      <c r="DQ167" s="852"/>
      <c r="DR167" s="1100"/>
      <c r="DS167" s="2012"/>
      <c r="DT167" s="852"/>
      <c r="DU167" s="1107">
        <f>+SUM(DU161:DU165)</f>
        <v>5205.6292025311113</v>
      </c>
      <c r="DV167" s="852"/>
      <c r="DW167" s="852"/>
      <c r="DX167" s="852"/>
      <c r="DY167" s="1100"/>
      <c r="DZ167" s="852"/>
      <c r="EA167" s="852"/>
      <c r="EB167" s="1107">
        <f>+SUM(EB161:EB165)</f>
        <v>7014.7116838029451</v>
      </c>
      <c r="EC167" s="852"/>
      <c r="ED167" s="852"/>
      <c r="EE167" s="852"/>
      <c r="EF167" s="1100"/>
      <c r="EG167" s="852"/>
      <c r="EH167" s="852"/>
      <c r="EI167" s="1107">
        <f>+SUM(EI161:EI165)</f>
        <v>9203.5853535197166</v>
      </c>
      <c r="EJ167" s="852"/>
      <c r="EK167" s="852"/>
      <c r="EL167" s="852"/>
      <c r="EM167" s="1100"/>
      <c r="EN167" s="852"/>
      <c r="EO167" s="852"/>
      <c r="EP167" s="1107">
        <f>+SUM(EP161:EP165)</f>
        <v>10185.632558752972</v>
      </c>
      <c r="EQ167" s="852"/>
      <c r="ER167" s="852"/>
      <c r="ES167" s="852"/>
      <c r="ET167" s="1100"/>
      <c r="EU167" s="852"/>
      <c r="EV167" s="852"/>
      <c r="EW167" s="1107">
        <f>+SUM(EW161:EW165)</f>
        <v>10793.436856114386</v>
      </c>
    </row>
    <row r="168" spans="1:153" ht="10.199999999999999" customHeight="1">
      <c r="A168" s="108" t="s">
        <v>588</v>
      </c>
      <c r="B168" s="834"/>
      <c r="C168" s="834"/>
      <c r="D168" s="834"/>
      <c r="E168" s="834"/>
      <c r="F168" s="834"/>
      <c r="G168" s="834"/>
      <c r="H168" s="834"/>
      <c r="I168" s="834"/>
      <c r="J168" s="834"/>
      <c r="K168" s="834"/>
      <c r="L168" s="834"/>
      <c r="M168" s="834"/>
      <c r="N168" s="21"/>
      <c r="O168" s="21"/>
      <c r="P168" s="21"/>
      <c r="Q168" s="1098"/>
      <c r="R168" s="21"/>
      <c r="S168" s="21"/>
      <c r="T168" s="1296"/>
      <c r="U168" s="21"/>
      <c r="V168" s="21"/>
      <c r="W168" s="21"/>
      <c r="X168" s="1098"/>
      <c r="Y168" s="21"/>
      <c r="Z168" s="21"/>
      <c r="AA168" s="1296"/>
      <c r="AB168" s="21"/>
      <c r="AC168" s="21"/>
      <c r="AD168" s="21"/>
      <c r="AE168" s="1098"/>
      <c r="AF168" s="21"/>
      <c r="AG168" s="21"/>
      <c r="AH168" s="1296"/>
      <c r="AI168" s="21"/>
      <c r="AJ168" s="21"/>
      <c r="AK168" s="21"/>
      <c r="AL168" s="1098"/>
      <c r="AM168" s="21"/>
      <c r="AN168" s="21"/>
      <c r="AO168" s="1296"/>
      <c r="AP168" s="21"/>
      <c r="AQ168" s="21"/>
      <c r="AR168" s="21"/>
      <c r="AS168" s="1098"/>
      <c r="AT168" s="21"/>
      <c r="AU168" s="21"/>
      <c r="AV168" s="1296"/>
      <c r="AW168" s="21"/>
      <c r="AX168" s="21"/>
      <c r="AY168" s="21"/>
      <c r="AZ168" s="1098"/>
      <c r="BA168" s="21"/>
      <c r="BB168" s="21"/>
      <c r="BC168" s="1296"/>
      <c r="BD168" s="21"/>
      <c r="BE168" s="21"/>
      <c r="BF168" s="21"/>
      <c r="BG168" s="1098"/>
      <c r="BH168" s="21"/>
      <c r="BI168" s="21"/>
      <c r="BJ168" s="1296"/>
      <c r="BK168" s="21"/>
      <c r="BL168" s="21"/>
      <c r="BM168" s="21"/>
      <c r="BN168" s="1098"/>
      <c r="BO168" s="21"/>
      <c r="BP168" s="21"/>
      <c r="BQ168" s="1296"/>
      <c r="BR168" s="21"/>
      <c r="BS168" s="21"/>
      <c r="BT168" s="21"/>
      <c r="BU168" s="1098"/>
      <c r="BV168" s="21"/>
      <c r="BW168" s="21"/>
      <c r="BX168" s="1296"/>
      <c r="BY168" s="21"/>
      <c r="BZ168" s="21"/>
      <c r="CA168" s="21"/>
      <c r="CB168" s="1098"/>
      <c r="CC168" s="21"/>
      <c r="CD168" s="21"/>
      <c r="CE168" s="1296"/>
      <c r="CF168" s="21"/>
      <c r="CG168" s="21"/>
      <c r="CH168" s="21"/>
      <c r="CI168" s="1098"/>
      <c r="CJ168" s="21"/>
      <c r="CK168" s="21"/>
      <c r="CL168" s="1296"/>
      <c r="CM168" s="21"/>
      <c r="CN168" s="21"/>
      <c r="CO168" s="21"/>
      <c r="CP168" s="1098"/>
      <c r="CQ168" s="21"/>
      <c r="CR168" s="21"/>
      <c r="CS168" s="1296"/>
      <c r="CT168" s="21"/>
      <c r="CU168" s="21"/>
      <c r="CV168" s="21"/>
      <c r="CW168" s="1098"/>
      <c r="CX168" s="21"/>
      <c r="CY168" s="21"/>
      <c r="CZ168" s="1296"/>
      <c r="DA168" s="21"/>
      <c r="DB168" s="21"/>
      <c r="DC168" s="21"/>
      <c r="DD168" s="1098"/>
      <c r="DE168" s="21"/>
      <c r="DF168" s="21"/>
      <c r="DG168" s="338"/>
      <c r="DH168" s="21"/>
      <c r="DI168" s="21"/>
      <c r="DJ168" s="21"/>
      <c r="DK168" s="1098"/>
      <c r="DL168" s="21"/>
      <c r="DM168" s="21"/>
      <c r="DN168" s="338"/>
      <c r="DO168" s="21"/>
      <c r="DP168" s="21"/>
      <c r="DQ168" s="21"/>
      <c r="DR168" s="1098"/>
      <c r="DS168" s="1870"/>
      <c r="DT168" s="21"/>
      <c r="DU168" s="338"/>
      <c r="DV168" s="21"/>
      <c r="DW168" s="21"/>
      <c r="DX168" s="21"/>
      <c r="DY168" s="1098"/>
      <c r="DZ168" s="21"/>
      <c r="EA168" s="21"/>
      <c r="EB168" s="338"/>
      <c r="EC168" s="21"/>
      <c r="ED168" s="21"/>
      <c r="EE168" s="21"/>
      <c r="EF168" s="1098"/>
      <c r="EG168" s="21"/>
      <c r="EH168" s="21"/>
      <c r="EI168" s="338"/>
      <c r="EJ168" s="21"/>
      <c r="EK168" s="21"/>
      <c r="EL168" s="21"/>
      <c r="EM168" s="1098"/>
      <c r="EN168" s="21"/>
      <c r="EO168" s="21"/>
      <c r="EP168" s="338"/>
      <c r="EQ168" s="21"/>
      <c r="ER168" s="21"/>
      <c r="ES168" s="21"/>
      <c r="ET168" s="1098"/>
      <c r="EU168" s="21"/>
      <c r="EV168" s="21"/>
      <c r="EW168" s="338"/>
    </row>
    <row r="169" spans="1:153" ht="10.199999999999999" customHeight="1">
      <c r="A169" s="108" t="s">
        <v>419</v>
      </c>
      <c r="B169" s="834"/>
      <c r="C169" s="834"/>
      <c r="D169" s="834"/>
      <c r="E169" s="834"/>
      <c r="F169" s="834"/>
      <c r="G169" s="834"/>
      <c r="H169" s="834"/>
      <c r="I169" s="834"/>
      <c r="J169" s="834"/>
      <c r="K169" s="834"/>
      <c r="L169" s="834"/>
      <c r="M169" s="834"/>
      <c r="N169" s="21"/>
      <c r="O169" s="21"/>
      <c r="P169" s="21"/>
      <c r="Q169" s="1098"/>
      <c r="R169" s="21"/>
      <c r="S169" s="21"/>
      <c r="T169" s="338"/>
      <c r="U169" s="21"/>
      <c r="V169" s="21"/>
      <c r="W169" s="21"/>
      <c r="X169" s="1098"/>
      <c r="Y169" s="21"/>
      <c r="Z169" s="21"/>
      <c r="AA169" s="338"/>
      <c r="AB169" s="21"/>
      <c r="AC169" s="21"/>
      <c r="AD169" s="21"/>
      <c r="AE169" s="1098"/>
      <c r="AF169" s="21"/>
      <c r="AG169" s="21"/>
      <c r="AH169" s="338"/>
      <c r="AI169" s="21"/>
      <c r="AJ169" s="21"/>
      <c r="AK169" s="21"/>
      <c r="AL169" s="1098"/>
      <c r="AM169" s="21"/>
      <c r="AN169" s="21"/>
      <c r="AO169" s="338"/>
      <c r="AP169" s="21"/>
      <c r="AQ169" s="21"/>
      <c r="AR169" s="21"/>
      <c r="AS169" s="1098"/>
      <c r="AT169" s="21"/>
      <c r="AU169" s="21"/>
      <c r="AV169" s="338"/>
      <c r="AW169" s="21"/>
      <c r="AX169" s="21"/>
      <c r="AY169" s="21"/>
      <c r="AZ169" s="1098"/>
      <c r="BA169" s="21"/>
      <c r="BB169" s="21"/>
      <c r="BC169" s="338"/>
      <c r="BD169" s="21"/>
      <c r="BE169" s="21"/>
      <c r="BF169" s="21"/>
      <c r="BG169" s="1098"/>
      <c r="BH169" s="21"/>
      <c r="BI169" s="21"/>
      <c r="BJ169" s="338"/>
      <c r="BK169" s="21"/>
      <c r="BL169" s="21"/>
      <c r="BM169" s="21"/>
      <c r="BN169" s="1098"/>
      <c r="BO169" s="21"/>
      <c r="BP169" s="21"/>
      <c r="BQ169" s="338"/>
      <c r="BR169" s="21"/>
      <c r="BS169" s="21"/>
      <c r="BT169" s="21"/>
      <c r="BU169" s="1098"/>
      <c r="BV169" s="21"/>
      <c r="BW169" s="21"/>
      <c r="BX169" s="338"/>
      <c r="BY169" s="21"/>
      <c r="BZ169" s="21"/>
      <c r="CA169" s="21"/>
      <c r="CB169" s="1098"/>
      <c r="CC169" s="21"/>
      <c r="CD169" s="21"/>
      <c r="CE169" s="338"/>
      <c r="CF169" s="21"/>
      <c r="CG169" s="21"/>
      <c r="CH169" s="21"/>
      <c r="CI169" s="1098"/>
      <c r="CJ169" s="21"/>
      <c r="CK169" s="21"/>
      <c r="CL169" s="338"/>
      <c r="CM169" s="21"/>
      <c r="CN169" s="21"/>
      <c r="CO169" s="21"/>
      <c r="CP169" s="1098"/>
      <c r="CQ169" s="21"/>
      <c r="CR169" s="21"/>
      <c r="CS169" s="338"/>
      <c r="CT169" s="21"/>
      <c r="CU169" s="21"/>
      <c r="CV169" s="21"/>
      <c r="CW169" s="1098"/>
      <c r="CX169" s="21"/>
      <c r="CY169" s="21"/>
      <c r="CZ169" s="338"/>
      <c r="DA169" s="21"/>
      <c r="DB169" s="21"/>
      <c r="DC169" s="21"/>
      <c r="DD169" s="1098"/>
      <c r="DE169" s="21"/>
      <c r="DF169" s="21"/>
      <c r="DG169" s="338"/>
      <c r="DH169" s="21"/>
      <c r="DI169" s="21"/>
      <c r="DJ169" s="21"/>
      <c r="DK169" s="1098"/>
      <c r="DL169" s="21"/>
      <c r="DM169" s="21"/>
      <c r="DN169" s="338"/>
      <c r="DO169" s="21"/>
      <c r="DP169" s="21"/>
      <c r="DQ169" s="21"/>
      <c r="DR169" s="1098"/>
      <c r="DS169" s="1870"/>
      <c r="DT169" s="21"/>
      <c r="DU169" s="338"/>
      <c r="DV169" s="21"/>
      <c r="DW169" s="21"/>
      <c r="DX169" s="21"/>
      <c r="DY169" s="1098"/>
      <c r="DZ169" s="21"/>
      <c r="EA169" s="21"/>
      <c r="EB169" s="338"/>
      <c r="EC169" s="21"/>
      <c r="ED169" s="21"/>
      <c r="EE169" s="21"/>
      <c r="EF169" s="1098"/>
      <c r="EG169" s="21"/>
      <c r="EH169" s="21"/>
      <c r="EI169" s="338"/>
      <c r="EJ169" s="21"/>
      <c r="EK169" s="21"/>
      <c r="EL169" s="21"/>
      <c r="EM169" s="1098"/>
      <c r="EN169" s="21"/>
      <c r="EO169" s="21"/>
      <c r="EP169" s="338"/>
      <c r="EQ169" s="21"/>
      <c r="ER169" s="21"/>
      <c r="ES169" s="21"/>
      <c r="ET169" s="1098"/>
      <c r="EU169" s="21"/>
      <c r="EV169" s="21"/>
      <c r="EW169" s="338"/>
    </row>
    <row r="170" spans="1:153" ht="10.199999999999999" customHeight="1">
      <c r="A170" s="108" t="s">
        <v>589</v>
      </c>
      <c r="B170" s="834"/>
      <c r="C170" s="834"/>
      <c r="D170" s="834"/>
      <c r="E170" s="834"/>
      <c r="F170" s="834"/>
      <c r="G170" s="834"/>
      <c r="H170" s="834"/>
      <c r="I170" s="834"/>
      <c r="J170" s="834"/>
      <c r="K170" s="834"/>
      <c r="L170" s="834"/>
      <c r="M170" s="834"/>
      <c r="N170" s="21"/>
      <c r="O170" s="21"/>
      <c r="P170" s="21"/>
      <c r="Q170" s="1098"/>
      <c r="R170" s="21"/>
      <c r="S170" s="21"/>
      <c r="T170" s="338"/>
      <c r="U170" s="21"/>
      <c r="V170" s="21"/>
      <c r="W170" s="21"/>
      <c r="X170" s="1098"/>
      <c r="Y170" s="21"/>
      <c r="Z170" s="21"/>
      <c r="AA170" s="338"/>
      <c r="AB170" s="21"/>
      <c r="AC170" s="21"/>
      <c r="AD170" s="21"/>
      <c r="AE170" s="1098"/>
      <c r="AF170" s="21"/>
      <c r="AG170" s="21"/>
      <c r="AH170" s="338"/>
      <c r="AI170" s="21"/>
      <c r="AJ170" s="21"/>
      <c r="AK170" s="21"/>
      <c r="AL170" s="1098"/>
      <c r="AM170" s="21"/>
      <c r="AN170" s="21"/>
      <c r="AO170" s="338"/>
      <c r="AP170" s="21"/>
      <c r="AQ170" s="21"/>
      <c r="AR170" s="21"/>
      <c r="AS170" s="1098"/>
      <c r="AT170" s="21"/>
      <c r="AU170" s="21"/>
      <c r="AV170" s="338"/>
      <c r="AW170" s="21"/>
      <c r="AX170" s="21"/>
      <c r="AY170" s="21"/>
      <c r="AZ170" s="1098"/>
      <c r="BA170" s="21"/>
      <c r="BB170" s="21"/>
      <c r="BC170" s="338"/>
      <c r="BD170" s="21"/>
      <c r="BE170" s="21"/>
      <c r="BF170" s="21"/>
      <c r="BG170" s="1098"/>
      <c r="BH170" s="21"/>
      <c r="BI170" s="21"/>
      <c r="BJ170" s="338"/>
      <c r="BK170" s="21"/>
      <c r="BL170" s="21"/>
      <c r="BM170" s="21"/>
      <c r="BN170" s="1098"/>
      <c r="BO170" s="21"/>
      <c r="BP170" s="21"/>
      <c r="BQ170" s="338"/>
      <c r="BR170" s="21"/>
      <c r="BS170" s="21"/>
      <c r="BT170" s="21"/>
      <c r="BU170" s="1098"/>
      <c r="BV170" s="21"/>
      <c r="BW170" s="21"/>
      <c r="BX170" s="338"/>
      <c r="BY170" s="21"/>
      <c r="BZ170" s="21"/>
      <c r="CA170" s="21"/>
      <c r="CB170" s="1098"/>
      <c r="CC170" s="21"/>
      <c r="CD170" s="21"/>
      <c r="CE170" s="338"/>
      <c r="CF170" s="21"/>
      <c r="CG170" s="21"/>
      <c r="CH170" s="21"/>
      <c r="CI170" s="1098"/>
      <c r="CJ170" s="21"/>
      <c r="CK170" s="21"/>
      <c r="CL170" s="338"/>
      <c r="CM170" s="21"/>
      <c r="CN170" s="21"/>
      <c r="CO170" s="21"/>
      <c r="CP170" s="1098"/>
      <c r="CQ170" s="21"/>
      <c r="CR170" s="21"/>
      <c r="CS170" s="338"/>
      <c r="CT170" s="21"/>
      <c r="CU170" s="21"/>
      <c r="CV170" s="21"/>
      <c r="CW170" s="1098"/>
      <c r="CX170" s="21"/>
      <c r="CY170" s="21"/>
      <c r="CZ170" s="338"/>
      <c r="DA170" s="21"/>
      <c r="DB170" s="21"/>
      <c r="DC170" s="21"/>
      <c r="DD170" s="1098"/>
      <c r="DE170" s="21"/>
      <c r="DF170" s="21"/>
      <c r="DG170" s="338"/>
      <c r="DH170" s="21"/>
      <c r="DI170" s="21"/>
      <c r="DJ170" s="21"/>
      <c r="DK170" s="1098"/>
      <c r="DL170" s="21"/>
      <c r="DM170" s="21"/>
      <c r="DN170" s="338"/>
      <c r="DO170" s="21"/>
      <c r="DP170" s="21"/>
      <c r="DQ170" s="21"/>
      <c r="DR170" s="1098"/>
      <c r="DS170" s="1870"/>
      <c r="DT170" s="21"/>
      <c r="DU170" s="338"/>
      <c r="DV170" s="21"/>
      <c r="DW170" s="21"/>
      <c r="DX170" s="21"/>
      <c r="DY170" s="1098"/>
      <c r="DZ170" s="21"/>
      <c r="EA170" s="21"/>
      <c r="EB170" s="338"/>
      <c r="EC170" s="21"/>
      <c r="ED170" s="21"/>
      <c r="EE170" s="21"/>
      <c r="EF170" s="1098"/>
      <c r="EG170" s="21"/>
      <c r="EH170" s="21"/>
      <c r="EI170" s="338"/>
      <c r="EJ170" s="21"/>
      <c r="EK170" s="21"/>
      <c r="EL170" s="21"/>
      <c r="EM170" s="1098"/>
      <c r="EN170" s="21"/>
      <c r="EO170" s="21"/>
      <c r="EP170" s="338"/>
      <c r="EQ170" s="21"/>
      <c r="ER170" s="21"/>
      <c r="ES170" s="21"/>
      <c r="ET170" s="1098"/>
      <c r="EU170" s="21"/>
      <c r="EV170" s="21"/>
      <c r="EW170" s="338"/>
    </row>
    <row r="171" spans="1:153" ht="10.199999999999999" customHeight="1">
      <c r="A171" s="108" t="s">
        <v>52</v>
      </c>
      <c r="B171" s="834"/>
      <c r="C171" s="834"/>
      <c r="D171" s="834"/>
      <c r="E171" s="834"/>
      <c r="F171" s="834"/>
      <c r="G171" s="834"/>
      <c r="H171" s="834"/>
      <c r="I171" s="834"/>
      <c r="J171" s="834"/>
      <c r="K171" s="834"/>
      <c r="L171" s="834"/>
      <c r="M171" s="834"/>
      <c r="N171" s="21"/>
      <c r="O171" s="21"/>
      <c r="P171" s="21"/>
      <c r="Q171" s="1098"/>
      <c r="R171" s="21"/>
      <c r="S171" s="21"/>
      <c r="T171" s="338"/>
      <c r="U171" s="21"/>
      <c r="V171" s="21"/>
      <c r="W171" s="21"/>
      <c r="X171" s="1098"/>
      <c r="Y171" s="21"/>
      <c r="Z171" s="21"/>
      <c r="AA171" s="338"/>
      <c r="AB171" s="21"/>
      <c r="AC171" s="21"/>
      <c r="AD171" s="21"/>
      <c r="AE171" s="1098"/>
      <c r="AF171" s="21"/>
      <c r="AG171" s="21"/>
      <c r="AH171" s="338"/>
      <c r="AI171" s="21"/>
      <c r="AJ171" s="21"/>
      <c r="AK171" s="21"/>
      <c r="AL171" s="1098"/>
      <c r="AM171" s="21"/>
      <c r="AN171" s="21"/>
      <c r="AO171" s="338"/>
      <c r="AP171" s="21"/>
      <c r="AQ171" s="21"/>
      <c r="AR171" s="21"/>
      <c r="AS171" s="1098"/>
      <c r="AT171" s="21"/>
      <c r="AU171" s="21"/>
      <c r="AV171" s="338"/>
      <c r="AW171" s="21"/>
      <c r="AX171" s="21"/>
      <c r="AY171" s="21"/>
      <c r="AZ171" s="1098"/>
      <c r="BA171" s="21"/>
      <c r="BB171" s="21"/>
      <c r="BC171" s="338"/>
      <c r="BD171" s="21"/>
      <c r="BE171" s="21"/>
      <c r="BF171" s="21"/>
      <c r="BG171" s="1098"/>
      <c r="BH171" s="21"/>
      <c r="BI171" s="21"/>
      <c r="BJ171" s="338"/>
      <c r="BK171" s="21"/>
      <c r="BL171" s="21"/>
      <c r="BM171" s="21"/>
      <c r="BN171" s="1098"/>
      <c r="BO171" s="21"/>
      <c r="BP171" s="21"/>
      <c r="BQ171" s="338"/>
      <c r="BR171" s="21"/>
      <c r="BS171" s="21"/>
      <c r="BT171" s="21"/>
      <c r="BU171" s="1098"/>
      <c r="BV171" s="21"/>
      <c r="BW171" s="21"/>
      <c r="BX171" s="338"/>
      <c r="BY171" s="21"/>
      <c r="BZ171" s="21"/>
      <c r="CA171" s="21"/>
      <c r="CB171" s="1098"/>
      <c r="CC171" s="21"/>
      <c r="CD171" s="21"/>
      <c r="CE171" s="338"/>
      <c r="CF171" s="21"/>
      <c r="CG171" s="21"/>
      <c r="CH171" s="21"/>
      <c r="CI171" s="1098"/>
      <c r="CJ171" s="21"/>
      <c r="CK171" s="21"/>
      <c r="CL171" s="338"/>
      <c r="CM171" s="21"/>
      <c r="CN171" s="21"/>
      <c r="CO171" s="21"/>
      <c r="CP171" s="1098"/>
      <c r="CQ171" s="21"/>
      <c r="CR171" s="21"/>
      <c r="CS171" s="338"/>
      <c r="CT171" s="21"/>
      <c r="CU171" s="21"/>
      <c r="CV171" s="21"/>
      <c r="CW171" s="1098"/>
      <c r="CX171" s="21"/>
      <c r="CY171" s="21"/>
      <c r="CZ171" s="338"/>
      <c r="DA171" s="21"/>
      <c r="DB171" s="21"/>
      <c r="DC171" s="21"/>
      <c r="DD171" s="1098"/>
      <c r="DE171" s="21"/>
      <c r="DF171" s="21"/>
      <c r="DG171" s="338"/>
      <c r="DH171" s="21"/>
      <c r="DI171" s="21"/>
      <c r="DJ171" s="21"/>
      <c r="DK171" s="1098"/>
      <c r="DL171" s="21"/>
      <c r="DM171" s="21"/>
      <c r="DN171" s="338"/>
      <c r="DO171" s="21"/>
      <c r="DP171" s="21"/>
      <c r="DQ171" s="21"/>
      <c r="DR171" s="1098"/>
      <c r="DS171" s="1870"/>
      <c r="DT171" s="21"/>
      <c r="DU171" s="338"/>
      <c r="DV171" s="21"/>
      <c r="DW171" s="21"/>
      <c r="DX171" s="21"/>
      <c r="DY171" s="1098"/>
      <c r="DZ171" s="21"/>
      <c r="EA171" s="21"/>
      <c r="EB171" s="338"/>
      <c r="EC171" s="21"/>
      <c r="ED171" s="21"/>
      <c r="EE171" s="21"/>
      <c r="EF171" s="1098"/>
      <c r="EG171" s="21"/>
      <c r="EH171" s="21"/>
      <c r="EI171" s="338"/>
      <c r="EJ171" s="21"/>
      <c r="EK171" s="21"/>
      <c r="EL171" s="21"/>
      <c r="EM171" s="1098"/>
      <c r="EN171" s="21"/>
      <c r="EO171" s="21"/>
      <c r="EP171" s="338"/>
      <c r="EQ171" s="21"/>
      <c r="ER171" s="21"/>
      <c r="ES171" s="21"/>
      <c r="ET171" s="1098"/>
      <c r="EU171" s="21"/>
      <c r="EV171" s="21"/>
      <c r="EW171" s="338"/>
    </row>
    <row r="172" spans="1:153" ht="10.199999999999999" customHeight="1">
      <c r="A172" s="43"/>
      <c r="B172" s="834"/>
      <c r="C172" s="834"/>
      <c r="D172" s="834"/>
      <c r="E172" s="834"/>
      <c r="F172" s="834"/>
      <c r="G172" s="834"/>
      <c r="H172" s="834"/>
      <c r="I172" s="834"/>
      <c r="J172" s="834"/>
      <c r="K172" s="834"/>
      <c r="L172" s="834"/>
      <c r="M172" s="834"/>
      <c r="N172" s="21"/>
      <c r="O172" s="21"/>
      <c r="P172" s="21"/>
      <c r="Q172" s="1098"/>
      <c r="R172" s="21"/>
      <c r="S172" s="21"/>
      <c r="T172" s="338"/>
      <c r="U172" s="21"/>
      <c r="V172" s="21"/>
      <c r="W172" s="21"/>
      <c r="X172" s="1098"/>
      <c r="Y172" s="21"/>
      <c r="Z172" s="21"/>
      <c r="AA172" s="338"/>
      <c r="AB172" s="21"/>
      <c r="AC172" s="21"/>
      <c r="AD172" s="21"/>
      <c r="AE172" s="1098"/>
      <c r="AF172" s="21"/>
      <c r="AG172" s="21"/>
      <c r="AH172" s="338"/>
      <c r="AI172" s="21"/>
      <c r="AJ172" s="21"/>
      <c r="AK172" s="21"/>
      <c r="AL172" s="1098"/>
      <c r="AM172" s="21"/>
      <c r="AN172" s="21"/>
      <c r="AO172" s="338"/>
      <c r="AP172" s="21"/>
      <c r="AQ172" s="21"/>
      <c r="AR172" s="21"/>
      <c r="AS172" s="1098"/>
      <c r="AT172" s="21"/>
      <c r="AU172" s="21"/>
      <c r="AV172" s="338"/>
      <c r="AW172" s="21"/>
      <c r="AX172" s="21"/>
      <c r="AY172" s="21"/>
      <c r="AZ172" s="1098"/>
      <c r="BA172" s="21"/>
      <c r="BB172" s="21"/>
      <c r="BC172" s="338"/>
      <c r="BD172" s="21"/>
      <c r="BE172" s="21"/>
      <c r="BF172" s="21"/>
      <c r="BG172" s="1098"/>
      <c r="BH172" s="21"/>
      <c r="BI172" s="21"/>
      <c r="BJ172" s="338"/>
      <c r="BK172" s="21"/>
      <c r="BL172" s="21"/>
      <c r="BM172" s="21"/>
      <c r="BN172" s="1098"/>
      <c r="BO172" s="21"/>
      <c r="BP172" s="21"/>
      <c r="BQ172" s="338"/>
      <c r="BR172" s="21"/>
      <c r="BS172" s="21"/>
      <c r="BT172" s="21"/>
      <c r="BU172" s="1098"/>
      <c r="BV172" s="21"/>
      <c r="BW172" s="21"/>
      <c r="BX172" s="338"/>
      <c r="BY172" s="21"/>
      <c r="BZ172" s="21"/>
      <c r="CA172" s="21"/>
      <c r="CB172" s="1098"/>
      <c r="CC172" s="21"/>
      <c r="CD172" s="21"/>
      <c r="CE172" s="338"/>
      <c r="CF172" s="21"/>
      <c r="CG172" s="21"/>
      <c r="CH172" s="21"/>
      <c r="CI172" s="1098"/>
      <c r="CJ172" s="21"/>
      <c r="CK172" s="21"/>
      <c r="CL172" s="338"/>
      <c r="CM172" s="21"/>
      <c r="CN172" s="21"/>
      <c r="CO172" s="21"/>
      <c r="CP172" s="1098"/>
      <c r="CQ172" s="21"/>
      <c r="CR172" s="21"/>
      <c r="CS172" s="338"/>
      <c r="CT172" s="21"/>
      <c r="CU172" s="21"/>
      <c r="CV172" s="21"/>
      <c r="CW172" s="1098"/>
      <c r="CX172" s="21"/>
      <c r="CY172" s="21"/>
      <c r="CZ172" s="338"/>
      <c r="DA172" s="21"/>
      <c r="DB172" s="21"/>
      <c r="DC172" s="21"/>
      <c r="DD172" s="1098"/>
      <c r="DE172" s="21"/>
      <c r="DF172" s="21"/>
      <c r="DG172" s="338"/>
      <c r="DH172" s="21"/>
      <c r="DI172" s="21"/>
      <c r="DJ172" s="21"/>
      <c r="DK172" s="1098"/>
      <c r="DL172" s="21"/>
      <c r="DM172" s="21"/>
      <c r="DN172" s="338"/>
      <c r="DO172" s="21"/>
      <c r="DP172" s="21"/>
      <c r="DQ172" s="21"/>
      <c r="DR172" s="1098"/>
      <c r="DS172" s="1870"/>
      <c r="DT172" s="21"/>
      <c r="DU172" s="338"/>
      <c r="DV172" s="21"/>
      <c r="DW172" s="21"/>
      <c r="DX172" s="21"/>
      <c r="DY172" s="1098"/>
      <c r="DZ172" s="21"/>
      <c r="EA172" s="21"/>
      <c r="EB172" s="338"/>
      <c r="EC172" s="21"/>
      <c r="ED172" s="21"/>
      <c r="EE172" s="21"/>
      <c r="EF172" s="1098"/>
      <c r="EG172" s="21"/>
      <c r="EH172" s="21"/>
      <c r="EI172" s="338"/>
      <c r="EJ172" s="21"/>
      <c r="EK172" s="21"/>
      <c r="EL172" s="21"/>
      <c r="EM172" s="1098"/>
      <c r="EN172" s="21"/>
      <c r="EO172" s="21"/>
      <c r="EP172" s="338"/>
      <c r="EQ172" s="21"/>
      <c r="ER172" s="21"/>
      <c r="ES172" s="21"/>
      <c r="ET172" s="1098"/>
      <c r="EU172" s="21"/>
      <c r="EV172" s="21"/>
      <c r="EW172" s="338"/>
    </row>
    <row r="173" spans="1:153" ht="10.199999999999999" customHeight="1">
      <c r="A173" s="48" t="s">
        <v>854</v>
      </c>
      <c r="B173" s="834"/>
      <c r="C173" s="834"/>
      <c r="D173" s="834"/>
      <c r="E173" s="834"/>
      <c r="F173" s="834"/>
      <c r="G173" s="834"/>
      <c r="H173" s="834"/>
      <c r="I173" s="834"/>
      <c r="J173" s="834"/>
      <c r="K173" s="834"/>
      <c r="L173" s="834"/>
      <c r="M173" s="834"/>
      <c r="N173" s="21"/>
      <c r="O173" s="21"/>
      <c r="P173" s="21"/>
      <c r="Q173" s="1098"/>
      <c r="R173" s="21"/>
      <c r="S173" s="21"/>
      <c r="T173" s="338"/>
      <c r="U173" s="21"/>
      <c r="V173" s="21"/>
      <c r="W173" s="21"/>
      <c r="X173" s="1098"/>
      <c r="Y173" s="21"/>
      <c r="Z173" s="21"/>
      <c r="AA173" s="338"/>
      <c r="AB173" s="21"/>
      <c r="AC173" s="21"/>
      <c r="AD173" s="21"/>
      <c r="AE173" s="1098"/>
      <c r="AF173" s="21"/>
      <c r="AG173" s="21"/>
      <c r="AH173" s="338"/>
      <c r="AI173" s="21"/>
      <c r="AJ173" s="21"/>
      <c r="AK173" s="21"/>
      <c r="AL173" s="1098"/>
      <c r="AM173" s="21"/>
      <c r="AN173" s="21"/>
      <c r="AO173" s="338"/>
      <c r="AP173" s="21"/>
      <c r="AQ173" s="21"/>
      <c r="AR173" s="21"/>
      <c r="AS173" s="1098"/>
      <c r="AT173" s="21"/>
      <c r="AU173" s="21"/>
      <c r="AV173" s="338"/>
      <c r="AW173" s="21"/>
      <c r="AX173" s="21"/>
      <c r="AY173" s="21"/>
      <c r="AZ173" s="1098"/>
      <c r="BA173" s="21"/>
      <c r="BB173" s="21"/>
      <c r="BC173" s="338"/>
      <c r="BD173" s="21"/>
      <c r="BE173" s="21"/>
      <c r="BF173" s="21"/>
      <c r="BG173" s="1098"/>
      <c r="BH173" s="21"/>
      <c r="BI173" s="21"/>
      <c r="BJ173" s="338"/>
      <c r="BK173" s="21"/>
      <c r="BL173" s="21"/>
      <c r="BM173" s="21"/>
      <c r="BN173" s="1098"/>
      <c r="BO173" s="21"/>
      <c r="BP173" s="21"/>
      <c r="BQ173" s="338"/>
      <c r="BR173" s="21"/>
      <c r="BS173" s="21"/>
      <c r="BT173" s="21"/>
      <c r="BU173" s="1098"/>
      <c r="BV173" s="21"/>
      <c r="BW173" s="21"/>
      <c r="BX173" s="338"/>
      <c r="BY173" s="21"/>
      <c r="BZ173" s="21"/>
      <c r="CA173" s="21"/>
      <c r="CB173" s="1098"/>
      <c r="CC173" s="21"/>
      <c r="CD173" s="21"/>
      <c r="CE173" s="338"/>
      <c r="CF173" s="21"/>
      <c r="CG173" s="21"/>
      <c r="CH173" s="21"/>
      <c r="CI173" s="1098"/>
      <c r="CJ173" s="21"/>
      <c r="CK173" s="21"/>
      <c r="CL173" s="338"/>
      <c r="CM173" s="21"/>
      <c r="CN173" s="21"/>
      <c r="CO173" s="21"/>
      <c r="CP173" s="1098"/>
      <c r="CQ173" s="21"/>
      <c r="CR173" s="21"/>
      <c r="CS173" s="338"/>
      <c r="CT173" s="21"/>
      <c r="CU173" s="21"/>
      <c r="CV173" s="21"/>
      <c r="CW173" s="1098"/>
      <c r="CX173" s="21"/>
      <c r="CY173" s="21"/>
      <c r="CZ173" s="338"/>
      <c r="DA173" s="21"/>
      <c r="DB173" s="21"/>
      <c r="DC173" s="21"/>
      <c r="DD173" s="1098"/>
      <c r="DE173" s="21"/>
      <c r="DF173" s="21"/>
      <c r="DG173" s="338"/>
      <c r="DH173" s="21"/>
      <c r="DI173" s="21"/>
      <c r="DJ173" s="21"/>
      <c r="DK173" s="1098"/>
      <c r="DL173" s="21"/>
      <c r="DM173" s="21"/>
      <c r="DN173" s="338"/>
      <c r="DO173" s="21"/>
      <c r="DP173" s="21"/>
      <c r="DQ173" s="21"/>
      <c r="DR173" s="1098"/>
      <c r="DS173" s="1870"/>
      <c r="DT173" s="21"/>
      <c r="DU173" s="338"/>
      <c r="DV173" s="21"/>
      <c r="DW173" s="21"/>
      <c r="DX173" s="21"/>
      <c r="DY173" s="1098"/>
      <c r="DZ173" s="21"/>
      <c r="EA173" s="21"/>
      <c r="EB173" s="338"/>
      <c r="EC173" s="21"/>
      <c r="ED173" s="21"/>
      <c r="EE173" s="21"/>
      <c r="EF173" s="1098"/>
      <c r="EG173" s="21"/>
      <c r="EH173" s="21"/>
      <c r="EI173" s="338"/>
      <c r="EJ173" s="21"/>
      <c r="EK173" s="21"/>
      <c r="EL173" s="21"/>
      <c r="EM173" s="1098"/>
      <c r="EN173" s="21"/>
      <c r="EO173" s="21"/>
      <c r="EP173" s="338"/>
      <c r="EQ173" s="21"/>
      <c r="ER173" s="21"/>
      <c r="ES173" s="21"/>
      <c r="ET173" s="1098"/>
      <c r="EU173" s="21"/>
      <c r="EV173" s="21"/>
      <c r="EW173" s="338"/>
    </row>
    <row r="174" spans="1:153" ht="10.199999999999999" customHeight="1">
      <c r="A174" s="48" t="s">
        <v>855</v>
      </c>
      <c r="B174" s="834"/>
      <c r="C174" s="834"/>
      <c r="D174" s="834"/>
      <c r="E174" s="834"/>
      <c r="F174" s="834"/>
      <c r="G174" s="834"/>
      <c r="H174" s="834"/>
      <c r="I174" s="834"/>
      <c r="J174" s="834"/>
      <c r="K174" s="834"/>
      <c r="L174" s="834"/>
      <c r="M174" s="834"/>
      <c r="N174" s="21"/>
      <c r="O174" s="21"/>
      <c r="P174" s="21"/>
      <c r="Q174" s="1098"/>
      <c r="R174" s="21"/>
      <c r="S174" s="21"/>
      <c r="T174" s="338"/>
      <c r="U174" s="21"/>
      <c r="V174" s="21"/>
      <c r="W174" s="21"/>
      <c r="X174" s="1098"/>
      <c r="Y174" s="21"/>
      <c r="Z174" s="21"/>
      <c r="AA174" s="338"/>
      <c r="AB174" s="21"/>
      <c r="AC174" s="21"/>
      <c r="AD174" s="21"/>
      <c r="AE174" s="1098"/>
      <c r="AF174" s="21"/>
      <c r="AG174" s="21"/>
      <c r="AH174" s="338"/>
      <c r="AI174" s="21"/>
      <c r="AJ174" s="21"/>
      <c r="AK174" s="21"/>
      <c r="AL174" s="1098"/>
      <c r="AM174" s="21"/>
      <c r="AN174" s="21"/>
      <c r="AO174" s="338"/>
      <c r="AP174" s="21"/>
      <c r="AQ174" s="21"/>
      <c r="AR174" s="21"/>
      <c r="AS174" s="1098"/>
      <c r="AT174" s="21"/>
      <c r="AU174" s="21"/>
      <c r="AV174" s="338"/>
      <c r="AW174" s="21"/>
      <c r="AX174" s="21"/>
      <c r="AY174" s="21"/>
      <c r="AZ174" s="1098"/>
      <c r="BA174" s="21"/>
      <c r="BB174" s="21"/>
      <c r="BC174" s="338"/>
      <c r="BD174" s="21"/>
      <c r="BE174" s="21"/>
      <c r="BF174" s="21"/>
      <c r="BG174" s="1098"/>
      <c r="BH174" s="21"/>
      <c r="BI174" s="21"/>
      <c r="BJ174" s="338"/>
      <c r="BK174" s="21"/>
      <c r="BL174" s="21"/>
      <c r="BM174" s="21"/>
      <c r="BN174" s="1098"/>
      <c r="BO174" s="21"/>
      <c r="BP174" s="21"/>
      <c r="BQ174" s="338"/>
      <c r="BR174" s="21"/>
      <c r="BS174" s="21"/>
      <c r="BT174" s="21"/>
      <c r="BU174" s="1098"/>
      <c r="BV174" s="21"/>
      <c r="BW174" s="21"/>
      <c r="BX174" s="338"/>
      <c r="BY174" s="21"/>
      <c r="BZ174" s="21"/>
      <c r="CA174" s="21"/>
      <c r="CB174" s="1098"/>
      <c r="CC174" s="21"/>
      <c r="CD174" s="21"/>
      <c r="CE174" s="338"/>
      <c r="CF174" s="21"/>
      <c r="CG174" s="21"/>
      <c r="CH174" s="21"/>
      <c r="CI174" s="1098"/>
      <c r="CJ174" s="21"/>
      <c r="CK174" s="21"/>
      <c r="CL174" s="338"/>
      <c r="CM174" s="21"/>
      <c r="CN174" s="21"/>
      <c r="CO174" s="21"/>
      <c r="CP174" s="1098"/>
      <c r="CQ174" s="21"/>
      <c r="CR174" s="21"/>
      <c r="CS174" s="338"/>
      <c r="CT174" s="21"/>
      <c r="CU174" s="21"/>
      <c r="CV174" s="21"/>
      <c r="CW174" s="1098"/>
      <c r="CX174" s="21"/>
      <c r="CY174" s="21"/>
      <c r="CZ174" s="338"/>
      <c r="DA174" s="21"/>
      <c r="DB174" s="21"/>
      <c r="DC174" s="21"/>
      <c r="DD174" s="1098"/>
      <c r="DE174" s="21"/>
      <c r="DF174" s="21"/>
      <c r="DG174" s="338"/>
      <c r="DH174" s="21"/>
      <c r="DI174" s="21"/>
      <c r="DJ174" s="21"/>
      <c r="DK174" s="1098"/>
      <c r="DL174" s="21"/>
      <c r="DM174" s="21"/>
      <c r="DN174" s="338"/>
      <c r="DO174" s="21"/>
      <c r="DP174" s="21"/>
      <c r="DQ174" s="21"/>
      <c r="DR174" s="1098"/>
      <c r="DS174" s="1870"/>
      <c r="DT174" s="21"/>
      <c r="DU174" s="338"/>
      <c r="DV174" s="21"/>
      <c r="DW174" s="21"/>
      <c r="DX174" s="21"/>
      <c r="DY174" s="1098"/>
      <c r="DZ174" s="21"/>
      <c r="EA174" s="21"/>
      <c r="EB174" s="338"/>
      <c r="EC174" s="21"/>
      <c r="ED174" s="21"/>
      <c r="EE174" s="21"/>
      <c r="EF174" s="1098"/>
      <c r="EG174" s="21"/>
      <c r="EH174" s="21"/>
      <c r="EI174" s="338"/>
      <c r="EJ174" s="21"/>
      <c r="EK174" s="21"/>
      <c r="EL174" s="21"/>
      <c r="EM174" s="1098"/>
      <c r="EN174" s="21"/>
      <c r="EO174" s="21"/>
      <c r="EP174" s="338"/>
      <c r="EQ174" s="21"/>
      <c r="ER174" s="21"/>
      <c r="ES174" s="21"/>
      <c r="ET174" s="1098"/>
      <c r="EU174" s="21"/>
      <c r="EV174" s="21"/>
      <c r="EW174" s="338"/>
    </row>
    <row r="175" spans="1:153" ht="10.199999999999999" customHeight="1">
      <c r="A175" s="248" t="s">
        <v>856</v>
      </c>
      <c r="B175" s="834"/>
      <c r="C175" s="834"/>
      <c r="D175" s="834"/>
      <c r="E175" s="834"/>
      <c r="F175" s="834"/>
      <c r="G175" s="834"/>
      <c r="H175" s="834"/>
      <c r="I175" s="834"/>
      <c r="J175" s="834"/>
      <c r="K175" s="283" t="s">
        <v>69</v>
      </c>
      <c r="L175" s="283" t="s">
        <v>69</v>
      </c>
      <c r="M175" s="283" t="s">
        <v>69</v>
      </c>
      <c r="N175" s="21"/>
      <c r="O175" s="21"/>
      <c r="P175" s="21"/>
      <c r="Q175" s="1098"/>
      <c r="R175" s="21"/>
      <c r="S175" s="21"/>
      <c r="T175" s="1275" t="s">
        <v>69</v>
      </c>
      <c r="U175" s="21"/>
      <c r="V175" s="21"/>
      <c r="W175" s="21"/>
      <c r="X175" s="1098"/>
      <c r="Y175" s="21"/>
      <c r="Z175" s="21"/>
      <c r="AA175" s="1275" t="s">
        <v>69</v>
      </c>
      <c r="AB175" s="21"/>
      <c r="AC175" s="21"/>
      <c r="AD175" s="21"/>
      <c r="AE175" s="1098"/>
      <c r="AF175" s="21"/>
      <c r="AG175" s="21"/>
      <c r="AH175" s="1275" t="s">
        <v>69</v>
      </c>
      <c r="AI175" s="21"/>
      <c r="AJ175" s="21"/>
      <c r="AK175" s="21"/>
      <c r="AL175" s="1098"/>
      <c r="AM175" s="21"/>
      <c r="AN175" s="21"/>
      <c r="AO175" s="1275" t="s">
        <v>69</v>
      </c>
      <c r="AP175" s="21"/>
      <c r="AQ175" s="21"/>
      <c r="AR175" s="21"/>
      <c r="AS175" s="1098"/>
      <c r="AT175" s="21"/>
      <c r="AU175" s="21"/>
      <c r="AV175" s="1275">
        <v>2.7E-2</v>
      </c>
      <c r="AW175" s="21"/>
      <c r="AX175" s="21"/>
      <c r="AY175" s="21"/>
      <c r="AZ175" s="1098"/>
      <c r="BA175" s="21"/>
      <c r="BB175" s="21"/>
      <c r="BC175" s="1275">
        <v>2.7E-2</v>
      </c>
      <c r="BD175" s="21"/>
      <c r="BE175" s="21"/>
      <c r="BF175" s="21"/>
      <c r="BG175" s="1098"/>
      <c r="BH175" s="21"/>
      <c r="BI175" s="21"/>
      <c r="BJ175" s="1275" t="s">
        <v>69</v>
      </c>
      <c r="BK175" s="21"/>
      <c r="BL175" s="21"/>
      <c r="BM175" s="21"/>
      <c r="BN175" s="1098"/>
      <c r="BO175" s="21"/>
      <c r="BP175" s="21"/>
      <c r="BQ175" s="1275">
        <v>2.9000000000000001E-2</v>
      </c>
      <c r="BR175" s="21"/>
      <c r="BS175" s="21"/>
      <c r="BT175" s="21"/>
      <c r="BU175" s="1098"/>
      <c r="BV175" s="21"/>
      <c r="BW175" s="21"/>
      <c r="BX175" s="1275">
        <v>2.9000000000000001E-2</v>
      </c>
      <c r="BY175" s="21"/>
      <c r="BZ175" s="21"/>
      <c r="CA175" s="21"/>
      <c r="CB175" s="1098"/>
      <c r="CC175" s="21"/>
      <c r="CD175" s="21"/>
      <c r="CE175" s="1275">
        <v>4.5999999999999999E-2</v>
      </c>
      <c r="CF175" s="21"/>
      <c r="CG175" s="21"/>
      <c r="CH175" s="21"/>
      <c r="CI175" s="1098"/>
      <c r="CJ175" s="21"/>
      <c r="CK175" s="21"/>
      <c r="CL175" s="1275">
        <v>5.8999999999999997E-2</v>
      </c>
      <c r="CM175" s="21"/>
      <c r="CN175" s="21"/>
      <c r="CO175" s="21"/>
      <c r="CP175" s="1098"/>
      <c r="CQ175" s="21"/>
      <c r="CR175" s="21"/>
      <c r="CS175" s="1275">
        <v>3.7999999999999999E-2</v>
      </c>
      <c r="CT175" s="21"/>
      <c r="CU175" s="21"/>
      <c r="CV175" s="21"/>
      <c r="CW175" s="1098"/>
      <c r="CX175" s="21"/>
      <c r="CY175" s="21"/>
      <c r="CZ175" s="1275">
        <v>2.8000000000000001E-2</v>
      </c>
      <c r="DA175" s="21"/>
      <c r="DB175" s="21"/>
      <c r="DC175" s="21"/>
      <c r="DD175" s="1098"/>
      <c r="DE175" s="21"/>
      <c r="DF175" s="21"/>
      <c r="DG175" s="1275"/>
      <c r="DH175" s="21"/>
      <c r="DI175" s="21"/>
      <c r="DJ175" s="21"/>
      <c r="DK175" s="1098"/>
      <c r="DL175" s="21"/>
      <c r="DM175" s="21"/>
      <c r="DN175" s="338"/>
      <c r="DO175" s="21"/>
      <c r="DP175" s="21"/>
      <c r="DQ175" s="21"/>
      <c r="DR175" s="1098"/>
      <c r="DS175" s="1870"/>
      <c r="DT175" s="21"/>
      <c r="DU175" s="338"/>
      <c r="DV175" s="21"/>
      <c r="DW175" s="21"/>
      <c r="DX175" s="21"/>
      <c r="DY175" s="1098"/>
      <c r="DZ175" s="21"/>
      <c r="EA175" s="21"/>
      <c r="EB175" s="338"/>
      <c r="EC175" s="21"/>
      <c r="ED175" s="21"/>
      <c r="EE175" s="21"/>
      <c r="EF175" s="1098"/>
      <c r="EG175" s="21"/>
      <c r="EH175" s="21"/>
      <c r="EI175" s="338"/>
      <c r="EJ175" s="21"/>
      <c r="EK175" s="21"/>
      <c r="EL175" s="21"/>
      <c r="EM175" s="1098"/>
      <c r="EN175" s="21"/>
      <c r="EO175" s="21"/>
      <c r="EP175" s="338"/>
      <c r="EQ175" s="21"/>
      <c r="ER175" s="21"/>
      <c r="ES175" s="21"/>
      <c r="ET175" s="1098"/>
      <c r="EU175" s="21"/>
      <c r="EV175" s="21"/>
      <c r="EW175" s="338"/>
    </row>
    <row r="176" spans="1:153" ht="10.199999999999999" customHeight="1">
      <c r="A176" s="248" t="s">
        <v>857</v>
      </c>
      <c r="B176" s="834"/>
      <c r="C176" s="834"/>
      <c r="D176" s="834"/>
      <c r="E176" s="834"/>
      <c r="F176" s="834"/>
      <c r="G176" s="834"/>
      <c r="H176" s="834"/>
      <c r="I176" s="834"/>
      <c r="J176" s="834"/>
      <c r="K176" s="283" t="s">
        <v>69</v>
      </c>
      <c r="L176" s="283" t="s">
        <v>69</v>
      </c>
      <c r="M176" s="283" t="s">
        <v>69</v>
      </c>
      <c r="N176" s="21"/>
      <c r="O176" s="21"/>
      <c r="P176" s="21"/>
      <c r="Q176" s="1098"/>
      <c r="R176" s="21"/>
      <c r="S176" s="21"/>
      <c r="T176" s="1275" t="s">
        <v>69</v>
      </c>
      <c r="U176" s="21"/>
      <c r="V176" s="21"/>
      <c r="W176" s="21"/>
      <c r="X176" s="1098"/>
      <c r="Y176" s="21"/>
      <c r="Z176" s="21"/>
      <c r="AA176" s="1275" t="s">
        <v>69</v>
      </c>
      <c r="AB176" s="21"/>
      <c r="AC176" s="21"/>
      <c r="AD176" s="21"/>
      <c r="AE176" s="1098"/>
      <c r="AF176" s="21"/>
      <c r="AG176" s="21"/>
      <c r="AH176" s="1275" t="s">
        <v>69</v>
      </c>
      <c r="AI176" s="21"/>
      <c r="AJ176" s="21"/>
      <c r="AK176" s="21"/>
      <c r="AL176" s="1098"/>
      <c r="AM176" s="21"/>
      <c r="AN176" s="21"/>
      <c r="AO176" s="1275" t="s">
        <v>69</v>
      </c>
      <c r="AP176" s="21"/>
      <c r="AQ176" s="21"/>
      <c r="AR176" s="21"/>
      <c r="AS176" s="1098"/>
      <c r="AT176" s="21"/>
      <c r="AU176" s="21"/>
      <c r="AV176" s="1275" t="s">
        <v>69</v>
      </c>
      <c r="AW176" s="21"/>
      <c r="AX176" s="21"/>
      <c r="AY176" s="21"/>
      <c r="AZ176" s="1098"/>
      <c r="BA176" s="21"/>
      <c r="BB176" s="21"/>
      <c r="BC176" s="1275" t="s">
        <v>69</v>
      </c>
      <c r="BD176" s="21"/>
      <c r="BE176" s="21"/>
      <c r="BF176" s="21"/>
      <c r="BG176" s="1098"/>
      <c r="BH176" s="21"/>
      <c r="BI176" s="21"/>
      <c r="BJ176" s="1275">
        <v>8.5099999999999995E-2</v>
      </c>
      <c r="BK176" s="21"/>
      <c r="BL176" s="21"/>
      <c r="BM176" s="21"/>
      <c r="BN176" s="1098"/>
      <c r="BO176" s="21"/>
      <c r="BP176" s="21"/>
      <c r="BQ176" s="1275">
        <v>8.4000000000000005E-2</v>
      </c>
      <c r="BR176" s="21"/>
      <c r="BS176" s="21"/>
      <c r="BT176" s="21"/>
      <c r="BU176" s="1098"/>
      <c r="BV176" s="21"/>
      <c r="BW176" s="21"/>
      <c r="BX176" s="1275">
        <v>8.4000000000000005E-2</v>
      </c>
      <c r="BY176" s="21"/>
      <c r="BZ176" s="21"/>
      <c r="CA176" s="21"/>
      <c r="CB176" s="1098"/>
      <c r="CC176" s="21"/>
      <c r="CD176" s="21"/>
      <c r="CE176" s="1275">
        <v>9.4E-2</v>
      </c>
      <c r="CF176" s="21"/>
      <c r="CG176" s="21"/>
      <c r="CH176" s="21"/>
      <c r="CI176" s="1098"/>
      <c r="CJ176" s="21"/>
      <c r="CK176" s="21"/>
      <c r="CL176" s="1275">
        <v>0.122</v>
      </c>
      <c r="CM176" s="21"/>
      <c r="CN176" s="21"/>
      <c r="CO176" s="21"/>
      <c r="CP176" s="1098"/>
      <c r="CQ176" s="21"/>
      <c r="CR176" s="21"/>
      <c r="CS176" s="1275">
        <v>7.8E-2</v>
      </c>
      <c r="CT176" s="21"/>
      <c r="CU176" s="21"/>
      <c r="CV176" s="21"/>
      <c r="CW176" s="1098"/>
      <c r="CX176" s="21"/>
      <c r="CY176" s="21"/>
      <c r="CZ176" s="1275">
        <v>5.7000000000000002E-2</v>
      </c>
      <c r="DA176" s="21"/>
      <c r="DB176" s="21"/>
      <c r="DC176" s="21"/>
      <c r="DD176" s="1098"/>
      <c r="DE176" s="21"/>
      <c r="DF176" s="21"/>
      <c r="DG176" s="1275"/>
      <c r="DH176" s="21"/>
      <c r="DI176" s="21"/>
      <c r="DJ176" s="21"/>
      <c r="DK176" s="1098"/>
      <c r="DL176" s="21"/>
      <c r="DM176" s="21"/>
      <c r="DN176" s="338"/>
      <c r="DO176" s="21"/>
      <c r="DP176" s="21"/>
      <c r="DQ176" s="21"/>
      <c r="DR176" s="1098"/>
      <c r="DS176" s="1870"/>
      <c r="DT176" s="21"/>
      <c r="DU176" s="338"/>
      <c r="DV176" s="21"/>
      <c r="DW176" s="21"/>
      <c r="DX176" s="21"/>
      <c r="DY176" s="1098"/>
      <c r="DZ176" s="21"/>
      <c r="EA176" s="21"/>
      <c r="EB176" s="338"/>
      <c r="EC176" s="21"/>
      <c r="ED176" s="21"/>
      <c r="EE176" s="21"/>
      <c r="EF176" s="1098"/>
      <c r="EG176" s="21"/>
      <c r="EH176" s="21"/>
      <c r="EI176" s="338"/>
      <c r="EJ176" s="21"/>
      <c r="EK176" s="21"/>
      <c r="EL176" s="21"/>
      <c r="EM176" s="1098"/>
      <c r="EN176" s="21"/>
      <c r="EO176" s="21"/>
      <c r="EP176" s="338"/>
      <c r="EQ176" s="21"/>
      <c r="ER176" s="21"/>
      <c r="ES176" s="21"/>
      <c r="ET176" s="1098"/>
      <c r="EU176" s="21"/>
      <c r="EV176" s="21"/>
      <c r="EW176" s="338"/>
    </row>
    <row r="177" spans="1:153" ht="10.199999999999999" customHeight="1">
      <c r="A177" s="252" t="s">
        <v>167</v>
      </c>
      <c r="B177" s="834"/>
      <c r="C177" s="834"/>
      <c r="D177" s="834"/>
      <c r="E177" s="834"/>
      <c r="F177" s="834"/>
      <c r="G177" s="834"/>
      <c r="H177" s="834"/>
      <c r="I177" s="834"/>
      <c r="J177" s="834"/>
      <c r="K177" s="283" t="s">
        <v>69</v>
      </c>
      <c r="L177" s="283" t="s">
        <v>69</v>
      </c>
      <c r="M177" s="283" t="s">
        <v>69</v>
      </c>
      <c r="N177" s="21"/>
      <c r="O177" s="21"/>
      <c r="P177" s="21"/>
      <c r="Q177" s="1098"/>
      <c r="R177" s="21"/>
      <c r="S177" s="21"/>
      <c r="T177" s="1401" t="s">
        <v>69</v>
      </c>
      <c r="U177" s="21"/>
      <c r="V177" s="21"/>
      <c r="W177" s="21"/>
      <c r="X177" s="1098"/>
      <c r="Y177" s="21"/>
      <c r="Z177" s="21"/>
      <c r="AA177" s="1401" t="s">
        <v>69</v>
      </c>
      <c r="AB177" s="21"/>
      <c r="AC177" s="21"/>
      <c r="AD177" s="21"/>
      <c r="AE177" s="1098"/>
      <c r="AF177" s="21"/>
      <c r="AG177" s="21"/>
      <c r="AH177" s="1401" t="s">
        <v>69</v>
      </c>
      <c r="AI177" s="21"/>
      <c r="AJ177" s="21"/>
      <c r="AK177" s="21"/>
      <c r="AL177" s="1098"/>
      <c r="AM177" s="21"/>
      <c r="AN177" s="21"/>
      <c r="AO177" s="1401" t="s">
        <v>69</v>
      </c>
      <c r="AP177" s="21"/>
      <c r="AQ177" s="21"/>
      <c r="AR177" s="21"/>
      <c r="AS177" s="1098"/>
      <c r="AT177" s="21"/>
      <c r="AU177" s="21"/>
      <c r="AV177" s="1401">
        <v>0.04</v>
      </c>
      <c r="AW177" s="21"/>
      <c r="AX177" s="21"/>
      <c r="AY177" s="21"/>
      <c r="AZ177" s="1098"/>
      <c r="BA177" s="21"/>
      <c r="BB177" s="21"/>
      <c r="BC177" s="1401">
        <v>0.04</v>
      </c>
      <c r="BD177" s="21"/>
      <c r="BE177" s="21"/>
      <c r="BF177" s="21"/>
      <c r="BG177" s="1098"/>
      <c r="BH177" s="21"/>
      <c r="BI177" s="21"/>
      <c r="BJ177" s="1401">
        <v>4.9000000000000002E-2</v>
      </c>
      <c r="BK177" s="21"/>
      <c r="BL177" s="21"/>
      <c r="BM177" s="21"/>
      <c r="BN177" s="1098"/>
      <c r="BO177" s="21"/>
      <c r="BP177" s="21"/>
      <c r="BQ177" s="1401">
        <v>4.2999999999999997E-2</v>
      </c>
      <c r="BR177" s="21"/>
      <c r="BS177" s="21"/>
      <c r="BT177" s="21"/>
      <c r="BU177" s="1098"/>
      <c r="BV177" s="21"/>
      <c r="BW177" s="21"/>
      <c r="BX177" s="1401">
        <v>4.2999999999999997E-2</v>
      </c>
      <c r="BY177" s="21"/>
      <c r="BZ177" s="21"/>
      <c r="CA177" s="21"/>
      <c r="CB177" s="1098"/>
      <c r="CC177" s="21"/>
      <c r="CD177" s="21"/>
      <c r="CE177" s="1401">
        <v>5.8000000000000003E-2</v>
      </c>
      <c r="CF177" s="21"/>
      <c r="CG177" s="21"/>
      <c r="CH177" s="21"/>
      <c r="CI177" s="1098"/>
      <c r="CJ177" s="21"/>
      <c r="CK177" s="21"/>
      <c r="CL177" s="1401">
        <v>7.3999999999999996E-2</v>
      </c>
      <c r="CM177" s="21"/>
      <c r="CN177" s="21"/>
      <c r="CO177" s="21"/>
      <c r="CP177" s="1098"/>
      <c r="CQ177" s="21"/>
      <c r="CR177" s="21"/>
      <c r="CS177" s="1401">
        <v>0.05</v>
      </c>
      <c r="CT177" s="21"/>
      <c r="CU177" s="21"/>
      <c r="CV177" s="21"/>
      <c r="CW177" s="1098"/>
      <c r="CX177" s="21"/>
      <c r="CY177" s="21"/>
      <c r="CZ177" s="1401">
        <v>3.7999999999999999E-2</v>
      </c>
      <c r="DA177" s="21"/>
      <c r="DB177" s="21"/>
      <c r="DC177" s="21"/>
      <c r="DD177" s="1098"/>
      <c r="DE177" s="21"/>
      <c r="DF177" s="21"/>
      <c r="DG177" s="2086">
        <v>4.2000000000000003E-2</v>
      </c>
      <c r="DH177" s="21"/>
      <c r="DI177" s="21"/>
      <c r="DJ177" s="21"/>
      <c r="DK177" s="1098"/>
      <c r="DL177" s="21"/>
      <c r="DM177" s="21"/>
      <c r="DN177" s="338"/>
      <c r="DO177" s="21"/>
      <c r="DP177" s="21"/>
      <c r="DQ177" s="21"/>
      <c r="DR177" s="1098"/>
      <c r="DS177" s="1870"/>
      <c r="DT177" s="21"/>
      <c r="DU177" s="338"/>
      <c r="DV177" s="21"/>
      <c r="DW177" s="21"/>
      <c r="DX177" s="21"/>
      <c r="DY177" s="1098"/>
      <c r="DZ177" s="21"/>
      <c r="EA177" s="21"/>
      <c r="EB177" s="338"/>
      <c r="EC177" s="21"/>
      <c r="ED177" s="21"/>
      <c r="EE177" s="21"/>
      <c r="EF177" s="1098"/>
      <c r="EG177" s="21"/>
      <c r="EH177" s="21"/>
      <c r="EI177" s="338"/>
      <c r="EJ177" s="21"/>
      <c r="EK177" s="21"/>
      <c r="EL177" s="21"/>
      <c r="EM177" s="1098"/>
      <c r="EN177" s="21"/>
      <c r="EO177" s="21"/>
      <c r="EP177" s="338"/>
      <c r="EQ177" s="21"/>
      <c r="ER177" s="21"/>
      <c r="ES177" s="21"/>
      <c r="ET177" s="1098"/>
      <c r="EU177" s="21"/>
      <c r="EV177" s="21"/>
      <c r="EW177" s="338"/>
    </row>
    <row r="178" spans="1:153" ht="10.199999999999999" customHeight="1">
      <c r="A178" s="43"/>
      <c r="B178" s="834"/>
      <c r="C178" s="834"/>
      <c r="D178" s="834"/>
      <c r="E178" s="834"/>
      <c r="F178" s="834"/>
      <c r="G178" s="834"/>
      <c r="H178" s="834"/>
      <c r="I178" s="834"/>
      <c r="J178" s="834"/>
      <c r="K178" s="834"/>
      <c r="L178" s="834"/>
      <c r="M178" s="834"/>
      <c r="N178" s="21"/>
      <c r="O178" s="21"/>
      <c r="P178" s="21"/>
      <c r="Q178" s="1098"/>
      <c r="R178" s="21"/>
      <c r="S178" s="21"/>
      <c r="T178" s="338"/>
      <c r="U178" s="21"/>
      <c r="V178" s="21"/>
      <c r="W178" s="21"/>
      <c r="X178" s="1098"/>
      <c r="Y178" s="21"/>
      <c r="Z178" s="21"/>
      <c r="AA178" s="338"/>
      <c r="AB178" s="21"/>
      <c r="AC178" s="21"/>
      <c r="AD178" s="21"/>
      <c r="AE178" s="1098"/>
      <c r="AF178" s="21"/>
      <c r="AG178" s="21"/>
      <c r="AH178" s="338"/>
      <c r="AI178" s="21"/>
      <c r="AJ178" s="21"/>
      <c r="AK178" s="21"/>
      <c r="AL178" s="1098"/>
      <c r="AM178" s="21"/>
      <c r="AN178" s="21"/>
      <c r="AO178" s="338"/>
      <c r="AP178" s="21"/>
      <c r="AQ178" s="21"/>
      <c r="AR178" s="21"/>
      <c r="AS178" s="1098"/>
      <c r="AT178" s="21"/>
      <c r="AU178" s="21"/>
      <c r="AV178" s="338"/>
      <c r="AW178" s="21"/>
      <c r="AX178" s="21"/>
      <c r="AY178" s="21"/>
      <c r="AZ178" s="1098"/>
      <c r="BA178" s="21"/>
      <c r="BB178" s="21"/>
      <c r="BC178" s="338"/>
      <c r="BD178" s="21"/>
      <c r="BE178" s="21"/>
      <c r="BF178" s="21"/>
      <c r="BG178" s="1098"/>
      <c r="BH178" s="21"/>
      <c r="BI178" s="21"/>
      <c r="BJ178" s="338"/>
      <c r="BK178" s="21"/>
      <c r="BL178" s="21"/>
      <c r="BM178" s="21"/>
      <c r="BN178" s="1098"/>
      <c r="BO178" s="21"/>
      <c r="BP178" s="21"/>
      <c r="BQ178" s="338"/>
      <c r="BR178" s="21"/>
      <c r="BS178" s="21"/>
      <c r="BT178" s="21"/>
      <c r="BU178" s="1098"/>
      <c r="BV178" s="21"/>
      <c r="BW178" s="21"/>
      <c r="BX178" s="338"/>
      <c r="BY178" s="21"/>
      <c r="BZ178" s="21"/>
      <c r="CA178" s="21"/>
      <c r="CB178" s="1098"/>
      <c r="CC178" s="21"/>
      <c r="CD178" s="21"/>
      <c r="CE178" s="338"/>
      <c r="CF178" s="21"/>
      <c r="CG178" s="21"/>
      <c r="CH178" s="21"/>
      <c r="CI178" s="1098"/>
      <c r="CJ178" s="21"/>
      <c r="CK178" s="21"/>
      <c r="CL178" s="338"/>
      <c r="CM178" s="21"/>
      <c r="CN178" s="21"/>
      <c r="CO178" s="21"/>
      <c r="CP178" s="1098"/>
      <c r="CQ178" s="21"/>
      <c r="CR178" s="21"/>
      <c r="CS178" s="338"/>
      <c r="CT178" s="21"/>
      <c r="CU178" s="21"/>
      <c r="CV178" s="21"/>
      <c r="CW178" s="1098"/>
      <c r="CX178" s="21"/>
      <c r="CY178" s="21"/>
      <c r="CZ178" s="338"/>
      <c r="DA178" s="21"/>
      <c r="DB178" s="21"/>
      <c r="DC178" s="21"/>
      <c r="DD178" s="1098"/>
      <c r="DE178" s="21"/>
      <c r="DF178" s="21"/>
      <c r="DG178" s="338"/>
      <c r="DH178" s="21"/>
      <c r="DI178" s="21"/>
      <c r="DJ178" s="21"/>
      <c r="DK178" s="1098"/>
      <c r="DL178" s="21"/>
      <c r="DM178" s="21"/>
      <c r="DN178" s="338"/>
      <c r="DO178" s="21"/>
      <c r="DP178" s="21"/>
      <c r="DQ178" s="21"/>
      <c r="DR178" s="1098"/>
      <c r="DS178" s="1870"/>
      <c r="DT178" s="21"/>
      <c r="DU178" s="338"/>
      <c r="DV178" s="21"/>
      <c r="DW178" s="21"/>
      <c r="DX178" s="21"/>
      <c r="DY178" s="1098"/>
      <c r="DZ178" s="21"/>
      <c r="EA178" s="21"/>
      <c r="EB178" s="338"/>
      <c r="EC178" s="21"/>
      <c r="ED178" s="21"/>
      <c r="EE178" s="21"/>
      <c r="EF178" s="1098"/>
      <c r="EG178" s="21"/>
      <c r="EH178" s="21"/>
      <c r="EI178" s="338"/>
      <c r="EJ178" s="21"/>
      <c r="EK178" s="21"/>
      <c r="EL178" s="21"/>
      <c r="EM178" s="1098"/>
      <c r="EN178" s="21"/>
      <c r="EO178" s="21"/>
      <c r="EP178" s="338"/>
      <c r="EQ178" s="21"/>
      <c r="ER178" s="21"/>
      <c r="ES178" s="21"/>
      <c r="ET178" s="1098"/>
      <c r="EU178" s="21"/>
      <c r="EV178" s="21"/>
      <c r="EW178" s="338"/>
    </row>
    <row r="179" spans="1:153" ht="10.199999999999999" customHeight="1">
      <c r="A179" s="48" t="s">
        <v>858</v>
      </c>
      <c r="B179" s="834"/>
      <c r="C179" s="834"/>
      <c r="D179" s="834"/>
      <c r="E179" s="834"/>
      <c r="F179" s="834"/>
      <c r="G179" s="834"/>
      <c r="H179" s="834"/>
      <c r="I179" s="834"/>
      <c r="J179" s="834"/>
      <c r="K179" s="834"/>
      <c r="L179" s="834"/>
      <c r="M179" s="834"/>
      <c r="N179" s="21"/>
      <c r="O179" s="21"/>
      <c r="P179" s="21"/>
      <c r="Q179" s="1098"/>
      <c r="R179" s="21"/>
      <c r="S179" s="21"/>
      <c r="T179" s="338"/>
      <c r="U179" s="21"/>
      <c r="V179" s="21"/>
      <c r="W179" s="21"/>
      <c r="X179" s="1098"/>
      <c r="Y179" s="21"/>
      <c r="Z179" s="21"/>
      <c r="AA179" s="338"/>
      <c r="AB179" s="21"/>
      <c r="AC179" s="21"/>
      <c r="AD179" s="21"/>
      <c r="AE179" s="1098"/>
      <c r="AF179" s="21"/>
      <c r="AG179" s="21"/>
      <c r="AH179" s="338"/>
      <c r="AI179" s="21"/>
      <c r="AJ179" s="21"/>
      <c r="AK179" s="21"/>
      <c r="AL179" s="1098"/>
      <c r="AM179" s="21"/>
      <c r="AN179" s="21"/>
      <c r="AO179" s="338"/>
      <c r="AP179" s="21"/>
      <c r="AQ179" s="21"/>
      <c r="AR179" s="21"/>
      <c r="AS179" s="1098"/>
      <c r="AT179" s="21"/>
      <c r="AU179" s="21"/>
      <c r="AV179" s="338"/>
      <c r="AW179" s="21"/>
      <c r="AX179" s="21"/>
      <c r="AY179" s="21"/>
      <c r="AZ179" s="1098"/>
      <c r="BA179" s="21"/>
      <c r="BB179" s="21"/>
      <c r="BC179" s="338"/>
      <c r="BD179" s="21"/>
      <c r="BE179" s="21"/>
      <c r="BF179" s="21"/>
      <c r="BG179" s="1098"/>
      <c r="BH179" s="21"/>
      <c r="BI179" s="21"/>
      <c r="BJ179" s="338"/>
      <c r="BK179" s="21"/>
      <c r="BL179" s="21"/>
      <c r="BM179" s="21"/>
      <c r="BN179" s="1098"/>
      <c r="BO179" s="21"/>
      <c r="BP179" s="21"/>
      <c r="BQ179" s="338"/>
      <c r="BR179" s="21"/>
      <c r="BS179" s="21"/>
      <c r="BT179" s="21"/>
      <c r="BU179" s="1098"/>
      <c r="BV179" s="21"/>
      <c r="BW179" s="21"/>
      <c r="BX179" s="338"/>
      <c r="BY179" s="21"/>
      <c r="BZ179" s="21"/>
      <c r="CA179" s="21"/>
      <c r="CB179" s="1098"/>
      <c r="CC179" s="21"/>
      <c r="CD179" s="21"/>
      <c r="CE179" s="338"/>
      <c r="CF179" s="21"/>
      <c r="CG179" s="21"/>
      <c r="CH179" s="21"/>
      <c r="CI179" s="1098"/>
      <c r="CJ179" s="21"/>
      <c r="CK179" s="21"/>
      <c r="CL179" s="338"/>
      <c r="CM179" s="21"/>
      <c r="CN179" s="21"/>
      <c r="CO179" s="21"/>
      <c r="CP179" s="1098"/>
      <c r="CQ179" s="21"/>
      <c r="CR179" s="21"/>
      <c r="CS179" s="338"/>
      <c r="CT179" s="21"/>
      <c r="CU179" s="21"/>
      <c r="CV179" s="21"/>
      <c r="CW179" s="1098"/>
      <c r="CX179" s="21"/>
      <c r="CY179" s="21"/>
      <c r="CZ179" s="338"/>
      <c r="DA179" s="21"/>
      <c r="DB179" s="21"/>
      <c r="DC179" s="1067"/>
      <c r="DD179" s="1098"/>
      <c r="DE179" s="21"/>
      <c r="DF179" s="21"/>
      <c r="DG179" s="338"/>
      <c r="DH179" s="21"/>
      <c r="DI179" s="21"/>
      <c r="DJ179" s="21"/>
      <c r="DK179" s="1098"/>
      <c r="DL179" s="21"/>
      <c r="DM179" s="21"/>
      <c r="DN179" s="338"/>
      <c r="DO179" s="21"/>
      <c r="DP179" s="21"/>
      <c r="DQ179" s="21"/>
      <c r="DR179" s="1098"/>
      <c r="DS179" s="1870"/>
      <c r="DT179" s="21"/>
      <c r="DU179" s="338"/>
      <c r="DV179" s="21"/>
      <c r="DW179" s="21"/>
      <c r="DX179" s="21"/>
      <c r="DY179" s="1098"/>
      <c r="DZ179" s="21"/>
      <c r="EA179" s="21"/>
      <c r="EB179" s="338"/>
      <c r="EC179" s="21"/>
      <c r="ED179" s="21"/>
      <c r="EE179" s="21"/>
      <c r="EF179" s="1098"/>
      <c r="EG179" s="21"/>
      <c r="EH179" s="21"/>
      <c r="EI179" s="338"/>
      <c r="EJ179" s="21"/>
      <c r="EK179" s="21"/>
      <c r="EL179" s="21"/>
      <c r="EM179" s="1098"/>
      <c r="EN179" s="21"/>
      <c r="EO179" s="21"/>
      <c r="EP179" s="338"/>
      <c r="EQ179" s="21"/>
      <c r="ER179" s="21"/>
      <c r="ES179" s="21"/>
      <c r="ET179" s="1098"/>
      <c r="EU179" s="21"/>
      <c r="EV179" s="21"/>
      <c r="EW179" s="338"/>
    </row>
    <row r="180" spans="1:153" ht="10.199999999999999" customHeight="1">
      <c r="A180" s="108" t="s">
        <v>323</v>
      </c>
      <c r="B180" s="834"/>
      <c r="C180" s="834"/>
      <c r="D180" s="834"/>
      <c r="E180" s="834"/>
      <c r="F180" s="834"/>
      <c r="G180" s="834"/>
      <c r="H180" s="834"/>
      <c r="I180" s="834"/>
      <c r="J180" s="834"/>
      <c r="K180" s="530">
        <v>62751</v>
      </c>
      <c r="L180" s="530">
        <v>69300</v>
      </c>
      <c r="M180" s="530">
        <v>73500</v>
      </c>
      <c r="N180" s="530"/>
      <c r="O180" s="530"/>
      <c r="P180" s="530"/>
      <c r="Q180" s="680"/>
      <c r="R180" s="530"/>
      <c r="S180" s="530"/>
      <c r="T180" s="1278">
        <v>78862</v>
      </c>
      <c r="U180" s="530"/>
      <c r="V180" s="530"/>
      <c r="W180" s="530"/>
      <c r="X180" s="680"/>
      <c r="Y180" s="530"/>
      <c r="Z180" s="530"/>
      <c r="AA180" s="1278">
        <v>73958</v>
      </c>
      <c r="AB180" s="530"/>
      <c r="AC180" s="530"/>
      <c r="AD180" s="530"/>
      <c r="AE180" s="680"/>
      <c r="AF180" s="530"/>
      <c r="AG180" s="530"/>
      <c r="AH180" s="1278">
        <v>72816</v>
      </c>
      <c r="AI180" s="530"/>
      <c r="AJ180" s="530"/>
      <c r="AK180" s="530"/>
      <c r="AL180" s="680"/>
      <c r="AM180" s="530"/>
      <c r="AN180" s="530"/>
      <c r="AO180" s="1278">
        <v>73852</v>
      </c>
      <c r="AP180" s="530"/>
      <c r="AQ180" s="530"/>
      <c r="AR180" s="530"/>
      <c r="AS180" s="680"/>
      <c r="AT180" s="530"/>
      <c r="AU180" s="530"/>
      <c r="AV180" s="1278">
        <v>74542</v>
      </c>
      <c r="AW180" s="530"/>
      <c r="AX180" s="530"/>
      <c r="AY180" s="530"/>
      <c r="AZ180" s="680"/>
      <c r="BA180" s="530"/>
      <c r="BB180" s="530"/>
      <c r="BC180" s="1278">
        <v>77163</v>
      </c>
      <c r="BD180" s="530">
        <v>77246</v>
      </c>
      <c r="BE180" s="530">
        <f>BH180</f>
        <v>77375</v>
      </c>
      <c r="BF180" s="530">
        <v>79907</v>
      </c>
      <c r="BG180" s="680">
        <f>BI180</f>
        <v>80924</v>
      </c>
      <c r="BH180" s="530">
        <v>77375</v>
      </c>
      <c r="BI180" s="530">
        <f>BJ180</f>
        <v>80924</v>
      </c>
      <c r="BJ180" s="1278">
        <v>80924</v>
      </c>
      <c r="BK180" s="530">
        <v>82191</v>
      </c>
      <c r="BL180" s="530">
        <f>BO180</f>
        <v>82892</v>
      </c>
      <c r="BM180" s="530">
        <v>82106</v>
      </c>
      <c r="BN180" s="680">
        <f>BP180</f>
        <v>80985</v>
      </c>
      <c r="BO180" s="530">
        <v>82892</v>
      </c>
      <c r="BP180" s="530">
        <f>BQ180</f>
        <v>80985</v>
      </c>
      <c r="BQ180" s="1278">
        <v>80985</v>
      </c>
      <c r="BR180" s="530">
        <v>82191</v>
      </c>
      <c r="BS180" s="530">
        <f>BV180</f>
        <v>82892</v>
      </c>
      <c r="BT180" s="530">
        <v>82106</v>
      </c>
      <c r="BU180" s="680">
        <f>BW180</f>
        <v>80985</v>
      </c>
      <c r="BV180" s="530">
        <v>82892</v>
      </c>
      <c r="BW180" s="530">
        <f>BX180</f>
        <v>80985</v>
      </c>
      <c r="BX180" s="1278">
        <v>80985</v>
      </c>
      <c r="BY180" s="530">
        <v>82484</v>
      </c>
      <c r="BZ180" s="530">
        <f>CC180</f>
        <v>81546</v>
      </c>
      <c r="CA180" s="530">
        <v>80619</v>
      </c>
      <c r="CB180" s="680">
        <f>CD180</f>
        <v>78487</v>
      </c>
      <c r="CC180" s="530">
        <v>81546</v>
      </c>
      <c r="CD180" s="530">
        <f>CE180</f>
        <v>78487</v>
      </c>
      <c r="CE180" s="1278">
        <v>78487</v>
      </c>
      <c r="CF180" s="530">
        <v>75159</v>
      </c>
      <c r="CG180" s="530">
        <f>CJ180</f>
        <v>73650</v>
      </c>
      <c r="CH180" s="530">
        <v>73395</v>
      </c>
      <c r="CI180" s="680">
        <f>CK180</f>
        <v>73560</v>
      </c>
      <c r="CJ180" s="530">
        <v>73650</v>
      </c>
      <c r="CK180" s="530">
        <f>CL180</f>
        <v>73560</v>
      </c>
      <c r="CL180" s="1278">
        <v>73560</v>
      </c>
      <c r="CM180" s="530">
        <v>73959</v>
      </c>
      <c r="CN180" s="530">
        <f>CQ180</f>
        <v>75394</v>
      </c>
      <c r="CO180" s="530">
        <v>77433</v>
      </c>
      <c r="CP180" s="680">
        <f>CR180</f>
        <v>79134</v>
      </c>
      <c r="CQ180" s="530">
        <v>75394</v>
      </c>
      <c r="CR180" s="530">
        <f>CS180</f>
        <v>79134</v>
      </c>
      <c r="CS180" s="1278">
        <v>79134</v>
      </c>
      <c r="CT180" s="530">
        <v>81439</v>
      </c>
      <c r="CU180" s="530">
        <f>CX180</f>
        <v>84981</v>
      </c>
      <c r="CV180" s="530">
        <v>88250</v>
      </c>
      <c r="CW180" s="680">
        <f>CY180</f>
        <v>90032</v>
      </c>
      <c r="CX180" s="530">
        <v>84981</v>
      </c>
      <c r="CY180" s="530">
        <f>CZ180</f>
        <v>90032</v>
      </c>
      <c r="CZ180" s="1278">
        <v>90032</v>
      </c>
      <c r="DA180" s="530">
        <v>91779</v>
      </c>
      <c r="DB180" s="530">
        <f>DE180</f>
        <v>96010</v>
      </c>
      <c r="DC180" s="530">
        <v>97157</v>
      </c>
      <c r="DD180" s="680">
        <f>DF180</f>
        <v>97433</v>
      </c>
      <c r="DE180" s="530">
        <v>96010</v>
      </c>
      <c r="DF180" s="530">
        <f>DG180</f>
        <v>97433</v>
      </c>
      <c r="DG180" s="1278">
        <v>97433</v>
      </c>
      <c r="DH180" s="530">
        <v>98251</v>
      </c>
      <c r="DI180" s="530">
        <f>DL180</f>
        <v>98567</v>
      </c>
      <c r="DJ180" s="530">
        <v>99589</v>
      </c>
      <c r="DK180" s="680">
        <f>DM180</f>
        <v>105128</v>
      </c>
      <c r="DL180" s="2080">
        <v>98567</v>
      </c>
      <c r="DM180" s="530">
        <f>DN180</f>
        <v>105128</v>
      </c>
      <c r="DN180" s="538">
        <v>105128</v>
      </c>
      <c r="DO180" s="21"/>
      <c r="DP180" s="530">
        <f>DS180</f>
        <v>107633</v>
      </c>
      <c r="DQ180" s="21"/>
      <c r="DR180" s="1098"/>
      <c r="DS180" s="1909">
        <v>107633</v>
      </c>
      <c r="DT180" s="21"/>
      <c r="DU180" s="338"/>
      <c r="DV180" s="21"/>
      <c r="DW180" s="21"/>
      <c r="DX180" s="21"/>
      <c r="DY180" s="1098"/>
      <c r="DZ180" s="21"/>
      <c r="EA180" s="21"/>
      <c r="EB180" s="338"/>
      <c r="EC180" s="21"/>
      <c r="ED180" s="21"/>
      <c r="EE180" s="21"/>
      <c r="EF180" s="1098"/>
      <c r="EG180" s="21"/>
      <c r="EH180" s="21"/>
      <c r="EI180" s="338"/>
      <c r="EJ180" s="21"/>
      <c r="EK180" s="21"/>
      <c r="EL180" s="21"/>
      <c r="EM180" s="1098"/>
      <c r="EN180" s="21"/>
      <c r="EO180" s="21"/>
      <c r="EP180" s="338"/>
      <c r="EQ180" s="21"/>
      <c r="ER180" s="21"/>
      <c r="ES180" s="21"/>
      <c r="ET180" s="1098"/>
      <c r="EU180" s="21"/>
      <c r="EV180" s="21"/>
      <c r="EW180" s="338"/>
    </row>
    <row r="181" spans="1:153" ht="10.199999999999999" customHeight="1">
      <c r="A181" s="108" t="s">
        <v>513</v>
      </c>
      <c r="B181" s="834"/>
      <c r="C181" s="834"/>
      <c r="D181" s="834"/>
      <c r="E181" s="834"/>
      <c r="F181" s="834"/>
      <c r="G181" s="834"/>
      <c r="H181" s="834"/>
      <c r="I181" s="834"/>
      <c r="J181" s="834"/>
      <c r="K181" s="530">
        <v>16760</v>
      </c>
      <c r="L181" s="530">
        <v>20759</v>
      </c>
      <c r="M181" s="530">
        <v>22435</v>
      </c>
      <c r="N181" s="530"/>
      <c r="O181" s="530"/>
      <c r="P181" s="530"/>
      <c r="Q181" s="680"/>
      <c r="R181" s="530"/>
      <c r="S181" s="530"/>
      <c r="T181" s="1278">
        <v>23374</v>
      </c>
      <c r="U181" s="530"/>
      <c r="V181" s="530"/>
      <c r="W181" s="530"/>
      <c r="X181" s="680"/>
      <c r="Y181" s="530"/>
      <c r="Z181" s="530"/>
      <c r="AA181" s="1278">
        <v>22939</v>
      </c>
      <c r="AB181" s="530"/>
      <c r="AC181" s="530"/>
      <c r="AD181" s="530"/>
      <c r="AE181" s="680"/>
      <c r="AF181" s="530"/>
      <c r="AG181" s="530"/>
      <c r="AH181" s="1278">
        <v>22520</v>
      </c>
      <c r="AI181" s="530"/>
      <c r="AJ181" s="530"/>
      <c r="AK181" s="530"/>
      <c r="AL181" s="680"/>
      <c r="AM181" s="530"/>
      <c r="AN181" s="530"/>
      <c r="AO181" s="1278">
        <v>22507</v>
      </c>
      <c r="AP181" s="530"/>
      <c r="AQ181" s="530"/>
      <c r="AR181" s="530"/>
      <c r="AS181" s="680"/>
      <c r="AT181" s="530"/>
      <c r="AU181" s="530"/>
      <c r="AV181" s="1278">
        <v>20108</v>
      </c>
      <c r="AW181" s="530"/>
      <c r="AX181" s="530"/>
      <c r="AY181" s="530"/>
      <c r="AZ181" s="680"/>
      <c r="BA181" s="530"/>
      <c r="BB181" s="530"/>
      <c r="BC181" s="1278">
        <v>20108</v>
      </c>
      <c r="BD181" s="530">
        <v>19988</v>
      </c>
      <c r="BE181" s="530">
        <f>BH181</f>
        <v>19894</v>
      </c>
      <c r="BF181" s="530">
        <v>19797</v>
      </c>
      <c r="BG181" s="680">
        <f>BI181</f>
        <v>19745</v>
      </c>
      <c r="BH181" s="530">
        <v>19894</v>
      </c>
      <c r="BI181" s="530">
        <f>BJ181</f>
        <v>19745</v>
      </c>
      <c r="BJ181" s="1278">
        <v>19745</v>
      </c>
      <c r="BK181" s="530">
        <v>19768</v>
      </c>
      <c r="BL181" s="530">
        <f>BO181</f>
        <v>19951</v>
      </c>
      <c r="BM181" s="530">
        <v>20018</v>
      </c>
      <c r="BN181" s="680">
        <f>BP181</f>
        <v>20024</v>
      </c>
      <c r="BO181" s="530">
        <v>19951</v>
      </c>
      <c r="BP181" s="530">
        <f>BQ181</f>
        <v>20024</v>
      </c>
      <c r="BQ181" s="1278">
        <v>20024</v>
      </c>
      <c r="BR181" s="530">
        <v>19768</v>
      </c>
      <c r="BS181" s="530">
        <f>BV181</f>
        <v>19951</v>
      </c>
      <c r="BT181" s="530">
        <v>20018</v>
      </c>
      <c r="BU181" s="680">
        <f>BW181</f>
        <v>20024</v>
      </c>
      <c r="BV181" s="530">
        <v>19951</v>
      </c>
      <c r="BW181" s="530">
        <f>BX181</f>
        <v>20024</v>
      </c>
      <c r="BX181" s="1278">
        <v>20024</v>
      </c>
      <c r="BY181" s="530">
        <v>20267</v>
      </c>
      <c r="BZ181" s="530">
        <f>CC181</f>
        <v>20166</v>
      </c>
      <c r="CA181" s="530">
        <v>20120</v>
      </c>
      <c r="CB181" s="680">
        <f>CD181</f>
        <v>20026</v>
      </c>
      <c r="CC181" s="530">
        <v>20166</v>
      </c>
      <c r="CD181" s="530">
        <f>CE181</f>
        <v>20026</v>
      </c>
      <c r="CE181" s="1278">
        <v>20026</v>
      </c>
      <c r="CF181" s="530">
        <v>19871</v>
      </c>
      <c r="CG181" s="530">
        <f>CJ181</f>
        <v>19978</v>
      </c>
      <c r="CH181" s="530">
        <v>20063</v>
      </c>
      <c r="CI181" s="680">
        <f>CK181</f>
        <v>20126</v>
      </c>
      <c r="CJ181" s="530">
        <v>19978</v>
      </c>
      <c r="CK181" s="530">
        <f>CL181</f>
        <v>20126</v>
      </c>
      <c r="CL181" s="1278">
        <v>20126</v>
      </c>
      <c r="CM181" s="530">
        <v>19963</v>
      </c>
      <c r="CN181" s="530">
        <f>CQ181</f>
        <v>20002</v>
      </c>
      <c r="CO181" s="530">
        <v>20342</v>
      </c>
      <c r="CP181" s="680">
        <f>CR181</f>
        <v>20803</v>
      </c>
      <c r="CQ181" s="530">
        <v>20002</v>
      </c>
      <c r="CR181" s="530">
        <f>CS181</f>
        <v>20803</v>
      </c>
      <c r="CS181" s="1278">
        <v>20803</v>
      </c>
      <c r="CT181" s="530">
        <v>21502</v>
      </c>
      <c r="CU181" s="530">
        <f>CX181</f>
        <v>21684</v>
      </c>
      <c r="CV181" s="530">
        <v>22081</v>
      </c>
      <c r="CW181" s="680">
        <f>CY181</f>
        <v>22336</v>
      </c>
      <c r="CX181" s="530">
        <v>21684</v>
      </c>
      <c r="CY181" s="530">
        <f>CZ181</f>
        <v>22336</v>
      </c>
      <c r="CZ181" s="1278">
        <v>22336</v>
      </c>
      <c r="DA181" s="530">
        <v>22513</v>
      </c>
      <c r="DB181" s="530">
        <f>DE181</f>
        <v>22855</v>
      </c>
      <c r="DC181" s="530">
        <v>23046</v>
      </c>
      <c r="DD181" s="680">
        <f>DF181</f>
        <v>23141</v>
      </c>
      <c r="DE181" s="530">
        <v>22855</v>
      </c>
      <c r="DF181" s="530">
        <f>DG181</f>
        <v>23141</v>
      </c>
      <c r="DG181" s="1278">
        <v>23141</v>
      </c>
      <c r="DH181" s="530">
        <v>23302</v>
      </c>
      <c r="DI181" s="530">
        <f>DL181</f>
        <v>23392</v>
      </c>
      <c r="DJ181" s="530">
        <v>23704</v>
      </c>
      <c r="DK181" s="680">
        <f>DM181</f>
        <v>23922</v>
      </c>
      <c r="DL181" s="2080">
        <v>23392</v>
      </c>
      <c r="DM181" s="530">
        <f>DN181</f>
        <v>23922</v>
      </c>
      <c r="DN181" s="538">
        <v>23922</v>
      </c>
      <c r="DO181" s="21"/>
      <c r="DP181" s="530">
        <f>DS181</f>
        <v>24675</v>
      </c>
      <c r="DQ181" s="21"/>
      <c r="DR181" s="1098"/>
      <c r="DS181" s="1909">
        <v>24675</v>
      </c>
      <c r="DT181" s="21"/>
      <c r="DU181" s="338"/>
      <c r="DV181" s="21"/>
      <c r="DW181" s="21"/>
      <c r="DX181" s="21"/>
      <c r="DY181" s="1098"/>
      <c r="DZ181" s="21"/>
      <c r="EA181" s="21"/>
      <c r="EB181" s="338"/>
      <c r="EC181" s="21"/>
      <c r="ED181" s="21"/>
      <c r="EE181" s="21"/>
      <c r="EF181" s="1098"/>
      <c r="EG181" s="21"/>
      <c r="EH181" s="21"/>
      <c r="EI181" s="338"/>
      <c r="EJ181" s="21"/>
      <c r="EK181" s="21"/>
      <c r="EL181" s="21"/>
      <c r="EM181" s="1098"/>
      <c r="EN181" s="21"/>
      <c r="EO181" s="21"/>
      <c r="EP181" s="338"/>
      <c r="EQ181" s="21"/>
      <c r="ER181" s="21"/>
      <c r="ES181" s="21"/>
      <c r="ET181" s="1098"/>
      <c r="EU181" s="21"/>
      <c r="EV181" s="21"/>
      <c r="EW181" s="338"/>
    </row>
    <row r="182" spans="1:153" ht="10.199999999999999" customHeight="1">
      <c r="A182" s="108" t="s">
        <v>804</v>
      </c>
      <c r="B182" s="834"/>
      <c r="C182" s="834"/>
      <c r="D182" s="834"/>
      <c r="E182" s="834"/>
      <c r="F182" s="834"/>
      <c r="G182" s="834"/>
      <c r="H182" s="834"/>
      <c r="I182" s="834"/>
      <c r="J182" s="834"/>
      <c r="K182" s="530">
        <v>0</v>
      </c>
      <c r="L182" s="530">
        <v>0</v>
      </c>
      <c r="M182" s="530">
        <v>0</v>
      </c>
      <c r="N182" s="530"/>
      <c r="O182" s="530"/>
      <c r="P182" s="530"/>
      <c r="Q182" s="680"/>
      <c r="R182" s="530"/>
      <c r="S182" s="530"/>
      <c r="T182" s="1278">
        <v>0</v>
      </c>
      <c r="U182" s="530"/>
      <c r="V182" s="530"/>
      <c r="W182" s="530"/>
      <c r="X182" s="680"/>
      <c r="Y182" s="530"/>
      <c r="Z182" s="530"/>
      <c r="AA182" s="1278">
        <v>38637</v>
      </c>
      <c r="AB182" s="530"/>
      <c r="AC182" s="530"/>
      <c r="AD182" s="530"/>
      <c r="AE182" s="680"/>
      <c r="AF182" s="530"/>
      <c r="AG182" s="530"/>
      <c r="AH182" s="1278">
        <v>38206</v>
      </c>
      <c r="AI182" s="530"/>
      <c r="AJ182" s="530"/>
      <c r="AK182" s="530"/>
      <c r="AL182" s="680"/>
      <c r="AM182" s="530"/>
      <c r="AN182" s="530"/>
      <c r="AO182" s="1278">
        <v>34397</v>
      </c>
      <c r="AP182" s="530"/>
      <c r="AQ182" s="530"/>
      <c r="AR182" s="530"/>
      <c r="AS182" s="680"/>
      <c r="AT182" s="530"/>
      <c r="AU182" s="530"/>
      <c r="AV182" s="1278">
        <v>32171</v>
      </c>
      <c r="AW182" s="530"/>
      <c r="AX182" s="530"/>
      <c r="AY182" s="530"/>
      <c r="AZ182" s="680"/>
      <c r="BA182" s="530"/>
      <c r="BB182" s="530"/>
      <c r="BC182" s="1278">
        <v>32171</v>
      </c>
      <c r="BD182" s="530">
        <v>31974</v>
      </c>
      <c r="BE182" s="530">
        <f>BH182</f>
        <v>32181</v>
      </c>
      <c r="BF182" s="530">
        <v>32654</v>
      </c>
      <c r="BG182" s="680">
        <f>BI182</f>
        <v>33002</v>
      </c>
      <c r="BH182" s="530">
        <v>32181</v>
      </c>
      <c r="BI182" s="530">
        <f>BJ182</f>
        <v>33002</v>
      </c>
      <c r="BJ182" s="1278">
        <v>33002</v>
      </c>
      <c r="BK182" s="530">
        <v>33509</v>
      </c>
      <c r="BL182" s="530">
        <f>BO182</f>
        <v>33500</v>
      </c>
      <c r="BM182" s="530">
        <v>33854</v>
      </c>
      <c r="BN182" s="680">
        <f>BP182</f>
        <v>33922</v>
      </c>
      <c r="BO182" s="530">
        <v>33500</v>
      </c>
      <c r="BP182" s="530">
        <f>BQ182</f>
        <v>33922</v>
      </c>
      <c r="BQ182" s="1278">
        <v>33922</v>
      </c>
      <c r="BR182" s="530">
        <v>33509</v>
      </c>
      <c r="BS182" s="530">
        <f>BV182</f>
        <v>33500</v>
      </c>
      <c r="BT182" s="530">
        <v>33854</v>
      </c>
      <c r="BU182" s="680">
        <f>BW182</f>
        <v>33922</v>
      </c>
      <c r="BV182" s="530">
        <v>33500</v>
      </c>
      <c r="BW182" s="530">
        <f>BX182</f>
        <v>33922</v>
      </c>
      <c r="BX182" s="1278">
        <v>33922</v>
      </c>
      <c r="BY182" s="530">
        <v>33767</v>
      </c>
      <c r="BZ182" s="530">
        <f>CC182</f>
        <v>33442</v>
      </c>
      <c r="CA182" s="530">
        <v>33332</v>
      </c>
      <c r="CB182" s="680">
        <f>CD182</f>
        <v>32836</v>
      </c>
      <c r="CC182" s="530">
        <v>33442</v>
      </c>
      <c r="CD182" s="530">
        <f>CE182</f>
        <v>32836</v>
      </c>
      <c r="CE182" s="1278">
        <v>32836</v>
      </c>
      <c r="CF182" s="530">
        <v>32784</v>
      </c>
      <c r="CG182" s="530">
        <f>CJ182</f>
        <v>32422</v>
      </c>
      <c r="CH182" s="530">
        <v>32430</v>
      </c>
      <c r="CI182" s="680">
        <f>CK182</f>
        <v>32809</v>
      </c>
      <c r="CJ182" s="530">
        <v>32422</v>
      </c>
      <c r="CK182" s="530">
        <f>CL182</f>
        <v>32809</v>
      </c>
      <c r="CL182" s="1278">
        <v>32809</v>
      </c>
      <c r="CM182" s="530">
        <v>33198</v>
      </c>
      <c r="CN182" s="530">
        <f>CQ182</f>
        <v>33477</v>
      </c>
      <c r="CO182" s="530">
        <v>33840</v>
      </c>
      <c r="CP182" s="680">
        <f>CR182</f>
        <v>34330</v>
      </c>
      <c r="CQ182" s="530">
        <v>33477</v>
      </c>
      <c r="CR182" s="530">
        <f>CS182</f>
        <v>34330</v>
      </c>
      <c r="CS182" s="1278">
        <v>34330</v>
      </c>
      <c r="CT182" s="530">
        <v>34774</v>
      </c>
      <c r="CU182" s="530">
        <f>CX182</f>
        <v>35134</v>
      </c>
      <c r="CV182" s="530">
        <v>35180</v>
      </c>
      <c r="CW182" s="680">
        <f>CY182</f>
        <v>35525</v>
      </c>
      <c r="CX182" s="530">
        <v>35134</v>
      </c>
      <c r="CY182" s="530">
        <f>CZ182</f>
        <v>35525</v>
      </c>
      <c r="CZ182" s="1278">
        <v>35525</v>
      </c>
      <c r="DA182" s="530">
        <v>35801</v>
      </c>
      <c r="DB182" s="530">
        <f>DE182</f>
        <v>35716</v>
      </c>
      <c r="DC182" s="530">
        <v>36366</v>
      </c>
      <c r="DD182" s="680">
        <f>DF182</f>
        <v>36347</v>
      </c>
      <c r="DE182" s="530">
        <v>35716</v>
      </c>
      <c r="DF182" s="530">
        <f>DG182</f>
        <v>36347</v>
      </c>
      <c r="DG182" s="1278">
        <v>36347</v>
      </c>
      <c r="DH182" s="530">
        <v>36341</v>
      </c>
      <c r="DI182" s="530">
        <f>DL182</f>
        <v>35976</v>
      </c>
      <c r="DJ182" s="530">
        <v>36116</v>
      </c>
      <c r="DK182" s="680">
        <f>DM182</f>
        <v>36244</v>
      </c>
      <c r="DL182" s="2080">
        <v>35976</v>
      </c>
      <c r="DM182" s="530">
        <f>DN182</f>
        <v>36244</v>
      </c>
      <c r="DN182" s="538">
        <v>36244</v>
      </c>
      <c r="DO182" s="21"/>
      <c r="DP182" s="530">
        <f>DS182</f>
        <v>36446</v>
      </c>
      <c r="DQ182" s="21"/>
      <c r="DR182" s="1098"/>
      <c r="DS182" s="1909">
        <v>36446</v>
      </c>
      <c r="DT182" s="21"/>
      <c r="DU182" s="338"/>
      <c r="DV182" s="21"/>
      <c r="DW182" s="21"/>
      <c r="DX182" s="21"/>
      <c r="DY182" s="1098"/>
      <c r="DZ182" s="21"/>
      <c r="EA182" s="21"/>
      <c r="EB182" s="338"/>
      <c r="EC182" s="21"/>
      <c r="ED182" s="21"/>
      <c r="EE182" s="21"/>
      <c r="EF182" s="1098"/>
      <c r="EG182" s="21"/>
      <c r="EH182" s="21"/>
      <c r="EI182" s="338"/>
      <c r="EJ182" s="21"/>
      <c r="EK182" s="21"/>
      <c r="EL182" s="21"/>
      <c r="EM182" s="1098"/>
      <c r="EN182" s="21"/>
      <c r="EO182" s="21"/>
      <c r="EP182" s="338"/>
      <c r="EQ182" s="21"/>
      <c r="ER182" s="21"/>
      <c r="ES182" s="21"/>
      <c r="ET182" s="1098"/>
      <c r="EU182" s="21"/>
      <c r="EV182" s="21"/>
      <c r="EW182" s="338"/>
    </row>
    <row r="183" spans="1:153" ht="10.199999999999999" hidden="1" customHeight="1" outlineLevel="1">
      <c r="A183" s="108" t="s">
        <v>299</v>
      </c>
      <c r="B183" s="834"/>
      <c r="C183" s="834"/>
      <c r="D183" s="834"/>
      <c r="E183" s="834"/>
      <c r="F183" s="834"/>
      <c r="G183" s="834"/>
      <c r="H183" s="834"/>
      <c r="I183" s="834"/>
      <c r="J183" s="834"/>
      <c r="K183" s="530">
        <v>15340</v>
      </c>
      <c r="L183" s="530">
        <v>16623</v>
      </c>
      <c r="M183" s="530">
        <v>17038</v>
      </c>
      <c r="N183" s="530"/>
      <c r="O183" s="530"/>
      <c r="P183" s="530"/>
      <c r="Q183" s="680"/>
      <c r="R183" s="530"/>
      <c r="S183" s="530"/>
      <c r="T183" s="1278">
        <v>17255</v>
      </c>
      <c r="U183" s="530"/>
      <c r="V183" s="530"/>
      <c r="W183" s="530"/>
      <c r="X183" s="680"/>
      <c r="Y183" s="530"/>
      <c r="Z183" s="530"/>
      <c r="AA183" s="1278"/>
      <c r="AB183" s="530"/>
      <c r="AC183" s="530"/>
      <c r="AD183" s="530"/>
      <c r="AE183" s="680"/>
      <c r="AF183" s="530"/>
      <c r="AG183" s="530"/>
      <c r="AH183" s="1278"/>
      <c r="AI183" s="530"/>
      <c r="AJ183" s="530"/>
      <c r="AK183" s="530"/>
      <c r="AL183" s="680"/>
      <c r="AM183" s="530"/>
      <c r="AN183" s="530"/>
      <c r="AO183" s="1278"/>
      <c r="AP183" s="530"/>
      <c r="AQ183" s="530"/>
      <c r="AR183" s="530"/>
      <c r="AS183" s="680"/>
      <c r="AT183" s="530"/>
      <c r="AU183" s="530"/>
      <c r="AV183" s="1278"/>
      <c r="AW183" s="530"/>
      <c r="AX183" s="530"/>
      <c r="AY183" s="530"/>
      <c r="AZ183" s="680"/>
      <c r="BA183" s="530"/>
      <c r="BB183" s="530"/>
      <c r="BC183" s="1278"/>
      <c r="BD183" s="530"/>
      <c r="BE183" s="530"/>
      <c r="BF183" s="530"/>
      <c r="BG183" s="680"/>
      <c r="BH183" s="530"/>
      <c r="BI183" s="530"/>
      <c r="BJ183" s="1278"/>
      <c r="BK183" s="530"/>
      <c r="BL183" s="530"/>
      <c r="BM183" s="530"/>
      <c r="BN183" s="680"/>
      <c r="BO183" s="530"/>
      <c r="BP183" s="530"/>
      <c r="BQ183" s="1278"/>
      <c r="BR183" s="530"/>
      <c r="BS183" s="530"/>
      <c r="BT183" s="530"/>
      <c r="BU183" s="680"/>
      <c r="BV183" s="530"/>
      <c r="BW183" s="530"/>
      <c r="BX183" s="1278"/>
      <c r="BY183" s="530"/>
      <c r="BZ183" s="530"/>
      <c r="CA183" s="530"/>
      <c r="CB183" s="680"/>
      <c r="CC183" s="530"/>
      <c r="CD183" s="530"/>
      <c r="CE183" s="1278"/>
      <c r="CF183" s="530"/>
      <c r="CG183" s="530"/>
      <c r="CH183" s="530"/>
      <c r="CI183" s="680"/>
      <c r="CJ183" s="530"/>
      <c r="CK183" s="530"/>
      <c r="CL183" s="1278"/>
      <c r="CM183" s="530"/>
      <c r="CN183" s="530"/>
      <c r="CO183" s="530"/>
      <c r="CP183" s="680"/>
      <c r="CQ183" s="530"/>
      <c r="CR183" s="530"/>
      <c r="CS183" s="1278"/>
      <c r="CT183" s="530"/>
      <c r="CU183" s="530"/>
      <c r="CV183" s="530"/>
      <c r="CW183" s="680"/>
      <c r="CX183" s="530"/>
      <c r="CY183" s="530"/>
      <c r="CZ183" s="1278"/>
      <c r="DA183" s="530"/>
      <c r="DB183" s="530"/>
      <c r="DC183" s="530"/>
      <c r="DD183" s="680"/>
      <c r="DE183" s="530"/>
      <c r="DF183" s="530"/>
      <c r="DG183" s="1278"/>
      <c r="DH183" s="21"/>
      <c r="DI183" s="530"/>
      <c r="DJ183" s="21"/>
      <c r="DK183" s="680"/>
      <c r="DL183" s="530"/>
      <c r="DM183" s="530"/>
      <c r="DN183" s="338"/>
      <c r="DO183" s="21"/>
      <c r="DP183" s="530"/>
      <c r="DQ183" s="21"/>
      <c r="DR183" s="1098"/>
      <c r="DS183" s="1909"/>
      <c r="DT183" s="21"/>
      <c r="DU183" s="338"/>
      <c r="DV183" s="21"/>
      <c r="DW183" s="21"/>
      <c r="DX183" s="21"/>
      <c r="DY183" s="1098"/>
      <c r="DZ183" s="21"/>
      <c r="EA183" s="21"/>
      <c r="EB183" s="338"/>
      <c r="EC183" s="21"/>
      <c r="ED183" s="21"/>
      <c r="EE183" s="21"/>
      <c r="EF183" s="1098"/>
      <c r="EG183" s="21"/>
      <c r="EH183" s="21"/>
      <c r="EI183" s="338"/>
      <c r="EJ183" s="21"/>
      <c r="EK183" s="21"/>
      <c r="EL183" s="21"/>
      <c r="EM183" s="1098"/>
      <c r="EN183" s="21"/>
      <c r="EO183" s="21"/>
      <c r="EP183" s="338"/>
      <c r="EQ183" s="21"/>
      <c r="ER183" s="21"/>
      <c r="ES183" s="21"/>
      <c r="ET183" s="1098"/>
      <c r="EU183" s="21"/>
      <c r="EV183" s="21"/>
      <c r="EW183" s="338"/>
    </row>
    <row r="184" spans="1:153" ht="10.199999999999999" hidden="1" customHeight="1" outlineLevel="1">
      <c r="A184" s="108" t="s">
        <v>36</v>
      </c>
      <c r="B184" s="834"/>
      <c r="C184" s="834"/>
      <c r="D184" s="834"/>
      <c r="E184" s="834"/>
      <c r="F184" s="834"/>
      <c r="G184" s="834"/>
      <c r="H184" s="834"/>
      <c r="I184" s="834"/>
      <c r="J184" s="834"/>
      <c r="K184" s="530">
        <v>21181</v>
      </c>
      <c r="L184" s="530">
        <v>20923</v>
      </c>
      <c r="M184" s="530">
        <v>21573</v>
      </c>
      <c r="N184" s="530"/>
      <c r="O184" s="530"/>
      <c r="P184" s="530"/>
      <c r="Q184" s="680"/>
      <c r="R184" s="530"/>
      <c r="S184" s="530"/>
      <c r="T184" s="1278">
        <v>21229</v>
      </c>
      <c r="U184" s="530"/>
      <c r="V184" s="530"/>
      <c r="W184" s="530"/>
      <c r="X184" s="680"/>
      <c r="Y184" s="530"/>
      <c r="Z184" s="530"/>
      <c r="AA184" s="1278"/>
      <c r="AB184" s="530"/>
      <c r="AC184" s="530"/>
      <c r="AD184" s="530"/>
      <c r="AE184" s="680"/>
      <c r="AF184" s="530"/>
      <c r="AG184" s="530"/>
      <c r="AH184" s="1278"/>
      <c r="AI184" s="530"/>
      <c r="AJ184" s="530"/>
      <c r="AK184" s="530"/>
      <c r="AL184" s="680"/>
      <c r="AM184" s="530"/>
      <c r="AN184" s="530"/>
      <c r="AO184" s="1278"/>
      <c r="AP184" s="530"/>
      <c r="AQ184" s="530"/>
      <c r="AR184" s="530"/>
      <c r="AS184" s="680"/>
      <c r="AT184" s="530"/>
      <c r="AU184" s="530"/>
      <c r="AV184" s="1278"/>
      <c r="AW184" s="530"/>
      <c r="AX184" s="530"/>
      <c r="AY184" s="530"/>
      <c r="AZ184" s="680"/>
      <c r="BA184" s="530"/>
      <c r="BB184" s="530"/>
      <c r="BC184" s="1278"/>
      <c r="BD184" s="530"/>
      <c r="BE184" s="530"/>
      <c r="BF184" s="530"/>
      <c r="BG184" s="680"/>
      <c r="BH184" s="530"/>
      <c r="BI184" s="530"/>
      <c r="BJ184" s="1278"/>
      <c r="BK184" s="530"/>
      <c r="BL184" s="530"/>
      <c r="BM184" s="530"/>
      <c r="BN184" s="680"/>
      <c r="BO184" s="530"/>
      <c r="BP184" s="530"/>
      <c r="BQ184" s="1278"/>
      <c r="BR184" s="530"/>
      <c r="BS184" s="530"/>
      <c r="BT184" s="530"/>
      <c r="BU184" s="680"/>
      <c r="BV184" s="530"/>
      <c r="BW184" s="530"/>
      <c r="BX184" s="1278"/>
      <c r="BY184" s="530"/>
      <c r="BZ184" s="530"/>
      <c r="CA184" s="530"/>
      <c r="CB184" s="680"/>
      <c r="CC184" s="530"/>
      <c r="CD184" s="530"/>
      <c r="CE184" s="1278"/>
      <c r="CF184" s="530"/>
      <c r="CG184" s="530"/>
      <c r="CH184" s="530"/>
      <c r="CI184" s="680"/>
      <c r="CJ184" s="530"/>
      <c r="CK184" s="530"/>
      <c r="CL184" s="1278"/>
      <c r="CM184" s="530"/>
      <c r="CN184" s="530"/>
      <c r="CO184" s="530"/>
      <c r="CP184" s="680"/>
      <c r="CQ184" s="530"/>
      <c r="CR184" s="530"/>
      <c r="CS184" s="1278"/>
      <c r="CT184" s="530"/>
      <c r="CU184" s="530"/>
      <c r="CV184" s="530"/>
      <c r="CW184" s="680"/>
      <c r="CX184" s="530"/>
      <c r="CY184" s="530"/>
      <c r="CZ184" s="1278"/>
      <c r="DA184" s="530"/>
      <c r="DB184" s="530"/>
      <c r="DC184" s="530"/>
      <c r="DD184" s="680"/>
      <c r="DE184" s="530"/>
      <c r="DF184" s="530"/>
      <c r="DG184" s="1278"/>
      <c r="DH184" s="21"/>
      <c r="DI184" s="530"/>
      <c r="DJ184" s="21"/>
      <c r="DK184" s="680"/>
      <c r="DL184" s="530"/>
      <c r="DM184" s="530"/>
      <c r="DN184" s="338"/>
      <c r="DO184" s="21"/>
      <c r="DP184" s="530"/>
      <c r="DQ184" s="21"/>
      <c r="DR184" s="1098"/>
      <c r="DS184" s="1909"/>
      <c r="DT184" s="21"/>
      <c r="DU184" s="338"/>
      <c r="DV184" s="21"/>
      <c r="DW184" s="21"/>
      <c r="DX184" s="21"/>
      <c r="DY184" s="1098"/>
      <c r="DZ184" s="21"/>
      <c r="EA184" s="21"/>
      <c r="EB184" s="338"/>
      <c r="EC184" s="21"/>
      <c r="ED184" s="21"/>
      <c r="EE184" s="21"/>
      <c r="EF184" s="1098"/>
      <c r="EG184" s="21"/>
      <c r="EH184" s="21"/>
      <c r="EI184" s="338"/>
      <c r="EJ184" s="21"/>
      <c r="EK184" s="21"/>
      <c r="EL184" s="21"/>
      <c r="EM184" s="1098"/>
      <c r="EN184" s="21"/>
      <c r="EO184" s="21"/>
      <c r="EP184" s="338"/>
      <c r="EQ184" s="21"/>
      <c r="ER184" s="21"/>
      <c r="ES184" s="21"/>
      <c r="ET184" s="1098"/>
      <c r="EU184" s="21"/>
      <c r="EV184" s="21"/>
      <c r="EW184" s="338"/>
    </row>
    <row r="185" spans="1:153" ht="10.199999999999999" hidden="1" customHeight="1" outlineLevel="1">
      <c r="A185" s="108" t="s">
        <v>862</v>
      </c>
      <c r="B185" s="834"/>
      <c r="C185" s="834"/>
      <c r="D185" s="834"/>
      <c r="E185" s="834"/>
      <c r="F185" s="834"/>
      <c r="G185" s="834"/>
      <c r="H185" s="834"/>
      <c r="I185" s="834"/>
      <c r="J185" s="834"/>
      <c r="K185" s="530">
        <f>2430+3229</f>
        <v>5659</v>
      </c>
      <c r="L185" s="530">
        <f>2665+2845</f>
        <v>5510</v>
      </c>
      <c r="M185" s="530">
        <f>2904+2955</f>
        <v>5859</v>
      </c>
      <c r="N185" s="530"/>
      <c r="O185" s="530"/>
      <c r="P185" s="530"/>
      <c r="Q185" s="680"/>
      <c r="R185" s="530"/>
      <c r="S185" s="530"/>
      <c r="T185" s="1278">
        <f>2951+390</f>
        <v>3341</v>
      </c>
      <c r="U185" s="530"/>
      <c r="V185" s="530"/>
      <c r="W185" s="530"/>
      <c r="X185" s="680"/>
      <c r="Y185" s="530"/>
      <c r="Z185" s="530"/>
      <c r="AA185" s="1278">
        <f>2989+99</f>
        <v>3088</v>
      </c>
      <c r="AB185" s="530"/>
      <c r="AC185" s="530"/>
      <c r="AD185" s="530"/>
      <c r="AE185" s="680"/>
      <c r="AF185" s="530"/>
      <c r="AG185" s="530"/>
      <c r="AH185" s="1278">
        <v>3032</v>
      </c>
      <c r="AI185" s="530"/>
      <c r="AJ185" s="530"/>
      <c r="AK185" s="530"/>
      <c r="AL185" s="680"/>
      <c r="AM185" s="530"/>
      <c r="AN185" s="530"/>
      <c r="AO185" s="1278">
        <v>3026</v>
      </c>
      <c r="AP185" s="530"/>
      <c r="AQ185" s="530"/>
      <c r="AR185" s="530"/>
      <c r="AS185" s="680"/>
      <c r="AT185" s="530"/>
      <c r="AU185" s="530"/>
      <c r="AV185" s="1278">
        <v>2621</v>
      </c>
      <c r="AW185" s="530"/>
      <c r="AX185" s="530"/>
      <c r="AY185" s="530"/>
      <c r="AZ185" s="680"/>
      <c r="BA185" s="530"/>
      <c r="BB185" s="530"/>
      <c r="BC185" s="1278">
        <v>0</v>
      </c>
      <c r="BD185" s="530"/>
      <c r="BE185" s="530"/>
      <c r="BF185" s="530"/>
      <c r="BG185" s="680"/>
      <c r="BH185" s="530"/>
      <c r="BI185" s="530"/>
      <c r="BJ185" s="1278">
        <v>0</v>
      </c>
      <c r="BK185" s="530"/>
      <c r="BL185" s="530"/>
      <c r="BM185" s="530"/>
      <c r="BN185" s="680"/>
      <c r="BO185" s="530"/>
      <c r="BP185" s="530"/>
      <c r="BQ185" s="1278">
        <v>0</v>
      </c>
      <c r="BR185" s="530"/>
      <c r="BS185" s="530"/>
      <c r="BT185" s="530"/>
      <c r="BU185" s="680"/>
      <c r="BV185" s="530"/>
      <c r="BW185" s="530"/>
      <c r="BX185" s="1278">
        <v>0</v>
      </c>
      <c r="BY185" s="530"/>
      <c r="BZ185" s="530"/>
      <c r="CA185" s="530"/>
      <c r="CB185" s="680"/>
      <c r="CC185" s="530"/>
      <c r="CD185" s="530"/>
      <c r="CE185" s="1278">
        <v>0</v>
      </c>
      <c r="CF185" s="530"/>
      <c r="CG185" s="530"/>
      <c r="CH185" s="530"/>
      <c r="CI185" s="680"/>
      <c r="CJ185" s="530"/>
      <c r="CK185" s="530"/>
      <c r="CL185" s="1278">
        <v>0</v>
      </c>
      <c r="CM185" s="530"/>
      <c r="CN185" s="530"/>
      <c r="CO185" s="530"/>
      <c r="CP185" s="680"/>
      <c r="CQ185" s="530"/>
      <c r="CR185" s="530"/>
      <c r="CS185" s="1278">
        <v>0</v>
      </c>
      <c r="CT185" s="530">
        <v>0</v>
      </c>
      <c r="CU185" s="530">
        <f>CX185</f>
        <v>0</v>
      </c>
      <c r="CV185" s="530">
        <v>0</v>
      </c>
      <c r="CW185" s="680">
        <f>CY185</f>
        <v>0</v>
      </c>
      <c r="CX185" s="530">
        <v>0</v>
      </c>
      <c r="CY185" s="530">
        <f>CZ185</f>
        <v>0</v>
      </c>
      <c r="CZ185" s="1278">
        <v>0</v>
      </c>
      <c r="DA185" s="530">
        <v>0</v>
      </c>
      <c r="DB185" s="530">
        <f>DE185</f>
        <v>0</v>
      </c>
      <c r="DC185" s="530">
        <v>0</v>
      </c>
      <c r="DD185" s="680">
        <f>DF185</f>
        <v>0</v>
      </c>
      <c r="DE185" s="530">
        <v>0</v>
      </c>
      <c r="DF185" s="530">
        <f>DG185</f>
        <v>0</v>
      </c>
      <c r="DG185" s="1278">
        <v>0</v>
      </c>
      <c r="DH185" s="21"/>
      <c r="DI185" s="530">
        <f>DL185</f>
        <v>0</v>
      </c>
      <c r="DJ185" s="21"/>
      <c r="DK185" s="680">
        <f>DM185</f>
        <v>0</v>
      </c>
      <c r="DL185" s="530">
        <v>0</v>
      </c>
      <c r="DM185" s="530">
        <f>DN185</f>
        <v>0</v>
      </c>
      <c r="DN185" s="338"/>
      <c r="DO185" s="21"/>
      <c r="DP185" s="530">
        <f>DS185</f>
        <v>0</v>
      </c>
      <c r="DQ185" s="21"/>
      <c r="DR185" s="1098"/>
      <c r="DS185" s="1909"/>
      <c r="DT185" s="21"/>
      <c r="DU185" s="338"/>
      <c r="DV185" s="21"/>
      <c r="DW185" s="21"/>
      <c r="DX185" s="21"/>
      <c r="DY185" s="1098"/>
      <c r="DZ185" s="21"/>
      <c r="EA185" s="21"/>
      <c r="EB185" s="338"/>
      <c r="EC185" s="21"/>
      <c r="ED185" s="21"/>
      <c r="EE185" s="21"/>
      <c r="EF185" s="1098"/>
      <c r="EG185" s="21"/>
      <c r="EH185" s="21"/>
      <c r="EI185" s="338"/>
      <c r="EJ185" s="21"/>
      <c r="EK185" s="21"/>
      <c r="EL185" s="21"/>
      <c r="EM185" s="1098"/>
      <c r="EN185" s="21"/>
      <c r="EO185" s="21"/>
      <c r="EP185" s="338"/>
      <c r="EQ185" s="21"/>
      <c r="ER185" s="21"/>
      <c r="ES185" s="21"/>
      <c r="ET185" s="1098"/>
      <c r="EU185" s="21"/>
      <c r="EV185" s="21"/>
      <c r="EW185" s="338"/>
    </row>
    <row r="186" spans="1:153" ht="10.199999999999999" customHeight="1" collapsed="1">
      <c r="A186" s="48" t="s">
        <v>167</v>
      </c>
      <c r="B186" s="834"/>
      <c r="C186" s="834"/>
      <c r="D186" s="834"/>
      <c r="E186" s="834"/>
      <c r="F186" s="834"/>
      <c r="G186" s="834"/>
      <c r="H186" s="834"/>
      <c r="I186" s="834"/>
      <c r="J186" s="834"/>
      <c r="K186" s="549">
        <f t="shared" ref="K186:BQ186" si="1189">SUM(K180:K185)</f>
        <v>121691</v>
      </c>
      <c r="L186" s="549">
        <f t="shared" si="1189"/>
        <v>133115</v>
      </c>
      <c r="M186" s="549">
        <f t="shared" si="1189"/>
        <v>140405</v>
      </c>
      <c r="N186" s="549">
        <v>142142</v>
      </c>
      <c r="O186" s="549">
        <f>R186</f>
        <v>143358</v>
      </c>
      <c r="P186" s="549">
        <v>144156</v>
      </c>
      <c r="Q186" s="1099">
        <f>S186</f>
        <v>144061</v>
      </c>
      <c r="R186" s="549">
        <v>143358</v>
      </c>
      <c r="S186" s="549">
        <f>T186</f>
        <v>144061</v>
      </c>
      <c r="T186" s="1273">
        <f t="shared" si="1189"/>
        <v>144061</v>
      </c>
      <c r="U186" s="549">
        <v>138924</v>
      </c>
      <c r="V186" s="549">
        <f>Y186</f>
        <v>138133</v>
      </c>
      <c r="W186" s="549">
        <v>139248</v>
      </c>
      <c r="X186" s="1099">
        <f>Z186</f>
        <v>138622</v>
      </c>
      <c r="Y186" s="549">
        <v>138133</v>
      </c>
      <c r="Z186" s="549">
        <f>AA186</f>
        <v>138622</v>
      </c>
      <c r="AA186" s="1273">
        <f t="shared" si="1189"/>
        <v>138622</v>
      </c>
      <c r="AB186" s="549">
        <v>137855</v>
      </c>
      <c r="AC186" s="549">
        <f>AF186</f>
        <v>137217</v>
      </c>
      <c r="AD186" s="549">
        <v>137488</v>
      </c>
      <c r="AE186" s="1099">
        <f>AG186</f>
        <v>136574</v>
      </c>
      <c r="AF186" s="549">
        <v>137217</v>
      </c>
      <c r="AG186" s="549">
        <f>AH186</f>
        <v>136574</v>
      </c>
      <c r="AH186" s="1273">
        <f t="shared" si="1189"/>
        <v>136574</v>
      </c>
      <c r="AI186" s="549">
        <v>135801</v>
      </c>
      <c r="AJ186" s="549">
        <f>AM186</f>
        <v>136890</v>
      </c>
      <c r="AK186" s="549">
        <v>132973</v>
      </c>
      <c r="AL186" s="1099">
        <f>AN186</f>
        <v>133782</v>
      </c>
      <c r="AM186" s="549">
        <v>136890</v>
      </c>
      <c r="AN186" s="549">
        <f>AO186</f>
        <v>133782</v>
      </c>
      <c r="AO186" s="1273">
        <f t="shared" si="1189"/>
        <v>133782</v>
      </c>
      <c r="AP186" s="549">
        <v>130289</v>
      </c>
      <c r="AQ186" s="549">
        <f>AT186</f>
        <v>130402</v>
      </c>
      <c r="AR186" s="549">
        <v>130917</v>
      </c>
      <c r="AS186" s="1099">
        <f>AU186</f>
        <v>129442</v>
      </c>
      <c r="AT186" s="549">
        <v>130402</v>
      </c>
      <c r="AU186" s="549">
        <f>AV186</f>
        <v>129442</v>
      </c>
      <c r="AV186" s="1273">
        <f t="shared" si="1189"/>
        <v>129442</v>
      </c>
      <c r="AW186" s="549">
        <v>130289</v>
      </c>
      <c r="AX186" s="549">
        <f>BA186</f>
        <v>130402</v>
      </c>
      <c r="AY186" s="549">
        <v>130917</v>
      </c>
      <c r="AZ186" s="1099">
        <f>BB186</f>
        <v>129442</v>
      </c>
      <c r="BA186" s="549">
        <v>130402</v>
      </c>
      <c r="BB186" s="549">
        <f>BC186</f>
        <v>129442</v>
      </c>
      <c r="BC186" s="1273">
        <f t="shared" si="1189"/>
        <v>129442</v>
      </c>
      <c r="BD186" s="549">
        <f t="shared" ref="BD186:BI186" si="1190">SUM(BD180:BD182)</f>
        <v>129208</v>
      </c>
      <c r="BE186" s="549">
        <f t="shared" si="1190"/>
        <v>129450</v>
      </c>
      <c r="BF186" s="549">
        <f t="shared" si="1190"/>
        <v>132358</v>
      </c>
      <c r="BG186" s="1099">
        <f t="shared" si="1190"/>
        <v>133671</v>
      </c>
      <c r="BH186" s="549">
        <f t="shared" si="1190"/>
        <v>129450</v>
      </c>
      <c r="BI186" s="549">
        <f t="shared" si="1190"/>
        <v>133671</v>
      </c>
      <c r="BJ186" s="1273">
        <f t="shared" si="1189"/>
        <v>133671</v>
      </c>
      <c r="BK186" s="549">
        <f t="shared" si="1189"/>
        <v>135468</v>
      </c>
      <c r="BL186" s="549">
        <f t="shared" si="1189"/>
        <v>136343</v>
      </c>
      <c r="BM186" s="549">
        <f t="shared" si="1189"/>
        <v>135978</v>
      </c>
      <c r="BN186" s="1099">
        <f t="shared" si="1189"/>
        <v>134931</v>
      </c>
      <c r="BO186" s="549">
        <f t="shared" si="1189"/>
        <v>136343</v>
      </c>
      <c r="BP186" s="549">
        <f t="shared" si="1189"/>
        <v>134931</v>
      </c>
      <c r="BQ186" s="1273">
        <f t="shared" si="1189"/>
        <v>134931</v>
      </c>
      <c r="BR186" s="549">
        <f t="shared" ref="BR186:CD186" si="1191">SUM(BR180:BR185)</f>
        <v>135468</v>
      </c>
      <c r="BS186" s="549">
        <f t="shared" si="1191"/>
        <v>136343</v>
      </c>
      <c r="BT186" s="549">
        <f t="shared" si="1191"/>
        <v>135978</v>
      </c>
      <c r="BU186" s="1099">
        <f t="shared" si="1191"/>
        <v>134931</v>
      </c>
      <c r="BV186" s="549">
        <f t="shared" si="1191"/>
        <v>136343</v>
      </c>
      <c r="BW186" s="549">
        <f t="shared" si="1191"/>
        <v>134931</v>
      </c>
      <c r="BX186" s="1273">
        <f t="shared" ref="BX186:DA186" si="1192">SUM(BX180:BX182)</f>
        <v>134931</v>
      </c>
      <c r="BY186" s="549">
        <f t="shared" si="1191"/>
        <v>136518</v>
      </c>
      <c r="BZ186" s="549">
        <f t="shared" si="1191"/>
        <v>135154</v>
      </c>
      <c r="CA186" s="549">
        <f t="shared" si="1191"/>
        <v>134071</v>
      </c>
      <c r="CB186" s="1099">
        <f t="shared" si="1191"/>
        <v>131349</v>
      </c>
      <c r="CC186" s="549">
        <f t="shared" si="1191"/>
        <v>135154</v>
      </c>
      <c r="CD186" s="549">
        <f t="shared" si="1191"/>
        <v>131349</v>
      </c>
      <c r="CE186" s="1273">
        <f t="shared" si="1192"/>
        <v>131349</v>
      </c>
      <c r="CF186" s="549">
        <f t="shared" si="1192"/>
        <v>127814</v>
      </c>
      <c r="CG186" s="549">
        <f t="shared" si="1192"/>
        <v>126050</v>
      </c>
      <c r="CH186" s="549">
        <f t="shared" si="1192"/>
        <v>125888</v>
      </c>
      <c r="CI186" s="1099">
        <f t="shared" si="1192"/>
        <v>126495</v>
      </c>
      <c r="CJ186" s="549">
        <f t="shared" si="1192"/>
        <v>126050</v>
      </c>
      <c r="CK186" s="549">
        <f t="shared" si="1192"/>
        <v>126495</v>
      </c>
      <c r="CL186" s="1273">
        <f t="shared" si="1192"/>
        <v>126495</v>
      </c>
      <c r="CM186" s="549">
        <f t="shared" si="1192"/>
        <v>127120</v>
      </c>
      <c r="CN186" s="549">
        <f t="shared" si="1192"/>
        <v>128873</v>
      </c>
      <c r="CO186" s="549">
        <f t="shared" si="1192"/>
        <v>131615</v>
      </c>
      <c r="CP186" s="1099">
        <f t="shared" si="1192"/>
        <v>134267</v>
      </c>
      <c r="CQ186" s="549">
        <f t="shared" si="1192"/>
        <v>128873</v>
      </c>
      <c r="CR186" s="549">
        <f t="shared" si="1192"/>
        <v>134267</v>
      </c>
      <c r="CS186" s="1273">
        <f t="shared" si="1192"/>
        <v>134267</v>
      </c>
      <c r="CT186" s="549">
        <f t="shared" si="1192"/>
        <v>137715</v>
      </c>
      <c r="CU186" s="549">
        <f t="shared" si="1192"/>
        <v>141799</v>
      </c>
      <c r="CV186" s="549">
        <f t="shared" si="1192"/>
        <v>145511</v>
      </c>
      <c r="CW186" s="1099">
        <f t="shared" si="1192"/>
        <v>147893</v>
      </c>
      <c r="CX186" s="549">
        <f t="shared" si="1192"/>
        <v>141799</v>
      </c>
      <c r="CY186" s="549">
        <f t="shared" si="1192"/>
        <v>147893</v>
      </c>
      <c r="CZ186" s="1273">
        <f t="shared" si="1192"/>
        <v>147893</v>
      </c>
      <c r="DA186" s="549">
        <f t="shared" si="1192"/>
        <v>150093</v>
      </c>
      <c r="DB186" s="549">
        <f t="shared" ref="DB186:DD186" si="1193">SUM(DB180:DB182)</f>
        <v>154581</v>
      </c>
      <c r="DC186" s="549">
        <f t="shared" si="1193"/>
        <v>156569</v>
      </c>
      <c r="DD186" s="1099">
        <f t="shared" si="1193"/>
        <v>156921</v>
      </c>
      <c r="DE186" s="549">
        <f t="shared" ref="DE186:DF186" si="1194">SUM(DE180:DE182)</f>
        <v>154581</v>
      </c>
      <c r="DF186" s="549">
        <f t="shared" si="1194"/>
        <v>156921</v>
      </c>
      <c r="DG186" s="1273">
        <f t="shared" ref="DG186:DN186" si="1195">SUM(DG180:DG182)</f>
        <v>156921</v>
      </c>
      <c r="DH186" s="549">
        <f t="shared" si="1195"/>
        <v>157894</v>
      </c>
      <c r="DI186" s="549">
        <f t="shared" si="1195"/>
        <v>157935</v>
      </c>
      <c r="DJ186" s="549">
        <f t="shared" si="1195"/>
        <v>159409</v>
      </c>
      <c r="DK186" s="1099">
        <f t="shared" si="1195"/>
        <v>165294</v>
      </c>
      <c r="DL186" s="549">
        <f t="shared" ref="DL186:DM186" si="1196">SUM(DL180:DL182)</f>
        <v>157935</v>
      </c>
      <c r="DM186" s="549">
        <f t="shared" si="1196"/>
        <v>165294</v>
      </c>
      <c r="DN186" s="1273">
        <f t="shared" si="1195"/>
        <v>165294</v>
      </c>
      <c r="DO186" s="21"/>
      <c r="DP186" s="549">
        <f t="shared" ref="DP186" si="1197">SUM(DP180:DP182)</f>
        <v>168754</v>
      </c>
      <c r="DQ186" s="21"/>
      <c r="DR186" s="1098"/>
      <c r="DS186" s="1874">
        <f t="shared" ref="DS186" si="1198">SUM(DS180:DS182)</f>
        <v>168754</v>
      </c>
      <c r="DT186" s="21"/>
      <c r="DU186" s="338"/>
      <c r="DV186" s="21"/>
      <c r="DW186" s="21"/>
      <c r="DX186" s="21"/>
      <c r="DY186" s="1098"/>
      <c r="DZ186" s="21"/>
      <c r="EA186" s="21"/>
      <c r="EB186" s="338"/>
      <c r="EC186" s="21"/>
      <c r="ED186" s="21"/>
      <c r="EE186" s="21"/>
      <c r="EF186" s="1098"/>
      <c r="EG186" s="21"/>
      <c r="EH186" s="21"/>
      <c r="EI186" s="338"/>
      <c r="EJ186" s="21"/>
      <c r="EK186" s="21"/>
      <c r="EL186" s="21"/>
      <c r="EM186" s="1098"/>
      <c r="EN186" s="21"/>
      <c r="EO186" s="21"/>
      <c r="EP186" s="338"/>
      <c r="EQ186" s="21"/>
      <c r="ER186" s="21"/>
      <c r="ES186" s="21"/>
      <c r="ET186" s="1098"/>
      <c r="EU186" s="21"/>
      <c r="EV186" s="21"/>
      <c r="EW186" s="338"/>
    </row>
    <row r="187" spans="1:153" ht="10.199999999999999" customHeight="1">
      <c r="A187" s="43"/>
      <c r="B187" s="834"/>
      <c r="C187" s="834"/>
      <c r="D187" s="834"/>
      <c r="E187" s="834"/>
      <c r="F187" s="834"/>
      <c r="G187" s="834"/>
      <c r="H187" s="834"/>
      <c r="I187" s="834"/>
      <c r="J187" s="834"/>
      <c r="K187" s="834"/>
      <c r="L187" s="834"/>
      <c r="M187" s="834"/>
      <c r="N187" s="21"/>
      <c r="O187" s="21"/>
      <c r="P187" s="21"/>
      <c r="Q187" s="1098"/>
      <c r="R187" s="21"/>
      <c r="S187" s="21"/>
      <c r="T187" s="338"/>
      <c r="U187" s="21"/>
      <c r="V187" s="21"/>
      <c r="W187" s="21"/>
      <c r="X187" s="1098"/>
      <c r="Y187" s="21"/>
      <c r="Z187" s="21"/>
      <c r="AA187" s="338"/>
      <c r="AB187" s="21"/>
      <c r="AC187" s="21"/>
      <c r="AD187" s="21"/>
      <c r="AE187" s="1098"/>
      <c r="AF187" s="21"/>
      <c r="AG187" s="21"/>
      <c r="AH187" s="338"/>
      <c r="AI187" s="21"/>
      <c r="AJ187" s="21"/>
      <c r="AK187" s="21"/>
      <c r="AL187" s="1098"/>
      <c r="AM187" s="21"/>
      <c r="AN187" s="21"/>
      <c r="AO187" s="338"/>
      <c r="AP187" s="21"/>
      <c r="AQ187" s="21"/>
      <c r="AR187" s="21"/>
      <c r="AS187" s="1098"/>
      <c r="AT187" s="21"/>
      <c r="AU187" s="21"/>
      <c r="AV187" s="338"/>
      <c r="AW187" s="21"/>
      <c r="AX187" s="21"/>
      <c r="AY187" s="21"/>
      <c r="AZ187" s="1098"/>
      <c r="BA187" s="21"/>
      <c r="BB187" s="21"/>
      <c r="BC187" s="338"/>
      <c r="BD187" s="21"/>
      <c r="BE187" s="21"/>
      <c r="BF187" s="21"/>
      <c r="BG187" s="1098"/>
      <c r="BH187" s="21"/>
      <c r="BI187" s="21"/>
      <c r="BJ187" s="338"/>
      <c r="BK187" s="21"/>
      <c r="BL187" s="21"/>
      <c r="BM187" s="21"/>
      <c r="BN187" s="1098"/>
      <c r="BO187" s="21"/>
      <c r="BP187" s="21"/>
      <c r="BQ187" s="338"/>
      <c r="BR187" s="21"/>
      <c r="BS187" s="21"/>
      <c r="BT187" s="21"/>
      <c r="BU187" s="1098"/>
      <c r="BV187" s="21"/>
      <c r="BW187" s="21"/>
      <c r="BX187" s="338"/>
      <c r="BY187" s="21"/>
      <c r="BZ187" s="21"/>
      <c r="CA187" s="21"/>
      <c r="CB187" s="1098"/>
      <c r="CC187" s="21"/>
      <c r="CD187" s="21"/>
      <c r="CE187" s="338"/>
      <c r="CF187" s="21"/>
      <c r="CG187" s="21"/>
      <c r="CH187" s="21"/>
      <c r="CI187" s="1098"/>
      <c r="CJ187" s="21"/>
      <c r="CK187" s="21"/>
      <c r="CL187" s="338"/>
      <c r="CM187" s="21"/>
      <c r="CN187" s="21"/>
      <c r="CO187" s="21"/>
      <c r="CP187" s="1098"/>
      <c r="CQ187" s="21"/>
      <c r="CR187" s="21"/>
      <c r="CS187" s="338"/>
      <c r="CT187" s="21"/>
      <c r="CU187" s="21"/>
      <c r="CV187" s="21"/>
      <c r="CW187" s="1098"/>
      <c r="CX187" s="21"/>
      <c r="CY187" s="21"/>
      <c r="CZ187" s="338"/>
      <c r="DA187" s="21"/>
      <c r="DB187" s="21"/>
      <c r="DC187" s="21"/>
      <c r="DD187" s="1098"/>
      <c r="DE187" s="21"/>
      <c r="DF187" s="21"/>
      <c r="DG187" s="338"/>
      <c r="DH187" s="21"/>
      <c r="DI187" s="21"/>
      <c r="DJ187" s="21"/>
      <c r="DK187" s="1098"/>
      <c r="DL187" s="21"/>
      <c r="DM187" s="21"/>
      <c r="DN187" s="338"/>
      <c r="DO187" s="21"/>
      <c r="DP187" s="21"/>
      <c r="DQ187" s="21"/>
      <c r="DR187" s="1098"/>
      <c r="DS187" s="21"/>
      <c r="DT187" s="21"/>
      <c r="DU187" s="338"/>
      <c r="DV187" s="21"/>
      <c r="DW187" s="21"/>
      <c r="DX187" s="21"/>
      <c r="DY187" s="1098"/>
      <c r="DZ187" s="21"/>
      <c r="EA187" s="21"/>
      <c r="EB187" s="338"/>
      <c r="EC187" s="21"/>
      <c r="ED187" s="21"/>
      <c r="EE187" s="21"/>
      <c r="EF187" s="1098"/>
      <c r="EG187" s="21"/>
      <c r="EH187" s="21"/>
      <c r="EI187" s="338"/>
      <c r="EJ187" s="21"/>
      <c r="EK187" s="21"/>
      <c r="EL187" s="21"/>
      <c r="EM187" s="1098"/>
      <c r="EN187" s="21"/>
      <c r="EO187" s="21"/>
      <c r="EP187" s="338"/>
      <c r="EQ187" s="21"/>
      <c r="ER187" s="21"/>
      <c r="ES187" s="21"/>
      <c r="ET187" s="1098"/>
      <c r="EU187" s="21"/>
      <c r="EV187" s="21"/>
      <c r="EW187" s="338"/>
    </row>
    <row r="188" spans="1:153" ht="10.199999999999999" customHeight="1">
      <c r="A188" s="108" t="s">
        <v>859</v>
      </c>
      <c r="B188" s="834"/>
      <c r="C188" s="834"/>
      <c r="D188" s="834"/>
      <c r="E188" s="834"/>
      <c r="F188" s="834"/>
      <c r="G188" s="834"/>
      <c r="H188" s="834"/>
      <c r="I188" s="834"/>
      <c r="J188" s="834"/>
      <c r="K188" s="530">
        <v>9625</v>
      </c>
      <c r="L188" s="530">
        <v>10286</v>
      </c>
      <c r="M188" s="530">
        <v>11692</v>
      </c>
      <c r="N188" s="21"/>
      <c r="O188" s="21"/>
      <c r="P188" s="21"/>
      <c r="Q188" s="1098"/>
      <c r="R188" s="21"/>
      <c r="S188" s="21"/>
      <c r="T188" s="1278">
        <v>12637</v>
      </c>
      <c r="U188" s="21"/>
      <c r="V188" s="21"/>
      <c r="W188" s="21"/>
      <c r="X188" s="1098"/>
      <c r="Y188" s="21"/>
      <c r="Z188" s="21"/>
      <c r="AA188" s="1278">
        <v>12291</v>
      </c>
      <c r="AB188" s="21"/>
      <c r="AC188" s="21"/>
      <c r="AD188" s="21"/>
      <c r="AE188" s="1098"/>
      <c r="AF188" s="21"/>
      <c r="AG188" s="21"/>
      <c r="AH188" s="1278">
        <v>13022</v>
      </c>
      <c r="AI188" s="21"/>
      <c r="AJ188" s="21"/>
      <c r="AK188" s="21"/>
      <c r="AL188" s="1098"/>
      <c r="AM188" s="21"/>
      <c r="AN188" s="21"/>
      <c r="AO188" s="1278">
        <v>12595</v>
      </c>
      <c r="AP188" s="21"/>
      <c r="AQ188" s="21"/>
      <c r="AR188" s="21"/>
      <c r="AS188" s="1098"/>
      <c r="AT188" s="21"/>
      <c r="AU188" s="21"/>
      <c r="AV188" s="1278">
        <v>12629</v>
      </c>
      <c r="AW188" s="21"/>
      <c r="AX188" s="21"/>
      <c r="AY188" s="21"/>
      <c r="AZ188" s="1098"/>
      <c r="BA188" s="21"/>
      <c r="BB188" s="21"/>
      <c r="BC188" s="1278">
        <v>12629</v>
      </c>
      <c r="BD188" s="21"/>
      <c r="BE188" s="21"/>
      <c r="BF188" s="21"/>
      <c r="BG188" s="1098"/>
      <c r="BH188" s="21"/>
      <c r="BI188" s="21"/>
      <c r="BJ188" s="1278">
        <v>12566</v>
      </c>
      <c r="BK188" s="21"/>
      <c r="BL188" s="21"/>
      <c r="BM188" s="21"/>
      <c r="BN188" s="1098"/>
      <c r="BO188" s="21"/>
      <c r="BP188" s="21"/>
      <c r="BQ188" s="1278">
        <v>13347</v>
      </c>
      <c r="BR188" s="21"/>
      <c r="BS188" s="21"/>
      <c r="BT188" s="21"/>
      <c r="BU188" s="1098"/>
      <c r="BV188" s="21"/>
      <c r="BW188" s="21"/>
      <c r="BX188" s="1278">
        <v>13347</v>
      </c>
      <c r="BY188" s="21"/>
      <c r="BZ188" s="21"/>
      <c r="CA188" s="21"/>
      <c r="CB188" s="1098"/>
      <c r="CC188" s="21"/>
      <c r="CD188" s="21"/>
      <c r="CE188" s="1278">
        <v>11799</v>
      </c>
      <c r="CF188" s="21"/>
      <c r="CG188" s="21"/>
      <c r="CH188" s="21"/>
      <c r="CI188" s="1098"/>
      <c r="CJ188" s="21"/>
      <c r="CK188" s="21"/>
      <c r="CL188" s="1278">
        <v>12913</v>
      </c>
      <c r="CM188" s="21"/>
      <c r="CN188" s="21"/>
      <c r="CO188" s="21"/>
      <c r="CP188" s="1098"/>
      <c r="CQ188" s="21"/>
      <c r="CR188" s="21"/>
      <c r="CS188" s="1278">
        <v>13509</v>
      </c>
      <c r="CT188" s="21"/>
      <c r="CU188" s="21"/>
      <c r="CV188" s="21"/>
      <c r="CW188" s="1098"/>
      <c r="CX188" s="21"/>
      <c r="CY188" s="21"/>
      <c r="CZ188" s="1278">
        <v>14965</v>
      </c>
      <c r="DA188" s="530"/>
      <c r="DB188" s="21"/>
      <c r="DC188" s="21"/>
      <c r="DD188" s="1098"/>
      <c r="DE188" s="21"/>
      <c r="DF188" s="21"/>
      <c r="DG188" s="2082">
        <v>17433</v>
      </c>
      <c r="DH188" s="21"/>
      <c r="DI188" s="21"/>
      <c r="DJ188" s="21"/>
      <c r="DK188" s="1098"/>
      <c r="DL188" s="21"/>
      <c r="DM188" s="21"/>
      <c r="DN188" s="338"/>
      <c r="DO188" s="21"/>
      <c r="DP188" s="21"/>
      <c r="DQ188" s="21"/>
      <c r="DR188" s="1098"/>
      <c r="DS188" s="21"/>
      <c r="DT188" s="21"/>
      <c r="DU188" s="338"/>
      <c r="DV188" s="21"/>
      <c r="DW188" s="21"/>
      <c r="DX188" s="21"/>
      <c r="DY188" s="1098"/>
      <c r="DZ188" s="21"/>
      <c r="EA188" s="21"/>
      <c r="EB188" s="338"/>
      <c r="EC188" s="21"/>
      <c r="ED188" s="21"/>
      <c r="EE188" s="21"/>
      <c r="EF188" s="1098"/>
      <c r="EG188" s="21"/>
      <c r="EH188" s="21"/>
      <c r="EI188" s="338"/>
      <c r="EJ188" s="21"/>
      <c r="EK188" s="21"/>
      <c r="EL188" s="21"/>
      <c r="EM188" s="1098"/>
      <c r="EN188" s="21"/>
      <c r="EO188" s="21"/>
      <c r="EP188" s="338"/>
      <c r="EQ188" s="21"/>
      <c r="ER188" s="21"/>
      <c r="ES188" s="21"/>
      <c r="ET188" s="1098"/>
      <c r="EU188" s="21"/>
      <c r="EV188" s="21"/>
      <c r="EW188" s="338"/>
    </row>
    <row r="189" spans="1:153" ht="10.199999999999999" customHeight="1">
      <c r="A189" s="108" t="s">
        <v>860</v>
      </c>
      <c r="B189" s="834"/>
      <c r="C189" s="834"/>
      <c r="D189" s="834"/>
      <c r="E189" s="834"/>
      <c r="F189" s="834"/>
      <c r="G189" s="834"/>
      <c r="H189" s="834"/>
      <c r="I189" s="834"/>
      <c r="J189" s="834"/>
      <c r="K189" s="530">
        <v>452</v>
      </c>
      <c r="L189" s="530">
        <v>424</v>
      </c>
      <c r="M189" s="530">
        <v>523</v>
      </c>
      <c r="N189" s="21"/>
      <c r="O189" s="21"/>
      <c r="P189" s="21"/>
      <c r="Q189" s="1098"/>
      <c r="R189" s="21"/>
      <c r="S189" s="21"/>
      <c r="T189" s="1278">
        <v>564</v>
      </c>
      <c r="U189" s="21"/>
      <c r="V189" s="21"/>
      <c r="W189" s="21"/>
      <c r="X189" s="1098"/>
      <c r="Y189" s="21"/>
      <c r="Z189" s="21"/>
      <c r="AA189" s="1278">
        <v>549</v>
      </c>
      <c r="AB189" s="21"/>
      <c r="AC189" s="21"/>
      <c r="AD189" s="21"/>
      <c r="AE189" s="1098"/>
      <c r="AF189" s="21"/>
      <c r="AG189" s="21"/>
      <c r="AH189" s="1278">
        <v>598</v>
      </c>
      <c r="AI189" s="21"/>
      <c r="AJ189" s="21"/>
      <c r="AK189" s="21"/>
      <c r="AL189" s="1098"/>
      <c r="AM189" s="21"/>
      <c r="AN189" s="21"/>
      <c r="AO189" s="1278">
        <v>533</v>
      </c>
      <c r="AP189" s="21"/>
      <c r="AQ189" s="21"/>
      <c r="AR189" s="21"/>
      <c r="AS189" s="1098"/>
      <c r="AT189" s="21"/>
      <c r="AU189" s="21"/>
      <c r="AV189" s="1278">
        <v>511</v>
      </c>
      <c r="AW189" s="21"/>
      <c r="AX189" s="21"/>
      <c r="AY189" s="21"/>
      <c r="AZ189" s="1098"/>
      <c r="BA189" s="21"/>
      <c r="BB189" s="21"/>
      <c r="BC189" s="1278">
        <v>511</v>
      </c>
      <c r="BD189" s="21"/>
      <c r="BE189" s="21"/>
      <c r="BF189" s="21"/>
      <c r="BG189" s="1098"/>
      <c r="BH189" s="21"/>
      <c r="BI189" s="21"/>
      <c r="BJ189" s="1278">
        <v>581</v>
      </c>
      <c r="BK189" s="21"/>
      <c r="BL189" s="21"/>
      <c r="BM189" s="21"/>
      <c r="BN189" s="1098"/>
      <c r="BO189" s="21"/>
      <c r="BP189" s="21"/>
      <c r="BQ189" s="1278">
        <v>626</v>
      </c>
      <c r="BR189" s="21"/>
      <c r="BS189" s="21"/>
      <c r="BT189" s="21"/>
      <c r="BU189" s="1098"/>
      <c r="BV189" s="21"/>
      <c r="BW189" s="21"/>
      <c r="BX189" s="1278">
        <v>626</v>
      </c>
      <c r="BY189" s="21"/>
      <c r="BZ189" s="21"/>
      <c r="CA189" s="21"/>
      <c r="CB189" s="1098"/>
      <c r="CC189" s="21"/>
      <c r="CD189" s="21"/>
      <c r="CE189" s="1278">
        <v>749</v>
      </c>
      <c r="CF189" s="21"/>
      <c r="CG189" s="21"/>
      <c r="CH189" s="21"/>
      <c r="CI189" s="1098"/>
      <c r="CJ189" s="21"/>
      <c r="CK189" s="21"/>
      <c r="CL189" s="1278">
        <v>356</v>
      </c>
      <c r="CM189" s="21"/>
      <c r="CN189" s="21"/>
      <c r="CO189" s="21"/>
      <c r="CP189" s="1098"/>
      <c r="CQ189" s="21"/>
      <c r="CR189" s="21"/>
      <c r="CS189" s="1278">
        <v>136</v>
      </c>
      <c r="CT189" s="21"/>
      <c r="CU189" s="21"/>
      <c r="CV189" s="21"/>
      <c r="CW189" s="1098"/>
      <c r="CX189" s="21"/>
      <c r="CY189" s="21"/>
      <c r="CZ189" s="1278">
        <v>414</v>
      </c>
      <c r="DA189" s="530"/>
      <c r="DB189" s="21"/>
      <c r="DC189" s="21"/>
      <c r="DD189" s="1098"/>
      <c r="DE189" s="21"/>
      <c r="DF189" s="21"/>
      <c r="DG189" s="2082">
        <v>434</v>
      </c>
      <c r="DH189" s="21"/>
      <c r="DI189" s="21"/>
      <c r="DJ189" s="21"/>
      <c r="DK189" s="1098"/>
      <c r="DL189" s="21"/>
      <c r="DM189" s="21"/>
      <c r="DN189" s="338"/>
      <c r="DO189" s="21"/>
      <c r="DP189" s="21"/>
      <c r="DQ189" s="21"/>
      <c r="DR189" s="1098"/>
      <c r="DS189" s="21"/>
      <c r="DT189" s="21"/>
      <c r="DU189" s="338"/>
      <c r="DV189" s="21"/>
      <c r="DW189" s="21"/>
      <c r="DX189" s="21"/>
      <c r="DY189" s="1098"/>
      <c r="DZ189" s="21"/>
      <c r="EA189" s="21"/>
      <c r="EB189" s="338"/>
      <c r="EC189" s="21"/>
      <c r="ED189" s="21"/>
      <c r="EE189" s="21"/>
      <c r="EF189" s="1098"/>
      <c r="EG189" s="21"/>
      <c r="EH189" s="21"/>
      <c r="EI189" s="338"/>
      <c r="EJ189" s="21"/>
      <c r="EK189" s="21"/>
      <c r="EL189" s="21"/>
      <c r="EM189" s="1098"/>
      <c r="EN189" s="21"/>
      <c r="EO189" s="21"/>
      <c r="EP189" s="338"/>
      <c r="EQ189" s="21"/>
      <c r="ER189" s="21"/>
      <c r="ES189" s="21"/>
      <c r="ET189" s="1098"/>
      <c r="EU189" s="21"/>
      <c r="EV189" s="21"/>
      <c r="EW189" s="338"/>
    </row>
    <row r="190" spans="1:153" ht="10.199999999999999" customHeight="1">
      <c r="A190" s="48" t="s">
        <v>861</v>
      </c>
      <c r="B190" s="834"/>
      <c r="C190" s="834"/>
      <c r="D190" s="834"/>
      <c r="E190" s="834"/>
      <c r="F190" s="834"/>
      <c r="G190" s="834"/>
      <c r="H190" s="834"/>
      <c r="I190" s="834"/>
      <c r="J190" s="834"/>
      <c r="K190" s="549">
        <f t="shared" ref="K190:CS190" si="1199">SUM(K188:K189)</f>
        <v>10077</v>
      </c>
      <c r="L190" s="549">
        <f t="shared" si="1199"/>
        <v>10710</v>
      </c>
      <c r="M190" s="549">
        <f t="shared" si="1199"/>
        <v>12215</v>
      </c>
      <c r="N190" s="21"/>
      <c r="O190" s="21"/>
      <c r="P190" s="21"/>
      <c r="Q190" s="1098"/>
      <c r="R190" s="21"/>
      <c r="S190" s="21"/>
      <c r="T190" s="1273">
        <f t="shared" si="1199"/>
        <v>13201</v>
      </c>
      <c r="U190" s="21"/>
      <c r="V190" s="21"/>
      <c r="W190" s="21"/>
      <c r="X190" s="1098"/>
      <c r="Y190" s="21"/>
      <c r="Z190" s="21"/>
      <c r="AA190" s="1273">
        <f t="shared" si="1199"/>
        <v>12840</v>
      </c>
      <c r="AB190" s="21"/>
      <c r="AC190" s="21"/>
      <c r="AD190" s="21"/>
      <c r="AE190" s="1098"/>
      <c r="AF190" s="21"/>
      <c r="AG190" s="21"/>
      <c r="AH190" s="1273">
        <f t="shared" si="1199"/>
        <v>13620</v>
      </c>
      <c r="AI190" s="21"/>
      <c r="AJ190" s="21"/>
      <c r="AK190" s="21"/>
      <c r="AL190" s="1098"/>
      <c r="AM190" s="21"/>
      <c r="AN190" s="21"/>
      <c r="AO190" s="1273">
        <f t="shared" si="1199"/>
        <v>13128</v>
      </c>
      <c r="AP190" s="21"/>
      <c r="AQ190" s="21"/>
      <c r="AR190" s="21"/>
      <c r="AS190" s="1098"/>
      <c r="AT190" s="21"/>
      <c r="AU190" s="21"/>
      <c r="AV190" s="1273">
        <f t="shared" si="1199"/>
        <v>13140</v>
      </c>
      <c r="AW190" s="21"/>
      <c r="AX190" s="21"/>
      <c r="AY190" s="21"/>
      <c r="AZ190" s="1098"/>
      <c r="BA190" s="21"/>
      <c r="BB190" s="21"/>
      <c r="BC190" s="1273">
        <f t="shared" si="1199"/>
        <v>13140</v>
      </c>
      <c r="BD190" s="21"/>
      <c r="BE190" s="21"/>
      <c r="BF190" s="21"/>
      <c r="BG190" s="1098"/>
      <c r="BH190" s="21"/>
      <c r="BI190" s="21"/>
      <c r="BJ190" s="1273">
        <f t="shared" si="1199"/>
        <v>13147</v>
      </c>
      <c r="BK190" s="21"/>
      <c r="BL190" s="21"/>
      <c r="BM190" s="21"/>
      <c r="BN190" s="1098"/>
      <c r="BO190" s="21"/>
      <c r="BP190" s="21"/>
      <c r="BQ190" s="1273">
        <f t="shared" si="1199"/>
        <v>13973</v>
      </c>
      <c r="BR190" s="21"/>
      <c r="BS190" s="21"/>
      <c r="BT190" s="21"/>
      <c r="BU190" s="1098"/>
      <c r="BV190" s="21"/>
      <c r="BW190" s="21"/>
      <c r="BX190" s="1273">
        <f t="shared" si="1199"/>
        <v>13973</v>
      </c>
      <c r="BY190" s="21"/>
      <c r="BZ190" s="21"/>
      <c r="CA190" s="21"/>
      <c r="CB190" s="1098"/>
      <c r="CC190" s="21"/>
      <c r="CD190" s="21"/>
      <c r="CE190" s="1273">
        <f t="shared" si="1199"/>
        <v>12548</v>
      </c>
      <c r="CF190" s="21"/>
      <c r="CG190" s="21"/>
      <c r="CH190" s="21"/>
      <c r="CI190" s="1098"/>
      <c r="CJ190" s="21"/>
      <c r="CK190" s="21"/>
      <c r="CL190" s="1273">
        <f t="shared" si="1199"/>
        <v>13269</v>
      </c>
      <c r="CM190" s="21"/>
      <c r="CN190" s="21"/>
      <c r="CO190" s="21"/>
      <c r="CP190" s="1098"/>
      <c r="CQ190" s="21"/>
      <c r="CR190" s="21"/>
      <c r="CS190" s="1273">
        <f t="shared" si="1199"/>
        <v>13645</v>
      </c>
      <c r="CT190" s="21"/>
      <c r="CU190" s="21"/>
      <c r="CV190" s="21"/>
      <c r="CW190" s="1098"/>
      <c r="CX190" s="21"/>
      <c r="CY190" s="21"/>
      <c r="CZ190" s="1273">
        <f>SUM(CZ188:CZ189)</f>
        <v>15379</v>
      </c>
      <c r="DA190" s="530"/>
      <c r="DB190" s="21"/>
      <c r="DC190" s="21"/>
      <c r="DD190" s="1098"/>
      <c r="DE190" s="21"/>
      <c r="DF190" s="21"/>
      <c r="DG190" s="1273">
        <f>SUM(DG188:DG189)</f>
        <v>17867</v>
      </c>
      <c r="DH190" s="21"/>
      <c r="DI190" s="21"/>
      <c r="DJ190" s="21"/>
      <c r="DK190" s="1098"/>
      <c r="DL190" s="21"/>
      <c r="DM190" s="21"/>
      <c r="DN190" s="338"/>
      <c r="DO190" s="21"/>
      <c r="DP190" s="21"/>
      <c r="DQ190" s="21"/>
      <c r="DR190" s="1098"/>
      <c r="DS190" s="21"/>
      <c r="DT190" s="21"/>
      <c r="DU190" s="338"/>
      <c r="DV190" s="21"/>
      <c r="DW190" s="21"/>
      <c r="DX190" s="21"/>
      <c r="DY190" s="1098"/>
      <c r="DZ190" s="21"/>
      <c r="EA190" s="21"/>
      <c r="EB190" s="338"/>
      <c r="EC190" s="21"/>
      <c r="ED190" s="21"/>
      <c r="EE190" s="21"/>
      <c r="EF190" s="1098"/>
      <c r="EG190" s="21"/>
      <c r="EH190" s="21"/>
      <c r="EI190" s="338"/>
      <c r="EJ190" s="21"/>
      <c r="EK190" s="21"/>
      <c r="EL190" s="21"/>
      <c r="EM190" s="1098"/>
      <c r="EN190" s="21"/>
      <c r="EO190" s="21"/>
      <c r="EP190" s="338"/>
      <c r="EQ190" s="21"/>
      <c r="ER190" s="21"/>
      <c r="ES190" s="21"/>
      <c r="ET190" s="1098"/>
      <c r="EU190" s="21"/>
      <c r="EV190" s="21"/>
      <c r="EW190" s="338"/>
    </row>
    <row r="191" spans="1:153" ht="10.199999999999999" customHeight="1">
      <c r="A191" s="43"/>
      <c r="B191" s="834"/>
      <c r="C191" s="834"/>
      <c r="D191" s="834"/>
      <c r="E191" s="834"/>
      <c r="F191" s="834"/>
      <c r="G191" s="834"/>
      <c r="H191" s="834"/>
      <c r="I191" s="834"/>
      <c r="J191" s="834"/>
      <c r="K191" s="834"/>
      <c r="L191" s="834"/>
      <c r="M191" s="834"/>
      <c r="N191" s="21"/>
      <c r="O191" s="21"/>
      <c r="P191" s="21"/>
      <c r="Q191" s="1098"/>
      <c r="R191" s="21"/>
      <c r="S191" s="21"/>
      <c r="T191" s="338"/>
      <c r="U191" s="21"/>
      <c r="V191" s="21"/>
      <c r="W191" s="21"/>
      <c r="X191" s="1098"/>
      <c r="Y191" s="21"/>
      <c r="Z191" s="21"/>
      <c r="AA191" s="338"/>
      <c r="AB191" s="21"/>
      <c r="AC191" s="21"/>
      <c r="AD191" s="21"/>
      <c r="AE191" s="1098"/>
      <c r="AF191" s="21"/>
      <c r="AG191" s="21"/>
      <c r="AH191" s="338"/>
      <c r="AI191" s="21"/>
      <c r="AJ191" s="21"/>
      <c r="AK191" s="21"/>
      <c r="AL191" s="1098"/>
      <c r="AM191" s="21"/>
      <c r="AN191" s="21"/>
      <c r="AO191" s="338"/>
      <c r="AP191" s="21"/>
      <c r="AQ191" s="21"/>
      <c r="AR191" s="21"/>
      <c r="AS191" s="1098"/>
      <c r="AT191" s="21"/>
      <c r="AU191" s="21"/>
      <c r="AV191" s="338"/>
      <c r="AW191" s="21"/>
      <c r="AX191" s="21"/>
      <c r="AY191" s="21"/>
      <c r="AZ191" s="1098"/>
      <c r="BA191" s="21"/>
      <c r="BB191" s="21"/>
      <c r="BC191" s="338"/>
      <c r="BD191" s="21"/>
      <c r="BE191" s="21"/>
      <c r="BF191" s="21"/>
      <c r="BG191" s="1098"/>
      <c r="BH191" s="21"/>
      <c r="BI191" s="21"/>
      <c r="BJ191" s="338"/>
      <c r="BK191" s="21"/>
      <c r="BL191" s="21"/>
      <c r="BM191" s="21"/>
      <c r="BN191" s="1098"/>
      <c r="BO191" s="21"/>
      <c r="BP191" s="21"/>
      <c r="BQ191" s="338"/>
      <c r="BR191" s="21"/>
      <c r="BS191" s="21"/>
      <c r="BT191" s="21"/>
      <c r="BU191" s="1098"/>
      <c r="BV191" s="21"/>
      <c r="BW191" s="21"/>
      <c r="BX191" s="338"/>
      <c r="BY191" s="21"/>
      <c r="BZ191" s="21"/>
      <c r="CA191" s="21"/>
      <c r="CB191" s="1098"/>
      <c r="CC191" s="21"/>
      <c r="CD191" s="21"/>
      <c r="CE191" s="338"/>
      <c r="CF191" s="21"/>
      <c r="CG191" s="21"/>
      <c r="CH191" s="21"/>
      <c r="CI191" s="1098"/>
      <c r="CJ191" s="21"/>
      <c r="CK191" s="21"/>
      <c r="CL191" s="338"/>
      <c r="CM191" s="21"/>
      <c r="CN191" s="21"/>
      <c r="CO191" s="21"/>
      <c r="CP191" s="1098"/>
      <c r="CQ191" s="21"/>
      <c r="CR191" s="21"/>
      <c r="CS191" s="338"/>
      <c r="CT191" s="21"/>
      <c r="CU191" s="21"/>
      <c r="CV191" s="21"/>
      <c r="CW191" s="1098"/>
      <c r="CX191" s="21"/>
      <c r="CY191" s="21"/>
      <c r="CZ191" s="338"/>
      <c r="DA191" s="21"/>
      <c r="DB191" s="21"/>
      <c r="DC191" s="21"/>
      <c r="DD191" s="1098"/>
      <c r="DE191" s="21"/>
      <c r="DF191" s="21"/>
      <c r="DG191" s="338"/>
      <c r="DH191" s="21"/>
      <c r="DI191" s="21"/>
      <c r="DJ191" s="21"/>
      <c r="DK191" s="1098"/>
      <c r="DL191" s="21"/>
      <c r="DM191" s="21"/>
      <c r="DN191" s="338"/>
      <c r="DO191" s="21"/>
      <c r="DP191" s="21"/>
      <c r="DQ191" s="21"/>
      <c r="DR191" s="1098"/>
      <c r="DS191" s="21"/>
      <c r="DT191" s="21"/>
      <c r="DU191" s="338"/>
      <c r="DV191" s="21"/>
      <c r="DW191" s="21"/>
      <c r="DX191" s="21"/>
      <c r="DY191" s="1098"/>
      <c r="DZ191" s="21"/>
      <c r="EA191" s="21"/>
      <c r="EB191" s="338"/>
      <c r="EC191" s="21"/>
      <c r="ED191" s="21"/>
      <c r="EE191" s="21"/>
      <c r="EF191" s="1098"/>
      <c r="EG191" s="21"/>
      <c r="EH191" s="21"/>
      <c r="EI191" s="338"/>
      <c r="EJ191" s="21"/>
      <c r="EK191" s="21"/>
      <c r="EL191" s="21"/>
      <c r="EM191" s="1098"/>
      <c r="EN191" s="21"/>
      <c r="EO191" s="21"/>
      <c r="EP191" s="338"/>
      <c r="EQ191" s="21"/>
      <c r="ER191" s="21"/>
      <c r="ES191" s="21"/>
      <c r="ET191" s="1098"/>
      <c r="EU191" s="21"/>
      <c r="EV191" s="21"/>
      <c r="EW191" s="338"/>
    </row>
    <row r="192" spans="1:153" ht="10.199999999999999" customHeight="1">
      <c r="A192" s="1120" t="s">
        <v>155</v>
      </c>
      <c r="B192" s="834"/>
      <c r="C192" s="834"/>
      <c r="D192" s="834"/>
      <c r="E192" s="834"/>
      <c r="F192" s="834"/>
      <c r="G192" s="834"/>
      <c r="H192" s="834"/>
      <c r="I192" s="834"/>
      <c r="J192" s="834"/>
      <c r="K192" s="834"/>
      <c r="L192" s="834"/>
      <c r="M192" s="834"/>
      <c r="N192" s="21"/>
      <c r="O192" s="21"/>
      <c r="P192" s="21"/>
      <c r="Q192" s="1098"/>
      <c r="R192" s="21"/>
      <c r="S192" s="21"/>
      <c r="T192" s="338"/>
      <c r="U192" s="21"/>
      <c r="V192" s="21"/>
      <c r="W192" s="21"/>
      <c r="X192" s="1098"/>
      <c r="Y192" s="21"/>
      <c r="Z192" s="21"/>
      <c r="AA192" s="338"/>
      <c r="AB192" s="21"/>
      <c r="AC192" s="21"/>
      <c r="AD192" s="21"/>
      <c r="AE192" s="1098"/>
      <c r="AF192" s="21"/>
      <c r="AG192" s="21"/>
      <c r="AH192" s="338"/>
      <c r="AI192" s="21"/>
      <c r="AJ192" s="21"/>
      <c r="AK192" s="21"/>
      <c r="AL192" s="1098"/>
      <c r="AM192" s="21"/>
      <c r="AN192" s="21"/>
      <c r="AO192" s="338"/>
      <c r="AP192" s="21"/>
      <c r="AQ192" s="21"/>
      <c r="AR192" s="21"/>
      <c r="AS192" s="1098"/>
      <c r="AT192" s="21"/>
      <c r="AU192" s="21"/>
      <c r="AV192" s="338"/>
      <c r="AW192" s="21"/>
      <c r="AX192" s="21"/>
      <c r="AY192" s="21"/>
      <c r="AZ192" s="1098"/>
      <c r="BA192" s="21"/>
      <c r="BB192" s="21"/>
      <c r="BC192" s="338"/>
      <c r="BD192" s="21"/>
      <c r="BE192" s="21"/>
      <c r="BF192" s="21"/>
      <c r="BG192" s="1098"/>
      <c r="BH192" s="21"/>
      <c r="BI192" s="21"/>
      <c r="BJ192" s="338"/>
      <c r="BK192" s="21"/>
      <c r="BL192" s="21"/>
      <c r="BM192" s="21"/>
      <c r="BN192" s="1098"/>
      <c r="BO192" s="21"/>
      <c r="BP192" s="21"/>
      <c r="BQ192" s="338"/>
      <c r="BR192" s="21"/>
      <c r="BS192" s="21"/>
      <c r="BT192" s="21"/>
      <c r="BU192" s="1098"/>
      <c r="BV192" s="21"/>
      <c r="BW192" s="21"/>
      <c r="BX192" s="338"/>
      <c r="BY192" s="21"/>
      <c r="BZ192" s="21"/>
      <c r="CA192" s="21"/>
      <c r="CB192" s="1098"/>
      <c r="CC192" s="21"/>
      <c r="CD192" s="21"/>
      <c r="CE192" s="338"/>
      <c r="CF192" s="21"/>
      <c r="CG192" s="21"/>
      <c r="CH192" s="21"/>
      <c r="CI192" s="1098"/>
      <c r="CJ192" s="21"/>
      <c r="CK192" s="21"/>
      <c r="CL192" s="338"/>
      <c r="CM192" s="21"/>
      <c r="CN192" s="21"/>
      <c r="CO192" s="21"/>
      <c r="CP192" s="1098"/>
      <c r="CQ192" s="21"/>
      <c r="CR192" s="21"/>
      <c r="CS192" s="338"/>
      <c r="CT192" s="21"/>
      <c r="CU192" s="21"/>
      <c r="CV192" s="21"/>
      <c r="CW192" s="1098"/>
      <c r="CX192" s="21"/>
      <c r="CY192" s="21"/>
      <c r="CZ192" s="338"/>
      <c r="DA192" s="21"/>
      <c r="DB192" s="21"/>
      <c r="DC192" s="21"/>
      <c r="DD192" s="1098"/>
      <c r="DE192" s="21"/>
      <c r="DF192" s="21"/>
      <c r="DG192" s="338"/>
      <c r="DH192" s="21"/>
      <c r="DI192" s="21"/>
      <c r="DJ192" s="21"/>
      <c r="DK192" s="1876"/>
      <c r="DL192" s="21"/>
      <c r="DM192" s="21"/>
      <c r="DN192" s="338"/>
      <c r="DO192" s="21"/>
      <c r="DP192" s="21"/>
      <c r="DQ192" s="21"/>
      <c r="DR192" s="1098"/>
      <c r="DS192" s="21"/>
      <c r="DT192" s="21"/>
      <c r="DU192" s="338"/>
      <c r="DV192" s="21"/>
      <c r="DW192" s="21"/>
      <c r="DX192" s="21"/>
      <c r="DY192" s="1098"/>
      <c r="DZ192" s="21"/>
      <c r="EA192" s="21"/>
      <c r="EB192" s="338"/>
      <c r="EC192" s="21"/>
      <c r="ED192" s="21"/>
      <c r="EE192" s="21"/>
      <c r="EF192" s="1098"/>
      <c r="EG192" s="21"/>
      <c r="EH192" s="21"/>
      <c r="EI192" s="338"/>
      <c r="EJ192" s="21"/>
      <c r="EK192" s="21"/>
      <c r="EL192" s="21"/>
      <c r="EM192" s="1098"/>
      <c r="EN192" s="21"/>
      <c r="EO192" s="21"/>
      <c r="EP192" s="338"/>
      <c r="EQ192" s="21"/>
      <c r="ER192" s="21"/>
      <c r="ES192" s="21"/>
      <c r="ET192" s="1098"/>
      <c r="EU192" s="21"/>
      <c r="EV192" s="21"/>
      <c r="EW192" s="338"/>
    </row>
    <row r="193" spans="1:153" ht="10.199999999999999" customHeight="1">
      <c r="A193" s="282" t="s">
        <v>379</v>
      </c>
      <c r="B193" s="834"/>
      <c r="C193" s="834"/>
      <c r="D193" s="834"/>
      <c r="E193" s="834"/>
      <c r="F193" s="834"/>
      <c r="G193" s="834"/>
      <c r="H193" s="834"/>
      <c r="I193" s="834"/>
      <c r="J193" s="834"/>
      <c r="K193" s="834"/>
      <c r="L193" s="834"/>
      <c r="M193" s="834"/>
      <c r="N193" s="21"/>
      <c r="O193" s="21"/>
      <c r="P193" s="21"/>
      <c r="Q193" s="1098"/>
      <c r="R193" s="21"/>
      <c r="S193" s="21"/>
      <c r="T193" s="338"/>
      <c r="U193" s="21"/>
      <c r="V193" s="21"/>
      <c r="W193" s="21"/>
      <c r="X193" s="1098"/>
      <c r="Y193" s="21"/>
      <c r="Z193" s="21"/>
      <c r="AA193" s="338"/>
      <c r="AB193" s="21"/>
      <c r="AC193" s="21"/>
      <c r="AD193" s="21"/>
      <c r="AE193" s="1098"/>
      <c r="AF193" s="21"/>
      <c r="AG193" s="21"/>
      <c r="AH193" s="338"/>
      <c r="AI193" s="21"/>
      <c r="AJ193" s="21"/>
      <c r="AK193" s="21"/>
      <c r="AL193" s="1098"/>
      <c r="AM193" s="21"/>
      <c r="AN193" s="21"/>
      <c r="AO193" s="338"/>
      <c r="AP193" s="318">
        <v>0</v>
      </c>
      <c r="AQ193" s="318">
        <v>0</v>
      </c>
      <c r="AR193" s="318">
        <v>0</v>
      </c>
      <c r="AS193" s="1727">
        <v>0</v>
      </c>
      <c r="AT193" s="318">
        <f>AP193+AQ193</f>
        <v>0</v>
      </c>
      <c r="AU193" s="318">
        <f>AR193+AS193</f>
        <v>0</v>
      </c>
      <c r="AV193" s="1728">
        <f>AT193+AU193</f>
        <v>0</v>
      </c>
      <c r="AW193" s="318">
        <v>0</v>
      </c>
      <c r="AX193" s="318">
        <v>0</v>
      </c>
      <c r="AY193" s="318">
        <v>0</v>
      </c>
      <c r="AZ193" s="1727">
        <v>0</v>
      </c>
      <c r="BA193" s="318">
        <f>AW193+AX193</f>
        <v>0</v>
      </c>
      <c r="BB193" s="318">
        <f>AY193+AZ193</f>
        <v>0</v>
      </c>
      <c r="BC193" s="1728">
        <f>BA193+BB193</f>
        <v>0</v>
      </c>
      <c r="BD193" s="1121">
        <v>0</v>
      </c>
      <c r="BE193" s="1121">
        <v>0</v>
      </c>
      <c r="BF193" s="1121">
        <v>0</v>
      </c>
      <c r="BG193" s="714">
        <v>0</v>
      </c>
      <c r="BH193" s="317">
        <v>0</v>
      </c>
      <c r="BI193" s="317">
        <v>0</v>
      </c>
      <c r="BJ193" s="1728">
        <v>0</v>
      </c>
      <c r="BK193" s="1121">
        <v>0</v>
      </c>
      <c r="BL193" s="1121">
        <v>0</v>
      </c>
      <c r="BM193" s="1121">
        <v>0</v>
      </c>
      <c r="BN193" s="714">
        <f>BP193-BM193</f>
        <v>0</v>
      </c>
      <c r="BO193" s="317">
        <f>BK193+BL193</f>
        <v>0</v>
      </c>
      <c r="BP193" s="317">
        <f>BQ193-BO193</f>
        <v>0</v>
      </c>
      <c r="BQ193" s="1728">
        <f>Airbus!BR108</f>
        <v>0</v>
      </c>
      <c r="BR193" s="1121">
        <v>0</v>
      </c>
      <c r="BS193" s="1121">
        <v>0</v>
      </c>
      <c r="BT193" s="1121">
        <v>0</v>
      </c>
      <c r="BU193" s="714">
        <v>0</v>
      </c>
      <c r="BV193" s="317">
        <v>0</v>
      </c>
      <c r="BW193" s="317">
        <v>0</v>
      </c>
      <c r="BX193" s="1728">
        <v>0</v>
      </c>
      <c r="BY193" s="1121">
        <v>0</v>
      </c>
      <c r="BZ193" s="1121">
        <v>0</v>
      </c>
      <c r="CA193" s="1121">
        <v>0</v>
      </c>
      <c r="CB193" s="714">
        <f>CD193-CA193</f>
        <v>0</v>
      </c>
      <c r="CC193" s="317">
        <f>BY193+BZ193</f>
        <v>0</v>
      </c>
      <c r="CD193" s="317">
        <f>CE193-CC193</f>
        <v>0</v>
      </c>
      <c r="CE193" s="1728">
        <f>Airbus!BY108</f>
        <v>0</v>
      </c>
      <c r="CF193" s="1121">
        <v>0</v>
      </c>
      <c r="CG193" s="1121">
        <v>0</v>
      </c>
      <c r="CH193" s="1121">
        <v>0</v>
      </c>
      <c r="CI193" s="714">
        <f>CK193-CH193</f>
        <v>0</v>
      </c>
      <c r="CJ193" s="317">
        <f>CF193+CG193</f>
        <v>0</v>
      </c>
      <c r="CK193" s="317">
        <f>CL193-CJ193</f>
        <v>0</v>
      </c>
      <c r="CL193" s="1728">
        <f>Airbus!CF108</f>
        <v>0</v>
      </c>
      <c r="CM193" s="1121">
        <v>0</v>
      </c>
      <c r="CN193" s="1121">
        <v>0</v>
      </c>
      <c r="CO193" s="1121">
        <v>0</v>
      </c>
      <c r="CP193" s="714">
        <f>CR193-CO193</f>
        <v>0</v>
      </c>
      <c r="CQ193" s="317">
        <f>CM193+CN193</f>
        <v>0</v>
      </c>
      <c r="CR193" s="317">
        <f>CS193-CQ193</f>
        <v>0</v>
      </c>
      <c r="CS193" s="1728">
        <f>Airbus!CM108</f>
        <v>0</v>
      </c>
      <c r="CT193" s="1121">
        <f>Airbus!CN108</f>
        <v>0</v>
      </c>
      <c r="CU193" s="1121">
        <f>Airbus!CO108</f>
        <v>0</v>
      </c>
      <c r="CV193" s="1121">
        <f>Airbus!CP108</f>
        <v>0</v>
      </c>
      <c r="CW193" s="1732">
        <f>Airbus!CQ108</f>
        <v>0</v>
      </c>
      <c r="CX193" s="1121">
        <f>Airbus!CR108</f>
        <v>0</v>
      </c>
      <c r="CY193" s="1121">
        <f>Airbus!CS108</f>
        <v>0</v>
      </c>
      <c r="CZ193" s="1728">
        <f>Airbus!CT108</f>
        <v>0</v>
      </c>
      <c r="DA193" s="1121">
        <f>Airbus!CU108</f>
        <v>0</v>
      </c>
      <c r="DB193" s="1121">
        <f>Airbus!CV108</f>
        <v>0</v>
      </c>
      <c r="DC193" s="1121">
        <f>Airbus!CW108</f>
        <v>0</v>
      </c>
      <c r="DD193" s="1732">
        <f>Airbus!CX108</f>
        <v>0</v>
      </c>
      <c r="DE193" s="1121">
        <f>Airbus!CY108</f>
        <v>0</v>
      </c>
      <c r="DF193" s="1121">
        <f>Airbus!CZ108</f>
        <v>0</v>
      </c>
      <c r="DG193" s="1728">
        <f>Airbus!DA108</f>
        <v>0</v>
      </c>
      <c r="DH193" s="1121">
        <f>Airbus!DB108</f>
        <v>0</v>
      </c>
      <c r="DI193" s="1121">
        <f>Airbus!DC108</f>
        <v>0</v>
      </c>
      <c r="DJ193" s="1121">
        <f>Airbus!DD108</f>
        <v>0</v>
      </c>
      <c r="DK193" s="1911">
        <f>Airbus!DE108</f>
        <v>0</v>
      </c>
      <c r="DL193" s="1121">
        <f>Airbus!DF108</f>
        <v>0</v>
      </c>
      <c r="DM193" s="1121">
        <f>Airbus!DG108</f>
        <v>0</v>
      </c>
      <c r="DN193" s="1728">
        <f>Airbus!DH108</f>
        <v>0</v>
      </c>
      <c r="DO193" s="1121">
        <f>Airbus!DI108</f>
        <v>0</v>
      </c>
      <c r="DP193" s="1121">
        <f>Airbus!DJ108</f>
        <v>0</v>
      </c>
      <c r="DQ193" s="1735">
        <f>Airbus!DK108</f>
        <v>0</v>
      </c>
      <c r="DR193" s="1733">
        <f>Airbus!DL108</f>
        <v>0</v>
      </c>
      <c r="DS193" s="1121">
        <f>Airbus!DM108</f>
        <v>0</v>
      </c>
      <c r="DT193" s="1735">
        <f>Airbus!DN108</f>
        <v>0</v>
      </c>
      <c r="DU193" s="1736">
        <f>Airbus!DO108</f>
        <v>0</v>
      </c>
      <c r="DV193" s="1735">
        <f>Airbus!DP108</f>
        <v>0</v>
      </c>
      <c r="DW193" s="1735">
        <f>Airbus!DQ108</f>
        <v>0</v>
      </c>
      <c r="DX193" s="1735">
        <f>Airbus!DR108</f>
        <v>0</v>
      </c>
      <c r="DY193" s="1733">
        <f>Airbus!DS108</f>
        <v>0</v>
      </c>
      <c r="DZ193" s="1735">
        <f>Airbus!DT108</f>
        <v>0</v>
      </c>
      <c r="EA193" s="1735">
        <f>Airbus!DU108</f>
        <v>0</v>
      </c>
      <c r="EB193" s="1736">
        <f>Airbus!DV108</f>
        <v>0</v>
      </c>
      <c r="EC193" s="1735">
        <f>Airbus!DW108</f>
        <v>0</v>
      </c>
      <c r="ED193" s="1735">
        <f>Airbus!DX108</f>
        <v>0</v>
      </c>
      <c r="EE193" s="1735">
        <f>Airbus!DY108</f>
        <v>0</v>
      </c>
      <c r="EF193" s="1733">
        <f>Airbus!DZ108</f>
        <v>0</v>
      </c>
      <c r="EG193" s="1735">
        <f>Airbus!EA108</f>
        <v>0</v>
      </c>
      <c r="EH193" s="1735">
        <f>Airbus!EB108</f>
        <v>0</v>
      </c>
      <c r="EI193" s="1736">
        <f>Airbus!EC108</f>
        <v>0</v>
      </c>
      <c r="EJ193" s="1735">
        <f>Airbus!ED108</f>
        <v>0</v>
      </c>
      <c r="EK193" s="1735">
        <f>Airbus!EE108</f>
        <v>0</v>
      </c>
      <c r="EL193" s="1735">
        <f>Airbus!EF108</f>
        <v>0</v>
      </c>
      <c r="EM193" s="1733">
        <f>Airbus!EG108</f>
        <v>0</v>
      </c>
      <c r="EN193" s="1735">
        <f>Airbus!EH108</f>
        <v>0</v>
      </c>
      <c r="EO193" s="1735">
        <f>Airbus!EI108</f>
        <v>0</v>
      </c>
      <c r="EP193" s="1736">
        <f>Airbus!EJ108</f>
        <v>0</v>
      </c>
      <c r="EQ193" s="1735">
        <f>Airbus!EK108</f>
        <v>0</v>
      </c>
      <c r="ER193" s="1735">
        <f>Airbus!EL108</f>
        <v>0</v>
      </c>
      <c r="ES193" s="1735">
        <f>Airbus!EM108</f>
        <v>0</v>
      </c>
      <c r="ET193" s="1733">
        <f>Airbus!EN108</f>
        <v>0</v>
      </c>
      <c r="EU193" s="1735">
        <f>Airbus!EO108</f>
        <v>0</v>
      </c>
      <c r="EV193" s="1735">
        <f>Airbus!EP108</f>
        <v>0</v>
      </c>
      <c r="EW193" s="1736">
        <f>Airbus!EQ108</f>
        <v>0</v>
      </c>
    </row>
    <row r="194" spans="1:153" ht="10.199999999999999" customHeight="1">
      <c r="A194" s="282" t="s">
        <v>382</v>
      </c>
      <c r="B194" s="834"/>
      <c r="C194" s="834"/>
      <c r="D194" s="834"/>
      <c r="E194" s="834"/>
      <c r="F194" s="834"/>
      <c r="G194" s="834"/>
      <c r="H194" s="834"/>
      <c r="I194" s="834"/>
      <c r="J194" s="834"/>
      <c r="K194" s="834"/>
      <c r="L194" s="834"/>
      <c r="M194" s="834"/>
      <c r="N194" s="21"/>
      <c r="O194" s="21"/>
      <c r="P194" s="21"/>
      <c r="Q194" s="1098"/>
      <c r="R194" s="21"/>
      <c r="S194" s="21"/>
      <c r="T194" s="338"/>
      <c r="U194" s="21"/>
      <c r="V194" s="21"/>
      <c r="W194" s="21"/>
      <c r="X194" s="1098"/>
      <c r="Y194" s="21"/>
      <c r="Z194" s="21"/>
      <c r="AA194" s="338"/>
      <c r="AB194" s="21"/>
      <c r="AC194" s="21"/>
      <c r="AD194" s="21"/>
      <c r="AE194" s="1098"/>
      <c r="AF194" s="21"/>
      <c r="AG194" s="21"/>
      <c r="AH194" s="338"/>
      <c r="AI194" s="21"/>
      <c r="AJ194" s="21"/>
      <c r="AK194" s="21"/>
      <c r="AL194" s="1098"/>
      <c r="AM194" s="21"/>
      <c r="AN194" s="21"/>
      <c r="AO194" s="338"/>
      <c r="AP194" s="318">
        <v>0</v>
      </c>
      <c r="AQ194" s="318">
        <v>1</v>
      </c>
      <c r="AR194" s="318">
        <v>2</v>
      </c>
      <c r="AS194" s="1727">
        <v>7</v>
      </c>
      <c r="AT194" s="318">
        <f t="shared" ref="AT194:AT206" si="1200">AP194+AQ194</f>
        <v>1</v>
      </c>
      <c r="AU194" s="318">
        <f t="shared" ref="AU194:AU200" si="1201">AR194+AS194</f>
        <v>9</v>
      </c>
      <c r="AV194" s="1728">
        <f t="shared" ref="AV194:AV200" si="1202">AT194+AU194</f>
        <v>10</v>
      </c>
      <c r="AW194" s="318">
        <v>0</v>
      </c>
      <c r="AX194" s="318">
        <v>1</v>
      </c>
      <c r="AY194" s="318">
        <v>2</v>
      </c>
      <c r="AZ194" s="1727">
        <v>7</v>
      </c>
      <c r="BA194" s="318">
        <f t="shared" ref="BA194:BA200" si="1203">AW194+AX194</f>
        <v>1</v>
      </c>
      <c r="BB194" s="318">
        <f t="shared" ref="BB194:BB200" si="1204">AY194+AZ194</f>
        <v>9</v>
      </c>
      <c r="BC194" s="1728">
        <f t="shared" ref="BC194:BC200" si="1205">BA194+BB194</f>
        <v>10</v>
      </c>
      <c r="BD194" s="1121">
        <v>2</v>
      </c>
      <c r="BE194" s="1121">
        <v>0</v>
      </c>
      <c r="BF194" s="1121">
        <v>1</v>
      </c>
      <c r="BG194" s="714">
        <v>5</v>
      </c>
      <c r="BH194" s="317">
        <v>2</v>
      </c>
      <c r="BI194" s="317">
        <v>6</v>
      </c>
      <c r="BJ194" s="1728">
        <v>8</v>
      </c>
      <c r="BK194" s="1121">
        <v>1</v>
      </c>
      <c r="BL194" s="1121">
        <v>2</v>
      </c>
      <c r="BM194" s="1121">
        <v>1</v>
      </c>
      <c r="BN194" s="714">
        <f t="shared" ref="BN194:BN203" si="1206">BP194-BM194</f>
        <v>0</v>
      </c>
      <c r="BO194" s="317">
        <f t="shared" ref="BO194:BO205" si="1207">BK194+BL194</f>
        <v>3</v>
      </c>
      <c r="BP194" s="317">
        <f t="shared" ref="BP194:BP207" si="1208">BQ194-BO194</f>
        <v>1</v>
      </c>
      <c r="BQ194" s="1728">
        <f>Airbus!BR109</f>
        <v>4</v>
      </c>
      <c r="BR194" s="1121">
        <v>1</v>
      </c>
      <c r="BS194" s="1121">
        <v>2</v>
      </c>
      <c r="BT194" s="1121">
        <v>1</v>
      </c>
      <c r="BU194" s="714">
        <v>0</v>
      </c>
      <c r="BV194" s="317">
        <v>3</v>
      </c>
      <c r="BW194" s="317">
        <v>1</v>
      </c>
      <c r="BX194" s="1728">
        <v>4</v>
      </c>
      <c r="BY194" s="1121">
        <v>0</v>
      </c>
      <c r="BZ194" s="1121">
        <v>1</v>
      </c>
      <c r="CA194" s="1121">
        <v>0</v>
      </c>
      <c r="CB194" s="714">
        <f t="shared" ref="CB194:CB203" si="1209">CD194-CA194</f>
        <v>2</v>
      </c>
      <c r="CC194" s="317">
        <f t="shared" ref="CC194:CC205" si="1210">BY194+BZ194</f>
        <v>1</v>
      </c>
      <c r="CD194" s="317">
        <f t="shared" ref="CD194:CD207" si="1211">CE194-CC194</f>
        <v>2</v>
      </c>
      <c r="CE194" s="1728">
        <f>Airbus!BY109</f>
        <v>3</v>
      </c>
      <c r="CF194" s="1121">
        <v>1</v>
      </c>
      <c r="CG194" s="1121">
        <v>0</v>
      </c>
      <c r="CH194" s="1121">
        <v>1</v>
      </c>
      <c r="CI194" s="714">
        <f t="shared" ref="CI194:CI203" si="1212">CK194-CH194</f>
        <v>0</v>
      </c>
      <c r="CJ194" s="317">
        <f t="shared" ref="CJ194:CJ200" si="1213">CF194+CG194</f>
        <v>1</v>
      </c>
      <c r="CK194" s="317">
        <f t="shared" ref="CK194:CK207" si="1214">CL194-CJ194</f>
        <v>1</v>
      </c>
      <c r="CL194" s="1728">
        <f>Airbus!CF109</f>
        <v>2</v>
      </c>
      <c r="CM194" s="1121">
        <v>0</v>
      </c>
      <c r="CN194" s="1121">
        <v>0</v>
      </c>
      <c r="CO194" s="1121">
        <v>0</v>
      </c>
      <c r="CP194" s="714">
        <f t="shared" ref="CP194:CP203" si="1215">CR194-CO194</f>
        <v>0</v>
      </c>
      <c r="CQ194" s="317">
        <f t="shared" ref="CQ194:CQ200" si="1216">CM194+CN194</f>
        <v>0</v>
      </c>
      <c r="CR194" s="317">
        <f t="shared" ref="CR194:CR207" si="1217">CS194-CQ194</f>
        <v>0</v>
      </c>
      <c r="CS194" s="1728">
        <f>Airbus!CM109</f>
        <v>0</v>
      </c>
      <c r="CT194" s="1121">
        <f>Airbus!CN109</f>
        <v>0</v>
      </c>
      <c r="CU194" s="1121">
        <f>Airbus!CO109</f>
        <v>0</v>
      </c>
      <c r="CV194" s="1121">
        <f>Airbus!CP109</f>
        <v>0</v>
      </c>
      <c r="CW194" s="1732">
        <f>Airbus!CQ109</f>
        <v>0</v>
      </c>
      <c r="CX194" s="1121">
        <f>Airbus!CR109</f>
        <v>0</v>
      </c>
      <c r="CY194" s="1121">
        <f>Airbus!CS109</f>
        <v>0</v>
      </c>
      <c r="CZ194" s="1728">
        <f>Airbus!CT109</f>
        <v>0</v>
      </c>
      <c r="DA194" s="1121">
        <f>Airbus!CU109</f>
        <v>0</v>
      </c>
      <c r="DB194" s="1121">
        <f>Airbus!CV109</f>
        <v>0</v>
      </c>
      <c r="DC194" s="1121">
        <f>Airbus!CW109</f>
        <v>0</v>
      </c>
      <c r="DD194" s="1732">
        <f>Airbus!CX109</f>
        <v>0</v>
      </c>
      <c r="DE194" s="1121">
        <f>Airbus!CY109</f>
        <v>0</v>
      </c>
      <c r="DF194" s="1121">
        <f>Airbus!CZ109</f>
        <v>0</v>
      </c>
      <c r="DG194" s="1728">
        <f>Airbus!DA109</f>
        <v>0</v>
      </c>
      <c r="DH194" s="1121">
        <f>Airbus!DB109</f>
        <v>0</v>
      </c>
      <c r="DI194" s="1121">
        <f>Airbus!DC109</f>
        <v>0</v>
      </c>
      <c r="DJ194" s="1121">
        <f>Airbus!DD109</f>
        <v>0</v>
      </c>
      <c r="DK194" s="1911">
        <f>Airbus!DE109</f>
        <v>0</v>
      </c>
      <c r="DL194" s="1121">
        <f>Airbus!DF109</f>
        <v>0</v>
      </c>
      <c r="DM194" s="1121">
        <f>Airbus!DG109</f>
        <v>0</v>
      </c>
      <c r="DN194" s="1728">
        <f>Airbus!DH109</f>
        <v>0</v>
      </c>
      <c r="DO194" s="1121">
        <f>Airbus!DI109</f>
        <v>0</v>
      </c>
      <c r="DP194" s="1121">
        <f>Airbus!DJ109</f>
        <v>0</v>
      </c>
      <c r="DQ194" s="1735">
        <f>Airbus!DK109</f>
        <v>0</v>
      </c>
      <c r="DR194" s="1733">
        <f>Airbus!DL109</f>
        <v>0</v>
      </c>
      <c r="DS194" s="1121">
        <f>Airbus!DM109</f>
        <v>0</v>
      </c>
      <c r="DT194" s="1735">
        <f>Airbus!DN109</f>
        <v>0</v>
      </c>
      <c r="DU194" s="1736">
        <f>Airbus!DO109</f>
        <v>0</v>
      </c>
      <c r="DV194" s="1735">
        <f>Airbus!DP109</f>
        <v>0</v>
      </c>
      <c r="DW194" s="1735">
        <f>Airbus!DQ109</f>
        <v>0</v>
      </c>
      <c r="DX194" s="1735">
        <f>Airbus!DR109</f>
        <v>0</v>
      </c>
      <c r="DY194" s="1733">
        <f>Airbus!DS109</f>
        <v>0</v>
      </c>
      <c r="DZ194" s="1735">
        <f>Airbus!DT109</f>
        <v>0</v>
      </c>
      <c r="EA194" s="1735">
        <f>Airbus!DU109</f>
        <v>0</v>
      </c>
      <c r="EB194" s="1736">
        <f>Airbus!DV109</f>
        <v>0</v>
      </c>
      <c r="EC194" s="1735">
        <f>Airbus!DW109</f>
        <v>0</v>
      </c>
      <c r="ED194" s="1735">
        <f>Airbus!DX109</f>
        <v>0</v>
      </c>
      <c r="EE194" s="1735">
        <f>Airbus!DY109</f>
        <v>0</v>
      </c>
      <c r="EF194" s="1733">
        <f>Airbus!DZ109</f>
        <v>0</v>
      </c>
      <c r="EG194" s="1735">
        <f>Airbus!EA109</f>
        <v>0</v>
      </c>
      <c r="EH194" s="1735">
        <f>Airbus!EB109</f>
        <v>0</v>
      </c>
      <c r="EI194" s="1736">
        <f>Airbus!EC109</f>
        <v>0</v>
      </c>
      <c r="EJ194" s="1735">
        <f>Airbus!ED109</f>
        <v>0</v>
      </c>
      <c r="EK194" s="1735">
        <f>Airbus!EE109</f>
        <v>0</v>
      </c>
      <c r="EL194" s="1735">
        <f>Airbus!EF109</f>
        <v>0</v>
      </c>
      <c r="EM194" s="1733">
        <f>Airbus!EG109</f>
        <v>0</v>
      </c>
      <c r="EN194" s="1735">
        <f>Airbus!EH109</f>
        <v>0</v>
      </c>
      <c r="EO194" s="1735">
        <f>Airbus!EI109</f>
        <v>0</v>
      </c>
      <c r="EP194" s="1736">
        <f>Airbus!EJ109</f>
        <v>0</v>
      </c>
      <c r="EQ194" s="1735">
        <f>Airbus!EK109</f>
        <v>0</v>
      </c>
      <c r="ER194" s="1735">
        <f>Airbus!EL109</f>
        <v>0</v>
      </c>
      <c r="ES194" s="1735">
        <f>Airbus!EM109</f>
        <v>0</v>
      </c>
      <c r="ET194" s="1733">
        <f>Airbus!EN109</f>
        <v>0</v>
      </c>
      <c r="EU194" s="1735">
        <f>Airbus!EO109</f>
        <v>0</v>
      </c>
      <c r="EV194" s="1735">
        <f>Airbus!EP109</f>
        <v>0</v>
      </c>
      <c r="EW194" s="1736">
        <f>Airbus!EQ109</f>
        <v>0</v>
      </c>
    </row>
    <row r="195" spans="1:153" ht="10.199999999999999" customHeight="1">
      <c r="A195" s="282" t="s">
        <v>377</v>
      </c>
      <c r="B195" s="834"/>
      <c r="C195" s="834"/>
      <c r="D195" s="834"/>
      <c r="E195" s="834"/>
      <c r="F195" s="834"/>
      <c r="G195" s="834"/>
      <c r="H195" s="834"/>
      <c r="I195" s="834"/>
      <c r="J195" s="834"/>
      <c r="K195" s="834"/>
      <c r="L195" s="834"/>
      <c r="M195" s="834"/>
      <c r="N195" s="21"/>
      <c r="O195" s="21"/>
      <c r="P195" s="21"/>
      <c r="Q195" s="1098"/>
      <c r="R195" s="21"/>
      <c r="S195" s="21"/>
      <c r="T195" s="338"/>
      <c r="U195" s="21"/>
      <c r="V195" s="21"/>
      <c r="W195" s="21"/>
      <c r="X195" s="1098"/>
      <c r="Y195" s="21"/>
      <c r="Z195" s="21"/>
      <c r="AA195" s="338"/>
      <c r="AB195" s="21"/>
      <c r="AC195" s="21"/>
      <c r="AD195" s="21"/>
      <c r="AE195" s="1098"/>
      <c r="AF195" s="21"/>
      <c r="AG195" s="21"/>
      <c r="AH195" s="338"/>
      <c r="AI195" s="21"/>
      <c r="AJ195" s="21"/>
      <c r="AK195" s="21"/>
      <c r="AL195" s="1098"/>
      <c r="AM195" s="21"/>
      <c r="AN195" s="21"/>
      <c r="AO195" s="338"/>
      <c r="AP195" s="318">
        <v>36</v>
      </c>
      <c r="AQ195" s="318">
        <v>54</v>
      </c>
      <c r="AR195" s="318">
        <v>38</v>
      </c>
      <c r="AS195" s="1727">
        <v>56</v>
      </c>
      <c r="AT195" s="318">
        <f t="shared" si="1200"/>
        <v>90</v>
      </c>
      <c r="AU195" s="318">
        <f t="shared" si="1201"/>
        <v>94</v>
      </c>
      <c r="AV195" s="1728">
        <f t="shared" si="1202"/>
        <v>184</v>
      </c>
      <c r="AW195" s="318">
        <v>36</v>
      </c>
      <c r="AX195" s="318">
        <v>54</v>
      </c>
      <c r="AY195" s="318">
        <v>38</v>
      </c>
      <c r="AZ195" s="1727">
        <v>56</v>
      </c>
      <c r="BA195" s="318">
        <f t="shared" si="1203"/>
        <v>90</v>
      </c>
      <c r="BB195" s="318">
        <f t="shared" si="1204"/>
        <v>94</v>
      </c>
      <c r="BC195" s="1728">
        <f t="shared" si="1205"/>
        <v>184</v>
      </c>
      <c r="BD195" s="1121">
        <v>35</v>
      </c>
      <c r="BE195" s="1121">
        <v>34</v>
      </c>
      <c r="BF195" s="1121">
        <v>25</v>
      </c>
      <c r="BG195" s="714">
        <v>39</v>
      </c>
      <c r="BH195" s="317">
        <v>69</v>
      </c>
      <c r="BI195" s="317">
        <v>64</v>
      </c>
      <c r="BJ195" s="1728">
        <v>133</v>
      </c>
      <c r="BK195" s="1121">
        <v>15</v>
      </c>
      <c r="BL195" s="1121">
        <v>19</v>
      </c>
      <c r="BM195" s="1121">
        <v>10</v>
      </c>
      <c r="BN195" s="714">
        <f t="shared" si="1206"/>
        <v>5</v>
      </c>
      <c r="BO195" s="317">
        <f t="shared" si="1207"/>
        <v>34</v>
      </c>
      <c r="BP195" s="317">
        <f t="shared" si="1208"/>
        <v>15</v>
      </c>
      <c r="BQ195" s="1728">
        <f>Airbus!BR110</f>
        <v>49</v>
      </c>
      <c r="BR195" s="1121">
        <v>15</v>
      </c>
      <c r="BS195" s="1121">
        <v>19</v>
      </c>
      <c r="BT195" s="1121">
        <v>10</v>
      </c>
      <c r="BU195" s="714">
        <v>5</v>
      </c>
      <c r="BV195" s="317">
        <v>34</v>
      </c>
      <c r="BW195" s="317">
        <v>15</v>
      </c>
      <c r="BX195" s="1728">
        <v>49</v>
      </c>
      <c r="BY195" s="1121">
        <v>1</v>
      </c>
      <c r="BZ195" s="1121">
        <v>0</v>
      </c>
      <c r="CA195" s="1121">
        <v>1</v>
      </c>
      <c r="CB195" s="714">
        <f t="shared" si="1209"/>
        <v>1</v>
      </c>
      <c r="CC195" s="317">
        <f t="shared" si="1210"/>
        <v>1</v>
      </c>
      <c r="CD195" s="317">
        <f t="shared" si="1211"/>
        <v>2</v>
      </c>
      <c r="CE195" s="1728">
        <f>Airbus!BY110</f>
        <v>3</v>
      </c>
      <c r="CF195" s="1121">
        <v>0</v>
      </c>
      <c r="CG195" s="1121">
        <v>0</v>
      </c>
      <c r="CH195" s="1121">
        <v>0</v>
      </c>
      <c r="CI195" s="714">
        <f t="shared" si="1212"/>
        <v>0</v>
      </c>
      <c r="CJ195" s="317">
        <f t="shared" si="1213"/>
        <v>0</v>
      </c>
      <c r="CK195" s="317">
        <f t="shared" si="1214"/>
        <v>0</v>
      </c>
      <c r="CL195" s="1728">
        <f>Airbus!CF110</f>
        <v>0</v>
      </c>
      <c r="CM195" s="1121">
        <v>0</v>
      </c>
      <c r="CN195" s="1121">
        <v>0</v>
      </c>
      <c r="CO195" s="1121">
        <v>0</v>
      </c>
      <c r="CP195" s="714">
        <f t="shared" si="1215"/>
        <v>0</v>
      </c>
      <c r="CQ195" s="317">
        <f t="shared" si="1216"/>
        <v>0</v>
      </c>
      <c r="CR195" s="317">
        <f t="shared" si="1217"/>
        <v>0</v>
      </c>
      <c r="CS195" s="1728">
        <f>Airbus!CM110</f>
        <v>0</v>
      </c>
      <c r="CT195" s="1121">
        <f>Airbus!CN110</f>
        <v>0</v>
      </c>
      <c r="CU195" s="1121">
        <f>Airbus!CO110</f>
        <v>0</v>
      </c>
      <c r="CV195" s="1121">
        <f>Airbus!CP110</f>
        <v>0</v>
      </c>
      <c r="CW195" s="1732">
        <f>Airbus!CQ110</f>
        <v>0</v>
      </c>
      <c r="CX195" s="1121">
        <f>Airbus!CR110</f>
        <v>0</v>
      </c>
      <c r="CY195" s="1121">
        <f>Airbus!CS110</f>
        <v>0</v>
      </c>
      <c r="CZ195" s="1728">
        <f>Airbus!CT110</f>
        <v>0</v>
      </c>
      <c r="DA195" s="1121">
        <f>Airbus!CU110</f>
        <v>0</v>
      </c>
      <c r="DB195" s="1121">
        <f>Airbus!CV110</f>
        <v>0</v>
      </c>
      <c r="DC195" s="1121">
        <f>Airbus!CW110</f>
        <v>0</v>
      </c>
      <c r="DD195" s="1732">
        <f>Airbus!CX110</f>
        <v>0</v>
      </c>
      <c r="DE195" s="1121">
        <f>Airbus!CY110</f>
        <v>0</v>
      </c>
      <c r="DF195" s="1121">
        <f>Airbus!CZ110</f>
        <v>0</v>
      </c>
      <c r="DG195" s="1728">
        <f>Airbus!DA110</f>
        <v>0</v>
      </c>
      <c r="DH195" s="1121">
        <f>Airbus!DB110</f>
        <v>0</v>
      </c>
      <c r="DI195" s="1121">
        <f>Airbus!DC110</f>
        <v>0</v>
      </c>
      <c r="DJ195" s="1121">
        <f>Airbus!DD110</f>
        <v>0</v>
      </c>
      <c r="DK195" s="1911">
        <f>Airbus!DE110</f>
        <v>0</v>
      </c>
      <c r="DL195" s="1121">
        <f>Airbus!DF110</f>
        <v>0</v>
      </c>
      <c r="DM195" s="1121">
        <f>Airbus!DG110</f>
        <v>0</v>
      </c>
      <c r="DN195" s="1728">
        <f>Airbus!DH110</f>
        <v>0</v>
      </c>
      <c r="DO195" s="1121">
        <f>Airbus!DI110</f>
        <v>0</v>
      </c>
      <c r="DP195" s="1121">
        <f>Airbus!DJ110</f>
        <v>0</v>
      </c>
      <c r="DQ195" s="1735">
        <f>Airbus!DK110</f>
        <v>0</v>
      </c>
      <c r="DR195" s="1733">
        <f>Airbus!DL110</f>
        <v>0</v>
      </c>
      <c r="DS195" s="1121">
        <f>Airbus!DM110</f>
        <v>0</v>
      </c>
      <c r="DT195" s="1735">
        <f>Airbus!DN110</f>
        <v>0</v>
      </c>
      <c r="DU195" s="1736">
        <f>Airbus!DO110</f>
        <v>0</v>
      </c>
      <c r="DV195" s="1735">
        <f>Airbus!DP110</f>
        <v>0</v>
      </c>
      <c r="DW195" s="1735">
        <f>Airbus!DQ110</f>
        <v>0</v>
      </c>
      <c r="DX195" s="1735">
        <f>Airbus!DR110</f>
        <v>0</v>
      </c>
      <c r="DY195" s="1733">
        <f>Airbus!DS110</f>
        <v>0</v>
      </c>
      <c r="DZ195" s="1735">
        <f>Airbus!DT110</f>
        <v>0</v>
      </c>
      <c r="EA195" s="1735">
        <f>Airbus!DU110</f>
        <v>0</v>
      </c>
      <c r="EB195" s="1736">
        <f>Airbus!DV110</f>
        <v>0</v>
      </c>
      <c r="EC195" s="1735">
        <f>Airbus!DW110</f>
        <v>0</v>
      </c>
      <c r="ED195" s="1735">
        <f>Airbus!DX110</f>
        <v>0</v>
      </c>
      <c r="EE195" s="1735">
        <f>Airbus!DY110</f>
        <v>0</v>
      </c>
      <c r="EF195" s="1733">
        <f>Airbus!DZ110</f>
        <v>0</v>
      </c>
      <c r="EG195" s="1735">
        <f>Airbus!EA110</f>
        <v>0</v>
      </c>
      <c r="EH195" s="1735">
        <f>Airbus!EB110</f>
        <v>0</v>
      </c>
      <c r="EI195" s="1736">
        <f>Airbus!EC110</f>
        <v>0</v>
      </c>
      <c r="EJ195" s="1735">
        <f>Airbus!ED110</f>
        <v>0</v>
      </c>
      <c r="EK195" s="1735">
        <f>Airbus!EE110</f>
        <v>0</v>
      </c>
      <c r="EL195" s="1735">
        <f>Airbus!EF110</f>
        <v>0</v>
      </c>
      <c r="EM195" s="1733">
        <f>Airbus!EG110</f>
        <v>0</v>
      </c>
      <c r="EN195" s="1735">
        <f>Airbus!EH110</f>
        <v>0</v>
      </c>
      <c r="EO195" s="1735">
        <f>Airbus!EI110</f>
        <v>0</v>
      </c>
      <c r="EP195" s="1736">
        <f>Airbus!EJ110</f>
        <v>0</v>
      </c>
      <c r="EQ195" s="1735">
        <f>Airbus!EK110</f>
        <v>0</v>
      </c>
      <c r="ER195" s="1735">
        <f>Airbus!EL110</f>
        <v>0</v>
      </c>
      <c r="ES195" s="1735">
        <f>Airbus!EM110</f>
        <v>0</v>
      </c>
      <c r="ET195" s="1733">
        <f>Airbus!EN110</f>
        <v>0</v>
      </c>
      <c r="EU195" s="1735">
        <f>Airbus!EO110</f>
        <v>0</v>
      </c>
      <c r="EV195" s="1735">
        <f>Airbus!EP110</f>
        <v>0</v>
      </c>
      <c r="EW195" s="1736">
        <f>Airbus!EQ110</f>
        <v>0</v>
      </c>
    </row>
    <row r="196" spans="1:153" ht="10.199999999999999" customHeight="1">
      <c r="A196" s="282" t="s">
        <v>383</v>
      </c>
      <c r="B196" s="834"/>
      <c r="C196" s="834"/>
      <c r="D196" s="834"/>
      <c r="E196" s="834"/>
      <c r="F196" s="834"/>
      <c r="G196" s="834"/>
      <c r="H196" s="834"/>
      <c r="I196" s="834"/>
      <c r="J196" s="834"/>
      <c r="K196" s="834"/>
      <c r="L196" s="834"/>
      <c r="M196" s="834"/>
      <c r="N196" s="21"/>
      <c r="O196" s="21"/>
      <c r="P196" s="21"/>
      <c r="Q196" s="1098"/>
      <c r="R196" s="21"/>
      <c r="S196" s="21"/>
      <c r="T196" s="338"/>
      <c r="U196" s="21"/>
      <c r="V196" s="21"/>
      <c r="W196" s="21"/>
      <c r="X196" s="1098"/>
      <c r="Y196" s="21"/>
      <c r="Z196" s="21"/>
      <c r="AA196" s="338"/>
      <c r="AB196" s="21"/>
      <c r="AC196" s="21"/>
      <c r="AD196" s="21"/>
      <c r="AE196" s="1098"/>
      <c r="AF196" s="21"/>
      <c r="AG196" s="21"/>
      <c r="AH196" s="338"/>
      <c r="AI196" s="21"/>
      <c r="AJ196" s="21"/>
      <c r="AK196" s="21"/>
      <c r="AL196" s="1098"/>
      <c r="AM196" s="21"/>
      <c r="AN196" s="21"/>
      <c r="AO196" s="338"/>
      <c r="AP196" s="318">
        <v>45</v>
      </c>
      <c r="AQ196" s="318">
        <v>44</v>
      </c>
      <c r="AR196" s="318">
        <v>40</v>
      </c>
      <c r="AS196" s="1727">
        <v>54</v>
      </c>
      <c r="AT196" s="318">
        <f t="shared" si="1200"/>
        <v>89</v>
      </c>
      <c r="AU196" s="318">
        <f t="shared" si="1201"/>
        <v>94</v>
      </c>
      <c r="AV196" s="1728">
        <f t="shared" si="1202"/>
        <v>183</v>
      </c>
      <c r="AW196" s="318">
        <v>45</v>
      </c>
      <c r="AX196" s="318">
        <v>44</v>
      </c>
      <c r="AY196" s="318">
        <v>40</v>
      </c>
      <c r="AZ196" s="1727">
        <v>54</v>
      </c>
      <c r="BA196" s="318">
        <f t="shared" si="1203"/>
        <v>89</v>
      </c>
      <c r="BB196" s="318">
        <f t="shared" si="1204"/>
        <v>94</v>
      </c>
      <c r="BC196" s="1728">
        <f t="shared" si="1205"/>
        <v>183</v>
      </c>
      <c r="BD196" s="1121">
        <v>28</v>
      </c>
      <c r="BE196" s="1121">
        <v>30</v>
      </c>
      <c r="BF196" s="1121">
        <v>18</v>
      </c>
      <c r="BG196" s="714">
        <v>23</v>
      </c>
      <c r="BH196" s="317">
        <v>58</v>
      </c>
      <c r="BI196" s="317">
        <v>41</v>
      </c>
      <c r="BJ196" s="1728">
        <v>99</v>
      </c>
      <c r="BK196" s="1121">
        <v>12</v>
      </c>
      <c r="BL196" s="1121">
        <v>11</v>
      </c>
      <c r="BM196" s="1121">
        <v>13</v>
      </c>
      <c r="BN196" s="714">
        <f t="shared" si="1206"/>
        <v>2</v>
      </c>
      <c r="BO196" s="317">
        <f t="shared" si="1207"/>
        <v>23</v>
      </c>
      <c r="BP196" s="317">
        <f t="shared" si="1208"/>
        <v>15</v>
      </c>
      <c r="BQ196" s="1728">
        <f>Airbus!BR111</f>
        <v>38</v>
      </c>
      <c r="BR196" s="1121">
        <v>12</v>
      </c>
      <c r="BS196" s="1121">
        <v>11</v>
      </c>
      <c r="BT196" s="1121">
        <v>13</v>
      </c>
      <c r="BU196" s="714">
        <v>2</v>
      </c>
      <c r="BV196" s="317">
        <v>23</v>
      </c>
      <c r="BW196" s="317">
        <v>15</v>
      </c>
      <c r="BX196" s="1728">
        <v>38</v>
      </c>
      <c r="BY196" s="1121">
        <v>4</v>
      </c>
      <c r="BZ196" s="1121">
        <v>0</v>
      </c>
      <c r="CA196" s="1121">
        <v>3</v>
      </c>
      <c r="CB196" s="714">
        <f t="shared" si="1209"/>
        <v>2</v>
      </c>
      <c r="CC196" s="317">
        <f t="shared" si="1210"/>
        <v>4</v>
      </c>
      <c r="CD196" s="317">
        <f t="shared" si="1211"/>
        <v>5</v>
      </c>
      <c r="CE196" s="1728">
        <f>Airbus!BY111</f>
        <v>9</v>
      </c>
      <c r="CF196" s="1121">
        <v>8</v>
      </c>
      <c r="CG196" s="1121">
        <v>7</v>
      </c>
      <c r="CH196" s="1121">
        <v>3</v>
      </c>
      <c r="CI196" s="714">
        <f t="shared" si="1212"/>
        <v>4</v>
      </c>
      <c r="CJ196" s="317">
        <f t="shared" si="1213"/>
        <v>15</v>
      </c>
      <c r="CK196" s="317">
        <f t="shared" si="1214"/>
        <v>7</v>
      </c>
      <c r="CL196" s="1728">
        <f>Airbus!CF111</f>
        <v>22</v>
      </c>
      <c r="CM196" s="1121">
        <v>0</v>
      </c>
      <c r="CN196" s="1121">
        <v>0</v>
      </c>
      <c r="CO196" s="1121">
        <v>3</v>
      </c>
      <c r="CP196" s="714">
        <f t="shared" si="1215"/>
        <v>-3</v>
      </c>
      <c r="CQ196" s="317">
        <f t="shared" si="1216"/>
        <v>0</v>
      </c>
      <c r="CR196" s="317">
        <f t="shared" si="1217"/>
        <v>0</v>
      </c>
      <c r="CS196" s="1728">
        <f>Airbus!CM111</f>
        <v>0</v>
      </c>
      <c r="CT196" s="1121">
        <f>Airbus!CN111</f>
        <v>0</v>
      </c>
      <c r="CU196" s="1121">
        <f>Airbus!CO111</f>
        <v>0</v>
      </c>
      <c r="CV196" s="1121">
        <f>Airbus!CP111</f>
        <v>0</v>
      </c>
      <c r="CW196" s="1732">
        <f>Airbus!CQ111</f>
        <v>0</v>
      </c>
      <c r="CX196" s="1121">
        <f>Airbus!CR111</f>
        <v>0</v>
      </c>
      <c r="CY196" s="1121">
        <f>Airbus!CS111</f>
        <v>0</v>
      </c>
      <c r="CZ196" s="1728">
        <f>Airbus!CT111</f>
        <v>0</v>
      </c>
      <c r="DA196" s="1121">
        <f>Airbus!CU111</f>
        <v>0</v>
      </c>
      <c r="DB196" s="1121">
        <f>Airbus!CV111</f>
        <v>0</v>
      </c>
      <c r="DC196" s="1121">
        <f>Airbus!CW111</f>
        <v>0</v>
      </c>
      <c r="DD196" s="1732">
        <f>Airbus!CX111</f>
        <v>0</v>
      </c>
      <c r="DE196" s="1121">
        <f>Airbus!CY111</f>
        <v>0</v>
      </c>
      <c r="DF196" s="1121">
        <f>Airbus!CZ111</f>
        <v>0</v>
      </c>
      <c r="DG196" s="1728">
        <f>Airbus!DA111</f>
        <v>0</v>
      </c>
      <c r="DH196" s="1121">
        <f>Airbus!DB111</f>
        <v>0</v>
      </c>
      <c r="DI196" s="1121">
        <f>Airbus!DC111</f>
        <v>0</v>
      </c>
      <c r="DJ196" s="1121">
        <f>Airbus!DD111</f>
        <v>0</v>
      </c>
      <c r="DK196" s="1911">
        <f>Airbus!DE111</f>
        <v>0</v>
      </c>
      <c r="DL196" s="1121">
        <f>Airbus!DF111</f>
        <v>0</v>
      </c>
      <c r="DM196" s="1121">
        <f>Airbus!DG111</f>
        <v>0</v>
      </c>
      <c r="DN196" s="1728">
        <f>Airbus!DH111</f>
        <v>0</v>
      </c>
      <c r="DO196" s="1121">
        <f>Airbus!DI111</f>
        <v>0</v>
      </c>
      <c r="DP196" s="1121">
        <f>Airbus!DJ111</f>
        <v>0</v>
      </c>
      <c r="DQ196" s="1735">
        <f>Airbus!DK111</f>
        <v>0</v>
      </c>
      <c r="DR196" s="1733">
        <f>Airbus!DL111</f>
        <v>0</v>
      </c>
      <c r="DS196" s="1121">
        <f>Airbus!DM111</f>
        <v>0</v>
      </c>
      <c r="DT196" s="1735">
        <f>Airbus!DN111</f>
        <v>0</v>
      </c>
      <c r="DU196" s="1736">
        <f>Airbus!DO111</f>
        <v>0</v>
      </c>
      <c r="DV196" s="1735">
        <f>Airbus!DP111</f>
        <v>0</v>
      </c>
      <c r="DW196" s="1735">
        <f>Airbus!DQ111</f>
        <v>0</v>
      </c>
      <c r="DX196" s="1735">
        <f>Airbus!DR111</f>
        <v>0</v>
      </c>
      <c r="DY196" s="1733">
        <f>Airbus!DS111</f>
        <v>0</v>
      </c>
      <c r="DZ196" s="1735">
        <f>Airbus!DT111</f>
        <v>0</v>
      </c>
      <c r="EA196" s="1735">
        <f>Airbus!DU111</f>
        <v>0</v>
      </c>
      <c r="EB196" s="1736">
        <f>Airbus!DV111</f>
        <v>0</v>
      </c>
      <c r="EC196" s="1735">
        <f>Airbus!DW111</f>
        <v>0</v>
      </c>
      <c r="ED196" s="1735">
        <f>Airbus!DX111</f>
        <v>0</v>
      </c>
      <c r="EE196" s="1735">
        <f>Airbus!DY111</f>
        <v>0</v>
      </c>
      <c r="EF196" s="1733">
        <f>Airbus!DZ111</f>
        <v>0</v>
      </c>
      <c r="EG196" s="1735">
        <f>Airbus!EA111</f>
        <v>0</v>
      </c>
      <c r="EH196" s="1735">
        <f>Airbus!EB111</f>
        <v>0</v>
      </c>
      <c r="EI196" s="1736">
        <f>Airbus!EC111</f>
        <v>0</v>
      </c>
      <c r="EJ196" s="1735">
        <f>Airbus!ED111</f>
        <v>0</v>
      </c>
      <c r="EK196" s="1735">
        <f>Airbus!EE111</f>
        <v>0</v>
      </c>
      <c r="EL196" s="1735">
        <f>Airbus!EF111</f>
        <v>0</v>
      </c>
      <c r="EM196" s="1733">
        <f>Airbus!EG111</f>
        <v>0</v>
      </c>
      <c r="EN196" s="1735">
        <f>Airbus!EH111</f>
        <v>0</v>
      </c>
      <c r="EO196" s="1735">
        <f>Airbus!EI111</f>
        <v>0</v>
      </c>
      <c r="EP196" s="1736">
        <f>Airbus!EJ111</f>
        <v>0</v>
      </c>
      <c r="EQ196" s="1735">
        <f>Airbus!EK111</f>
        <v>0</v>
      </c>
      <c r="ER196" s="1735">
        <f>Airbus!EL111</f>
        <v>0</v>
      </c>
      <c r="ES196" s="1735">
        <f>Airbus!EM111</f>
        <v>0</v>
      </c>
      <c r="ET196" s="1733">
        <f>Airbus!EN111</f>
        <v>0</v>
      </c>
      <c r="EU196" s="1735">
        <f>Airbus!EO111</f>
        <v>0</v>
      </c>
      <c r="EV196" s="1735">
        <f>Airbus!EP111</f>
        <v>0</v>
      </c>
      <c r="EW196" s="1736">
        <f>Airbus!EQ111</f>
        <v>0</v>
      </c>
    </row>
    <row r="197" spans="1:153" ht="10.199999999999999" customHeight="1">
      <c r="A197" s="282" t="s">
        <v>366</v>
      </c>
      <c r="B197" s="834"/>
      <c r="C197" s="834"/>
      <c r="D197" s="834"/>
      <c r="E197" s="834"/>
      <c r="F197" s="834"/>
      <c r="G197" s="834"/>
      <c r="H197" s="834"/>
      <c r="I197" s="834"/>
      <c r="J197" s="834"/>
      <c r="K197" s="834"/>
      <c r="L197" s="834"/>
      <c r="M197" s="834"/>
      <c r="N197" s="21"/>
      <c r="O197" s="21"/>
      <c r="P197" s="21"/>
      <c r="Q197" s="1098"/>
      <c r="R197" s="21"/>
      <c r="S197" s="21"/>
      <c r="T197" s="338"/>
      <c r="U197" s="21"/>
      <c r="V197" s="21"/>
      <c r="W197" s="21"/>
      <c r="X197" s="1098"/>
      <c r="Y197" s="21"/>
      <c r="Z197" s="21"/>
      <c r="AA197" s="338"/>
      <c r="AB197" s="21"/>
      <c r="AC197" s="21"/>
      <c r="AD197" s="21"/>
      <c r="AE197" s="1098"/>
      <c r="AF197" s="21"/>
      <c r="AG197" s="21"/>
      <c r="AH197" s="338"/>
      <c r="AI197" s="21"/>
      <c r="AJ197" s="21"/>
      <c r="AK197" s="21"/>
      <c r="AL197" s="1098"/>
      <c r="AM197" s="21"/>
      <c r="AN197" s="21"/>
      <c r="AO197" s="338"/>
      <c r="AP197" s="318">
        <v>0</v>
      </c>
      <c r="AQ197" s="318">
        <v>0</v>
      </c>
      <c r="AR197" s="318">
        <v>0</v>
      </c>
      <c r="AS197" s="1727">
        <v>0</v>
      </c>
      <c r="AT197" s="318">
        <f t="shared" si="1200"/>
        <v>0</v>
      </c>
      <c r="AU197" s="318">
        <f t="shared" si="1201"/>
        <v>0</v>
      </c>
      <c r="AV197" s="1728">
        <f t="shared" si="1202"/>
        <v>0</v>
      </c>
      <c r="AW197" s="318">
        <v>0</v>
      </c>
      <c r="AX197" s="318">
        <v>0</v>
      </c>
      <c r="AY197" s="318">
        <v>0</v>
      </c>
      <c r="AZ197" s="1727">
        <v>0</v>
      </c>
      <c r="BA197" s="318">
        <f t="shared" si="1203"/>
        <v>0</v>
      </c>
      <c r="BB197" s="318">
        <f t="shared" si="1204"/>
        <v>0</v>
      </c>
      <c r="BC197" s="1728">
        <f t="shared" si="1205"/>
        <v>0</v>
      </c>
      <c r="BD197" s="1121">
        <v>0</v>
      </c>
      <c r="BE197" s="1121">
        <v>0</v>
      </c>
      <c r="BF197" s="1121">
        <v>0</v>
      </c>
      <c r="BG197" s="714">
        <v>0</v>
      </c>
      <c r="BH197" s="317">
        <v>0</v>
      </c>
      <c r="BI197" s="317">
        <v>0</v>
      </c>
      <c r="BJ197" s="1728">
        <v>0</v>
      </c>
      <c r="BK197" s="1121">
        <v>0</v>
      </c>
      <c r="BL197" s="1121">
        <v>0</v>
      </c>
      <c r="BM197" s="1121">
        <v>1</v>
      </c>
      <c r="BN197" s="714">
        <f t="shared" si="1206"/>
        <v>1</v>
      </c>
      <c r="BO197" s="317">
        <f t="shared" si="1207"/>
        <v>0</v>
      </c>
      <c r="BP197" s="317">
        <f t="shared" si="1208"/>
        <v>2</v>
      </c>
      <c r="BQ197" s="1728">
        <f>Airbus!BR114</f>
        <v>2</v>
      </c>
      <c r="BR197" s="1121">
        <v>0</v>
      </c>
      <c r="BS197" s="1121">
        <v>0</v>
      </c>
      <c r="BT197" s="1121">
        <v>1</v>
      </c>
      <c r="BU197" s="714">
        <v>1</v>
      </c>
      <c r="BV197" s="317">
        <v>0</v>
      </c>
      <c r="BW197" s="317">
        <v>2</v>
      </c>
      <c r="BX197" s="1728">
        <v>2</v>
      </c>
      <c r="BY197" s="1121">
        <v>0</v>
      </c>
      <c r="BZ197" s="1121">
        <v>0</v>
      </c>
      <c r="CA197" s="1121">
        <v>0</v>
      </c>
      <c r="CB197" s="714">
        <f t="shared" si="1209"/>
        <v>0</v>
      </c>
      <c r="CC197" s="317">
        <f t="shared" si="1210"/>
        <v>0</v>
      </c>
      <c r="CD197" s="317">
        <f t="shared" si="1211"/>
        <v>0</v>
      </c>
      <c r="CE197" s="1728">
        <f>Airbus!BY114</f>
        <v>0</v>
      </c>
      <c r="CF197" s="1121">
        <v>1</v>
      </c>
      <c r="CG197" s="1121">
        <v>0</v>
      </c>
      <c r="CH197" s="1121">
        <v>0</v>
      </c>
      <c r="CI197" s="714">
        <f t="shared" si="1212"/>
        <v>1</v>
      </c>
      <c r="CJ197" s="317">
        <f t="shared" si="1213"/>
        <v>1</v>
      </c>
      <c r="CK197" s="317">
        <f t="shared" si="1214"/>
        <v>1</v>
      </c>
      <c r="CL197" s="1728">
        <f>Airbus!CF114</f>
        <v>2</v>
      </c>
      <c r="CM197" s="1121">
        <v>2</v>
      </c>
      <c r="CN197" s="1121">
        <v>1</v>
      </c>
      <c r="CO197" s="1121">
        <v>0</v>
      </c>
      <c r="CP197" s="714">
        <f t="shared" si="1215"/>
        <v>3</v>
      </c>
      <c r="CQ197" s="317">
        <f t="shared" si="1216"/>
        <v>3</v>
      </c>
      <c r="CR197" s="317">
        <f t="shared" si="1217"/>
        <v>3</v>
      </c>
      <c r="CS197" s="1728">
        <f>Airbus!CM114</f>
        <v>6</v>
      </c>
      <c r="CT197" s="1121">
        <f>Airbus!CN114</f>
        <v>2</v>
      </c>
      <c r="CU197" s="1121">
        <f>Airbus!CO114</f>
        <v>1</v>
      </c>
      <c r="CV197" s="1121">
        <f>Airbus!CP114</f>
        <v>3</v>
      </c>
      <c r="CW197" s="1732">
        <f>Airbus!CQ114</f>
        <v>1</v>
      </c>
      <c r="CX197" s="1121">
        <f>Airbus!CR114</f>
        <v>3</v>
      </c>
      <c r="CY197" s="1121">
        <f>Airbus!CS114</f>
        <v>4</v>
      </c>
      <c r="CZ197" s="1728">
        <f>Airbus!CT114</f>
        <v>7</v>
      </c>
      <c r="DA197" s="1121">
        <f>Airbus!CU114</f>
        <v>0</v>
      </c>
      <c r="DB197" s="1121">
        <f>Airbus!CV114</f>
        <v>0</v>
      </c>
      <c r="DC197" s="1121">
        <f>Airbus!CW114</f>
        <v>3</v>
      </c>
      <c r="DD197" s="1732">
        <f>Airbus!CX114</f>
        <v>6</v>
      </c>
      <c r="DE197" s="1121">
        <f>Airbus!CY114</f>
        <v>0</v>
      </c>
      <c r="DF197" s="1121">
        <f>Airbus!CZ114</f>
        <v>9</v>
      </c>
      <c r="DG197" s="1728">
        <f>Airbus!DA114</f>
        <v>9</v>
      </c>
      <c r="DH197" s="1121">
        <f>Airbus!DB114</f>
        <v>4</v>
      </c>
      <c r="DI197" s="1121">
        <f>Airbus!DC114</f>
        <v>2</v>
      </c>
      <c r="DJ197" s="1121">
        <f>Airbus!DD114</f>
        <v>4</v>
      </c>
      <c r="DK197" s="1911">
        <f>Airbus!DE114</f>
        <v>5</v>
      </c>
      <c r="DL197" s="1121">
        <f>Airbus!DF114</f>
        <v>6</v>
      </c>
      <c r="DM197" s="1121">
        <f>Airbus!DG114</f>
        <v>9</v>
      </c>
      <c r="DN197" s="1728">
        <f>Airbus!DH114</f>
        <v>15</v>
      </c>
      <c r="DO197" s="1121">
        <f>Airbus!DI114</f>
        <v>0</v>
      </c>
      <c r="DP197" s="1121">
        <f>Airbus!DJ114</f>
        <v>2</v>
      </c>
      <c r="DQ197" s="1735">
        <f>Airbus!DK114</f>
        <v>1</v>
      </c>
      <c r="DR197" s="1733">
        <f>Airbus!DL114</f>
        <v>2</v>
      </c>
      <c r="DS197" s="1121">
        <f>Airbus!DM114</f>
        <v>2</v>
      </c>
      <c r="DT197" s="1735">
        <f>Airbus!DN114</f>
        <v>3</v>
      </c>
      <c r="DU197" s="1736">
        <f>Airbus!DO114</f>
        <v>5</v>
      </c>
      <c r="DV197" s="1735">
        <f>Airbus!DP114</f>
        <v>1</v>
      </c>
      <c r="DW197" s="1735">
        <f>Airbus!DQ114</f>
        <v>2</v>
      </c>
      <c r="DX197" s="1735">
        <f>Airbus!DR114</f>
        <v>1</v>
      </c>
      <c r="DY197" s="1733">
        <f>Airbus!DS114</f>
        <v>1</v>
      </c>
      <c r="DZ197" s="1735">
        <f>Airbus!DT114</f>
        <v>3</v>
      </c>
      <c r="EA197" s="1735">
        <f>Airbus!DU114</f>
        <v>2</v>
      </c>
      <c r="EB197" s="1736">
        <f>Airbus!DV114</f>
        <v>5</v>
      </c>
      <c r="EC197" s="1735">
        <f>Airbus!DW114</f>
        <v>1</v>
      </c>
      <c r="ED197" s="1735">
        <f>Airbus!DX114</f>
        <v>2</v>
      </c>
      <c r="EE197" s="1735">
        <f>Airbus!DY114</f>
        <v>1</v>
      </c>
      <c r="EF197" s="1733">
        <f>Airbus!DZ114</f>
        <v>1</v>
      </c>
      <c r="EG197" s="1735">
        <f>Airbus!EA114</f>
        <v>3</v>
      </c>
      <c r="EH197" s="1735">
        <f>Airbus!EB114</f>
        <v>2</v>
      </c>
      <c r="EI197" s="1736">
        <f>Airbus!EC114</f>
        <v>5</v>
      </c>
      <c r="EJ197" s="1735">
        <f>Airbus!ED114</f>
        <v>1</v>
      </c>
      <c r="EK197" s="1735">
        <f>Airbus!EE114</f>
        <v>2</v>
      </c>
      <c r="EL197" s="1735">
        <f>Airbus!EF114</f>
        <v>1</v>
      </c>
      <c r="EM197" s="1733">
        <f>Airbus!EG114</f>
        <v>1</v>
      </c>
      <c r="EN197" s="1735">
        <f>Airbus!EH114</f>
        <v>3</v>
      </c>
      <c r="EO197" s="1735">
        <f>Airbus!EI114</f>
        <v>2</v>
      </c>
      <c r="EP197" s="1736">
        <f>Airbus!EJ114</f>
        <v>5</v>
      </c>
      <c r="EQ197" s="1735">
        <f>Airbus!EK114</f>
        <v>1</v>
      </c>
      <c r="ER197" s="1735">
        <f>Airbus!EL114</f>
        <v>2</v>
      </c>
      <c r="ES197" s="1735">
        <f>Airbus!EM114</f>
        <v>1</v>
      </c>
      <c r="ET197" s="1733">
        <f>Airbus!EN114</f>
        <v>1</v>
      </c>
      <c r="EU197" s="1735">
        <f>Airbus!EO114</f>
        <v>3</v>
      </c>
      <c r="EV197" s="1735">
        <f>Airbus!EP114</f>
        <v>2</v>
      </c>
      <c r="EW197" s="1736">
        <f>Airbus!EQ114</f>
        <v>5</v>
      </c>
    </row>
    <row r="198" spans="1:153" ht="10.199999999999999" customHeight="1">
      <c r="A198" s="282" t="s">
        <v>378</v>
      </c>
      <c r="B198" s="834"/>
      <c r="C198" s="834"/>
      <c r="D198" s="834"/>
      <c r="E198" s="834"/>
      <c r="F198" s="834"/>
      <c r="G198" s="834"/>
      <c r="H198" s="834"/>
      <c r="I198" s="834"/>
      <c r="J198" s="834"/>
      <c r="K198" s="834"/>
      <c r="L198" s="834"/>
      <c r="M198" s="834"/>
      <c r="N198" s="21"/>
      <c r="O198" s="21"/>
      <c r="P198" s="21"/>
      <c r="Q198" s="1098"/>
      <c r="R198" s="21"/>
      <c r="S198" s="21"/>
      <c r="T198" s="338"/>
      <c r="U198" s="21"/>
      <c r="V198" s="21"/>
      <c r="W198" s="21"/>
      <c r="X198" s="1098"/>
      <c r="Y198" s="21"/>
      <c r="Z198" s="21"/>
      <c r="AA198" s="338"/>
      <c r="AB198" s="21"/>
      <c r="AC198" s="21"/>
      <c r="AD198" s="21"/>
      <c r="AE198" s="1098"/>
      <c r="AF198" s="21"/>
      <c r="AG198" s="21"/>
      <c r="AH198" s="338"/>
      <c r="AI198" s="21"/>
      <c r="AJ198" s="21"/>
      <c r="AK198" s="21"/>
      <c r="AL198" s="1098"/>
      <c r="AM198" s="21"/>
      <c r="AN198" s="21"/>
      <c r="AO198" s="338"/>
      <c r="AP198" s="318">
        <v>26</v>
      </c>
      <c r="AQ198" s="318">
        <v>28</v>
      </c>
      <c r="AR198" s="318">
        <v>28</v>
      </c>
      <c r="AS198" s="1727">
        <v>79</v>
      </c>
      <c r="AT198" s="318">
        <f t="shared" si="1200"/>
        <v>54</v>
      </c>
      <c r="AU198" s="318">
        <f t="shared" si="1201"/>
        <v>107</v>
      </c>
      <c r="AV198" s="1728">
        <f t="shared" si="1202"/>
        <v>161</v>
      </c>
      <c r="AW198" s="318">
        <v>26</v>
      </c>
      <c r="AX198" s="318">
        <v>28</v>
      </c>
      <c r="AY198" s="318">
        <v>28</v>
      </c>
      <c r="AZ198" s="1727">
        <v>79</v>
      </c>
      <c r="BA198" s="318">
        <f t="shared" si="1203"/>
        <v>54</v>
      </c>
      <c r="BB198" s="318">
        <f t="shared" si="1204"/>
        <v>107</v>
      </c>
      <c r="BC198" s="1728">
        <f t="shared" si="1205"/>
        <v>161</v>
      </c>
      <c r="BD198" s="1121">
        <v>24</v>
      </c>
      <c r="BE198" s="1121">
        <v>52</v>
      </c>
      <c r="BF198" s="1121">
        <v>81</v>
      </c>
      <c r="BG198" s="714">
        <v>127</v>
      </c>
      <c r="BH198" s="317">
        <v>76</v>
      </c>
      <c r="BI198" s="317">
        <v>208</v>
      </c>
      <c r="BJ198" s="1728">
        <v>284</v>
      </c>
      <c r="BK198" s="1121">
        <v>75</v>
      </c>
      <c r="BL198" s="1121">
        <v>88</v>
      </c>
      <c r="BM198" s="1121">
        <v>72</v>
      </c>
      <c r="BN198" s="714">
        <f t="shared" si="1206"/>
        <v>146</v>
      </c>
      <c r="BO198" s="317">
        <f t="shared" si="1207"/>
        <v>163</v>
      </c>
      <c r="BP198" s="317">
        <f t="shared" si="1208"/>
        <v>218</v>
      </c>
      <c r="BQ198" s="1728">
        <f>Airbus!BR115</f>
        <v>381</v>
      </c>
      <c r="BR198" s="1121">
        <v>75</v>
      </c>
      <c r="BS198" s="1121">
        <v>88</v>
      </c>
      <c r="BT198" s="1121">
        <v>72</v>
      </c>
      <c r="BU198" s="714">
        <v>146</v>
      </c>
      <c r="BV198" s="317">
        <v>163</v>
      </c>
      <c r="BW198" s="317">
        <v>218</v>
      </c>
      <c r="BX198" s="1728">
        <v>381</v>
      </c>
      <c r="BY198" s="1121">
        <v>61</v>
      </c>
      <c r="BZ198" s="1121">
        <v>36</v>
      </c>
      <c r="CA198" s="1121">
        <v>78</v>
      </c>
      <c r="CB198" s="714">
        <f t="shared" si="1209"/>
        <v>78</v>
      </c>
      <c r="CC198" s="317">
        <f t="shared" si="1210"/>
        <v>97</v>
      </c>
      <c r="CD198" s="317">
        <f t="shared" si="1211"/>
        <v>156</v>
      </c>
      <c r="CE198" s="1728">
        <f>Airbus!BY115</f>
        <v>253</v>
      </c>
      <c r="CF198" s="1121">
        <v>57</v>
      </c>
      <c r="CG198" s="1121">
        <v>68</v>
      </c>
      <c r="CH198" s="1121">
        <v>58</v>
      </c>
      <c r="CI198" s="714">
        <f t="shared" si="1212"/>
        <v>75</v>
      </c>
      <c r="CJ198" s="317">
        <f t="shared" si="1213"/>
        <v>125</v>
      </c>
      <c r="CK198" s="317">
        <f t="shared" si="1214"/>
        <v>133</v>
      </c>
      <c r="CL198" s="1728">
        <f>Airbus!CF115</f>
        <v>258</v>
      </c>
      <c r="CM198" s="1121">
        <v>49</v>
      </c>
      <c r="CN198" s="1121">
        <v>60</v>
      </c>
      <c r="CO198" s="1121">
        <v>80</v>
      </c>
      <c r="CP198" s="714">
        <f t="shared" si="1215"/>
        <v>57</v>
      </c>
      <c r="CQ198" s="317">
        <f t="shared" si="1216"/>
        <v>109</v>
      </c>
      <c r="CR198" s="317">
        <f t="shared" si="1217"/>
        <v>137</v>
      </c>
      <c r="CS198" s="1728">
        <f>Airbus!CM115</f>
        <v>246</v>
      </c>
      <c r="CT198" s="1121">
        <f>Airbus!CN115</f>
        <v>45</v>
      </c>
      <c r="CU198" s="1121">
        <f>Airbus!CO115</f>
        <v>61</v>
      </c>
      <c r="CV198" s="1121">
        <f>Airbus!CP115</f>
        <v>57</v>
      </c>
      <c r="CW198" s="1732">
        <f>Airbus!CQ115</f>
        <v>84</v>
      </c>
      <c r="CX198" s="1121">
        <f>Airbus!CR115</f>
        <v>106</v>
      </c>
      <c r="CY198" s="1121">
        <f>Airbus!CS115</f>
        <v>141</v>
      </c>
      <c r="CZ198" s="1728">
        <f>Airbus!CT115</f>
        <v>247</v>
      </c>
      <c r="DA198" s="1121">
        <f>Airbus!CU115</f>
        <v>54</v>
      </c>
      <c r="DB198" s="1121">
        <f>Airbus!CV115</f>
        <v>60</v>
      </c>
      <c r="DC198" s="1121">
        <f>Airbus!CW115</f>
        <v>48</v>
      </c>
      <c r="DD198" s="1732">
        <f>Airbus!CX115</f>
        <v>70</v>
      </c>
      <c r="DE198" s="1121">
        <f>Airbus!CY115</f>
        <v>114</v>
      </c>
      <c r="DF198" s="1121">
        <f>Airbus!CZ115</f>
        <v>118</v>
      </c>
      <c r="DG198" s="1728">
        <f>Airbus!DA115</f>
        <v>232</v>
      </c>
      <c r="DH198" s="1121">
        <f>Airbus!DB115</f>
        <v>37</v>
      </c>
      <c r="DI198" s="1121">
        <f>Airbus!DC115</f>
        <v>46</v>
      </c>
      <c r="DJ198" s="1121">
        <f>Airbus!DD115</f>
        <v>49</v>
      </c>
      <c r="DK198" s="1911">
        <f>Airbus!DE115</f>
        <v>73</v>
      </c>
      <c r="DL198" s="1121">
        <f>Airbus!DF115</f>
        <v>83</v>
      </c>
      <c r="DM198" s="1121">
        <f>Airbus!DG115</f>
        <v>122</v>
      </c>
      <c r="DN198" s="1728">
        <f>Airbus!DH115</f>
        <v>205</v>
      </c>
      <c r="DO198" s="1121">
        <f>Airbus!DI115</f>
        <v>26</v>
      </c>
      <c r="DP198" s="1121">
        <f>Airbus!DJ115</f>
        <v>76</v>
      </c>
      <c r="DQ198" s="1735">
        <f>Airbus!DK115</f>
        <v>47</v>
      </c>
      <c r="DR198" s="1733">
        <f>Airbus!DL115</f>
        <v>74.550000000000011</v>
      </c>
      <c r="DS198" s="1121">
        <f>Airbus!DM115</f>
        <v>102</v>
      </c>
      <c r="DT198" s="1735">
        <f>Airbus!DN115</f>
        <v>121.55000000000001</v>
      </c>
      <c r="DU198" s="1736">
        <f>Airbus!DO115</f>
        <v>223.55</v>
      </c>
      <c r="DV198" s="1735">
        <f>Airbus!DP115</f>
        <v>50.750000000000014</v>
      </c>
      <c r="DW198" s="1735">
        <f>Airbus!DQ115</f>
        <v>54.062500000000014</v>
      </c>
      <c r="DX198" s="1735">
        <f>Airbus!DR115</f>
        <v>55.0625</v>
      </c>
      <c r="DY198" s="1733">
        <f>Airbus!DS115</f>
        <v>55.062499999999972</v>
      </c>
      <c r="DZ198" s="1735">
        <f>Airbus!DT115</f>
        <v>104.81250000000003</v>
      </c>
      <c r="EA198" s="1735">
        <f>Airbus!DU115</f>
        <v>110.12499999999997</v>
      </c>
      <c r="EB198" s="1736">
        <f>Airbus!DV115</f>
        <v>214.9375</v>
      </c>
      <c r="EC198" s="1735">
        <f>Airbus!DW115</f>
        <v>55.0625</v>
      </c>
      <c r="ED198" s="1735">
        <f>Airbus!DX115</f>
        <v>58.375</v>
      </c>
      <c r="EE198" s="1735">
        <f>Airbus!DY115</f>
        <v>59.375</v>
      </c>
      <c r="EF198" s="1733">
        <f>Airbus!DZ115</f>
        <v>19.84375</v>
      </c>
      <c r="EG198" s="1735">
        <f>Airbus!EA115</f>
        <v>113.4375</v>
      </c>
      <c r="EH198" s="1735">
        <f>Airbus!EB115</f>
        <v>79.21875</v>
      </c>
      <c r="EI198" s="1736">
        <f>Airbus!EC115</f>
        <v>192.65625</v>
      </c>
      <c r="EJ198" s="1735">
        <f>Airbus!ED115</f>
        <v>59.375</v>
      </c>
      <c r="EK198" s="1735">
        <f>Airbus!EE115</f>
        <v>58.375</v>
      </c>
      <c r="EL198" s="1735">
        <f>Airbus!EF115</f>
        <v>59.375</v>
      </c>
      <c r="EM198" s="1733">
        <f>Airbus!EG115</f>
        <v>19.125</v>
      </c>
      <c r="EN198" s="1735">
        <f>Airbus!EH115</f>
        <v>117.75</v>
      </c>
      <c r="EO198" s="1735">
        <f>Airbus!EI115</f>
        <v>78.5</v>
      </c>
      <c r="EP198" s="1736">
        <f>Airbus!EJ115</f>
        <v>196.25</v>
      </c>
      <c r="EQ198" s="1735">
        <f>Airbus!EK115</f>
        <v>59.375</v>
      </c>
      <c r="ER198" s="1735">
        <f>Airbus!EL115</f>
        <v>58.375</v>
      </c>
      <c r="ES198" s="1735">
        <f>Airbus!EM115</f>
        <v>59.375</v>
      </c>
      <c r="ET198" s="1733">
        <f>Airbus!EN115</f>
        <v>19.125</v>
      </c>
      <c r="EU198" s="1735">
        <f>Airbus!EO115</f>
        <v>117.75</v>
      </c>
      <c r="EV198" s="1735">
        <f>Airbus!EP115</f>
        <v>78.5</v>
      </c>
      <c r="EW198" s="1736">
        <f>Airbus!EQ115</f>
        <v>196.25</v>
      </c>
    </row>
    <row r="199" spans="1:153" ht="10.199999999999999" customHeight="1">
      <c r="A199" s="282" t="s">
        <v>368</v>
      </c>
      <c r="B199" s="834"/>
      <c r="C199" s="834"/>
      <c r="D199" s="834"/>
      <c r="E199" s="834"/>
      <c r="F199" s="834"/>
      <c r="G199" s="834"/>
      <c r="H199" s="834"/>
      <c r="I199" s="834"/>
      <c r="J199" s="834"/>
      <c r="K199" s="834"/>
      <c r="L199" s="834"/>
      <c r="M199" s="834"/>
      <c r="N199" s="21"/>
      <c r="O199" s="21"/>
      <c r="P199" s="21"/>
      <c r="Q199" s="1098"/>
      <c r="R199" s="21"/>
      <c r="S199" s="21"/>
      <c r="T199" s="338"/>
      <c r="U199" s="21"/>
      <c r="V199" s="21"/>
      <c r="W199" s="21"/>
      <c r="X199" s="1098"/>
      <c r="Y199" s="21"/>
      <c r="Z199" s="21"/>
      <c r="AA199" s="338"/>
      <c r="AB199" s="21"/>
      <c r="AC199" s="21"/>
      <c r="AD199" s="21"/>
      <c r="AE199" s="1098"/>
      <c r="AF199" s="21"/>
      <c r="AG199" s="21"/>
      <c r="AH199" s="338"/>
      <c r="AI199" s="21"/>
      <c r="AJ199" s="21"/>
      <c r="AK199" s="21"/>
      <c r="AL199" s="1098"/>
      <c r="AM199" s="21"/>
      <c r="AN199" s="21"/>
      <c r="AO199" s="338"/>
      <c r="AP199" s="318">
        <v>0</v>
      </c>
      <c r="AQ199" s="318">
        <v>5</v>
      </c>
      <c r="AR199" s="318">
        <v>3</v>
      </c>
      <c r="AS199" s="1727">
        <v>12</v>
      </c>
      <c r="AT199" s="318">
        <f t="shared" si="1200"/>
        <v>5</v>
      </c>
      <c r="AU199" s="318">
        <f t="shared" si="1201"/>
        <v>15</v>
      </c>
      <c r="AV199" s="1728">
        <f t="shared" si="1202"/>
        <v>20</v>
      </c>
      <c r="AW199" s="318">
        <v>0</v>
      </c>
      <c r="AX199" s="318">
        <v>5</v>
      </c>
      <c r="AY199" s="318">
        <v>3</v>
      </c>
      <c r="AZ199" s="1727">
        <v>12</v>
      </c>
      <c r="BA199" s="318">
        <f t="shared" si="1203"/>
        <v>5</v>
      </c>
      <c r="BB199" s="318">
        <f t="shared" si="1204"/>
        <v>15</v>
      </c>
      <c r="BC199" s="1728">
        <f t="shared" si="1205"/>
        <v>20</v>
      </c>
      <c r="BD199" s="1121">
        <v>6</v>
      </c>
      <c r="BE199" s="1121">
        <v>28</v>
      </c>
      <c r="BF199" s="1121">
        <v>31</v>
      </c>
      <c r="BG199" s="714">
        <v>37</v>
      </c>
      <c r="BH199" s="317">
        <v>34</v>
      </c>
      <c r="BI199" s="317">
        <v>68</v>
      </c>
      <c r="BJ199" s="1728">
        <v>102</v>
      </c>
      <c r="BK199" s="1121">
        <v>27</v>
      </c>
      <c r="BL199" s="1121">
        <v>44</v>
      </c>
      <c r="BM199" s="1121">
        <v>31</v>
      </c>
      <c r="BN199" s="714">
        <f t="shared" si="1206"/>
        <v>66</v>
      </c>
      <c r="BO199" s="317">
        <f t="shared" si="1207"/>
        <v>71</v>
      </c>
      <c r="BP199" s="317">
        <f t="shared" si="1208"/>
        <v>97</v>
      </c>
      <c r="BQ199" s="1728">
        <f>Airbus!BR116</f>
        <v>168</v>
      </c>
      <c r="BR199" s="1121">
        <v>27</v>
      </c>
      <c r="BS199" s="1121">
        <v>44</v>
      </c>
      <c r="BT199" s="1121">
        <v>31</v>
      </c>
      <c r="BU199" s="714">
        <v>66</v>
      </c>
      <c r="BV199" s="317">
        <v>71</v>
      </c>
      <c r="BW199" s="317">
        <v>97</v>
      </c>
      <c r="BX199" s="1728">
        <v>168</v>
      </c>
      <c r="BY199" s="1121">
        <v>30</v>
      </c>
      <c r="BZ199" s="1121">
        <v>24</v>
      </c>
      <c r="CA199" s="1121">
        <v>43</v>
      </c>
      <c r="CB199" s="714">
        <f t="shared" si="1209"/>
        <v>81</v>
      </c>
      <c r="CC199" s="317">
        <f t="shared" si="1210"/>
        <v>54</v>
      </c>
      <c r="CD199" s="317">
        <f t="shared" si="1211"/>
        <v>124</v>
      </c>
      <c r="CE199" s="1728">
        <f>Airbus!BY116</f>
        <v>178</v>
      </c>
      <c r="CF199" s="1121">
        <v>38</v>
      </c>
      <c r="CG199" s="1121">
        <v>57</v>
      </c>
      <c r="CH199" s="1121">
        <v>42</v>
      </c>
      <c r="CI199" s="714">
        <f t="shared" si="1212"/>
        <v>62</v>
      </c>
      <c r="CJ199" s="317">
        <f t="shared" si="1213"/>
        <v>95</v>
      </c>
      <c r="CK199" s="317">
        <f t="shared" si="1214"/>
        <v>104</v>
      </c>
      <c r="CL199" s="1728">
        <f>Airbus!CF116</f>
        <v>199</v>
      </c>
      <c r="CM199" s="1121">
        <v>58</v>
      </c>
      <c r="CN199" s="1121">
        <v>60</v>
      </c>
      <c r="CO199" s="1121">
        <v>60</v>
      </c>
      <c r="CP199" s="714">
        <f t="shared" si="1215"/>
        <v>86</v>
      </c>
      <c r="CQ199" s="317">
        <f t="shared" si="1216"/>
        <v>118</v>
      </c>
      <c r="CR199" s="317">
        <f t="shared" si="1217"/>
        <v>146</v>
      </c>
      <c r="CS199" s="1728">
        <f>Airbus!CM116</f>
        <v>264</v>
      </c>
      <c r="CT199" s="1121">
        <f>Airbus!CN116</f>
        <v>59</v>
      </c>
      <c r="CU199" s="1121">
        <f>Airbus!CO116</f>
        <v>88</v>
      </c>
      <c r="CV199" s="1121">
        <f>Airbus!CP116</f>
        <v>75</v>
      </c>
      <c r="CW199" s="1732">
        <f>Airbus!CQ116</f>
        <v>95</v>
      </c>
      <c r="CX199" s="1121">
        <f>Airbus!CR116</f>
        <v>147</v>
      </c>
      <c r="CY199" s="1121">
        <f>Airbus!CS116</f>
        <v>170</v>
      </c>
      <c r="CZ199" s="1728">
        <f>Airbus!CT116</f>
        <v>317</v>
      </c>
      <c r="DA199" s="1121">
        <f>Airbus!CU116</f>
        <v>62</v>
      </c>
      <c r="DB199" s="1121">
        <f>Airbus!CV116</f>
        <v>85</v>
      </c>
      <c r="DC199" s="1121">
        <f>Airbus!CW116</f>
        <v>84</v>
      </c>
      <c r="DD199" s="1732">
        <f>Airbus!CX116</f>
        <v>130</v>
      </c>
      <c r="DE199" s="1121">
        <f>Airbus!CY116</f>
        <v>147</v>
      </c>
      <c r="DF199" s="1121">
        <f>Airbus!CZ116</f>
        <v>214</v>
      </c>
      <c r="DG199" s="1728">
        <f>Airbus!DA116</f>
        <v>361</v>
      </c>
      <c r="DH199" s="1121">
        <f>Airbus!DB116</f>
        <v>65</v>
      </c>
      <c r="DI199" s="1121">
        <f>Airbus!DC116</f>
        <v>78</v>
      </c>
      <c r="DJ199" s="1121">
        <f>Airbus!DD116</f>
        <v>107</v>
      </c>
      <c r="DK199" s="1911">
        <f>Airbus!DE116</f>
        <v>137</v>
      </c>
      <c r="DL199" s="1121">
        <f>Airbus!DF116</f>
        <v>143</v>
      </c>
      <c r="DM199" s="1121">
        <f>Airbus!DG116</f>
        <v>244</v>
      </c>
      <c r="DN199" s="1728">
        <f>Airbus!DH116</f>
        <v>387</v>
      </c>
      <c r="DO199" s="1121">
        <f>Airbus!DI116</f>
        <v>55</v>
      </c>
      <c r="DP199" s="1121">
        <f>Airbus!DJ116</f>
        <v>112</v>
      </c>
      <c r="DQ199" s="1735">
        <f>Airbus!DK116</f>
        <v>112</v>
      </c>
      <c r="DR199" s="1733">
        <f>Airbus!DL116</f>
        <v>145.44999999999999</v>
      </c>
      <c r="DS199" s="1121">
        <f>Airbus!DM116</f>
        <v>167</v>
      </c>
      <c r="DT199" s="1735">
        <f>Airbus!DN116</f>
        <v>257.45</v>
      </c>
      <c r="DU199" s="1736">
        <f>Airbus!DO116</f>
        <v>424.45</v>
      </c>
      <c r="DV199" s="1735">
        <f>Airbus!DP116</f>
        <v>120.74999999999999</v>
      </c>
      <c r="DW199" s="1735">
        <f>Airbus!DQ116</f>
        <v>130.8125</v>
      </c>
      <c r="DX199" s="1735">
        <f>Airbus!DR116</f>
        <v>130.8125</v>
      </c>
      <c r="DY199" s="1733">
        <f>Airbus!DS116</f>
        <v>130.8125</v>
      </c>
      <c r="DZ199" s="1735">
        <f>Airbus!DT116</f>
        <v>251.56249999999997</v>
      </c>
      <c r="EA199" s="1735">
        <f>Airbus!DU116</f>
        <v>261.625</v>
      </c>
      <c r="EB199" s="1736">
        <f>Airbus!DV116</f>
        <v>513.1875</v>
      </c>
      <c r="EC199" s="1735">
        <f>Airbus!DW116</f>
        <v>130.8125</v>
      </c>
      <c r="ED199" s="1735">
        <f>Airbus!DX116</f>
        <v>140.875</v>
      </c>
      <c r="EE199" s="1735">
        <f>Airbus!DY116</f>
        <v>140.875</v>
      </c>
      <c r="EF199" s="1733">
        <f>Airbus!DZ116</f>
        <v>180.40625</v>
      </c>
      <c r="EG199" s="1735">
        <f>Airbus!EA116</f>
        <v>271.6875</v>
      </c>
      <c r="EH199" s="1735">
        <f>Airbus!EB116</f>
        <v>321.28125</v>
      </c>
      <c r="EI199" s="1736">
        <f>Airbus!EC116</f>
        <v>592.96875</v>
      </c>
      <c r="EJ199" s="1735">
        <f>Airbus!ED116</f>
        <v>140.875</v>
      </c>
      <c r="EK199" s="1735">
        <f>Airbus!EE116</f>
        <v>140.875</v>
      </c>
      <c r="EL199" s="1735">
        <f>Airbus!EF116</f>
        <v>140.875</v>
      </c>
      <c r="EM199" s="1733">
        <f>Airbus!EG116</f>
        <v>181.125</v>
      </c>
      <c r="EN199" s="1735">
        <f>Airbus!EH116</f>
        <v>281.75</v>
      </c>
      <c r="EO199" s="1735">
        <f>Airbus!EI116</f>
        <v>322</v>
      </c>
      <c r="EP199" s="1736">
        <f>Airbus!EJ116</f>
        <v>603.75</v>
      </c>
      <c r="EQ199" s="1735">
        <f>Airbus!EK116</f>
        <v>140.875</v>
      </c>
      <c r="ER199" s="1735">
        <f>Airbus!EL116</f>
        <v>140.875</v>
      </c>
      <c r="ES199" s="1735">
        <f>Airbus!EM116</f>
        <v>140.875</v>
      </c>
      <c r="ET199" s="1733">
        <f>Airbus!EN116</f>
        <v>181.125</v>
      </c>
      <c r="EU199" s="1735">
        <f>Airbus!EO116</f>
        <v>281.75</v>
      </c>
      <c r="EV199" s="1735">
        <f>Airbus!EP116</f>
        <v>322</v>
      </c>
      <c r="EW199" s="1736">
        <f>Airbus!EQ116</f>
        <v>603.75</v>
      </c>
    </row>
    <row r="200" spans="1:153" ht="10.199999999999999" customHeight="1">
      <c r="A200" s="289" t="s">
        <v>629</v>
      </c>
      <c r="B200" s="834"/>
      <c r="C200" s="834"/>
      <c r="D200" s="834"/>
      <c r="E200" s="834"/>
      <c r="F200" s="834"/>
      <c r="G200" s="834"/>
      <c r="H200" s="834"/>
      <c r="I200" s="834"/>
      <c r="J200" s="834"/>
      <c r="K200" s="834"/>
      <c r="L200" s="834"/>
      <c r="M200" s="834"/>
      <c r="N200" s="21"/>
      <c r="O200" s="21"/>
      <c r="P200" s="21"/>
      <c r="Q200" s="1098"/>
      <c r="R200" s="21"/>
      <c r="S200" s="21"/>
      <c r="T200" s="338"/>
      <c r="U200" s="21"/>
      <c r="V200" s="21"/>
      <c r="W200" s="21"/>
      <c r="X200" s="1098"/>
      <c r="Y200" s="21"/>
      <c r="Z200" s="21"/>
      <c r="AA200" s="338"/>
      <c r="AB200" s="21"/>
      <c r="AC200" s="21"/>
      <c r="AD200" s="21"/>
      <c r="AE200" s="1098"/>
      <c r="AF200" s="21"/>
      <c r="AG200" s="21"/>
      <c r="AH200" s="338"/>
      <c r="AI200" s="21"/>
      <c r="AJ200" s="21"/>
      <c r="AK200" s="21"/>
      <c r="AL200" s="1098"/>
      <c r="AM200" s="21"/>
      <c r="AN200" s="21"/>
      <c r="AO200" s="338"/>
      <c r="AP200" s="320">
        <f>SUM(AP193:AP199)</f>
        <v>107</v>
      </c>
      <c r="AQ200" s="320">
        <f>SUM(AQ193:AQ199)</f>
        <v>132</v>
      </c>
      <c r="AR200" s="320">
        <f>SUM(AR193:AR199)</f>
        <v>111</v>
      </c>
      <c r="AS200" s="1729">
        <f>SUM(AS193:AS199)</f>
        <v>208</v>
      </c>
      <c r="AT200" s="320">
        <f t="shared" si="1200"/>
        <v>239</v>
      </c>
      <c r="AU200" s="320">
        <f t="shared" si="1201"/>
        <v>319</v>
      </c>
      <c r="AV200" s="1730">
        <f t="shared" si="1202"/>
        <v>558</v>
      </c>
      <c r="AW200" s="320">
        <f>SUM(AW193:AW199)</f>
        <v>107</v>
      </c>
      <c r="AX200" s="320">
        <f>SUM(AX193:AX199)</f>
        <v>132</v>
      </c>
      <c r="AY200" s="320">
        <f>SUM(AY193:AY199)</f>
        <v>111</v>
      </c>
      <c r="AZ200" s="1729">
        <f>SUM(AZ193:AZ199)</f>
        <v>208</v>
      </c>
      <c r="BA200" s="320">
        <f t="shared" si="1203"/>
        <v>239</v>
      </c>
      <c r="BB200" s="320">
        <f t="shared" si="1204"/>
        <v>319</v>
      </c>
      <c r="BC200" s="1730">
        <f t="shared" si="1205"/>
        <v>558</v>
      </c>
      <c r="BD200" s="1120">
        <v>95</v>
      </c>
      <c r="BE200" s="1120">
        <v>144</v>
      </c>
      <c r="BF200" s="1120">
        <v>156</v>
      </c>
      <c r="BG200" s="760">
        <v>231</v>
      </c>
      <c r="BH200" s="319">
        <v>239</v>
      </c>
      <c r="BI200" s="319">
        <v>387</v>
      </c>
      <c r="BJ200" s="1730">
        <v>626</v>
      </c>
      <c r="BK200" s="1120">
        <v>130</v>
      </c>
      <c r="BL200" s="1120">
        <v>164</v>
      </c>
      <c r="BM200" s="1120">
        <v>128</v>
      </c>
      <c r="BN200" s="760">
        <f t="shared" si="1206"/>
        <v>220</v>
      </c>
      <c r="BO200" s="319">
        <f t="shared" si="1207"/>
        <v>294</v>
      </c>
      <c r="BP200" s="319">
        <f t="shared" si="1208"/>
        <v>348</v>
      </c>
      <c r="BQ200" s="1730">
        <f>SUM(BQ193:BQ199)</f>
        <v>642</v>
      </c>
      <c r="BR200" s="1120">
        <v>130</v>
      </c>
      <c r="BS200" s="1120">
        <v>164</v>
      </c>
      <c r="BT200" s="1120">
        <v>128</v>
      </c>
      <c r="BU200" s="760">
        <v>220</v>
      </c>
      <c r="BV200" s="319">
        <v>294</v>
      </c>
      <c r="BW200" s="319">
        <v>348</v>
      </c>
      <c r="BX200" s="1730">
        <v>642</v>
      </c>
      <c r="BY200" s="1120">
        <f>SUM(BY193:BY199)</f>
        <v>96</v>
      </c>
      <c r="BZ200" s="1120">
        <f>SUM(BZ193:BZ199)</f>
        <v>61</v>
      </c>
      <c r="CA200" s="1120">
        <f>SUM(CA193:CA199)</f>
        <v>125</v>
      </c>
      <c r="CB200" s="760">
        <f t="shared" si="1209"/>
        <v>164</v>
      </c>
      <c r="CC200" s="319">
        <f t="shared" si="1210"/>
        <v>157</v>
      </c>
      <c r="CD200" s="319">
        <f t="shared" si="1211"/>
        <v>289</v>
      </c>
      <c r="CE200" s="1730">
        <f>SUM(CE193:CE199)</f>
        <v>446</v>
      </c>
      <c r="CF200" s="1120">
        <f>SUM(CF193:CF199)</f>
        <v>105</v>
      </c>
      <c r="CG200" s="1120">
        <f>SUM(CG193:CG199)</f>
        <v>132</v>
      </c>
      <c r="CH200" s="1120">
        <f>SUM(CH193:CH199)</f>
        <v>104</v>
      </c>
      <c r="CI200" s="760">
        <f t="shared" si="1212"/>
        <v>142</v>
      </c>
      <c r="CJ200" s="319">
        <f t="shared" si="1213"/>
        <v>237</v>
      </c>
      <c r="CK200" s="319">
        <f t="shared" si="1214"/>
        <v>246</v>
      </c>
      <c r="CL200" s="1730">
        <f>SUM(CL193:CL199)</f>
        <v>483</v>
      </c>
      <c r="CM200" s="1120">
        <f>SUM(CM193:CM199)</f>
        <v>109</v>
      </c>
      <c r="CN200" s="1120">
        <f>SUM(CN193:CN199)</f>
        <v>121</v>
      </c>
      <c r="CO200" s="1120">
        <f>SUM(CO193:CO199)</f>
        <v>143</v>
      </c>
      <c r="CP200" s="760">
        <f t="shared" si="1215"/>
        <v>143</v>
      </c>
      <c r="CQ200" s="319">
        <f t="shared" si="1216"/>
        <v>230</v>
      </c>
      <c r="CR200" s="319">
        <f t="shared" si="1217"/>
        <v>286</v>
      </c>
      <c r="CS200" s="1730">
        <f>SUM(CS193:CS199)</f>
        <v>516</v>
      </c>
      <c r="CT200" s="1120">
        <f>SUM(CT193:CT199)</f>
        <v>106</v>
      </c>
      <c r="CU200" s="1120">
        <f t="shared" ref="CU200:DG200" si="1218">SUM(CU193:CU199)</f>
        <v>150</v>
      </c>
      <c r="CV200" s="1120">
        <f t="shared" si="1218"/>
        <v>135</v>
      </c>
      <c r="CW200" s="1731">
        <f t="shared" si="1218"/>
        <v>180</v>
      </c>
      <c r="CX200" s="1120">
        <f t="shared" si="1218"/>
        <v>256</v>
      </c>
      <c r="CY200" s="1120">
        <f t="shared" si="1218"/>
        <v>315</v>
      </c>
      <c r="CZ200" s="1730">
        <f t="shared" si="1218"/>
        <v>571</v>
      </c>
      <c r="DA200" s="1120">
        <f t="shared" si="1218"/>
        <v>116</v>
      </c>
      <c r="DB200" s="1120">
        <f t="shared" si="1218"/>
        <v>145</v>
      </c>
      <c r="DC200" s="1120">
        <f t="shared" si="1218"/>
        <v>135</v>
      </c>
      <c r="DD200" s="1731">
        <f t="shared" si="1218"/>
        <v>206</v>
      </c>
      <c r="DE200" s="1120">
        <f t="shared" si="1218"/>
        <v>261</v>
      </c>
      <c r="DF200" s="1120">
        <f t="shared" si="1218"/>
        <v>341</v>
      </c>
      <c r="DG200" s="1730">
        <f t="shared" si="1218"/>
        <v>602</v>
      </c>
      <c r="DH200" s="1120">
        <f t="shared" ref="DH200" si="1219">SUM(DH193:DH199)</f>
        <v>106</v>
      </c>
      <c r="DI200" s="1120">
        <f t="shared" ref="DI200" si="1220">SUM(DI193:DI199)</f>
        <v>126</v>
      </c>
      <c r="DJ200" s="1120">
        <f t="shared" ref="DJ200" si="1221">SUM(DJ193:DJ199)</f>
        <v>160</v>
      </c>
      <c r="DK200" s="1875">
        <f t="shared" ref="DK200" si="1222">SUM(DK193:DK199)</f>
        <v>215</v>
      </c>
      <c r="DL200" s="1120">
        <f t="shared" ref="DL200" si="1223">SUM(DL193:DL199)</f>
        <v>232</v>
      </c>
      <c r="DM200" s="1120">
        <f t="shared" ref="DM200:DN200" si="1224">SUM(DM193:DM199)</f>
        <v>375</v>
      </c>
      <c r="DN200" s="1730">
        <f t="shared" si="1224"/>
        <v>607</v>
      </c>
      <c r="DO200" s="1120">
        <f t="shared" ref="DO200:DP200" si="1225">SUM(DO193:DO199)</f>
        <v>81</v>
      </c>
      <c r="DP200" s="1120">
        <f t="shared" si="1225"/>
        <v>190</v>
      </c>
      <c r="DQ200" s="1737">
        <f t="shared" ref="DQ200" si="1226">SUM(DQ193:DQ199)</f>
        <v>160</v>
      </c>
      <c r="DR200" s="1734">
        <f t="shared" ref="DR200:DS200" si="1227">SUM(DR193:DR199)</f>
        <v>222</v>
      </c>
      <c r="DS200" s="1120">
        <f t="shared" si="1227"/>
        <v>271</v>
      </c>
      <c r="DT200" s="1737">
        <f t="shared" ref="DT200" si="1228">SUM(DT193:DT199)</f>
        <v>382</v>
      </c>
      <c r="DU200" s="1738">
        <f t="shared" ref="DU200" si="1229">SUM(DU193:DU199)</f>
        <v>653</v>
      </c>
      <c r="DV200" s="1737">
        <f t="shared" ref="DV200" si="1230">SUM(DV193:DV199)</f>
        <v>172.5</v>
      </c>
      <c r="DW200" s="1737">
        <f t="shared" ref="DW200" si="1231">SUM(DW193:DW199)</f>
        <v>186.875</v>
      </c>
      <c r="DX200" s="1737">
        <f t="shared" ref="DX200" si="1232">SUM(DX193:DX199)</f>
        <v>186.875</v>
      </c>
      <c r="DY200" s="1734">
        <f t="shared" ref="DY200" si="1233">SUM(DY193:DY199)</f>
        <v>186.87499999999997</v>
      </c>
      <c r="DZ200" s="1737">
        <f t="shared" ref="DZ200" si="1234">SUM(DZ193:DZ199)</f>
        <v>359.375</v>
      </c>
      <c r="EA200" s="1737">
        <f t="shared" ref="EA200" si="1235">SUM(EA193:EA199)</f>
        <v>373.75</v>
      </c>
      <c r="EB200" s="1738">
        <f t="shared" ref="EB200" si="1236">SUM(EB193:EB199)</f>
        <v>733.125</v>
      </c>
      <c r="EC200" s="1737">
        <f t="shared" ref="EC200" si="1237">SUM(EC193:EC199)</f>
        <v>186.875</v>
      </c>
      <c r="ED200" s="1737">
        <f t="shared" ref="ED200" si="1238">SUM(ED193:ED199)</f>
        <v>201.25</v>
      </c>
      <c r="EE200" s="1737">
        <f t="shared" ref="EE200" si="1239">SUM(EE193:EE199)</f>
        <v>201.25</v>
      </c>
      <c r="EF200" s="1734">
        <f t="shared" ref="EF200" si="1240">SUM(EF193:EF199)</f>
        <v>201.25</v>
      </c>
      <c r="EG200" s="1737">
        <f t="shared" ref="EG200" si="1241">SUM(EG193:EG199)</f>
        <v>388.125</v>
      </c>
      <c r="EH200" s="1737">
        <f t="shared" ref="EH200" si="1242">SUM(EH193:EH199)</f>
        <v>402.5</v>
      </c>
      <c r="EI200" s="1738">
        <f t="shared" ref="EI200" si="1243">SUM(EI193:EI199)</f>
        <v>790.625</v>
      </c>
      <c r="EJ200" s="1737">
        <f t="shared" ref="EJ200" si="1244">SUM(EJ193:EJ199)</f>
        <v>201.25</v>
      </c>
      <c r="EK200" s="1737">
        <f t="shared" ref="EK200" si="1245">SUM(EK193:EK199)</f>
        <v>201.25</v>
      </c>
      <c r="EL200" s="1737">
        <f t="shared" ref="EL200" si="1246">SUM(EL193:EL199)</f>
        <v>201.25</v>
      </c>
      <c r="EM200" s="1734">
        <f t="shared" ref="EM200" si="1247">SUM(EM193:EM199)</f>
        <v>201.25</v>
      </c>
      <c r="EN200" s="1737">
        <f t="shared" ref="EN200" si="1248">SUM(EN193:EN199)</f>
        <v>402.5</v>
      </c>
      <c r="EO200" s="1737">
        <f t="shared" ref="EO200" si="1249">SUM(EO193:EO199)</f>
        <v>402.5</v>
      </c>
      <c r="EP200" s="1738">
        <f t="shared" ref="EP200" si="1250">SUM(EP193:EP199)</f>
        <v>805</v>
      </c>
      <c r="EQ200" s="1737">
        <f t="shared" ref="EQ200" si="1251">SUM(EQ193:EQ199)</f>
        <v>201.25</v>
      </c>
      <c r="ER200" s="1737">
        <f t="shared" ref="ER200" si="1252">SUM(ER193:ER199)</f>
        <v>201.25</v>
      </c>
      <c r="ES200" s="1737">
        <f t="shared" ref="ES200" si="1253">SUM(ES193:ES199)</f>
        <v>201.25</v>
      </c>
      <c r="ET200" s="1734">
        <f t="shared" ref="ET200" si="1254">SUM(ET193:ET199)</f>
        <v>201.25</v>
      </c>
      <c r="EU200" s="1737">
        <f t="shared" ref="EU200" si="1255">SUM(EU193:EU199)</f>
        <v>402.5</v>
      </c>
      <c r="EV200" s="1737">
        <f t="shared" ref="EV200" si="1256">SUM(EV193:EV199)</f>
        <v>402.5</v>
      </c>
      <c r="EW200" s="1738">
        <f t="shared" ref="EW200" si="1257">SUM(EW193:EW199)</f>
        <v>805</v>
      </c>
    </row>
    <row r="201" spans="1:153" ht="10.199999999999999" customHeight="1">
      <c r="A201" s="282" t="s">
        <v>380</v>
      </c>
      <c r="B201" s="834"/>
      <c r="C201" s="834"/>
      <c r="D201" s="834"/>
      <c r="E201" s="834"/>
      <c r="F201" s="834"/>
      <c r="G201" s="834"/>
      <c r="H201" s="834"/>
      <c r="I201" s="834"/>
      <c r="J201" s="834"/>
      <c r="K201" s="834"/>
      <c r="L201" s="834"/>
      <c r="M201" s="834"/>
      <c r="N201" s="21"/>
      <c r="O201" s="21"/>
      <c r="P201" s="21"/>
      <c r="Q201" s="1098"/>
      <c r="R201" s="21"/>
      <c r="S201" s="21"/>
      <c r="T201" s="338"/>
      <c r="U201" s="21"/>
      <c r="V201" s="21"/>
      <c r="W201" s="21"/>
      <c r="X201" s="1098"/>
      <c r="Y201" s="21"/>
      <c r="Z201" s="21"/>
      <c r="AA201" s="338"/>
      <c r="AB201" s="21"/>
      <c r="AC201" s="21"/>
      <c r="AD201" s="21"/>
      <c r="AE201" s="1098"/>
      <c r="AF201" s="21"/>
      <c r="AG201" s="21"/>
      <c r="AH201" s="338"/>
      <c r="AI201" s="21"/>
      <c r="AJ201" s="21"/>
      <c r="AK201" s="21"/>
      <c r="AL201" s="1098"/>
      <c r="AM201" s="21"/>
      <c r="AN201" s="21"/>
      <c r="AO201" s="338"/>
      <c r="AP201" s="320"/>
      <c r="AQ201" s="320"/>
      <c r="AR201" s="320"/>
      <c r="AS201" s="1729"/>
      <c r="AT201" s="320"/>
      <c r="AU201" s="320"/>
      <c r="AV201" s="1730"/>
      <c r="AW201" s="320"/>
      <c r="AX201" s="320"/>
      <c r="AY201" s="320"/>
      <c r="AZ201" s="1729"/>
      <c r="BA201" s="320"/>
      <c r="BB201" s="320"/>
      <c r="BC201" s="1730"/>
      <c r="BD201" s="1121">
        <f t="shared" ref="BD201:BM201" si="1258">BD203-BD202</f>
        <v>8</v>
      </c>
      <c r="BE201" s="1121">
        <f t="shared" si="1258"/>
        <v>10</v>
      </c>
      <c r="BF201" s="1121">
        <f t="shared" si="1258"/>
        <v>13</v>
      </c>
      <c r="BG201" s="714">
        <f t="shared" si="1258"/>
        <v>15</v>
      </c>
      <c r="BH201" s="317">
        <f t="shared" si="1258"/>
        <v>18</v>
      </c>
      <c r="BI201" s="317">
        <f t="shared" si="1258"/>
        <v>28</v>
      </c>
      <c r="BJ201" s="1728">
        <f t="shared" si="1258"/>
        <v>46</v>
      </c>
      <c r="BK201" s="1121">
        <f t="shared" si="1258"/>
        <v>2</v>
      </c>
      <c r="BL201" s="1121">
        <f t="shared" si="1258"/>
        <v>2</v>
      </c>
      <c r="BM201" s="1121">
        <f t="shared" si="1258"/>
        <v>4</v>
      </c>
      <c r="BN201" s="714">
        <f t="shared" si="1206"/>
        <v>4</v>
      </c>
      <c r="BO201" s="317">
        <f t="shared" si="1207"/>
        <v>4</v>
      </c>
      <c r="BP201" s="317">
        <f t="shared" si="1208"/>
        <v>8</v>
      </c>
      <c r="BQ201" s="1728">
        <f>Airbus!BR123</f>
        <v>12</v>
      </c>
      <c r="BR201" s="1121">
        <v>2</v>
      </c>
      <c r="BS201" s="1121">
        <v>2</v>
      </c>
      <c r="BT201" s="1121">
        <v>4</v>
      </c>
      <c r="BU201" s="714">
        <v>4</v>
      </c>
      <c r="BV201" s="317">
        <v>4</v>
      </c>
      <c r="BW201" s="317">
        <v>8</v>
      </c>
      <c r="BX201" s="1728">
        <v>12</v>
      </c>
      <c r="BY201" s="1121">
        <v>2</v>
      </c>
      <c r="BZ201" s="1121">
        <v>1</v>
      </c>
      <c r="CA201" s="1121">
        <v>1</v>
      </c>
      <c r="CB201" s="714">
        <f t="shared" si="1209"/>
        <v>2</v>
      </c>
      <c r="CC201" s="317">
        <f>BY201+BZ201</f>
        <v>3</v>
      </c>
      <c r="CD201" s="317">
        <f t="shared" si="1211"/>
        <v>3</v>
      </c>
      <c r="CE201" s="1728">
        <f>Airbus!BY123</f>
        <v>6</v>
      </c>
      <c r="CF201" s="1121">
        <v>0</v>
      </c>
      <c r="CG201" s="1121">
        <v>1</v>
      </c>
      <c r="CH201" s="1121">
        <v>1</v>
      </c>
      <c r="CI201" s="714">
        <f t="shared" si="1212"/>
        <v>2</v>
      </c>
      <c r="CJ201" s="317">
        <f>CF201+CG201</f>
        <v>1</v>
      </c>
      <c r="CK201" s="317">
        <f t="shared" si="1214"/>
        <v>3</v>
      </c>
      <c r="CL201" s="1728">
        <f>Airbus!CF123</f>
        <v>4</v>
      </c>
      <c r="CM201" s="1121">
        <v>2</v>
      </c>
      <c r="CN201" s="1121">
        <v>3</v>
      </c>
      <c r="CO201" s="1121">
        <v>0</v>
      </c>
      <c r="CP201" s="714">
        <f t="shared" si="1215"/>
        <v>4</v>
      </c>
      <c r="CQ201" s="317">
        <f>CM201+CN201</f>
        <v>5</v>
      </c>
      <c r="CR201" s="317">
        <f t="shared" si="1217"/>
        <v>4</v>
      </c>
      <c r="CS201" s="1728">
        <f>Airbus!CM123</f>
        <v>9</v>
      </c>
      <c r="CT201" s="1121">
        <f>Airbus!CN123</f>
        <v>1</v>
      </c>
      <c r="CU201" s="1121">
        <f>Airbus!CO123</f>
        <v>1</v>
      </c>
      <c r="CV201" s="1121">
        <f>Airbus!CP123</f>
        <v>0</v>
      </c>
      <c r="CW201" s="1732">
        <f>Airbus!CQ123</f>
        <v>1</v>
      </c>
      <c r="CX201" s="1121">
        <f>Airbus!CR123</f>
        <v>2</v>
      </c>
      <c r="CY201" s="1121">
        <f>Airbus!CS123</f>
        <v>1</v>
      </c>
      <c r="CZ201" s="1728">
        <f>Airbus!CT123</f>
        <v>3</v>
      </c>
      <c r="DA201" s="1121">
        <f>Airbus!CU123</f>
        <v>0</v>
      </c>
      <c r="DB201" s="1121">
        <f>Airbus!CV123</f>
        <v>0</v>
      </c>
      <c r="DC201" s="1121">
        <f>Airbus!CW123</f>
        <v>0</v>
      </c>
      <c r="DD201" s="1732">
        <f>Airbus!CX123</f>
        <v>2</v>
      </c>
      <c r="DE201" s="1121">
        <f>Airbus!CY123</f>
        <v>0</v>
      </c>
      <c r="DF201" s="1121">
        <f>Airbus!CZ123</f>
        <v>2</v>
      </c>
      <c r="DG201" s="1728">
        <f>Airbus!DA123</f>
        <v>2</v>
      </c>
      <c r="DH201" s="1121">
        <f>Airbus!DB123</f>
        <v>0</v>
      </c>
      <c r="DI201" s="1121">
        <f>Airbus!DC123</f>
        <v>1</v>
      </c>
      <c r="DJ201" s="1121">
        <f>Airbus!DD123</f>
        <v>0</v>
      </c>
      <c r="DK201" s="1911">
        <f>Airbus!DE123</f>
        <v>1</v>
      </c>
      <c r="DL201" s="1121">
        <f>Airbus!DF123</f>
        <v>1</v>
      </c>
      <c r="DM201" s="1121">
        <f>Airbus!DG123</f>
        <v>1</v>
      </c>
      <c r="DN201" s="1728">
        <f>Airbus!DH123</f>
        <v>2</v>
      </c>
      <c r="DO201" s="1121">
        <f>Airbus!DI123</f>
        <v>0</v>
      </c>
      <c r="DP201" s="1121">
        <f>Airbus!DJ123</f>
        <v>1</v>
      </c>
      <c r="DQ201" s="1735">
        <f>Airbus!DK123</f>
        <v>1</v>
      </c>
      <c r="DR201" s="1733">
        <f>Airbus!DL123</f>
        <v>1</v>
      </c>
      <c r="DS201" s="1121">
        <f>Airbus!DM123</f>
        <v>1</v>
      </c>
      <c r="DT201" s="1735">
        <f>Airbus!DN123</f>
        <v>2</v>
      </c>
      <c r="DU201" s="1736">
        <f>Airbus!DO123</f>
        <v>3</v>
      </c>
      <c r="DV201" s="1735">
        <f>Airbus!DP123</f>
        <v>0.75</v>
      </c>
      <c r="DW201" s="1735">
        <f>Airbus!DQ123</f>
        <v>0.75</v>
      </c>
      <c r="DX201" s="1735">
        <f>Airbus!DR123</f>
        <v>0.75</v>
      </c>
      <c r="DY201" s="1733">
        <f>Airbus!DS123</f>
        <v>0.75</v>
      </c>
      <c r="DZ201" s="1735">
        <f>Airbus!DT123</f>
        <v>1.5</v>
      </c>
      <c r="EA201" s="1735">
        <f>Airbus!DU123</f>
        <v>1.5</v>
      </c>
      <c r="EB201" s="1736">
        <f>Airbus!DV123</f>
        <v>3</v>
      </c>
      <c r="EC201" s="1735">
        <f>Airbus!DW123</f>
        <v>0.75</v>
      </c>
      <c r="ED201" s="1735">
        <f>Airbus!DX123</f>
        <v>0.75</v>
      </c>
      <c r="EE201" s="1735">
        <f>Airbus!DY123</f>
        <v>0.75</v>
      </c>
      <c r="EF201" s="1733">
        <f>Airbus!DZ123</f>
        <v>0.75</v>
      </c>
      <c r="EG201" s="1735">
        <f>Airbus!EA123</f>
        <v>1.5</v>
      </c>
      <c r="EH201" s="1735">
        <f>Airbus!EB123</f>
        <v>1.5</v>
      </c>
      <c r="EI201" s="1736">
        <f>Airbus!EC123</f>
        <v>3</v>
      </c>
      <c r="EJ201" s="1735">
        <f>Airbus!ED123</f>
        <v>0.75</v>
      </c>
      <c r="EK201" s="1735">
        <f>Airbus!EE123</f>
        <v>0.75</v>
      </c>
      <c r="EL201" s="1735">
        <f>Airbus!EF123</f>
        <v>0.75</v>
      </c>
      <c r="EM201" s="1733">
        <f>Airbus!EG123</f>
        <v>0.75</v>
      </c>
      <c r="EN201" s="1735">
        <f>Airbus!EH123</f>
        <v>1.5</v>
      </c>
      <c r="EO201" s="1735">
        <f>Airbus!EI123</f>
        <v>1.5</v>
      </c>
      <c r="EP201" s="1736">
        <f>Airbus!EJ123</f>
        <v>3</v>
      </c>
      <c r="EQ201" s="1735">
        <f>Airbus!EK123</f>
        <v>0.75</v>
      </c>
      <c r="ER201" s="1735">
        <f>Airbus!EL123</f>
        <v>0.75</v>
      </c>
      <c r="ES201" s="1735">
        <f>Airbus!EM123</f>
        <v>0.75</v>
      </c>
      <c r="ET201" s="1733">
        <f>Airbus!EN123</f>
        <v>0.75</v>
      </c>
      <c r="EU201" s="1735">
        <f>Airbus!EO123</f>
        <v>1.5</v>
      </c>
      <c r="EV201" s="1735">
        <f>Airbus!EP123</f>
        <v>1.5</v>
      </c>
      <c r="EW201" s="1736">
        <f>Airbus!EQ123</f>
        <v>3</v>
      </c>
    </row>
    <row r="202" spans="1:153" ht="10.199999999999999" customHeight="1">
      <c r="A202" s="282" t="s">
        <v>381</v>
      </c>
      <c r="B202" s="834"/>
      <c r="C202" s="834"/>
      <c r="D202" s="834"/>
      <c r="E202" s="834"/>
      <c r="F202" s="834"/>
      <c r="G202" s="834"/>
      <c r="H202" s="834"/>
      <c r="I202" s="834"/>
      <c r="J202" s="834"/>
      <c r="K202" s="834"/>
      <c r="L202" s="834"/>
      <c r="M202" s="834"/>
      <c r="N202" s="21"/>
      <c r="O202" s="21"/>
      <c r="P202" s="21"/>
      <c r="Q202" s="1098"/>
      <c r="R202" s="21"/>
      <c r="S202" s="21"/>
      <c r="T202" s="338"/>
      <c r="U202" s="21"/>
      <c r="V202" s="21"/>
      <c r="W202" s="21"/>
      <c r="X202" s="1098"/>
      <c r="Y202" s="21"/>
      <c r="Z202" s="21"/>
      <c r="AA202" s="338"/>
      <c r="AB202" s="21"/>
      <c r="AC202" s="21"/>
      <c r="AD202" s="21"/>
      <c r="AE202" s="1098"/>
      <c r="AF202" s="21"/>
      <c r="AG202" s="21"/>
      <c r="AH202" s="338"/>
      <c r="AI202" s="21"/>
      <c r="AJ202" s="21"/>
      <c r="AK202" s="21"/>
      <c r="AL202" s="1098"/>
      <c r="AM202" s="21"/>
      <c r="AN202" s="21"/>
      <c r="AO202" s="338"/>
      <c r="AP202" s="320"/>
      <c r="AQ202" s="320"/>
      <c r="AR202" s="320"/>
      <c r="AS202" s="1729"/>
      <c r="AT202" s="320"/>
      <c r="AU202" s="320"/>
      <c r="AV202" s="1730"/>
      <c r="AW202" s="320"/>
      <c r="AX202" s="320"/>
      <c r="AY202" s="320"/>
      <c r="AZ202" s="1729"/>
      <c r="BA202" s="320"/>
      <c r="BB202" s="320"/>
      <c r="BC202" s="1730"/>
      <c r="BD202" s="1121">
        <v>0</v>
      </c>
      <c r="BE202" s="1121">
        <v>0</v>
      </c>
      <c r="BF202" s="1121">
        <v>0</v>
      </c>
      <c r="BG202" s="714">
        <v>3</v>
      </c>
      <c r="BH202" s="317">
        <v>0</v>
      </c>
      <c r="BI202" s="317">
        <v>3</v>
      </c>
      <c r="BJ202" s="1728">
        <v>3</v>
      </c>
      <c r="BK202" s="1121">
        <v>3</v>
      </c>
      <c r="BL202" s="1121">
        <v>10</v>
      </c>
      <c r="BM202" s="1121">
        <v>13</v>
      </c>
      <c r="BN202" s="714">
        <f t="shared" si="1206"/>
        <v>15</v>
      </c>
      <c r="BO202" s="317">
        <f>BK202+BL202</f>
        <v>13</v>
      </c>
      <c r="BP202" s="317">
        <f t="shared" si="1208"/>
        <v>28</v>
      </c>
      <c r="BQ202" s="1728">
        <f>Airbus!BR127</f>
        <v>41</v>
      </c>
      <c r="BR202" s="1121">
        <v>3</v>
      </c>
      <c r="BS202" s="1121">
        <v>10</v>
      </c>
      <c r="BT202" s="1121">
        <v>13</v>
      </c>
      <c r="BU202" s="714">
        <v>15</v>
      </c>
      <c r="BV202" s="317">
        <v>13</v>
      </c>
      <c r="BW202" s="317">
        <v>28</v>
      </c>
      <c r="BX202" s="1728">
        <v>41</v>
      </c>
      <c r="BY202" s="1121">
        <v>2</v>
      </c>
      <c r="BZ202" s="1121">
        <v>0</v>
      </c>
      <c r="CA202" s="1121">
        <v>3</v>
      </c>
      <c r="CB202" s="714">
        <f t="shared" si="1209"/>
        <v>8</v>
      </c>
      <c r="CC202" s="317">
        <f>BY202+BZ202</f>
        <v>2</v>
      </c>
      <c r="CD202" s="317">
        <f t="shared" si="1211"/>
        <v>11</v>
      </c>
      <c r="CE202" s="1728">
        <f>Airbus!BY127</f>
        <v>13</v>
      </c>
      <c r="CF202" s="1121">
        <v>1</v>
      </c>
      <c r="CG202" s="1121">
        <v>5</v>
      </c>
      <c r="CH202" s="1121">
        <v>3</v>
      </c>
      <c r="CI202" s="714">
        <f t="shared" si="1212"/>
        <v>5</v>
      </c>
      <c r="CJ202" s="317">
        <f>CF202+CG202</f>
        <v>6</v>
      </c>
      <c r="CK202" s="317">
        <f t="shared" si="1214"/>
        <v>8</v>
      </c>
      <c r="CL202" s="1728">
        <f>Airbus!CF127</f>
        <v>14</v>
      </c>
      <c r="CM202" s="1121">
        <v>4</v>
      </c>
      <c r="CN202" s="1121">
        <v>4</v>
      </c>
      <c r="CO202" s="1121">
        <v>3</v>
      </c>
      <c r="CP202" s="714">
        <f t="shared" si="1215"/>
        <v>12</v>
      </c>
      <c r="CQ202" s="317">
        <f>CM202+CN202</f>
        <v>8</v>
      </c>
      <c r="CR202" s="317">
        <f t="shared" si="1217"/>
        <v>15</v>
      </c>
      <c r="CS202" s="1728">
        <f>Airbus!CM127</f>
        <v>23</v>
      </c>
      <c r="CT202" s="1121">
        <f>Airbus!CN127</f>
        <v>5</v>
      </c>
      <c r="CU202" s="1121">
        <f>Airbus!CO127</f>
        <v>7</v>
      </c>
      <c r="CV202" s="1121">
        <f>Airbus!CP127</f>
        <v>6</v>
      </c>
      <c r="CW202" s="1732">
        <f>Airbus!CQ127</f>
        <v>11</v>
      </c>
      <c r="CX202" s="1121">
        <f>Airbus!CR127</f>
        <v>12</v>
      </c>
      <c r="CY202" s="1121">
        <f>Airbus!CS127</f>
        <v>17</v>
      </c>
      <c r="CZ202" s="1728">
        <f>Airbus!CT127</f>
        <v>29</v>
      </c>
      <c r="DA202" s="1121">
        <f>Airbus!CU127</f>
        <v>7</v>
      </c>
      <c r="DB202" s="1121">
        <f>Airbus!CV127</f>
        <v>6</v>
      </c>
      <c r="DC202" s="1121">
        <f>Airbus!CW127</f>
        <v>7</v>
      </c>
      <c r="DD202" s="1732">
        <f>Airbus!CX127</f>
        <v>10</v>
      </c>
      <c r="DE202" s="1121">
        <f>Airbus!CY127</f>
        <v>13</v>
      </c>
      <c r="DF202" s="1121">
        <f>Airbus!CZ127</f>
        <v>17</v>
      </c>
      <c r="DG202" s="1728">
        <f>Airbus!DA127</f>
        <v>30</v>
      </c>
      <c r="DH202" s="1121">
        <f>Airbus!DB127</f>
        <v>4</v>
      </c>
      <c r="DI202" s="1121">
        <f>Airbus!DC127</f>
        <v>7</v>
      </c>
      <c r="DJ202" s="1121">
        <f>Airbus!DD127</f>
        <v>8</v>
      </c>
      <c r="DK202" s="1911">
        <f>Airbus!DE127</f>
        <v>15</v>
      </c>
      <c r="DL202" s="1121">
        <f>Airbus!DF127</f>
        <v>11</v>
      </c>
      <c r="DM202" s="1121">
        <f>Airbus!DG127</f>
        <v>23</v>
      </c>
      <c r="DN202" s="1728">
        <f>Airbus!DH127</f>
        <v>34</v>
      </c>
      <c r="DO202" s="1121">
        <f>Airbus!DI127</f>
        <v>3</v>
      </c>
      <c r="DP202" s="1121">
        <f>Airbus!DJ127</f>
        <v>6</v>
      </c>
      <c r="DQ202" s="1735">
        <f>Airbus!DK127</f>
        <v>8</v>
      </c>
      <c r="DR202" s="1733">
        <f>Airbus!DL127</f>
        <v>16</v>
      </c>
      <c r="DS202" s="1121">
        <f>Airbus!DM127</f>
        <v>9</v>
      </c>
      <c r="DT202" s="1735">
        <f>Airbus!DN127</f>
        <v>24</v>
      </c>
      <c r="DU202" s="1736">
        <f>Airbus!DO127</f>
        <v>33</v>
      </c>
      <c r="DV202" s="1735">
        <f>Airbus!DP127</f>
        <v>8.25</v>
      </c>
      <c r="DW202" s="1735">
        <f>Airbus!DQ127</f>
        <v>8.25</v>
      </c>
      <c r="DX202" s="1735">
        <f>Airbus!DR127</f>
        <v>8.25</v>
      </c>
      <c r="DY202" s="1733">
        <f>Airbus!DS127</f>
        <v>8.25</v>
      </c>
      <c r="DZ202" s="1735">
        <f>Airbus!DT127</f>
        <v>16.5</v>
      </c>
      <c r="EA202" s="1735">
        <f>Airbus!DU127</f>
        <v>16.5</v>
      </c>
      <c r="EB202" s="1736">
        <f>Airbus!DV127</f>
        <v>33</v>
      </c>
      <c r="EC202" s="1735">
        <f>Airbus!DW127</f>
        <v>8.25</v>
      </c>
      <c r="ED202" s="1735">
        <f>Airbus!DX127</f>
        <v>8.25</v>
      </c>
      <c r="EE202" s="1735">
        <f>Airbus!DY127</f>
        <v>8.25</v>
      </c>
      <c r="EF202" s="1733">
        <f>Airbus!DZ127</f>
        <v>8.25</v>
      </c>
      <c r="EG202" s="1735">
        <f>Airbus!EA127</f>
        <v>16.5</v>
      </c>
      <c r="EH202" s="1735">
        <f>Airbus!EB127</f>
        <v>16.5</v>
      </c>
      <c r="EI202" s="1736">
        <f>Airbus!EC127</f>
        <v>33</v>
      </c>
      <c r="EJ202" s="1735">
        <f>Airbus!ED127</f>
        <v>8.25</v>
      </c>
      <c r="EK202" s="1735">
        <f>Airbus!EE127</f>
        <v>8.25</v>
      </c>
      <c r="EL202" s="1735">
        <f>Airbus!EF127</f>
        <v>8.25</v>
      </c>
      <c r="EM202" s="1733">
        <f>Airbus!EG127</f>
        <v>8.25</v>
      </c>
      <c r="EN202" s="1735">
        <f>Airbus!EH127</f>
        <v>16.5</v>
      </c>
      <c r="EO202" s="1735">
        <f>Airbus!EI127</f>
        <v>16.5</v>
      </c>
      <c r="EP202" s="1736">
        <f>Airbus!EJ127</f>
        <v>33</v>
      </c>
      <c r="EQ202" s="1735">
        <f>Airbus!EK127</f>
        <v>8.25</v>
      </c>
      <c r="ER202" s="1735">
        <f>Airbus!EL127</f>
        <v>8.25</v>
      </c>
      <c r="ES202" s="1735">
        <f>Airbus!EM127</f>
        <v>11</v>
      </c>
      <c r="ET202" s="1733">
        <f>Airbus!EN127</f>
        <v>11</v>
      </c>
      <c r="EU202" s="1735">
        <f>Airbus!EO127</f>
        <v>16.5</v>
      </c>
      <c r="EV202" s="1735">
        <f>Airbus!EP127</f>
        <v>22</v>
      </c>
      <c r="EW202" s="1736">
        <f>Airbus!EQ127</f>
        <v>38.5</v>
      </c>
    </row>
    <row r="203" spans="1:153" ht="10.199999999999999" customHeight="1">
      <c r="A203" s="289" t="s">
        <v>132</v>
      </c>
      <c r="B203" s="834"/>
      <c r="C203" s="834"/>
      <c r="D203" s="834"/>
      <c r="E203" s="834"/>
      <c r="F203" s="834"/>
      <c r="G203" s="834"/>
      <c r="H203" s="834"/>
      <c r="I203" s="834"/>
      <c r="J203" s="834"/>
      <c r="K203" s="834"/>
      <c r="L203" s="834"/>
      <c r="M203" s="834"/>
      <c r="N203" s="21"/>
      <c r="O203" s="21"/>
      <c r="P203" s="21"/>
      <c r="Q203" s="1098"/>
      <c r="R203" s="21"/>
      <c r="S203" s="21"/>
      <c r="T203" s="338"/>
      <c r="U203" s="21"/>
      <c r="V203" s="21"/>
      <c r="W203" s="21"/>
      <c r="X203" s="1098"/>
      <c r="Y203" s="21"/>
      <c r="Z203" s="21"/>
      <c r="AA203" s="338"/>
      <c r="AB203" s="21"/>
      <c r="AC203" s="21"/>
      <c r="AD203" s="21"/>
      <c r="AE203" s="1098"/>
      <c r="AF203" s="21"/>
      <c r="AG203" s="21"/>
      <c r="AH203" s="338"/>
      <c r="AI203" s="21"/>
      <c r="AJ203" s="21"/>
      <c r="AK203" s="21"/>
      <c r="AL203" s="1098"/>
      <c r="AM203" s="21"/>
      <c r="AN203" s="21"/>
      <c r="AO203" s="338"/>
      <c r="AP203" s="320">
        <v>13</v>
      </c>
      <c r="AQ203" s="320">
        <v>18</v>
      </c>
      <c r="AR203" s="320">
        <v>14</v>
      </c>
      <c r="AS203" s="1729">
        <v>22</v>
      </c>
      <c r="AT203" s="320">
        <f t="shared" si="1200"/>
        <v>31</v>
      </c>
      <c r="AU203" s="320">
        <f t="shared" ref="AU203:AU206" si="1259">AR203+AS203</f>
        <v>36</v>
      </c>
      <c r="AV203" s="1730">
        <f t="shared" ref="AV203:AV206" si="1260">AT203+AU203</f>
        <v>67</v>
      </c>
      <c r="AW203" s="320">
        <v>13</v>
      </c>
      <c r="AX203" s="320">
        <v>18</v>
      </c>
      <c r="AY203" s="320">
        <v>14</v>
      </c>
      <c r="AZ203" s="1729">
        <v>22</v>
      </c>
      <c r="BA203" s="320">
        <f t="shared" ref="BA203:BA206" si="1261">AW203+AX203</f>
        <v>31</v>
      </c>
      <c r="BB203" s="320">
        <f t="shared" ref="BB203:BB206" si="1262">AY203+AZ203</f>
        <v>36</v>
      </c>
      <c r="BC203" s="1730">
        <f t="shared" ref="BC203:BC206" si="1263">BA203+BB203</f>
        <v>67</v>
      </c>
      <c r="BD203" s="1120">
        <v>8</v>
      </c>
      <c r="BE203" s="1120">
        <v>10</v>
      </c>
      <c r="BF203" s="1120">
        <v>13</v>
      </c>
      <c r="BG203" s="760">
        <v>18</v>
      </c>
      <c r="BH203" s="319">
        <v>18</v>
      </c>
      <c r="BI203" s="319">
        <v>31</v>
      </c>
      <c r="BJ203" s="1730">
        <v>49</v>
      </c>
      <c r="BK203" s="1120">
        <v>5</v>
      </c>
      <c r="BL203" s="1120">
        <v>12</v>
      </c>
      <c r="BM203" s="1120">
        <v>17</v>
      </c>
      <c r="BN203" s="760">
        <f t="shared" si="1206"/>
        <v>19</v>
      </c>
      <c r="BO203" s="319">
        <f t="shared" si="1207"/>
        <v>17</v>
      </c>
      <c r="BP203" s="319">
        <f t="shared" si="1208"/>
        <v>36</v>
      </c>
      <c r="BQ203" s="1730">
        <f>Airbus!BR129</f>
        <v>53</v>
      </c>
      <c r="BR203" s="1120">
        <v>5</v>
      </c>
      <c r="BS203" s="1120">
        <v>12</v>
      </c>
      <c r="BT203" s="1120">
        <v>17</v>
      </c>
      <c r="BU203" s="760">
        <v>19</v>
      </c>
      <c r="BV203" s="319">
        <v>17</v>
      </c>
      <c r="BW203" s="319">
        <v>36</v>
      </c>
      <c r="BX203" s="1730">
        <v>53</v>
      </c>
      <c r="BY203" s="1120">
        <f>BY201+BY202</f>
        <v>4</v>
      </c>
      <c r="BZ203" s="1120">
        <f>BZ201+BZ202</f>
        <v>1</v>
      </c>
      <c r="CA203" s="1120">
        <f>CA201+CA202</f>
        <v>4</v>
      </c>
      <c r="CB203" s="760">
        <f t="shared" si="1209"/>
        <v>10</v>
      </c>
      <c r="CC203" s="319">
        <f t="shared" si="1210"/>
        <v>5</v>
      </c>
      <c r="CD203" s="319">
        <f t="shared" si="1211"/>
        <v>14</v>
      </c>
      <c r="CE203" s="1730">
        <f>Airbus!BY129</f>
        <v>19</v>
      </c>
      <c r="CF203" s="1120">
        <f>CF201+CF202</f>
        <v>1</v>
      </c>
      <c r="CG203" s="1120">
        <f>CG201+CG202</f>
        <v>6</v>
      </c>
      <c r="CH203" s="1120">
        <f>CH201+CH202</f>
        <v>4</v>
      </c>
      <c r="CI203" s="760">
        <f t="shared" si="1212"/>
        <v>7</v>
      </c>
      <c r="CJ203" s="319">
        <f>CF203+CG203</f>
        <v>7</v>
      </c>
      <c r="CK203" s="319">
        <f t="shared" si="1214"/>
        <v>11</v>
      </c>
      <c r="CL203" s="1730">
        <f>Airbus!CF129</f>
        <v>18</v>
      </c>
      <c r="CM203" s="1120">
        <f>CM201+CM202</f>
        <v>6</v>
      </c>
      <c r="CN203" s="1120">
        <f>CN201+CN202</f>
        <v>7</v>
      </c>
      <c r="CO203" s="1120">
        <f>CO201+CO202</f>
        <v>3</v>
      </c>
      <c r="CP203" s="760">
        <f t="shared" si="1215"/>
        <v>16</v>
      </c>
      <c r="CQ203" s="319">
        <f>CM203+CN203</f>
        <v>13</v>
      </c>
      <c r="CR203" s="319">
        <f t="shared" si="1217"/>
        <v>19</v>
      </c>
      <c r="CS203" s="1730">
        <f>Airbus!CM129</f>
        <v>32</v>
      </c>
      <c r="CT203" s="1120">
        <f>Airbus!CN129</f>
        <v>6</v>
      </c>
      <c r="CU203" s="1120">
        <f>Airbus!CO129</f>
        <v>8</v>
      </c>
      <c r="CV203" s="1120">
        <f>Airbus!CP129</f>
        <v>6</v>
      </c>
      <c r="CW203" s="1731">
        <f>Airbus!CQ129</f>
        <v>12</v>
      </c>
      <c r="CX203" s="1120">
        <f>Airbus!CR129</f>
        <v>14</v>
      </c>
      <c r="CY203" s="1120">
        <f>Airbus!CS129</f>
        <v>18</v>
      </c>
      <c r="CZ203" s="1730">
        <f>Airbus!CT129</f>
        <v>32</v>
      </c>
      <c r="DA203" s="1120">
        <f>Airbus!CU129</f>
        <v>7</v>
      </c>
      <c r="DB203" s="1120">
        <f>Airbus!CV129</f>
        <v>6</v>
      </c>
      <c r="DC203" s="1120">
        <f>Airbus!CW129</f>
        <v>7</v>
      </c>
      <c r="DD203" s="1731">
        <f>Airbus!CX129</f>
        <v>12</v>
      </c>
      <c r="DE203" s="1120">
        <f>Airbus!CY129</f>
        <v>13</v>
      </c>
      <c r="DF203" s="1120">
        <f>Airbus!CZ129</f>
        <v>19</v>
      </c>
      <c r="DG203" s="1730">
        <f>Airbus!DA129</f>
        <v>32</v>
      </c>
      <c r="DH203" s="1120">
        <f>Airbus!DB129</f>
        <v>4</v>
      </c>
      <c r="DI203" s="1120">
        <f>Airbus!DC129</f>
        <v>8</v>
      </c>
      <c r="DJ203" s="1120">
        <f>Airbus!DD129</f>
        <v>8</v>
      </c>
      <c r="DK203" s="1875">
        <f>Airbus!DE129</f>
        <v>16</v>
      </c>
      <c r="DL203" s="1120">
        <f>Airbus!DF129</f>
        <v>12</v>
      </c>
      <c r="DM203" s="1120">
        <f>Airbus!DG129</f>
        <v>24</v>
      </c>
      <c r="DN203" s="1730">
        <f>Airbus!DH129</f>
        <v>36</v>
      </c>
      <c r="DO203" s="1120">
        <f>Airbus!DI129</f>
        <v>3</v>
      </c>
      <c r="DP203" s="1120">
        <f>Airbus!DJ129</f>
        <v>7</v>
      </c>
      <c r="DQ203" s="1737">
        <f>Airbus!DK129</f>
        <v>9</v>
      </c>
      <c r="DR203" s="1734">
        <f>Airbus!DL129</f>
        <v>17</v>
      </c>
      <c r="DS203" s="1120">
        <f>Airbus!DM129</f>
        <v>10</v>
      </c>
      <c r="DT203" s="1737">
        <f>Airbus!DN129</f>
        <v>26</v>
      </c>
      <c r="DU203" s="1738">
        <f>Airbus!DO129</f>
        <v>36</v>
      </c>
      <c r="DV203" s="1737">
        <f>Airbus!DP129</f>
        <v>9</v>
      </c>
      <c r="DW203" s="1737">
        <f>Airbus!DQ129</f>
        <v>9</v>
      </c>
      <c r="DX203" s="1737">
        <f>Airbus!DR129</f>
        <v>9</v>
      </c>
      <c r="DY203" s="1734">
        <f>Airbus!DS129</f>
        <v>9</v>
      </c>
      <c r="DZ203" s="1737">
        <f>Airbus!DT129</f>
        <v>18</v>
      </c>
      <c r="EA203" s="1737">
        <f>Airbus!DU129</f>
        <v>18</v>
      </c>
      <c r="EB203" s="1738">
        <f>Airbus!DV129</f>
        <v>36</v>
      </c>
      <c r="EC203" s="1737">
        <f>Airbus!DW129</f>
        <v>9</v>
      </c>
      <c r="ED203" s="1737">
        <f>Airbus!DX129</f>
        <v>9</v>
      </c>
      <c r="EE203" s="1737">
        <f>Airbus!DY129</f>
        <v>9</v>
      </c>
      <c r="EF203" s="1734">
        <f>Airbus!DZ129</f>
        <v>9</v>
      </c>
      <c r="EG203" s="1737">
        <f>Airbus!EA129</f>
        <v>18</v>
      </c>
      <c r="EH203" s="1737">
        <f>Airbus!EB129</f>
        <v>18</v>
      </c>
      <c r="EI203" s="1738">
        <f>Airbus!EC129</f>
        <v>36</v>
      </c>
      <c r="EJ203" s="1737">
        <f>Airbus!ED129</f>
        <v>9</v>
      </c>
      <c r="EK203" s="1737">
        <f>Airbus!EE129</f>
        <v>9</v>
      </c>
      <c r="EL203" s="1737">
        <f>Airbus!EF129</f>
        <v>9</v>
      </c>
      <c r="EM203" s="1734">
        <f>Airbus!EG129</f>
        <v>9</v>
      </c>
      <c r="EN203" s="1737">
        <f>Airbus!EH129</f>
        <v>18</v>
      </c>
      <c r="EO203" s="1737">
        <f>Airbus!EI129</f>
        <v>18</v>
      </c>
      <c r="EP203" s="1738">
        <f>Airbus!EJ129</f>
        <v>36</v>
      </c>
      <c r="EQ203" s="1737">
        <f>Airbus!EK129</f>
        <v>9</v>
      </c>
      <c r="ER203" s="1737">
        <f>Airbus!EL129</f>
        <v>9</v>
      </c>
      <c r="ES203" s="1737">
        <f>Airbus!EM129</f>
        <v>11.75</v>
      </c>
      <c r="ET203" s="1734">
        <f>Airbus!EN129</f>
        <v>11.75</v>
      </c>
      <c r="EU203" s="1737">
        <f>Airbus!EO129</f>
        <v>18</v>
      </c>
      <c r="EV203" s="1737">
        <f>Airbus!EP129</f>
        <v>23.5</v>
      </c>
      <c r="EW203" s="1738">
        <f>Airbus!EQ129</f>
        <v>41.5</v>
      </c>
    </row>
    <row r="204" spans="1:153" ht="10.199999999999999" customHeight="1">
      <c r="A204" s="289" t="s">
        <v>238</v>
      </c>
      <c r="B204" s="834"/>
      <c r="C204" s="834"/>
      <c r="D204" s="834"/>
      <c r="E204" s="834"/>
      <c r="F204" s="834"/>
      <c r="G204" s="834"/>
      <c r="H204" s="834"/>
      <c r="I204" s="834"/>
      <c r="J204" s="834"/>
      <c r="K204" s="834"/>
      <c r="L204" s="834"/>
      <c r="M204" s="834"/>
      <c r="N204" s="21"/>
      <c r="O204" s="21"/>
      <c r="P204" s="21"/>
      <c r="Q204" s="1098"/>
      <c r="R204" s="21"/>
      <c r="S204" s="21"/>
      <c r="T204" s="338"/>
      <c r="U204" s="21"/>
      <c r="V204" s="21"/>
      <c r="W204" s="21"/>
      <c r="X204" s="1098"/>
      <c r="Y204" s="21"/>
      <c r="Z204" s="21"/>
      <c r="AA204" s="338"/>
      <c r="AB204" s="21"/>
      <c r="AC204" s="21"/>
      <c r="AD204" s="21"/>
      <c r="AE204" s="1098"/>
      <c r="AF204" s="21"/>
      <c r="AG204" s="21"/>
      <c r="AH204" s="338"/>
      <c r="AI204" s="21"/>
      <c r="AJ204" s="21"/>
      <c r="AK204" s="21"/>
      <c r="AL204" s="1098"/>
      <c r="AM204" s="21"/>
      <c r="AN204" s="21"/>
      <c r="AO204" s="338"/>
      <c r="AP204" s="320">
        <v>13</v>
      </c>
      <c r="AQ204" s="320">
        <v>17</v>
      </c>
      <c r="AR204" s="320">
        <v>20</v>
      </c>
      <c r="AS204" s="1729">
        <v>28</v>
      </c>
      <c r="AT204" s="320">
        <f t="shared" si="1200"/>
        <v>30</v>
      </c>
      <c r="AU204" s="320">
        <f t="shared" si="1259"/>
        <v>48</v>
      </c>
      <c r="AV204" s="1730">
        <f t="shared" si="1260"/>
        <v>78</v>
      </c>
      <c r="AW204" s="320">
        <v>13</v>
      </c>
      <c r="AX204" s="320">
        <v>17</v>
      </c>
      <c r="AY204" s="320">
        <v>20</v>
      </c>
      <c r="AZ204" s="1729">
        <v>28</v>
      </c>
      <c r="BA204" s="320">
        <f t="shared" si="1261"/>
        <v>30</v>
      </c>
      <c r="BB204" s="320">
        <f t="shared" si="1262"/>
        <v>48</v>
      </c>
      <c r="BC204" s="1730">
        <f t="shared" si="1263"/>
        <v>78</v>
      </c>
      <c r="BD204" s="1120">
        <v>17</v>
      </c>
      <c r="BE204" s="1120">
        <v>23</v>
      </c>
      <c r="BF204" s="1120">
        <v>21</v>
      </c>
      <c r="BG204" s="760">
        <v>32</v>
      </c>
      <c r="BH204" s="319">
        <v>40</v>
      </c>
      <c r="BI204" s="319">
        <v>53</v>
      </c>
      <c r="BJ204" s="1730">
        <v>93</v>
      </c>
      <c r="BK204" s="1120">
        <v>19</v>
      </c>
      <c r="BL204" s="1120">
        <v>34</v>
      </c>
      <c r="BM204" s="1120">
        <v>24</v>
      </c>
      <c r="BN204" s="760">
        <f>BP204-BM204</f>
        <v>35</v>
      </c>
      <c r="BO204" s="319">
        <f t="shared" si="1207"/>
        <v>53</v>
      </c>
      <c r="BP204" s="319">
        <f t="shared" si="1208"/>
        <v>59</v>
      </c>
      <c r="BQ204" s="1730">
        <f>Airbus!BR139</f>
        <v>112</v>
      </c>
      <c r="BR204" s="1120">
        <v>19</v>
      </c>
      <c r="BS204" s="1120">
        <v>34</v>
      </c>
      <c r="BT204" s="1120">
        <v>24</v>
      </c>
      <c r="BU204" s="760">
        <v>35</v>
      </c>
      <c r="BV204" s="319">
        <v>53</v>
      </c>
      <c r="BW204" s="319">
        <v>59</v>
      </c>
      <c r="BX204" s="1730">
        <v>112</v>
      </c>
      <c r="BY204" s="1120">
        <v>14</v>
      </c>
      <c r="BZ204" s="1120">
        <v>9</v>
      </c>
      <c r="CA204" s="1120">
        <v>9</v>
      </c>
      <c r="CB204" s="760">
        <f>CD204-CA204</f>
        <v>27</v>
      </c>
      <c r="CC204" s="319">
        <f t="shared" si="1210"/>
        <v>23</v>
      </c>
      <c r="CD204" s="319">
        <f t="shared" si="1211"/>
        <v>36</v>
      </c>
      <c r="CE204" s="1730">
        <f>Airbus!BY139</f>
        <v>59</v>
      </c>
      <c r="CF204" s="1120">
        <v>10</v>
      </c>
      <c r="CG204" s="1120">
        <v>20</v>
      </c>
      <c r="CH204" s="1120">
        <v>6</v>
      </c>
      <c r="CI204" s="760">
        <f>CK204-CH204</f>
        <v>19</v>
      </c>
      <c r="CJ204" s="319">
        <f>CF204+CG204</f>
        <v>30</v>
      </c>
      <c r="CK204" s="319">
        <f t="shared" si="1214"/>
        <v>25</v>
      </c>
      <c r="CL204" s="1730">
        <f>Airbus!CF139</f>
        <v>55</v>
      </c>
      <c r="CM204" s="1120">
        <v>16</v>
      </c>
      <c r="CN204" s="1120">
        <v>13</v>
      </c>
      <c r="CO204" s="1120">
        <v>13</v>
      </c>
      <c r="CP204" s="760">
        <f>CR204-CO204</f>
        <v>18</v>
      </c>
      <c r="CQ204" s="319">
        <f>CM204+CN204</f>
        <v>29</v>
      </c>
      <c r="CR204" s="319">
        <f t="shared" si="1217"/>
        <v>31</v>
      </c>
      <c r="CS204" s="1730">
        <f>Airbus!CM139</f>
        <v>60</v>
      </c>
      <c r="CT204" s="1120">
        <f>Airbus!CN139</f>
        <v>5</v>
      </c>
      <c r="CU204" s="1120">
        <f>Airbus!CO139</f>
        <v>16</v>
      </c>
      <c r="CV204" s="1120">
        <f>Airbus!CP139</f>
        <v>15</v>
      </c>
      <c r="CW204" s="1731">
        <f>Airbus!CQ139</f>
        <v>28</v>
      </c>
      <c r="CX204" s="1120">
        <f>Airbus!CR139</f>
        <v>21</v>
      </c>
      <c r="CY204" s="1120">
        <f>Airbus!CS139</f>
        <v>43</v>
      </c>
      <c r="CZ204" s="1730">
        <f>Airbus!CT139</f>
        <v>64</v>
      </c>
      <c r="DA204" s="1120">
        <f>Airbus!CU139</f>
        <v>7</v>
      </c>
      <c r="DB204" s="1120">
        <f>Airbus!CV139</f>
        <v>14</v>
      </c>
      <c r="DC204" s="1120">
        <f>Airbus!CW139</f>
        <v>15</v>
      </c>
      <c r="DD204" s="1731">
        <f>Airbus!CX139</f>
        <v>21</v>
      </c>
      <c r="DE204" s="1120">
        <f>Airbus!CY139</f>
        <v>21</v>
      </c>
      <c r="DF204" s="1120">
        <f>Airbus!CZ139</f>
        <v>36</v>
      </c>
      <c r="DG204" s="1730">
        <f>Airbus!DA139</f>
        <v>57</v>
      </c>
      <c r="DH204" s="1120">
        <f>Airbus!DB139</f>
        <v>9</v>
      </c>
      <c r="DI204" s="1120">
        <f>Airbus!DC139</f>
        <v>12</v>
      </c>
      <c r="DJ204" s="1120">
        <f>Airbus!DD139</f>
        <v>12</v>
      </c>
      <c r="DK204" s="1875">
        <f>Airbus!DE139</f>
        <v>24</v>
      </c>
      <c r="DL204" s="1120">
        <f>Airbus!DF139</f>
        <v>21</v>
      </c>
      <c r="DM204" s="1120">
        <f>Airbus!DG139</f>
        <v>36</v>
      </c>
      <c r="DN204" s="1730">
        <f>Airbus!DH139</f>
        <v>57</v>
      </c>
      <c r="DO204" s="1120">
        <f>Airbus!DI139</f>
        <v>11</v>
      </c>
      <c r="DP204" s="1120">
        <f>Airbus!DJ139</f>
        <v>15</v>
      </c>
      <c r="DQ204" s="1737">
        <f>Airbus!DK139</f>
        <v>18</v>
      </c>
      <c r="DR204" s="1734">
        <f>Airbus!DL139</f>
        <v>28</v>
      </c>
      <c r="DS204" s="1120">
        <f>Airbus!DM139</f>
        <v>26</v>
      </c>
      <c r="DT204" s="1737">
        <f>Airbus!DN139</f>
        <v>46</v>
      </c>
      <c r="DU204" s="1738">
        <f>Airbus!DO139</f>
        <v>72</v>
      </c>
      <c r="DV204" s="1737">
        <f>Airbus!DP139</f>
        <v>22</v>
      </c>
      <c r="DW204" s="1737">
        <f>Airbus!DQ139</f>
        <v>22</v>
      </c>
      <c r="DX204" s="1737">
        <f>Airbus!DR139</f>
        <v>22</v>
      </c>
      <c r="DY204" s="1734">
        <f>Airbus!DS139</f>
        <v>22</v>
      </c>
      <c r="DZ204" s="1737">
        <f>Airbus!DT139</f>
        <v>44</v>
      </c>
      <c r="EA204" s="1737">
        <f>Airbus!DU139</f>
        <v>44</v>
      </c>
      <c r="EB204" s="1738">
        <f>Airbus!DV139</f>
        <v>88</v>
      </c>
      <c r="EC204" s="1737">
        <f>Airbus!DW139</f>
        <v>24.75</v>
      </c>
      <c r="ED204" s="1737">
        <f>Airbus!DX139</f>
        <v>24.75</v>
      </c>
      <c r="EE204" s="1737">
        <f>Airbus!DY139</f>
        <v>24.75</v>
      </c>
      <c r="EF204" s="1734">
        <f>Airbus!DZ139</f>
        <v>24.75</v>
      </c>
      <c r="EG204" s="1737">
        <f>Airbus!EA139</f>
        <v>49.5</v>
      </c>
      <c r="EH204" s="1737">
        <f>Airbus!EB139</f>
        <v>49.5</v>
      </c>
      <c r="EI204" s="1738">
        <f>Airbus!EC139</f>
        <v>99</v>
      </c>
      <c r="EJ204" s="1737">
        <f>Airbus!ED139</f>
        <v>27.5</v>
      </c>
      <c r="EK204" s="1737">
        <f>Airbus!EE139</f>
        <v>27.5</v>
      </c>
      <c r="EL204" s="1737">
        <f>Airbus!EF139</f>
        <v>27.5</v>
      </c>
      <c r="EM204" s="1734">
        <f>Airbus!EG139</f>
        <v>27.5</v>
      </c>
      <c r="EN204" s="1737">
        <f>Airbus!EH139</f>
        <v>55</v>
      </c>
      <c r="EO204" s="1737">
        <f>Airbus!EI139</f>
        <v>55</v>
      </c>
      <c r="EP204" s="1738">
        <f>Airbus!EJ139</f>
        <v>110</v>
      </c>
      <c r="EQ204" s="1737">
        <f>Airbus!EK139</f>
        <v>27.5</v>
      </c>
      <c r="ER204" s="1737">
        <f>Airbus!EL139</f>
        <v>27.5</v>
      </c>
      <c r="ES204" s="1737">
        <f>Airbus!EM139</f>
        <v>27.5</v>
      </c>
      <c r="ET204" s="1734">
        <f>Airbus!EN139</f>
        <v>27.5</v>
      </c>
      <c r="EU204" s="1737">
        <f>Airbus!EO139</f>
        <v>55</v>
      </c>
      <c r="EV204" s="1737">
        <f>Airbus!EP139</f>
        <v>55</v>
      </c>
      <c r="EW204" s="1738">
        <f>Airbus!EQ139</f>
        <v>110</v>
      </c>
    </row>
    <row r="205" spans="1:153" ht="10.199999999999999" customHeight="1">
      <c r="A205" s="289" t="s">
        <v>133</v>
      </c>
      <c r="B205" s="834"/>
      <c r="C205" s="834"/>
      <c r="D205" s="834"/>
      <c r="E205" s="834"/>
      <c r="F205" s="834"/>
      <c r="G205" s="834"/>
      <c r="H205" s="834"/>
      <c r="I205" s="834"/>
      <c r="J205" s="834"/>
      <c r="K205" s="834"/>
      <c r="L205" s="834"/>
      <c r="M205" s="834"/>
      <c r="N205" s="21"/>
      <c r="O205" s="21"/>
      <c r="P205" s="21"/>
      <c r="Q205" s="1098"/>
      <c r="R205" s="21"/>
      <c r="S205" s="21"/>
      <c r="T205" s="338"/>
      <c r="U205" s="21"/>
      <c r="V205" s="21"/>
      <c r="W205" s="21"/>
      <c r="X205" s="1098"/>
      <c r="Y205" s="21"/>
      <c r="Z205" s="21"/>
      <c r="AA205" s="338"/>
      <c r="AB205" s="21"/>
      <c r="AC205" s="21"/>
      <c r="AD205" s="21"/>
      <c r="AE205" s="1098"/>
      <c r="AF205" s="21"/>
      <c r="AG205" s="21"/>
      <c r="AH205" s="338"/>
      <c r="AI205" s="21"/>
      <c r="AJ205" s="21"/>
      <c r="AK205" s="21"/>
      <c r="AL205" s="1098"/>
      <c r="AM205" s="21"/>
      <c r="AN205" s="21"/>
      <c r="AO205" s="338"/>
      <c r="AP205" s="320">
        <v>3</v>
      </c>
      <c r="AQ205" s="320">
        <v>3</v>
      </c>
      <c r="AR205" s="320">
        <v>3</v>
      </c>
      <c r="AS205" s="1729">
        <v>6</v>
      </c>
      <c r="AT205" s="320">
        <f t="shared" si="1200"/>
        <v>6</v>
      </c>
      <c r="AU205" s="320">
        <f t="shared" si="1259"/>
        <v>9</v>
      </c>
      <c r="AV205" s="1730">
        <f t="shared" si="1260"/>
        <v>15</v>
      </c>
      <c r="AW205" s="320">
        <v>3</v>
      </c>
      <c r="AX205" s="320">
        <v>3</v>
      </c>
      <c r="AY205" s="320">
        <v>3</v>
      </c>
      <c r="AZ205" s="1729">
        <v>6</v>
      </c>
      <c r="BA205" s="320">
        <f t="shared" si="1261"/>
        <v>6</v>
      </c>
      <c r="BB205" s="320">
        <f t="shared" si="1262"/>
        <v>9</v>
      </c>
      <c r="BC205" s="1730">
        <f t="shared" si="1263"/>
        <v>15</v>
      </c>
      <c r="BD205" s="1120">
        <v>1</v>
      </c>
      <c r="BE205" s="1120">
        <v>5</v>
      </c>
      <c r="BF205" s="1120">
        <v>2</v>
      </c>
      <c r="BG205" s="760">
        <v>4</v>
      </c>
      <c r="BH205" s="319">
        <v>6</v>
      </c>
      <c r="BI205" s="319">
        <v>6</v>
      </c>
      <c r="BJ205" s="1730">
        <v>12</v>
      </c>
      <c r="BK205" s="1120">
        <v>1</v>
      </c>
      <c r="BL205" s="1120">
        <v>3</v>
      </c>
      <c r="BM205" s="1120">
        <v>1</v>
      </c>
      <c r="BN205" s="760">
        <f>BP205-BM205</f>
        <v>3</v>
      </c>
      <c r="BO205" s="319">
        <f t="shared" si="1207"/>
        <v>4</v>
      </c>
      <c r="BP205" s="319">
        <f t="shared" si="1208"/>
        <v>4</v>
      </c>
      <c r="BQ205" s="1730">
        <f>Airbus!BR141</f>
        <v>8</v>
      </c>
      <c r="BR205" s="1120">
        <v>1</v>
      </c>
      <c r="BS205" s="1120">
        <v>3</v>
      </c>
      <c r="BT205" s="1120">
        <v>1</v>
      </c>
      <c r="BU205" s="760">
        <v>3</v>
      </c>
      <c r="BV205" s="319">
        <v>4</v>
      </c>
      <c r="BW205" s="319">
        <v>4</v>
      </c>
      <c r="BX205" s="1730">
        <v>8</v>
      </c>
      <c r="BY205" s="1120">
        <v>0</v>
      </c>
      <c r="BZ205" s="1120">
        <v>0</v>
      </c>
      <c r="CA205" s="1120">
        <v>0</v>
      </c>
      <c r="CB205" s="760">
        <f>CD205-CA205</f>
        <v>4</v>
      </c>
      <c r="CC205" s="319">
        <f t="shared" si="1210"/>
        <v>0</v>
      </c>
      <c r="CD205" s="319">
        <f t="shared" si="1211"/>
        <v>4</v>
      </c>
      <c r="CE205" s="1730">
        <f>Airbus!BY141</f>
        <v>4</v>
      </c>
      <c r="CF205" s="1120">
        <v>0</v>
      </c>
      <c r="CG205" s="1120">
        <v>2</v>
      </c>
      <c r="CH205" s="1120">
        <v>0</v>
      </c>
      <c r="CI205" s="760">
        <f>CK205-CH205</f>
        <v>3</v>
      </c>
      <c r="CJ205" s="319">
        <f>CF205+CG205</f>
        <v>2</v>
      </c>
      <c r="CK205" s="319">
        <f t="shared" si="1214"/>
        <v>3</v>
      </c>
      <c r="CL205" s="1730">
        <f>Airbus!CF141</f>
        <v>5</v>
      </c>
      <c r="CM205" s="1120">
        <v>0</v>
      </c>
      <c r="CN205" s="1120">
        <v>0</v>
      </c>
      <c r="CO205" s="1120">
        <v>0</v>
      </c>
      <c r="CP205" s="760">
        <f>CR205-CO205</f>
        <v>0</v>
      </c>
      <c r="CQ205" s="319">
        <f>CM205+CN205</f>
        <v>0</v>
      </c>
      <c r="CR205" s="319">
        <f t="shared" si="1217"/>
        <v>0</v>
      </c>
      <c r="CS205" s="1730">
        <f>Airbus!CM141</f>
        <v>0</v>
      </c>
      <c r="CT205" s="1120">
        <f>Airbus!CN141</f>
        <v>0</v>
      </c>
      <c r="CU205" s="1120">
        <f>Airbus!CO141</f>
        <v>0</v>
      </c>
      <c r="CV205" s="1120">
        <f>Airbus!CP141</f>
        <v>0</v>
      </c>
      <c r="CW205" s="1731">
        <f>Airbus!CQ141</f>
        <v>0</v>
      </c>
      <c r="CX205" s="1120">
        <f>Airbus!CR141</f>
        <v>0</v>
      </c>
      <c r="CY205" s="1120">
        <f>Airbus!CS141</f>
        <v>0</v>
      </c>
      <c r="CZ205" s="1730">
        <f>Airbus!CT141</f>
        <v>0</v>
      </c>
      <c r="DA205" s="1120">
        <f>Airbus!CU141</f>
        <v>0</v>
      </c>
      <c r="DB205" s="1120">
        <f>Airbus!CV141</f>
        <v>0</v>
      </c>
      <c r="DC205" s="1120">
        <f>Airbus!CW141</f>
        <v>0</v>
      </c>
      <c r="DD205" s="1731">
        <f>Airbus!CX141</f>
        <v>0</v>
      </c>
      <c r="DE205" s="1120">
        <f>Airbus!CY141</f>
        <v>0</v>
      </c>
      <c r="DF205" s="1120">
        <f>Airbus!CZ141</f>
        <v>0</v>
      </c>
      <c r="DG205" s="1730">
        <f>Airbus!DA141</f>
        <v>0</v>
      </c>
      <c r="DH205" s="1120">
        <f>Airbus!DB141</f>
        <v>0</v>
      </c>
      <c r="DI205" s="1120">
        <f>Airbus!DC141</f>
        <v>0</v>
      </c>
      <c r="DJ205" s="1120">
        <f>Airbus!DD141</f>
        <v>0</v>
      </c>
      <c r="DK205" s="1875">
        <f>Airbus!DE141</f>
        <v>0</v>
      </c>
      <c r="DL205" s="1120">
        <f>Airbus!DF141</f>
        <v>0</v>
      </c>
      <c r="DM205" s="1120">
        <f>Airbus!DG141</f>
        <v>0</v>
      </c>
      <c r="DN205" s="1730">
        <f>Airbus!DH141</f>
        <v>0</v>
      </c>
      <c r="DO205" s="1120">
        <f>Airbus!DI141</f>
        <v>0</v>
      </c>
      <c r="DP205" s="1120">
        <f>Airbus!DJ141</f>
        <v>0</v>
      </c>
      <c r="DQ205" s="1737">
        <f>Airbus!DK141</f>
        <v>0</v>
      </c>
      <c r="DR205" s="1734">
        <f>Airbus!DL141</f>
        <v>0</v>
      </c>
      <c r="DS205" s="1120">
        <f>Airbus!DM141</f>
        <v>0</v>
      </c>
      <c r="DT205" s="1737">
        <f>Airbus!DN141</f>
        <v>0</v>
      </c>
      <c r="DU205" s="1738">
        <f>Airbus!DO141</f>
        <v>0</v>
      </c>
      <c r="DV205" s="1737">
        <f>Airbus!DP141</f>
        <v>0</v>
      </c>
      <c r="DW205" s="1737">
        <f>Airbus!DQ141</f>
        <v>0</v>
      </c>
      <c r="DX205" s="1737">
        <f>Airbus!DR141</f>
        <v>0</v>
      </c>
      <c r="DY205" s="1734">
        <f>Airbus!DS141</f>
        <v>0</v>
      </c>
      <c r="DZ205" s="1737">
        <f>Airbus!DT141</f>
        <v>0</v>
      </c>
      <c r="EA205" s="1737">
        <f>Airbus!DU141</f>
        <v>0</v>
      </c>
      <c r="EB205" s="1738">
        <f>Airbus!DV141</f>
        <v>0</v>
      </c>
      <c r="EC205" s="1737">
        <f>Airbus!DW141</f>
        <v>0</v>
      </c>
      <c r="ED205" s="1737">
        <f>Airbus!DX141</f>
        <v>0</v>
      </c>
      <c r="EE205" s="1737">
        <f>Airbus!DY141</f>
        <v>0</v>
      </c>
      <c r="EF205" s="1734">
        <f>Airbus!DZ141</f>
        <v>0</v>
      </c>
      <c r="EG205" s="1737">
        <f>Airbus!EA141</f>
        <v>0</v>
      </c>
      <c r="EH205" s="1737">
        <f>Airbus!EB141</f>
        <v>0</v>
      </c>
      <c r="EI205" s="1738">
        <f>Airbus!EC141</f>
        <v>0</v>
      </c>
      <c r="EJ205" s="1737">
        <f>Airbus!ED141</f>
        <v>0</v>
      </c>
      <c r="EK205" s="1737">
        <f>Airbus!EE141</f>
        <v>0</v>
      </c>
      <c r="EL205" s="1737">
        <f>Airbus!EF141</f>
        <v>0</v>
      </c>
      <c r="EM205" s="1734">
        <f>Airbus!EG141</f>
        <v>0</v>
      </c>
      <c r="EN205" s="1737">
        <f>Airbus!EH141</f>
        <v>0</v>
      </c>
      <c r="EO205" s="1737">
        <f>Airbus!EI141</f>
        <v>0</v>
      </c>
      <c r="EP205" s="1738">
        <f>Airbus!EJ141</f>
        <v>0</v>
      </c>
      <c r="EQ205" s="1737">
        <f>Airbus!EK141</f>
        <v>0</v>
      </c>
      <c r="ER205" s="1737">
        <f>Airbus!EL141</f>
        <v>0</v>
      </c>
      <c r="ES205" s="1737">
        <f>Airbus!EM141</f>
        <v>0</v>
      </c>
      <c r="ET205" s="1734">
        <f>Airbus!EN141</f>
        <v>0</v>
      </c>
      <c r="EU205" s="1737">
        <f>Airbus!EO141</f>
        <v>0</v>
      </c>
      <c r="EV205" s="1737">
        <f>Airbus!EP141</f>
        <v>0</v>
      </c>
      <c r="EW205" s="1738">
        <f>Airbus!EQ141</f>
        <v>0</v>
      </c>
    </row>
    <row r="206" spans="1:153" ht="10.199999999999999" customHeight="1">
      <c r="A206" s="289" t="s">
        <v>652</v>
      </c>
      <c r="B206" s="834"/>
      <c r="C206" s="834"/>
      <c r="D206" s="834"/>
      <c r="E206" s="834"/>
      <c r="F206" s="834"/>
      <c r="G206" s="834"/>
      <c r="H206" s="834"/>
      <c r="I206" s="834"/>
      <c r="J206" s="834"/>
      <c r="K206" s="834"/>
      <c r="L206" s="834"/>
      <c r="M206" s="834"/>
      <c r="N206" s="21"/>
      <c r="O206" s="21"/>
      <c r="P206" s="21"/>
      <c r="Q206" s="1098"/>
      <c r="R206" s="21"/>
      <c r="S206" s="21"/>
      <c r="T206" s="338"/>
      <c r="U206" s="21"/>
      <c r="V206" s="21"/>
      <c r="W206" s="21"/>
      <c r="X206" s="1098"/>
      <c r="Y206" s="21"/>
      <c r="Z206" s="21"/>
      <c r="AA206" s="338"/>
      <c r="AB206" s="21"/>
      <c r="AC206" s="21"/>
      <c r="AD206" s="21"/>
      <c r="AE206" s="1098"/>
      <c r="AF206" s="21"/>
      <c r="AG206" s="21"/>
      <c r="AH206" s="338"/>
      <c r="AI206" s="21"/>
      <c r="AJ206" s="21"/>
      <c r="AK206" s="21"/>
      <c r="AL206" s="1098"/>
      <c r="AM206" s="21"/>
      <c r="AN206" s="21"/>
      <c r="AO206" s="338"/>
      <c r="AP206" s="320">
        <f>SUM(AP200:AP205)</f>
        <v>136</v>
      </c>
      <c r="AQ206" s="320">
        <f>SUM(AQ200:AQ205)</f>
        <v>170</v>
      </c>
      <c r="AR206" s="320">
        <f>SUM(AR200:AR205)</f>
        <v>148</v>
      </c>
      <c r="AS206" s="1729">
        <f>SUM(AS200:AS205)</f>
        <v>264</v>
      </c>
      <c r="AT206" s="320">
        <f t="shared" si="1200"/>
        <v>306</v>
      </c>
      <c r="AU206" s="320">
        <f t="shared" si="1259"/>
        <v>412</v>
      </c>
      <c r="AV206" s="1730">
        <f t="shared" si="1260"/>
        <v>718</v>
      </c>
      <c r="AW206" s="320">
        <f>SUM(AW200:AW205)</f>
        <v>136</v>
      </c>
      <c r="AX206" s="320">
        <f>SUM(AX200:AX205)</f>
        <v>170</v>
      </c>
      <c r="AY206" s="320">
        <f>SUM(AY200:AY205)</f>
        <v>148</v>
      </c>
      <c r="AZ206" s="1729">
        <f>SUM(AZ200:AZ205)</f>
        <v>264</v>
      </c>
      <c r="BA206" s="320">
        <f t="shared" si="1261"/>
        <v>306</v>
      </c>
      <c r="BB206" s="320">
        <f t="shared" si="1262"/>
        <v>412</v>
      </c>
      <c r="BC206" s="1730">
        <f t="shared" si="1263"/>
        <v>718</v>
      </c>
      <c r="BD206" s="1120">
        <f t="shared" ref="BD206:BJ206" si="1264">BD200+BD203+BD204+BD205</f>
        <v>121</v>
      </c>
      <c r="BE206" s="1120">
        <f t="shared" si="1264"/>
        <v>182</v>
      </c>
      <c r="BF206" s="1120">
        <f t="shared" si="1264"/>
        <v>192</v>
      </c>
      <c r="BG206" s="1731">
        <f t="shared" si="1264"/>
        <v>285</v>
      </c>
      <c r="BH206" s="1120">
        <f t="shared" si="1264"/>
        <v>303</v>
      </c>
      <c r="BI206" s="1120">
        <f t="shared" si="1264"/>
        <v>477</v>
      </c>
      <c r="BJ206" s="1730">
        <f t="shared" si="1264"/>
        <v>780</v>
      </c>
      <c r="BK206" s="1120">
        <f>BK200+BK203+BK204+BK205</f>
        <v>155</v>
      </c>
      <c r="BL206" s="1120">
        <f t="shared" ref="BL206:BQ206" si="1265">BL200+BL203+BL204+BL205</f>
        <v>213</v>
      </c>
      <c r="BM206" s="1120">
        <f t="shared" si="1265"/>
        <v>170</v>
      </c>
      <c r="BN206" s="1731">
        <f t="shared" si="1265"/>
        <v>277</v>
      </c>
      <c r="BO206" s="1120">
        <f t="shared" si="1265"/>
        <v>368</v>
      </c>
      <c r="BP206" s="1120">
        <f t="shared" si="1265"/>
        <v>447</v>
      </c>
      <c r="BQ206" s="1730">
        <f t="shared" si="1265"/>
        <v>815</v>
      </c>
      <c r="BR206" s="1120">
        <v>155</v>
      </c>
      <c r="BS206" s="1120">
        <v>213</v>
      </c>
      <c r="BT206" s="1120">
        <v>170</v>
      </c>
      <c r="BU206" s="1731">
        <v>277</v>
      </c>
      <c r="BV206" s="1120">
        <v>368</v>
      </c>
      <c r="BW206" s="1120">
        <v>447</v>
      </c>
      <c r="BX206" s="1730">
        <v>815</v>
      </c>
      <c r="BY206" s="1120">
        <f t="shared" ref="BY206:CD206" si="1266">BY200+BY203+BY204+BY205</f>
        <v>114</v>
      </c>
      <c r="BZ206" s="1120">
        <f t="shared" si="1266"/>
        <v>71</v>
      </c>
      <c r="CA206" s="1120">
        <f t="shared" si="1266"/>
        <v>138</v>
      </c>
      <c r="CB206" s="1731">
        <f t="shared" si="1266"/>
        <v>205</v>
      </c>
      <c r="CC206" s="1120">
        <f t="shared" si="1266"/>
        <v>185</v>
      </c>
      <c r="CD206" s="1120">
        <f t="shared" si="1266"/>
        <v>343</v>
      </c>
      <c r="CE206" s="1730">
        <f t="shared" ref="CE206:CK206" si="1267">CE200+CE203+CE204+CE205</f>
        <v>528</v>
      </c>
      <c r="CF206" s="1120">
        <f t="shared" si="1267"/>
        <v>116</v>
      </c>
      <c r="CG206" s="1120">
        <f t="shared" si="1267"/>
        <v>160</v>
      </c>
      <c r="CH206" s="1120">
        <f t="shared" si="1267"/>
        <v>114</v>
      </c>
      <c r="CI206" s="1731">
        <f t="shared" si="1267"/>
        <v>171</v>
      </c>
      <c r="CJ206" s="1120">
        <f t="shared" si="1267"/>
        <v>276</v>
      </c>
      <c r="CK206" s="1120">
        <f t="shared" si="1267"/>
        <v>285</v>
      </c>
      <c r="CL206" s="1730">
        <f t="shared" ref="CL206" si="1268">CL200+CL203+CL204+CL205</f>
        <v>561</v>
      </c>
      <c r="CM206" s="1120">
        <f>CM200+CM203+CM204+CM205</f>
        <v>131</v>
      </c>
      <c r="CN206" s="1120">
        <f>CN200+CN203+CN204+CN205</f>
        <v>141</v>
      </c>
      <c r="CO206" s="1120">
        <f>CO200+CO203+CO204+CO205</f>
        <v>159</v>
      </c>
      <c r="CP206" s="1731">
        <f t="shared" ref="CP206" si="1269">CP200+CP203+CP204+CP205</f>
        <v>177</v>
      </c>
      <c r="CQ206" s="1120">
        <f t="shared" ref="CQ206:CS206" si="1270">CQ200+CQ203+CQ204+CQ205</f>
        <v>272</v>
      </c>
      <c r="CR206" s="1120">
        <f t="shared" si="1270"/>
        <v>336</v>
      </c>
      <c r="CS206" s="1730">
        <f t="shared" si="1270"/>
        <v>608</v>
      </c>
      <c r="CT206" s="1120">
        <f t="shared" ref="CT206:CZ206" si="1271">CT200+CT203+CT204+CT205</f>
        <v>117</v>
      </c>
      <c r="CU206" s="1120">
        <f t="shared" si="1271"/>
        <v>174</v>
      </c>
      <c r="CV206" s="1120">
        <f t="shared" si="1271"/>
        <v>156</v>
      </c>
      <c r="CW206" s="1731">
        <f t="shared" si="1271"/>
        <v>220</v>
      </c>
      <c r="CX206" s="1120">
        <f t="shared" si="1271"/>
        <v>291</v>
      </c>
      <c r="CY206" s="1120">
        <f t="shared" si="1271"/>
        <v>376</v>
      </c>
      <c r="CZ206" s="1730">
        <f t="shared" si="1271"/>
        <v>667</v>
      </c>
      <c r="DA206" s="1120">
        <f t="shared" ref="DA206:DD206" si="1272">DA200+DA203+DA204+DA205</f>
        <v>130</v>
      </c>
      <c r="DB206" s="1120">
        <f t="shared" si="1272"/>
        <v>165</v>
      </c>
      <c r="DC206" s="1120">
        <f t="shared" si="1272"/>
        <v>157</v>
      </c>
      <c r="DD206" s="1731">
        <f t="shared" si="1272"/>
        <v>239</v>
      </c>
      <c r="DE206" s="1120">
        <f t="shared" ref="DE206:DF206" si="1273">DE200+DE203+DE204+DE205</f>
        <v>295</v>
      </c>
      <c r="DF206" s="1120">
        <f t="shared" si="1273"/>
        <v>396</v>
      </c>
      <c r="DG206" s="1730">
        <f t="shared" ref="DG206:EW206" si="1274">DG200+DG203+DG204+DG205</f>
        <v>691</v>
      </c>
      <c r="DH206" s="1120">
        <f t="shared" ref="DH206" si="1275">DH200+DH203+DH204+DH205</f>
        <v>119</v>
      </c>
      <c r="DI206" s="1120">
        <f t="shared" si="1274"/>
        <v>146</v>
      </c>
      <c r="DJ206" s="1120">
        <f t="shared" si="1274"/>
        <v>180</v>
      </c>
      <c r="DK206" s="1875">
        <f t="shared" si="1274"/>
        <v>255</v>
      </c>
      <c r="DL206" s="1120">
        <f t="shared" si="1274"/>
        <v>265</v>
      </c>
      <c r="DM206" s="1120">
        <f t="shared" si="1274"/>
        <v>435</v>
      </c>
      <c r="DN206" s="1730">
        <f t="shared" ref="DN206" si="1276">DN200+DN203+DN204+DN205</f>
        <v>700</v>
      </c>
      <c r="DO206" s="1120">
        <f t="shared" si="1274"/>
        <v>95</v>
      </c>
      <c r="DP206" s="1120">
        <f t="shared" ref="DP206" si="1277">DP200+DP203+DP204+DP205</f>
        <v>212</v>
      </c>
      <c r="DQ206" s="1737">
        <f t="shared" si="1274"/>
        <v>187</v>
      </c>
      <c r="DR206" s="1734">
        <f t="shared" si="1274"/>
        <v>267</v>
      </c>
      <c r="DS206" s="1120">
        <f t="shared" ref="DS206" si="1278">DS200+DS203+DS204+DS205</f>
        <v>307</v>
      </c>
      <c r="DT206" s="1737">
        <f t="shared" si="1274"/>
        <v>454</v>
      </c>
      <c r="DU206" s="1738">
        <f t="shared" si="1274"/>
        <v>761</v>
      </c>
      <c r="DV206" s="1737">
        <f t="shared" si="1274"/>
        <v>203.5</v>
      </c>
      <c r="DW206" s="1737">
        <f t="shared" si="1274"/>
        <v>217.875</v>
      </c>
      <c r="DX206" s="1737">
        <f t="shared" si="1274"/>
        <v>217.875</v>
      </c>
      <c r="DY206" s="1734">
        <f t="shared" si="1274"/>
        <v>217.87499999999997</v>
      </c>
      <c r="DZ206" s="1737">
        <f t="shared" si="1274"/>
        <v>421.375</v>
      </c>
      <c r="EA206" s="1737">
        <f t="shared" si="1274"/>
        <v>435.75</v>
      </c>
      <c r="EB206" s="1738">
        <f t="shared" si="1274"/>
        <v>857.125</v>
      </c>
      <c r="EC206" s="1737">
        <f t="shared" si="1274"/>
        <v>220.625</v>
      </c>
      <c r="ED206" s="1737">
        <f t="shared" si="1274"/>
        <v>235</v>
      </c>
      <c r="EE206" s="1737">
        <f t="shared" si="1274"/>
        <v>235</v>
      </c>
      <c r="EF206" s="1734">
        <f t="shared" si="1274"/>
        <v>235</v>
      </c>
      <c r="EG206" s="1737">
        <f t="shared" si="1274"/>
        <v>455.625</v>
      </c>
      <c r="EH206" s="1737">
        <f t="shared" si="1274"/>
        <v>470</v>
      </c>
      <c r="EI206" s="1738">
        <f t="shared" si="1274"/>
        <v>925.625</v>
      </c>
      <c r="EJ206" s="1737">
        <f t="shared" si="1274"/>
        <v>237.75</v>
      </c>
      <c r="EK206" s="1737">
        <f t="shared" si="1274"/>
        <v>237.75</v>
      </c>
      <c r="EL206" s="1737">
        <f t="shared" si="1274"/>
        <v>237.75</v>
      </c>
      <c r="EM206" s="1734">
        <f t="shared" si="1274"/>
        <v>237.75</v>
      </c>
      <c r="EN206" s="1737">
        <f t="shared" si="1274"/>
        <v>475.5</v>
      </c>
      <c r="EO206" s="1737">
        <f t="shared" si="1274"/>
        <v>475.5</v>
      </c>
      <c r="EP206" s="1738">
        <f t="shared" si="1274"/>
        <v>951</v>
      </c>
      <c r="EQ206" s="1737">
        <f t="shared" si="1274"/>
        <v>237.75</v>
      </c>
      <c r="ER206" s="1737">
        <f t="shared" si="1274"/>
        <v>237.75</v>
      </c>
      <c r="ES206" s="1737">
        <f t="shared" si="1274"/>
        <v>240.5</v>
      </c>
      <c r="ET206" s="1734">
        <f t="shared" si="1274"/>
        <v>240.5</v>
      </c>
      <c r="EU206" s="1737">
        <f t="shared" si="1274"/>
        <v>475.5</v>
      </c>
      <c r="EV206" s="1737">
        <f t="shared" si="1274"/>
        <v>481</v>
      </c>
      <c r="EW206" s="1738">
        <f t="shared" si="1274"/>
        <v>956.5</v>
      </c>
    </row>
    <row r="207" spans="1:153" ht="10.199999999999999" customHeight="1">
      <c r="A207" s="282" t="s">
        <v>650</v>
      </c>
      <c r="B207" s="834"/>
      <c r="C207" s="834"/>
      <c r="D207" s="834"/>
      <c r="E207" s="834"/>
      <c r="F207" s="834"/>
      <c r="G207" s="834"/>
      <c r="H207" s="834"/>
      <c r="I207" s="834"/>
      <c r="J207" s="834"/>
      <c r="K207" s="834"/>
      <c r="L207" s="834"/>
      <c r="M207" s="834"/>
      <c r="N207" s="21"/>
      <c r="O207" s="21"/>
      <c r="P207" s="21"/>
      <c r="Q207" s="1098"/>
      <c r="R207" s="21"/>
      <c r="S207" s="21"/>
      <c r="T207" s="338"/>
      <c r="U207" s="21"/>
      <c r="V207" s="21"/>
      <c r="W207" s="21"/>
      <c r="X207" s="1098"/>
      <c r="Y207" s="21"/>
      <c r="Z207" s="21"/>
      <c r="AA207" s="338"/>
      <c r="AB207" s="21"/>
      <c r="AC207" s="21"/>
      <c r="AD207" s="21"/>
      <c r="AE207" s="1098"/>
      <c r="AF207" s="21"/>
      <c r="AG207" s="21"/>
      <c r="AH207" s="338"/>
      <c r="AI207" s="21"/>
      <c r="AJ207" s="21"/>
      <c r="AK207" s="21"/>
      <c r="AL207" s="1098"/>
      <c r="AM207" s="21"/>
      <c r="AN207" s="21"/>
      <c r="AO207" s="338"/>
      <c r="AP207" s="21"/>
      <c r="AQ207" s="21"/>
      <c r="AR207" s="21"/>
      <c r="AS207" s="1098"/>
      <c r="AT207" s="21"/>
      <c r="AU207" s="21"/>
      <c r="AV207" s="338"/>
      <c r="AW207" s="21"/>
      <c r="AX207" s="21"/>
      <c r="AY207" s="21"/>
      <c r="AZ207" s="1098"/>
      <c r="BA207" s="21"/>
      <c r="BB207" s="21"/>
      <c r="BC207" s="338"/>
      <c r="BD207" s="1121">
        <v>0</v>
      </c>
      <c r="BE207" s="1121">
        <v>0</v>
      </c>
      <c r="BF207" s="1121">
        <v>8</v>
      </c>
      <c r="BG207" s="714">
        <v>12</v>
      </c>
      <c r="BH207" s="317">
        <f>BD207+BE207</f>
        <v>0</v>
      </c>
      <c r="BI207" s="317">
        <v>20</v>
      </c>
      <c r="BJ207" s="1728">
        <v>20</v>
      </c>
      <c r="BK207" s="1121">
        <v>7</v>
      </c>
      <c r="BL207" s="1121">
        <v>14</v>
      </c>
      <c r="BM207" s="1121">
        <v>12</v>
      </c>
      <c r="BN207" s="714">
        <f>BP207-BM207</f>
        <v>15</v>
      </c>
      <c r="BO207" s="317">
        <f>BK207+BL207</f>
        <v>21</v>
      </c>
      <c r="BP207" s="317">
        <f t="shared" si="1208"/>
        <v>27</v>
      </c>
      <c r="BQ207" s="1728">
        <f>Airbus!BR104</f>
        <v>48</v>
      </c>
      <c r="BR207" s="1121">
        <v>7</v>
      </c>
      <c r="BS207" s="1121">
        <v>14</v>
      </c>
      <c r="BT207" s="1121">
        <v>12</v>
      </c>
      <c r="BU207" s="714">
        <v>15</v>
      </c>
      <c r="BV207" s="317">
        <v>21</v>
      </c>
      <c r="BW207" s="317">
        <v>27</v>
      </c>
      <c r="BX207" s="1728">
        <v>48</v>
      </c>
      <c r="BY207" s="1121">
        <v>8</v>
      </c>
      <c r="BZ207" s="1121">
        <v>3</v>
      </c>
      <c r="CA207" s="1121">
        <v>7</v>
      </c>
      <c r="CB207" s="714">
        <f>CD207-CA207</f>
        <v>20</v>
      </c>
      <c r="CC207" s="317">
        <f>BY207+BZ207</f>
        <v>11</v>
      </c>
      <c r="CD207" s="317">
        <f t="shared" si="1211"/>
        <v>27</v>
      </c>
      <c r="CE207" s="1728">
        <f>Airbus!BY104</f>
        <v>38</v>
      </c>
      <c r="CF207" s="1121">
        <v>9</v>
      </c>
      <c r="CG207" s="1121">
        <v>12</v>
      </c>
      <c r="CH207" s="1121">
        <v>13</v>
      </c>
      <c r="CI207" s="714">
        <f>CK207-CH207</f>
        <v>16</v>
      </c>
      <c r="CJ207" s="317">
        <f>CF207+CG207</f>
        <v>21</v>
      </c>
      <c r="CK207" s="317">
        <f t="shared" si="1214"/>
        <v>29</v>
      </c>
      <c r="CL207" s="1728">
        <f>Airbus!CF104</f>
        <v>50</v>
      </c>
      <c r="CM207" s="1121">
        <v>11</v>
      </c>
      <c r="CN207" s="1121">
        <v>14</v>
      </c>
      <c r="CO207" s="1121">
        <v>9</v>
      </c>
      <c r="CP207" s="714">
        <f>CR207-CO207</f>
        <v>19</v>
      </c>
      <c r="CQ207" s="317">
        <f>CM207+CN207</f>
        <v>25</v>
      </c>
      <c r="CR207" s="317">
        <f t="shared" si="1217"/>
        <v>28</v>
      </c>
      <c r="CS207" s="1728">
        <f>Airbus!CM104</f>
        <v>53</v>
      </c>
      <c r="CT207" s="1121">
        <f>Airbus!CN104</f>
        <v>10</v>
      </c>
      <c r="CU207" s="1121">
        <f>Airbus!CO104</f>
        <v>15</v>
      </c>
      <c r="CV207" s="1121">
        <f>Airbus!CP104</f>
        <v>16</v>
      </c>
      <c r="CW207" s="1732">
        <f>Airbus!CQ104</f>
        <v>27</v>
      </c>
      <c r="CX207" s="1121">
        <f>Airbus!CR104</f>
        <v>25</v>
      </c>
      <c r="CY207" s="1121">
        <f>Airbus!CS104</f>
        <v>43</v>
      </c>
      <c r="CZ207" s="1728">
        <f>Airbus!CT104</f>
        <v>68</v>
      </c>
      <c r="DA207" s="1121">
        <f>Airbus!CU104</f>
        <v>12</v>
      </c>
      <c r="DB207" s="1121">
        <f>Airbus!CV104</f>
        <v>16</v>
      </c>
      <c r="DC207" s="1121">
        <f>Airbus!CW104</f>
        <v>17</v>
      </c>
      <c r="DD207" s="1732">
        <f>Airbus!CX104</f>
        <v>30</v>
      </c>
      <c r="DE207" s="1121">
        <f>Airbus!CY104</f>
        <v>28</v>
      </c>
      <c r="DF207" s="1121">
        <f>Airbus!CZ104</f>
        <v>47</v>
      </c>
      <c r="DG207" s="1728">
        <f>Airbus!DA104</f>
        <v>75</v>
      </c>
      <c r="DH207" s="1121">
        <f>Airbus!DB104</f>
        <v>17</v>
      </c>
      <c r="DI207" s="1121">
        <f>Airbus!DC104</f>
        <v>24</v>
      </c>
      <c r="DJ207" s="1121">
        <f>Airbus!DD104</f>
        <v>21</v>
      </c>
      <c r="DK207" s="1911">
        <f>Airbus!DE104</f>
        <v>31</v>
      </c>
      <c r="DL207" s="1121">
        <f>Airbus!DF104</f>
        <v>41</v>
      </c>
      <c r="DM207" s="1121">
        <f>Airbus!DG104</f>
        <v>52</v>
      </c>
      <c r="DN207" s="1728">
        <f>Airbus!DH104</f>
        <v>93</v>
      </c>
      <c r="DO207" s="1121">
        <f>Airbus!DI104</f>
        <v>19</v>
      </c>
      <c r="DP207" s="1121">
        <f>Airbus!DJ104</f>
        <v>25</v>
      </c>
      <c r="DQ207" s="1735">
        <f>Airbus!DK104</f>
        <v>25</v>
      </c>
      <c r="DR207" s="1733">
        <f>Airbus!DL104</f>
        <v>40</v>
      </c>
      <c r="DS207" s="1121">
        <f>Airbus!DM104</f>
        <v>44</v>
      </c>
      <c r="DT207" s="1735">
        <f>Airbus!DN104</f>
        <v>65</v>
      </c>
      <c r="DU207" s="1736">
        <f>Airbus!DO104</f>
        <v>109</v>
      </c>
      <c r="DV207" s="1735">
        <f>Airbus!DP104</f>
        <v>31.625</v>
      </c>
      <c r="DW207" s="1735">
        <f>Airbus!DQ104</f>
        <v>28.75</v>
      </c>
      <c r="DX207" s="1735">
        <f>Airbus!DR104</f>
        <v>28.75</v>
      </c>
      <c r="DY207" s="1733">
        <f>Airbus!DS104</f>
        <v>28.75</v>
      </c>
      <c r="DZ207" s="1735">
        <f>Airbus!DT104</f>
        <v>60.375</v>
      </c>
      <c r="EA207" s="1735">
        <f>Airbus!DU104</f>
        <v>57.5</v>
      </c>
      <c r="EB207" s="1736">
        <f>Airbus!DV104</f>
        <v>117.875</v>
      </c>
      <c r="EC207" s="1735">
        <f>Airbus!DW104</f>
        <v>28.75</v>
      </c>
      <c r="ED207" s="1735">
        <f>Airbus!DX104</f>
        <v>28.75</v>
      </c>
      <c r="EE207" s="1735">
        <f>Airbus!DY104</f>
        <v>28.75</v>
      </c>
      <c r="EF207" s="1733">
        <f>Airbus!DZ104</f>
        <v>28.75</v>
      </c>
      <c r="EG207" s="1735">
        <f>Airbus!EA104</f>
        <v>57.5</v>
      </c>
      <c r="EH207" s="1735">
        <f>Airbus!EB104</f>
        <v>57.5</v>
      </c>
      <c r="EI207" s="1736">
        <f>Airbus!EC104</f>
        <v>115</v>
      </c>
      <c r="EJ207" s="1735">
        <f>Airbus!ED104</f>
        <v>28.75</v>
      </c>
      <c r="EK207" s="1735">
        <f>Airbus!EE104</f>
        <v>28.75</v>
      </c>
      <c r="EL207" s="1735">
        <f>Airbus!EF104</f>
        <v>28.75</v>
      </c>
      <c r="EM207" s="1733">
        <f>Airbus!EG104</f>
        <v>28.75</v>
      </c>
      <c r="EN207" s="1735">
        <f>Airbus!EH104</f>
        <v>57.5</v>
      </c>
      <c r="EO207" s="1735">
        <f>Airbus!EI104</f>
        <v>57.5</v>
      </c>
      <c r="EP207" s="1736">
        <f>Airbus!EJ104</f>
        <v>115</v>
      </c>
      <c r="EQ207" s="1735">
        <f>Airbus!EK104</f>
        <v>28.75</v>
      </c>
      <c r="ER207" s="1735">
        <f>Airbus!EL104</f>
        <v>28.75</v>
      </c>
      <c r="ES207" s="1735">
        <f>Airbus!EM104</f>
        <v>28.75</v>
      </c>
      <c r="ET207" s="1733">
        <f>Airbus!EN104</f>
        <v>28.75</v>
      </c>
      <c r="EU207" s="1735">
        <f>Airbus!EO104</f>
        <v>57.5</v>
      </c>
      <c r="EV207" s="1735">
        <f>Airbus!EP104</f>
        <v>57.5</v>
      </c>
      <c r="EW207" s="1736">
        <f>Airbus!EQ104</f>
        <v>115</v>
      </c>
    </row>
    <row r="208" spans="1:153" ht="10.199999999999999" customHeight="1">
      <c r="A208" s="289" t="s">
        <v>651</v>
      </c>
      <c r="B208" s="834"/>
      <c r="C208" s="834"/>
      <c r="D208" s="834"/>
      <c r="E208" s="834"/>
      <c r="F208" s="834"/>
      <c r="G208" s="834"/>
      <c r="H208" s="834"/>
      <c r="I208" s="834"/>
      <c r="J208" s="834"/>
      <c r="K208" s="834"/>
      <c r="L208" s="834"/>
      <c r="M208" s="834"/>
      <c r="N208" s="21"/>
      <c r="O208" s="21"/>
      <c r="P208" s="21"/>
      <c r="Q208" s="1098"/>
      <c r="R208" s="21"/>
      <c r="S208" s="21"/>
      <c r="T208" s="338"/>
      <c r="U208" s="21"/>
      <c r="V208" s="21"/>
      <c r="W208" s="21"/>
      <c r="X208" s="1098"/>
      <c r="Y208" s="21"/>
      <c r="Z208" s="21"/>
      <c r="AA208" s="338"/>
      <c r="AB208" s="21"/>
      <c r="AC208" s="21"/>
      <c r="AD208" s="21"/>
      <c r="AE208" s="1098"/>
      <c r="AF208" s="21"/>
      <c r="AG208" s="21"/>
      <c r="AH208" s="338"/>
      <c r="AI208" s="21"/>
      <c r="AJ208" s="21"/>
      <c r="AK208" s="21"/>
      <c r="AL208" s="1098"/>
      <c r="AM208" s="21"/>
      <c r="AN208" s="21"/>
      <c r="AO208" s="338"/>
      <c r="AP208" s="21"/>
      <c r="AQ208" s="21"/>
      <c r="AR208" s="21"/>
      <c r="AS208" s="1098"/>
      <c r="AT208" s="21"/>
      <c r="AU208" s="21"/>
      <c r="AV208" s="338"/>
      <c r="AW208" s="21"/>
      <c r="AX208" s="21"/>
      <c r="AY208" s="21"/>
      <c r="AZ208" s="1098"/>
      <c r="BA208" s="21"/>
      <c r="BB208" s="21"/>
      <c r="BC208" s="338"/>
      <c r="BD208" s="1120">
        <f>BD206+BD207</f>
        <v>121</v>
      </c>
      <c r="BE208" s="1120">
        <f>BE206+BE207</f>
        <v>182</v>
      </c>
      <c r="BF208" s="1120">
        <f t="shared" ref="BF208:BJ208" si="1279">BF206+BF207</f>
        <v>200</v>
      </c>
      <c r="BG208" s="760">
        <f t="shared" si="1279"/>
        <v>297</v>
      </c>
      <c r="BH208" s="319">
        <f t="shared" si="1279"/>
        <v>303</v>
      </c>
      <c r="BI208" s="319">
        <f t="shared" si="1279"/>
        <v>497</v>
      </c>
      <c r="BJ208" s="1730">
        <f t="shared" si="1279"/>
        <v>800</v>
      </c>
      <c r="BK208" s="1120">
        <f>BK206+BK207</f>
        <v>162</v>
      </c>
      <c r="BL208" s="1120">
        <f>BL206+BL207</f>
        <v>227</v>
      </c>
      <c r="BM208" s="1120">
        <f t="shared" ref="BM208:BQ208" si="1280">BM206+BM207</f>
        <v>182</v>
      </c>
      <c r="BN208" s="760">
        <f t="shared" si="1280"/>
        <v>292</v>
      </c>
      <c r="BO208" s="319">
        <f t="shared" si="1280"/>
        <v>389</v>
      </c>
      <c r="BP208" s="319">
        <f t="shared" si="1280"/>
        <v>474</v>
      </c>
      <c r="BQ208" s="1730">
        <f t="shared" si="1280"/>
        <v>863</v>
      </c>
      <c r="BR208" s="1120">
        <v>162</v>
      </c>
      <c r="BS208" s="1120">
        <v>227</v>
      </c>
      <c r="BT208" s="1120">
        <v>182</v>
      </c>
      <c r="BU208" s="760">
        <v>292</v>
      </c>
      <c r="BV208" s="319">
        <v>389</v>
      </c>
      <c r="BW208" s="319">
        <v>474</v>
      </c>
      <c r="BX208" s="1730">
        <v>863</v>
      </c>
      <c r="BY208" s="1120">
        <f>BY206+BY207</f>
        <v>122</v>
      </c>
      <c r="BZ208" s="1120">
        <f>BZ206+BZ207</f>
        <v>74</v>
      </c>
      <c r="CA208" s="1120">
        <f t="shared" ref="CA208:CD208" si="1281">CA206+CA207</f>
        <v>145</v>
      </c>
      <c r="CB208" s="760">
        <f t="shared" si="1281"/>
        <v>225</v>
      </c>
      <c r="CC208" s="319">
        <f t="shared" si="1281"/>
        <v>196</v>
      </c>
      <c r="CD208" s="319">
        <f t="shared" si="1281"/>
        <v>370</v>
      </c>
      <c r="CE208" s="1730">
        <f t="shared" ref="CE208" si="1282">CE206+CE207</f>
        <v>566</v>
      </c>
      <c r="CF208" s="1120">
        <f>CF206+CF207</f>
        <v>125</v>
      </c>
      <c r="CG208" s="1120">
        <f t="shared" ref="CG208:CL208" si="1283">CG206+CG207</f>
        <v>172</v>
      </c>
      <c r="CH208" s="1120">
        <f t="shared" si="1283"/>
        <v>127</v>
      </c>
      <c r="CI208" s="760">
        <f t="shared" si="1283"/>
        <v>187</v>
      </c>
      <c r="CJ208" s="319">
        <f t="shared" si="1283"/>
        <v>297</v>
      </c>
      <c r="CK208" s="319">
        <f t="shared" si="1283"/>
        <v>314</v>
      </c>
      <c r="CL208" s="1730">
        <f t="shared" si="1283"/>
        <v>611</v>
      </c>
      <c r="CM208" s="1120">
        <f>CM206+CM207</f>
        <v>142</v>
      </c>
      <c r="CN208" s="1120">
        <f t="shared" ref="CN208:CS208" si="1284">CN206+CN207</f>
        <v>155</v>
      </c>
      <c r="CO208" s="1120">
        <f t="shared" si="1284"/>
        <v>168</v>
      </c>
      <c r="CP208" s="760">
        <f t="shared" si="1284"/>
        <v>196</v>
      </c>
      <c r="CQ208" s="319">
        <f t="shared" si="1284"/>
        <v>297</v>
      </c>
      <c r="CR208" s="319">
        <f t="shared" si="1284"/>
        <v>364</v>
      </c>
      <c r="CS208" s="1730">
        <f t="shared" si="1284"/>
        <v>661</v>
      </c>
      <c r="CT208" s="1120">
        <f t="shared" ref="CT208:CZ208" si="1285">CT206+CT207</f>
        <v>127</v>
      </c>
      <c r="CU208" s="1120">
        <f t="shared" si="1285"/>
        <v>189</v>
      </c>
      <c r="CV208" s="1120">
        <f t="shared" si="1285"/>
        <v>172</v>
      </c>
      <c r="CW208" s="1731">
        <f t="shared" si="1285"/>
        <v>247</v>
      </c>
      <c r="CX208" s="1120">
        <f t="shared" si="1285"/>
        <v>316</v>
      </c>
      <c r="CY208" s="1120">
        <f t="shared" si="1285"/>
        <v>419</v>
      </c>
      <c r="CZ208" s="1730">
        <f t="shared" si="1285"/>
        <v>735</v>
      </c>
      <c r="DA208" s="1120">
        <f t="shared" ref="DA208:DD208" si="1286">DA206+DA207</f>
        <v>142</v>
      </c>
      <c r="DB208" s="1120">
        <f t="shared" si="1286"/>
        <v>181</v>
      </c>
      <c r="DC208" s="1120">
        <f t="shared" si="1286"/>
        <v>174</v>
      </c>
      <c r="DD208" s="1731">
        <f t="shared" si="1286"/>
        <v>269</v>
      </c>
      <c r="DE208" s="1120">
        <f t="shared" ref="DE208:DF208" si="1287">DE206+DE207</f>
        <v>323</v>
      </c>
      <c r="DF208" s="1120">
        <f t="shared" si="1287"/>
        <v>443</v>
      </c>
      <c r="DG208" s="1730">
        <f t="shared" ref="DG208:EW208" si="1288">DG206+DG207</f>
        <v>766</v>
      </c>
      <c r="DH208" s="1120">
        <f t="shared" ref="DH208" si="1289">DH206+DH207</f>
        <v>136</v>
      </c>
      <c r="DI208" s="1120">
        <f t="shared" si="1288"/>
        <v>170</v>
      </c>
      <c r="DJ208" s="1120">
        <f t="shared" si="1288"/>
        <v>201</v>
      </c>
      <c r="DK208" s="1875">
        <f t="shared" si="1288"/>
        <v>286</v>
      </c>
      <c r="DL208" s="1120">
        <f t="shared" si="1288"/>
        <v>306</v>
      </c>
      <c r="DM208" s="1120">
        <f t="shared" si="1288"/>
        <v>487</v>
      </c>
      <c r="DN208" s="1730">
        <f t="shared" ref="DN208" si="1290">DN206+DN207</f>
        <v>793</v>
      </c>
      <c r="DO208" s="1120">
        <f t="shared" si="1288"/>
        <v>114</v>
      </c>
      <c r="DP208" s="1120">
        <f t="shared" ref="DP208" si="1291">DP206+DP207</f>
        <v>237</v>
      </c>
      <c r="DQ208" s="1737">
        <f t="shared" si="1288"/>
        <v>212</v>
      </c>
      <c r="DR208" s="1734">
        <f t="shared" si="1288"/>
        <v>307</v>
      </c>
      <c r="DS208" s="1120">
        <f t="shared" ref="DS208" si="1292">DS206+DS207</f>
        <v>351</v>
      </c>
      <c r="DT208" s="1737">
        <f t="shared" si="1288"/>
        <v>519</v>
      </c>
      <c r="DU208" s="1738">
        <f t="shared" si="1288"/>
        <v>870</v>
      </c>
      <c r="DV208" s="1737">
        <f t="shared" si="1288"/>
        <v>235.125</v>
      </c>
      <c r="DW208" s="1737">
        <f t="shared" si="1288"/>
        <v>246.625</v>
      </c>
      <c r="DX208" s="1737">
        <f t="shared" si="1288"/>
        <v>246.625</v>
      </c>
      <c r="DY208" s="1734">
        <f t="shared" si="1288"/>
        <v>246.62499999999997</v>
      </c>
      <c r="DZ208" s="1737">
        <f t="shared" si="1288"/>
        <v>481.75</v>
      </c>
      <c r="EA208" s="1737">
        <f t="shared" si="1288"/>
        <v>493.25</v>
      </c>
      <c r="EB208" s="1738">
        <f t="shared" si="1288"/>
        <v>975</v>
      </c>
      <c r="EC208" s="1737">
        <f t="shared" si="1288"/>
        <v>249.375</v>
      </c>
      <c r="ED208" s="1737">
        <f t="shared" si="1288"/>
        <v>263.75</v>
      </c>
      <c r="EE208" s="1737">
        <f t="shared" si="1288"/>
        <v>263.75</v>
      </c>
      <c r="EF208" s="1734">
        <f t="shared" si="1288"/>
        <v>263.75</v>
      </c>
      <c r="EG208" s="1737">
        <f t="shared" si="1288"/>
        <v>513.125</v>
      </c>
      <c r="EH208" s="1737">
        <f t="shared" si="1288"/>
        <v>527.5</v>
      </c>
      <c r="EI208" s="1738">
        <f t="shared" si="1288"/>
        <v>1040.625</v>
      </c>
      <c r="EJ208" s="1737">
        <f t="shared" si="1288"/>
        <v>266.5</v>
      </c>
      <c r="EK208" s="1737">
        <f t="shared" si="1288"/>
        <v>266.5</v>
      </c>
      <c r="EL208" s="1737">
        <f t="shared" si="1288"/>
        <v>266.5</v>
      </c>
      <c r="EM208" s="1734">
        <f t="shared" si="1288"/>
        <v>266.5</v>
      </c>
      <c r="EN208" s="1737">
        <f t="shared" si="1288"/>
        <v>533</v>
      </c>
      <c r="EO208" s="1737">
        <f t="shared" si="1288"/>
        <v>533</v>
      </c>
      <c r="EP208" s="1738">
        <f t="shared" si="1288"/>
        <v>1066</v>
      </c>
      <c r="EQ208" s="1737">
        <f t="shared" si="1288"/>
        <v>266.5</v>
      </c>
      <c r="ER208" s="1737">
        <f t="shared" si="1288"/>
        <v>266.5</v>
      </c>
      <c r="ES208" s="1737">
        <f t="shared" si="1288"/>
        <v>269.25</v>
      </c>
      <c r="ET208" s="1734">
        <f t="shared" si="1288"/>
        <v>269.25</v>
      </c>
      <c r="EU208" s="1737">
        <f t="shared" si="1288"/>
        <v>533</v>
      </c>
      <c r="EV208" s="1737">
        <f t="shared" si="1288"/>
        <v>538.5</v>
      </c>
      <c r="EW208" s="1738">
        <f t="shared" si="1288"/>
        <v>1071.5</v>
      </c>
    </row>
    <row r="209" spans="1:153" ht="10.199999999999999" customHeight="1">
      <c r="A209" s="43"/>
      <c r="B209" s="834"/>
      <c r="C209" s="834"/>
      <c r="D209" s="834"/>
      <c r="E209" s="834"/>
      <c r="F209" s="834"/>
      <c r="G209" s="834"/>
      <c r="H209" s="834"/>
      <c r="I209" s="834"/>
      <c r="J209" s="834"/>
      <c r="K209" s="834"/>
      <c r="L209" s="834"/>
      <c r="M209" s="834"/>
      <c r="N209" s="21"/>
      <c r="O209" s="21"/>
      <c r="P209" s="21"/>
      <c r="Q209" s="1098"/>
      <c r="R209" s="21"/>
      <c r="S209" s="21"/>
      <c r="T209" s="338"/>
      <c r="U209" s="21"/>
      <c r="V209" s="21"/>
      <c r="W209" s="21"/>
      <c r="X209" s="1098"/>
      <c r="Y209" s="21"/>
      <c r="Z209" s="21"/>
      <c r="AA209" s="338"/>
      <c r="AB209" s="21"/>
      <c r="AC209" s="21"/>
      <c r="AD209" s="21"/>
      <c r="AE209" s="1098"/>
      <c r="AF209" s="21"/>
      <c r="AG209" s="21"/>
      <c r="AH209" s="338"/>
      <c r="AI209" s="21"/>
      <c r="AJ209" s="21"/>
      <c r="AK209" s="21"/>
      <c r="AL209" s="1098"/>
      <c r="AM209" s="21"/>
      <c r="AN209" s="21"/>
      <c r="AO209" s="338"/>
      <c r="AP209" s="21"/>
      <c r="AQ209" s="21"/>
      <c r="AR209" s="21"/>
      <c r="AS209" s="1098"/>
      <c r="AT209" s="21"/>
      <c r="AU209" s="21"/>
      <c r="AV209" s="338"/>
      <c r="AW209" s="21"/>
      <c r="AX209" s="21"/>
      <c r="AY209" s="21"/>
      <c r="AZ209" s="1098"/>
      <c r="BA209" s="21"/>
      <c r="BB209" s="21"/>
      <c r="BC209" s="338"/>
      <c r="BD209" s="21"/>
      <c r="BE209" s="21"/>
      <c r="BF209" s="21"/>
      <c r="BG209" s="1098"/>
      <c r="BH209" s="21"/>
      <c r="BI209" s="21"/>
      <c r="BJ209" s="338"/>
      <c r="BK209" s="21"/>
      <c r="BL209" s="21"/>
      <c r="BM209" s="21"/>
      <c r="BN209" s="1098"/>
      <c r="BO209" s="21"/>
      <c r="BP209" s="21"/>
      <c r="BQ209" s="338"/>
      <c r="BR209" s="21"/>
      <c r="BS209" s="21"/>
      <c r="BT209" s="21"/>
      <c r="BU209" s="1098"/>
      <c r="BV209" s="21"/>
      <c r="BW209" s="21"/>
      <c r="BX209" s="338"/>
      <c r="BY209" s="21"/>
      <c r="BZ209" s="21"/>
      <c r="CA209" s="21"/>
      <c r="CB209" s="1098"/>
      <c r="CC209" s="21"/>
      <c r="CD209" s="21"/>
      <c r="CE209" s="338"/>
      <c r="CF209" s="21"/>
      <c r="CG209" s="21"/>
      <c r="CH209" s="21"/>
      <c r="CI209" s="1098"/>
      <c r="CJ209" s="21"/>
      <c r="CK209" s="21"/>
      <c r="CL209" s="338"/>
      <c r="CM209" s="21"/>
      <c r="CN209" s="21"/>
      <c r="CO209" s="21"/>
      <c r="CP209" s="1098"/>
      <c r="CQ209" s="21"/>
      <c r="CR209" s="21"/>
      <c r="CS209" s="338"/>
      <c r="CT209" s="21"/>
      <c r="CU209" s="21"/>
      <c r="CV209" s="21"/>
      <c r="CW209" s="1098"/>
      <c r="CX209" s="21"/>
      <c r="CY209" s="21"/>
      <c r="CZ209" s="338"/>
      <c r="DA209" s="21"/>
      <c r="DB209" s="21"/>
      <c r="DC209" s="21"/>
      <c r="DD209" s="1098"/>
      <c r="DE209" s="21"/>
      <c r="DF209" s="21"/>
      <c r="DG209" s="338"/>
      <c r="DH209" s="21"/>
      <c r="DI209" s="21"/>
      <c r="DJ209" s="21"/>
      <c r="DK209" s="1876"/>
      <c r="DL209" s="21"/>
      <c r="DM209" s="21"/>
      <c r="DN209" s="338"/>
      <c r="DO209" s="21"/>
      <c r="DP209" s="21"/>
      <c r="DQ209" s="21"/>
      <c r="DR209" s="1098"/>
      <c r="DS209" s="21"/>
      <c r="DT209" s="21"/>
      <c r="DU209" s="338"/>
      <c r="DV209" s="21"/>
      <c r="DW209" s="21"/>
      <c r="DX209" s="21"/>
      <c r="DY209" s="1098"/>
      <c r="DZ209" s="21"/>
      <c r="EA209" s="21"/>
      <c r="EB209" s="338"/>
      <c r="EC209" s="21"/>
      <c r="ED209" s="21"/>
      <c r="EE209" s="21"/>
      <c r="EF209" s="1098"/>
      <c r="EG209" s="21"/>
      <c r="EH209" s="21"/>
      <c r="EI209" s="338"/>
      <c r="EJ209" s="21"/>
      <c r="EK209" s="21"/>
      <c r="EL209" s="21"/>
      <c r="EM209" s="1098"/>
      <c r="EN209" s="21"/>
      <c r="EO209" s="21"/>
      <c r="EP209" s="338"/>
      <c r="EQ209" s="21"/>
      <c r="ER209" s="21"/>
      <c r="ES209" s="21"/>
      <c r="ET209" s="1098"/>
      <c r="EU209" s="21"/>
      <c r="EV209" s="21"/>
      <c r="EW209" s="338"/>
    </row>
    <row r="210" spans="1:153" ht="10.199999999999999" hidden="1" customHeight="1" outlineLevel="1">
      <c r="A210" s="48" t="s">
        <v>619</v>
      </c>
      <c r="B210" s="834"/>
      <c r="C210" s="834"/>
      <c r="D210" s="834"/>
      <c r="E210" s="834"/>
      <c r="F210" s="834"/>
      <c r="G210" s="834"/>
      <c r="H210" s="834"/>
      <c r="I210" s="834"/>
      <c r="J210" s="834"/>
      <c r="K210" s="834"/>
      <c r="L210" s="834"/>
      <c r="M210" s="834"/>
      <c r="N210" s="21"/>
      <c r="O210" s="21"/>
      <c r="P210" s="21"/>
      <c r="Q210" s="1098"/>
      <c r="R210" s="21"/>
      <c r="S210" s="21"/>
      <c r="T210" s="338"/>
      <c r="U210" s="21"/>
      <c r="V210" s="21"/>
      <c r="W210" s="21"/>
      <c r="X210" s="1098"/>
      <c r="Y210" s="21"/>
      <c r="Z210" s="21"/>
      <c r="AA210" s="338"/>
      <c r="AB210" s="21"/>
      <c r="AC210" s="21"/>
      <c r="AD210" s="21"/>
      <c r="AE210" s="1098"/>
      <c r="AF210" s="21"/>
      <c r="AG210" s="21"/>
      <c r="AH210" s="338"/>
      <c r="AI210" s="21"/>
      <c r="AJ210" s="21"/>
      <c r="AK210" s="21"/>
      <c r="AL210" s="1098"/>
      <c r="AM210" s="21"/>
      <c r="AN210" s="21"/>
      <c r="AO210" s="338"/>
      <c r="AP210" s="21"/>
      <c r="AQ210" s="21"/>
      <c r="AR210" s="21"/>
      <c r="AS210" s="1098"/>
      <c r="AT210" s="21"/>
      <c r="AU210" s="21"/>
      <c r="AV210" s="338"/>
      <c r="AW210" s="21"/>
      <c r="AX210" s="21"/>
      <c r="AY210" s="21"/>
      <c r="AZ210" s="1098"/>
      <c r="BA210" s="21"/>
      <c r="BB210" s="21"/>
      <c r="BC210" s="338"/>
      <c r="BD210" s="21"/>
      <c r="BE210" s="21"/>
      <c r="BF210" s="21"/>
      <c r="BG210" s="1098"/>
      <c r="BH210" s="21"/>
      <c r="BI210" s="21"/>
      <c r="BJ210" s="338"/>
      <c r="BK210" s="21"/>
      <c r="BL210" s="21"/>
      <c r="BM210" s="21"/>
      <c r="BN210" s="1098"/>
      <c r="BO210" s="21"/>
      <c r="BP210" s="21"/>
      <c r="BQ210" s="338"/>
      <c r="BR210" s="21"/>
      <c r="BS210" s="21"/>
      <c r="BT210" s="21"/>
      <c r="BU210" s="1098"/>
      <c r="BV210" s="21"/>
      <c r="BW210" s="21"/>
      <c r="BX210" s="338"/>
      <c r="BY210" s="21"/>
      <c r="BZ210" s="21"/>
      <c r="CA210" s="21"/>
      <c r="CB210" s="1098"/>
      <c r="CC210" s="21"/>
      <c r="CD210" s="21"/>
      <c r="CE210" s="338"/>
      <c r="CF210" s="21"/>
      <c r="CG210" s="21"/>
      <c r="CH210" s="21"/>
      <c r="CI210" s="1098"/>
      <c r="CJ210" s="21"/>
      <c r="CK210" s="21"/>
      <c r="CL210" s="338"/>
      <c r="CM210" s="21"/>
      <c r="CN210" s="21"/>
      <c r="CO210" s="21"/>
      <c r="CP210" s="1098"/>
      <c r="CQ210" s="21"/>
      <c r="CR210" s="21"/>
      <c r="CS210" s="338"/>
      <c r="CT210" s="21"/>
      <c r="CU210" s="21"/>
      <c r="CV210" s="21"/>
      <c r="CW210" s="1098"/>
      <c r="CX210" s="21"/>
      <c r="CY210" s="21"/>
      <c r="CZ210" s="338"/>
      <c r="DA210" s="21"/>
      <c r="DB210" s="21"/>
      <c r="DC210" s="21"/>
      <c r="DD210" s="1098"/>
      <c r="DE210" s="21"/>
      <c r="DF210" s="21"/>
      <c r="DG210" s="338"/>
      <c r="DH210" s="21"/>
      <c r="DI210" s="21"/>
      <c r="DJ210" s="21"/>
      <c r="DK210" s="1876"/>
      <c r="DL210" s="21"/>
      <c r="DM210" s="21"/>
      <c r="DN210" s="338"/>
      <c r="DO210" s="21"/>
      <c r="DP210" s="21"/>
      <c r="DQ210" s="21"/>
      <c r="DR210" s="1098"/>
      <c r="DS210" s="21"/>
      <c r="DT210" s="21"/>
      <c r="DU210" s="338"/>
      <c r="DV210" s="21"/>
      <c r="DW210" s="21"/>
      <c r="DX210" s="21"/>
      <c r="DY210" s="1098"/>
      <c r="DZ210" s="21"/>
      <c r="EA210" s="21"/>
      <c r="EB210" s="338"/>
      <c r="EC210" s="21"/>
      <c r="ED210" s="21"/>
      <c r="EE210" s="21"/>
      <c r="EF210" s="1098"/>
      <c r="EG210" s="21"/>
      <c r="EH210" s="21"/>
      <c r="EI210" s="338"/>
      <c r="EJ210" s="21"/>
      <c r="EK210" s="21"/>
      <c r="EL210" s="21"/>
      <c r="EM210" s="1098"/>
      <c r="EN210" s="21"/>
      <c r="EO210" s="21"/>
      <c r="EP210" s="338"/>
      <c r="EQ210" s="21"/>
      <c r="ER210" s="21"/>
      <c r="ES210" s="21"/>
      <c r="ET210" s="1098"/>
      <c r="EU210" s="21"/>
      <c r="EV210" s="21"/>
      <c r="EW210" s="338"/>
    </row>
    <row r="211" spans="1:153" ht="10.199999999999999" hidden="1" customHeight="1" outlineLevel="1">
      <c r="A211" s="108" t="s">
        <v>591</v>
      </c>
      <c r="B211" s="834">
        <f>0.01*Airbus!C76*10^3</f>
        <v>602.00000000000011</v>
      </c>
      <c r="C211" s="834">
        <f>0.01*Airbus!D76*10^3</f>
        <v>310</v>
      </c>
      <c r="D211" s="834">
        <f>0.01*Airbus!E76*10^3</f>
        <v>1135.2199999999998</v>
      </c>
      <c r="E211" s="834">
        <f>0.01*Airbus!F76*10^3</f>
        <v>435.89</v>
      </c>
      <c r="F211" s="834">
        <f>0.01*Airbus!G76*10^3</f>
        <v>533.66999999999996</v>
      </c>
      <c r="G211" s="834">
        <f>0.01*Airbus!H76*10^3</f>
        <v>782.54</v>
      </c>
      <c r="H211" s="834">
        <f>0.01*Airbus!I76*10^3</f>
        <v>696.67</v>
      </c>
      <c r="I211" s="834">
        <f>0.01*Airbus!J76*10^3</f>
        <v>820.41</v>
      </c>
      <c r="J211" s="834">
        <f>0.01*Airbus!K76*10^3</f>
        <v>234.60999999999999</v>
      </c>
      <c r="K211" s="834">
        <f>0.01*Airbus!L76*10^3</f>
        <v>682</v>
      </c>
      <c r="L211" s="834">
        <f>0.01*Airbus!M76*10^3</f>
        <v>1173.0100000000002</v>
      </c>
      <c r="M211" s="834">
        <f>0.01*Airbus!N76*10^3</f>
        <v>864.78</v>
      </c>
      <c r="N211" s="834"/>
      <c r="O211" s="834"/>
      <c r="P211" s="834"/>
      <c r="Q211" s="1095"/>
      <c r="R211" s="834"/>
      <c r="S211" s="834"/>
      <c r="T211" s="1269">
        <f>0.01*Airbus!U76*10^3</f>
        <v>1992.61</v>
      </c>
      <c r="U211" s="834"/>
      <c r="V211" s="834"/>
      <c r="W211" s="834"/>
      <c r="X211" s="1095"/>
      <c r="Y211" s="834"/>
      <c r="Z211" s="834"/>
      <c r="AA211" s="1269">
        <f>0.01*Airbus!AB76*10^3</f>
        <v>1500.85</v>
      </c>
      <c r="AB211" s="834"/>
      <c r="AC211" s="834"/>
      <c r="AD211" s="834"/>
      <c r="AE211" s="1095"/>
      <c r="AF211" s="834"/>
      <c r="AG211" s="834"/>
      <c r="AH211" s="1269">
        <f>0.01*Airbus!AI76*10^3</f>
        <v>1390.6200000000001</v>
      </c>
      <c r="AI211" s="834"/>
      <c r="AJ211" s="834"/>
      <c r="AK211" s="834"/>
      <c r="AL211" s="1095"/>
      <c r="AM211" s="834"/>
      <c r="AN211" s="834"/>
      <c r="AO211" s="1269">
        <f>0.01*Airbus!AP76*10^3</f>
        <v>1149.3800000000001</v>
      </c>
      <c r="AP211" s="834"/>
      <c r="AQ211" s="834"/>
      <c r="AR211" s="834"/>
      <c r="AS211" s="1095"/>
      <c r="AT211" s="834"/>
      <c r="AU211" s="834"/>
      <c r="AV211" s="1269">
        <f>0.01*Airbus!AW76*10^3</f>
        <v>1433.61</v>
      </c>
      <c r="AW211" s="834"/>
      <c r="AX211" s="834"/>
      <c r="AY211" s="834"/>
      <c r="AZ211" s="1095"/>
      <c r="BA211" s="834"/>
      <c r="BB211" s="834"/>
      <c r="BC211" s="1269"/>
      <c r="BD211" s="834"/>
      <c r="BE211" s="834"/>
      <c r="BF211" s="834"/>
      <c r="BG211" s="1095"/>
      <c r="BH211" s="834"/>
      <c r="BI211" s="834"/>
      <c r="BJ211" s="1269">
        <f>0.01*Airbus!BK76*10^3</f>
        <v>415.19</v>
      </c>
      <c r="BK211" s="834"/>
      <c r="BL211" s="834"/>
      <c r="BM211" s="834"/>
      <c r="BN211" s="1095"/>
      <c r="BO211" s="834"/>
      <c r="BP211" s="834"/>
      <c r="BQ211" s="1269">
        <f>0.01*Airbus!BR76*10^3</f>
        <v>657.69</v>
      </c>
      <c r="BR211" s="834"/>
      <c r="BS211" s="834"/>
      <c r="BT211" s="834"/>
      <c r="BU211" s="1095"/>
      <c r="BV211" s="834"/>
      <c r="BW211" s="834"/>
      <c r="BX211" s="1269"/>
      <c r="BY211" s="834"/>
      <c r="BZ211" s="834"/>
      <c r="CA211" s="834"/>
      <c r="CB211" s="1095"/>
      <c r="CC211" s="834"/>
      <c r="CD211" s="834"/>
      <c r="CE211" s="1269">
        <f>0.01*Airbus!BY76*10^3</f>
        <v>160.88999999999999</v>
      </c>
      <c r="CF211" s="834"/>
      <c r="CG211" s="834"/>
      <c r="CH211" s="834"/>
      <c r="CI211" s="1095"/>
      <c r="CJ211" s="834"/>
      <c r="CK211" s="834"/>
      <c r="CL211" s="1269">
        <f>0.01*Airbus!CF76*10^3</f>
        <v>400.04</v>
      </c>
      <c r="CM211" s="834"/>
      <c r="CN211" s="834"/>
      <c r="CO211" s="834"/>
      <c r="CP211" s="1095"/>
      <c r="CQ211" s="834"/>
      <c r="CR211" s="834"/>
      <c r="CS211" s="1269">
        <f>0.01*Airbus!CM76*10^3</f>
        <v>597.27</v>
      </c>
      <c r="CT211" s="834"/>
      <c r="CU211" s="834"/>
      <c r="CV211" s="834"/>
      <c r="CW211" s="1095"/>
      <c r="CX211" s="834"/>
      <c r="CY211" s="834"/>
      <c r="CZ211" s="1269">
        <f>0.01*Airbus!CT76*10^3</f>
        <v>1625.71</v>
      </c>
      <c r="DA211" s="834"/>
      <c r="DB211" s="834"/>
      <c r="DC211" s="834"/>
      <c r="DD211" s="1095"/>
      <c r="DE211" s="834"/>
      <c r="DF211" s="834"/>
      <c r="DG211" s="1269">
        <f>0.01*Airbus!DA76*10^3</f>
        <v>774.13</v>
      </c>
      <c r="DH211" s="834"/>
      <c r="DI211" s="834"/>
      <c r="DJ211" s="834"/>
      <c r="DK211" s="1095"/>
      <c r="DL211" s="834"/>
      <c r="DM211" s="834"/>
      <c r="DN211" s="1269">
        <f>0.01*Airbus!DH76*10^3</f>
        <v>923.19999999999993</v>
      </c>
      <c r="DO211" s="834"/>
      <c r="DP211" s="834"/>
      <c r="DQ211" s="834"/>
      <c r="DR211" s="1095"/>
      <c r="DS211" s="834"/>
      <c r="DT211" s="834"/>
      <c r="DU211" s="338"/>
      <c r="DV211" s="834"/>
      <c r="DW211" s="834"/>
      <c r="DX211" s="834"/>
      <c r="DY211" s="1095"/>
      <c r="DZ211" s="834"/>
      <c r="EA211" s="834"/>
      <c r="EB211" s="338"/>
      <c r="EC211" s="834"/>
      <c r="ED211" s="834"/>
      <c r="EE211" s="834"/>
      <c r="EF211" s="1095"/>
      <c r="EG211" s="834"/>
      <c r="EH211" s="834"/>
      <c r="EI211" s="338"/>
      <c r="EJ211" s="834"/>
      <c r="EK211" s="834"/>
      <c r="EL211" s="834"/>
      <c r="EM211" s="1095"/>
      <c r="EN211" s="834"/>
      <c r="EO211" s="834"/>
      <c r="EP211" s="338"/>
      <c r="EQ211" s="834"/>
      <c r="ER211" s="834"/>
      <c r="ES211" s="834"/>
      <c r="ET211" s="1095"/>
      <c r="EU211" s="834"/>
      <c r="EV211" s="834"/>
      <c r="EW211" s="338"/>
    </row>
    <row r="212" spans="1:153" ht="10.199999999999999" hidden="1" customHeight="1" outlineLevel="1">
      <c r="A212" s="108" t="s">
        <v>592</v>
      </c>
      <c r="B212" s="834">
        <f>0.2*Airbus!E465/Airbus!E398</f>
        <v>4795.3612479474568</v>
      </c>
      <c r="C212" s="834">
        <f>0.2*Airbus!F465/Airbus!F398</f>
        <v>5041.224489795919</v>
      </c>
      <c r="D212" s="834">
        <f>0.2*Airbus!G465/Airbus!G398</f>
        <v>5486.3213592233005</v>
      </c>
      <c r="E212" s="834">
        <f>0.2*Airbus!H465/Airbus!H398</f>
        <v>5871.1727423698367</v>
      </c>
      <c r="F212" s="834">
        <f>0.2*Airbus!I465/Airbus!I398</f>
        <v>5906.8586945869556</v>
      </c>
      <c r="G212" s="834">
        <f>0.2*Airbus!J465/Airbus!J398</f>
        <v>6968.5813871016144</v>
      </c>
      <c r="H212" s="834">
        <f>0.2*Airbus!K465/Airbus!K398</f>
        <v>6682.9209790631339</v>
      </c>
      <c r="I212" s="834">
        <f>0.2*Airbus!L465/Airbus!L398</f>
        <v>8582.237037037039</v>
      </c>
      <c r="J212" s="834">
        <f>0.2*Airbus!M465/Airbus!M398</f>
        <v>9433.5474452554736</v>
      </c>
      <c r="K212" s="834">
        <f>0.2*Airbus!N465/Airbus!N398</f>
        <v>11142.50970588235</v>
      </c>
      <c r="L212" s="834">
        <f>0.2*Airbus!U465/Airbus!U398</f>
        <v>11859.912408759123</v>
      </c>
      <c r="M212" s="834">
        <f>0.2*Airbus!AB465/Airbus!AB398</f>
        <v>12841.488888888889</v>
      </c>
      <c r="N212" s="834"/>
      <c r="O212" s="834"/>
      <c r="P212" s="834"/>
      <c r="Q212" s="1095"/>
      <c r="R212" s="834"/>
      <c r="S212" s="834"/>
      <c r="T212" s="1269">
        <f>0.2*Airbus!AI465/Airbus!AI398</f>
        <v>13673.835820895521</v>
      </c>
      <c r="U212" s="834"/>
      <c r="V212" s="834"/>
      <c r="W212" s="834"/>
      <c r="X212" s="1095"/>
      <c r="Y212" s="834"/>
      <c r="Z212" s="834"/>
      <c r="AA212" s="1269">
        <f>0.2*Airbus!AP465/Airbus!AP398</f>
        <v>15337.500000000002</v>
      </c>
      <c r="AB212" s="834"/>
      <c r="AC212" s="834"/>
      <c r="AD212" s="834"/>
      <c r="AE212" s="1095"/>
      <c r="AF212" s="834"/>
      <c r="AG212" s="834"/>
      <c r="AH212" s="1269">
        <f>0.2*Airbus!AW465/Airbus!AW398</f>
        <v>16754.713178294576</v>
      </c>
      <c r="AI212" s="834"/>
      <c r="AJ212" s="834"/>
      <c r="AK212" s="834"/>
      <c r="AL212" s="1095"/>
      <c r="AM212" s="834"/>
      <c r="AN212" s="834"/>
      <c r="AO212" s="1269">
        <f>0.2*Airbus!BK465/Airbus!BK398</f>
        <v>19151.274193548386</v>
      </c>
      <c r="AP212" s="834"/>
      <c r="AQ212" s="834"/>
      <c r="AR212" s="834"/>
      <c r="AS212" s="1095"/>
      <c r="AT212" s="834"/>
      <c r="AU212" s="834"/>
      <c r="AV212" s="1269">
        <f>0.2*Airbus!BR465/Airbus!BR399</f>
        <v>21997.184000000001</v>
      </c>
      <c r="AW212" s="834"/>
      <c r="AX212" s="834"/>
      <c r="AY212" s="834"/>
      <c r="AZ212" s="1095"/>
      <c r="BA212" s="834"/>
      <c r="BB212" s="834"/>
      <c r="BC212" s="1269"/>
      <c r="BD212" s="834"/>
      <c r="BE212" s="834"/>
      <c r="BF212" s="834"/>
      <c r="BG212" s="1095"/>
      <c r="BH212" s="834"/>
      <c r="BI212" s="834"/>
      <c r="BJ212" s="1269">
        <f>0.2*Airbus!BY465/Airbus!BY399</f>
        <v>13711.466280000002</v>
      </c>
      <c r="BK212" s="834"/>
      <c r="BL212" s="834"/>
      <c r="BM212" s="834"/>
      <c r="BN212" s="1095"/>
      <c r="BO212" s="834"/>
      <c r="BP212" s="834"/>
      <c r="BQ212" s="1269">
        <f>0.2*Airbus!CF465/Airbus!CF399</f>
        <v>14568.245737200003</v>
      </c>
      <c r="BR212" s="834"/>
      <c r="BS212" s="834"/>
      <c r="BT212" s="834"/>
      <c r="BU212" s="1095"/>
      <c r="BV212" s="834"/>
      <c r="BW212" s="834"/>
      <c r="BX212" s="1269"/>
      <c r="BY212" s="834"/>
      <c r="BZ212" s="834"/>
      <c r="CA212" s="834"/>
      <c r="CB212" s="1095"/>
      <c r="CC212" s="834"/>
      <c r="CD212" s="834"/>
      <c r="CE212" s="1269">
        <f>0.2*Airbus!CM465/Airbus!CM399</f>
        <v>18140.079668640003</v>
      </c>
      <c r="CF212" s="834"/>
      <c r="CG212" s="834"/>
      <c r="CH212" s="834"/>
      <c r="CI212" s="1095"/>
      <c r="CJ212" s="834"/>
      <c r="CK212" s="834"/>
      <c r="CL212" s="1269">
        <f>0.2*Airbus!CT465/Airbus!CT399</f>
        <v>20600.1660348324</v>
      </c>
      <c r="CM212" s="834"/>
      <c r="CN212" s="834"/>
      <c r="CO212" s="834"/>
      <c r="CP212" s="1095"/>
      <c r="CQ212" s="834"/>
      <c r="CR212" s="834"/>
      <c r="CS212" s="1269">
        <f>0.2*Airbus!DA465/Airbus!DA399</f>
        <v>21567.525260365528</v>
      </c>
      <c r="CT212" s="834"/>
      <c r="CU212" s="834"/>
      <c r="CV212" s="834"/>
      <c r="CW212" s="1095"/>
      <c r="CX212" s="834"/>
      <c r="CY212" s="834"/>
      <c r="CZ212" s="1269">
        <f>0.2*Airbus!DH465/Airbus!DH399</f>
        <v>21594.582941476903</v>
      </c>
      <c r="DA212" s="834"/>
      <c r="DB212" s="834"/>
      <c r="DC212" s="834"/>
      <c r="DD212" s="1095"/>
      <c r="DE212" s="834"/>
      <c r="DF212" s="834"/>
      <c r="DG212" s="1269">
        <f>0.2*Airbus!DO465/Airbus!DO399</f>
        <v>23829.294886700267</v>
      </c>
      <c r="DH212" s="834"/>
      <c r="DI212" s="834"/>
      <c r="DJ212" s="834"/>
      <c r="DK212" s="1095"/>
      <c r="DL212" s="834"/>
      <c r="DM212" s="834"/>
      <c r="DN212" s="1269">
        <f>0.2*Airbus!DV465/Airbus!DV399</f>
        <v>27273.808855763324</v>
      </c>
      <c r="DO212" s="834"/>
      <c r="DP212" s="834"/>
      <c r="DQ212" s="834"/>
      <c r="DR212" s="1095"/>
      <c r="DS212" s="834"/>
      <c r="DT212" s="834"/>
      <c r="DU212" s="338"/>
      <c r="DV212" s="834"/>
      <c r="DW212" s="834"/>
      <c r="DX212" s="834"/>
      <c r="DY212" s="1095"/>
      <c r="DZ212" s="834"/>
      <c r="EA212" s="834"/>
      <c r="EB212" s="338"/>
      <c r="EC212" s="834"/>
      <c r="ED212" s="834"/>
      <c r="EE212" s="834"/>
      <c r="EF212" s="1095"/>
      <c r="EG212" s="834"/>
      <c r="EH212" s="834"/>
      <c r="EI212" s="338"/>
      <c r="EJ212" s="834"/>
      <c r="EK212" s="834"/>
      <c r="EL212" s="834"/>
      <c r="EM212" s="1095"/>
      <c r="EN212" s="834"/>
      <c r="EO212" s="834"/>
      <c r="EP212" s="338"/>
      <c r="EQ212" s="834"/>
      <c r="ER212" s="834"/>
      <c r="ES212" s="834"/>
      <c r="ET212" s="1095"/>
      <c r="EU212" s="834"/>
      <c r="EV212" s="834"/>
      <c r="EW212" s="338"/>
    </row>
    <row r="213" spans="1:153" ht="10.199999999999999" hidden="1" customHeight="1" outlineLevel="1">
      <c r="A213" s="108" t="s">
        <v>593</v>
      </c>
      <c r="B213" s="834">
        <f>-0.21*Airbus!C465/Airbus!C398</f>
        <v>-4704.8187954802779</v>
      </c>
      <c r="C213" s="834">
        <f>-0.21*Airbus!D465/Airbus!D398</f>
        <v>-4503.3998898445989</v>
      </c>
      <c r="D213" s="834">
        <f>-0.21*Airbus!E465/Airbus!E398</f>
        <v>-5035.1293103448288</v>
      </c>
      <c r="E213" s="834">
        <f>-0.21*Airbus!F465/Airbus!F398</f>
        <v>-5293.2857142857147</v>
      </c>
      <c r="F213" s="834">
        <f>-0.21*Airbus!G465/Airbus!G398</f>
        <v>-5760.6374271844652</v>
      </c>
      <c r="G213" s="834">
        <f>-0.21*Airbus!H465/Airbus!H398</f>
        <v>-6164.7313794883285</v>
      </c>
      <c r="H213" s="834">
        <f>-0.21*Airbus!I465/Airbus!I398</f>
        <v>-6202.2016293163024</v>
      </c>
      <c r="I213" s="834">
        <f>-0.21*Airbus!J465/Airbus!J398</f>
        <v>-7317.0104564566955</v>
      </c>
      <c r="J213" s="834">
        <f>-0.21*Airbus!K465/Airbus!K398</f>
        <v>-7017.0670280162894</v>
      </c>
      <c r="K213" s="834">
        <f>-0.21*Airbus!L465/Airbus!L398</f>
        <v>-9011.3488888888878</v>
      </c>
      <c r="L213" s="834">
        <f>-0.21*Airbus!M465/Airbus!M398</f>
        <v>-9905.2248175182467</v>
      </c>
      <c r="M213" s="834">
        <f>-0.21*Airbus!N465/Airbus!N398</f>
        <v>-11699.635191176467</v>
      </c>
      <c r="N213" s="834"/>
      <c r="O213" s="834"/>
      <c r="P213" s="834"/>
      <c r="Q213" s="1095"/>
      <c r="R213" s="834"/>
      <c r="S213" s="834"/>
      <c r="T213" s="1269">
        <f>-0.21*Airbus!U465/Airbus!U398</f>
        <v>-12452.908029197077</v>
      </c>
      <c r="U213" s="834"/>
      <c r="V213" s="834"/>
      <c r="W213" s="834"/>
      <c r="X213" s="1095"/>
      <c r="Y213" s="834"/>
      <c r="Z213" s="834"/>
      <c r="AA213" s="1269">
        <f>-0.21*Airbus!AB465/Airbus!AB398</f>
        <v>-13483.563333333332</v>
      </c>
      <c r="AB213" s="834"/>
      <c r="AC213" s="834"/>
      <c r="AD213" s="834"/>
      <c r="AE213" s="1095"/>
      <c r="AF213" s="834"/>
      <c r="AG213" s="834"/>
      <c r="AH213" s="1269">
        <f>-0.21*Airbus!AI465/Airbus!AI398</f>
        <v>-14357.527611940297</v>
      </c>
      <c r="AI213" s="834"/>
      <c r="AJ213" s="834"/>
      <c r="AK213" s="834"/>
      <c r="AL213" s="1095"/>
      <c r="AM213" s="834"/>
      <c r="AN213" s="834"/>
      <c r="AO213" s="1269">
        <f>-0.21*Airbus!AP465/Airbus!AP398</f>
        <v>-16104.375</v>
      </c>
      <c r="AP213" s="834"/>
      <c r="AQ213" s="834"/>
      <c r="AR213" s="834"/>
      <c r="AS213" s="1095"/>
      <c r="AT213" s="834"/>
      <c r="AU213" s="834"/>
      <c r="AV213" s="1269">
        <f>-0.21*Airbus!AW465/Airbus!AW399</f>
        <v>-20083.415044247788</v>
      </c>
      <c r="AW213" s="834"/>
      <c r="AX213" s="834"/>
      <c r="AY213" s="834"/>
      <c r="AZ213" s="1095"/>
      <c r="BA213" s="834"/>
      <c r="BB213" s="834"/>
      <c r="BC213" s="1269"/>
      <c r="BD213" s="834"/>
      <c r="BE213" s="834"/>
      <c r="BF213" s="834"/>
      <c r="BG213" s="1095"/>
      <c r="BH213" s="834"/>
      <c r="BI213" s="834"/>
      <c r="BJ213" s="1269">
        <f>-0.21*Airbus!BK465/Airbus!BK399</f>
        <v>-21131.321186440677</v>
      </c>
      <c r="BK213" s="834"/>
      <c r="BL213" s="834"/>
      <c r="BM213" s="834"/>
      <c r="BN213" s="1095"/>
      <c r="BO213" s="834"/>
      <c r="BP213" s="834"/>
      <c r="BQ213" s="1269">
        <f>-0.21*Airbus!BR465/Airbus!BR399</f>
        <v>-23097.0432</v>
      </c>
      <c r="BR213" s="834"/>
      <c r="BS213" s="834"/>
      <c r="BT213" s="834"/>
      <c r="BU213" s="1095"/>
      <c r="BV213" s="834"/>
      <c r="BW213" s="834"/>
      <c r="BX213" s="1269"/>
      <c r="BY213" s="834"/>
      <c r="BZ213" s="834"/>
      <c r="CA213" s="834"/>
      <c r="CB213" s="1095"/>
      <c r="CC213" s="834"/>
      <c r="CD213" s="834"/>
      <c r="CE213" s="1269">
        <f>-0.21*Airbus!BY465/Airbus!BY399</f>
        <v>-14397.039594000002</v>
      </c>
      <c r="CF213" s="834"/>
      <c r="CG213" s="834"/>
      <c r="CH213" s="834"/>
      <c r="CI213" s="1095"/>
      <c r="CJ213" s="834"/>
      <c r="CK213" s="834"/>
      <c r="CL213" s="1269">
        <f>-0.21*Airbus!CF465/Airbus!CF399</f>
        <v>-15296.658024060001</v>
      </c>
      <c r="CM213" s="834"/>
      <c r="CN213" s="834"/>
      <c r="CO213" s="834"/>
      <c r="CP213" s="1095"/>
      <c r="CQ213" s="834"/>
      <c r="CR213" s="834"/>
      <c r="CS213" s="1269">
        <f>-0.21*Airbus!CM465/Airbus!CM399</f>
        <v>-19047.083652072</v>
      </c>
      <c r="CT213" s="834"/>
      <c r="CU213" s="834"/>
      <c r="CV213" s="834"/>
      <c r="CW213" s="1095"/>
      <c r="CX213" s="834"/>
      <c r="CY213" s="834"/>
      <c r="CZ213" s="1269">
        <f>-0.21*Airbus!CT465/Airbus!CT399</f>
        <v>-21630.174336574015</v>
      </c>
      <c r="DA213" s="834"/>
      <c r="DB213" s="834"/>
      <c r="DC213" s="834"/>
      <c r="DD213" s="1095"/>
      <c r="DE213" s="834"/>
      <c r="DF213" s="834"/>
      <c r="DG213" s="1269">
        <f>-0.21*Airbus!DA465/Airbus!DA399</f>
        <v>-22645.9015233838</v>
      </c>
      <c r="DH213" s="834"/>
      <c r="DI213" s="834"/>
      <c r="DJ213" s="834"/>
      <c r="DK213" s="1095"/>
      <c r="DL213" s="834"/>
      <c r="DM213" s="834"/>
      <c r="DN213" s="1269">
        <f>-0.21*Airbus!DH465/Airbus!DH399</f>
        <v>-22674.312088550741</v>
      </c>
      <c r="DO213" s="834"/>
      <c r="DP213" s="834"/>
      <c r="DQ213" s="834"/>
      <c r="DR213" s="1095"/>
      <c r="DS213" s="834"/>
      <c r="DT213" s="834"/>
      <c r="DU213" s="338"/>
      <c r="DV213" s="834"/>
      <c r="DW213" s="834"/>
      <c r="DX213" s="834"/>
      <c r="DY213" s="1095"/>
      <c r="DZ213" s="834"/>
      <c r="EA213" s="834"/>
      <c r="EB213" s="338"/>
      <c r="EC213" s="834"/>
      <c r="ED213" s="834"/>
      <c r="EE213" s="834"/>
      <c r="EF213" s="1095"/>
      <c r="EG213" s="834"/>
      <c r="EH213" s="834"/>
      <c r="EI213" s="338"/>
      <c r="EJ213" s="834"/>
      <c r="EK213" s="834"/>
      <c r="EL213" s="834"/>
      <c r="EM213" s="1095"/>
      <c r="EN213" s="834"/>
      <c r="EO213" s="834"/>
      <c r="EP213" s="338"/>
      <c r="EQ213" s="834"/>
      <c r="ER213" s="834"/>
      <c r="ES213" s="834"/>
      <c r="ET213" s="1095"/>
      <c r="EU213" s="834"/>
      <c r="EV213" s="834"/>
      <c r="EW213" s="338"/>
    </row>
    <row r="214" spans="1:153" ht="10.199999999999999" hidden="1" customHeight="1" outlineLevel="1">
      <c r="A214" s="108" t="s">
        <v>594</v>
      </c>
      <c r="B214" s="834">
        <f t="shared" ref="B214:AV214" si="1293">+SUM(B211:B213)</f>
        <v>692.54245246717892</v>
      </c>
      <c r="C214" s="834">
        <f t="shared" si="1293"/>
        <v>847.82459995132012</v>
      </c>
      <c r="D214" s="834">
        <f t="shared" si="1293"/>
        <v>1586.4120488784711</v>
      </c>
      <c r="E214" s="834">
        <f t="shared" si="1293"/>
        <v>1013.7770280841223</v>
      </c>
      <c r="F214" s="834">
        <f t="shared" si="1293"/>
        <v>679.89126740249048</v>
      </c>
      <c r="G214" s="834">
        <f t="shared" si="1293"/>
        <v>1586.3900076132859</v>
      </c>
      <c r="H214" s="834">
        <f t="shared" si="1293"/>
        <v>1177.3893497468316</v>
      </c>
      <c r="I214" s="834">
        <f t="shared" si="1293"/>
        <v>2085.6365805803434</v>
      </c>
      <c r="J214" s="834">
        <f t="shared" si="1293"/>
        <v>2651.0904172391847</v>
      </c>
      <c r="K214" s="834">
        <f t="shared" si="1293"/>
        <v>2813.1608169934625</v>
      </c>
      <c r="L214" s="834">
        <f t="shared" si="1293"/>
        <v>3127.6975912408761</v>
      </c>
      <c r="M214" s="834">
        <f t="shared" si="1293"/>
        <v>2006.6336977124229</v>
      </c>
      <c r="N214" s="834"/>
      <c r="O214" s="834"/>
      <c r="P214" s="834"/>
      <c r="Q214" s="1095"/>
      <c r="R214" s="834"/>
      <c r="S214" s="834"/>
      <c r="T214" s="1269">
        <f t="shared" si="1293"/>
        <v>3213.5377916984453</v>
      </c>
      <c r="U214" s="834"/>
      <c r="V214" s="834"/>
      <c r="W214" s="834"/>
      <c r="X214" s="1095"/>
      <c r="Y214" s="834"/>
      <c r="Z214" s="834"/>
      <c r="AA214" s="1269">
        <f t="shared" si="1293"/>
        <v>3354.7866666666705</v>
      </c>
      <c r="AB214" s="834"/>
      <c r="AC214" s="834"/>
      <c r="AD214" s="834"/>
      <c r="AE214" s="1095"/>
      <c r="AF214" s="834"/>
      <c r="AG214" s="834"/>
      <c r="AH214" s="1269">
        <f t="shared" si="1293"/>
        <v>3787.8055663542782</v>
      </c>
      <c r="AI214" s="834"/>
      <c r="AJ214" s="834"/>
      <c r="AK214" s="834"/>
      <c r="AL214" s="1095"/>
      <c r="AM214" s="834"/>
      <c r="AN214" s="834"/>
      <c r="AO214" s="1269">
        <f t="shared" si="1293"/>
        <v>4196.2791935483874</v>
      </c>
      <c r="AP214" s="834"/>
      <c r="AQ214" s="834"/>
      <c r="AR214" s="834"/>
      <c r="AS214" s="1095"/>
      <c r="AT214" s="834"/>
      <c r="AU214" s="834"/>
      <c r="AV214" s="1269">
        <f t="shared" si="1293"/>
        <v>3347.3789557522141</v>
      </c>
      <c r="AW214" s="834"/>
      <c r="AX214" s="834"/>
      <c r="AY214" s="834"/>
      <c r="AZ214" s="1095"/>
      <c r="BA214" s="834"/>
      <c r="BB214" s="834"/>
      <c r="BC214" s="1269"/>
      <c r="BD214" s="834"/>
      <c r="BE214" s="834"/>
      <c r="BF214" s="834"/>
      <c r="BG214" s="1095"/>
      <c r="BH214" s="834"/>
      <c r="BI214" s="834"/>
      <c r="BJ214" s="1269">
        <f>+SUM(BJ211:BJ213)</f>
        <v>-7004.6649064406738</v>
      </c>
      <c r="BK214" s="834"/>
      <c r="BL214" s="834"/>
      <c r="BM214" s="834"/>
      <c r="BN214" s="1095"/>
      <c r="BO214" s="834"/>
      <c r="BP214" s="834"/>
      <c r="BQ214" s="1269">
        <f>+SUM(BQ211:BQ213)</f>
        <v>-7871.1074627999969</v>
      </c>
      <c r="BR214" s="834"/>
      <c r="BS214" s="834"/>
      <c r="BT214" s="834"/>
      <c r="BU214" s="1095"/>
      <c r="BV214" s="834"/>
      <c r="BW214" s="834"/>
      <c r="BX214" s="1269"/>
      <c r="BY214" s="834"/>
      <c r="BZ214" s="834"/>
      <c r="CA214" s="834"/>
      <c r="CB214" s="1095"/>
      <c r="CC214" s="834"/>
      <c r="CD214" s="834"/>
      <c r="CE214" s="1269">
        <f>+SUM(CE211:CE213)</f>
        <v>3903.9300746400004</v>
      </c>
      <c r="CF214" s="834"/>
      <c r="CG214" s="834"/>
      <c r="CH214" s="834"/>
      <c r="CI214" s="1095"/>
      <c r="CJ214" s="834"/>
      <c r="CK214" s="834"/>
      <c r="CL214" s="1269">
        <f>+SUM(CL211:CL213)</f>
        <v>5703.5480107723997</v>
      </c>
      <c r="CM214" s="834"/>
      <c r="CN214" s="834"/>
      <c r="CO214" s="834"/>
      <c r="CP214" s="1095"/>
      <c r="CQ214" s="834"/>
      <c r="CR214" s="834"/>
      <c r="CS214" s="1269">
        <f>+SUM(CS211:CS213)</f>
        <v>3117.7116082935281</v>
      </c>
      <c r="CT214" s="834"/>
      <c r="CU214" s="834"/>
      <c r="CV214" s="834"/>
      <c r="CW214" s="1095"/>
      <c r="CX214" s="834"/>
      <c r="CY214" s="834"/>
      <c r="CZ214" s="1269">
        <f>+SUM(CZ211:CZ213)</f>
        <v>1590.1186049028875</v>
      </c>
      <c r="DA214" s="834"/>
      <c r="DB214" s="834"/>
      <c r="DC214" s="834"/>
      <c r="DD214" s="1095"/>
      <c r="DE214" s="834"/>
      <c r="DF214" s="834"/>
      <c r="DG214" s="1269">
        <f>+SUM(DG211:DG213)</f>
        <v>1957.523363316468</v>
      </c>
      <c r="DH214" s="834"/>
      <c r="DI214" s="834"/>
      <c r="DJ214" s="834"/>
      <c r="DK214" s="1095"/>
      <c r="DL214" s="834"/>
      <c r="DM214" s="834"/>
      <c r="DN214" s="1269">
        <f>+SUM(DN211:DN213)</f>
        <v>5522.6967672125829</v>
      </c>
      <c r="DO214" s="834"/>
      <c r="DP214" s="834"/>
      <c r="DQ214" s="834"/>
      <c r="DR214" s="1095"/>
      <c r="DS214" s="834"/>
      <c r="DT214" s="834"/>
      <c r="DU214" s="338"/>
      <c r="DV214" s="834"/>
      <c r="DW214" s="834"/>
      <c r="DX214" s="834"/>
      <c r="DY214" s="1095"/>
      <c r="DZ214" s="834"/>
      <c r="EA214" s="834"/>
      <c r="EB214" s="338"/>
      <c r="EC214" s="834"/>
      <c r="ED214" s="834"/>
      <c r="EE214" s="834"/>
      <c r="EF214" s="1095"/>
      <c r="EG214" s="834"/>
      <c r="EH214" s="834"/>
      <c r="EI214" s="338"/>
      <c r="EJ214" s="834"/>
      <c r="EK214" s="834"/>
      <c r="EL214" s="834"/>
      <c r="EM214" s="1095"/>
      <c r="EN214" s="834"/>
      <c r="EO214" s="834"/>
      <c r="EP214" s="338"/>
      <c r="EQ214" s="834"/>
      <c r="ER214" s="834"/>
      <c r="ES214" s="834"/>
      <c r="ET214" s="1095"/>
      <c r="EU214" s="834"/>
      <c r="EV214" s="834"/>
      <c r="EW214" s="338"/>
    </row>
    <row r="215" spans="1:153" ht="10.199999999999999" hidden="1" customHeight="1" outlineLevel="1">
      <c r="A215" s="43"/>
      <c r="B215" s="834"/>
      <c r="C215" s="834"/>
      <c r="D215" s="834"/>
      <c r="E215" s="834"/>
      <c r="F215" s="834"/>
      <c r="G215" s="834"/>
      <c r="H215" s="834"/>
      <c r="I215" s="834"/>
      <c r="J215" s="834"/>
      <c r="K215" s="834"/>
      <c r="L215" s="834"/>
      <c r="M215" s="834"/>
      <c r="N215" s="21"/>
      <c r="O215" s="21"/>
      <c r="P215" s="21"/>
      <c r="Q215" s="1098"/>
      <c r="R215" s="21"/>
      <c r="S215" s="21"/>
      <c r="T215" s="338"/>
      <c r="U215" s="21"/>
      <c r="V215" s="21"/>
      <c r="W215" s="21"/>
      <c r="X215" s="1098"/>
      <c r="Y215" s="21"/>
      <c r="Z215" s="21"/>
      <c r="AA215" s="338"/>
      <c r="AB215" s="21"/>
      <c r="AC215" s="21"/>
      <c r="AD215" s="21"/>
      <c r="AE215" s="1098"/>
      <c r="AF215" s="21"/>
      <c r="AG215" s="21"/>
      <c r="AH215" s="338"/>
      <c r="AI215" s="21"/>
      <c r="AJ215" s="21"/>
      <c r="AK215" s="21"/>
      <c r="AL215" s="1098"/>
      <c r="AM215" s="21"/>
      <c r="AN215" s="21"/>
      <c r="AO215" s="338"/>
      <c r="AP215" s="21"/>
      <c r="AQ215" s="21"/>
      <c r="AR215" s="21"/>
      <c r="AS215" s="1098"/>
      <c r="AT215" s="21"/>
      <c r="AU215" s="21"/>
      <c r="AV215" s="338"/>
      <c r="AW215" s="21"/>
      <c r="AX215" s="21"/>
      <c r="AY215" s="21"/>
      <c r="AZ215" s="1098"/>
      <c r="BA215" s="21"/>
      <c r="BB215" s="21"/>
      <c r="BC215" s="338"/>
      <c r="BD215" s="21"/>
      <c r="BE215" s="21"/>
      <c r="BF215" s="21"/>
      <c r="BG215" s="1098"/>
      <c r="BH215" s="21"/>
      <c r="BI215" s="21"/>
      <c r="BJ215" s="338"/>
      <c r="BK215" s="21"/>
      <c r="BL215" s="21"/>
      <c r="BM215" s="21"/>
      <c r="BN215" s="1098"/>
      <c r="BO215" s="21"/>
      <c r="BP215" s="21"/>
      <c r="BQ215" s="338"/>
      <c r="BR215" s="21"/>
      <c r="BS215" s="21"/>
      <c r="BT215" s="21"/>
      <c r="BU215" s="1098"/>
      <c r="BV215" s="21"/>
      <c r="BW215" s="21"/>
      <c r="BX215" s="338"/>
      <c r="BY215" s="21"/>
      <c r="BZ215" s="21"/>
      <c r="CA215" s="21"/>
      <c r="CB215" s="1098"/>
      <c r="CC215" s="21"/>
      <c r="CD215" s="21"/>
      <c r="CE215" s="338"/>
      <c r="CF215" s="21"/>
      <c r="CG215" s="21"/>
      <c r="CH215" s="21"/>
      <c r="CI215" s="1098"/>
      <c r="CJ215" s="21"/>
      <c r="CK215" s="21"/>
      <c r="CL215" s="338"/>
      <c r="CM215" s="21"/>
      <c r="CN215" s="21"/>
      <c r="CO215" s="21"/>
      <c r="CP215" s="1098"/>
      <c r="CQ215" s="21"/>
      <c r="CR215" s="21"/>
      <c r="CS215" s="338"/>
      <c r="CT215" s="21"/>
      <c r="CU215" s="21"/>
      <c r="CV215" s="21"/>
      <c r="CW215" s="1098"/>
      <c r="CX215" s="21"/>
      <c r="CY215" s="21"/>
      <c r="CZ215" s="338"/>
      <c r="DA215" s="21"/>
      <c r="DB215" s="21"/>
      <c r="DC215" s="21"/>
      <c r="DD215" s="1098"/>
      <c r="DE215" s="21"/>
      <c r="DF215" s="21"/>
      <c r="DG215" s="338"/>
      <c r="DH215" s="21"/>
      <c r="DI215" s="21"/>
      <c r="DJ215" s="21"/>
      <c r="DK215" s="1098"/>
      <c r="DL215" s="21"/>
      <c r="DM215" s="21"/>
      <c r="DN215" s="338"/>
      <c r="DO215" s="21"/>
      <c r="DP215" s="21"/>
      <c r="DQ215" s="21"/>
      <c r="DR215" s="1098"/>
      <c r="DS215" s="21"/>
      <c r="DT215" s="21"/>
      <c r="DU215" s="338"/>
      <c r="DV215" s="21"/>
      <c r="DW215" s="21"/>
      <c r="DX215" s="21"/>
      <c r="DY215" s="1098"/>
      <c r="DZ215" s="21"/>
      <c r="EA215" s="21"/>
      <c r="EB215" s="338"/>
      <c r="EC215" s="21"/>
      <c r="ED215" s="21"/>
      <c r="EE215" s="21"/>
      <c r="EF215" s="1098"/>
      <c r="EG215" s="21"/>
      <c r="EH215" s="21"/>
      <c r="EI215" s="338"/>
      <c r="EJ215" s="21"/>
      <c r="EK215" s="21"/>
      <c r="EL215" s="21"/>
      <c r="EM215" s="1098"/>
      <c r="EN215" s="21"/>
      <c r="EO215" s="21"/>
      <c r="EP215" s="338"/>
      <c r="EQ215" s="21"/>
      <c r="ER215" s="21"/>
      <c r="ES215" s="21"/>
      <c r="ET215" s="1098"/>
      <c r="EU215" s="21"/>
      <c r="EV215" s="21"/>
      <c r="EW215" s="338"/>
    </row>
    <row r="216" spans="1:153" ht="10.199999999999999" hidden="1" customHeight="1" outlineLevel="1">
      <c r="A216" s="48" t="s">
        <v>622</v>
      </c>
      <c r="B216" s="834"/>
      <c r="C216" s="834"/>
      <c r="D216" s="834"/>
      <c r="E216" s="834"/>
      <c r="F216" s="834"/>
      <c r="G216" s="834"/>
      <c r="H216" s="834"/>
      <c r="I216" s="834"/>
      <c r="J216" s="834"/>
      <c r="K216" s="834"/>
      <c r="L216" s="834"/>
      <c r="M216" s="834"/>
      <c r="N216" s="21"/>
      <c r="O216" s="21"/>
      <c r="P216" s="21"/>
      <c r="Q216" s="1098"/>
      <c r="R216" s="21"/>
      <c r="S216" s="21"/>
      <c r="T216" s="338"/>
      <c r="U216" s="21"/>
      <c r="V216" s="21"/>
      <c r="W216" s="21"/>
      <c r="X216" s="1098"/>
      <c r="Y216" s="21"/>
      <c r="Z216" s="21"/>
      <c r="AA216" s="338"/>
      <c r="AB216" s="21"/>
      <c r="AC216" s="21"/>
      <c r="AD216" s="21"/>
      <c r="AE216" s="1098"/>
      <c r="AF216" s="21"/>
      <c r="AG216" s="21"/>
      <c r="AH216" s="338"/>
      <c r="AI216" s="21"/>
      <c r="AJ216" s="21"/>
      <c r="AK216" s="21"/>
      <c r="AL216" s="1098"/>
      <c r="AM216" s="21"/>
      <c r="AN216" s="21"/>
      <c r="AO216" s="338"/>
      <c r="AP216" s="21"/>
      <c r="AQ216" s="21"/>
      <c r="AR216" s="21"/>
      <c r="AS216" s="1098"/>
      <c r="AT216" s="21"/>
      <c r="AU216" s="21"/>
      <c r="AV216" s="338"/>
      <c r="AW216" s="21"/>
      <c r="AX216" s="21"/>
      <c r="AY216" s="21"/>
      <c r="AZ216" s="1098"/>
      <c r="BA216" s="21"/>
      <c r="BB216" s="21"/>
      <c r="BC216" s="338"/>
      <c r="BD216" s="21"/>
      <c r="BE216" s="21"/>
      <c r="BF216" s="21"/>
      <c r="BG216" s="1098"/>
      <c r="BH216" s="21"/>
      <c r="BI216" s="21"/>
      <c r="BJ216" s="338"/>
      <c r="BK216" s="21"/>
      <c r="BL216" s="21"/>
      <c r="BM216" s="21"/>
      <c r="BN216" s="1098"/>
      <c r="BO216" s="21"/>
      <c r="BP216" s="21"/>
      <c r="BQ216" s="338"/>
      <c r="BR216" s="21"/>
      <c r="BS216" s="21"/>
      <c r="BT216" s="21"/>
      <c r="BU216" s="1098"/>
      <c r="BV216" s="21"/>
      <c r="BW216" s="21"/>
      <c r="BX216" s="338"/>
      <c r="BY216" s="21"/>
      <c r="BZ216" s="21"/>
      <c r="CA216" s="21"/>
      <c r="CB216" s="1098"/>
      <c r="CC216" s="21"/>
      <c r="CD216" s="21"/>
      <c r="CE216" s="338"/>
      <c r="CF216" s="21"/>
      <c r="CG216" s="21"/>
      <c r="CH216" s="21"/>
      <c r="CI216" s="1098"/>
      <c r="CJ216" s="21"/>
      <c r="CK216" s="21"/>
      <c r="CL216" s="338"/>
      <c r="CM216" s="21"/>
      <c r="CN216" s="21"/>
      <c r="CO216" s="21"/>
      <c r="CP216" s="1098"/>
      <c r="CQ216" s="21"/>
      <c r="CR216" s="21"/>
      <c r="CS216" s="338"/>
      <c r="CT216" s="21"/>
      <c r="CU216" s="21"/>
      <c r="CV216" s="21"/>
      <c r="CW216" s="1098"/>
      <c r="CX216" s="21"/>
      <c r="CY216" s="21"/>
      <c r="CZ216" s="338"/>
      <c r="DA216" s="21"/>
      <c r="DB216" s="21"/>
      <c r="DC216" s="21"/>
      <c r="DD216" s="1098"/>
      <c r="DE216" s="21"/>
      <c r="DF216" s="21"/>
      <c r="DG216" s="338"/>
      <c r="DH216" s="21"/>
      <c r="DI216" s="21"/>
      <c r="DJ216" s="21"/>
      <c r="DK216" s="1098"/>
      <c r="DL216" s="21"/>
      <c r="DM216" s="21"/>
      <c r="DN216" s="338"/>
      <c r="DO216" s="21"/>
      <c r="DP216" s="21"/>
      <c r="DQ216" s="21"/>
      <c r="DR216" s="1098"/>
      <c r="DS216" s="21"/>
      <c r="DT216" s="21"/>
      <c r="DU216" s="338"/>
      <c r="DV216" s="21"/>
      <c r="DW216" s="21"/>
      <c r="DX216" s="21"/>
      <c r="DY216" s="1098"/>
      <c r="DZ216" s="21"/>
      <c r="EA216" s="21"/>
      <c r="EB216" s="338"/>
      <c r="EC216" s="21"/>
      <c r="ED216" s="21"/>
      <c r="EE216" s="21"/>
      <c r="EF216" s="1098"/>
      <c r="EG216" s="21"/>
      <c r="EH216" s="21"/>
      <c r="EI216" s="338"/>
      <c r="EJ216" s="21"/>
      <c r="EK216" s="21"/>
      <c r="EL216" s="21"/>
      <c r="EM216" s="1098"/>
      <c r="EN216" s="21"/>
      <c r="EO216" s="21"/>
      <c r="EP216" s="338"/>
      <c r="EQ216" s="21"/>
      <c r="ER216" s="21"/>
      <c r="ES216" s="21"/>
      <c r="ET216" s="1098"/>
      <c r="EU216" s="21"/>
      <c r="EV216" s="21"/>
      <c r="EW216" s="338"/>
    </row>
    <row r="217" spans="1:153" ht="10.199999999999999" hidden="1" customHeight="1" outlineLevel="1">
      <c r="A217" s="108" t="s">
        <v>610</v>
      </c>
      <c r="B217" s="834">
        <v>3469</v>
      </c>
      <c r="C217" s="834">
        <v>4265</v>
      </c>
      <c r="D217" s="834">
        <v>4851</v>
      </c>
      <c r="E217" s="834">
        <v>5119</v>
      </c>
      <c r="F217" s="834">
        <f>4950+343</f>
        <v>5293</v>
      </c>
      <c r="G217" s="834">
        <f>5029+389</f>
        <v>5418</v>
      </c>
      <c r="H217" s="834">
        <f>4854+461</f>
        <v>5315</v>
      </c>
      <c r="I217" s="834">
        <f>4563+357</f>
        <v>4920</v>
      </c>
      <c r="J217" s="834">
        <v>4882</v>
      </c>
      <c r="K217" s="834">
        <v>5968</v>
      </c>
      <c r="L217" s="834">
        <v>5526</v>
      </c>
      <c r="M217" s="834">
        <v>5754</v>
      </c>
      <c r="N217" s="834"/>
      <c r="O217" s="834"/>
      <c r="P217" s="834"/>
      <c r="Q217" s="1095"/>
      <c r="R217" s="834"/>
      <c r="S217" s="834"/>
      <c r="T217" s="1089">
        <f>5907+455</f>
        <v>6362</v>
      </c>
      <c r="U217" s="834"/>
      <c r="V217" s="834"/>
      <c r="W217" s="834"/>
      <c r="X217" s="1095"/>
      <c r="Y217" s="834"/>
      <c r="Z217" s="834"/>
      <c r="AA217" s="1089">
        <f>6020+508</f>
        <v>6528</v>
      </c>
      <c r="AB217" s="834"/>
      <c r="AC217" s="834"/>
      <c r="AD217" s="834"/>
      <c r="AE217" s="1095"/>
      <c r="AF217" s="834"/>
      <c r="AG217" s="834"/>
      <c r="AH217" s="1089">
        <f>6716+570</f>
        <v>7286</v>
      </c>
      <c r="AI217" s="834"/>
      <c r="AJ217" s="834"/>
      <c r="AK217" s="834"/>
      <c r="AL217" s="1095"/>
      <c r="AM217" s="834"/>
      <c r="AN217" s="834"/>
      <c r="AO217" s="1089">
        <f>6340+730</f>
        <v>7070</v>
      </c>
      <c r="AP217" s="834"/>
      <c r="AQ217" s="834"/>
      <c r="AR217" s="834"/>
      <c r="AS217" s="1095"/>
      <c r="AT217" s="834"/>
      <c r="AU217" s="834"/>
      <c r="AV217" s="1089">
        <f>5537+364</f>
        <v>5901</v>
      </c>
      <c r="AW217" s="834"/>
      <c r="AX217" s="834"/>
      <c r="AY217" s="834"/>
      <c r="AZ217" s="1095"/>
      <c r="BA217" s="834"/>
      <c r="BB217" s="834"/>
      <c r="BC217" s="1089"/>
      <c r="BD217" s="834"/>
      <c r="BE217" s="834"/>
      <c r="BF217" s="834"/>
      <c r="BG217" s="1095"/>
      <c r="BH217" s="834"/>
      <c r="BI217" s="834"/>
      <c r="BJ217" s="1089"/>
      <c r="BK217" s="834"/>
      <c r="BL217" s="834"/>
      <c r="BM217" s="834"/>
      <c r="BN217" s="1095"/>
      <c r="BO217" s="834"/>
      <c r="BP217" s="834"/>
      <c r="BQ217" s="1089"/>
      <c r="BR217" s="834"/>
      <c r="BS217" s="834"/>
      <c r="BT217" s="834"/>
      <c r="BU217" s="1095"/>
      <c r="BV217" s="834"/>
      <c r="BW217" s="834"/>
      <c r="BX217" s="1089"/>
      <c r="BY217" s="834"/>
      <c r="BZ217" s="834"/>
      <c r="CA217" s="834"/>
      <c r="CB217" s="1095"/>
      <c r="CC217" s="834"/>
      <c r="CD217" s="834"/>
      <c r="CE217" s="1089"/>
      <c r="CF217" s="834"/>
      <c r="CG217" s="834"/>
      <c r="CH217" s="834"/>
      <c r="CI217" s="1095"/>
      <c r="CJ217" s="834"/>
      <c r="CK217" s="834"/>
      <c r="CL217" s="1089"/>
      <c r="CM217" s="834"/>
      <c r="CN217" s="834"/>
      <c r="CO217" s="834"/>
      <c r="CP217" s="1095"/>
      <c r="CQ217" s="834"/>
      <c r="CR217" s="834"/>
      <c r="CS217" s="1089"/>
      <c r="CT217" s="834"/>
      <c r="CU217" s="834"/>
      <c r="CV217" s="834"/>
      <c r="CW217" s="1095"/>
      <c r="CX217" s="834"/>
      <c r="CY217" s="834"/>
      <c r="CZ217" s="1089"/>
      <c r="DA217" s="834"/>
      <c r="DB217" s="834"/>
      <c r="DC217" s="834"/>
      <c r="DD217" s="1095"/>
      <c r="DE217" s="834"/>
      <c r="DF217" s="834"/>
      <c r="DG217" s="1089"/>
      <c r="DH217" s="834"/>
      <c r="DI217" s="834"/>
      <c r="DJ217" s="834"/>
      <c r="DK217" s="1095"/>
      <c r="DL217" s="834"/>
      <c r="DM217" s="834"/>
      <c r="DN217" s="1089"/>
      <c r="DO217" s="834"/>
      <c r="DP217" s="834"/>
      <c r="DQ217" s="834"/>
      <c r="DR217" s="1095"/>
      <c r="DS217" s="834"/>
      <c r="DT217" s="834"/>
      <c r="DU217" s="1089"/>
      <c r="DV217" s="834"/>
      <c r="DW217" s="834"/>
      <c r="DX217" s="834"/>
      <c r="DY217" s="1095"/>
      <c r="DZ217" s="834"/>
      <c r="EA217" s="834"/>
      <c r="EB217" s="1089"/>
      <c r="EC217" s="834"/>
      <c r="ED217" s="834"/>
      <c r="EE217" s="834"/>
      <c r="EF217" s="1095"/>
      <c r="EG217" s="834"/>
      <c r="EH217" s="834"/>
      <c r="EI217" s="1089"/>
      <c r="EJ217" s="834"/>
      <c r="EK217" s="834"/>
      <c r="EL217" s="834"/>
      <c r="EM217" s="1095"/>
      <c r="EN217" s="834"/>
      <c r="EO217" s="834"/>
      <c r="EP217" s="1089"/>
      <c r="EQ217" s="834"/>
      <c r="ER217" s="834"/>
      <c r="ES217" s="834"/>
      <c r="ET217" s="1095"/>
      <c r="EU217" s="834"/>
      <c r="EV217" s="834"/>
      <c r="EW217" s="1089"/>
    </row>
    <row r="218" spans="1:153" ht="10.199999999999999" hidden="1" customHeight="1" outlineLevel="1">
      <c r="A218" s="108" t="s">
        <v>621</v>
      </c>
      <c r="B218" s="834">
        <v>4509</v>
      </c>
      <c r="C218" s="834">
        <v>3578</v>
      </c>
      <c r="D218" s="834">
        <v>3807</v>
      </c>
      <c r="E218" s="834">
        <v>5610</v>
      </c>
      <c r="F218" s="834">
        <f>4911+14078</f>
        <v>18989</v>
      </c>
      <c r="G218" s="834">
        <f>6308+14172</f>
        <v>20480</v>
      </c>
      <c r="H218" s="834">
        <f>8420+16214</f>
        <v>24634</v>
      </c>
      <c r="I218" s="834">
        <f>5583+17802</f>
        <v>23385</v>
      </c>
      <c r="J218" s="834">
        <f>8579+21271</f>
        <v>29850</v>
      </c>
      <c r="K218" s="834">
        <f>8817+23285</f>
        <v>32102</v>
      </c>
      <c r="L218" s="834">
        <f>9256+25006</f>
        <v>34262</v>
      </c>
      <c r="M218" s="834">
        <f>9881+25333</f>
        <v>35214</v>
      </c>
      <c r="N218" s="834"/>
      <c r="O218" s="834"/>
      <c r="P218" s="834"/>
      <c r="Q218" s="1095"/>
      <c r="R218" s="834"/>
      <c r="S218" s="834"/>
      <c r="T218" s="1089">
        <f>10203+23723</f>
        <v>33926</v>
      </c>
      <c r="U218" s="834"/>
      <c r="V218" s="834"/>
      <c r="W218" s="834"/>
      <c r="X218" s="1095"/>
      <c r="Y218" s="834"/>
      <c r="Z218" s="834"/>
      <c r="AA218" s="1089">
        <f>12231+22174</f>
        <v>34405</v>
      </c>
      <c r="AB218" s="834"/>
      <c r="AC218" s="834"/>
      <c r="AD218" s="834"/>
      <c r="AE218" s="1095"/>
      <c r="AF218" s="834"/>
      <c r="AG218" s="834"/>
      <c r="AH218" s="1089">
        <f>14472+23612</f>
        <v>38084</v>
      </c>
      <c r="AI218" s="834"/>
      <c r="AJ218" s="834"/>
      <c r="AK218" s="834"/>
      <c r="AL218" s="1095"/>
      <c r="AM218" s="834"/>
      <c r="AN218" s="834"/>
      <c r="AO218" s="1089">
        <f>15714+24115</f>
        <v>39829</v>
      </c>
      <c r="AP218" s="834"/>
      <c r="AQ218" s="834"/>
      <c r="AR218" s="834"/>
      <c r="AS218" s="1095"/>
      <c r="AT218" s="834"/>
      <c r="AU218" s="834"/>
      <c r="AV218" s="1089">
        <f>16659+25284</f>
        <v>41943</v>
      </c>
      <c r="AW218" s="834"/>
      <c r="AX218" s="834"/>
      <c r="AY218" s="834"/>
      <c r="AZ218" s="1095"/>
      <c r="BA218" s="834"/>
      <c r="BB218" s="834"/>
      <c r="BC218" s="1089"/>
      <c r="BD218" s="834"/>
      <c r="BE218" s="834"/>
      <c r="BF218" s="834"/>
      <c r="BG218" s="1095"/>
      <c r="BH218" s="834"/>
      <c r="BI218" s="834"/>
      <c r="BJ218" s="1089"/>
      <c r="BK218" s="834"/>
      <c r="BL218" s="834"/>
      <c r="BM218" s="834"/>
      <c r="BN218" s="1095"/>
      <c r="BO218" s="834"/>
      <c r="BP218" s="834"/>
      <c r="BQ218" s="1089"/>
      <c r="BR218" s="834"/>
      <c r="BS218" s="834"/>
      <c r="BT218" s="834"/>
      <c r="BU218" s="1095"/>
      <c r="BV218" s="834"/>
      <c r="BW218" s="834"/>
      <c r="BX218" s="1089"/>
      <c r="BY218" s="834"/>
      <c r="BZ218" s="834"/>
      <c r="CA218" s="834"/>
      <c r="CB218" s="1095"/>
      <c r="CC218" s="834"/>
      <c r="CD218" s="834"/>
      <c r="CE218" s="1089"/>
      <c r="CF218" s="834"/>
      <c r="CG218" s="834"/>
      <c r="CH218" s="834"/>
      <c r="CI218" s="1095"/>
      <c r="CJ218" s="834"/>
      <c r="CK218" s="834"/>
      <c r="CL218" s="1089"/>
      <c r="CM218" s="834"/>
      <c r="CN218" s="834"/>
      <c r="CO218" s="834"/>
      <c r="CP218" s="1095"/>
      <c r="CQ218" s="834"/>
      <c r="CR218" s="834"/>
      <c r="CS218" s="1089"/>
      <c r="CT218" s="834"/>
      <c r="CU218" s="834"/>
      <c r="CV218" s="834"/>
      <c r="CW218" s="1095"/>
      <c r="CX218" s="834"/>
      <c r="CY218" s="834"/>
      <c r="CZ218" s="1089"/>
      <c r="DA218" s="834"/>
      <c r="DB218" s="834"/>
      <c r="DC218" s="834"/>
      <c r="DD218" s="1095"/>
      <c r="DE218" s="834"/>
      <c r="DF218" s="834"/>
      <c r="DG218" s="1089"/>
      <c r="DH218" s="834"/>
      <c r="DI218" s="834"/>
      <c r="DJ218" s="834"/>
      <c r="DK218" s="1095"/>
      <c r="DL218" s="834"/>
      <c r="DM218" s="834"/>
      <c r="DN218" s="1089"/>
      <c r="DO218" s="834"/>
      <c r="DP218" s="834"/>
      <c r="DQ218" s="834"/>
      <c r="DR218" s="1095"/>
      <c r="DS218" s="834"/>
      <c r="DT218" s="834"/>
      <c r="DU218" s="1089"/>
      <c r="DV218" s="834"/>
      <c r="DW218" s="834"/>
      <c r="DX218" s="834"/>
      <c r="DY218" s="1095"/>
      <c r="DZ218" s="834"/>
      <c r="EA218" s="834"/>
      <c r="EB218" s="1089"/>
      <c r="EC218" s="834"/>
      <c r="ED218" s="834"/>
      <c r="EE218" s="834"/>
      <c r="EF218" s="1095"/>
      <c r="EG218" s="834"/>
      <c r="EH218" s="834"/>
      <c r="EI218" s="1089"/>
      <c r="EJ218" s="834"/>
      <c r="EK218" s="834"/>
      <c r="EL218" s="834"/>
      <c r="EM218" s="1095"/>
      <c r="EN218" s="834"/>
      <c r="EO218" s="834"/>
      <c r="EP218" s="1089"/>
      <c r="EQ218" s="834"/>
      <c r="ER218" s="834"/>
      <c r="ES218" s="834"/>
      <c r="ET218" s="1095"/>
      <c r="EU218" s="834"/>
      <c r="EV218" s="834"/>
      <c r="EW218" s="1089"/>
    </row>
    <row r="219" spans="1:153" ht="10.199999999999999" hidden="1" customHeight="1" outlineLevel="1">
      <c r="A219" s="281" t="s">
        <v>611</v>
      </c>
      <c r="B219" s="834"/>
      <c r="C219" s="834"/>
      <c r="D219" s="834"/>
      <c r="E219" s="834"/>
      <c r="F219" s="834"/>
      <c r="G219" s="834"/>
      <c r="H219" s="834">
        <f>+H218-3646</f>
        <v>20988</v>
      </c>
      <c r="I219" s="834">
        <f>+I218-5230</f>
        <v>18155</v>
      </c>
      <c r="J219" s="834">
        <f>+J218-8167</f>
        <v>21683</v>
      </c>
      <c r="K219" s="834">
        <f>+K218-8403</f>
        <v>23699</v>
      </c>
      <c r="L219" s="834">
        <f>+L218-9586</f>
        <v>24676</v>
      </c>
      <c r="M219" s="834">
        <f>+M218-10037</f>
        <v>25177</v>
      </c>
      <c r="N219" s="834"/>
      <c r="O219" s="834"/>
      <c r="P219" s="834"/>
      <c r="Q219" s="1095"/>
      <c r="R219" s="834"/>
      <c r="S219" s="834"/>
      <c r="T219" s="1089">
        <f>+T218-9746</f>
        <v>24180</v>
      </c>
      <c r="U219" s="834"/>
      <c r="V219" s="834"/>
      <c r="W219" s="834"/>
      <c r="X219" s="1095"/>
      <c r="Y219" s="834"/>
      <c r="Z219" s="834"/>
      <c r="AA219" s="1089">
        <f>+AA218-AA220-AA221</f>
        <v>26633</v>
      </c>
      <c r="AB219" s="834"/>
      <c r="AC219" s="834"/>
      <c r="AD219" s="834"/>
      <c r="AE219" s="1095"/>
      <c r="AF219" s="834"/>
      <c r="AG219" s="834"/>
      <c r="AH219" s="1089">
        <f>+AH218-AH220-AH221</f>
        <v>29831</v>
      </c>
      <c r="AI219" s="834"/>
      <c r="AJ219" s="834"/>
      <c r="AK219" s="834"/>
      <c r="AL219" s="1095"/>
      <c r="AM219" s="834"/>
      <c r="AN219" s="834"/>
      <c r="AO219" s="1089">
        <f>+AO218-AO220-AO221</f>
        <v>33511</v>
      </c>
      <c r="AP219" s="834"/>
      <c r="AQ219" s="834"/>
      <c r="AR219" s="834"/>
      <c r="AS219" s="1095"/>
      <c r="AT219" s="834"/>
      <c r="AU219" s="834"/>
      <c r="AV219" s="1089">
        <f>+AV218-AV220-AV221</f>
        <v>36480</v>
      </c>
      <c r="AW219" s="834"/>
      <c r="AX219" s="834"/>
      <c r="AY219" s="834"/>
      <c r="AZ219" s="1095"/>
      <c r="BA219" s="834"/>
      <c r="BB219" s="834"/>
      <c r="BC219" s="1089"/>
      <c r="BD219" s="834"/>
      <c r="BE219" s="834"/>
      <c r="BF219" s="834"/>
      <c r="BG219" s="1095"/>
      <c r="BH219" s="834"/>
      <c r="BI219" s="834"/>
      <c r="BJ219" s="1089"/>
      <c r="BK219" s="834"/>
      <c r="BL219" s="834"/>
      <c r="BM219" s="834"/>
      <c r="BN219" s="1095"/>
      <c r="BO219" s="834"/>
      <c r="BP219" s="834"/>
      <c r="BQ219" s="1089"/>
      <c r="BR219" s="834"/>
      <c r="BS219" s="834"/>
      <c r="BT219" s="834"/>
      <c r="BU219" s="1095"/>
      <c r="BV219" s="834"/>
      <c r="BW219" s="834"/>
      <c r="BX219" s="1089"/>
      <c r="BY219" s="834"/>
      <c r="BZ219" s="834"/>
      <c r="CA219" s="834"/>
      <c r="CB219" s="1095"/>
      <c r="CC219" s="834"/>
      <c r="CD219" s="834"/>
      <c r="CE219" s="1089"/>
      <c r="CF219" s="834"/>
      <c r="CG219" s="834"/>
      <c r="CH219" s="834"/>
      <c r="CI219" s="1095"/>
      <c r="CJ219" s="834"/>
      <c r="CK219" s="834"/>
      <c r="CL219" s="1089"/>
      <c r="CM219" s="834"/>
      <c r="CN219" s="834"/>
      <c r="CO219" s="834"/>
      <c r="CP219" s="1095"/>
      <c r="CQ219" s="834"/>
      <c r="CR219" s="834"/>
      <c r="CS219" s="1089"/>
      <c r="CT219" s="834"/>
      <c r="CU219" s="834"/>
      <c r="CV219" s="834"/>
      <c r="CW219" s="1095"/>
      <c r="CX219" s="834"/>
      <c r="CY219" s="834"/>
      <c r="CZ219" s="1089"/>
      <c r="DA219" s="834"/>
      <c r="DB219" s="834"/>
      <c r="DC219" s="834"/>
      <c r="DD219" s="1095"/>
      <c r="DE219" s="834"/>
      <c r="DF219" s="834"/>
      <c r="DG219" s="1089"/>
      <c r="DH219" s="834"/>
      <c r="DI219" s="834"/>
      <c r="DJ219" s="834"/>
      <c r="DK219" s="1095"/>
      <c r="DL219" s="834"/>
      <c r="DM219" s="834"/>
      <c r="DN219" s="1089"/>
      <c r="DO219" s="834"/>
      <c r="DP219" s="834"/>
      <c r="DQ219" s="834"/>
      <c r="DR219" s="1095"/>
      <c r="DS219" s="834"/>
      <c r="DT219" s="834"/>
      <c r="DU219" s="1089"/>
      <c r="DV219" s="834"/>
      <c r="DW219" s="834"/>
      <c r="DX219" s="834"/>
      <c r="DY219" s="1095"/>
      <c r="DZ219" s="834"/>
      <c r="EA219" s="834"/>
      <c r="EB219" s="1089"/>
      <c r="EC219" s="834"/>
      <c r="ED219" s="834"/>
      <c r="EE219" s="834"/>
      <c r="EF219" s="1095"/>
      <c r="EG219" s="834"/>
      <c r="EH219" s="834"/>
      <c r="EI219" s="1089"/>
      <c r="EJ219" s="834"/>
      <c r="EK219" s="834"/>
      <c r="EL219" s="834"/>
      <c r="EM219" s="1095"/>
      <c r="EN219" s="834"/>
      <c r="EO219" s="834"/>
      <c r="EP219" s="1089"/>
      <c r="EQ219" s="834"/>
      <c r="ER219" s="834"/>
      <c r="ES219" s="834"/>
      <c r="ET219" s="1095"/>
      <c r="EU219" s="834"/>
      <c r="EV219" s="834"/>
      <c r="EW219" s="1089"/>
    </row>
    <row r="220" spans="1:153" ht="10.199999999999999" hidden="1" customHeight="1" outlineLevel="1">
      <c r="A220" s="281" t="s">
        <v>612</v>
      </c>
      <c r="B220" s="834"/>
      <c r="C220" s="834"/>
      <c r="D220" s="834"/>
      <c r="E220" s="834"/>
      <c r="F220" s="834"/>
      <c r="G220" s="834"/>
      <c r="H220" s="834"/>
      <c r="I220" s="834">
        <f>1977+1719+1224</f>
        <v>4920</v>
      </c>
      <c r="J220" s="834">
        <f>3038+2626+2209</f>
        <v>7873</v>
      </c>
      <c r="K220" s="834">
        <f>3297+2790+2053</f>
        <v>8140</v>
      </c>
      <c r="L220" s="834">
        <f>3668+2834+2119</f>
        <v>8621</v>
      </c>
      <c r="M220" s="834">
        <f>3955+2936+2136</f>
        <v>9027</v>
      </c>
      <c r="N220" s="834"/>
      <c r="O220" s="834"/>
      <c r="P220" s="834"/>
      <c r="Q220" s="1095"/>
      <c r="R220" s="834"/>
      <c r="S220" s="834"/>
      <c r="T220" s="1089">
        <f>4067+3068+1580</f>
        <v>8715</v>
      </c>
      <c r="U220" s="834"/>
      <c r="V220" s="834"/>
      <c r="W220" s="834"/>
      <c r="X220" s="1095"/>
      <c r="Y220" s="834"/>
      <c r="Z220" s="834"/>
      <c r="AA220" s="1089">
        <v>6499</v>
      </c>
      <c r="AB220" s="834"/>
      <c r="AC220" s="834"/>
      <c r="AD220" s="834"/>
      <c r="AE220" s="1095"/>
      <c r="AF220" s="834"/>
      <c r="AG220" s="834"/>
      <c r="AH220" s="1089">
        <v>7007</v>
      </c>
      <c r="AI220" s="834"/>
      <c r="AJ220" s="834"/>
      <c r="AK220" s="834"/>
      <c r="AL220" s="1095"/>
      <c r="AM220" s="834"/>
      <c r="AN220" s="834"/>
      <c r="AO220" s="1089">
        <v>5001</v>
      </c>
      <c r="AP220" s="834"/>
      <c r="AQ220" s="834"/>
      <c r="AR220" s="834"/>
      <c r="AS220" s="1095"/>
      <c r="AT220" s="834"/>
      <c r="AU220" s="834"/>
      <c r="AV220" s="1089">
        <v>4568</v>
      </c>
      <c r="AW220" s="834"/>
      <c r="AX220" s="834"/>
      <c r="AY220" s="834"/>
      <c r="AZ220" s="1095"/>
      <c r="BA220" s="834"/>
      <c r="BB220" s="834"/>
      <c r="BC220" s="1089"/>
      <c r="BD220" s="834"/>
      <c r="BE220" s="834"/>
      <c r="BF220" s="834"/>
      <c r="BG220" s="1095"/>
      <c r="BH220" s="834"/>
      <c r="BI220" s="834"/>
      <c r="BJ220" s="1089"/>
      <c r="BK220" s="834"/>
      <c r="BL220" s="834"/>
      <c r="BM220" s="834"/>
      <c r="BN220" s="1095"/>
      <c r="BO220" s="834"/>
      <c r="BP220" s="834"/>
      <c r="BQ220" s="1089"/>
      <c r="BR220" s="834"/>
      <c r="BS220" s="834"/>
      <c r="BT220" s="834"/>
      <c r="BU220" s="1095"/>
      <c r="BV220" s="834"/>
      <c r="BW220" s="834"/>
      <c r="BX220" s="1089"/>
      <c r="BY220" s="834"/>
      <c r="BZ220" s="834"/>
      <c r="CA220" s="834"/>
      <c r="CB220" s="1095"/>
      <c r="CC220" s="834"/>
      <c r="CD220" s="834"/>
      <c r="CE220" s="1089"/>
      <c r="CF220" s="834"/>
      <c r="CG220" s="834"/>
      <c r="CH220" s="834"/>
      <c r="CI220" s="1095"/>
      <c r="CJ220" s="834"/>
      <c r="CK220" s="834"/>
      <c r="CL220" s="1089"/>
      <c r="CM220" s="834"/>
      <c r="CN220" s="834"/>
      <c r="CO220" s="834"/>
      <c r="CP220" s="1095"/>
      <c r="CQ220" s="834"/>
      <c r="CR220" s="834"/>
      <c r="CS220" s="1089"/>
      <c r="CT220" s="834"/>
      <c r="CU220" s="834"/>
      <c r="CV220" s="834"/>
      <c r="CW220" s="1095"/>
      <c r="CX220" s="834"/>
      <c r="CY220" s="834"/>
      <c r="CZ220" s="1089"/>
      <c r="DA220" s="834"/>
      <c r="DB220" s="834"/>
      <c r="DC220" s="834"/>
      <c r="DD220" s="1095"/>
      <c r="DE220" s="834"/>
      <c r="DF220" s="834"/>
      <c r="DG220" s="1089"/>
      <c r="DH220" s="834"/>
      <c r="DI220" s="834"/>
      <c r="DJ220" s="834"/>
      <c r="DK220" s="1095"/>
      <c r="DL220" s="834"/>
      <c r="DM220" s="834"/>
      <c r="DN220" s="1089"/>
      <c r="DO220" s="834"/>
      <c r="DP220" s="834"/>
      <c r="DQ220" s="834"/>
      <c r="DR220" s="1095"/>
      <c r="DS220" s="834"/>
      <c r="DT220" s="834"/>
      <c r="DU220" s="1089"/>
      <c r="DV220" s="834"/>
      <c r="DW220" s="834"/>
      <c r="DX220" s="834"/>
      <c r="DY220" s="1095"/>
      <c r="DZ220" s="834"/>
      <c r="EA220" s="834"/>
      <c r="EB220" s="1089"/>
      <c r="EC220" s="834"/>
      <c r="ED220" s="834"/>
      <c r="EE220" s="834"/>
      <c r="EF220" s="1095"/>
      <c r="EG220" s="834"/>
      <c r="EH220" s="834"/>
      <c r="EI220" s="1089"/>
      <c r="EJ220" s="834"/>
      <c r="EK220" s="834"/>
      <c r="EL220" s="834"/>
      <c r="EM220" s="1095"/>
      <c r="EN220" s="834"/>
      <c r="EO220" s="834"/>
      <c r="EP220" s="1089"/>
      <c r="EQ220" s="834"/>
      <c r="ER220" s="834"/>
      <c r="ES220" s="834"/>
      <c r="ET220" s="1095"/>
      <c r="EU220" s="834"/>
      <c r="EV220" s="834"/>
      <c r="EW220" s="1089"/>
    </row>
    <row r="221" spans="1:153" ht="10.199999999999999" hidden="1" customHeight="1" outlineLevel="1">
      <c r="A221" s="281" t="s">
        <v>613</v>
      </c>
      <c r="B221" s="834"/>
      <c r="C221" s="834"/>
      <c r="D221" s="834"/>
      <c r="E221" s="834"/>
      <c r="F221" s="834"/>
      <c r="G221" s="834"/>
      <c r="H221" s="834"/>
      <c r="I221" s="834">
        <f>+I218-I219-I220</f>
        <v>310</v>
      </c>
      <c r="J221" s="834">
        <f>+J218-J219-J220</f>
        <v>294</v>
      </c>
      <c r="K221" s="834">
        <f>+K218-K219-K220</f>
        <v>263</v>
      </c>
      <c r="L221" s="834">
        <f>+L218-L219-L220</f>
        <v>965</v>
      </c>
      <c r="M221" s="834">
        <v>997</v>
      </c>
      <c r="N221" s="834"/>
      <c r="O221" s="834"/>
      <c r="P221" s="834"/>
      <c r="Q221" s="1095"/>
      <c r="R221" s="834"/>
      <c r="S221" s="834"/>
      <c r="T221" s="1089">
        <v>1087</v>
      </c>
      <c r="U221" s="834"/>
      <c r="V221" s="834"/>
      <c r="W221" s="834"/>
      <c r="X221" s="1095"/>
      <c r="Y221" s="834"/>
      <c r="Z221" s="834"/>
      <c r="AA221" s="1089">
        <v>1273</v>
      </c>
      <c r="AB221" s="834"/>
      <c r="AC221" s="834"/>
      <c r="AD221" s="834"/>
      <c r="AE221" s="1095"/>
      <c r="AF221" s="834"/>
      <c r="AG221" s="834"/>
      <c r="AH221" s="1089">
        <v>1246</v>
      </c>
      <c r="AI221" s="834"/>
      <c r="AJ221" s="834"/>
      <c r="AK221" s="834"/>
      <c r="AL221" s="1095"/>
      <c r="AM221" s="834"/>
      <c r="AN221" s="834"/>
      <c r="AO221" s="1089">
        <v>1317</v>
      </c>
      <c r="AP221" s="834"/>
      <c r="AQ221" s="834"/>
      <c r="AR221" s="834"/>
      <c r="AS221" s="1095"/>
      <c r="AT221" s="834"/>
      <c r="AU221" s="834"/>
      <c r="AV221" s="1089">
        <v>895</v>
      </c>
      <c r="AW221" s="834"/>
      <c r="AX221" s="834"/>
      <c r="AY221" s="834"/>
      <c r="AZ221" s="1095"/>
      <c r="BA221" s="834"/>
      <c r="BB221" s="834"/>
      <c r="BC221" s="1089"/>
      <c r="BD221" s="834"/>
      <c r="BE221" s="834"/>
      <c r="BF221" s="834"/>
      <c r="BG221" s="1095"/>
      <c r="BH221" s="834"/>
      <c r="BI221" s="834"/>
      <c r="BJ221" s="1089"/>
      <c r="BK221" s="834"/>
      <c r="BL221" s="834"/>
      <c r="BM221" s="834"/>
      <c r="BN221" s="1095"/>
      <c r="BO221" s="834"/>
      <c r="BP221" s="834"/>
      <c r="BQ221" s="1089"/>
      <c r="BR221" s="834"/>
      <c r="BS221" s="834"/>
      <c r="BT221" s="834"/>
      <c r="BU221" s="1095"/>
      <c r="BV221" s="834"/>
      <c r="BW221" s="834"/>
      <c r="BX221" s="1089"/>
      <c r="BY221" s="834"/>
      <c r="BZ221" s="834"/>
      <c r="CA221" s="834"/>
      <c r="CB221" s="1095"/>
      <c r="CC221" s="834"/>
      <c r="CD221" s="834"/>
      <c r="CE221" s="1089"/>
      <c r="CF221" s="834"/>
      <c r="CG221" s="834"/>
      <c r="CH221" s="834"/>
      <c r="CI221" s="1095"/>
      <c r="CJ221" s="834"/>
      <c r="CK221" s="834"/>
      <c r="CL221" s="1089"/>
      <c r="CM221" s="834"/>
      <c r="CN221" s="834"/>
      <c r="CO221" s="834"/>
      <c r="CP221" s="1095"/>
      <c r="CQ221" s="834"/>
      <c r="CR221" s="834"/>
      <c r="CS221" s="1089"/>
      <c r="CT221" s="834"/>
      <c r="CU221" s="834"/>
      <c r="CV221" s="834"/>
      <c r="CW221" s="1095"/>
      <c r="CX221" s="834"/>
      <c r="CY221" s="834"/>
      <c r="CZ221" s="1089"/>
      <c r="DA221" s="834"/>
      <c r="DB221" s="834"/>
      <c r="DC221" s="834"/>
      <c r="DD221" s="1095"/>
      <c r="DE221" s="834"/>
      <c r="DF221" s="834"/>
      <c r="DG221" s="1089"/>
      <c r="DH221" s="834"/>
      <c r="DI221" s="834"/>
      <c r="DJ221" s="834"/>
      <c r="DK221" s="1095"/>
      <c r="DL221" s="834"/>
      <c r="DM221" s="834"/>
      <c r="DN221" s="1089"/>
      <c r="DO221" s="834"/>
      <c r="DP221" s="834"/>
      <c r="DQ221" s="834"/>
      <c r="DR221" s="1095"/>
      <c r="DS221" s="834"/>
      <c r="DT221" s="834"/>
      <c r="DU221" s="1089"/>
      <c r="DV221" s="834"/>
      <c r="DW221" s="834"/>
      <c r="DX221" s="834"/>
      <c r="DY221" s="1095"/>
      <c r="DZ221" s="834"/>
      <c r="EA221" s="834"/>
      <c r="EB221" s="1089"/>
      <c r="EC221" s="834"/>
      <c r="ED221" s="834"/>
      <c r="EE221" s="834"/>
      <c r="EF221" s="1095"/>
      <c r="EG221" s="834"/>
      <c r="EH221" s="834"/>
      <c r="EI221" s="1089"/>
      <c r="EJ221" s="834"/>
      <c r="EK221" s="834"/>
      <c r="EL221" s="834"/>
      <c r="EM221" s="1095"/>
      <c r="EN221" s="834"/>
      <c r="EO221" s="834"/>
      <c r="EP221" s="1089"/>
      <c r="EQ221" s="834"/>
      <c r="ER221" s="834"/>
      <c r="ES221" s="834"/>
      <c r="ET221" s="1095"/>
      <c r="EU221" s="834"/>
      <c r="EV221" s="834"/>
      <c r="EW221" s="1089"/>
    </row>
    <row r="222" spans="1:153" ht="10.199999999999999" hidden="1" customHeight="1" outlineLevel="1">
      <c r="A222" s="108"/>
      <c r="B222" s="834"/>
      <c r="C222" s="834"/>
      <c r="D222" s="834"/>
      <c r="E222" s="834"/>
      <c r="F222" s="834"/>
      <c r="G222" s="834"/>
      <c r="H222" s="834"/>
      <c r="I222" s="834"/>
      <c r="J222" s="834"/>
      <c r="K222" s="834"/>
      <c r="L222" s="834"/>
      <c r="M222" s="834"/>
      <c r="N222" s="834"/>
      <c r="O222" s="834"/>
      <c r="P222" s="834"/>
      <c r="Q222" s="1095"/>
      <c r="R222" s="834"/>
      <c r="S222" s="834"/>
      <c r="T222" s="1089"/>
      <c r="U222" s="834"/>
      <c r="V222" s="834"/>
      <c r="W222" s="834"/>
      <c r="X222" s="1095"/>
      <c r="Y222" s="834"/>
      <c r="Z222" s="834"/>
      <c r="AA222" s="1089"/>
      <c r="AB222" s="834"/>
      <c r="AC222" s="834"/>
      <c r="AD222" s="834"/>
      <c r="AE222" s="1095"/>
      <c r="AF222" s="834"/>
      <c r="AG222" s="834"/>
      <c r="AH222" s="1089"/>
      <c r="AI222" s="834"/>
      <c r="AJ222" s="834"/>
      <c r="AK222" s="834"/>
      <c r="AL222" s="1095"/>
      <c r="AM222" s="834"/>
      <c r="AN222" s="834"/>
      <c r="AO222" s="1089"/>
      <c r="AP222" s="834"/>
      <c r="AQ222" s="834"/>
      <c r="AR222" s="834"/>
      <c r="AS222" s="1095"/>
      <c r="AT222" s="834"/>
      <c r="AU222" s="834"/>
      <c r="AV222" s="1089"/>
      <c r="AW222" s="834"/>
      <c r="AX222" s="834"/>
      <c r="AY222" s="834"/>
      <c r="AZ222" s="1095"/>
      <c r="BA222" s="834"/>
      <c r="BB222" s="834"/>
      <c r="BC222" s="1089"/>
      <c r="BD222" s="834"/>
      <c r="BE222" s="834"/>
      <c r="BF222" s="834"/>
      <c r="BG222" s="1095"/>
      <c r="BH222" s="834"/>
      <c r="BI222" s="834"/>
      <c r="BJ222" s="1089"/>
      <c r="BK222" s="834"/>
      <c r="BL222" s="834"/>
      <c r="BM222" s="834"/>
      <c r="BN222" s="1095"/>
      <c r="BO222" s="834"/>
      <c r="BP222" s="834"/>
      <c r="BQ222" s="1089"/>
      <c r="BR222" s="834"/>
      <c r="BS222" s="834"/>
      <c r="BT222" s="834"/>
      <c r="BU222" s="1095"/>
      <c r="BV222" s="834"/>
      <c r="BW222" s="834"/>
      <c r="BX222" s="1089"/>
      <c r="BY222" s="834"/>
      <c r="BZ222" s="834"/>
      <c r="CA222" s="834"/>
      <c r="CB222" s="1095"/>
      <c r="CC222" s="834"/>
      <c r="CD222" s="834"/>
      <c r="CE222" s="1089"/>
      <c r="CF222" s="834"/>
      <c r="CG222" s="834"/>
      <c r="CH222" s="834"/>
      <c r="CI222" s="1095"/>
      <c r="CJ222" s="834"/>
      <c r="CK222" s="834"/>
      <c r="CL222" s="1089"/>
      <c r="CM222" s="834"/>
      <c r="CN222" s="834"/>
      <c r="CO222" s="834"/>
      <c r="CP222" s="1095"/>
      <c r="CQ222" s="834"/>
      <c r="CR222" s="834"/>
      <c r="CS222" s="1089"/>
      <c r="CT222" s="834"/>
      <c r="CU222" s="834"/>
      <c r="CV222" s="834"/>
      <c r="CW222" s="1095"/>
      <c r="CX222" s="834"/>
      <c r="CY222" s="834"/>
      <c r="CZ222" s="1089"/>
      <c r="DA222" s="834"/>
      <c r="DB222" s="834"/>
      <c r="DC222" s="834"/>
      <c r="DD222" s="1095"/>
      <c r="DE222" s="834"/>
      <c r="DF222" s="834"/>
      <c r="DG222" s="1089"/>
      <c r="DH222" s="834"/>
      <c r="DI222" s="834"/>
      <c r="DJ222" s="834"/>
      <c r="DK222" s="1095"/>
      <c r="DL222" s="834"/>
      <c r="DM222" s="834"/>
      <c r="DN222" s="1089"/>
      <c r="DO222" s="834"/>
      <c r="DP222" s="834"/>
      <c r="DQ222" s="834"/>
      <c r="DR222" s="1095"/>
      <c r="DS222" s="834"/>
      <c r="DT222" s="834"/>
      <c r="DU222" s="1089"/>
      <c r="DV222" s="834"/>
      <c r="DW222" s="834"/>
      <c r="DX222" s="834"/>
      <c r="DY222" s="1095"/>
      <c r="DZ222" s="834"/>
      <c r="EA222" s="834"/>
      <c r="EB222" s="1089"/>
      <c r="EC222" s="834"/>
      <c r="ED222" s="834"/>
      <c r="EE222" s="834"/>
      <c r="EF222" s="1095"/>
      <c r="EG222" s="834"/>
      <c r="EH222" s="834"/>
      <c r="EI222" s="1089"/>
      <c r="EJ222" s="834"/>
      <c r="EK222" s="834"/>
      <c r="EL222" s="834"/>
      <c r="EM222" s="1095"/>
      <c r="EN222" s="834"/>
      <c r="EO222" s="834"/>
      <c r="EP222" s="1089"/>
      <c r="EQ222" s="834"/>
      <c r="ER222" s="834"/>
      <c r="ES222" s="834"/>
      <c r="ET222" s="1095"/>
      <c r="EU222" s="834"/>
      <c r="EV222" s="834"/>
      <c r="EW222" s="1089"/>
    </row>
    <row r="223" spans="1:153" ht="10.199999999999999" hidden="1" customHeight="1" outlineLevel="1">
      <c r="A223" s="48" t="s">
        <v>623</v>
      </c>
      <c r="B223" s="834"/>
      <c r="C223" s="834"/>
      <c r="D223" s="834"/>
      <c r="E223" s="834"/>
      <c r="F223" s="834"/>
      <c r="G223" s="834"/>
      <c r="H223" s="834"/>
      <c r="I223" s="834"/>
      <c r="J223" s="834"/>
      <c r="K223" s="834"/>
      <c r="L223" s="834"/>
      <c r="M223" s="834"/>
      <c r="N223" s="21"/>
      <c r="O223" s="21"/>
      <c r="P223" s="21"/>
      <c r="Q223" s="1098"/>
      <c r="R223" s="21"/>
      <c r="S223" s="21"/>
      <c r="T223" s="338"/>
      <c r="U223" s="21"/>
      <c r="V223" s="21"/>
      <c r="W223" s="21"/>
      <c r="X223" s="1098"/>
      <c r="Y223" s="21"/>
      <c r="Z223" s="21"/>
      <c r="AA223" s="338"/>
      <c r="AB223" s="21"/>
      <c r="AC223" s="21"/>
      <c r="AD223" s="21"/>
      <c r="AE223" s="1098"/>
      <c r="AF223" s="21"/>
      <c r="AG223" s="21"/>
      <c r="AH223" s="338"/>
      <c r="AI223" s="21"/>
      <c r="AJ223" s="21"/>
      <c r="AK223" s="21"/>
      <c r="AL223" s="1098"/>
      <c r="AM223" s="21"/>
      <c r="AN223" s="21"/>
      <c r="AO223" s="338"/>
      <c r="AP223" s="21"/>
      <c r="AQ223" s="21"/>
      <c r="AR223" s="21"/>
      <c r="AS223" s="1098"/>
      <c r="AT223" s="21"/>
      <c r="AU223" s="21"/>
      <c r="AV223" s="338"/>
      <c r="AW223" s="21"/>
      <c r="AX223" s="21"/>
      <c r="AY223" s="21"/>
      <c r="AZ223" s="1098"/>
      <c r="BA223" s="21"/>
      <c r="BB223" s="21"/>
      <c r="BC223" s="338"/>
      <c r="BD223" s="21"/>
      <c r="BE223" s="21"/>
      <c r="BF223" s="21"/>
      <c r="BG223" s="1098"/>
      <c r="BH223" s="21"/>
      <c r="BI223" s="21"/>
      <c r="BJ223" s="338"/>
      <c r="BK223" s="21"/>
      <c r="BL223" s="21"/>
      <c r="BM223" s="21"/>
      <c r="BN223" s="1098"/>
      <c r="BO223" s="21"/>
      <c r="BP223" s="21"/>
      <c r="BQ223" s="338"/>
      <c r="BR223" s="21"/>
      <c r="BS223" s="21"/>
      <c r="BT223" s="21"/>
      <c r="BU223" s="1098"/>
      <c r="BV223" s="21"/>
      <c r="BW223" s="21"/>
      <c r="BX223" s="338"/>
      <c r="BY223" s="21"/>
      <c r="BZ223" s="21"/>
      <c r="CA223" s="21"/>
      <c r="CB223" s="1098"/>
      <c r="CC223" s="21"/>
      <c r="CD223" s="21"/>
      <c r="CE223" s="338"/>
      <c r="CF223" s="21"/>
      <c r="CG223" s="21"/>
      <c r="CH223" s="21"/>
      <c r="CI223" s="1098"/>
      <c r="CJ223" s="21"/>
      <c r="CK223" s="21"/>
      <c r="CL223" s="338"/>
      <c r="CM223" s="21"/>
      <c r="CN223" s="21"/>
      <c r="CO223" s="21"/>
      <c r="CP223" s="1098"/>
      <c r="CQ223" s="21"/>
      <c r="CR223" s="21"/>
      <c r="CS223" s="338"/>
      <c r="CT223" s="21"/>
      <c r="CU223" s="21"/>
      <c r="CV223" s="21"/>
      <c r="CW223" s="1098"/>
      <c r="CX223" s="21"/>
      <c r="CY223" s="21"/>
      <c r="CZ223" s="338"/>
      <c r="DA223" s="21"/>
      <c r="DB223" s="21"/>
      <c r="DC223" s="21"/>
      <c r="DD223" s="1098"/>
      <c r="DE223" s="21"/>
      <c r="DF223" s="21"/>
      <c r="DG223" s="338"/>
      <c r="DH223" s="21"/>
      <c r="DI223" s="21"/>
      <c r="DJ223" s="21"/>
      <c r="DK223" s="1098"/>
      <c r="DL223" s="21"/>
      <c r="DM223" s="21"/>
      <c r="DN223" s="338"/>
      <c r="DO223" s="21"/>
      <c r="DP223" s="21"/>
      <c r="DQ223" s="21"/>
      <c r="DR223" s="1098"/>
      <c r="DS223" s="21"/>
      <c r="DT223" s="21"/>
      <c r="DU223" s="338"/>
      <c r="DV223" s="21"/>
      <c r="DW223" s="21"/>
      <c r="DX223" s="21"/>
      <c r="DY223" s="1098"/>
      <c r="DZ223" s="21"/>
      <c r="EA223" s="21"/>
      <c r="EB223" s="338"/>
      <c r="EC223" s="21"/>
      <c r="ED223" s="21"/>
      <c r="EE223" s="21"/>
      <c r="EF223" s="1098"/>
      <c r="EG223" s="21"/>
      <c r="EH223" s="21"/>
      <c r="EI223" s="338"/>
      <c r="EJ223" s="21"/>
      <c r="EK223" s="21"/>
      <c r="EL223" s="21"/>
      <c r="EM223" s="1098"/>
      <c r="EN223" s="21"/>
      <c r="EO223" s="21"/>
      <c r="EP223" s="338"/>
      <c r="EQ223" s="21"/>
      <c r="ER223" s="21"/>
      <c r="ES223" s="21"/>
      <c r="ET223" s="1098"/>
      <c r="EU223" s="21"/>
      <c r="EV223" s="21"/>
      <c r="EW223" s="338"/>
    </row>
    <row r="224" spans="1:153" ht="10.199999999999999" hidden="1" customHeight="1" outlineLevel="1">
      <c r="A224" s="108" t="s">
        <v>624</v>
      </c>
      <c r="B224" s="834"/>
      <c r="C224" s="834">
        <v>300</v>
      </c>
      <c r="D224" s="834">
        <v>1300</v>
      </c>
      <c r="E224" s="834">
        <v>1823</v>
      </c>
      <c r="F224" s="834">
        <f>+CFS!F16</f>
        <v>4237</v>
      </c>
      <c r="G224" s="834">
        <f>+CFS!G16</f>
        <v>1564</v>
      </c>
      <c r="H224" s="834">
        <f>+CFS!H16</f>
        <v>4817</v>
      </c>
      <c r="I224" s="834">
        <f>+CFS!I16</f>
        <v>2435</v>
      </c>
      <c r="J224" s="834">
        <f>+CFS!J16</f>
        <v>2925</v>
      </c>
      <c r="K224" s="834">
        <f>+CFS!K16</f>
        <v>1698</v>
      </c>
      <c r="L224" s="834">
        <f>+CFS!L16</f>
        <v>1965</v>
      </c>
      <c r="M224" s="834">
        <f>+CFS!M16</f>
        <v>1243</v>
      </c>
      <c r="N224" s="21"/>
      <c r="O224" s="21"/>
      <c r="P224" s="21"/>
      <c r="Q224" s="1098"/>
      <c r="R224" s="21"/>
      <c r="S224" s="21"/>
      <c r="T224" s="338">
        <f>+CFS!T16</f>
        <v>580</v>
      </c>
      <c r="U224" s="21"/>
      <c r="V224" s="21"/>
      <c r="W224" s="21"/>
      <c r="X224" s="1098"/>
      <c r="Y224" s="21"/>
      <c r="Z224" s="21"/>
      <c r="AA224" s="338">
        <f>+CFS!AA16</f>
        <v>1715</v>
      </c>
      <c r="AB224" s="21"/>
      <c r="AC224" s="21"/>
      <c r="AD224" s="21"/>
      <c r="AE224" s="1098"/>
      <c r="AF224" s="21"/>
      <c r="AG224" s="21"/>
      <c r="AH224" s="338">
        <f>+CFS!AH16</f>
        <v>3752</v>
      </c>
      <c r="AI224" s="21"/>
      <c r="AJ224" s="21"/>
      <c r="AK224" s="21"/>
      <c r="AL224" s="1098"/>
      <c r="AM224" s="21"/>
      <c r="AN224" s="21"/>
      <c r="AO224" s="338">
        <f>+CFS!AO16</f>
        <v>4628</v>
      </c>
      <c r="AP224" s="21"/>
      <c r="AQ224" s="21"/>
      <c r="AR224" s="21"/>
      <c r="AS224" s="1098"/>
      <c r="AT224" s="21"/>
      <c r="AU224" s="21"/>
      <c r="AV224" s="338">
        <f>+CFS!AV16</f>
        <v>1268</v>
      </c>
      <c r="AW224" s="21"/>
      <c r="AX224" s="21"/>
      <c r="AY224" s="21"/>
      <c r="AZ224" s="1098"/>
      <c r="BA224" s="21"/>
      <c r="BB224" s="21"/>
      <c r="BC224" s="338"/>
      <c r="BD224" s="21"/>
      <c r="BE224" s="21"/>
      <c r="BF224" s="21"/>
      <c r="BG224" s="1098"/>
      <c r="BH224" s="21"/>
      <c r="BI224" s="21"/>
      <c r="BJ224" s="338"/>
      <c r="BK224" s="21"/>
      <c r="BL224" s="21"/>
      <c r="BM224" s="21"/>
      <c r="BN224" s="1098"/>
      <c r="BO224" s="21"/>
      <c r="BP224" s="21"/>
      <c r="BQ224" s="338"/>
      <c r="BR224" s="21"/>
      <c r="BS224" s="21"/>
      <c r="BT224" s="21"/>
      <c r="BU224" s="1098"/>
      <c r="BV224" s="21"/>
      <c r="BW224" s="21"/>
      <c r="BX224" s="338"/>
      <c r="BY224" s="21"/>
      <c r="BZ224" s="21"/>
      <c r="CA224" s="21"/>
      <c r="CB224" s="1098"/>
      <c r="CC224" s="21"/>
      <c r="CD224" s="21"/>
      <c r="CE224" s="338"/>
      <c r="CF224" s="21"/>
      <c r="CG224" s="21"/>
      <c r="CH224" s="21"/>
      <c r="CI224" s="1098"/>
      <c r="CJ224" s="21"/>
      <c r="CK224" s="21"/>
      <c r="CL224" s="338"/>
      <c r="CM224" s="21"/>
      <c r="CN224" s="21"/>
      <c r="CO224" s="21"/>
      <c r="CP224" s="1098"/>
      <c r="CQ224" s="21"/>
      <c r="CR224" s="21"/>
      <c r="CS224" s="338"/>
      <c r="CT224" s="21"/>
      <c r="CU224" s="21"/>
      <c r="CV224" s="21"/>
      <c r="CW224" s="1098"/>
      <c r="CX224" s="21"/>
      <c r="CY224" s="21"/>
      <c r="CZ224" s="338"/>
      <c r="DA224" s="21"/>
      <c r="DB224" s="21"/>
      <c r="DC224" s="21"/>
      <c r="DD224" s="1098"/>
      <c r="DE224" s="21"/>
      <c r="DF224" s="21"/>
      <c r="DG224" s="338"/>
      <c r="DH224" s="21"/>
      <c r="DI224" s="21"/>
      <c r="DJ224" s="21"/>
      <c r="DK224" s="1098"/>
      <c r="DL224" s="21"/>
      <c r="DM224" s="21"/>
      <c r="DN224" s="338"/>
      <c r="DO224" s="21"/>
      <c r="DP224" s="21"/>
      <c r="DQ224" s="21"/>
      <c r="DR224" s="1098"/>
      <c r="DS224" s="21"/>
      <c r="DT224" s="21"/>
      <c r="DU224" s="338"/>
      <c r="DV224" s="21"/>
      <c r="DW224" s="21"/>
      <c r="DX224" s="21"/>
      <c r="DY224" s="1098"/>
      <c r="DZ224" s="21"/>
      <c r="EA224" s="21"/>
      <c r="EB224" s="338"/>
      <c r="EC224" s="21"/>
      <c r="ED224" s="21"/>
      <c r="EE224" s="21"/>
      <c r="EF224" s="1098"/>
      <c r="EG224" s="21"/>
      <c r="EH224" s="21"/>
      <c r="EI224" s="338"/>
      <c r="EJ224" s="21"/>
      <c r="EK224" s="21"/>
      <c r="EL224" s="21"/>
      <c r="EM224" s="1098"/>
      <c r="EN224" s="21"/>
      <c r="EO224" s="21"/>
      <c r="EP224" s="338"/>
      <c r="EQ224" s="21"/>
      <c r="ER224" s="21"/>
      <c r="ES224" s="21"/>
      <c r="ET224" s="1098"/>
      <c r="EU224" s="21"/>
      <c r="EV224" s="21"/>
      <c r="EW224" s="338"/>
    </row>
    <row r="225" spans="1:153" ht="10.199999999999999" hidden="1" customHeight="1" outlineLevel="1">
      <c r="A225" s="108" t="s">
        <v>616</v>
      </c>
      <c r="B225" s="834"/>
      <c r="C225" s="834"/>
      <c r="D225" s="834"/>
      <c r="E225" s="834"/>
      <c r="F225" s="834"/>
      <c r="G225" s="834"/>
      <c r="H225" s="834"/>
      <c r="I225" s="834"/>
      <c r="J225" s="834">
        <f>+J224-J226-J227</f>
        <v>-12</v>
      </c>
      <c r="K225" s="834">
        <f t="shared" ref="K225:AV225" si="1294">+K224-K226-K227</f>
        <v>1462</v>
      </c>
      <c r="L225" s="834">
        <f t="shared" si="1294"/>
        <v>782</v>
      </c>
      <c r="M225" s="834">
        <f t="shared" si="1294"/>
        <v>805</v>
      </c>
      <c r="N225" s="21"/>
      <c r="O225" s="21"/>
      <c r="P225" s="21"/>
      <c r="Q225" s="1098"/>
      <c r="R225" s="21"/>
      <c r="S225" s="21"/>
      <c r="T225" s="338">
        <f t="shared" si="1294"/>
        <v>802</v>
      </c>
      <c r="U225" s="21"/>
      <c r="V225" s="21"/>
      <c r="W225" s="21"/>
      <c r="X225" s="1098"/>
      <c r="Y225" s="21"/>
      <c r="Z225" s="21"/>
      <c r="AA225" s="338">
        <f>+AA224-AA226-AA227</f>
        <v>3745</v>
      </c>
      <c r="AB225" s="21"/>
      <c r="AC225" s="21"/>
      <c r="AD225" s="21"/>
      <c r="AE225" s="1098"/>
      <c r="AF225" s="21"/>
      <c r="AG225" s="21"/>
      <c r="AH225" s="338">
        <f>+AH224-AH226-AH227</f>
        <v>3271</v>
      </c>
      <c r="AI225" s="21"/>
      <c r="AJ225" s="21"/>
      <c r="AK225" s="21"/>
      <c r="AL225" s="1098"/>
      <c r="AM225" s="21"/>
      <c r="AN225" s="21"/>
      <c r="AO225" s="338">
        <f t="shared" si="1294"/>
        <v>6563</v>
      </c>
      <c r="AP225" s="21"/>
      <c r="AQ225" s="21"/>
      <c r="AR225" s="21"/>
      <c r="AS225" s="1098"/>
      <c r="AT225" s="21"/>
      <c r="AU225" s="21"/>
      <c r="AV225" s="338">
        <f t="shared" si="1294"/>
        <v>2123</v>
      </c>
      <c r="AW225" s="21"/>
      <c r="AX225" s="21"/>
      <c r="AY225" s="21"/>
      <c r="AZ225" s="1098"/>
      <c r="BA225" s="21"/>
      <c r="BB225" s="21"/>
      <c r="BC225" s="338"/>
      <c r="BD225" s="21"/>
      <c r="BE225" s="21"/>
      <c r="BF225" s="21"/>
      <c r="BG225" s="1098"/>
      <c r="BH225" s="21"/>
      <c r="BI225" s="21"/>
      <c r="BJ225" s="338"/>
      <c r="BK225" s="21"/>
      <c r="BL225" s="21"/>
      <c r="BM225" s="21"/>
      <c r="BN225" s="1098"/>
      <c r="BO225" s="21"/>
      <c r="BP225" s="21"/>
      <c r="BQ225" s="338"/>
      <c r="BR225" s="21"/>
      <c r="BS225" s="21"/>
      <c r="BT225" s="21"/>
      <c r="BU225" s="1098"/>
      <c r="BV225" s="21"/>
      <c r="BW225" s="21"/>
      <c r="BX225" s="338"/>
      <c r="BY225" s="21"/>
      <c r="BZ225" s="21"/>
      <c r="CA225" s="21"/>
      <c r="CB225" s="1098"/>
      <c r="CC225" s="21"/>
      <c r="CD225" s="21"/>
      <c r="CE225" s="338"/>
      <c r="CF225" s="21"/>
      <c r="CG225" s="21"/>
      <c r="CH225" s="21"/>
      <c r="CI225" s="1098"/>
      <c r="CJ225" s="21"/>
      <c r="CK225" s="21"/>
      <c r="CL225" s="338"/>
      <c r="CM225" s="21"/>
      <c r="CN225" s="21"/>
      <c r="CO225" s="21"/>
      <c r="CP225" s="1098"/>
      <c r="CQ225" s="21"/>
      <c r="CR225" s="21"/>
      <c r="CS225" s="338"/>
      <c r="CT225" s="21"/>
      <c r="CU225" s="21"/>
      <c r="CV225" s="21"/>
      <c r="CW225" s="1098"/>
      <c r="CX225" s="21"/>
      <c r="CY225" s="21"/>
      <c r="CZ225" s="338"/>
      <c r="DA225" s="21"/>
      <c r="DB225" s="21"/>
      <c r="DC225" s="21"/>
      <c r="DD225" s="1098"/>
      <c r="DE225" s="21"/>
      <c r="DF225" s="21"/>
      <c r="DG225" s="338"/>
      <c r="DH225" s="21"/>
      <c r="DI225" s="21"/>
      <c r="DJ225" s="21"/>
      <c r="DK225" s="1098"/>
      <c r="DL225" s="21"/>
      <c r="DM225" s="21"/>
      <c r="DN225" s="338"/>
      <c r="DO225" s="21"/>
      <c r="DP225" s="21"/>
      <c r="DQ225" s="21"/>
      <c r="DR225" s="1098"/>
      <c r="DS225" s="21"/>
      <c r="DT225" s="21"/>
      <c r="DU225" s="338"/>
      <c r="DV225" s="21"/>
      <c r="DW225" s="21"/>
      <c r="DX225" s="21"/>
      <c r="DY225" s="1098"/>
      <c r="DZ225" s="21"/>
      <c r="EA225" s="21"/>
      <c r="EB225" s="338"/>
      <c r="EC225" s="21"/>
      <c r="ED225" s="21"/>
      <c r="EE225" s="21"/>
      <c r="EF225" s="1098"/>
      <c r="EG225" s="21"/>
      <c r="EH225" s="21"/>
      <c r="EI225" s="338"/>
      <c r="EJ225" s="21"/>
      <c r="EK225" s="21"/>
      <c r="EL225" s="21"/>
      <c r="EM225" s="1098"/>
      <c r="EN225" s="21"/>
      <c r="EO225" s="21"/>
      <c r="EP225" s="338"/>
      <c r="EQ225" s="21"/>
      <c r="ER225" s="21"/>
      <c r="ES225" s="21"/>
      <c r="ET225" s="1098"/>
      <c r="EU225" s="21"/>
      <c r="EV225" s="21"/>
      <c r="EW225" s="338"/>
    </row>
    <row r="226" spans="1:153" ht="10.199999999999999" hidden="1" customHeight="1" outlineLevel="1">
      <c r="A226" s="108" t="s">
        <v>617</v>
      </c>
      <c r="B226" s="834"/>
      <c r="C226" s="834"/>
      <c r="D226" s="834"/>
      <c r="E226" s="834"/>
      <c r="F226" s="834"/>
      <c r="G226" s="834"/>
      <c r="H226" s="834"/>
      <c r="I226" s="834"/>
      <c r="J226" s="834">
        <f t="shared" ref="J226:K226" si="1295">+J220-I220</f>
        <v>2953</v>
      </c>
      <c r="K226" s="834">
        <f t="shared" si="1295"/>
        <v>267</v>
      </c>
      <c r="L226" s="834">
        <f>+L220-K220</f>
        <v>481</v>
      </c>
      <c r="M226" s="834">
        <f>+M220-L220</f>
        <v>406</v>
      </c>
      <c r="N226" s="21"/>
      <c r="O226" s="21"/>
      <c r="P226" s="21"/>
      <c r="Q226" s="1098"/>
      <c r="R226" s="21"/>
      <c r="S226" s="21"/>
      <c r="T226" s="338">
        <f>+T220-M220</f>
        <v>-312</v>
      </c>
      <c r="U226" s="21"/>
      <c r="V226" s="21"/>
      <c r="W226" s="21"/>
      <c r="X226" s="1098"/>
      <c r="Y226" s="21"/>
      <c r="Z226" s="21"/>
      <c r="AA226" s="338">
        <f>+AA220-T220</f>
        <v>-2216</v>
      </c>
      <c r="AB226" s="21"/>
      <c r="AC226" s="21"/>
      <c r="AD226" s="21"/>
      <c r="AE226" s="1098"/>
      <c r="AF226" s="21"/>
      <c r="AG226" s="21"/>
      <c r="AH226" s="338">
        <f>+AH220-AA220</f>
        <v>508</v>
      </c>
      <c r="AI226" s="21"/>
      <c r="AJ226" s="21"/>
      <c r="AK226" s="21"/>
      <c r="AL226" s="1098"/>
      <c r="AM226" s="21"/>
      <c r="AN226" s="21"/>
      <c r="AO226" s="338">
        <f>+AO220-AH220</f>
        <v>-2006</v>
      </c>
      <c r="AP226" s="21"/>
      <c r="AQ226" s="21"/>
      <c r="AR226" s="21"/>
      <c r="AS226" s="1098"/>
      <c r="AT226" s="21"/>
      <c r="AU226" s="21"/>
      <c r="AV226" s="338">
        <f>+AV220-AO220</f>
        <v>-433</v>
      </c>
      <c r="AW226" s="21"/>
      <c r="AX226" s="21"/>
      <c r="AY226" s="21"/>
      <c r="AZ226" s="1098"/>
      <c r="BA226" s="21"/>
      <c r="BB226" s="21"/>
      <c r="BC226" s="338"/>
      <c r="BD226" s="21"/>
      <c r="BE226" s="21"/>
      <c r="BF226" s="21"/>
      <c r="BG226" s="1098"/>
      <c r="BH226" s="21"/>
      <c r="BI226" s="21"/>
      <c r="BJ226" s="338"/>
      <c r="BK226" s="21"/>
      <c r="BL226" s="21"/>
      <c r="BM226" s="21"/>
      <c r="BN226" s="1098"/>
      <c r="BO226" s="21"/>
      <c r="BP226" s="21"/>
      <c r="BQ226" s="338"/>
      <c r="BR226" s="21"/>
      <c r="BS226" s="21"/>
      <c r="BT226" s="21"/>
      <c r="BU226" s="1098"/>
      <c r="BV226" s="21"/>
      <c r="BW226" s="21"/>
      <c r="BX226" s="338"/>
      <c r="BY226" s="21"/>
      <c r="BZ226" s="21"/>
      <c r="CA226" s="21"/>
      <c r="CB226" s="1098"/>
      <c r="CC226" s="21"/>
      <c r="CD226" s="21"/>
      <c r="CE226" s="338"/>
      <c r="CF226" s="21"/>
      <c r="CG226" s="21"/>
      <c r="CH226" s="21"/>
      <c r="CI226" s="1098"/>
      <c r="CJ226" s="21"/>
      <c r="CK226" s="21"/>
      <c r="CL226" s="338"/>
      <c r="CM226" s="21"/>
      <c r="CN226" s="21"/>
      <c r="CO226" s="21"/>
      <c r="CP226" s="1098"/>
      <c r="CQ226" s="21"/>
      <c r="CR226" s="21"/>
      <c r="CS226" s="338"/>
      <c r="CT226" s="21"/>
      <c r="CU226" s="21"/>
      <c r="CV226" s="21"/>
      <c r="CW226" s="1098"/>
      <c r="CX226" s="21"/>
      <c r="CY226" s="21"/>
      <c r="CZ226" s="338"/>
      <c r="DA226" s="21"/>
      <c r="DB226" s="21"/>
      <c r="DC226" s="21"/>
      <c r="DD226" s="1098"/>
      <c r="DE226" s="21"/>
      <c r="DF226" s="21"/>
      <c r="DG226" s="338"/>
      <c r="DH226" s="21"/>
      <c r="DI226" s="21"/>
      <c r="DJ226" s="21"/>
      <c r="DK226" s="1098"/>
      <c r="DL226" s="21"/>
      <c r="DM226" s="21"/>
      <c r="DN226" s="338"/>
      <c r="DO226" s="21"/>
      <c r="DP226" s="21"/>
      <c r="DQ226" s="21"/>
      <c r="DR226" s="1098"/>
      <c r="DS226" s="21"/>
      <c r="DT226" s="21"/>
      <c r="DU226" s="338"/>
      <c r="DV226" s="21"/>
      <c r="DW226" s="21"/>
      <c r="DX226" s="21"/>
      <c r="DY226" s="1098"/>
      <c r="DZ226" s="21"/>
      <c r="EA226" s="21"/>
      <c r="EB226" s="338"/>
      <c r="EC226" s="21"/>
      <c r="ED226" s="21"/>
      <c r="EE226" s="21"/>
      <c r="EF226" s="1098"/>
      <c r="EG226" s="21"/>
      <c r="EH226" s="21"/>
      <c r="EI226" s="338"/>
      <c r="EJ226" s="21"/>
      <c r="EK226" s="21"/>
      <c r="EL226" s="21"/>
      <c r="EM226" s="1098"/>
      <c r="EN226" s="21"/>
      <c r="EO226" s="21"/>
      <c r="EP226" s="338"/>
      <c r="EQ226" s="21"/>
      <c r="ER226" s="21"/>
      <c r="ES226" s="21"/>
      <c r="ET226" s="1098"/>
      <c r="EU226" s="21"/>
      <c r="EV226" s="21"/>
      <c r="EW226" s="338"/>
    </row>
    <row r="227" spans="1:153" ht="10.199999999999999" hidden="1" customHeight="1" outlineLevel="1">
      <c r="A227" s="108" t="s">
        <v>618</v>
      </c>
      <c r="B227" s="834"/>
      <c r="C227" s="834"/>
      <c r="D227" s="834"/>
      <c r="E227" s="834"/>
      <c r="F227" s="834"/>
      <c r="G227" s="834"/>
      <c r="H227" s="834"/>
      <c r="I227" s="834"/>
      <c r="J227" s="834">
        <f t="shared" ref="J227:M227" si="1296">+J221-I221</f>
        <v>-16</v>
      </c>
      <c r="K227" s="834">
        <f t="shared" si="1296"/>
        <v>-31</v>
      </c>
      <c r="L227" s="834">
        <f t="shared" si="1296"/>
        <v>702</v>
      </c>
      <c r="M227" s="834">
        <f t="shared" si="1296"/>
        <v>32</v>
      </c>
      <c r="N227" s="21"/>
      <c r="O227" s="21"/>
      <c r="P227" s="21"/>
      <c r="Q227" s="1098"/>
      <c r="R227" s="21"/>
      <c r="S227" s="21"/>
      <c r="T227" s="338">
        <f>+T221-M221</f>
        <v>90</v>
      </c>
      <c r="U227" s="21"/>
      <c r="V227" s="21"/>
      <c r="W227" s="21"/>
      <c r="X227" s="1098"/>
      <c r="Y227" s="21"/>
      <c r="Z227" s="21"/>
      <c r="AA227" s="338">
        <f>+AA221-T221</f>
        <v>186</v>
      </c>
      <c r="AB227" s="21"/>
      <c r="AC227" s="21"/>
      <c r="AD227" s="21"/>
      <c r="AE227" s="1098"/>
      <c r="AF227" s="21"/>
      <c r="AG227" s="21"/>
      <c r="AH227" s="338">
        <f>+AH221-AA221</f>
        <v>-27</v>
      </c>
      <c r="AI227" s="21"/>
      <c r="AJ227" s="21"/>
      <c r="AK227" s="21"/>
      <c r="AL227" s="1098"/>
      <c r="AM227" s="21"/>
      <c r="AN227" s="21"/>
      <c r="AO227" s="338">
        <f>+AO221-AH221</f>
        <v>71</v>
      </c>
      <c r="AP227" s="21"/>
      <c r="AQ227" s="21"/>
      <c r="AR227" s="21"/>
      <c r="AS227" s="1098"/>
      <c r="AT227" s="21"/>
      <c r="AU227" s="21"/>
      <c r="AV227" s="338">
        <f>+AV221-AO221</f>
        <v>-422</v>
      </c>
      <c r="AW227" s="21"/>
      <c r="AX227" s="21"/>
      <c r="AY227" s="21"/>
      <c r="AZ227" s="1098"/>
      <c r="BA227" s="21"/>
      <c r="BB227" s="21"/>
      <c r="BC227" s="338"/>
      <c r="BD227" s="21"/>
      <c r="BE227" s="21"/>
      <c r="BF227" s="21"/>
      <c r="BG227" s="1098"/>
      <c r="BH227" s="21"/>
      <c r="BI227" s="21"/>
      <c r="BJ227" s="338"/>
      <c r="BK227" s="21"/>
      <c r="BL227" s="21"/>
      <c r="BM227" s="21"/>
      <c r="BN227" s="1098"/>
      <c r="BO227" s="21"/>
      <c r="BP227" s="21"/>
      <c r="BQ227" s="338"/>
      <c r="BR227" s="21"/>
      <c r="BS227" s="21"/>
      <c r="BT227" s="21"/>
      <c r="BU227" s="1098"/>
      <c r="BV227" s="21"/>
      <c r="BW227" s="21"/>
      <c r="BX227" s="338"/>
      <c r="BY227" s="21"/>
      <c r="BZ227" s="21"/>
      <c r="CA227" s="21"/>
      <c r="CB227" s="1098"/>
      <c r="CC227" s="21"/>
      <c r="CD227" s="21"/>
      <c r="CE227" s="338"/>
      <c r="CF227" s="21"/>
      <c r="CG227" s="21"/>
      <c r="CH227" s="21"/>
      <c r="CI227" s="1098"/>
      <c r="CJ227" s="21"/>
      <c r="CK227" s="21"/>
      <c r="CL227" s="338"/>
      <c r="CM227" s="21"/>
      <c r="CN227" s="21"/>
      <c r="CO227" s="21"/>
      <c r="CP227" s="1098"/>
      <c r="CQ227" s="21"/>
      <c r="CR227" s="21"/>
      <c r="CS227" s="338"/>
      <c r="CT227" s="21"/>
      <c r="CU227" s="21"/>
      <c r="CV227" s="21"/>
      <c r="CW227" s="1098"/>
      <c r="CX227" s="21"/>
      <c r="CY227" s="21"/>
      <c r="CZ227" s="338"/>
      <c r="DA227" s="21"/>
      <c r="DB227" s="21"/>
      <c r="DC227" s="21"/>
      <c r="DD227" s="1098"/>
      <c r="DE227" s="21"/>
      <c r="DF227" s="21"/>
      <c r="DG227" s="338"/>
      <c r="DH227" s="21"/>
      <c r="DI227" s="21"/>
      <c r="DJ227" s="21"/>
      <c r="DK227" s="1098"/>
      <c r="DL227" s="21"/>
      <c r="DM227" s="21"/>
      <c r="DN227" s="338"/>
      <c r="DO227" s="21"/>
      <c r="DP227" s="21"/>
      <c r="DQ227" s="21"/>
      <c r="DR227" s="1098"/>
      <c r="DS227" s="21"/>
      <c r="DT227" s="21"/>
      <c r="DU227" s="338"/>
      <c r="DV227" s="21"/>
      <c r="DW227" s="21"/>
      <c r="DX227" s="21"/>
      <c r="DY227" s="1098"/>
      <c r="DZ227" s="21"/>
      <c r="EA227" s="21"/>
      <c r="EB227" s="338"/>
      <c r="EC227" s="21"/>
      <c r="ED227" s="21"/>
      <c r="EE227" s="21"/>
      <c r="EF227" s="1098"/>
      <c r="EG227" s="21"/>
      <c r="EH227" s="21"/>
      <c r="EI227" s="338"/>
      <c r="EJ227" s="21"/>
      <c r="EK227" s="21"/>
      <c r="EL227" s="21"/>
      <c r="EM227" s="1098"/>
      <c r="EN227" s="21"/>
      <c r="EO227" s="21"/>
      <c r="EP227" s="338"/>
      <c r="EQ227" s="21"/>
      <c r="ER227" s="21"/>
      <c r="ES227" s="21"/>
      <c r="ET227" s="1098"/>
      <c r="EU227" s="21"/>
      <c r="EV227" s="21"/>
      <c r="EW227" s="338"/>
    </row>
    <row r="228" spans="1:153" ht="10.199999999999999" hidden="1" customHeight="1" outlineLevel="1">
      <c r="A228" s="108"/>
      <c r="B228" s="834"/>
      <c r="C228" s="834"/>
      <c r="D228" s="834"/>
      <c r="E228" s="834"/>
      <c r="F228" s="834"/>
      <c r="G228" s="834"/>
      <c r="H228" s="834"/>
      <c r="I228" s="834"/>
      <c r="J228" s="834"/>
      <c r="K228" s="834"/>
      <c r="L228" s="834"/>
      <c r="M228" s="834"/>
      <c r="N228" s="21"/>
      <c r="O228" s="21"/>
      <c r="P228" s="21"/>
      <c r="Q228" s="1098"/>
      <c r="R228" s="21"/>
      <c r="S228" s="21"/>
      <c r="T228" s="338"/>
      <c r="U228" s="21"/>
      <c r="V228" s="21"/>
      <c r="W228" s="21"/>
      <c r="X228" s="1098"/>
      <c r="Y228" s="21"/>
      <c r="Z228" s="21"/>
      <c r="AA228" s="338"/>
      <c r="AB228" s="21"/>
      <c r="AC228" s="21"/>
      <c r="AD228" s="21"/>
      <c r="AE228" s="1098"/>
      <c r="AF228" s="21"/>
      <c r="AG228" s="21"/>
      <c r="AH228" s="338"/>
      <c r="AI228" s="21"/>
      <c r="AJ228" s="21"/>
      <c r="AK228" s="21"/>
      <c r="AL228" s="1098"/>
      <c r="AM228" s="21"/>
      <c r="AN228" s="21"/>
      <c r="AO228" s="338"/>
      <c r="AP228" s="21"/>
      <c r="AQ228" s="21"/>
      <c r="AR228" s="21"/>
      <c r="AS228" s="1098"/>
      <c r="AT228" s="21"/>
      <c r="AU228" s="21"/>
      <c r="AV228" s="338"/>
      <c r="AW228" s="21"/>
      <c r="AX228" s="21"/>
      <c r="AY228" s="21"/>
      <c r="AZ228" s="1098"/>
      <c r="BA228" s="21"/>
      <c r="BB228" s="21"/>
      <c r="BC228" s="338"/>
      <c r="BD228" s="21"/>
      <c r="BE228" s="21"/>
      <c r="BF228" s="21"/>
      <c r="BG228" s="1098"/>
      <c r="BH228" s="21"/>
      <c r="BI228" s="21"/>
      <c r="BJ228" s="338"/>
      <c r="BK228" s="21"/>
      <c r="BL228" s="21"/>
      <c r="BM228" s="21"/>
      <c r="BN228" s="1098"/>
      <c r="BO228" s="21"/>
      <c r="BP228" s="21"/>
      <c r="BQ228" s="338"/>
      <c r="BR228" s="21"/>
      <c r="BS228" s="21"/>
      <c r="BT228" s="21"/>
      <c r="BU228" s="1098"/>
      <c r="BV228" s="21"/>
      <c r="BW228" s="21"/>
      <c r="BX228" s="338"/>
      <c r="BY228" s="21"/>
      <c r="BZ228" s="21"/>
      <c r="CA228" s="21"/>
      <c r="CB228" s="1098"/>
      <c r="CC228" s="21"/>
      <c r="CD228" s="21"/>
      <c r="CE228" s="338"/>
      <c r="CF228" s="21"/>
      <c r="CG228" s="21"/>
      <c r="CH228" s="21"/>
      <c r="CI228" s="1098"/>
      <c r="CJ228" s="21"/>
      <c r="CK228" s="21"/>
      <c r="CL228" s="338"/>
      <c r="CM228" s="21"/>
      <c r="CN228" s="21"/>
      <c r="CO228" s="21"/>
      <c r="CP228" s="1098"/>
      <c r="CQ228" s="21"/>
      <c r="CR228" s="21"/>
      <c r="CS228" s="338"/>
      <c r="CT228" s="21"/>
      <c r="CU228" s="21"/>
      <c r="CV228" s="21"/>
      <c r="CW228" s="1098"/>
      <c r="CX228" s="21"/>
      <c r="CY228" s="21"/>
      <c r="CZ228" s="338"/>
      <c r="DA228" s="21"/>
      <c r="DB228" s="21"/>
      <c r="DC228" s="21"/>
      <c r="DD228" s="1098"/>
      <c r="DE228" s="21"/>
      <c r="DF228" s="21"/>
      <c r="DG228" s="338"/>
      <c r="DH228" s="21"/>
      <c r="DI228" s="21"/>
      <c r="DJ228" s="21"/>
      <c r="DK228" s="1098"/>
      <c r="DL228" s="21"/>
      <c r="DM228" s="21"/>
      <c r="DN228" s="338"/>
      <c r="DO228" s="21"/>
      <c r="DP228" s="21"/>
      <c r="DQ228" s="21"/>
      <c r="DR228" s="1098"/>
      <c r="DS228" s="21"/>
      <c r="DT228" s="21"/>
      <c r="DU228" s="338"/>
      <c r="DV228" s="21"/>
      <c r="DW228" s="21"/>
      <c r="DX228" s="21"/>
      <c r="DY228" s="1098"/>
      <c r="DZ228" s="21"/>
      <c r="EA228" s="21"/>
      <c r="EB228" s="338"/>
      <c r="EC228" s="21"/>
      <c r="ED228" s="21"/>
      <c r="EE228" s="21"/>
      <c r="EF228" s="1098"/>
      <c r="EG228" s="21"/>
      <c r="EH228" s="21"/>
      <c r="EI228" s="338"/>
      <c r="EJ228" s="21"/>
      <c r="EK228" s="21"/>
      <c r="EL228" s="21"/>
      <c r="EM228" s="1098"/>
      <c r="EN228" s="21"/>
      <c r="EO228" s="21"/>
      <c r="EP228" s="338"/>
      <c r="EQ228" s="21"/>
      <c r="ER228" s="21"/>
      <c r="ES228" s="21"/>
      <c r="ET228" s="1098"/>
      <c r="EU228" s="21"/>
      <c r="EV228" s="21"/>
      <c r="EW228" s="338"/>
    </row>
    <row r="229" spans="1:153" ht="10.199999999999999" hidden="1" customHeight="1" outlineLevel="1">
      <c r="A229" s="48" t="s">
        <v>597</v>
      </c>
      <c r="B229" s="834"/>
      <c r="C229" s="834"/>
      <c r="D229" s="834"/>
      <c r="E229" s="834"/>
      <c r="F229" s="834"/>
      <c r="G229" s="834"/>
      <c r="H229" s="834"/>
      <c r="I229" s="834"/>
      <c r="J229" s="834"/>
      <c r="K229" s="834"/>
      <c r="L229" s="834"/>
      <c r="M229" s="834"/>
      <c r="N229" s="21"/>
      <c r="O229" s="21"/>
      <c r="P229" s="21"/>
      <c r="Q229" s="1098"/>
      <c r="R229" s="21"/>
      <c r="S229" s="21"/>
      <c r="T229" s="338"/>
      <c r="U229" s="21"/>
      <c r="V229" s="21"/>
      <c r="W229" s="21"/>
      <c r="X229" s="1098"/>
      <c r="Y229" s="21"/>
      <c r="Z229" s="21"/>
      <c r="AA229" s="338"/>
      <c r="AB229" s="21"/>
      <c r="AC229" s="21"/>
      <c r="AD229" s="21"/>
      <c r="AE229" s="1098"/>
      <c r="AF229" s="21"/>
      <c r="AG229" s="21"/>
      <c r="AH229" s="338"/>
      <c r="AI229" s="21"/>
      <c r="AJ229" s="21"/>
      <c r="AK229" s="21"/>
      <c r="AL229" s="1098"/>
      <c r="AM229" s="21"/>
      <c r="AN229" s="21"/>
      <c r="AO229" s="338"/>
      <c r="AP229" s="21"/>
      <c r="AQ229" s="21"/>
      <c r="AR229" s="21"/>
      <c r="AS229" s="1098"/>
      <c r="AT229" s="21"/>
      <c r="AU229" s="21"/>
      <c r="AV229" s="338"/>
      <c r="AW229" s="21"/>
      <c r="AX229" s="21"/>
      <c r="AY229" s="21"/>
      <c r="AZ229" s="1098"/>
      <c r="BA229" s="21"/>
      <c r="BB229" s="21"/>
      <c r="BC229" s="338"/>
      <c r="BD229" s="21"/>
      <c r="BE229" s="21"/>
      <c r="BF229" s="21"/>
      <c r="BG229" s="1098"/>
      <c r="BH229" s="21"/>
      <c r="BI229" s="21"/>
      <c r="BJ229" s="338"/>
      <c r="BK229" s="21"/>
      <c r="BL229" s="21"/>
      <c r="BM229" s="21"/>
      <c r="BN229" s="1098"/>
      <c r="BO229" s="21"/>
      <c r="BP229" s="21"/>
      <c r="BQ229" s="338"/>
      <c r="BR229" s="21"/>
      <c r="BS229" s="21"/>
      <c r="BT229" s="21"/>
      <c r="BU229" s="1098"/>
      <c r="BV229" s="21"/>
      <c r="BW229" s="21"/>
      <c r="BX229" s="338"/>
      <c r="BY229" s="21"/>
      <c r="BZ229" s="21"/>
      <c r="CA229" s="21"/>
      <c r="CB229" s="1098"/>
      <c r="CC229" s="21"/>
      <c r="CD229" s="21"/>
      <c r="CE229" s="338"/>
      <c r="CF229" s="21"/>
      <c r="CG229" s="21"/>
      <c r="CH229" s="21"/>
      <c r="CI229" s="1098"/>
      <c r="CJ229" s="21"/>
      <c r="CK229" s="21"/>
      <c r="CL229" s="338"/>
      <c r="CM229" s="21"/>
      <c r="CN229" s="21"/>
      <c r="CO229" s="21"/>
      <c r="CP229" s="1098"/>
      <c r="CQ229" s="21"/>
      <c r="CR229" s="21"/>
      <c r="CS229" s="338"/>
      <c r="CT229" s="21"/>
      <c r="CU229" s="21"/>
      <c r="CV229" s="21"/>
      <c r="CW229" s="1098"/>
      <c r="CX229" s="21"/>
      <c r="CY229" s="21"/>
      <c r="CZ229" s="338"/>
      <c r="DA229" s="21"/>
      <c r="DB229" s="21"/>
      <c r="DC229" s="21"/>
      <c r="DD229" s="1098"/>
      <c r="DE229" s="21"/>
      <c r="DF229" s="21"/>
      <c r="DG229" s="338"/>
      <c r="DH229" s="21"/>
      <c r="DI229" s="21"/>
      <c r="DJ229" s="21"/>
      <c r="DK229" s="1098"/>
      <c r="DL229" s="21"/>
      <c r="DM229" s="21"/>
      <c r="DN229" s="338"/>
      <c r="DO229" s="21"/>
      <c r="DP229" s="21"/>
      <c r="DQ229" s="21"/>
      <c r="DR229" s="1098"/>
      <c r="DS229" s="21"/>
      <c r="DT229" s="21"/>
      <c r="DU229" s="338"/>
      <c r="DV229" s="21"/>
      <c r="DW229" s="21"/>
      <c r="DX229" s="21"/>
      <c r="DY229" s="1098"/>
      <c r="DZ229" s="21"/>
      <c r="EA229" s="21"/>
      <c r="EB229" s="338"/>
      <c r="EC229" s="21"/>
      <c r="ED229" s="21"/>
      <c r="EE229" s="21"/>
      <c r="EF229" s="1098"/>
      <c r="EG229" s="21"/>
      <c r="EH229" s="21"/>
      <c r="EI229" s="338"/>
      <c r="EJ229" s="21"/>
      <c r="EK229" s="21"/>
      <c r="EL229" s="21"/>
      <c r="EM229" s="1098"/>
      <c r="EN229" s="21"/>
      <c r="EO229" s="21"/>
      <c r="EP229" s="338"/>
      <c r="EQ229" s="21"/>
      <c r="ER229" s="21"/>
      <c r="ES229" s="21"/>
      <c r="ET229" s="1098"/>
      <c r="EU229" s="21"/>
      <c r="EV229" s="21"/>
      <c r="EW229" s="338"/>
    </row>
    <row r="230" spans="1:153" ht="10.199999999999999" hidden="1" customHeight="1" outlineLevel="1">
      <c r="A230" s="108" t="s">
        <v>598</v>
      </c>
      <c r="B230" s="834">
        <f t="shared" ref="B230:M230" si="1297">+B87</f>
        <v>1235</v>
      </c>
      <c r="C230" s="834">
        <f t="shared" si="1297"/>
        <v>1434</v>
      </c>
      <c r="D230" s="834">
        <f t="shared" si="1297"/>
        <v>1468</v>
      </c>
      <c r="E230" s="834">
        <f t="shared" si="1297"/>
        <v>962</v>
      </c>
      <c r="F230" s="834">
        <f t="shared" si="1297"/>
        <v>1031</v>
      </c>
      <c r="G230" s="834">
        <f t="shared" si="1297"/>
        <v>1110</v>
      </c>
      <c r="H230" s="834">
        <f t="shared" si="1297"/>
        <v>1215</v>
      </c>
      <c r="I230" s="834">
        <f t="shared" si="1297"/>
        <v>1015</v>
      </c>
      <c r="J230" s="834">
        <f t="shared" si="1297"/>
        <v>973</v>
      </c>
      <c r="K230" s="834">
        <f t="shared" si="1297"/>
        <v>932</v>
      </c>
      <c r="L230" s="834">
        <f t="shared" si="1297"/>
        <v>1039</v>
      </c>
      <c r="M230" s="834">
        <f t="shared" si="1297"/>
        <v>1180</v>
      </c>
      <c r="N230" s="21"/>
      <c r="O230" s="21"/>
      <c r="P230" s="21"/>
      <c r="Q230" s="1098"/>
      <c r="R230" s="21"/>
      <c r="S230" s="21"/>
      <c r="T230" s="338">
        <f>+T87</f>
        <v>1182</v>
      </c>
      <c r="U230" s="21"/>
      <c r="V230" s="21"/>
      <c r="W230" s="21"/>
      <c r="X230" s="1098"/>
      <c r="Y230" s="21"/>
      <c r="Z230" s="21"/>
      <c r="AA230" s="338">
        <f>+AA87</f>
        <v>1394</v>
      </c>
      <c r="AB230" s="21"/>
      <c r="AC230" s="21"/>
      <c r="AD230" s="21"/>
      <c r="AE230" s="1098"/>
      <c r="AF230" s="21"/>
      <c r="AG230" s="21"/>
      <c r="AH230" s="338">
        <f>+AH87</f>
        <v>1594</v>
      </c>
      <c r="AI230" s="21"/>
      <c r="AJ230" s="21"/>
      <c r="AK230" s="21"/>
      <c r="AL230" s="1098"/>
      <c r="AM230" s="21"/>
      <c r="AN230" s="21"/>
      <c r="AO230" s="338">
        <f>+AO87</f>
        <v>1566</v>
      </c>
      <c r="AP230" s="21"/>
      <c r="AQ230" s="21"/>
      <c r="AR230" s="21"/>
      <c r="AS230" s="1098"/>
      <c r="AT230" s="21"/>
      <c r="AU230" s="21"/>
      <c r="AV230" s="338">
        <f>+AV87</f>
        <v>1593</v>
      </c>
      <c r="AW230" s="21"/>
      <c r="AX230" s="21"/>
      <c r="AY230" s="21"/>
      <c r="AZ230" s="1098"/>
      <c r="BA230" s="21"/>
      <c r="BB230" s="21"/>
      <c r="BC230" s="338"/>
      <c r="BD230" s="21"/>
      <c r="BE230" s="21"/>
      <c r="BF230" s="21"/>
      <c r="BG230" s="1098"/>
      <c r="BH230" s="21"/>
      <c r="BI230" s="21"/>
      <c r="BJ230" s="338"/>
      <c r="BK230" s="21"/>
      <c r="BL230" s="21"/>
      <c r="BM230" s="21"/>
      <c r="BN230" s="1098"/>
      <c r="BO230" s="21"/>
      <c r="BP230" s="21"/>
      <c r="BQ230" s="338"/>
      <c r="BR230" s="21"/>
      <c r="BS230" s="21"/>
      <c r="BT230" s="21"/>
      <c r="BU230" s="1098"/>
      <c r="BV230" s="21"/>
      <c r="BW230" s="21"/>
      <c r="BX230" s="338"/>
      <c r="BY230" s="21"/>
      <c r="BZ230" s="21"/>
      <c r="CA230" s="21"/>
      <c r="CB230" s="1098"/>
      <c r="CC230" s="21"/>
      <c r="CD230" s="21"/>
      <c r="CE230" s="338"/>
      <c r="CF230" s="21"/>
      <c r="CG230" s="21"/>
      <c r="CH230" s="21"/>
      <c r="CI230" s="1098"/>
      <c r="CJ230" s="21"/>
      <c r="CK230" s="21"/>
      <c r="CL230" s="338"/>
      <c r="CM230" s="21"/>
      <c r="CN230" s="21"/>
      <c r="CO230" s="21"/>
      <c r="CP230" s="1098"/>
      <c r="CQ230" s="21"/>
      <c r="CR230" s="21"/>
      <c r="CS230" s="338"/>
      <c r="CT230" s="21"/>
      <c r="CU230" s="21"/>
      <c r="CV230" s="21"/>
      <c r="CW230" s="1098"/>
      <c r="CX230" s="21"/>
      <c r="CY230" s="21"/>
      <c r="CZ230" s="338"/>
      <c r="DA230" s="21"/>
      <c r="DB230" s="21"/>
      <c r="DC230" s="21"/>
      <c r="DD230" s="1098"/>
      <c r="DE230" s="21"/>
      <c r="DF230" s="21"/>
      <c r="DG230" s="338"/>
      <c r="DH230" s="21"/>
      <c r="DI230" s="21"/>
      <c r="DJ230" s="21"/>
      <c r="DK230" s="1098"/>
      <c r="DL230" s="21"/>
      <c r="DM230" s="21"/>
      <c r="DN230" s="338"/>
      <c r="DO230" s="21"/>
      <c r="DP230" s="21"/>
      <c r="DQ230" s="21"/>
      <c r="DR230" s="1098"/>
      <c r="DS230" s="21"/>
      <c r="DT230" s="21"/>
      <c r="DU230" s="338"/>
      <c r="DV230" s="21"/>
      <c r="DW230" s="21"/>
      <c r="DX230" s="21"/>
      <c r="DY230" s="1098"/>
      <c r="DZ230" s="21"/>
      <c r="EA230" s="21"/>
      <c r="EB230" s="338"/>
      <c r="EC230" s="21"/>
      <c r="ED230" s="21"/>
      <c r="EE230" s="21"/>
      <c r="EF230" s="1098"/>
      <c r="EG230" s="21"/>
      <c r="EH230" s="21"/>
      <c r="EI230" s="338"/>
      <c r="EJ230" s="21"/>
      <c r="EK230" s="21"/>
      <c r="EL230" s="21"/>
      <c r="EM230" s="1098"/>
      <c r="EN230" s="21"/>
      <c r="EO230" s="21"/>
      <c r="EP230" s="338"/>
      <c r="EQ230" s="21"/>
      <c r="ER230" s="21"/>
      <c r="ES230" s="21"/>
      <c r="ET230" s="1098"/>
      <c r="EU230" s="21"/>
      <c r="EV230" s="21"/>
      <c r="EW230" s="338"/>
    </row>
    <row r="231" spans="1:153" ht="10.199999999999999" hidden="1" customHeight="1" outlineLevel="1">
      <c r="A231" s="108" t="s">
        <v>599</v>
      </c>
      <c r="B231" s="834">
        <f t="shared" ref="B231:M231" si="1298">-B141</f>
        <v>-1433</v>
      </c>
      <c r="C231" s="834">
        <f t="shared" si="1298"/>
        <v>-1674</v>
      </c>
      <c r="D231" s="834">
        <f t="shared" si="1298"/>
        <v>-2027</v>
      </c>
      <c r="E231" s="834">
        <f t="shared" si="1298"/>
        <v>-2778</v>
      </c>
      <c r="F231" s="834">
        <f t="shared" si="1298"/>
        <v>-1864</v>
      </c>
      <c r="G231" s="834">
        <f t="shared" si="1298"/>
        <v>-1750</v>
      </c>
      <c r="H231" s="834">
        <f t="shared" si="1298"/>
        <v>-946</v>
      </c>
      <c r="I231" s="834">
        <f t="shared" si="1298"/>
        <v>-887</v>
      </c>
      <c r="J231" s="834">
        <f t="shared" si="1298"/>
        <v>-1254</v>
      </c>
      <c r="K231" s="834">
        <f t="shared" si="1298"/>
        <v>-1419</v>
      </c>
      <c r="L231" s="834">
        <f t="shared" si="1298"/>
        <v>-1331</v>
      </c>
      <c r="M231" s="834">
        <f t="shared" si="1298"/>
        <v>-2288</v>
      </c>
      <c r="N231" s="21"/>
      <c r="O231" s="21"/>
      <c r="P231" s="21"/>
      <c r="Q231" s="1098"/>
      <c r="R231" s="21"/>
      <c r="S231" s="21"/>
      <c r="T231" s="338">
        <f>-T141</f>
        <v>-2116</v>
      </c>
      <c r="U231" s="21"/>
      <c r="V231" s="21"/>
      <c r="W231" s="21"/>
      <c r="X231" s="1098"/>
      <c r="Y231" s="21"/>
      <c r="Z231" s="21"/>
      <c r="AA231" s="338">
        <f>-AA141</f>
        <v>-1713</v>
      </c>
      <c r="AB231" s="21"/>
      <c r="AC231" s="21"/>
      <c r="AD231" s="21"/>
      <c r="AE231" s="1098"/>
      <c r="AF231" s="21"/>
      <c r="AG231" s="21"/>
      <c r="AH231" s="338">
        <f>-AH141</f>
        <v>-2001</v>
      </c>
      <c r="AI231" s="21"/>
      <c r="AJ231" s="21"/>
      <c r="AK231" s="21"/>
      <c r="AL231" s="1098"/>
      <c r="AM231" s="21"/>
      <c r="AN231" s="21"/>
      <c r="AO231" s="338">
        <f>-AO141</f>
        <v>-2304</v>
      </c>
      <c r="AP231" s="21"/>
      <c r="AQ231" s="21"/>
      <c r="AR231" s="21"/>
      <c r="AS231" s="1098"/>
      <c r="AT231" s="21"/>
      <c r="AU231" s="21"/>
      <c r="AV231" s="338">
        <f>-AV141</f>
        <v>-1851</v>
      </c>
      <c r="AW231" s="21"/>
      <c r="AX231" s="21"/>
      <c r="AY231" s="21"/>
      <c r="AZ231" s="1098"/>
      <c r="BA231" s="21"/>
      <c r="BB231" s="21"/>
      <c r="BC231" s="338"/>
      <c r="BD231" s="21"/>
      <c r="BE231" s="21"/>
      <c r="BF231" s="21"/>
      <c r="BG231" s="1098"/>
      <c r="BH231" s="21"/>
      <c r="BI231" s="21"/>
      <c r="BJ231" s="338"/>
      <c r="BK231" s="21"/>
      <c r="BL231" s="21"/>
      <c r="BM231" s="21"/>
      <c r="BN231" s="1098"/>
      <c r="BO231" s="21"/>
      <c r="BP231" s="21"/>
      <c r="BQ231" s="338"/>
      <c r="BR231" s="21"/>
      <c r="BS231" s="21"/>
      <c r="BT231" s="21"/>
      <c r="BU231" s="1098"/>
      <c r="BV231" s="21"/>
      <c r="BW231" s="21"/>
      <c r="BX231" s="338"/>
      <c r="BY231" s="21"/>
      <c r="BZ231" s="21"/>
      <c r="CA231" s="21"/>
      <c r="CB231" s="1098"/>
      <c r="CC231" s="21"/>
      <c r="CD231" s="21"/>
      <c r="CE231" s="338"/>
      <c r="CF231" s="21"/>
      <c r="CG231" s="21"/>
      <c r="CH231" s="21"/>
      <c r="CI231" s="1098"/>
      <c r="CJ231" s="21"/>
      <c r="CK231" s="21"/>
      <c r="CL231" s="338"/>
      <c r="CM231" s="21"/>
      <c r="CN231" s="21"/>
      <c r="CO231" s="21"/>
      <c r="CP231" s="1098"/>
      <c r="CQ231" s="21"/>
      <c r="CR231" s="21"/>
      <c r="CS231" s="338"/>
      <c r="CT231" s="21"/>
      <c r="CU231" s="21"/>
      <c r="CV231" s="21"/>
      <c r="CW231" s="1098"/>
      <c r="CX231" s="21"/>
      <c r="CY231" s="21"/>
      <c r="CZ231" s="338"/>
      <c r="DA231" s="21"/>
      <c r="DB231" s="21"/>
      <c r="DC231" s="21"/>
      <c r="DD231" s="1098"/>
      <c r="DE231" s="21"/>
      <c r="DF231" s="21"/>
      <c r="DG231" s="338"/>
      <c r="DH231" s="21"/>
      <c r="DI231" s="21"/>
      <c r="DJ231" s="21"/>
      <c r="DK231" s="1098"/>
      <c r="DL231" s="21"/>
      <c r="DM231" s="21"/>
      <c r="DN231" s="338"/>
      <c r="DO231" s="21"/>
      <c r="DP231" s="21"/>
      <c r="DQ231" s="21"/>
      <c r="DR231" s="1098"/>
      <c r="DS231" s="21"/>
      <c r="DT231" s="21"/>
      <c r="DU231" s="338"/>
      <c r="DV231" s="21"/>
      <c r="DW231" s="21"/>
      <c r="DX231" s="21"/>
      <c r="DY231" s="1098"/>
      <c r="DZ231" s="21"/>
      <c r="EA231" s="21"/>
      <c r="EB231" s="338"/>
      <c r="EC231" s="21"/>
      <c r="ED231" s="21"/>
      <c r="EE231" s="21"/>
      <c r="EF231" s="1098"/>
      <c r="EG231" s="21"/>
      <c r="EH231" s="21"/>
      <c r="EI231" s="338"/>
      <c r="EJ231" s="21"/>
      <c r="EK231" s="21"/>
      <c r="EL231" s="21"/>
      <c r="EM231" s="1098"/>
      <c r="EN231" s="21"/>
      <c r="EO231" s="21"/>
      <c r="EP231" s="338"/>
      <c r="EQ231" s="21"/>
      <c r="ER231" s="21"/>
      <c r="ES231" s="21"/>
      <c r="ET231" s="1098"/>
      <c r="EU231" s="21"/>
      <c r="EV231" s="21"/>
      <c r="EW231" s="338"/>
    </row>
    <row r="232" spans="1:153" ht="10.199999999999999" hidden="1" customHeight="1" outlineLevel="1">
      <c r="A232" s="108" t="s">
        <v>614</v>
      </c>
      <c r="B232" s="834"/>
      <c r="C232" s="834"/>
      <c r="D232" s="834"/>
      <c r="E232" s="834">
        <f>+E244+E245</f>
        <v>348</v>
      </c>
      <c r="F232" s="834">
        <v>-1200</v>
      </c>
      <c r="G232" s="834">
        <v>-400</v>
      </c>
      <c r="H232" s="834">
        <v>-700</v>
      </c>
      <c r="I232" s="834">
        <v>-612</v>
      </c>
      <c r="J232" s="834">
        <v>-1600</v>
      </c>
      <c r="K232" s="834">
        <f>100+186-321</f>
        <v>-35</v>
      </c>
      <c r="L232" s="834">
        <f>-800+179</f>
        <v>-621</v>
      </c>
      <c r="M232" s="834">
        <f>+M244-214</f>
        <v>-875</v>
      </c>
      <c r="N232" s="21"/>
      <c r="O232" s="21"/>
      <c r="P232" s="21"/>
      <c r="Q232" s="1098"/>
      <c r="R232" s="21"/>
      <c r="S232" s="21"/>
      <c r="T232" s="338">
        <f>-1300-479</f>
        <v>-1779</v>
      </c>
      <c r="U232" s="21"/>
      <c r="V232" s="21"/>
      <c r="W232" s="21"/>
      <c r="X232" s="1098"/>
      <c r="Y232" s="21"/>
      <c r="Z232" s="21"/>
      <c r="AA232" s="338">
        <f>-1500-70+AA243</f>
        <v>-1712</v>
      </c>
      <c r="AB232" s="21"/>
      <c r="AC232" s="21"/>
      <c r="AD232" s="21"/>
      <c r="AE232" s="1098"/>
      <c r="AF232" s="21"/>
      <c r="AG232" s="21"/>
      <c r="AH232" s="338">
        <v>-2000</v>
      </c>
      <c r="AI232" s="21"/>
      <c r="AJ232" s="21"/>
      <c r="AK232" s="21"/>
      <c r="AL232" s="1098"/>
      <c r="AM232" s="21"/>
      <c r="AN232" s="21"/>
      <c r="AO232" s="338">
        <f>-850+AO245+AO249</f>
        <v>-1469</v>
      </c>
      <c r="AP232" s="21"/>
      <c r="AQ232" s="21"/>
      <c r="AR232" s="21"/>
      <c r="AS232" s="1098"/>
      <c r="AT232" s="21"/>
      <c r="AU232" s="21"/>
      <c r="AV232" s="338">
        <f>-2354+AV249</f>
        <v>-2611</v>
      </c>
      <c r="AW232" s="21"/>
      <c r="AX232" s="21"/>
      <c r="AY232" s="21"/>
      <c r="AZ232" s="1098"/>
      <c r="BA232" s="21"/>
      <c r="BB232" s="21"/>
      <c r="BC232" s="338"/>
      <c r="BD232" s="21"/>
      <c r="BE232" s="21"/>
      <c r="BF232" s="21"/>
      <c r="BG232" s="1098"/>
      <c r="BH232" s="21"/>
      <c r="BI232" s="21"/>
      <c r="BJ232" s="338"/>
      <c r="BK232" s="21"/>
      <c r="BL232" s="21"/>
      <c r="BM232" s="21"/>
      <c r="BN232" s="1098"/>
      <c r="BO232" s="21"/>
      <c r="BP232" s="21"/>
      <c r="BQ232" s="338"/>
      <c r="BR232" s="21"/>
      <c r="BS232" s="21"/>
      <c r="BT232" s="21"/>
      <c r="BU232" s="1098"/>
      <c r="BV232" s="21"/>
      <c r="BW232" s="21"/>
      <c r="BX232" s="338"/>
      <c r="BY232" s="21"/>
      <c r="BZ232" s="21"/>
      <c r="CA232" s="21"/>
      <c r="CB232" s="1098"/>
      <c r="CC232" s="21"/>
      <c r="CD232" s="21"/>
      <c r="CE232" s="338"/>
      <c r="CF232" s="21"/>
      <c r="CG232" s="21"/>
      <c r="CH232" s="21"/>
      <c r="CI232" s="1098"/>
      <c r="CJ232" s="21"/>
      <c r="CK232" s="21"/>
      <c r="CL232" s="338"/>
      <c r="CM232" s="21"/>
      <c r="CN232" s="21"/>
      <c r="CO232" s="21"/>
      <c r="CP232" s="1098"/>
      <c r="CQ232" s="21"/>
      <c r="CR232" s="21"/>
      <c r="CS232" s="338"/>
      <c r="CT232" s="21"/>
      <c r="CU232" s="21"/>
      <c r="CV232" s="21"/>
      <c r="CW232" s="1098"/>
      <c r="CX232" s="21"/>
      <c r="CY232" s="21"/>
      <c r="CZ232" s="338"/>
      <c r="DA232" s="21"/>
      <c r="DB232" s="21"/>
      <c r="DC232" s="21"/>
      <c r="DD232" s="1098"/>
      <c r="DE232" s="21"/>
      <c r="DF232" s="21"/>
      <c r="DG232" s="338"/>
      <c r="DH232" s="21"/>
      <c r="DI232" s="21"/>
      <c r="DJ232" s="21"/>
      <c r="DK232" s="1098"/>
      <c r="DL232" s="21"/>
      <c r="DM232" s="21"/>
      <c r="DN232" s="338"/>
      <c r="DO232" s="21"/>
      <c r="DP232" s="21"/>
      <c r="DQ232" s="21"/>
      <c r="DR232" s="1098"/>
      <c r="DS232" s="21"/>
      <c r="DT232" s="21"/>
      <c r="DU232" s="338"/>
      <c r="DV232" s="21"/>
      <c r="DW232" s="21"/>
      <c r="DX232" s="21"/>
      <c r="DY232" s="1098"/>
      <c r="DZ232" s="21"/>
      <c r="EA232" s="21"/>
      <c r="EB232" s="338"/>
      <c r="EC232" s="21"/>
      <c r="ED232" s="21"/>
      <c r="EE232" s="21"/>
      <c r="EF232" s="1098"/>
      <c r="EG232" s="21"/>
      <c r="EH232" s="21"/>
      <c r="EI232" s="338"/>
      <c r="EJ232" s="21"/>
      <c r="EK232" s="21"/>
      <c r="EL232" s="21"/>
      <c r="EM232" s="1098"/>
      <c r="EN232" s="21"/>
      <c r="EO232" s="21"/>
      <c r="EP232" s="338"/>
      <c r="EQ232" s="21"/>
      <c r="ER232" s="21"/>
      <c r="ES232" s="21"/>
      <c r="ET232" s="1098"/>
      <c r="EU232" s="21"/>
      <c r="EV232" s="21"/>
      <c r="EW232" s="338"/>
    </row>
    <row r="233" spans="1:153" ht="10.199999999999999" hidden="1" customHeight="1" outlineLevel="1">
      <c r="A233" s="108"/>
      <c r="B233" s="834"/>
      <c r="C233" s="834"/>
      <c r="D233" s="834"/>
      <c r="E233" s="834"/>
      <c r="F233" s="834"/>
      <c r="G233" s="834"/>
      <c r="H233" s="834"/>
      <c r="I233" s="834"/>
      <c r="J233" s="834"/>
      <c r="K233" s="834"/>
      <c r="L233" s="834"/>
      <c r="M233" s="834"/>
      <c r="N233" s="21"/>
      <c r="O233" s="21"/>
      <c r="P233" s="21"/>
      <c r="Q233" s="1098"/>
      <c r="R233" s="21"/>
      <c r="S233" s="21"/>
      <c r="T233" s="338"/>
      <c r="U233" s="21"/>
      <c r="V233" s="21"/>
      <c r="W233" s="21"/>
      <c r="X233" s="1098"/>
      <c r="Y233" s="21"/>
      <c r="Z233" s="21"/>
      <c r="AA233" s="338"/>
      <c r="AB233" s="21"/>
      <c r="AC233" s="21"/>
      <c r="AD233" s="21"/>
      <c r="AE233" s="1098"/>
      <c r="AF233" s="21"/>
      <c r="AG233" s="21"/>
      <c r="AH233" s="338"/>
      <c r="AI233" s="21"/>
      <c r="AJ233" s="21"/>
      <c r="AK233" s="21"/>
      <c r="AL233" s="1098"/>
      <c r="AM233" s="21"/>
      <c r="AN233" s="21"/>
      <c r="AO233" s="338"/>
      <c r="AP233" s="21"/>
      <c r="AQ233" s="21"/>
      <c r="AR233" s="21"/>
      <c r="AS233" s="1098"/>
      <c r="AT233" s="21"/>
      <c r="AU233" s="21"/>
      <c r="AV233" s="338"/>
      <c r="AW233" s="21"/>
      <c r="AX233" s="21"/>
      <c r="AY233" s="21"/>
      <c r="AZ233" s="1098"/>
      <c r="BA233" s="21"/>
      <c r="BB233" s="21"/>
      <c r="BC233" s="338"/>
      <c r="BD233" s="21"/>
      <c r="BE233" s="21"/>
      <c r="BF233" s="21"/>
      <c r="BG233" s="1098"/>
      <c r="BH233" s="21"/>
      <c r="BI233" s="21"/>
      <c r="BJ233" s="338"/>
      <c r="BK233" s="21"/>
      <c r="BL233" s="21"/>
      <c r="BM233" s="21"/>
      <c r="BN233" s="1098"/>
      <c r="BO233" s="21"/>
      <c r="BP233" s="21"/>
      <c r="BQ233" s="338"/>
      <c r="BR233" s="21"/>
      <c r="BS233" s="21"/>
      <c r="BT233" s="21"/>
      <c r="BU233" s="1098"/>
      <c r="BV233" s="21"/>
      <c r="BW233" s="21"/>
      <c r="BX233" s="338"/>
      <c r="BY233" s="21"/>
      <c r="BZ233" s="21"/>
      <c r="CA233" s="21"/>
      <c r="CB233" s="1098"/>
      <c r="CC233" s="21"/>
      <c r="CD233" s="21"/>
      <c r="CE233" s="338"/>
      <c r="CF233" s="21"/>
      <c r="CG233" s="21"/>
      <c r="CH233" s="21"/>
      <c r="CI233" s="1098"/>
      <c r="CJ233" s="21"/>
      <c r="CK233" s="21"/>
      <c r="CL233" s="338"/>
      <c r="CM233" s="21"/>
      <c r="CN233" s="21"/>
      <c r="CO233" s="21"/>
      <c r="CP233" s="1098"/>
      <c r="CQ233" s="21"/>
      <c r="CR233" s="21"/>
      <c r="CS233" s="338"/>
      <c r="CT233" s="21"/>
      <c r="CU233" s="21"/>
      <c r="CV233" s="21"/>
      <c r="CW233" s="1098"/>
      <c r="CX233" s="21"/>
      <c r="CY233" s="21"/>
      <c r="CZ233" s="338"/>
      <c r="DA233" s="21"/>
      <c r="DB233" s="21"/>
      <c r="DC233" s="21"/>
      <c r="DD233" s="1098"/>
      <c r="DE233" s="21"/>
      <c r="DF233" s="21"/>
      <c r="DG233" s="338"/>
      <c r="DH233" s="21"/>
      <c r="DI233" s="21"/>
      <c r="DJ233" s="21"/>
      <c r="DK233" s="1098"/>
      <c r="DL233" s="21"/>
      <c r="DM233" s="21"/>
      <c r="DN233" s="338"/>
      <c r="DO233" s="21"/>
      <c r="DP233" s="21"/>
      <c r="DQ233" s="21"/>
      <c r="DR233" s="1098"/>
      <c r="DS233" s="21"/>
      <c r="DT233" s="21"/>
      <c r="DU233" s="338"/>
      <c r="DV233" s="21"/>
      <c r="DW233" s="21"/>
      <c r="DX233" s="21"/>
      <c r="DY233" s="1098"/>
      <c r="DZ233" s="21"/>
      <c r="EA233" s="21"/>
      <c r="EB233" s="338"/>
      <c r="EC233" s="21"/>
      <c r="ED233" s="21"/>
      <c r="EE233" s="21"/>
      <c r="EF233" s="1098"/>
      <c r="EG233" s="21"/>
      <c r="EH233" s="21"/>
      <c r="EI233" s="338"/>
      <c r="EJ233" s="21"/>
      <c r="EK233" s="21"/>
      <c r="EL233" s="21"/>
      <c r="EM233" s="1098"/>
      <c r="EN233" s="21"/>
      <c r="EO233" s="21"/>
      <c r="EP233" s="338"/>
      <c r="EQ233" s="21"/>
      <c r="ER233" s="21"/>
      <c r="ES233" s="21"/>
      <c r="ET233" s="1098"/>
      <c r="EU233" s="21"/>
      <c r="EV233" s="21"/>
      <c r="EW233" s="338"/>
    </row>
    <row r="234" spans="1:153" ht="10.199999999999999" hidden="1" customHeight="1" outlineLevel="1">
      <c r="A234" s="48" t="s">
        <v>625</v>
      </c>
      <c r="B234" s="834"/>
      <c r="C234" s="834"/>
      <c r="D234" s="834"/>
      <c r="E234" s="834"/>
      <c r="F234" s="834"/>
      <c r="G234" s="834"/>
      <c r="H234" s="834"/>
      <c r="I234" s="834"/>
      <c r="J234" s="834"/>
      <c r="K234" s="834"/>
      <c r="L234" s="834"/>
      <c r="M234" s="834"/>
      <c r="N234" s="21"/>
      <c r="O234" s="21"/>
      <c r="P234" s="21"/>
      <c r="Q234" s="1098"/>
      <c r="R234" s="21"/>
      <c r="S234" s="21"/>
      <c r="T234" s="338"/>
      <c r="U234" s="21"/>
      <c r="V234" s="21"/>
      <c r="W234" s="21"/>
      <c r="X234" s="1098"/>
      <c r="Y234" s="21"/>
      <c r="Z234" s="21"/>
      <c r="AA234" s="338"/>
      <c r="AB234" s="21"/>
      <c r="AC234" s="21"/>
      <c r="AD234" s="21"/>
      <c r="AE234" s="1098"/>
      <c r="AF234" s="21"/>
      <c r="AG234" s="21"/>
      <c r="AH234" s="338"/>
      <c r="AI234" s="21"/>
      <c r="AJ234" s="21"/>
      <c r="AK234" s="21"/>
      <c r="AL234" s="1098"/>
      <c r="AM234" s="21"/>
      <c r="AN234" s="21"/>
      <c r="AO234" s="338"/>
      <c r="AP234" s="21"/>
      <c r="AQ234" s="21"/>
      <c r="AR234" s="21"/>
      <c r="AS234" s="1098"/>
      <c r="AT234" s="21"/>
      <c r="AU234" s="21"/>
      <c r="AV234" s="338"/>
      <c r="AW234" s="21"/>
      <c r="AX234" s="21"/>
      <c r="AY234" s="21"/>
      <c r="AZ234" s="1098"/>
      <c r="BA234" s="21"/>
      <c r="BB234" s="21"/>
      <c r="BC234" s="338"/>
      <c r="BD234" s="21"/>
      <c r="BE234" s="21"/>
      <c r="BF234" s="21"/>
      <c r="BG234" s="1098"/>
      <c r="BH234" s="21"/>
      <c r="BI234" s="21"/>
      <c r="BJ234" s="338"/>
      <c r="BK234" s="21"/>
      <c r="BL234" s="21"/>
      <c r="BM234" s="21"/>
      <c r="BN234" s="1098"/>
      <c r="BO234" s="21"/>
      <c r="BP234" s="21"/>
      <c r="BQ234" s="338"/>
      <c r="BR234" s="21"/>
      <c r="BS234" s="21"/>
      <c r="BT234" s="21"/>
      <c r="BU234" s="1098"/>
      <c r="BV234" s="21"/>
      <c r="BW234" s="21"/>
      <c r="BX234" s="338"/>
      <c r="BY234" s="21"/>
      <c r="BZ234" s="21"/>
      <c r="CA234" s="21"/>
      <c r="CB234" s="1098"/>
      <c r="CC234" s="21"/>
      <c r="CD234" s="21"/>
      <c r="CE234" s="338"/>
      <c r="CF234" s="21"/>
      <c r="CG234" s="21"/>
      <c r="CH234" s="21"/>
      <c r="CI234" s="1098"/>
      <c r="CJ234" s="21"/>
      <c r="CK234" s="21"/>
      <c r="CL234" s="338"/>
      <c r="CM234" s="21"/>
      <c r="CN234" s="21"/>
      <c r="CO234" s="21"/>
      <c r="CP234" s="1098"/>
      <c r="CQ234" s="21"/>
      <c r="CR234" s="21"/>
      <c r="CS234" s="338"/>
      <c r="CT234" s="21"/>
      <c r="CU234" s="21"/>
      <c r="CV234" s="21"/>
      <c r="CW234" s="1098"/>
      <c r="CX234" s="21"/>
      <c r="CY234" s="21"/>
      <c r="CZ234" s="338"/>
      <c r="DA234" s="21"/>
      <c r="DB234" s="21"/>
      <c r="DC234" s="21"/>
      <c r="DD234" s="1098"/>
      <c r="DE234" s="21"/>
      <c r="DF234" s="21"/>
      <c r="DG234" s="338"/>
      <c r="DH234" s="21"/>
      <c r="DI234" s="21"/>
      <c r="DJ234" s="21"/>
      <c r="DK234" s="1098"/>
      <c r="DL234" s="21"/>
      <c r="DM234" s="21"/>
      <c r="DN234" s="338"/>
      <c r="DO234" s="21"/>
      <c r="DP234" s="21"/>
      <c r="DQ234" s="21"/>
      <c r="DR234" s="1098"/>
      <c r="DS234" s="21"/>
      <c r="DT234" s="21"/>
      <c r="DU234" s="338"/>
      <c r="DV234" s="21"/>
      <c r="DW234" s="21"/>
      <c r="DX234" s="21"/>
      <c r="DY234" s="1098"/>
      <c r="DZ234" s="21"/>
      <c r="EA234" s="21"/>
      <c r="EB234" s="338"/>
      <c r="EC234" s="21"/>
      <c r="ED234" s="21"/>
      <c r="EE234" s="21"/>
      <c r="EF234" s="1098"/>
      <c r="EG234" s="21"/>
      <c r="EH234" s="21"/>
      <c r="EI234" s="338"/>
      <c r="EJ234" s="21"/>
      <c r="EK234" s="21"/>
      <c r="EL234" s="21"/>
      <c r="EM234" s="1098"/>
      <c r="EN234" s="21"/>
      <c r="EO234" s="21"/>
      <c r="EP234" s="338"/>
      <c r="EQ234" s="21"/>
      <c r="ER234" s="21"/>
      <c r="ES234" s="21"/>
      <c r="ET234" s="1098"/>
      <c r="EU234" s="21"/>
      <c r="EV234" s="21"/>
      <c r="EW234" s="338"/>
    </row>
    <row r="235" spans="1:153" ht="10.199999999999999" hidden="1" customHeight="1" outlineLevel="1">
      <c r="A235" s="48" t="s">
        <v>626</v>
      </c>
      <c r="B235" s="852">
        <f>+BS!B3+9594</f>
        <v>12063</v>
      </c>
      <c r="C235" s="852">
        <f>+BS!C3+9498</f>
        <v>12198</v>
      </c>
      <c r="D235" s="852">
        <f>+BS!D3+9350</f>
        <v>12629</v>
      </c>
      <c r="E235" s="852">
        <f>+BS!E3+9259</f>
        <v>12334</v>
      </c>
      <c r="F235" s="852">
        <f>+BS!F3</f>
        <v>15425</v>
      </c>
      <c r="G235" s="852">
        <f>+BS!G3</f>
        <v>16892</v>
      </c>
      <c r="H235" s="852">
        <f>+BS!H3</f>
        <v>18906</v>
      </c>
      <c r="I235" s="852">
        <f>+BS!I3</f>
        <v>19452</v>
      </c>
      <c r="J235" s="852">
        <f>+BS!J3</f>
        <v>21577</v>
      </c>
      <c r="K235" s="852">
        <f>+BS!K3</f>
        <v>20862</v>
      </c>
      <c r="L235" s="852">
        <f>+BS!L3</f>
        <v>22563</v>
      </c>
      <c r="M235" s="852">
        <f>+BS!M3</f>
        <v>23246</v>
      </c>
      <c r="N235" s="230"/>
      <c r="O235" s="230"/>
      <c r="P235" s="230"/>
      <c r="Q235" s="1103"/>
      <c r="R235" s="230"/>
      <c r="S235" s="230"/>
      <c r="T235" s="1090">
        <f>+BS!T3</f>
        <v>24023</v>
      </c>
      <c r="U235" s="230"/>
      <c r="V235" s="230"/>
      <c r="W235" s="230"/>
      <c r="X235" s="1103"/>
      <c r="Y235" s="230"/>
      <c r="Z235" s="230"/>
      <c r="AA235" s="1090">
        <f>+BS!AA3</f>
        <v>25355</v>
      </c>
      <c r="AB235" s="230"/>
      <c r="AC235" s="230"/>
      <c r="AD235" s="230"/>
      <c r="AE235" s="1103"/>
      <c r="AF235" s="230"/>
      <c r="AG235" s="230"/>
      <c r="AH235" s="1090">
        <f>+BS!AH3</f>
        <v>29051</v>
      </c>
      <c r="AI235" s="230"/>
      <c r="AJ235" s="230"/>
      <c r="AK235" s="230"/>
      <c r="AL235" s="1103"/>
      <c r="AM235" s="230"/>
      <c r="AN235" s="230"/>
      <c r="AO235" s="1090">
        <f>+BS!AO3</f>
        <v>29688</v>
      </c>
      <c r="AP235" s="230"/>
      <c r="AQ235" s="230"/>
      <c r="AR235" s="230"/>
      <c r="AS235" s="1103"/>
      <c r="AT235" s="230"/>
      <c r="AU235" s="230"/>
      <c r="AV235" s="1090">
        <f>+BS!AV3</f>
        <v>31464</v>
      </c>
      <c r="AW235" s="230"/>
      <c r="AX235" s="230"/>
      <c r="AY235" s="230"/>
      <c r="AZ235" s="1103"/>
      <c r="BA235" s="230"/>
      <c r="BB235" s="230"/>
      <c r="BC235" s="1090"/>
      <c r="BD235" s="230"/>
      <c r="BE235" s="230"/>
      <c r="BF235" s="230"/>
      <c r="BG235" s="1103"/>
      <c r="BH235" s="230"/>
      <c r="BI235" s="230"/>
      <c r="BJ235" s="1090"/>
      <c r="BK235" s="230"/>
      <c r="BL235" s="230"/>
      <c r="BM235" s="230"/>
      <c r="BN235" s="1103"/>
      <c r="BO235" s="230"/>
      <c r="BP235" s="230"/>
      <c r="BQ235" s="1090"/>
      <c r="BR235" s="230"/>
      <c r="BS235" s="230"/>
      <c r="BT235" s="230"/>
      <c r="BU235" s="1103"/>
      <c r="BV235" s="230"/>
      <c r="BW235" s="230"/>
      <c r="BX235" s="1090"/>
      <c r="BY235" s="230"/>
      <c r="BZ235" s="230"/>
      <c r="CA235" s="230"/>
      <c r="CB235" s="1103"/>
      <c r="CC235" s="230"/>
      <c r="CD235" s="230"/>
      <c r="CE235" s="1090"/>
      <c r="CF235" s="230"/>
      <c r="CG235" s="230"/>
      <c r="CH235" s="230"/>
      <c r="CI235" s="1103"/>
      <c r="CJ235" s="230"/>
      <c r="CK235" s="230"/>
      <c r="CL235" s="1090"/>
      <c r="CM235" s="230"/>
      <c r="CN235" s="230"/>
      <c r="CO235" s="230"/>
      <c r="CP235" s="1103"/>
      <c r="CQ235" s="230"/>
      <c r="CR235" s="230"/>
      <c r="CS235" s="1090"/>
      <c r="CT235" s="230"/>
      <c r="CU235" s="230"/>
      <c r="CV235" s="230"/>
      <c r="CW235" s="1103"/>
      <c r="CX235" s="230"/>
      <c r="CY235" s="230"/>
      <c r="CZ235" s="1090"/>
      <c r="DA235" s="230"/>
      <c r="DB235" s="230"/>
      <c r="DC235" s="230"/>
      <c r="DD235" s="1103"/>
      <c r="DE235" s="230"/>
      <c r="DF235" s="230"/>
      <c r="DG235" s="1090"/>
      <c r="DH235" s="230"/>
      <c r="DI235" s="230"/>
      <c r="DJ235" s="230"/>
      <c r="DK235" s="1103"/>
      <c r="DL235" s="230"/>
      <c r="DM235" s="230"/>
      <c r="DN235" s="1090"/>
      <c r="DO235" s="230"/>
      <c r="DP235" s="230"/>
      <c r="DQ235" s="230"/>
      <c r="DR235" s="1103"/>
      <c r="DS235" s="230"/>
      <c r="DT235" s="230"/>
      <c r="DU235" s="1090"/>
      <c r="DV235" s="230"/>
      <c r="DW235" s="230"/>
      <c r="DX235" s="230"/>
      <c r="DY235" s="1103"/>
      <c r="DZ235" s="230"/>
      <c r="EA235" s="230"/>
      <c r="EB235" s="1090"/>
      <c r="EC235" s="230"/>
      <c r="ED235" s="230"/>
      <c r="EE235" s="230"/>
      <c r="EF235" s="1103"/>
      <c r="EG235" s="230"/>
      <c r="EH235" s="230"/>
      <c r="EI235" s="1090"/>
      <c r="EJ235" s="230"/>
      <c r="EK235" s="230"/>
      <c r="EL235" s="230"/>
      <c r="EM235" s="1103"/>
      <c r="EN235" s="230"/>
      <c r="EO235" s="230"/>
      <c r="EP235" s="1090"/>
      <c r="EQ235" s="230"/>
      <c r="ER235" s="230"/>
      <c r="ES235" s="230"/>
      <c r="ET235" s="1103"/>
      <c r="EU235" s="230"/>
      <c r="EV235" s="230"/>
      <c r="EW235" s="1090"/>
    </row>
    <row r="236" spans="1:153" ht="10.199999999999999" hidden="1" customHeight="1" outlineLevel="1">
      <c r="A236" s="281" t="s">
        <v>600</v>
      </c>
      <c r="B236" s="834">
        <v>929</v>
      </c>
      <c r="C236" s="834">
        <v>853</v>
      </c>
      <c r="D236" s="834">
        <v>938</v>
      </c>
      <c r="E236" s="834">
        <v>987</v>
      </c>
      <c r="F236" s="834">
        <v>1159</v>
      </c>
      <c r="G236" s="834">
        <v>1283</v>
      </c>
      <c r="H236" s="834">
        <v>1596</v>
      </c>
      <c r="I236" s="834">
        <v>1706</v>
      </c>
      <c r="J236" s="834">
        <v>1736</v>
      </c>
      <c r="K236" s="834">
        <v>1654</v>
      </c>
      <c r="L236" s="834">
        <v>1980</v>
      </c>
      <c r="M236" s="834">
        <v>2397</v>
      </c>
      <c r="N236" s="21"/>
      <c r="O236" s="21"/>
      <c r="P236" s="21"/>
      <c r="Q236" s="1098"/>
      <c r="R236" s="21"/>
      <c r="S236" s="21"/>
      <c r="T236" s="1091">
        <v>2575</v>
      </c>
      <c r="U236" s="21"/>
      <c r="V236" s="21"/>
      <c r="W236" s="21"/>
      <c r="X236" s="1098"/>
      <c r="Y236" s="21"/>
      <c r="Z236" s="21"/>
      <c r="AA236" s="1091">
        <v>2717</v>
      </c>
      <c r="AB236" s="21"/>
      <c r="AC236" s="21"/>
      <c r="AD236" s="21"/>
      <c r="AE236" s="1098"/>
      <c r="AF236" s="21"/>
      <c r="AG236" s="21"/>
      <c r="AH236" s="1091">
        <v>2753</v>
      </c>
      <c r="AI236" s="21"/>
      <c r="AJ236" s="21"/>
      <c r="AK236" s="21"/>
      <c r="AL236" s="1098"/>
      <c r="AM236" s="21"/>
      <c r="AN236" s="21"/>
      <c r="AO236" s="1091">
        <v>2780</v>
      </c>
      <c r="AP236" s="21"/>
      <c r="AQ236" s="21"/>
      <c r="AR236" s="21"/>
      <c r="AS236" s="1098"/>
      <c r="AT236" s="21"/>
      <c r="AU236" s="21"/>
      <c r="AV236" s="1091">
        <v>2651</v>
      </c>
      <c r="AW236" s="21"/>
      <c r="AX236" s="21"/>
      <c r="AY236" s="21"/>
      <c r="AZ236" s="1098"/>
      <c r="BA236" s="21"/>
      <c r="BB236" s="21"/>
      <c r="BC236" s="1091"/>
      <c r="BD236" s="21"/>
      <c r="BE236" s="21"/>
      <c r="BF236" s="21"/>
      <c r="BG236" s="1098"/>
      <c r="BH236" s="21"/>
      <c r="BI236" s="21"/>
      <c r="BJ236" s="1091"/>
      <c r="BK236" s="21"/>
      <c r="BL236" s="21"/>
      <c r="BM236" s="21"/>
      <c r="BN236" s="1098"/>
      <c r="BO236" s="21"/>
      <c r="BP236" s="21"/>
      <c r="BQ236" s="1091"/>
      <c r="BR236" s="21"/>
      <c r="BS236" s="21"/>
      <c r="BT236" s="21"/>
      <c r="BU236" s="1098"/>
      <c r="BV236" s="21"/>
      <c r="BW236" s="21"/>
      <c r="BX236" s="1091"/>
      <c r="BY236" s="21"/>
      <c r="BZ236" s="21"/>
      <c r="CA236" s="21"/>
      <c r="CB236" s="1098"/>
      <c r="CC236" s="21"/>
      <c r="CD236" s="21"/>
      <c r="CE236" s="1091"/>
      <c r="CF236" s="21"/>
      <c r="CG236" s="21"/>
      <c r="CH236" s="21"/>
      <c r="CI236" s="1098"/>
      <c r="CJ236" s="21"/>
      <c r="CK236" s="21"/>
      <c r="CL236" s="1091"/>
      <c r="CM236" s="21"/>
      <c r="CN236" s="21"/>
      <c r="CO236" s="21"/>
      <c r="CP236" s="1098"/>
      <c r="CQ236" s="21"/>
      <c r="CR236" s="21"/>
      <c r="CS236" s="1091"/>
      <c r="CT236" s="21"/>
      <c r="CU236" s="21"/>
      <c r="CV236" s="21"/>
      <c r="CW236" s="1098"/>
      <c r="CX236" s="21"/>
      <c r="CY236" s="21"/>
      <c r="CZ236" s="1091"/>
      <c r="DA236" s="21"/>
      <c r="DB236" s="21"/>
      <c r="DC236" s="21"/>
      <c r="DD236" s="1098"/>
      <c r="DE236" s="21"/>
      <c r="DF236" s="21"/>
      <c r="DG236" s="1091"/>
      <c r="DH236" s="21"/>
      <c r="DI236" s="21"/>
      <c r="DJ236" s="21"/>
      <c r="DK236" s="1098"/>
      <c r="DL236" s="21"/>
      <c r="DM236" s="21"/>
      <c r="DN236" s="1091"/>
      <c r="DO236" s="21"/>
      <c r="DP236" s="21"/>
      <c r="DQ236" s="21"/>
      <c r="DR236" s="1098"/>
      <c r="DS236" s="21"/>
      <c r="DT236" s="21"/>
      <c r="DU236" s="1091"/>
      <c r="DV236" s="21"/>
      <c r="DW236" s="21"/>
      <c r="DX236" s="21"/>
      <c r="DY236" s="1098"/>
      <c r="DZ236" s="21"/>
      <c r="EA236" s="21"/>
      <c r="EB236" s="1091"/>
      <c r="EC236" s="21"/>
      <c r="ED236" s="21"/>
      <c r="EE236" s="21"/>
      <c r="EF236" s="1098"/>
      <c r="EG236" s="21"/>
      <c r="EH236" s="21"/>
      <c r="EI236" s="1091"/>
      <c r="EJ236" s="21"/>
      <c r="EK236" s="21"/>
      <c r="EL236" s="21"/>
      <c r="EM236" s="1098"/>
      <c r="EN236" s="21"/>
      <c r="EO236" s="21"/>
      <c r="EP236" s="1091"/>
      <c r="EQ236" s="21"/>
      <c r="ER236" s="21"/>
      <c r="ES236" s="21"/>
      <c r="ET236" s="1098"/>
      <c r="EU236" s="21"/>
      <c r="EV236" s="21"/>
      <c r="EW236" s="1091"/>
    </row>
    <row r="237" spans="1:153" ht="10.199999999999999" hidden="1" customHeight="1" outlineLevel="1">
      <c r="A237" s="281" t="s">
        <v>601</v>
      </c>
      <c r="B237" s="834">
        <v>8108</v>
      </c>
      <c r="C237" s="834">
        <v>8478</v>
      </c>
      <c r="D237" s="834">
        <v>8088</v>
      </c>
      <c r="E237" s="834">
        <v>8505</v>
      </c>
      <c r="F237" s="834">
        <v>10655</v>
      </c>
      <c r="G237" s="834">
        <v>11260</v>
      </c>
      <c r="H237" s="834">
        <v>12253</v>
      </c>
      <c r="I237" s="834">
        <v>12253</v>
      </c>
      <c r="J237" s="834">
        <v>13899</v>
      </c>
      <c r="K237" s="834">
        <v>13631</v>
      </c>
      <c r="L237" s="834">
        <v>14803</v>
      </c>
      <c r="M237" s="834">
        <v>15464</v>
      </c>
      <c r="N237" s="21"/>
      <c r="O237" s="21"/>
      <c r="P237" s="21"/>
      <c r="Q237" s="1098"/>
      <c r="R237" s="21"/>
      <c r="S237" s="21"/>
      <c r="T237" s="1091">
        <v>16070</v>
      </c>
      <c r="U237" s="21"/>
      <c r="V237" s="21"/>
      <c r="W237" s="21"/>
      <c r="X237" s="1098"/>
      <c r="Y237" s="21"/>
      <c r="Z237" s="21"/>
      <c r="AA237" s="1091">
        <v>17255</v>
      </c>
      <c r="AB237" s="21"/>
      <c r="AC237" s="21"/>
      <c r="AD237" s="21"/>
      <c r="AE237" s="1098"/>
      <c r="AF237" s="21"/>
      <c r="AG237" s="21"/>
      <c r="AH237" s="1091">
        <v>20435</v>
      </c>
      <c r="AI237" s="21"/>
      <c r="AJ237" s="21"/>
      <c r="AK237" s="21"/>
      <c r="AL237" s="1098"/>
      <c r="AM237" s="21"/>
      <c r="AN237" s="21"/>
      <c r="AO237" s="1091">
        <v>21058</v>
      </c>
      <c r="AP237" s="21"/>
      <c r="AQ237" s="21"/>
      <c r="AR237" s="21"/>
      <c r="AS237" s="1098"/>
      <c r="AT237" s="21"/>
      <c r="AU237" s="21"/>
      <c r="AV237" s="1091">
        <v>22652</v>
      </c>
      <c r="AW237" s="21"/>
      <c r="AX237" s="21"/>
      <c r="AY237" s="21"/>
      <c r="AZ237" s="1098"/>
      <c r="BA237" s="21"/>
      <c r="BB237" s="21"/>
      <c r="BC237" s="1091"/>
      <c r="BD237" s="21"/>
      <c r="BE237" s="21"/>
      <c r="BF237" s="21"/>
      <c r="BG237" s="1098"/>
      <c r="BH237" s="21"/>
      <c r="BI237" s="21"/>
      <c r="BJ237" s="1091"/>
      <c r="BK237" s="21"/>
      <c r="BL237" s="21"/>
      <c r="BM237" s="21"/>
      <c r="BN237" s="1098"/>
      <c r="BO237" s="21"/>
      <c r="BP237" s="21"/>
      <c r="BQ237" s="1091"/>
      <c r="BR237" s="21"/>
      <c r="BS237" s="21"/>
      <c r="BT237" s="21"/>
      <c r="BU237" s="1098"/>
      <c r="BV237" s="21"/>
      <c r="BW237" s="21"/>
      <c r="BX237" s="1091"/>
      <c r="BY237" s="21"/>
      <c r="BZ237" s="21"/>
      <c r="CA237" s="21"/>
      <c r="CB237" s="1098"/>
      <c r="CC237" s="21"/>
      <c r="CD237" s="21"/>
      <c r="CE237" s="1091"/>
      <c r="CF237" s="21"/>
      <c r="CG237" s="21"/>
      <c r="CH237" s="21"/>
      <c r="CI237" s="1098"/>
      <c r="CJ237" s="21"/>
      <c r="CK237" s="21"/>
      <c r="CL237" s="1091"/>
      <c r="CM237" s="21"/>
      <c r="CN237" s="21"/>
      <c r="CO237" s="21"/>
      <c r="CP237" s="1098"/>
      <c r="CQ237" s="21"/>
      <c r="CR237" s="21"/>
      <c r="CS237" s="1091"/>
      <c r="CT237" s="21"/>
      <c r="CU237" s="21"/>
      <c r="CV237" s="21"/>
      <c r="CW237" s="1098"/>
      <c r="CX237" s="21"/>
      <c r="CY237" s="21"/>
      <c r="CZ237" s="1091"/>
      <c r="DA237" s="21"/>
      <c r="DB237" s="21"/>
      <c r="DC237" s="21"/>
      <c r="DD237" s="1098"/>
      <c r="DE237" s="21"/>
      <c r="DF237" s="21"/>
      <c r="DG237" s="1091"/>
      <c r="DH237" s="21"/>
      <c r="DI237" s="21"/>
      <c r="DJ237" s="21"/>
      <c r="DK237" s="1098"/>
      <c r="DL237" s="21"/>
      <c r="DM237" s="21"/>
      <c r="DN237" s="1091"/>
      <c r="DO237" s="21"/>
      <c r="DP237" s="21"/>
      <c r="DQ237" s="21"/>
      <c r="DR237" s="1098"/>
      <c r="DS237" s="21"/>
      <c r="DT237" s="21"/>
      <c r="DU237" s="1091"/>
      <c r="DV237" s="21"/>
      <c r="DW237" s="21"/>
      <c r="DX237" s="21"/>
      <c r="DY237" s="1098"/>
      <c r="DZ237" s="21"/>
      <c r="EA237" s="21"/>
      <c r="EB237" s="1091"/>
      <c r="EC237" s="21"/>
      <c r="ED237" s="21"/>
      <c r="EE237" s="21"/>
      <c r="EF237" s="1098"/>
      <c r="EG237" s="21"/>
      <c r="EH237" s="21"/>
      <c r="EI237" s="1091"/>
      <c r="EJ237" s="21"/>
      <c r="EK237" s="21"/>
      <c r="EL237" s="21"/>
      <c r="EM237" s="1098"/>
      <c r="EN237" s="21"/>
      <c r="EO237" s="21"/>
      <c r="EP237" s="1091"/>
      <c r="EQ237" s="21"/>
      <c r="ER237" s="21"/>
      <c r="ES237" s="21"/>
      <c r="ET237" s="1098"/>
      <c r="EU237" s="21"/>
      <c r="EV237" s="21"/>
      <c r="EW237" s="1091"/>
    </row>
    <row r="238" spans="1:153" ht="10.199999999999999" hidden="1" customHeight="1" outlineLevel="1">
      <c r="A238" s="281" t="s">
        <v>602</v>
      </c>
      <c r="B238" s="834">
        <v>1796</v>
      </c>
      <c r="C238" s="834">
        <v>1525</v>
      </c>
      <c r="D238" s="834">
        <v>1804</v>
      </c>
      <c r="E238" s="834">
        <v>1039</v>
      </c>
      <c r="F238" s="834">
        <v>1161</v>
      </c>
      <c r="G238" s="834">
        <v>1224</v>
      </c>
      <c r="H238" s="834">
        <v>1217</v>
      </c>
      <c r="I238" s="834">
        <v>1829</v>
      </c>
      <c r="J238" s="834">
        <v>1804</v>
      </c>
      <c r="K238" s="834">
        <v>1618</v>
      </c>
      <c r="L238" s="834">
        <v>1719</v>
      </c>
      <c r="M238" s="834">
        <v>1888</v>
      </c>
      <c r="N238" s="21"/>
      <c r="O238" s="21"/>
      <c r="P238" s="21"/>
      <c r="Q238" s="1098"/>
      <c r="R238" s="21"/>
      <c r="S238" s="21"/>
      <c r="T238" s="1091">
        <v>2049</v>
      </c>
      <c r="U238" s="21"/>
      <c r="V238" s="21"/>
      <c r="W238" s="21"/>
      <c r="X238" s="1098"/>
      <c r="Y238" s="21"/>
      <c r="Z238" s="21"/>
      <c r="AA238" s="1091">
        <v>2196</v>
      </c>
      <c r="AB238" s="21"/>
      <c r="AC238" s="21"/>
      <c r="AD238" s="21"/>
      <c r="AE238" s="1098"/>
      <c r="AF238" s="21"/>
      <c r="AG238" s="21"/>
      <c r="AH238" s="1091">
        <v>2355</v>
      </c>
      <c r="AI238" s="21"/>
      <c r="AJ238" s="21"/>
      <c r="AK238" s="21"/>
      <c r="AL238" s="1098"/>
      <c r="AM238" s="21"/>
      <c r="AN238" s="21"/>
      <c r="AO238" s="1091">
        <v>2750</v>
      </c>
      <c r="AP238" s="21"/>
      <c r="AQ238" s="21"/>
      <c r="AR238" s="21"/>
      <c r="AS238" s="1098"/>
      <c r="AT238" s="21"/>
      <c r="AU238" s="21"/>
      <c r="AV238" s="1091">
        <v>2853</v>
      </c>
      <c r="AW238" s="21"/>
      <c r="AX238" s="21"/>
      <c r="AY238" s="21"/>
      <c r="AZ238" s="1098"/>
      <c r="BA238" s="21"/>
      <c r="BB238" s="21"/>
      <c r="BC238" s="1091"/>
      <c r="BD238" s="21"/>
      <c r="BE238" s="21"/>
      <c r="BF238" s="21"/>
      <c r="BG238" s="1098"/>
      <c r="BH238" s="21"/>
      <c r="BI238" s="21"/>
      <c r="BJ238" s="1091"/>
      <c r="BK238" s="21"/>
      <c r="BL238" s="21"/>
      <c r="BM238" s="21"/>
      <c r="BN238" s="1098"/>
      <c r="BO238" s="21"/>
      <c r="BP238" s="21"/>
      <c r="BQ238" s="1091"/>
      <c r="BR238" s="21"/>
      <c r="BS238" s="21"/>
      <c r="BT238" s="21"/>
      <c r="BU238" s="1098"/>
      <c r="BV238" s="21"/>
      <c r="BW238" s="21"/>
      <c r="BX238" s="1091"/>
      <c r="BY238" s="21"/>
      <c r="BZ238" s="21"/>
      <c r="CA238" s="21"/>
      <c r="CB238" s="1098"/>
      <c r="CC238" s="21"/>
      <c r="CD238" s="21"/>
      <c r="CE238" s="1091"/>
      <c r="CF238" s="21"/>
      <c r="CG238" s="21"/>
      <c r="CH238" s="21"/>
      <c r="CI238" s="1098"/>
      <c r="CJ238" s="21"/>
      <c r="CK238" s="21"/>
      <c r="CL238" s="1091"/>
      <c r="CM238" s="21"/>
      <c r="CN238" s="21"/>
      <c r="CO238" s="21"/>
      <c r="CP238" s="1098"/>
      <c r="CQ238" s="21"/>
      <c r="CR238" s="21"/>
      <c r="CS238" s="1091"/>
      <c r="CT238" s="21"/>
      <c r="CU238" s="21"/>
      <c r="CV238" s="21"/>
      <c r="CW238" s="1098"/>
      <c r="CX238" s="21"/>
      <c r="CY238" s="21"/>
      <c r="CZ238" s="1091"/>
      <c r="DA238" s="21"/>
      <c r="DB238" s="21"/>
      <c r="DC238" s="21"/>
      <c r="DD238" s="1098"/>
      <c r="DE238" s="21"/>
      <c r="DF238" s="21"/>
      <c r="DG238" s="1091"/>
      <c r="DH238" s="21"/>
      <c r="DI238" s="21"/>
      <c r="DJ238" s="21"/>
      <c r="DK238" s="1098"/>
      <c r="DL238" s="21"/>
      <c r="DM238" s="21"/>
      <c r="DN238" s="1091"/>
      <c r="DO238" s="21"/>
      <c r="DP238" s="21"/>
      <c r="DQ238" s="21"/>
      <c r="DR238" s="1098"/>
      <c r="DS238" s="21"/>
      <c r="DT238" s="21"/>
      <c r="DU238" s="1091"/>
      <c r="DV238" s="21"/>
      <c r="DW238" s="21"/>
      <c r="DX238" s="21"/>
      <c r="DY238" s="1098"/>
      <c r="DZ238" s="21"/>
      <c r="EA238" s="21"/>
      <c r="EB238" s="1091"/>
      <c r="EC238" s="21"/>
      <c r="ED238" s="21"/>
      <c r="EE238" s="21"/>
      <c r="EF238" s="1098"/>
      <c r="EG238" s="21"/>
      <c r="EH238" s="21"/>
      <c r="EI238" s="1091"/>
      <c r="EJ238" s="21"/>
      <c r="EK238" s="21"/>
      <c r="EL238" s="21"/>
      <c r="EM238" s="1098"/>
      <c r="EN238" s="21"/>
      <c r="EO238" s="21"/>
      <c r="EP238" s="1091"/>
      <c r="EQ238" s="21"/>
      <c r="ER238" s="21"/>
      <c r="ES238" s="21"/>
      <c r="ET238" s="1098"/>
      <c r="EU238" s="21"/>
      <c r="EV238" s="21"/>
      <c r="EW238" s="1091"/>
    </row>
    <row r="239" spans="1:153" ht="10.199999999999999" hidden="1" customHeight="1" outlineLevel="1">
      <c r="A239" s="281" t="s">
        <v>603</v>
      </c>
      <c r="B239" s="834">
        <v>1230</v>
      </c>
      <c r="C239" s="834">
        <v>1342</v>
      </c>
      <c r="D239" s="834">
        <v>1799</v>
      </c>
      <c r="E239" s="834">
        <v>1803</v>
      </c>
      <c r="F239" s="834">
        <v>2450</v>
      </c>
      <c r="G239" s="834">
        <v>3125</v>
      </c>
      <c r="H239" s="834">
        <v>3840</v>
      </c>
      <c r="I239" s="834">
        <v>3664</v>
      </c>
      <c r="J239" s="834">
        <v>4138</v>
      </c>
      <c r="K239" s="834">
        <v>3959</v>
      </c>
      <c r="L239" s="834">
        <v>4061</v>
      </c>
      <c r="M239" s="834">
        <v>3467</v>
      </c>
      <c r="N239" s="21"/>
      <c r="O239" s="21"/>
      <c r="P239" s="21"/>
      <c r="Q239" s="1098"/>
      <c r="R239" s="21"/>
      <c r="S239" s="21"/>
      <c r="T239" s="1091">
        <v>3329</v>
      </c>
      <c r="U239" s="21"/>
      <c r="V239" s="21"/>
      <c r="W239" s="21"/>
      <c r="X239" s="1098"/>
      <c r="Y239" s="21"/>
      <c r="Z239" s="21"/>
      <c r="AA239" s="1091">
        <v>3187</v>
      </c>
      <c r="AB239" s="21"/>
      <c r="AC239" s="21"/>
      <c r="AD239" s="21"/>
      <c r="AE239" s="1098"/>
      <c r="AF239" s="21"/>
      <c r="AG239" s="21"/>
      <c r="AH239" s="1091">
        <v>3508</v>
      </c>
      <c r="AI239" s="21"/>
      <c r="AJ239" s="21"/>
      <c r="AK239" s="21"/>
      <c r="AL239" s="1098"/>
      <c r="AM239" s="21"/>
      <c r="AN239" s="21"/>
      <c r="AO239" s="1091">
        <v>3100</v>
      </c>
      <c r="AP239" s="21"/>
      <c r="AQ239" s="21"/>
      <c r="AR239" s="21"/>
      <c r="AS239" s="1098"/>
      <c r="AT239" s="21"/>
      <c r="AU239" s="21"/>
      <c r="AV239" s="1091">
        <v>3308</v>
      </c>
      <c r="AW239" s="21"/>
      <c r="AX239" s="21"/>
      <c r="AY239" s="21"/>
      <c r="AZ239" s="1098"/>
      <c r="BA239" s="21"/>
      <c r="BB239" s="21"/>
      <c r="BC239" s="1091"/>
      <c r="BD239" s="21"/>
      <c r="BE239" s="21"/>
      <c r="BF239" s="21"/>
      <c r="BG239" s="1098"/>
      <c r="BH239" s="21"/>
      <c r="BI239" s="21"/>
      <c r="BJ239" s="1091"/>
      <c r="BK239" s="21"/>
      <c r="BL239" s="21"/>
      <c r="BM239" s="21"/>
      <c r="BN239" s="1098"/>
      <c r="BO239" s="21"/>
      <c r="BP239" s="21"/>
      <c r="BQ239" s="1091"/>
      <c r="BR239" s="21"/>
      <c r="BS239" s="21"/>
      <c r="BT239" s="21"/>
      <c r="BU239" s="1098"/>
      <c r="BV239" s="21"/>
      <c r="BW239" s="21"/>
      <c r="BX239" s="1091"/>
      <c r="BY239" s="21"/>
      <c r="BZ239" s="21"/>
      <c r="CA239" s="21"/>
      <c r="CB239" s="1098"/>
      <c r="CC239" s="21"/>
      <c r="CD239" s="21"/>
      <c r="CE239" s="1091"/>
      <c r="CF239" s="21"/>
      <c r="CG239" s="21"/>
      <c r="CH239" s="21"/>
      <c r="CI239" s="1098"/>
      <c r="CJ239" s="21"/>
      <c r="CK239" s="21"/>
      <c r="CL239" s="1091"/>
      <c r="CM239" s="21"/>
      <c r="CN239" s="21"/>
      <c r="CO239" s="21"/>
      <c r="CP239" s="1098"/>
      <c r="CQ239" s="21"/>
      <c r="CR239" s="21"/>
      <c r="CS239" s="1091"/>
      <c r="CT239" s="21"/>
      <c r="CU239" s="21"/>
      <c r="CV239" s="21"/>
      <c r="CW239" s="1098"/>
      <c r="CX239" s="21"/>
      <c r="CY239" s="21"/>
      <c r="CZ239" s="1091"/>
      <c r="DA239" s="21"/>
      <c r="DB239" s="21"/>
      <c r="DC239" s="21"/>
      <c r="DD239" s="1098"/>
      <c r="DE239" s="21"/>
      <c r="DF239" s="21"/>
      <c r="DG239" s="1091"/>
      <c r="DH239" s="21"/>
      <c r="DI239" s="21"/>
      <c r="DJ239" s="21"/>
      <c r="DK239" s="1098"/>
      <c r="DL239" s="21"/>
      <c r="DM239" s="21"/>
      <c r="DN239" s="1091"/>
      <c r="DO239" s="21"/>
      <c r="DP239" s="21"/>
      <c r="DQ239" s="21"/>
      <c r="DR239" s="1098"/>
      <c r="DS239" s="21"/>
      <c r="DT239" s="21"/>
      <c r="DU239" s="1091"/>
      <c r="DV239" s="21"/>
      <c r="DW239" s="21"/>
      <c r="DX239" s="21"/>
      <c r="DY239" s="1098"/>
      <c r="DZ239" s="21"/>
      <c r="EA239" s="21"/>
      <c r="EB239" s="1091"/>
      <c r="EC239" s="21"/>
      <c r="ED239" s="21"/>
      <c r="EE239" s="21"/>
      <c r="EF239" s="1098"/>
      <c r="EG239" s="21"/>
      <c r="EH239" s="21"/>
      <c r="EI239" s="1091"/>
      <c r="EJ239" s="21"/>
      <c r="EK239" s="21"/>
      <c r="EL239" s="21"/>
      <c r="EM239" s="1098"/>
      <c r="EN239" s="21"/>
      <c r="EO239" s="21"/>
      <c r="EP239" s="1091"/>
      <c r="EQ239" s="21"/>
      <c r="ER239" s="21"/>
      <c r="ES239" s="21"/>
      <c r="ET239" s="1098"/>
      <c r="EU239" s="21"/>
      <c r="EV239" s="21"/>
      <c r="EW239" s="1091"/>
    </row>
    <row r="240" spans="1:153" ht="10.199999999999999" hidden="1" customHeight="1" outlineLevel="1">
      <c r="A240" s="811" t="s">
        <v>482</v>
      </c>
      <c r="B240" s="859">
        <f t="shared" ref="B240:AA240" si="1299">+B235-SUM(B236:B239)</f>
        <v>0</v>
      </c>
      <c r="C240" s="859">
        <f t="shared" si="1299"/>
        <v>0</v>
      </c>
      <c r="D240" s="859">
        <f t="shared" si="1299"/>
        <v>0</v>
      </c>
      <c r="E240" s="859">
        <f t="shared" si="1299"/>
        <v>0</v>
      </c>
      <c r="F240" s="859">
        <f t="shared" si="1299"/>
        <v>0</v>
      </c>
      <c r="G240" s="859">
        <f t="shared" si="1299"/>
        <v>0</v>
      </c>
      <c r="H240" s="859">
        <f t="shared" si="1299"/>
        <v>0</v>
      </c>
      <c r="I240" s="859">
        <f t="shared" si="1299"/>
        <v>0</v>
      </c>
      <c r="J240" s="859">
        <f t="shared" si="1299"/>
        <v>0</v>
      </c>
      <c r="K240" s="859">
        <f t="shared" si="1299"/>
        <v>0</v>
      </c>
      <c r="L240" s="859">
        <f t="shared" si="1299"/>
        <v>0</v>
      </c>
      <c r="M240" s="859">
        <f t="shared" si="1299"/>
        <v>30</v>
      </c>
      <c r="N240" s="1076"/>
      <c r="O240" s="1076"/>
      <c r="P240" s="1076"/>
      <c r="Q240" s="1105"/>
      <c r="R240" s="1076"/>
      <c r="S240" s="1076"/>
      <c r="T240" s="1092">
        <f t="shared" si="1299"/>
        <v>0</v>
      </c>
      <c r="U240" s="1076"/>
      <c r="V240" s="1076"/>
      <c r="W240" s="1076"/>
      <c r="X240" s="1105"/>
      <c r="Y240" s="1076"/>
      <c r="Z240" s="1076"/>
      <c r="AA240" s="1092">
        <f t="shared" si="1299"/>
        <v>0</v>
      </c>
      <c r="AB240" s="1076"/>
      <c r="AC240" s="1076"/>
      <c r="AD240" s="1076"/>
      <c r="AE240" s="1105"/>
      <c r="AF240" s="1076"/>
      <c r="AG240" s="1076"/>
      <c r="AH240" s="1092">
        <f>+AH235-SUM(AH236:AH239)</f>
        <v>0</v>
      </c>
      <c r="AI240" s="1076"/>
      <c r="AJ240" s="1076"/>
      <c r="AK240" s="1076"/>
      <c r="AL240" s="1105"/>
      <c r="AM240" s="1076"/>
      <c r="AN240" s="1076"/>
      <c r="AO240" s="1092">
        <f>+AO235-SUM(AO236:AO239)</f>
        <v>0</v>
      </c>
      <c r="AP240" s="1076"/>
      <c r="AQ240" s="1076"/>
      <c r="AR240" s="1076"/>
      <c r="AS240" s="1105"/>
      <c r="AT240" s="1076"/>
      <c r="AU240" s="1076"/>
      <c r="AV240" s="1092">
        <f>+AV235-SUM(AV236:AV239)</f>
        <v>0</v>
      </c>
      <c r="AW240" s="1076"/>
      <c r="AX240" s="1076"/>
      <c r="AY240" s="1076"/>
      <c r="AZ240" s="1105"/>
      <c r="BA240" s="1076"/>
      <c r="BB240" s="1076"/>
      <c r="BC240" s="1092"/>
      <c r="BD240" s="1076"/>
      <c r="BE240" s="1076"/>
      <c r="BF240" s="1076"/>
      <c r="BG240" s="1105"/>
      <c r="BH240" s="1076"/>
      <c r="BI240" s="1076"/>
      <c r="BJ240" s="1092"/>
      <c r="BK240" s="1076"/>
      <c r="BL240" s="1076"/>
      <c r="BM240" s="1076"/>
      <c r="BN240" s="1105"/>
      <c r="BO240" s="1076"/>
      <c r="BP240" s="1076"/>
      <c r="BQ240" s="1092"/>
      <c r="BR240" s="1076"/>
      <c r="BS240" s="1076"/>
      <c r="BT240" s="1076"/>
      <c r="BU240" s="1105"/>
      <c r="BV240" s="1076"/>
      <c r="BW240" s="1076"/>
      <c r="BX240" s="1092"/>
      <c r="BY240" s="1076"/>
      <c r="BZ240" s="1076"/>
      <c r="CA240" s="1076"/>
      <c r="CB240" s="1105"/>
      <c r="CC240" s="1076"/>
      <c r="CD240" s="1076"/>
      <c r="CE240" s="1092"/>
      <c r="CF240" s="1076"/>
      <c r="CG240" s="1076"/>
      <c r="CH240" s="1076"/>
      <c r="CI240" s="1105"/>
      <c r="CJ240" s="1076"/>
      <c r="CK240" s="1076"/>
      <c r="CL240" s="1092"/>
      <c r="CM240" s="1076"/>
      <c r="CN240" s="1076"/>
      <c r="CO240" s="1076"/>
      <c r="CP240" s="1105"/>
      <c r="CQ240" s="1076"/>
      <c r="CR240" s="1076"/>
      <c r="CS240" s="1092"/>
      <c r="CT240" s="1076"/>
      <c r="CU240" s="1076"/>
      <c r="CV240" s="1076"/>
      <c r="CW240" s="1105"/>
      <c r="CX240" s="1076"/>
      <c r="CY240" s="1076"/>
      <c r="CZ240" s="1092"/>
      <c r="DA240" s="1076"/>
      <c r="DB240" s="1076"/>
      <c r="DC240" s="1076"/>
      <c r="DD240" s="1105"/>
      <c r="DE240" s="1076"/>
      <c r="DF240" s="1076"/>
      <c r="DG240" s="1092"/>
      <c r="DH240" s="1076"/>
      <c r="DI240" s="1076"/>
      <c r="DJ240" s="1076"/>
      <c r="DK240" s="1105"/>
      <c r="DL240" s="1076"/>
      <c r="DM240" s="1076"/>
      <c r="DN240" s="1092"/>
      <c r="DO240" s="1076"/>
      <c r="DP240" s="1076"/>
      <c r="DQ240" s="1076"/>
      <c r="DR240" s="1105"/>
      <c r="DS240" s="1076"/>
      <c r="DT240" s="1076"/>
      <c r="DU240" s="1092"/>
      <c r="DV240" s="1076"/>
      <c r="DW240" s="1076"/>
      <c r="DX240" s="1076"/>
      <c r="DY240" s="1105"/>
      <c r="DZ240" s="1076"/>
      <c r="EA240" s="1076"/>
      <c r="EB240" s="1092"/>
      <c r="EC240" s="1076"/>
      <c r="ED240" s="1076"/>
      <c r="EE240" s="1076"/>
      <c r="EF240" s="1105"/>
      <c r="EG240" s="1076"/>
      <c r="EH240" s="1076"/>
      <c r="EI240" s="1092"/>
      <c r="EJ240" s="1076"/>
      <c r="EK240" s="1076"/>
      <c r="EL240" s="1076"/>
      <c r="EM240" s="1105"/>
      <c r="EN240" s="1076"/>
      <c r="EO240" s="1076"/>
      <c r="EP240" s="1092"/>
      <c r="EQ240" s="1076"/>
      <c r="ER240" s="1076"/>
      <c r="ES240" s="1076"/>
      <c r="ET240" s="1105"/>
      <c r="EU240" s="1076"/>
      <c r="EV240" s="1076"/>
      <c r="EW240" s="1092"/>
    </row>
    <row r="241" spans="1:153" ht="10.199999999999999" hidden="1" customHeight="1" outlineLevel="1">
      <c r="A241" s="108"/>
      <c r="B241" s="834"/>
      <c r="C241" s="834"/>
      <c r="D241" s="834"/>
      <c r="E241" s="834"/>
      <c r="F241" s="834"/>
      <c r="G241" s="834"/>
      <c r="H241" s="834"/>
      <c r="I241" s="834"/>
      <c r="J241" s="834"/>
      <c r="K241" s="834"/>
      <c r="L241" s="834"/>
      <c r="M241" s="834"/>
      <c r="N241" s="21"/>
      <c r="O241" s="21"/>
      <c r="P241" s="21"/>
      <c r="Q241" s="1098"/>
      <c r="R241" s="21"/>
      <c r="S241" s="21"/>
      <c r="T241" s="1091"/>
      <c r="U241" s="21"/>
      <c r="V241" s="21"/>
      <c r="W241" s="21"/>
      <c r="X241" s="1098"/>
      <c r="Y241" s="21"/>
      <c r="Z241" s="21"/>
      <c r="AA241" s="1091"/>
      <c r="AB241" s="21"/>
      <c r="AC241" s="21"/>
      <c r="AD241" s="21"/>
      <c r="AE241" s="1098"/>
      <c r="AF241" s="21"/>
      <c r="AG241" s="21"/>
      <c r="AH241" s="1091"/>
      <c r="AI241" s="21"/>
      <c r="AJ241" s="21"/>
      <c r="AK241" s="21"/>
      <c r="AL241" s="1098"/>
      <c r="AM241" s="21"/>
      <c r="AN241" s="21"/>
      <c r="AO241" s="1091"/>
      <c r="AP241" s="21"/>
      <c r="AQ241" s="21"/>
      <c r="AR241" s="21"/>
      <c r="AS241" s="1098"/>
      <c r="AT241" s="21"/>
      <c r="AU241" s="21"/>
      <c r="AV241" s="1091"/>
      <c r="AW241" s="21"/>
      <c r="AX241" s="21"/>
      <c r="AY241" s="21"/>
      <c r="AZ241" s="1098"/>
      <c r="BA241" s="21"/>
      <c r="BB241" s="21"/>
      <c r="BC241" s="1091"/>
      <c r="BD241" s="21"/>
      <c r="BE241" s="21"/>
      <c r="BF241" s="21"/>
      <c r="BG241" s="1098"/>
      <c r="BH241" s="21"/>
      <c r="BI241" s="21"/>
      <c r="BJ241" s="1091"/>
      <c r="BK241" s="21"/>
      <c r="BL241" s="21"/>
      <c r="BM241" s="21"/>
      <c r="BN241" s="1098"/>
      <c r="BO241" s="21"/>
      <c r="BP241" s="21"/>
      <c r="BQ241" s="1091"/>
      <c r="BR241" s="21"/>
      <c r="BS241" s="21"/>
      <c r="BT241" s="21"/>
      <c r="BU241" s="1098"/>
      <c r="BV241" s="21"/>
      <c r="BW241" s="21"/>
      <c r="BX241" s="1091"/>
      <c r="BY241" s="21"/>
      <c r="BZ241" s="21"/>
      <c r="CA241" s="21"/>
      <c r="CB241" s="1098"/>
      <c r="CC241" s="21"/>
      <c r="CD241" s="21"/>
      <c r="CE241" s="1091"/>
      <c r="CF241" s="21"/>
      <c r="CG241" s="21"/>
      <c r="CH241" s="21"/>
      <c r="CI241" s="1098"/>
      <c r="CJ241" s="21"/>
      <c r="CK241" s="21"/>
      <c r="CL241" s="1091"/>
      <c r="CM241" s="21"/>
      <c r="CN241" s="21"/>
      <c r="CO241" s="21"/>
      <c r="CP241" s="1098"/>
      <c r="CQ241" s="21"/>
      <c r="CR241" s="21"/>
      <c r="CS241" s="1091"/>
      <c r="CT241" s="21"/>
      <c r="CU241" s="21"/>
      <c r="CV241" s="21"/>
      <c r="CW241" s="1098"/>
      <c r="CX241" s="21"/>
      <c r="CY241" s="21"/>
      <c r="CZ241" s="1091"/>
      <c r="DA241" s="21"/>
      <c r="DB241" s="21"/>
      <c r="DC241" s="21"/>
      <c r="DD241" s="1098"/>
      <c r="DE241" s="21"/>
      <c r="DF241" s="21"/>
      <c r="DG241" s="1091"/>
      <c r="DH241" s="21"/>
      <c r="DI241" s="21"/>
      <c r="DJ241" s="21"/>
      <c r="DK241" s="1098"/>
      <c r="DL241" s="21"/>
      <c r="DM241" s="21"/>
      <c r="DN241" s="1091"/>
      <c r="DO241" s="21"/>
      <c r="DP241" s="21"/>
      <c r="DQ241" s="21"/>
      <c r="DR241" s="1098"/>
      <c r="DS241" s="21"/>
      <c r="DT241" s="21"/>
      <c r="DU241" s="1091"/>
      <c r="DV241" s="21"/>
      <c r="DW241" s="21"/>
      <c r="DX241" s="21"/>
      <c r="DY241" s="1098"/>
      <c r="DZ241" s="21"/>
      <c r="EA241" s="21"/>
      <c r="EB241" s="1091"/>
      <c r="EC241" s="21"/>
      <c r="ED241" s="21"/>
      <c r="EE241" s="21"/>
      <c r="EF241" s="1098"/>
      <c r="EG241" s="21"/>
      <c r="EH241" s="21"/>
      <c r="EI241" s="1091"/>
      <c r="EJ241" s="21"/>
      <c r="EK241" s="21"/>
      <c r="EL241" s="21"/>
      <c r="EM241" s="1098"/>
      <c r="EN241" s="21"/>
      <c r="EO241" s="21"/>
      <c r="EP241" s="1091"/>
      <c r="EQ241" s="21"/>
      <c r="ER241" s="21"/>
      <c r="ES241" s="21"/>
      <c r="ET241" s="1098"/>
      <c r="EU241" s="21"/>
      <c r="EV241" s="21"/>
      <c r="EW241" s="1091"/>
    </row>
    <row r="242" spans="1:153" ht="10.199999999999999" hidden="1" customHeight="1" outlineLevel="1">
      <c r="A242" s="48" t="s">
        <v>620</v>
      </c>
      <c r="B242" s="852"/>
      <c r="C242" s="852"/>
      <c r="D242" s="852"/>
      <c r="E242" s="852"/>
      <c r="F242" s="852"/>
      <c r="G242" s="852"/>
      <c r="H242" s="852"/>
      <c r="I242" s="852"/>
      <c r="J242" s="852"/>
      <c r="K242" s="852"/>
      <c r="L242" s="852"/>
      <c r="M242" s="852"/>
      <c r="N242" s="230"/>
      <c r="O242" s="230"/>
      <c r="P242" s="230"/>
      <c r="Q242" s="1103"/>
      <c r="R242" s="230"/>
      <c r="S242" s="230"/>
      <c r="T242" s="1090"/>
      <c r="U242" s="230"/>
      <c r="V242" s="230"/>
      <c r="W242" s="230"/>
      <c r="X242" s="1103"/>
      <c r="Y242" s="230"/>
      <c r="Z242" s="230"/>
      <c r="AA242" s="1090"/>
      <c r="AB242" s="230"/>
      <c r="AC242" s="230"/>
      <c r="AD242" s="230"/>
      <c r="AE242" s="1103"/>
      <c r="AF242" s="230"/>
      <c r="AG242" s="230"/>
      <c r="AH242" s="1090"/>
      <c r="AI242" s="230"/>
      <c r="AJ242" s="230"/>
      <c r="AK242" s="230"/>
      <c r="AL242" s="1103"/>
      <c r="AM242" s="230"/>
      <c r="AN242" s="230"/>
      <c r="AO242" s="1090"/>
      <c r="AP242" s="230"/>
      <c r="AQ242" s="230"/>
      <c r="AR242" s="230"/>
      <c r="AS242" s="1103"/>
      <c r="AT242" s="230"/>
      <c r="AU242" s="230"/>
      <c r="AV242" s="1090"/>
      <c r="AW242" s="230"/>
      <c r="AX242" s="230"/>
      <c r="AY242" s="230"/>
      <c r="AZ242" s="1103"/>
      <c r="BA242" s="230"/>
      <c r="BB242" s="230"/>
      <c r="BC242" s="1090"/>
      <c r="BD242" s="230"/>
      <c r="BE242" s="230"/>
      <c r="BF242" s="230"/>
      <c r="BG242" s="1103"/>
      <c r="BH242" s="230"/>
      <c r="BI242" s="230"/>
      <c r="BJ242" s="1090"/>
      <c r="BK242" s="230"/>
      <c r="BL242" s="230"/>
      <c r="BM242" s="230"/>
      <c r="BN242" s="1103"/>
      <c r="BO242" s="230"/>
      <c r="BP242" s="230"/>
      <c r="BQ242" s="1090"/>
      <c r="BR242" s="230"/>
      <c r="BS242" s="230"/>
      <c r="BT242" s="230"/>
      <c r="BU242" s="1103"/>
      <c r="BV242" s="230"/>
      <c r="BW242" s="230"/>
      <c r="BX242" s="1090"/>
      <c r="BY242" s="230"/>
      <c r="BZ242" s="230"/>
      <c r="CA242" s="230"/>
      <c r="CB242" s="1103"/>
      <c r="CC242" s="230"/>
      <c r="CD242" s="230"/>
      <c r="CE242" s="1090"/>
      <c r="CF242" s="230"/>
      <c r="CG242" s="230"/>
      <c r="CH242" s="230"/>
      <c r="CI242" s="1103"/>
      <c r="CJ242" s="230"/>
      <c r="CK242" s="230"/>
      <c r="CL242" s="1090"/>
      <c r="CM242" s="230"/>
      <c r="CN242" s="230"/>
      <c r="CO242" s="230"/>
      <c r="CP242" s="1103"/>
      <c r="CQ242" s="230"/>
      <c r="CR242" s="230"/>
      <c r="CS242" s="1090"/>
      <c r="CT242" s="230"/>
      <c r="CU242" s="230"/>
      <c r="CV242" s="230"/>
      <c r="CW242" s="1103"/>
      <c r="CX242" s="230"/>
      <c r="CY242" s="230"/>
      <c r="CZ242" s="1090"/>
      <c r="DA242" s="230"/>
      <c r="DB242" s="230"/>
      <c r="DC242" s="230"/>
      <c r="DD242" s="1103"/>
      <c r="DE242" s="230"/>
      <c r="DF242" s="230"/>
      <c r="DG242" s="1090"/>
      <c r="DH242" s="230"/>
      <c r="DI242" s="230"/>
      <c r="DJ242" s="230"/>
      <c r="DK242" s="1103"/>
      <c r="DL242" s="230"/>
      <c r="DM242" s="230"/>
      <c r="DN242" s="1090"/>
      <c r="DO242" s="230"/>
      <c r="DP242" s="230"/>
      <c r="DQ242" s="230"/>
      <c r="DR242" s="1103"/>
      <c r="DS242" s="230"/>
      <c r="DT242" s="230"/>
      <c r="DU242" s="1090"/>
      <c r="DV242" s="230"/>
      <c r="DW242" s="230"/>
      <c r="DX242" s="230"/>
      <c r="DY242" s="1103"/>
      <c r="DZ242" s="230"/>
      <c r="EA242" s="230"/>
      <c r="EB242" s="1090"/>
      <c r="EC242" s="230"/>
      <c r="ED242" s="230"/>
      <c r="EE242" s="230"/>
      <c r="EF242" s="1103"/>
      <c r="EG242" s="230"/>
      <c r="EH242" s="230"/>
      <c r="EI242" s="1090"/>
      <c r="EJ242" s="230"/>
      <c r="EK242" s="230"/>
      <c r="EL242" s="230"/>
      <c r="EM242" s="1103"/>
      <c r="EN242" s="230"/>
      <c r="EO242" s="230"/>
      <c r="EP242" s="1090"/>
      <c r="EQ242" s="230"/>
      <c r="ER242" s="230"/>
      <c r="ES242" s="230"/>
      <c r="ET242" s="1103"/>
      <c r="EU242" s="230"/>
      <c r="EV242" s="230"/>
      <c r="EW242" s="1090"/>
    </row>
    <row r="243" spans="1:153" ht="10.199999999999999" hidden="1" customHeight="1" outlineLevel="1">
      <c r="A243" s="281" t="s">
        <v>604</v>
      </c>
      <c r="B243" s="834"/>
      <c r="C243" s="834">
        <f t="shared" ref="C243:M243" si="1300">-(C236-B236)</f>
        <v>76</v>
      </c>
      <c r="D243" s="834">
        <f t="shared" si="1300"/>
        <v>-85</v>
      </c>
      <c r="E243" s="834">
        <f t="shared" si="1300"/>
        <v>-49</v>
      </c>
      <c r="F243" s="834">
        <f t="shared" si="1300"/>
        <v>-172</v>
      </c>
      <c r="G243" s="834">
        <f t="shared" si="1300"/>
        <v>-124</v>
      </c>
      <c r="H243" s="834">
        <f t="shared" si="1300"/>
        <v>-313</v>
      </c>
      <c r="I243" s="834">
        <f t="shared" si="1300"/>
        <v>-110</v>
      </c>
      <c r="J243" s="834">
        <f t="shared" si="1300"/>
        <v>-30</v>
      </c>
      <c r="K243" s="834">
        <f t="shared" si="1300"/>
        <v>82</v>
      </c>
      <c r="L243" s="834">
        <f t="shared" si="1300"/>
        <v>-326</v>
      </c>
      <c r="M243" s="834">
        <f t="shared" si="1300"/>
        <v>-417</v>
      </c>
      <c r="N243" s="21"/>
      <c r="O243" s="21"/>
      <c r="P243" s="21"/>
      <c r="Q243" s="1098"/>
      <c r="R243" s="21"/>
      <c r="S243" s="21"/>
      <c r="T243" s="1091">
        <f>-(T236-M236)</f>
        <v>-178</v>
      </c>
      <c r="U243" s="21"/>
      <c r="V243" s="21"/>
      <c r="W243" s="21"/>
      <c r="X243" s="1098"/>
      <c r="Y243" s="21"/>
      <c r="Z243" s="21"/>
      <c r="AA243" s="1091">
        <f>-(AA236-T236)</f>
        <v>-142</v>
      </c>
      <c r="AB243" s="21"/>
      <c r="AC243" s="21"/>
      <c r="AD243" s="21"/>
      <c r="AE243" s="1098"/>
      <c r="AF243" s="21"/>
      <c r="AG243" s="21"/>
      <c r="AH243" s="1091">
        <f>-(AH236-AA236)</f>
        <v>-36</v>
      </c>
      <c r="AI243" s="21"/>
      <c r="AJ243" s="21"/>
      <c r="AK243" s="21"/>
      <c r="AL243" s="1098"/>
      <c r="AM243" s="21"/>
      <c r="AN243" s="21"/>
      <c r="AO243" s="1091">
        <f>-(AO236-AH236)</f>
        <v>-27</v>
      </c>
      <c r="AP243" s="21"/>
      <c r="AQ243" s="21"/>
      <c r="AR243" s="21"/>
      <c r="AS243" s="1098"/>
      <c r="AT243" s="21"/>
      <c r="AU243" s="21"/>
      <c r="AV243" s="1091">
        <f>-(AV236-AO236)</f>
        <v>129</v>
      </c>
      <c r="AW243" s="21"/>
      <c r="AX243" s="21"/>
      <c r="AY243" s="21"/>
      <c r="AZ243" s="1098"/>
      <c r="BA243" s="21"/>
      <c r="BB243" s="21"/>
      <c r="BC243" s="1091"/>
      <c r="BD243" s="21"/>
      <c r="BE243" s="21"/>
      <c r="BF243" s="21"/>
      <c r="BG243" s="1098"/>
      <c r="BH243" s="21"/>
      <c r="BI243" s="21"/>
      <c r="BJ243" s="1091"/>
      <c r="BK243" s="21"/>
      <c r="BL243" s="21"/>
      <c r="BM243" s="21"/>
      <c r="BN243" s="1098"/>
      <c r="BO243" s="21"/>
      <c r="BP243" s="21"/>
      <c r="BQ243" s="1091"/>
      <c r="BR243" s="21"/>
      <c r="BS243" s="21"/>
      <c r="BT243" s="21"/>
      <c r="BU243" s="1098"/>
      <c r="BV243" s="21"/>
      <c r="BW243" s="21"/>
      <c r="BX243" s="1091"/>
      <c r="BY243" s="21"/>
      <c r="BZ243" s="21"/>
      <c r="CA243" s="21"/>
      <c r="CB243" s="1098"/>
      <c r="CC243" s="21"/>
      <c r="CD243" s="21"/>
      <c r="CE243" s="1091"/>
      <c r="CF243" s="21"/>
      <c r="CG243" s="21"/>
      <c r="CH243" s="21"/>
      <c r="CI243" s="1098"/>
      <c r="CJ243" s="21"/>
      <c r="CK243" s="21"/>
      <c r="CL243" s="1091"/>
      <c r="CM243" s="21"/>
      <c r="CN243" s="21"/>
      <c r="CO243" s="21"/>
      <c r="CP243" s="1098"/>
      <c r="CQ243" s="21"/>
      <c r="CR243" s="21"/>
      <c r="CS243" s="1091"/>
      <c r="CT243" s="21"/>
      <c r="CU243" s="21"/>
      <c r="CV243" s="21"/>
      <c r="CW243" s="1098"/>
      <c r="CX243" s="21"/>
      <c r="CY243" s="21"/>
      <c r="CZ243" s="1091"/>
      <c r="DA243" s="21"/>
      <c r="DB243" s="21"/>
      <c r="DC243" s="21"/>
      <c r="DD243" s="1098"/>
      <c r="DE243" s="21"/>
      <c r="DF243" s="21"/>
      <c r="DG243" s="1091"/>
      <c r="DH243" s="21"/>
      <c r="DI243" s="21"/>
      <c r="DJ243" s="21"/>
      <c r="DK243" s="1098"/>
      <c r="DL243" s="21"/>
      <c r="DM243" s="21"/>
      <c r="DN243" s="1091"/>
      <c r="DO243" s="21"/>
      <c r="DP243" s="21"/>
      <c r="DQ243" s="21"/>
      <c r="DR243" s="1098"/>
      <c r="DS243" s="21"/>
      <c r="DT243" s="21"/>
      <c r="DU243" s="1091"/>
      <c r="DV243" s="21"/>
      <c r="DW243" s="21"/>
      <c r="DX243" s="21"/>
      <c r="DY243" s="1098"/>
      <c r="DZ243" s="21"/>
      <c r="EA243" s="21"/>
      <c r="EB243" s="1091"/>
      <c r="EC243" s="21"/>
      <c r="ED243" s="21"/>
      <c r="EE243" s="21"/>
      <c r="EF243" s="1098"/>
      <c r="EG243" s="21"/>
      <c r="EH243" s="21"/>
      <c r="EI243" s="1091"/>
      <c r="EJ243" s="21"/>
      <c r="EK243" s="21"/>
      <c r="EL243" s="21"/>
      <c r="EM243" s="1098"/>
      <c r="EN243" s="21"/>
      <c r="EO243" s="21"/>
      <c r="EP243" s="1091"/>
      <c r="EQ243" s="21"/>
      <c r="ER243" s="21"/>
      <c r="ES243" s="21"/>
      <c r="ET243" s="1098"/>
      <c r="EU243" s="21"/>
      <c r="EV243" s="21"/>
      <c r="EW243" s="1091"/>
    </row>
    <row r="244" spans="1:153" ht="10.199999999999999" hidden="1" customHeight="1" outlineLevel="1">
      <c r="A244" s="281" t="s">
        <v>605</v>
      </c>
      <c r="B244" s="834"/>
      <c r="C244" s="834">
        <f t="shared" ref="C244:M244" si="1301">-(C237-B237)</f>
        <v>-370</v>
      </c>
      <c r="D244" s="834">
        <f t="shared" si="1301"/>
        <v>390</v>
      </c>
      <c r="E244" s="834">
        <f t="shared" si="1301"/>
        <v>-417</v>
      </c>
      <c r="F244" s="834">
        <f t="shared" si="1301"/>
        <v>-2150</v>
      </c>
      <c r="G244" s="834">
        <f t="shared" si="1301"/>
        <v>-605</v>
      </c>
      <c r="H244" s="834">
        <f t="shared" si="1301"/>
        <v>-993</v>
      </c>
      <c r="I244" s="834">
        <f t="shared" si="1301"/>
        <v>0</v>
      </c>
      <c r="J244" s="834">
        <f t="shared" si="1301"/>
        <v>-1646</v>
      </c>
      <c r="K244" s="834">
        <f t="shared" si="1301"/>
        <v>268</v>
      </c>
      <c r="L244" s="834">
        <f t="shared" si="1301"/>
        <v>-1172</v>
      </c>
      <c r="M244" s="834">
        <f t="shared" si="1301"/>
        <v>-661</v>
      </c>
      <c r="N244" s="21"/>
      <c r="O244" s="21"/>
      <c r="P244" s="21"/>
      <c r="Q244" s="1098"/>
      <c r="R244" s="21"/>
      <c r="S244" s="21"/>
      <c r="T244" s="1091">
        <f>-(T237-M237)</f>
        <v>-606</v>
      </c>
      <c r="U244" s="21"/>
      <c r="V244" s="21"/>
      <c r="W244" s="21"/>
      <c r="X244" s="1098"/>
      <c r="Y244" s="21"/>
      <c r="Z244" s="21"/>
      <c r="AA244" s="1091">
        <f>-(AA237-T237)</f>
        <v>-1185</v>
      </c>
      <c r="AB244" s="21"/>
      <c r="AC244" s="21"/>
      <c r="AD244" s="21"/>
      <c r="AE244" s="1098"/>
      <c r="AF244" s="21"/>
      <c r="AG244" s="21"/>
      <c r="AH244" s="1091">
        <f>-(AH237-AA237)</f>
        <v>-3180</v>
      </c>
      <c r="AI244" s="21"/>
      <c r="AJ244" s="21"/>
      <c r="AK244" s="21"/>
      <c r="AL244" s="1098"/>
      <c r="AM244" s="21"/>
      <c r="AN244" s="21"/>
      <c r="AO244" s="1091">
        <f>-(AO237-AH237)</f>
        <v>-623</v>
      </c>
      <c r="AP244" s="21"/>
      <c r="AQ244" s="21"/>
      <c r="AR244" s="21"/>
      <c r="AS244" s="1098"/>
      <c r="AT244" s="21"/>
      <c r="AU244" s="21"/>
      <c r="AV244" s="1091">
        <f>-(AV237-AO237)</f>
        <v>-1594</v>
      </c>
      <c r="AW244" s="21"/>
      <c r="AX244" s="21"/>
      <c r="AY244" s="21"/>
      <c r="AZ244" s="1098"/>
      <c r="BA244" s="21"/>
      <c r="BB244" s="21"/>
      <c r="BC244" s="1091"/>
      <c r="BD244" s="21"/>
      <c r="BE244" s="21"/>
      <c r="BF244" s="21"/>
      <c r="BG244" s="1098"/>
      <c r="BH244" s="21"/>
      <c r="BI244" s="21"/>
      <c r="BJ244" s="1091"/>
      <c r="BK244" s="21"/>
      <c r="BL244" s="21"/>
      <c r="BM244" s="21"/>
      <c r="BN244" s="1098"/>
      <c r="BO244" s="21"/>
      <c r="BP244" s="21"/>
      <c r="BQ244" s="1091"/>
      <c r="BR244" s="21"/>
      <c r="BS244" s="21"/>
      <c r="BT244" s="21"/>
      <c r="BU244" s="1098"/>
      <c r="BV244" s="21"/>
      <c r="BW244" s="21"/>
      <c r="BX244" s="1091"/>
      <c r="BY244" s="21"/>
      <c r="BZ244" s="21"/>
      <c r="CA244" s="21"/>
      <c r="CB244" s="1098"/>
      <c r="CC244" s="21"/>
      <c r="CD244" s="21"/>
      <c r="CE244" s="1091"/>
      <c r="CF244" s="21"/>
      <c r="CG244" s="21"/>
      <c r="CH244" s="21"/>
      <c r="CI244" s="1098"/>
      <c r="CJ244" s="21"/>
      <c r="CK244" s="21"/>
      <c r="CL244" s="1091"/>
      <c r="CM244" s="21"/>
      <c r="CN244" s="21"/>
      <c r="CO244" s="21"/>
      <c r="CP244" s="1098"/>
      <c r="CQ244" s="21"/>
      <c r="CR244" s="21"/>
      <c r="CS244" s="1091"/>
      <c r="CT244" s="21"/>
      <c r="CU244" s="21"/>
      <c r="CV244" s="21"/>
      <c r="CW244" s="1098"/>
      <c r="CX244" s="21"/>
      <c r="CY244" s="21"/>
      <c r="CZ244" s="1091"/>
      <c r="DA244" s="21"/>
      <c r="DB244" s="21"/>
      <c r="DC244" s="21"/>
      <c r="DD244" s="1098"/>
      <c r="DE244" s="21"/>
      <c r="DF244" s="21"/>
      <c r="DG244" s="1091"/>
      <c r="DH244" s="21"/>
      <c r="DI244" s="21"/>
      <c r="DJ244" s="21"/>
      <c r="DK244" s="1098"/>
      <c r="DL244" s="21"/>
      <c r="DM244" s="21"/>
      <c r="DN244" s="1091"/>
      <c r="DO244" s="21"/>
      <c r="DP244" s="21"/>
      <c r="DQ244" s="21"/>
      <c r="DR244" s="1098"/>
      <c r="DS244" s="21"/>
      <c r="DT244" s="21"/>
      <c r="DU244" s="1091"/>
      <c r="DV244" s="21"/>
      <c r="DW244" s="21"/>
      <c r="DX244" s="21"/>
      <c r="DY244" s="1098"/>
      <c r="DZ244" s="21"/>
      <c r="EA244" s="21"/>
      <c r="EB244" s="1091"/>
      <c r="EC244" s="21"/>
      <c r="ED244" s="21"/>
      <c r="EE244" s="21"/>
      <c r="EF244" s="1098"/>
      <c r="EG244" s="21"/>
      <c r="EH244" s="21"/>
      <c r="EI244" s="1091"/>
      <c r="EJ244" s="21"/>
      <c r="EK244" s="21"/>
      <c r="EL244" s="21"/>
      <c r="EM244" s="1098"/>
      <c r="EN244" s="21"/>
      <c r="EO244" s="21"/>
      <c r="EP244" s="1091"/>
      <c r="EQ244" s="21"/>
      <c r="ER244" s="21"/>
      <c r="ES244" s="21"/>
      <c r="ET244" s="1098"/>
      <c r="EU244" s="21"/>
      <c r="EV244" s="21"/>
      <c r="EW244" s="1091"/>
    </row>
    <row r="245" spans="1:153" ht="10.199999999999999" hidden="1" customHeight="1" outlineLevel="1">
      <c r="A245" s="281" t="s">
        <v>606</v>
      </c>
      <c r="B245" s="834"/>
      <c r="C245" s="834">
        <f t="shared" ref="C245:M245" si="1302">-(C238-B238)</f>
        <v>271</v>
      </c>
      <c r="D245" s="834">
        <f t="shared" si="1302"/>
        <v>-279</v>
      </c>
      <c r="E245" s="834">
        <f t="shared" si="1302"/>
        <v>765</v>
      </c>
      <c r="F245" s="834">
        <f t="shared" si="1302"/>
        <v>-122</v>
      </c>
      <c r="G245" s="834">
        <f t="shared" si="1302"/>
        <v>-63</v>
      </c>
      <c r="H245" s="834">
        <f t="shared" si="1302"/>
        <v>7</v>
      </c>
      <c r="I245" s="834">
        <f t="shared" si="1302"/>
        <v>-612</v>
      </c>
      <c r="J245" s="834">
        <f t="shared" si="1302"/>
        <v>25</v>
      </c>
      <c r="K245" s="834">
        <f t="shared" si="1302"/>
        <v>186</v>
      </c>
      <c r="L245" s="834">
        <f t="shared" si="1302"/>
        <v>-101</v>
      </c>
      <c r="M245" s="834">
        <f t="shared" si="1302"/>
        <v>-169</v>
      </c>
      <c r="N245" s="21"/>
      <c r="O245" s="21"/>
      <c r="P245" s="21"/>
      <c r="Q245" s="1098"/>
      <c r="R245" s="21"/>
      <c r="S245" s="21"/>
      <c r="T245" s="1091">
        <f>-(T238-M238)</f>
        <v>-161</v>
      </c>
      <c r="U245" s="21"/>
      <c r="V245" s="21"/>
      <c r="W245" s="21"/>
      <c r="X245" s="1098"/>
      <c r="Y245" s="21"/>
      <c r="Z245" s="21"/>
      <c r="AA245" s="1091">
        <f>-(AA238-T238)</f>
        <v>-147</v>
      </c>
      <c r="AB245" s="21"/>
      <c r="AC245" s="21"/>
      <c r="AD245" s="21"/>
      <c r="AE245" s="1098"/>
      <c r="AF245" s="21"/>
      <c r="AG245" s="21"/>
      <c r="AH245" s="1091">
        <f>-(AH238-AA238)</f>
        <v>-159</v>
      </c>
      <c r="AI245" s="21"/>
      <c r="AJ245" s="21"/>
      <c r="AK245" s="21"/>
      <c r="AL245" s="1098"/>
      <c r="AM245" s="21"/>
      <c r="AN245" s="21"/>
      <c r="AO245" s="1091">
        <f>-(AO238-AH238)</f>
        <v>-395</v>
      </c>
      <c r="AP245" s="21"/>
      <c r="AQ245" s="21"/>
      <c r="AR245" s="21"/>
      <c r="AS245" s="1098"/>
      <c r="AT245" s="21"/>
      <c r="AU245" s="21"/>
      <c r="AV245" s="1091">
        <f>-(AV238-AO238)</f>
        <v>-103</v>
      </c>
      <c r="AW245" s="21"/>
      <c r="AX245" s="21"/>
      <c r="AY245" s="21"/>
      <c r="AZ245" s="1098"/>
      <c r="BA245" s="21"/>
      <c r="BB245" s="21"/>
      <c r="BC245" s="1091"/>
      <c r="BD245" s="21"/>
      <c r="BE245" s="21"/>
      <c r="BF245" s="21"/>
      <c r="BG245" s="1098"/>
      <c r="BH245" s="21"/>
      <c r="BI245" s="21"/>
      <c r="BJ245" s="1091"/>
      <c r="BK245" s="21"/>
      <c r="BL245" s="21"/>
      <c r="BM245" s="21"/>
      <c r="BN245" s="1098"/>
      <c r="BO245" s="21"/>
      <c r="BP245" s="21"/>
      <c r="BQ245" s="1091"/>
      <c r="BR245" s="21"/>
      <c r="BS245" s="21"/>
      <c r="BT245" s="21"/>
      <c r="BU245" s="1098"/>
      <c r="BV245" s="21"/>
      <c r="BW245" s="21"/>
      <c r="BX245" s="1091"/>
      <c r="BY245" s="21"/>
      <c r="BZ245" s="21"/>
      <c r="CA245" s="21"/>
      <c r="CB245" s="1098"/>
      <c r="CC245" s="21"/>
      <c r="CD245" s="21"/>
      <c r="CE245" s="1091"/>
      <c r="CF245" s="21"/>
      <c r="CG245" s="21"/>
      <c r="CH245" s="21"/>
      <c r="CI245" s="1098"/>
      <c r="CJ245" s="21"/>
      <c r="CK245" s="21"/>
      <c r="CL245" s="1091"/>
      <c r="CM245" s="21"/>
      <c r="CN245" s="21"/>
      <c r="CO245" s="21"/>
      <c r="CP245" s="1098"/>
      <c r="CQ245" s="21"/>
      <c r="CR245" s="21"/>
      <c r="CS245" s="1091"/>
      <c r="CT245" s="21"/>
      <c r="CU245" s="21"/>
      <c r="CV245" s="21"/>
      <c r="CW245" s="1098"/>
      <c r="CX245" s="21"/>
      <c r="CY245" s="21"/>
      <c r="CZ245" s="1091"/>
      <c r="DA245" s="21"/>
      <c r="DB245" s="21"/>
      <c r="DC245" s="21"/>
      <c r="DD245" s="1098"/>
      <c r="DE245" s="21"/>
      <c r="DF245" s="21"/>
      <c r="DG245" s="1091"/>
      <c r="DH245" s="21"/>
      <c r="DI245" s="21"/>
      <c r="DJ245" s="21"/>
      <c r="DK245" s="1098"/>
      <c r="DL245" s="21"/>
      <c r="DM245" s="21"/>
      <c r="DN245" s="1091"/>
      <c r="DO245" s="21"/>
      <c r="DP245" s="21"/>
      <c r="DQ245" s="21"/>
      <c r="DR245" s="1098"/>
      <c r="DS245" s="21"/>
      <c r="DT245" s="21"/>
      <c r="DU245" s="1091"/>
      <c r="DV245" s="21"/>
      <c r="DW245" s="21"/>
      <c r="DX245" s="21"/>
      <c r="DY245" s="1098"/>
      <c r="DZ245" s="21"/>
      <c r="EA245" s="21"/>
      <c r="EB245" s="1091"/>
      <c r="EC245" s="21"/>
      <c r="ED245" s="21"/>
      <c r="EE245" s="21"/>
      <c r="EF245" s="1098"/>
      <c r="EG245" s="21"/>
      <c r="EH245" s="21"/>
      <c r="EI245" s="1091"/>
      <c r="EJ245" s="21"/>
      <c r="EK245" s="21"/>
      <c r="EL245" s="21"/>
      <c r="EM245" s="1098"/>
      <c r="EN245" s="21"/>
      <c r="EO245" s="21"/>
      <c r="EP245" s="1091"/>
      <c r="EQ245" s="21"/>
      <c r="ER245" s="21"/>
      <c r="ES245" s="21"/>
      <c r="ET245" s="1098"/>
      <c r="EU245" s="21"/>
      <c r="EV245" s="21"/>
      <c r="EW245" s="1091"/>
    </row>
    <row r="246" spans="1:153" ht="10.199999999999999" hidden="1" customHeight="1" outlineLevel="1">
      <c r="A246" s="281" t="s">
        <v>607</v>
      </c>
      <c r="B246" s="834"/>
      <c r="C246" s="834">
        <f t="shared" ref="C246:M246" si="1303">-(C239-B239)</f>
        <v>-112</v>
      </c>
      <c r="D246" s="834">
        <f t="shared" si="1303"/>
        <v>-457</v>
      </c>
      <c r="E246" s="834">
        <f t="shared" si="1303"/>
        <v>-4</v>
      </c>
      <c r="F246" s="834">
        <f t="shared" si="1303"/>
        <v>-647</v>
      </c>
      <c r="G246" s="834">
        <f t="shared" si="1303"/>
        <v>-675</v>
      </c>
      <c r="H246" s="834">
        <f t="shared" si="1303"/>
        <v>-715</v>
      </c>
      <c r="I246" s="834">
        <f t="shared" si="1303"/>
        <v>176</v>
      </c>
      <c r="J246" s="834">
        <f t="shared" si="1303"/>
        <v>-474</v>
      </c>
      <c r="K246" s="834">
        <f t="shared" si="1303"/>
        <v>179</v>
      </c>
      <c r="L246" s="834">
        <f t="shared" si="1303"/>
        <v>-102</v>
      </c>
      <c r="M246" s="834">
        <f t="shared" si="1303"/>
        <v>594</v>
      </c>
      <c r="N246" s="21"/>
      <c r="O246" s="21"/>
      <c r="P246" s="21"/>
      <c r="Q246" s="1098"/>
      <c r="R246" s="21"/>
      <c r="S246" s="21"/>
      <c r="T246" s="1091">
        <f>-(T239-M239)</f>
        <v>138</v>
      </c>
      <c r="U246" s="21"/>
      <c r="V246" s="21"/>
      <c r="W246" s="21"/>
      <c r="X246" s="1098"/>
      <c r="Y246" s="21"/>
      <c r="Z246" s="21"/>
      <c r="AA246" s="1091">
        <f>-(AA239-T239)</f>
        <v>142</v>
      </c>
      <c r="AB246" s="21"/>
      <c r="AC246" s="21"/>
      <c r="AD246" s="21"/>
      <c r="AE246" s="1098"/>
      <c r="AF246" s="21"/>
      <c r="AG246" s="21"/>
      <c r="AH246" s="1091">
        <f>-(AH239-AA239)</f>
        <v>-321</v>
      </c>
      <c r="AI246" s="21"/>
      <c r="AJ246" s="21"/>
      <c r="AK246" s="21"/>
      <c r="AL246" s="1098"/>
      <c r="AM246" s="21"/>
      <c r="AN246" s="21"/>
      <c r="AO246" s="1091">
        <f>-(AO239-AH239)</f>
        <v>408</v>
      </c>
      <c r="AP246" s="21"/>
      <c r="AQ246" s="21"/>
      <c r="AR246" s="21"/>
      <c r="AS246" s="1098"/>
      <c r="AT246" s="21"/>
      <c r="AU246" s="21"/>
      <c r="AV246" s="1091">
        <f>-(AV239-AO239)</f>
        <v>-208</v>
      </c>
      <c r="AW246" s="21"/>
      <c r="AX246" s="21"/>
      <c r="AY246" s="21"/>
      <c r="AZ246" s="1098"/>
      <c r="BA246" s="21"/>
      <c r="BB246" s="21"/>
      <c r="BC246" s="1091"/>
      <c r="BD246" s="21"/>
      <c r="BE246" s="21"/>
      <c r="BF246" s="21"/>
      <c r="BG246" s="1098"/>
      <c r="BH246" s="21"/>
      <c r="BI246" s="21"/>
      <c r="BJ246" s="1091"/>
      <c r="BK246" s="21"/>
      <c r="BL246" s="21"/>
      <c r="BM246" s="21"/>
      <c r="BN246" s="1098"/>
      <c r="BO246" s="21"/>
      <c r="BP246" s="21"/>
      <c r="BQ246" s="1091"/>
      <c r="BR246" s="21"/>
      <c r="BS246" s="21"/>
      <c r="BT246" s="21"/>
      <c r="BU246" s="1098"/>
      <c r="BV246" s="21"/>
      <c r="BW246" s="21"/>
      <c r="BX246" s="1091"/>
      <c r="BY246" s="21"/>
      <c r="BZ246" s="21"/>
      <c r="CA246" s="21"/>
      <c r="CB246" s="1098"/>
      <c r="CC246" s="21"/>
      <c r="CD246" s="21"/>
      <c r="CE246" s="1091"/>
      <c r="CF246" s="21"/>
      <c r="CG246" s="21"/>
      <c r="CH246" s="21"/>
      <c r="CI246" s="1098"/>
      <c r="CJ246" s="21"/>
      <c r="CK246" s="21"/>
      <c r="CL246" s="1091"/>
      <c r="CM246" s="21"/>
      <c r="CN246" s="21"/>
      <c r="CO246" s="21"/>
      <c r="CP246" s="1098"/>
      <c r="CQ246" s="21"/>
      <c r="CR246" s="21"/>
      <c r="CS246" s="1091"/>
      <c r="CT246" s="21"/>
      <c r="CU246" s="21"/>
      <c r="CV246" s="21"/>
      <c r="CW246" s="1098"/>
      <c r="CX246" s="21"/>
      <c r="CY246" s="21"/>
      <c r="CZ246" s="1091"/>
      <c r="DA246" s="21"/>
      <c r="DB246" s="21"/>
      <c r="DC246" s="21"/>
      <c r="DD246" s="1098"/>
      <c r="DE246" s="21"/>
      <c r="DF246" s="21"/>
      <c r="DG246" s="1091"/>
      <c r="DH246" s="21"/>
      <c r="DI246" s="21"/>
      <c r="DJ246" s="21"/>
      <c r="DK246" s="1098"/>
      <c r="DL246" s="21"/>
      <c r="DM246" s="21"/>
      <c r="DN246" s="1091"/>
      <c r="DO246" s="21"/>
      <c r="DP246" s="21"/>
      <c r="DQ246" s="21"/>
      <c r="DR246" s="1098"/>
      <c r="DS246" s="21"/>
      <c r="DT246" s="21"/>
      <c r="DU246" s="1091"/>
      <c r="DV246" s="21"/>
      <c r="DW246" s="21"/>
      <c r="DX246" s="21"/>
      <c r="DY246" s="1098"/>
      <c r="DZ246" s="21"/>
      <c r="EA246" s="21"/>
      <c r="EB246" s="1091"/>
      <c r="EC246" s="21"/>
      <c r="ED246" s="21"/>
      <c r="EE246" s="21"/>
      <c r="EF246" s="1098"/>
      <c r="EG246" s="21"/>
      <c r="EH246" s="21"/>
      <c r="EI246" s="1091"/>
      <c r="EJ246" s="21"/>
      <c r="EK246" s="21"/>
      <c r="EL246" s="21"/>
      <c r="EM246" s="1098"/>
      <c r="EN246" s="21"/>
      <c r="EO246" s="21"/>
      <c r="EP246" s="1091"/>
      <c r="EQ246" s="21"/>
      <c r="ER246" s="21"/>
      <c r="ES246" s="21"/>
      <c r="ET246" s="1098"/>
      <c r="EU246" s="21"/>
      <c r="EV246" s="21"/>
      <c r="EW246" s="1091"/>
    </row>
    <row r="247" spans="1:153" ht="10.199999999999999" hidden="1" customHeight="1" outlineLevel="1">
      <c r="A247" s="108"/>
      <c r="B247" s="834"/>
      <c r="C247" s="834"/>
      <c r="D247" s="834"/>
      <c r="E247" s="834"/>
      <c r="F247" s="834"/>
      <c r="G247" s="834"/>
      <c r="H247" s="834"/>
      <c r="I247" s="834"/>
      <c r="J247" s="834"/>
      <c r="K247" s="834"/>
      <c r="L247" s="834"/>
      <c r="M247" s="834"/>
      <c r="N247" s="21"/>
      <c r="O247" s="21"/>
      <c r="P247" s="21"/>
      <c r="Q247" s="1098"/>
      <c r="R247" s="21"/>
      <c r="S247" s="21"/>
      <c r="T247" s="1091"/>
      <c r="U247" s="21"/>
      <c r="V247" s="21"/>
      <c r="W247" s="21"/>
      <c r="X247" s="1098"/>
      <c r="Y247" s="21"/>
      <c r="Z247" s="21"/>
      <c r="AA247" s="1091"/>
      <c r="AB247" s="21"/>
      <c r="AC247" s="21"/>
      <c r="AD247" s="21"/>
      <c r="AE247" s="1098"/>
      <c r="AF247" s="21"/>
      <c r="AG247" s="21"/>
      <c r="AH247" s="1091"/>
      <c r="AI247" s="21"/>
      <c r="AJ247" s="21"/>
      <c r="AK247" s="21"/>
      <c r="AL247" s="1098"/>
      <c r="AM247" s="21"/>
      <c r="AN247" s="21"/>
      <c r="AO247" s="1091"/>
      <c r="AP247" s="21"/>
      <c r="AQ247" s="21"/>
      <c r="AR247" s="21"/>
      <c r="AS247" s="1098"/>
      <c r="AT247" s="21"/>
      <c r="AU247" s="21"/>
      <c r="AV247" s="1091"/>
      <c r="AW247" s="21"/>
      <c r="AX247" s="21"/>
      <c r="AY247" s="21"/>
      <c r="AZ247" s="1098"/>
      <c r="BA247" s="21"/>
      <c r="BB247" s="21"/>
      <c r="BC247" s="1091"/>
      <c r="BD247" s="21"/>
      <c r="BE247" s="21"/>
      <c r="BF247" s="21"/>
      <c r="BG247" s="1098"/>
      <c r="BH247" s="21"/>
      <c r="BI247" s="21"/>
      <c r="BJ247" s="1091"/>
      <c r="BK247" s="21"/>
      <c r="BL247" s="21"/>
      <c r="BM247" s="21"/>
      <c r="BN247" s="1098"/>
      <c r="BO247" s="21"/>
      <c r="BP247" s="21"/>
      <c r="BQ247" s="1091"/>
      <c r="BR247" s="21"/>
      <c r="BS247" s="21"/>
      <c r="BT247" s="21"/>
      <c r="BU247" s="1098"/>
      <c r="BV247" s="21"/>
      <c r="BW247" s="21"/>
      <c r="BX247" s="1091"/>
      <c r="BY247" s="21"/>
      <c r="BZ247" s="21"/>
      <c r="CA247" s="21"/>
      <c r="CB247" s="1098"/>
      <c r="CC247" s="21"/>
      <c r="CD247" s="21"/>
      <c r="CE247" s="1091"/>
      <c r="CF247" s="21"/>
      <c r="CG247" s="21"/>
      <c r="CH247" s="21"/>
      <c r="CI247" s="1098"/>
      <c r="CJ247" s="21"/>
      <c r="CK247" s="21"/>
      <c r="CL247" s="1091"/>
      <c r="CM247" s="21"/>
      <c r="CN247" s="21"/>
      <c r="CO247" s="21"/>
      <c r="CP247" s="1098"/>
      <c r="CQ247" s="21"/>
      <c r="CR247" s="21"/>
      <c r="CS247" s="1091"/>
      <c r="CT247" s="21"/>
      <c r="CU247" s="21"/>
      <c r="CV247" s="21"/>
      <c r="CW247" s="1098"/>
      <c r="CX247" s="21"/>
      <c r="CY247" s="21"/>
      <c r="CZ247" s="1091"/>
      <c r="DA247" s="21"/>
      <c r="DB247" s="21"/>
      <c r="DC247" s="21"/>
      <c r="DD247" s="1098"/>
      <c r="DE247" s="21"/>
      <c r="DF247" s="21"/>
      <c r="DG247" s="1091"/>
      <c r="DH247" s="21"/>
      <c r="DI247" s="21"/>
      <c r="DJ247" s="21"/>
      <c r="DK247" s="1098"/>
      <c r="DL247" s="21"/>
      <c r="DM247" s="21"/>
      <c r="DN247" s="1091"/>
      <c r="DO247" s="21"/>
      <c r="DP247" s="21"/>
      <c r="DQ247" s="21"/>
      <c r="DR247" s="1098"/>
      <c r="DS247" s="21"/>
      <c r="DT247" s="21"/>
      <c r="DU247" s="1091"/>
      <c r="DV247" s="21"/>
      <c r="DW247" s="21"/>
      <c r="DX247" s="21"/>
      <c r="DY247" s="1098"/>
      <c r="DZ247" s="21"/>
      <c r="EA247" s="21"/>
      <c r="EB247" s="1091"/>
      <c r="EC247" s="21"/>
      <c r="ED247" s="21"/>
      <c r="EE247" s="21"/>
      <c r="EF247" s="1098"/>
      <c r="EG247" s="21"/>
      <c r="EH247" s="21"/>
      <c r="EI247" s="1091"/>
      <c r="EJ247" s="21"/>
      <c r="EK247" s="21"/>
      <c r="EL247" s="21"/>
      <c r="EM247" s="1098"/>
      <c r="EN247" s="21"/>
      <c r="EO247" s="21"/>
      <c r="EP247" s="1091"/>
      <c r="EQ247" s="21"/>
      <c r="ER247" s="21"/>
      <c r="ES247" s="21"/>
      <c r="ET247" s="1098"/>
      <c r="EU247" s="21"/>
      <c r="EV247" s="21"/>
      <c r="EW247" s="1091"/>
    </row>
    <row r="248" spans="1:153" ht="10.199999999999999" hidden="1" customHeight="1" outlineLevel="1">
      <c r="A248" s="108" t="s">
        <v>608</v>
      </c>
      <c r="B248" s="834">
        <f>+BS!B4</f>
        <v>5183</v>
      </c>
      <c r="C248" s="834">
        <f>+BS!C4</f>
        <v>4114</v>
      </c>
      <c r="D248" s="834">
        <f>+BS!D4</f>
        <v>4001</v>
      </c>
      <c r="E248" s="834">
        <f>+BS!E4</f>
        <v>4406</v>
      </c>
      <c r="F248" s="834">
        <f>+BS!F4</f>
        <v>4802</v>
      </c>
      <c r="G248" s="834">
        <f>+BS!G4</f>
        <v>4852</v>
      </c>
      <c r="H248" s="834">
        <f>+BS!H4</f>
        <v>4639</v>
      </c>
      <c r="I248" s="834">
        <f>+BS!I4</f>
        <v>5267</v>
      </c>
      <c r="J248" s="834">
        <f>+BS!J4</f>
        <v>5587</v>
      </c>
      <c r="K248" s="834">
        <f>+BS!K4</f>
        <v>6632</v>
      </c>
      <c r="L248" s="834">
        <f>+BS!L4</f>
        <v>6394</v>
      </c>
      <c r="M248" s="834">
        <f>+BS!M4</f>
        <v>6790</v>
      </c>
      <c r="N248" s="21"/>
      <c r="O248" s="21"/>
      <c r="P248" s="21"/>
      <c r="Q248" s="1098"/>
      <c r="R248" s="21"/>
      <c r="S248" s="21"/>
      <c r="T248" s="1091">
        <f>+BS!T4</f>
        <v>6628</v>
      </c>
      <c r="U248" s="21"/>
      <c r="V248" s="21"/>
      <c r="W248" s="21"/>
      <c r="X248" s="1098"/>
      <c r="Y248" s="21"/>
      <c r="Z248" s="21"/>
      <c r="AA248" s="1091">
        <f>+BS!AA4</f>
        <v>6798</v>
      </c>
      <c r="AB248" s="21"/>
      <c r="AC248" s="21"/>
      <c r="AD248" s="21"/>
      <c r="AE248" s="1098"/>
      <c r="AF248" s="21"/>
      <c r="AG248" s="21"/>
      <c r="AH248" s="1091">
        <f>+BS!AH4</f>
        <v>7877</v>
      </c>
      <c r="AI248" s="21"/>
      <c r="AJ248" s="21"/>
      <c r="AK248" s="21"/>
      <c r="AL248" s="1098"/>
      <c r="AM248" s="21"/>
      <c r="AN248" s="21"/>
      <c r="AO248" s="1091">
        <f>+BS!AO4</f>
        <v>8101</v>
      </c>
      <c r="AP248" s="21"/>
      <c r="AQ248" s="21"/>
      <c r="AR248" s="21"/>
      <c r="AS248" s="1098"/>
      <c r="AT248" s="21"/>
      <c r="AU248" s="21"/>
      <c r="AV248" s="1091">
        <f>+BS!AV4</f>
        <v>8358</v>
      </c>
      <c r="AW248" s="21"/>
      <c r="AX248" s="21"/>
      <c r="AY248" s="21"/>
      <c r="AZ248" s="1098"/>
      <c r="BA248" s="21"/>
      <c r="BB248" s="21"/>
      <c r="BC248" s="1091"/>
      <c r="BD248" s="21"/>
      <c r="BE248" s="21"/>
      <c r="BF248" s="21"/>
      <c r="BG248" s="1098"/>
      <c r="BH248" s="21"/>
      <c r="BI248" s="21"/>
      <c r="BJ248" s="1091"/>
      <c r="BK248" s="21"/>
      <c r="BL248" s="21"/>
      <c r="BM248" s="21"/>
      <c r="BN248" s="1098"/>
      <c r="BO248" s="21"/>
      <c r="BP248" s="21"/>
      <c r="BQ248" s="1091"/>
      <c r="BR248" s="21"/>
      <c r="BS248" s="21"/>
      <c r="BT248" s="21"/>
      <c r="BU248" s="1098"/>
      <c r="BV248" s="21"/>
      <c r="BW248" s="21"/>
      <c r="BX248" s="1091"/>
      <c r="BY248" s="21"/>
      <c r="BZ248" s="21"/>
      <c r="CA248" s="21"/>
      <c r="CB248" s="1098"/>
      <c r="CC248" s="21"/>
      <c r="CD248" s="21"/>
      <c r="CE248" s="1091"/>
      <c r="CF248" s="21"/>
      <c r="CG248" s="21"/>
      <c r="CH248" s="21"/>
      <c r="CI248" s="1098"/>
      <c r="CJ248" s="21"/>
      <c r="CK248" s="21"/>
      <c r="CL248" s="1091"/>
      <c r="CM248" s="21"/>
      <c r="CN248" s="21"/>
      <c r="CO248" s="21"/>
      <c r="CP248" s="1098"/>
      <c r="CQ248" s="21"/>
      <c r="CR248" s="21"/>
      <c r="CS248" s="1091"/>
      <c r="CT248" s="21"/>
      <c r="CU248" s="21"/>
      <c r="CV248" s="21"/>
      <c r="CW248" s="1098"/>
      <c r="CX248" s="21"/>
      <c r="CY248" s="21"/>
      <c r="CZ248" s="1091"/>
      <c r="DA248" s="21"/>
      <c r="DB248" s="21"/>
      <c r="DC248" s="21"/>
      <c r="DD248" s="1098"/>
      <c r="DE248" s="21"/>
      <c r="DF248" s="21"/>
      <c r="DG248" s="1091"/>
      <c r="DH248" s="21"/>
      <c r="DI248" s="21"/>
      <c r="DJ248" s="21"/>
      <c r="DK248" s="1098"/>
      <c r="DL248" s="21"/>
      <c r="DM248" s="21"/>
      <c r="DN248" s="1091"/>
      <c r="DO248" s="21"/>
      <c r="DP248" s="21"/>
      <c r="DQ248" s="21"/>
      <c r="DR248" s="1098"/>
      <c r="DS248" s="21"/>
      <c r="DT248" s="21"/>
      <c r="DU248" s="1091"/>
      <c r="DV248" s="21"/>
      <c r="DW248" s="21"/>
      <c r="DX248" s="21"/>
      <c r="DY248" s="1098"/>
      <c r="DZ248" s="21"/>
      <c r="EA248" s="21"/>
      <c r="EB248" s="1091"/>
      <c r="EC248" s="21"/>
      <c r="ED248" s="21"/>
      <c r="EE248" s="21"/>
      <c r="EF248" s="1098"/>
      <c r="EG248" s="21"/>
      <c r="EH248" s="21"/>
      <c r="EI248" s="1091"/>
      <c r="EJ248" s="21"/>
      <c r="EK248" s="21"/>
      <c r="EL248" s="21"/>
      <c r="EM248" s="1098"/>
      <c r="EN248" s="21"/>
      <c r="EO248" s="21"/>
      <c r="EP248" s="1091"/>
      <c r="EQ248" s="21"/>
      <c r="ER248" s="21"/>
      <c r="ES248" s="21"/>
      <c r="ET248" s="1098"/>
      <c r="EU248" s="21"/>
      <c r="EV248" s="21"/>
      <c r="EW248" s="1091"/>
    </row>
    <row r="249" spans="1:153" ht="10.199999999999999" hidden="1" customHeight="1" outlineLevel="1">
      <c r="A249" s="108" t="s">
        <v>609</v>
      </c>
      <c r="B249" s="834"/>
      <c r="C249" s="834">
        <f t="shared" ref="C249:M249" si="1304">-(C248-B248)</f>
        <v>1069</v>
      </c>
      <c r="D249" s="834">
        <f t="shared" si="1304"/>
        <v>113</v>
      </c>
      <c r="E249" s="834">
        <f t="shared" si="1304"/>
        <v>-405</v>
      </c>
      <c r="F249" s="834">
        <f t="shared" si="1304"/>
        <v>-396</v>
      </c>
      <c r="G249" s="834">
        <f t="shared" si="1304"/>
        <v>-50</v>
      </c>
      <c r="H249" s="834">
        <f t="shared" si="1304"/>
        <v>213</v>
      </c>
      <c r="I249" s="834">
        <f t="shared" si="1304"/>
        <v>-628</v>
      </c>
      <c r="J249" s="834">
        <f t="shared" si="1304"/>
        <v>-320</v>
      </c>
      <c r="K249" s="834">
        <f t="shared" si="1304"/>
        <v>-1045</v>
      </c>
      <c r="L249" s="834">
        <f t="shared" si="1304"/>
        <v>238</v>
      </c>
      <c r="M249" s="834">
        <f t="shared" si="1304"/>
        <v>-396</v>
      </c>
      <c r="N249" s="21"/>
      <c r="O249" s="21"/>
      <c r="P249" s="21"/>
      <c r="Q249" s="1098"/>
      <c r="R249" s="21"/>
      <c r="S249" s="21"/>
      <c r="T249" s="1091">
        <f>-(T248-M248)</f>
        <v>162</v>
      </c>
      <c r="U249" s="21"/>
      <c r="V249" s="21"/>
      <c r="W249" s="21"/>
      <c r="X249" s="1098"/>
      <c r="Y249" s="21"/>
      <c r="Z249" s="21"/>
      <c r="AA249" s="1091">
        <f>-(AA248-T248)</f>
        <v>-170</v>
      </c>
      <c r="AB249" s="21"/>
      <c r="AC249" s="21"/>
      <c r="AD249" s="21"/>
      <c r="AE249" s="1098"/>
      <c r="AF249" s="21"/>
      <c r="AG249" s="21"/>
      <c r="AH249" s="1091">
        <f>-(AH248-AA248)</f>
        <v>-1079</v>
      </c>
      <c r="AI249" s="21"/>
      <c r="AJ249" s="21"/>
      <c r="AK249" s="21"/>
      <c r="AL249" s="1098"/>
      <c r="AM249" s="21"/>
      <c r="AN249" s="21"/>
      <c r="AO249" s="1091">
        <f>-(AO248-AH248)</f>
        <v>-224</v>
      </c>
      <c r="AP249" s="21"/>
      <c r="AQ249" s="21"/>
      <c r="AR249" s="21"/>
      <c r="AS249" s="1098"/>
      <c r="AT249" s="21"/>
      <c r="AU249" s="21"/>
      <c r="AV249" s="1091">
        <f>-(AV248-AO248)</f>
        <v>-257</v>
      </c>
      <c r="AW249" s="21"/>
      <c r="AX249" s="21"/>
      <c r="AY249" s="21"/>
      <c r="AZ249" s="1098"/>
      <c r="BA249" s="21"/>
      <c r="BB249" s="21"/>
      <c r="BC249" s="1091"/>
      <c r="BD249" s="21"/>
      <c r="BE249" s="21"/>
      <c r="BF249" s="21"/>
      <c r="BG249" s="1098"/>
      <c r="BH249" s="21"/>
      <c r="BI249" s="21"/>
      <c r="BJ249" s="1091"/>
      <c r="BK249" s="21"/>
      <c r="BL249" s="21"/>
      <c r="BM249" s="21"/>
      <c r="BN249" s="1098"/>
      <c r="BO249" s="21"/>
      <c r="BP249" s="21"/>
      <c r="BQ249" s="1091"/>
      <c r="BR249" s="21"/>
      <c r="BS249" s="21"/>
      <c r="BT249" s="21"/>
      <c r="BU249" s="1098"/>
      <c r="BV249" s="21"/>
      <c r="BW249" s="21"/>
      <c r="BX249" s="1091"/>
      <c r="BY249" s="21"/>
      <c r="BZ249" s="21"/>
      <c r="CA249" s="21"/>
      <c r="CB249" s="1098"/>
      <c r="CC249" s="21"/>
      <c r="CD249" s="21"/>
      <c r="CE249" s="1091"/>
      <c r="CF249" s="21"/>
      <c r="CG249" s="21"/>
      <c r="CH249" s="21"/>
      <c r="CI249" s="1098"/>
      <c r="CJ249" s="21"/>
      <c r="CK249" s="21"/>
      <c r="CL249" s="1091"/>
      <c r="CM249" s="21"/>
      <c r="CN249" s="21"/>
      <c r="CO249" s="21"/>
      <c r="CP249" s="1098"/>
      <c r="CQ249" s="21"/>
      <c r="CR249" s="21"/>
      <c r="CS249" s="1091"/>
      <c r="CT249" s="21"/>
      <c r="CU249" s="21"/>
      <c r="CV249" s="21"/>
      <c r="CW249" s="1098"/>
      <c r="CX249" s="21"/>
      <c r="CY249" s="21"/>
      <c r="CZ249" s="1091"/>
      <c r="DA249" s="21"/>
      <c r="DB249" s="21"/>
      <c r="DC249" s="21"/>
      <c r="DD249" s="1098"/>
      <c r="DE249" s="21"/>
      <c r="DF249" s="21"/>
      <c r="DG249" s="1091"/>
      <c r="DH249" s="21"/>
      <c r="DI249" s="21"/>
      <c r="DJ249" s="21"/>
      <c r="DK249" s="1098"/>
      <c r="DL249" s="21"/>
      <c r="DM249" s="21"/>
      <c r="DN249" s="1091"/>
      <c r="DO249" s="21"/>
      <c r="DP249" s="21"/>
      <c r="DQ249" s="21"/>
      <c r="DR249" s="1098"/>
      <c r="DS249" s="21"/>
      <c r="DT249" s="21"/>
      <c r="DU249" s="1091"/>
      <c r="DV249" s="21"/>
      <c r="DW249" s="21"/>
      <c r="DX249" s="21"/>
      <c r="DY249" s="1098"/>
      <c r="DZ249" s="21"/>
      <c r="EA249" s="21"/>
      <c r="EB249" s="1091"/>
      <c r="EC249" s="21"/>
      <c r="ED249" s="21"/>
      <c r="EE249" s="21"/>
      <c r="EF249" s="1098"/>
      <c r="EG249" s="21"/>
      <c r="EH249" s="21"/>
      <c r="EI249" s="1091"/>
      <c r="EJ249" s="21"/>
      <c r="EK249" s="21"/>
      <c r="EL249" s="21"/>
      <c r="EM249" s="1098"/>
      <c r="EN249" s="21"/>
      <c r="EO249" s="21"/>
      <c r="EP249" s="1091"/>
      <c r="EQ249" s="21"/>
      <c r="ER249" s="21"/>
      <c r="ES249" s="21"/>
      <c r="ET249" s="1098"/>
      <c r="EU249" s="21"/>
      <c r="EV249" s="21"/>
      <c r="EW249" s="1091"/>
    </row>
    <row r="250" spans="1:153" ht="10.199999999999999" hidden="1" customHeight="1" outlineLevel="1">
      <c r="A250" s="108"/>
      <c r="B250" s="834"/>
      <c r="C250" s="834"/>
      <c r="D250" s="834"/>
      <c r="E250" s="834"/>
      <c r="F250" s="834"/>
      <c r="G250" s="834"/>
      <c r="H250" s="834"/>
      <c r="I250" s="834"/>
      <c r="J250" s="834"/>
      <c r="K250" s="834"/>
      <c r="L250" s="834"/>
      <c r="M250" s="834"/>
      <c r="N250" s="21"/>
      <c r="O250" s="21"/>
      <c r="P250" s="21"/>
      <c r="Q250" s="21"/>
      <c r="R250" s="21"/>
      <c r="S250" s="21"/>
      <c r="T250" s="47"/>
      <c r="U250" s="21"/>
      <c r="V250" s="21"/>
      <c r="W250" s="21"/>
      <c r="X250" s="21"/>
      <c r="Y250" s="21"/>
      <c r="Z250" s="21"/>
      <c r="AA250" s="47"/>
      <c r="AB250" s="21"/>
      <c r="AC250" s="21"/>
      <c r="AD250" s="21"/>
      <c r="AE250" s="21"/>
      <c r="AF250" s="21"/>
      <c r="AG250" s="21"/>
      <c r="AH250" s="47"/>
      <c r="AI250" s="21"/>
      <c r="AJ250" s="21"/>
      <c r="AK250" s="21"/>
      <c r="AL250" s="21"/>
      <c r="AM250" s="21"/>
      <c r="AN250" s="21"/>
      <c r="AO250" s="47"/>
      <c r="AP250" s="21"/>
      <c r="AQ250" s="21"/>
      <c r="AR250" s="21"/>
      <c r="AS250" s="21"/>
      <c r="AT250" s="21"/>
      <c r="AU250" s="21"/>
      <c r="AV250" s="47"/>
      <c r="AW250" s="21"/>
      <c r="AX250" s="21"/>
      <c r="AY250" s="21"/>
      <c r="AZ250" s="21"/>
      <c r="BA250" s="21"/>
      <c r="BB250" s="21"/>
      <c r="BC250" s="47"/>
      <c r="BD250" s="21"/>
      <c r="BE250" s="21"/>
      <c r="BF250" s="21"/>
      <c r="BG250" s="21"/>
      <c r="BH250" s="21"/>
      <c r="BI250" s="21"/>
      <c r="BJ250" s="47"/>
      <c r="BK250" s="21"/>
      <c r="BL250" s="21"/>
      <c r="BM250" s="21"/>
      <c r="BN250" s="21"/>
      <c r="BO250" s="21"/>
      <c r="BP250" s="21"/>
      <c r="BQ250" s="47"/>
      <c r="BR250" s="21"/>
      <c r="BS250" s="21"/>
      <c r="BT250" s="21"/>
      <c r="BU250" s="21"/>
      <c r="BV250" s="21"/>
      <c r="BW250" s="21"/>
      <c r="BX250" s="47"/>
      <c r="BY250" s="21"/>
      <c r="BZ250" s="21"/>
      <c r="CA250" s="21"/>
      <c r="CB250" s="21"/>
      <c r="CC250" s="21"/>
      <c r="CD250" s="21"/>
      <c r="CE250" s="47"/>
      <c r="CF250" s="21"/>
      <c r="CG250" s="21"/>
      <c r="CH250" s="21"/>
      <c r="CI250" s="21"/>
      <c r="CJ250" s="21"/>
      <c r="CK250" s="21"/>
      <c r="CL250" s="47"/>
      <c r="CM250" s="21"/>
      <c r="CN250" s="21"/>
      <c r="CO250" s="21"/>
      <c r="CP250" s="21"/>
      <c r="CQ250" s="21"/>
      <c r="CR250" s="21"/>
      <c r="CS250" s="47"/>
      <c r="CT250" s="21"/>
      <c r="CU250" s="21"/>
      <c r="CV250" s="21"/>
      <c r="CW250" s="21"/>
      <c r="CX250" s="21"/>
      <c r="CY250" s="21"/>
      <c r="CZ250" s="47"/>
      <c r="DA250" s="21"/>
      <c r="DB250" s="21"/>
      <c r="DC250" s="21"/>
      <c r="DD250" s="21"/>
      <c r="DE250" s="21"/>
      <c r="DF250" s="21"/>
      <c r="DG250" s="47"/>
      <c r="DH250" s="21"/>
      <c r="DI250" s="21"/>
      <c r="DJ250" s="21"/>
      <c r="DK250" s="21"/>
      <c r="DL250" s="21"/>
      <c r="DM250" s="21"/>
      <c r="DN250" s="47"/>
      <c r="DO250" s="21"/>
      <c r="DP250" s="21"/>
      <c r="DQ250" s="21"/>
      <c r="DR250" s="21"/>
      <c r="DS250" s="21"/>
      <c r="DT250" s="21"/>
      <c r="DU250" s="47"/>
      <c r="DV250" s="21"/>
      <c r="DW250" s="21"/>
      <c r="DX250" s="21"/>
      <c r="DY250" s="21"/>
      <c r="DZ250" s="21"/>
      <c r="EA250" s="21"/>
      <c r="EB250" s="47"/>
      <c r="EC250" s="21"/>
      <c r="ED250" s="21"/>
      <c r="EE250" s="21"/>
      <c r="EF250" s="21"/>
      <c r="EG250" s="21"/>
      <c r="EH250" s="21"/>
      <c r="EI250" s="47"/>
      <c r="EJ250" s="21"/>
      <c r="EK250" s="21"/>
      <c r="EL250" s="21"/>
      <c r="EM250" s="21"/>
      <c r="EN250" s="21"/>
      <c r="EO250" s="21"/>
      <c r="EP250" s="47"/>
      <c r="EQ250" s="21"/>
      <c r="ER250" s="21"/>
      <c r="ES250" s="21"/>
      <c r="ET250" s="21"/>
      <c r="EU250" s="21"/>
      <c r="EV250" s="21"/>
      <c r="EW250" s="47"/>
    </row>
    <row r="251" spans="1:153" ht="13.2" collapsed="1">
      <c r="A251" s="48" t="s">
        <v>937</v>
      </c>
      <c r="B251" s="852"/>
      <c r="C251" s="852"/>
      <c r="D251" s="852"/>
      <c r="E251" s="852"/>
      <c r="F251" s="852"/>
      <c r="G251" s="852"/>
      <c r="H251" s="852"/>
      <c r="I251" s="852"/>
      <c r="J251" s="852"/>
      <c r="K251" s="852"/>
      <c r="L251" s="852"/>
      <c r="M251" s="852"/>
      <c r="N251" s="230"/>
      <c r="O251" s="230"/>
      <c r="P251" s="230"/>
      <c r="Q251" s="230"/>
      <c r="R251" s="230"/>
      <c r="S251" s="230"/>
      <c r="T251" s="163"/>
      <c r="U251" s="230"/>
      <c r="V251" s="230"/>
      <c r="W251" s="230"/>
      <c r="X251" s="230"/>
      <c r="Y251" s="230"/>
      <c r="Z251" s="230"/>
      <c r="AA251" s="163"/>
      <c r="AB251" s="230"/>
      <c r="AC251" s="230"/>
      <c r="AD251" s="230"/>
      <c r="AE251" s="230"/>
      <c r="AF251" s="230"/>
      <c r="AG251" s="230"/>
      <c r="AH251" s="163"/>
      <c r="AI251" s="230"/>
      <c r="AJ251" s="230"/>
      <c r="AK251" s="230"/>
      <c r="AL251" s="230"/>
      <c r="AM251" s="230"/>
      <c r="AN251" s="230"/>
      <c r="AO251" s="163"/>
      <c r="AP251" s="230"/>
      <c r="AQ251" s="230"/>
      <c r="AR251" s="230"/>
      <c r="AS251" s="230"/>
      <c r="AT251" s="230"/>
      <c r="AU251" s="230"/>
      <c r="AV251" s="163"/>
      <c r="AW251" s="230"/>
      <c r="AX251" s="230"/>
      <c r="AY251" s="230"/>
      <c r="AZ251" s="230"/>
      <c r="BA251" s="230"/>
      <c r="BB251" s="230"/>
      <c r="BC251" s="163"/>
      <c r="BD251" s="230"/>
      <c r="BE251" s="230"/>
      <c r="BF251" s="230"/>
      <c r="BG251" s="230"/>
      <c r="BH251" s="230"/>
      <c r="BI251" s="230"/>
      <c r="BJ251" s="163"/>
      <c r="BK251" s="230"/>
      <c r="BL251" s="230"/>
      <c r="BM251" s="230"/>
      <c r="BN251" s="230"/>
      <c r="BO251" s="230"/>
      <c r="BP251" s="230"/>
      <c r="BQ251" s="163"/>
      <c r="BR251" s="230"/>
      <c r="BS251" s="230"/>
      <c r="BT251" s="230"/>
      <c r="BU251" s="230"/>
      <c r="BV251" s="230"/>
      <c r="BW251" s="230"/>
      <c r="BX251" s="163"/>
      <c r="BY251" s="230"/>
      <c r="BZ251" s="230"/>
      <c r="CA251" s="230"/>
      <c r="CB251" s="230"/>
      <c r="CC251" s="230"/>
      <c r="CD251" s="230"/>
      <c r="CE251" s="163"/>
      <c r="CF251" s="230"/>
      <c r="CG251" s="230"/>
      <c r="CH251" s="230"/>
      <c r="CI251" s="230"/>
      <c r="CJ251" s="230"/>
      <c r="CK251" s="230"/>
      <c r="CL251" s="163"/>
      <c r="CM251" s="230"/>
      <c r="CN251" s="230"/>
      <c r="CO251" s="230"/>
      <c r="CP251" s="230"/>
      <c r="CQ251" s="230"/>
      <c r="CR251" s="230"/>
      <c r="CS251" s="163"/>
      <c r="CT251" s="230"/>
      <c r="CU251" s="230"/>
      <c r="CV251" s="230"/>
      <c r="CW251" s="230"/>
      <c r="CX251" s="230"/>
      <c r="CY251" s="230"/>
      <c r="CZ251" s="163" t="s">
        <v>947</v>
      </c>
      <c r="DA251" s="230" t="s">
        <v>940</v>
      </c>
      <c r="DB251" s="230" t="s">
        <v>941</v>
      </c>
      <c r="DC251" s="230" t="s">
        <v>942</v>
      </c>
      <c r="DD251" s="230" t="s">
        <v>943</v>
      </c>
      <c r="DE251" s="230" t="s">
        <v>944</v>
      </c>
      <c r="DF251" s="230" t="s">
        <v>945</v>
      </c>
      <c r="DG251" s="163" t="s">
        <v>946</v>
      </c>
      <c r="DH251" s="230" t="s">
        <v>934</v>
      </c>
      <c r="DI251" s="230" t="s">
        <v>935</v>
      </c>
      <c r="DJ251" s="230" t="s">
        <v>936</v>
      </c>
      <c r="DK251" s="230" t="s">
        <v>933</v>
      </c>
      <c r="DL251" s="230" t="s">
        <v>932</v>
      </c>
      <c r="DM251" s="230" t="s">
        <v>938</v>
      </c>
      <c r="DN251" s="163" t="s">
        <v>939</v>
      </c>
      <c r="DO251" s="230"/>
      <c r="DP251" s="230"/>
      <c r="DQ251" s="230"/>
      <c r="DR251" s="230"/>
      <c r="DS251" s="230"/>
      <c r="DT251" s="230"/>
      <c r="DU251" s="163"/>
      <c r="DV251" s="230"/>
      <c r="DW251" s="230"/>
      <c r="DX251" s="230"/>
      <c r="DY251" s="230"/>
      <c r="DZ251" s="230"/>
      <c r="EA251" s="230"/>
      <c r="EB251" s="163"/>
      <c r="EC251" s="230"/>
      <c r="ED251" s="230"/>
      <c r="EE251" s="230"/>
      <c r="EF251" s="230"/>
      <c r="EG251" s="230"/>
      <c r="EH251" s="230"/>
      <c r="EI251" s="163"/>
      <c r="EJ251" s="230"/>
      <c r="EK251" s="230"/>
      <c r="EL251" s="230"/>
      <c r="EM251" s="230"/>
      <c r="EN251" s="230"/>
      <c r="EO251" s="230"/>
      <c r="EP251" s="163"/>
      <c r="EQ251" s="230"/>
      <c r="ER251" s="230"/>
      <c r="ES251" s="230"/>
      <c r="ET251" s="230"/>
      <c r="EU251" s="230"/>
      <c r="EV251" s="230"/>
      <c r="EW251" s="163"/>
    </row>
    <row r="255" spans="1:153" ht="10.199999999999999" customHeight="1">
      <c r="DJ255" s="1827"/>
    </row>
  </sheetData>
  <phoneticPr fontId="6" type="noConversion"/>
  <dataValidations disablePrompts="1" count="1">
    <dataValidation showInputMessage="1" showErrorMessage="1" prompt="Unit change risk" sqref="DL130" xr:uid="{1AD679AB-8B75-4257-8741-4BB7266119C6}"/>
  </dataValidations>
  <pageMargins left="0.75" right="0.75" top="1" bottom="1" header="0.5" footer="0.5"/>
  <pageSetup paperSize="9" scale="55" fitToHeight="0" orientation="portrait" horizontalDpi="300" verticalDpi="300" r:id="rId1"/>
  <headerFooter alignWithMargins="0"/>
  <ignoredErrors>
    <ignoredError sqref="AO109 L109:M109 T109 AA109 AH109" formula="1"/>
    <ignoredError sqref="J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theme="4"/>
    <pageSetUpPr fitToPage="1"/>
  </sheetPr>
  <dimension ref="A1:EY112"/>
  <sheetViews>
    <sheetView showGridLines="0" zoomScaleNormal="100" workbookViewId="0">
      <pane xSplit="1" ySplit="2" topLeftCell="BX17" activePane="bottomRight" state="frozen"/>
      <selection sqref="A1:XFD1048576"/>
      <selection pane="topRight" sqref="A1:XFD1048576"/>
      <selection pane="bottomLeft" sqref="A1:XFD1048576"/>
      <selection pane="bottomRight" activeCell="DN46" sqref="DN46"/>
    </sheetView>
  </sheetViews>
  <sheetFormatPr defaultColWidth="9.109375" defaultRowHeight="10.199999999999999" customHeight="1" outlineLevelRow="1" outlineLevelCol="3"/>
  <cols>
    <col min="1" max="1" width="45" bestFit="1" customWidth="1"/>
    <col min="2" max="3" width="7.5546875" hidden="1" customWidth="1" outlineLevel="1"/>
    <col min="4" max="4" width="7.5546875" hidden="1" customWidth="1" outlineLevel="1" collapsed="1"/>
    <col min="5" max="10" width="7.5546875" hidden="1" customWidth="1" outlineLevel="1"/>
    <col min="11" max="11" width="7.5546875" hidden="1" customWidth="1" outlineLevel="1" collapsed="1"/>
    <col min="12" max="13" width="7.5546875" hidden="1" customWidth="1" outlineLevel="1"/>
    <col min="14" max="17" width="7.5546875" hidden="1" customWidth="1" outlineLevel="3"/>
    <col min="18" max="19" width="7.5546875" hidden="1" customWidth="1" outlineLevel="2"/>
    <col min="20" max="20" width="7.5546875" hidden="1" customWidth="1" outlineLevel="1"/>
    <col min="21" max="24" width="7.5546875" hidden="1" customWidth="1" outlineLevel="3"/>
    <col min="25" max="26" width="7.5546875" hidden="1" customWidth="1" outlineLevel="2"/>
    <col min="27" max="27" width="7.5546875" hidden="1" customWidth="1" outlineLevel="1"/>
    <col min="28" max="31" width="7.5546875" hidden="1" customWidth="1" outlineLevel="3"/>
    <col min="32" max="33" width="7.5546875" hidden="1" customWidth="1" outlineLevel="2"/>
    <col min="34" max="34" width="7.5546875" hidden="1" customWidth="1" outlineLevel="1"/>
    <col min="35" max="38" width="7.5546875" hidden="1" customWidth="1" outlineLevel="3"/>
    <col min="39" max="40" width="7.5546875" hidden="1" customWidth="1" outlineLevel="2"/>
    <col min="41" max="41" width="7.5546875" hidden="1" customWidth="1" outlineLevel="1"/>
    <col min="42" max="45" width="7.5546875" hidden="1" customWidth="1" outlineLevel="3"/>
    <col min="46" max="47" width="7.5546875" hidden="1" customWidth="1" outlineLevel="2"/>
    <col min="48" max="48" width="7.5546875" hidden="1" customWidth="1" outlineLevel="1"/>
    <col min="49" max="52" width="7.5546875" hidden="1" customWidth="1" outlineLevel="3"/>
    <col min="53" max="54" width="7.5546875" hidden="1" customWidth="1" outlineLevel="2"/>
    <col min="55" max="55" width="7.5546875" hidden="1" customWidth="1" outlineLevel="1"/>
    <col min="56" max="59" width="7.5546875" hidden="1" customWidth="1" outlineLevel="3"/>
    <col min="60" max="61" width="7.5546875" hidden="1" customWidth="1" outlineLevel="2"/>
    <col min="62" max="62" width="7.5546875" hidden="1" customWidth="1" outlineLevel="1"/>
    <col min="63" max="66" width="7.5546875" hidden="1" customWidth="1" outlineLevel="3"/>
    <col min="67" max="68" width="7.5546875" hidden="1" customWidth="1" outlineLevel="2"/>
    <col min="69" max="69" width="7.5546875" hidden="1" customWidth="1" outlineLevel="1"/>
    <col min="70" max="73" width="7.5546875" hidden="1" customWidth="1" outlineLevel="2"/>
    <col min="74" max="75" width="7.5546875" hidden="1" customWidth="1" outlineLevel="1"/>
    <col min="76" max="76" width="7.5546875" customWidth="1" collapsed="1"/>
    <col min="77" max="80" width="7.5546875" hidden="1" customWidth="1" outlineLevel="2"/>
    <col min="81" max="82" width="7.5546875" hidden="1" customWidth="1" outlineLevel="1"/>
    <col min="83" max="83" width="7.5546875" customWidth="1" collapsed="1"/>
    <col min="84" max="87" width="7.5546875" hidden="1" customWidth="1" outlineLevel="2"/>
    <col min="88" max="89" width="7.5546875" hidden="1" customWidth="1" outlineLevel="1"/>
    <col min="90" max="90" width="7.5546875" customWidth="1" collapsed="1"/>
    <col min="91" max="94" width="7.5546875" hidden="1" customWidth="1" outlineLevel="2"/>
    <col min="95" max="96" width="7.5546875" hidden="1" customWidth="1" outlineLevel="1"/>
    <col min="97" max="97" width="7.5546875" customWidth="1" collapsed="1"/>
    <col min="98" max="101" width="7.5546875" hidden="1" customWidth="1" outlineLevel="2"/>
    <col min="102" max="103" width="7.5546875" hidden="1" customWidth="1" outlineLevel="1"/>
    <col min="104" max="104" width="7.5546875" customWidth="1" collapsed="1"/>
    <col min="105" max="108" width="7.5546875" hidden="1" customWidth="1" outlineLevel="2"/>
    <col min="109" max="110" width="7.5546875" hidden="1" customWidth="1" outlineLevel="1"/>
    <col min="111" max="111" width="7.5546875" customWidth="1" collapsed="1"/>
    <col min="112" max="115" width="7.5546875" hidden="1" customWidth="1" outlineLevel="2"/>
    <col min="116" max="117" width="7.5546875" hidden="1" customWidth="1" outlineLevel="1"/>
    <col min="118" max="118" width="7.5546875" customWidth="1" collapsed="1"/>
    <col min="119" max="122" width="7.5546875" hidden="1" customWidth="1" outlineLevel="2"/>
    <col min="123" max="124" width="7.5546875" hidden="1" customWidth="1" outlineLevel="1"/>
    <col min="125" max="125" width="7.5546875" customWidth="1" collapsed="1"/>
    <col min="126" max="129" width="7.5546875" hidden="1" customWidth="1" outlineLevel="2"/>
    <col min="130" max="131" width="7.5546875" hidden="1" customWidth="1" outlineLevel="1"/>
    <col min="132" max="132" width="7.5546875" customWidth="1" collapsed="1"/>
    <col min="133" max="136" width="7.5546875" hidden="1" customWidth="1" outlineLevel="2"/>
    <col min="137" max="138" width="7.5546875" hidden="1" customWidth="1" outlineLevel="1"/>
    <col min="139" max="139" width="7.5546875" customWidth="1" collapsed="1"/>
    <col min="140" max="143" width="7.5546875" hidden="1" customWidth="1" outlineLevel="2"/>
    <col min="144" max="145" width="7.5546875" hidden="1" customWidth="1" outlineLevel="1"/>
    <col min="146" max="146" width="7.5546875" customWidth="1" collapsed="1"/>
    <col min="147" max="147" width="10.33203125" customWidth="1"/>
    <col min="148" max="148" width="10" customWidth="1"/>
    <col min="149" max="149" width="29.5546875" hidden="1" customWidth="1" outlineLevel="1"/>
    <col min="150" max="150" width="9.109375" hidden="1" customWidth="1" outlineLevel="1"/>
    <col min="151" max="151" width="14.5546875" hidden="1" customWidth="1" outlineLevel="1"/>
    <col min="152" max="154" width="9.109375" hidden="1" customWidth="1" outlineLevel="1"/>
    <col min="155" max="155" width="9.109375" collapsed="1"/>
  </cols>
  <sheetData>
    <row r="1" spans="1:148" ht="10.199999999999999" customHeight="1">
      <c r="A1" s="43" t="s">
        <v>43</v>
      </c>
      <c r="B1" s="108"/>
      <c r="C1" s="108"/>
      <c r="D1" s="820"/>
      <c r="E1" s="820"/>
      <c r="F1" s="224"/>
      <c r="G1" s="224"/>
      <c r="H1" s="191"/>
      <c r="I1" s="244"/>
      <c r="J1" s="244"/>
      <c r="K1" s="191"/>
      <c r="L1" s="191"/>
      <c r="M1" s="191"/>
      <c r="N1" s="191"/>
      <c r="O1" s="191"/>
      <c r="P1" s="191"/>
      <c r="Q1" s="191"/>
      <c r="R1" s="191"/>
      <c r="S1" s="191"/>
      <c r="T1" s="134"/>
      <c r="U1" s="191"/>
      <c r="V1" s="191"/>
      <c r="W1" s="191"/>
      <c r="X1" s="191"/>
      <c r="Y1" s="191"/>
      <c r="Z1" s="191"/>
      <c r="AA1" s="134"/>
      <c r="AB1" s="191"/>
      <c r="AC1" s="191"/>
      <c r="AD1" s="191"/>
      <c r="AE1" s="191"/>
      <c r="AF1" s="191"/>
      <c r="AG1" s="191"/>
      <c r="AH1" s="134"/>
      <c r="AI1" s="191"/>
      <c r="AJ1" s="191"/>
      <c r="AK1" s="191"/>
      <c r="AL1" s="191"/>
      <c r="AM1" s="191"/>
      <c r="AN1" s="191"/>
      <c r="AO1" s="134"/>
      <c r="AP1" s="191"/>
      <c r="AQ1" s="191"/>
      <c r="AR1" s="191"/>
      <c r="AS1" s="191"/>
      <c r="AT1" s="191"/>
      <c r="AU1" s="191"/>
      <c r="AV1" s="134" t="s">
        <v>643</v>
      </c>
      <c r="AW1" s="134" t="s">
        <v>639</v>
      </c>
      <c r="AX1" s="134" t="s">
        <v>639</v>
      </c>
      <c r="AY1" s="134" t="s">
        <v>639</v>
      </c>
      <c r="AZ1" s="134" t="s">
        <v>639</v>
      </c>
      <c r="BA1" s="134" t="s">
        <v>639</v>
      </c>
      <c r="BB1" s="134" t="s">
        <v>639</v>
      </c>
      <c r="BC1" s="134" t="s">
        <v>639</v>
      </c>
      <c r="BD1" s="191"/>
      <c r="BE1" s="191"/>
      <c r="BF1" s="191"/>
      <c r="BG1" s="191"/>
      <c r="BH1" s="191"/>
      <c r="BI1" s="191"/>
      <c r="BJ1" s="134" t="s">
        <v>639</v>
      </c>
      <c r="BK1" s="191"/>
      <c r="BL1" s="191"/>
      <c r="BM1" s="191"/>
      <c r="BN1" s="191"/>
      <c r="BO1" s="191"/>
      <c r="BP1" s="191"/>
      <c r="BQ1" s="134"/>
      <c r="BR1" s="191"/>
      <c r="BS1" s="191"/>
      <c r="BT1" s="191"/>
      <c r="BU1" s="191"/>
      <c r="BV1" s="191"/>
      <c r="BW1" s="191"/>
      <c r="BX1" s="134"/>
      <c r="BY1" s="191"/>
      <c r="BZ1" s="191"/>
      <c r="CA1" s="191"/>
      <c r="CB1" s="191"/>
      <c r="CC1" s="191"/>
      <c r="CD1" s="191"/>
      <c r="CE1" s="134"/>
      <c r="CF1" s="191"/>
      <c r="CG1" s="191"/>
      <c r="CH1" s="191"/>
      <c r="CI1" s="191"/>
      <c r="CJ1" s="191"/>
      <c r="CK1" s="191"/>
      <c r="CL1" s="134"/>
      <c r="CM1" s="191"/>
      <c r="CN1" s="191"/>
      <c r="CO1" s="191"/>
      <c r="CP1" s="191"/>
      <c r="CQ1" s="191"/>
      <c r="CR1" s="191"/>
      <c r="CS1" s="134"/>
      <c r="CT1" s="821"/>
      <c r="CU1" s="821"/>
      <c r="CV1" s="821"/>
      <c r="CW1" s="821"/>
      <c r="CX1" s="821"/>
      <c r="CY1" s="821"/>
      <c r="CZ1" s="290"/>
      <c r="DA1" s="821"/>
      <c r="DB1" s="290"/>
      <c r="DC1" s="290"/>
      <c r="DD1" s="290"/>
      <c r="DE1" s="821"/>
      <c r="DF1" s="290"/>
      <c r="DG1" s="290"/>
      <c r="DH1" s="290"/>
      <c r="DI1" s="290"/>
      <c r="DJ1" s="290"/>
      <c r="DK1" s="290"/>
      <c r="DL1" s="821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90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43"/>
      <c r="ER1" s="46"/>
    </row>
    <row r="2" spans="1:148" ht="12" customHeight="1">
      <c r="A2" s="847" t="s">
        <v>296</v>
      </c>
      <c r="B2" s="848">
        <v>2001</v>
      </c>
      <c r="C2" s="848">
        <v>2002</v>
      </c>
      <c r="D2" s="848">
        <v>2003</v>
      </c>
      <c r="E2" s="848">
        <v>2004</v>
      </c>
      <c r="F2" s="848">
        <v>2005</v>
      </c>
      <c r="G2" s="848">
        <v>2006</v>
      </c>
      <c r="H2" s="848">
        <v>2007</v>
      </c>
      <c r="I2" s="848">
        <v>2008</v>
      </c>
      <c r="J2" s="848">
        <v>2009</v>
      </c>
      <c r="K2" s="848">
        <v>2010</v>
      </c>
      <c r="L2" s="848">
        <v>2011</v>
      </c>
      <c r="M2" s="848">
        <v>2012</v>
      </c>
      <c r="N2" s="1440" t="s">
        <v>408</v>
      </c>
      <c r="O2" s="1440" t="s">
        <v>409</v>
      </c>
      <c r="P2" s="1440" t="s">
        <v>410</v>
      </c>
      <c r="Q2" s="914" t="s">
        <v>411</v>
      </c>
      <c r="R2" s="1440" t="s">
        <v>350</v>
      </c>
      <c r="S2" s="1440" t="s">
        <v>412</v>
      </c>
      <c r="T2" s="1267">
        <v>2013</v>
      </c>
      <c r="U2" s="1440" t="s">
        <v>413</v>
      </c>
      <c r="V2" s="1440" t="s">
        <v>414</v>
      </c>
      <c r="W2" s="1440" t="s">
        <v>448</v>
      </c>
      <c r="X2" s="914" t="s">
        <v>470</v>
      </c>
      <c r="Y2" s="1440" t="s">
        <v>349</v>
      </c>
      <c r="Z2" s="1440" t="s">
        <v>469</v>
      </c>
      <c r="AA2" s="1267">
        <v>2014</v>
      </c>
      <c r="AB2" s="1440" t="s">
        <v>472</v>
      </c>
      <c r="AC2" s="1440" t="s">
        <v>478</v>
      </c>
      <c r="AD2" s="1440" t="s">
        <v>483</v>
      </c>
      <c r="AE2" s="914" t="s">
        <v>498</v>
      </c>
      <c r="AF2" s="1440" t="s">
        <v>479</v>
      </c>
      <c r="AG2" s="1440" t="s">
        <v>499</v>
      </c>
      <c r="AH2" s="1267">
        <v>2015</v>
      </c>
      <c r="AI2" s="1440" t="s">
        <v>504</v>
      </c>
      <c r="AJ2" s="1440" t="s">
        <v>515</v>
      </c>
      <c r="AK2" s="1440" t="s">
        <v>530</v>
      </c>
      <c r="AL2" s="914" t="s">
        <v>547</v>
      </c>
      <c r="AM2" s="1440" t="s">
        <v>516</v>
      </c>
      <c r="AN2" s="1440" t="s">
        <v>548</v>
      </c>
      <c r="AO2" s="1267">
        <v>2016</v>
      </c>
      <c r="AP2" s="1440" t="s">
        <v>551</v>
      </c>
      <c r="AQ2" s="1440" t="s">
        <v>552</v>
      </c>
      <c r="AR2" s="1440" t="s">
        <v>580</v>
      </c>
      <c r="AS2" s="914" t="s">
        <v>586</v>
      </c>
      <c r="AT2" s="1440" t="s">
        <v>553</v>
      </c>
      <c r="AU2" s="1440" t="s">
        <v>627</v>
      </c>
      <c r="AV2" s="1267">
        <v>2017</v>
      </c>
      <c r="AW2" s="1440" t="s">
        <v>551</v>
      </c>
      <c r="AX2" s="1440" t="s">
        <v>552</v>
      </c>
      <c r="AY2" s="1440" t="s">
        <v>580</v>
      </c>
      <c r="AZ2" s="914" t="s">
        <v>586</v>
      </c>
      <c r="BA2" s="1440" t="s">
        <v>553</v>
      </c>
      <c r="BB2" s="1440" t="s">
        <v>627</v>
      </c>
      <c r="BC2" s="1267">
        <v>2017</v>
      </c>
      <c r="BD2" s="1440" t="s">
        <v>630</v>
      </c>
      <c r="BE2" s="1440" t="s">
        <v>635</v>
      </c>
      <c r="BF2" s="1440" t="s">
        <v>637</v>
      </c>
      <c r="BG2" s="914" t="s">
        <v>641</v>
      </c>
      <c r="BH2" s="1440" t="s">
        <v>636</v>
      </c>
      <c r="BI2" s="1440" t="s">
        <v>642</v>
      </c>
      <c r="BJ2" s="1267">
        <v>2018</v>
      </c>
      <c r="BK2" s="1440" t="s">
        <v>645</v>
      </c>
      <c r="BL2" s="1440" t="s">
        <v>646</v>
      </c>
      <c r="BM2" s="1440" t="s">
        <v>649</v>
      </c>
      <c r="BN2" s="914" t="s">
        <v>667</v>
      </c>
      <c r="BO2" s="1440" t="s">
        <v>648</v>
      </c>
      <c r="BP2" s="1440" t="s">
        <v>668</v>
      </c>
      <c r="BQ2" s="1267">
        <v>2019</v>
      </c>
      <c r="BR2" s="1440" t="s">
        <v>669</v>
      </c>
      <c r="BS2" s="1440" t="s">
        <v>670</v>
      </c>
      <c r="BT2" s="1440" t="s">
        <v>671</v>
      </c>
      <c r="BU2" s="914" t="s">
        <v>672</v>
      </c>
      <c r="BV2" s="1440" t="s">
        <v>679</v>
      </c>
      <c r="BW2" s="1440" t="s">
        <v>680</v>
      </c>
      <c r="BX2" s="1267">
        <v>2020</v>
      </c>
      <c r="BY2" s="1440" t="s">
        <v>673</v>
      </c>
      <c r="BZ2" s="1440" t="s">
        <v>674</v>
      </c>
      <c r="CA2" s="1440" t="s">
        <v>675</v>
      </c>
      <c r="CB2" s="914" t="s">
        <v>676</v>
      </c>
      <c r="CC2" s="1440" t="s">
        <v>684</v>
      </c>
      <c r="CD2" s="1440" t="s">
        <v>685</v>
      </c>
      <c r="CE2" s="1267">
        <v>2021</v>
      </c>
      <c r="CF2" s="1440" t="s">
        <v>686</v>
      </c>
      <c r="CG2" s="1440" t="s">
        <v>687</v>
      </c>
      <c r="CH2" s="1440" t="s">
        <v>689</v>
      </c>
      <c r="CI2" s="914" t="s">
        <v>690</v>
      </c>
      <c r="CJ2" s="1440" t="s">
        <v>688</v>
      </c>
      <c r="CK2" s="1440" t="s">
        <v>691</v>
      </c>
      <c r="CL2" s="1267">
        <v>2022</v>
      </c>
      <c r="CM2" s="1440" t="s">
        <v>701</v>
      </c>
      <c r="CN2" s="1440" t="s">
        <v>702</v>
      </c>
      <c r="CO2" s="1440" t="s">
        <v>703</v>
      </c>
      <c r="CP2" s="914" t="s">
        <v>704</v>
      </c>
      <c r="CQ2" s="1440" t="s">
        <v>832</v>
      </c>
      <c r="CR2" s="1440" t="s">
        <v>833</v>
      </c>
      <c r="CS2" s="1267">
        <v>2023</v>
      </c>
      <c r="CT2" s="1440" t="s">
        <v>846</v>
      </c>
      <c r="CU2" s="1440" t="s">
        <v>847</v>
      </c>
      <c r="CV2" s="1440" t="s">
        <v>848</v>
      </c>
      <c r="CW2" s="914" t="s">
        <v>849</v>
      </c>
      <c r="CX2" s="1440" t="s">
        <v>850</v>
      </c>
      <c r="CY2" s="1440" t="s">
        <v>851</v>
      </c>
      <c r="CZ2" s="1267">
        <v>2024</v>
      </c>
      <c r="DA2" s="1440" t="s">
        <v>887</v>
      </c>
      <c r="DB2" s="1440" t="s">
        <v>888</v>
      </c>
      <c r="DC2" s="1440" t="s">
        <v>889</v>
      </c>
      <c r="DD2" s="914" t="s">
        <v>890</v>
      </c>
      <c r="DE2" s="1440" t="s">
        <v>891</v>
      </c>
      <c r="DF2" s="1440" t="s">
        <v>892</v>
      </c>
      <c r="DG2" s="1267">
        <v>2025</v>
      </c>
      <c r="DH2" s="1440" t="s">
        <v>893</v>
      </c>
      <c r="DI2" s="1440" t="s">
        <v>894</v>
      </c>
      <c r="DJ2" s="849" t="s">
        <v>895</v>
      </c>
      <c r="DK2" s="1507" t="s">
        <v>896</v>
      </c>
      <c r="DL2" s="1440" t="s">
        <v>897</v>
      </c>
      <c r="DM2" s="849" t="s">
        <v>898</v>
      </c>
      <c r="DN2" s="1477" t="s">
        <v>692</v>
      </c>
      <c r="DO2" s="849" t="s">
        <v>899</v>
      </c>
      <c r="DP2" s="849" t="s">
        <v>900</v>
      </c>
      <c r="DQ2" s="849" t="s">
        <v>901</v>
      </c>
      <c r="DR2" s="1507" t="s">
        <v>902</v>
      </c>
      <c r="DS2" s="849" t="s">
        <v>903</v>
      </c>
      <c r="DT2" s="849" t="s">
        <v>904</v>
      </c>
      <c r="DU2" s="1477" t="s">
        <v>705</v>
      </c>
      <c r="DV2" s="849" t="s">
        <v>905</v>
      </c>
      <c r="DW2" s="849" t="s">
        <v>906</v>
      </c>
      <c r="DX2" s="849" t="s">
        <v>907</v>
      </c>
      <c r="DY2" s="1507" t="s">
        <v>908</v>
      </c>
      <c r="DZ2" s="849" t="s">
        <v>909</v>
      </c>
      <c r="EA2" s="849" t="s">
        <v>910</v>
      </c>
      <c r="EB2" s="1477" t="s">
        <v>706</v>
      </c>
      <c r="EC2" s="849" t="s">
        <v>911</v>
      </c>
      <c r="ED2" s="849" t="s">
        <v>912</v>
      </c>
      <c r="EE2" s="849" t="s">
        <v>913</v>
      </c>
      <c r="EF2" s="1507" t="s">
        <v>914</v>
      </c>
      <c r="EG2" s="849" t="s">
        <v>915</v>
      </c>
      <c r="EH2" s="849" t="s">
        <v>916</v>
      </c>
      <c r="EI2" s="1477" t="s">
        <v>707</v>
      </c>
      <c r="EJ2" s="849" t="s">
        <v>917</v>
      </c>
      <c r="EK2" s="849" t="s">
        <v>918</v>
      </c>
      <c r="EL2" s="849" t="s">
        <v>919</v>
      </c>
      <c r="EM2" s="1507" t="s">
        <v>920</v>
      </c>
      <c r="EN2" s="849" t="s">
        <v>921</v>
      </c>
      <c r="EO2" s="849" t="s">
        <v>922</v>
      </c>
      <c r="EP2" s="1477" t="s">
        <v>708</v>
      </c>
      <c r="EQ2" s="43"/>
      <c r="ER2" s="46"/>
    </row>
    <row r="3" spans="1:148" ht="10.199999999999999" hidden="1" customHeight="1">
      <c r="A3" s="47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7"/>
      <c r="R3" s="144"/>
      <c r="S3" s="144"/>
      <c r="T3" s="1460"/>
      <c r="U3" s="144"/>
      <c r="V3" s="144"/>
      <c r="W3" s="144"/>
      <c r="X3" s="1447"/>
      <c r="Y3" s="144"/>
      <c r="Z3" s="144"/>
      <c r="AA3" s="1460"/>
      <c r="AB3" s="144"/>
      <c r="AC3" s="144"/>
      <c r="AD3" s="144"/>
      <c r="AE3" s="1447"/>
      <c r="AF3" s="144"/>
      <c r="AG3" s="144"/>
      <c r="AH3" s="1460"/>
      <c r="AI3" s="144"/>
      <c r="AJ3" s="144"/>
      <c r="AK3" s="144"/>
      <c r="AL3" s="1447"/>
      <c r="AM3" s="144"/>
      <c r="AN3" s="144"/>
      <c r="AO3" s="1460"/>
      <c r="AP3" s="144"/>
      <c r="AQ3" s="144"/>
      <c r="AR3" s="144"/>
      <c r="AS3" s="1447"/>
      <c r="AT3" s="144"/>
      <c r="AU3" s="144"/>
      <c r="AV3" s="1460"/>
      <c r="AW3" s="144"/>
      <c r="AX3" s="144"/>
      <c r="AY3" s="144"/>
      <c r="AZ3" s="1447"/>
      <c r="BA3" s="144"/>
      <c r="BB3" s="144"/>
      <c r="BC3" s="1460"/>
      <c r="BD3" s="144"/>
      <c r="BE3" s="144"/>
      <c r="BF3" s="144"/>
      <c r="BG3" s="1447"/>
      <c r="BH3" s="144"/>
      <c r="BI3" s="144"/>
      <c r="BJ3" s="1460"/>
      <c r="BK3" s="144"/>
      <c r="BL3" s="144"/>
      <c r="BM3" s="144"/>
      <c r="BN3" s="1447"/>
      <c r="BO3" s="144"/>
      <c r="BP3" s="144"/>
      <c r="BQ3" s="1460"/>
      <c r="BR3" s="144"/>
      <c r="BS3" s="144"/>
      <c r="BT3" s="144"/>
      <c r="BU3" s="1447"/>
      <c r="BV3" s="144"/>
      <c r="BW3" s="144"/>
      <c r="BX3" s="1460"/>
      <c r="BY3" s="144"/>
      <c r="BZ3" s="144"/>
      <c r="CA3" s="144"/>
      <c r="CB3" s="1447"/>
      <c r="CC3" s="144"/>
      <c r="CD3" s="144"/>
      <c r="CE3" s="1460"/>
      <c r="CF3" s="144"/>
      <c r="CG3" s="144"/>
      <c r="CH3" s="144"/>
      <c r="CI3" s="1447"/>
      <c r="CJ3" s="144"/>
      <c r="CK3" s="144"/>
      <c r="CL3" s="1460"/>
      <c r="CM3" s="144"/>
      <c r="CN3" s="144"/>
      <c r="CO3" s="144"/>
      <c r="CP3" s="1447"/>
      <c r="CQ3" s="144"/>
      <c r="CR3" s="144"/>
      <c r="CS3" s="1460"/>
      <c r="CT3" s="251"/>
      <c r="CU3" s="251"/>
      <c r="CV3" s="251"/>
      <c r="CW3" s="1277"/>
      <c r="CX3" s="251"/>
      <c r="CY3" s="251"/>
      <c r="CZ3" s="1478"/>
      <c r="DA3" s="1407"/>
      <c r="DB3" s="1407"/>
      <c r="DC3" s="1407"/>
      <c r="DD3" s="1508"/>
      <c r="DE3" s="1407"/>
      <c r="DF3" s="251"/>
      <c r="DG3" s="1478"/>
      <c r="DH3" s="1407"/>
      <c r="DI3" s="1407"/>
      <c r="DJ3" s="1407"/>
      <c r="DK3" s="1508"/>
      <c r="DL3" s="1407"/>
      <c r="DM3" s="1407"/>
      <c r="DN3" s="1478"/>
      <c r="DO3" s="1407"/>
      <c r="DP3" s="1407"/>
      <c r="DQ3" s="1407"/>
      <c r="DR3" s="1508"/>
      <c r="DS3" s="1407"/>
      <c r="DT3" s="1407"/>
      <c r="DU3" s="1478"/>
      <c r="DV3" s="1407"/>
      <c r="DW3" s="1407"/>
      <c r="DX3" s="1407"/>
      <c r="DY3" s="1508"/>
      <c r="DZ3" s="1407"/>
      <c r="EA3" s="1407"/>
      <c r="EB3" s="1478"/>
      <c r="EC3" s="1407"/>
      <c r="ED3" s="1407"/>
      <c r="EE3" s="1407"/>
      <c r="EF3" s="1508"/>
      <c r="EG3" s="1407"/>
      <c r="EH3" s="1407"/>
      <c r="EI3" s="1478"/>
      <c r="EJ3" s="1407"/>
      <c r="EK3" s="1407"/>
      <c r="EL3" s="1407"/>
      <c r="EM3" s="1508"/>
      <c r="EN3" s="1407"/>
      <c r="EO3" s="1407"/>
      <c r="EP3" s="1478"/>
      <c r="EQ3" s="43"/>
      <c r="ER3" s="91"/>
    </row>
    <row r="4" spans="1:148" ht="10.199999999999999" hidden="1" customHeight="1">
      <c r="A4" s="47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7"/>
      <c r="R4" s="144"/>
      <c r="S4" s="144"/>
      <c r="T4" s="1460"/>
      <c r="U4" s="144"/>
      <c r="V4" s="144"/>
      <c r="W4" s="144"/>
      <c r="X4" s="1447"/>
      <c r="Y4" s="144"/>
      <c r="Z4" s="144"/>
      <c r="AA4" s="1460"/>
      <c r="AB4" s="144"/>
      <c r="AC4" s="144"/>
      <c r="AD4" s="144"/>
      <c r="AE4" s="1447"/>
      <c r="AF4" s="144"/>
      <c r="AG4" s="144"/>
      <c r="AH4" s="1460"/>
      <c r="AI4" s="144"/>
      <c r="AJ4" s="144"/>
      <c r="AK4" s="144"/>
      <c r="AL4" s="1447"/>
      <c r="AM4" s="144"/>
      <c r="AN4" s="144"/>
      <c r="AO4" s="1460"/>
      <c r="AP4" s="144"/>
      <c r="AQ4" s="144"/>
      <c r="AR4" s="144"/>
      <c r="AS4" s="1447"/>
      <c r="AT4" s="144"/>
      <c r="AU4" s="144"/>
      <c r="AV4" s="1460"/>
      <c r="AW4" s="144"/>
      <c r="AX4" s="144"/>
      <c r="AY4" s="144"/>
      <c r="AZ4" s="1447"/>
      <c r="BA4" s="144"/>
      <c r="BB4" s="144"/>
      <c r="BC4" s="1460"/>
      <c r="BD4" s="144"/>
      <c r="BE4" s="144"/>
      <c r="BF4" s="144"/>
      <c r="BG4" s="1447"/>
      <c r="BH4" s="144"/>
      <c r="BI4" s="144"/>
      <c r="BJ4" s="1460"/>
      <c r="BK4" s="144"/>
      <c r="BL4" s="144"/>
      <c r="BM4" s="144"/>
      <c r="BN4" s="1447"/>
      <c r="BO4" s="144"/>
      <c r="BP4" s="144"/>
      <c r="BQ4" s="1460"/>
      <c r="BR4" s="144"/>
      <c r="BS4" s="144"/>
      <c r="BT4" s="144"/>
      <c r="BU4" s="1447"/>
      <c r="BV4" s="144"/>
      <c r="BW4" s="144"/>
      <c r="BX4" s="1460"/>
      <c r="BY4" s="144"/>
      <c r="BZ4" s="144"/>
      <c r="CA4" s="144"/>
      <c r="CB4" s="1447"/>
      <c r="CC4" s="144"/>
      <c r="CD4" s="144"/>
      <c r="CE4" s="1460"/>
      <c r="CF4" s="144"/>
      <c r="CG4" s="144"/>
      <c r="CH4" s="144"/>
      <c r="CI4" s="1447"/>
      <c r="CJ4" s="144"/>
      <c r="CK4" s="144"/>
      <c r="CL4" s="1460"/>
      <c r="CM4" s="144"/>
      <c r="CN4" s="144"/>
      <c r="CO4" s="144"/>
      <c r="CP4" s="1447"/>
      <c r="CQ4" s="144"/>
      <c r="CR4" s="144"/>
      <c r="CS4" s="1460"/>
      <c r="CT4" s="251"/>
      <c r="CU4" s="251"/>
      <c r="CV4" s="251"/>
      <c r="CW4" s="1277"/>
      <c r="CX4" s="251"/>
      <c r="CY4" s="251"/>
      <c r="CZ4" s="1478"/>
      <c r="DA4" s="1407"/>
      <c r="DB4" s="1407"/>
      <c r="DC4" s="1407"/>
      <c r="DD4" s="1508"/>
      <c r="DE4" s="1407"/>
      <c r="DF4" s="251"/>
      <c r="DG4" s="1478"/>
      <c r="DH4" s="1407"/>
      <c r="DI4" s="1407"/>
      <c r="DJ4" s="1407"/>
      <c r="DK4" s="1508"/>
      <c r="DL4" s="1407"/>
      <c r="DM4" s="1407"/>
      <c r="DN4" s="1478"/>
      <c r="DO4" s="1407"/>
      <c r="DP4" s="1407"/>
      <c r="DQ4" s="1407"/>
      <c r="DR4" s="1508"/>
      <c r="DS4" s="1407"/>
      <c r="DT4" s="1407"/>
      <c r="DU4" s="1478"/>
      <c r="DV4" s="1407"/>
      <c r="DW4" s="1407"/>
      <c r="DX4" s="1407"/>
      <c r="DY4" s="1508"/>
      <c r="DZ4" s="1407"/>
      <c r="EA4" s="1407"/>
      <c r="EB4" s="1478"/>
      <c r="EC4" s="1407"/>
      <c r="ED4" s="1407"/>
      <c r="EE4" s="1407"/>
      <c r="EF4" s="1508"/>
      <c r="EG4" s="1407"/>
      <c r="EH4" s="1407"/>
      <c r="EI4" s="1478"/>
      <c r="EJ4" s="1407"/>
      <c r="EK4" s="1407"/>
      <c r="EL4" s="1407"/>
      <c r="EM4" s="1508"/>
      <c r="EN4" s="1407"/>
      <c r="EO4" s="1407"/>
      <c r="EP4" s="1478"/>
      <c r="EQ4" s="43"/>
      <c r="ER4" s="91"/>
    </row>
    <row r="5" spans="1:148" ht="10.199999999999999" hidden="1" customHeight="1">
      <c r="A5" s="47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7"/>
      <c r="R5" s="144"/>
      <c r="S5" s="144"/>
      <c r="T5" s="1460"/>
      <c r="U5" s="144"/>
      <c r="V5" s="144"/>
      <c r="W5" s="144"/>
      <c r="X5" s="1447"/>
      <c r="Y5" s="144"/>
      <c r="Z5" s="144"/>
      <c r="AA5" s="1460"/>
      <c r="AB5" s="144"/>
      <c r="AC5" s="144"/>
      <c r="AD5" s="144"/>
      <c r="AE5" s="1447"/>
      <c r="AF5" s="144"/>
      <c r="AG5" s="144"/>
      <c r="AH5" s="1460"/>
      <c r="AI5" s="144"/>
      <c r="AJ5" s="144"/>
      <c r="AK5" s="144"/>
      <c r="AL5" s="1447"/>
      <c r="AM5" s="144"/>
      <c r="AN5" s="144"/>
      <c r="AO5" s="1460"/>
      <c r="AP5" s="144"/>
      <c r="AQ5" s="144"/>
      <c r="AR5" s="144"/>
      <c r="AS5" s="1447"/>
      <c r="AT5" s="144"/>
      <c r="AU5" s="144"/>
      <c r="AV5" s="1460"/>
      <c r="AW5" s="144"/>
      <c r="AX5" s="144"/>
      <c r="AY5" s="144"/>
      <c r="AZ5" s="1447"/>
      <c r="BA5" s="144"/>
      <c r="BB5" s="144"/>
      <c r="BC5" s="1460"/>
      <c r="BD5" s="144"/>
      <c r="BE5" s="144"/>
      <c r="BF5" s="144"/>
      <c r="BG5" s="1447"/>
      <c r="BH5" s="144"/>
      <c r="BI5" s="144"/>
      <c r="BJ5" s="1460"/>
      <c r="BK5" s="144"/>
      <c r="BL5" s="144"/>
      <c r="BM5" s="144"/>
      <c r="BN5" s="1447"/>
      <c r="BO5" s="144"/>
      <c r="BP5" s="144"/>
      <c r="BQ5" s="1460"/>
      <c r="BR5" s="144"/>
      <c r="BS5" s="144"/>
      <c r="BT5" s="144"/>
      <c r="BU5" s="1447"/>
      <c r="BV5" s="144"/>
      <c r="BW5" s="144"/>
      <c r="BX5" s="1460"/>
      <c r="BY5" s="144"/>
      <c r="BZ5" s="144"/>
      <c r="CA5" s="144"/>
      <c r="CB5" s="1447"/>
      <c r="CC5" s="144"/>
      <c r="CD5" s="144"/>
      <c r="CE5" s="1460"/>
      <c r="CF5" s="144"/>
      <c r="CG5" s="144"/>
      <c r="CH5" s="144"/>
      <c r="CI5" s="1447"/>
      <c r="CJ5" s="144"/>
      <c r="CK5" s="144"/>
      <c r="CL5" s="1460"/>
      <c r="CM5" s="144"/>
      <c r="CN5" s="144"/>
      <c r="CO5" s="144"/>
      <c r="CP5" s="1447"/>
      <c r="CQ5" s="144"/>
      <c r="CR5" s="144"/>
      <c r="CS5" s="1460"/>
      <c r="CT5" s="251"/>
      <c r="CU5" s="251"/>
      <c r="CV5" s="251"/>
      <c r="CW5" s="1277"/>
      <c r="CX5" s="251"/>
      <c r="CY5" s="251"/>
      <c r="CZ5" s="1478"/>
      <c r="DA5" s="1407"/>
      <c r="DB5" s="1407"/>
      <c r="DC5" s="1407"/>
      <c r="DD5" s="1508"/>
      <c r="DE5" s="1407"/>
      <c r="DF5" s="251"/>
      <c r="DG5" s="1478"/>
      <c r="DH5" s="1407"/>
      <c r="DI5" s="1407"/>
      <c r="DJ5" s="1407"/>
      <c r="DK5" s="1508"/>
      <c r="DL5" s="1407"/>
      <c r="DM5" s="1407"/>
      <c r="DN5" s="1478"/>
      <c r="DO5" s="1407"/>
      <c r="DP5" s="1407"/>
      <c r="DQ5" s="1407"/>
      <c r="DR5" s="1508"/>
      <c r="DS5" s="1407"/>
      <c r="DT5" s="1407"/>
      <c r="DU5" s="1478"/>
      <c r="DV5" s="1407"/>
      <c r="DW5" s="1407"/>
      <c r="DX5" s="1407"/>
      <c r="DY5" s="1508"/>
      <c r="DZ5" s="1407"/>
      <c r="EA5" s="1407"/>
      <c r="EB5" s="1478"/>
      <c r="EC5" s="1407"/>
      <c r="ED5" s="1407"/>
      <c r="EE5" s="1407"/>
      <c r="EF5" s="1508"/>
      <c r="EG5" s="1407"/>
      <c r="EH5" s="1407"/>
      <c r="EI5" s="1478"/>
      <c r="EJ5" s="1407"/>
      <c r="EK5" s="1407"/>
      <c r="EL5" s="1407"/>
      <c r="EM5" s="1508"/>
      <c r="EN5" s="1407"/>
      <c r="EO5" s="1407"/>
      <c r="EP5" s="1478"/>
      <c r="EQ5" s="43"/>
      <c r="ER5" s="91"/>
    </row>
    <row r="6" spans="1:148" ht="10.199999999999999" hidden="1" customHeight="1">
      <c r="A6" s="47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7"/>
      <c r="R6" s="144"/>
      <c r="S6" s="144"/>
      <c r="T6" s="1460"/>
      <c r="U6" s="144"/>
      <c r="V6" s="144"/>
      <c r="W6" s="144"/>
      <c r="X6" s="1447"/>
      <c r="Y6" s="144"/>
      <c r="Z6" s="144"/>
      <c r="AA6" s="1460"/>
      <c r="AB6" s="144"/>
      <c r="AC6" s="144"/>
      <c r="AD6" s="144"/>
      <c r="AE6" s="1447"/>
      <c r="AF6" s="144"/>
      <c r="AG6" s="144"/>
      <c r="AH6" s="1460"/>
      <c r="AI6" s="144"/>
      <c r="AJ6" s="144"/>
      <c r="AK6" s="144"/>
      <c r="AL6" s="1447"/>
      <c r="AM6" s="144"/>
      <c r="AN6" s="144"/>
      <c r="AO6" s="1460"/>
      <c r="AP6" s="144"/>
      <c r="AQ6" s="144"/>
      <c r="AR6" s="144"/>
      <c r="AS6" s="1447"/>
      <c r="AT6" s="144"/>
      <c r="AU6" s="144"/>
      <c r="AV6" s="1460"/>
      <c r="AW6" s="144"/>
      <c r="AX6" s="144"/>
      <c r="AY6" s="144"/>
      <c r="AZ6" s="1447"/>
      <c r="BA6" s="144"/>
      <c r="BB6" s="144"/>
      <c r="BC6" s="1460"/>
      <c r="BD6" s="144"/>
      <c r="BE6" s="144"/>
      <c r="BF6" s="144"/>
      <c r="BG6" s="1447"/>
      <c r="BH6" s="144"/>
      <c r="BI6" s="144"/>
      <c r="BJ6" s="1460"/>
      <c r="BK6" s="144"/>
      <c r="BL6" s="144"/>
      <c r="BM6" s="144"/>
      <c r="BN6" s="1447"/>
      <c r="BO6" s="144"/>
      <c r="BP6" s="144"/>
      <c r="BQ6" s="1460"/>
      <c r="BR6" s="144"/>
      <c r="BS6" s="144"/>
      <c r="BT6" s="144"/>
      <c r="BU6" s="1447"/>
      <c r="BV6" s="144"/>
      <c r="BW6" s="144"/>
      <c r="BX6" s="1460"/>
      <c r="BY6" s="144"/>
      <c r="BZ6" s="144"/>
      <c r="CA6" s="144"/>
      <c r="CB6" s="1447"/>
      <c r="CC6" s="144"/>
      <c r="CD6" s="144"/>
      <c r="CE6" s="1460"/>
      <c r="CF6" s="144"/>
      <c r="CG6" s="144"/>
      <c r="CH6" s="144"/>
      <c r="CI6" s="1447"/>
      <c r="CJ6" s="144"/>
      <c r="CK6" s="144"/>
      <c r="CL6" s="1460"/>
      <c r="CM6" s="144"/>
      <c r="CN6" s="144"/>
      <c r="CO6" s="144"/>
      <c r="CP6" s="1447"/>
      <c r="CQ6" s="144"/>
      <c r="CR6" s="144"/>
      <c r="CS6" s="1460"/>
      <c r="CT6" s="251"/>
      <c r="CU6" s="251"/>
      <c r="CV6" s="251"/>
      <c r="CW6" s="1277"/>
      <c r="CX6" s="251"/>
      <c r="CY6" s="251"/>
      <c r="CZ6" s="1478"/>
      <c r="DA6" s="1407"/>
      <c r="DB6" s="1407"/>
      <c r="DC6" s="1407"/>
      <c r="DD6" s="1508"/>
      <c r="DE6" s="1407"/>
      <c r="DF6" s="251"/>
      <c r="DG6" s="1478"/>
      <c r="DH6" s="1407"/>
      <c r="DI6" s="1407"/>
      <c r="DJ6" s="1407"/>
      <c r="DK6" s="1508"/>
      <c r="DL6" s="1407"/>
      <c r="DM6" s="1407"/>
      <c r="DN6" s="1478"/>
      <c r="DO6" s="1407"/>
      <c r="DP6" s="1407"/>
      <c r="DQ6" s="1407"/>
      <c r="DR6" s="1508"/>
      <c r="DS6" s="1407"/>
      <c r="DT6" s="1407"/>
      <c r="DU6" s="1478"/>
      <c r="DV6" s="1407"/>
      <c r="DW6" s="1407"/>
      <c r="DX6" s="1407"/>
      <c r="DY6" s="1508"/>
      <c r="DZ6" s="1407"/>
      <c r="EA6" s="1407"/>
      <c r="EB6" s="1478"/>
      <c r="EC6" s="1407"/>
      <c r="ED6" s="1407"/>
      <c r="EE6" s="1407"/>
      <c r="EF6" s="1508"/>
      <c r="EG6" s="1407"/>
      <c r="EH6" s="1407"/>
      <c r="EI6" s="1478"/>
      <c r="EJ6" s="1407"/>
      <c r="EK6" s="1407"/>
      <c r="EL6" s="1407"/>
      <c r="EM6" s="1508"/>
      <c r="EN6" s="1407"/>
      <c r="EO6" s="1407"/>
      <c r="EP6" s="1478"/>
      <c r="EQ6" s="43"/>
      <c r="ER6" s="91"/>
    </row>
    <row r="7" spans="1:148" ht="10.199999999999999" hidden="1" customHeight="1">
      <c r="A7" s="47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7"/>
      <c r="R7" s="144"/>
      <c r="S7" s="144"/>
      <c r="T7" s="1460"/>
      <c r="U7" s="144"/>
      <c r="V7" s="144"/>
      <c r="W7" s="144"/>
      <c r="X7" s="1447"/>
      <c r="Y7" s="144"/>
      <c r="Z7" s="144"/>
      <c r="AA7" s="1460"/>
      <c r="AB7" s="144"/>
      <c r="AC7" s="144"/>
      <c r="AD7" s="144"/>
      <c r="AE7" s="1447"/>
      <c r="AF7" s="144"/>
      <c r="AG7" s="144"/>
      <c r="AH7" s="1460"/>
      <c r="AI7" s="144"/>
      <c r="AJ7" s="144"/>
      <c r="AK7" s="144"/>
      <c r="AL7" s="1447"/>
      <c r="AM7" s="144"/>
      <c r="AN7" s="144"/>
      <c r="AO7" s="1460"/>
      <c r="AP7" s="144"/>
      <c r="AQ7" s="144"/>
      <c r="AR7" s="144"/>
      <c r="AS7" s="1447"/>
      <c r="AT7" s="144"/>
      <c r="AU7" s="144"/>
      <c r="AV7" s="1460"/>
      <c r="AW7" s="144"/>
      <c r="AX7" s="144"/>
      <c r="AY7" s="144"/>
      <c r="AZ7" s="1447"/>
      <c r="BA7" s="144"/>
      <c r="BB7" s="144"/>
      <c r="BC7" s="1460"/>
      <c r="BD7" s="144"/>
      <c r="BE7" s="144"/>
      <c r="BF7" s="144"/>
      <c r="BG7" s="1447"/>
      <c r="BH7" s="144"/>
      <c r="BI7" s="144"/>
      <c r="BJ7" s="1460"/>
      <c r="BK7" s="144"/>
      <c r="BL7" s="144"/>
      <c r="BM7" s="144"/>
      <c r="BN7" s="1447"/>
      <c r="BO7" s="144"/>
      <c r="BP7" s="144"/>
      <c r="BQ7" s="1460"/>
      <c r="BR7" s="144"/>
      <c r="BS7" s="144"/>
      <c r="BT7" s="144"/>
      <c r="BU7" s="1447"/>
      <c r="BV7" s="144"/>
      <c r="BW7" s="144"/>
      <c r="BX7" s="1460"/>
      <c r="BY7" s="144"/>
      <c r="BZ7" s="144"/>
      <c r="CA7" s="144"/>
      <c r="CB7" s="1447"/>
      <c r="CC7" s="144"/>
      <c r="CD7" s="144"/>
      <c r="CE7" s="1460"/>
      <c r="CF7" s="144"/>
      <c r="CG7" s="144"/>
      <c r="CH7" s="144"/>
      <c r="CI7" s="1447"/>
      <c r="CJ7" s="144"/>
      <c r="CK7" s="144"/>
      <c r="CL7" s="1460"/>
      <c r="CM7" s="144"/>
      <c r="CN7" s="144"/>
      <c r="CO7" s="144"/>
      <c r="CP7" s="1447"/>
      <c r="CQ7" s="144"/>
      <c r="CR7" s="144"/>
      <c r="CS7" s="1460"/>
      <c r="CT7" s="251"/>
      <c r="CU7" s="251"/>
      <c r="CV7" s="251"/>
      <c r="CW7" s="1277"/>
      <c r="CX7" s="251"/>
      <c r="CY7" s="251"/>
      <c r="CZ7" s="1478"/>
      <c r="DA7" s="1407"/>
      <c r="DB7" s="1407"/>
      <c r="DC7" s="1407"/>
      <c r="DD7" s="1508"/>
      <c r="DE7" s="1407"/>
      <c r="DF7" s="251"/>
      <c r="DG7" s="1478"/>
      <c r="DH7" s="1407"/>
      <c r="DI7" s="1407"/>
      <c r="DJ7" s="1407"/>
      <c r="DK7" s="1508"/>
      <c r="DL7" s="1407"/>
      <c r="DM7" s="1407"/>
      <c r="DN7" s="1478"/>
      <c r="DO7" s="1407"/>
      <c r="DP7" s="1407"/>
      <c r="DQ7" s="1407"/>
      <c r="DR7" s="1508"/>
      <c r="DS7" s="1407"/>
      <c r="DT7" s="1407"/>
      <c r="DU7" s="1478"/>
      <c r="DV7" s="1407"/>
      <c r="DW7" s="1407"/>
      <c r="DX7" s="1407"/>
      <c r="DY7" s="1508"/>
      <c r="DZ7" s="1407"/>
      <c r="EA7" s="1407"/>
      <c r="EB7" s="1478"/>
      <c r="EC7" s="1407"/>
      <c r="ED7" s="1407"/>
      <c r="EE7" s="1407"/>
      <c r="EF7" s="1508"/>
      <c r="EG7" s="1407"/>
      <c r="EH7" s="1407"/>
      <c r="EI7" s="1478"/>
      <c r="EJ7" s="1407"/>
      <c r="EK7" s="1407"/>
      <c r="EL7" s="1407"/>
      <c r="EM7" s="1508"/>
      <c r="EN7" s="1407"/>
      <c r="EO7" s="1407"/>
      <c r="EP7" s="1478"/>
      <c r="EQ7" s="43"/>
      <c r="ER7" s="91"/>
    </row>
    <row r="8" spans="1:148" ht="10.199999999999999" customHeight="1">
      <c r="A8" s="48" t="s">
        <v>236</v>
      </c>
      <c r="B8" s="48"/>
      <c r="C8" s="92">
        <f>+Divisional!C13</f>
        <v>29901</v>
      </c>
      <c r="D8" s="92">
        <f>+Divisional!D13</f>
        <v>30133</v>
      </c>
      <c r="E8" s="92">
        <f>+Divisional!E13</f>
        <v>31761</v>
      </c>
      <c r="F8" s="92">
        <f>+Divisional!F13</f>
        <v>34206</v>
      </c>
      <c r="G8" s="92">
        <f>+Divisional!G13</f>
        <v>39434</v>
      </c>
      <c r="H8" s="92">
        <f>+Divisional!H13</f>
        <v>39123</v>
      </c>
      <c r="I8" s="92">
        <f>+Divisional!I13</f>
        <v>43265</v>
      </c>
      <c r="J8" s="92">
        <f>+Divisional!J13</f>
        <v>42822</v>
      </c>
      <c r="K8" s="92">
        <f>+Divisional!K13</f>
        <v>45752</v>
      </c>
      <c r="L8" s="92">
        <f>+Divisional!L13</f>
        <v>49128</v>
      </c>
      <c r="M8" s="92">
        <f>+Divisional!M13</f>
        <v>56480</v>
      </c>
      <c r="N8" s="92">
        <f>+Divisional!N13</f>
        <v>12094</v>
      </c>
      <c r="O8" s="92">
        <f>+Divisional!O13</f>
        <v>13576</v>
      </c>
      <c r="P8" s="92">
        <f>+Divisional!P13</f>
        <v>13277</v>
      </c>
      <c r="Q8" s="699">
        <f>+Divisional!Q13</f>
        <v>18620</v>
      </c>
      <c r="R8" s="92">
        <f>+Divisional!R13</f>
        <v>25670</v>
      </c>
      <c r="S8" s="92">
        <f>+Divisional!S13</f>
        <v>31897</v>
      </c>
      <c r="T8" s="1289">
        <f>+Divisional!T13</f>
        <v>57567</v>
      </c>
      <c r="U8" s="92">
        <f>+Divisional!U13</f>
        <v>12648</v>
      </c>
      <c r="V8" s="92">
        <f>+Divisional!V13</f>
        <v>14552</v>
      </c>
      <c r="W8" s="92">
        <f>+Divisional!W13</f>
        <v>13297</v>
      </c>
      <c r="X8" s="699">
        <f>+Divisional!X13</f>
        <v>20216</v>
      </c>
      <c r="Y8" s="92">
        <f>+Divisional!Y13</f>
        <v>27200</v>
      </c>
      <c r="Z8" s="92">
        <f>+Divisional!Z13</f>
        <v>33513</v>
      </c>
      <c r="AA8" s="1289">
        <f>+Divisional!AA13</f>
        <v>60713</v>
      </c>
      <c r="AB8" s="92">
        <f>+Divisional!AB13</f>
        <v>12078</v>
      </c>
      <c r="AC8" s="92">
        <f>+Divisional!AC13</f>
        <v>16815</v>
      </c>
      <c r="AD8" s="92">
        <f>+Divisional!AD13</f>
        <v>14072</v>
      </c>
      <c r="AE8" s="699">
        <f>+Divisional!AE13</f>
        <v>21485</v>
      </c>
      <c r="AF8" s="92">
        <f>+Divisional!AF13</f>
        <v>28893</v>
      </c>
      <c r="AG8" s="92">
        <f>+Divisional!AG13</f>
        <v>35557</v>
      </c>
      <c r="AH8" s="1289">
        <f>+Divisional!AH13</f>
        <v>64450</v>
      </c>
      <c r="AI8" s="92">
        <f>+Divisional!AI13</f>
        <v>12183</v>
      </c>
      <c r="AJ8" s="92">
        <f>+Divisional!AJ13</f>
        <v>16572</v>
      </c>
      <c r="AK8" s="92">
        <f>+Divisional!AK13</f>
        <v>13950</v>
      </c>
      <c r="AL8" s="699">
        <f>+Divisional!AL13</f>
        <v>23876</v>
      </c>
      <c r="AM8" s="92">
        <f>+Divisional!AM13</f>
        <v>28755</v>
      </c>
      <c r="AN8" s="92">
        <f>+Divisional!AN13</f>
        <v>37826</v>
      </c>
      <c r="AO8" s="1289">
        <f>+Divisional!AO13</f>
        <v>66581</v>
      </c>
      <c r="AP8" s="92">
        <f>+Divisional!AP13</f>
        <v>12988</v>
      </c>
      <c r="AQ8" s="92">
        <f>+Divisional!AQ13</f>
        <v>15721</v>
      </c>
      <c r="AR8" s="92">
        <f>+Divisional!AR13</f>
        <v>14244</v>
      </c>
      <c r="AS8" s="699">
        <f>+Divisional!AS13</f>
        <v>23814</v>
      </c>
      <c r="AT8" s="92">
        <f>+Divisional!AT13</f>
        <v>28709</v>
      </c>
      <c r="AU8" s="92">
        <f>+Divisional!AU13</f>
        <v>38058</v>
      </c>
      <c r="AV8" s="1289">
        <f>+Divisional!AV13</f>
        <v>66767</v>
      </c>
      <c r="AW8" s="92">
        <f>+Divisional!AW13</f>
        <v>11442</v>
      </c>
      <c r="AX8" s="92">
        <f>+Divisional!AX13</f>
        <v>13733</v>
      </c>
      <c r="AY8" s="92">
        <f>+Divisional!AY13</f>
        <v>12832</v>
      </c>
      <c r="AZ8" s="699">
        <f>+Divisional!AZ13</f>
        <v>21015</v>
      </c>
      <c r="BA8" s="92">
        <f>+Divisional!BA13</f>
        <v>25175</v>
      </c>
      <c r="BB8" s="92">
        <f>+Divisional!BB13</f>
        <v>33847</v>
      </c>
      <c r="BC8" s="1289">
        <f>+Divisional!BC13</f>
        <v>59022</v>
      </c>
      <c r="BD8" s="92">
        <f>+Divisional!BD13</f>
        <v>10119</v>
      </c>
      <c r="BE8" s="92">
        <f>+Divisional!BE13</f>
        <v>14851</v>
      </c>
      <c r="BF8" s="92">
        <f>+Divisional!BF13</f>
        <v>15451</v>
      </c>
      <c r="BG8" s="699">
        <f>+Divisional!BG13</f>
        <v>23286</v>
      </c>
      <c r="BH8" s="92">
        <f>+Divisional!BH13</f>
        <v>24970</v>
      </c>
      <c r="BI8" s="92">
        <f>+Divisional!BI13</f>
        <v>38737</v>
      </c>
      <c r="BJ8" s="1289">
        <f>+Divisional!BJ13</f>
        <v>63707</v>
      </c>
      <c r="BK8" s="92">
        <f>+Divisional!BK13</f>
        <v>12549</v>
      </c>
      <c r="BL8" s="92">
        <f>+Divisional!BL13</f>
        <v>18317</v>
      </c>
      <c r="BM8" s="92">
        <f>+Divisional!BM13</f>
        <v>15302</v>
      </c>
      <c r="BN8" s="699">
        <f>+Divisional!BN13</f>
        <v>24310</v>
      </c>
      <c r="BO8" s="92">
        <f>+Divisional!BO13</f>
        <v>30866</v>
      </c>
      <c r="BP8" s="92">
        <f>+Divisional!BP13</f>
        <v>39612</v>
      </c>
      <c r="BQ8" s="1289">
        <f>+Divisional!BQ13</f>
        <v>70478</v>
      </c>
      <c r="BR8" s="92">
        <f>+Divisional!BY13</f>
        <v>10631</v>
      </c>
      <c r="BS8" s="92">
        <f>+Divisional!BZ13</f>
        <v>8317</v>
      </c>
      <c r="BT8" s="92">
        <f>+Divisional!CA13</f>
        <v>11213</v>
      </c>
      <c r="BU8" s="699">
        <f>+Divisional!CB13</f>
        <v>19751</v>
      </c>
      <c r="BV8" s="92">
        <f>+Divisional!CC13</f>
        <v>18948</v>
      </c>
      <c r="BW8" s="92">
        <f>+Divisional!CD13</f>
        <v>30964</v>
      </c>
      <c r="BX8" s="1289">
        <f>+Divisional!CE13</f>
        <v>49912</v>
      </c>
      <c r="BY8" s="92">
        <f>+Divisional!CF13</f>
        <v>10460</v>
      </c>
      <c r="BZ8" s="92">
        <f>+Divisional!CG13</f>
        <v>14177</v>
      </c>
      <c r="CA8" s="92">
        <f>+Divisional!CH13</f>
        <v>10518</v>
      </c>
      <c r="CB8" s="699">
        <f>+Divisional!CI13</f>
        <v>16994</v>
      </c>
      <c r="CC8" s="92">
        <f>+Divisional!CJ13</f>
        <v>24637</v>
      </c>
      <c r="CD8" s="92">
        <f>+Divisional!CK13</f>
        <v>27512</v>
      </c>
      <c r="CE8" s="1289">
        <f>+Divisional!CL13</f>
        <v>52149</v>
      </c>
      <c r="CF8" s="92">
        <f>+Divisional!CM13</f>
        <v>12000</v>
      </c>
      <c r="CG8" s="92">
        <f>+Divisional!CN13</f>
        <v>12810</v>
      </c>
      <c r="CH8" s="92">
        <f>+Divisional!CO13</f>
        <v>13309</v>
      </c>
      <c r="CI8" s="699">
        <f>+Divisional!CP13</f>
        <v>20644</v>
      </c>
      <c r="CJ8" s="92">
        <f>+Divisional!CQ13</f>
        <v>24810</v>
      </c>
      <c r="CK8" s="92">
        <f>+Divisional!CR13</f>
        <v>33953</v>
      </c>
      <c r="CL8" s="1289">
        <f>+Divisional!CS13</f>
        <v>58763</v>
      </c>
      <c r="CM8" s="92">
        <f>+Divisional!CT13</f>
        <v>11763</v>
      </c>
      <c r="CN8" s="92">
        <f>+Divisional!CU13</f>
        <v>15900</v>
      </c>
      <c r="CO8" s="92">
        <f>+Divisional!CV13</f>
        <v>14897</v>
      </c>
      <c r="CP8" s="699">
        <f>+Divisional!CW13</f>
        <v>22886</v>
      </c>
      <c r="CQ8" s="92">
        <f>+Divisional!CX13</f>
        <v>27663</v>
      </c>
      <c r="CR8" s="92">
        <f>+Divisional!CY13</f>
        <v>37783</v>
      </c>
      <c r="CS8" s="1289">
        <f>+Divisional!CZ13</f>
        <v>65446</v>
      </c>
      <c r="CT8" s="92">
        <f>+Divisional!DA13</f>
        <v>12830</v>
      </c>
      <c r="CU8" s="92">
        <f>+Divisional!DB13</f>
        <v>15995</v>
      </c>
      <c r="CV8" s="92">
        <f>+Divisional!DC13</f>
        <v>15689</v>
      </c>
      <c r="CW8" s="699">
        <f>+Divisional!DD13</f>
        <v>24716</v>
      </c>
      <c r="CX8" s="92">
        <f>+Divisional!DE13</f>
        <v>28825</v>
      </c>
      <c r="CY8" s="92">
        <f>+Divisional!DF13</f>
        <v>40405</v>
      </c>
      <c r="CZ8" s="1289">
        <f>+Divisional!DG13</f>
        <v>69230</v>
      </c>
      <c r="DA8" s="92">
        <f>+Divisional!DH13</f>
        <v>13542</v>
      </c>
      <c r="DB8" s="92">
        <f>+Divisional!DI13</f>
        <v>16068</v>
      </c>
      <c r="DC8" s="319">
        <f>+Divisional!DJ13</f>
        <v>17826</v>
      </c>
      <c r="DD8" s="699">
        <f>+Divisional!DK13</f>
        <v>25984</v>
      </c>
      <c r="DE8" s="92">
        <f>+Divisional!DL13</f>
        <v>29610</v>
      </c>
      <c r="DF8" s="92">
        <f>+Divisional!DM13</f>
        <v>43810</v>
      </c>
      <c r="DG8" s="1289">
        <f>+Divisional!DN13</f>
        <v>73420</v>
      </c>
      <c r="DH8" s="92">
        <f>+Divisional!DO13</f>
        <v>12651</v>
      </c>
      <c r="DI8" s="92">
        <f>+Divisional!DP13</f>
        <v>20525</v>
      </c>
      <c r="DJ8" s="625">
        <f>+Divisional!DQ13</f>
        <v>19397.280758310582</v>
      </c>
      <c r="DK8" s="623">
        <f>+Divisional!DR13</f>
        <v>27984.863072346616</v>
      </c>
      <c r="DL8" s="1919">
        <f>+Divisional!DS13</f>
        <v>33176</v>
      </c>
      <c r="DM8" s="622">
        <f>+Divisional!DT13</f>
        <v>47382.143830657187</v>
      </c>
      <c r="DN8" s="762">
        <f>+Divisional!DU13</f>
        <v>80558.143830657194</v>
      </c>
      <c r="DO8" s="625">
        <f>+Divisional!DV13</f>
        <v>20178.514307259578</v>
      </c>
      <c r="DP8" s="625">
        <f>+Divisional!DW13</f>
        <v>22268.405416858448</v>
      </c>
      <c r="DQ8" s="625">
        <f>+Divisional!DX13</f>
        <v>22163.880976943499</v>
      </c>
      <c r="DR8" s="623">
        <f>+Divisional!DY13</f>
        <v>25046.186334521011</v>
      </c>
      <c r="DS8" s="625">
        <f>+Divisional!DZ13</f>
        <v>42446.91972411803</v>
      </c>
      <c r="DT8" s="622">
        <f>+Divisional!EA13</f>
        <v>47210.067311464511</v>
      </c>
      <c r="DU8" s="762">
        <f>+Divisional!EB13</f>
        <v>89656.987035582541</v>
      </c>
      <c r="DV8" s="625">
        <f>+Divisional!EC13</f>
        <v>21900.937311592319</v>
      </c>
      <c r="DW8" s="625">
        <f>+Divisional!ED13</f>
        <v>24184.408783847419</v>
      </c>
      <c r="DX8" s="625">
        <f>+Divisional!EE13</f>
        <v>24075.137196339812</v>
      </c>
      <c r="DY8" s="623">
        <f>+Divisional!EF13</f>
        <v>27454.457830876898</v>
      </c>
      <c r="DZ8" s="625">
        <f>+Divisional!EG13</f>
        <v>46085.346095439738</v>
      </c>
      <c r="EA8" s="622">
        <f>+Divisional!EH13</f>
        <v>51529.59502721671</v>
      </c>
      <c r="EB8" s="762">
        <f>+Divisional!EI13</f>
        <v>97614.941122656455</v>
      </c>
      <c r="EC8" s="625">
        <f>+Divisional!EJ13</f>
        <v>23494.884058183088</v>
      </c>
      <c r="ED8" s="625">
        <f>+Divisional!EK13</f>
        <v>25077.157377886462</v>
      </c>
      <c r="EE8" s="625">
        <f>+Divisional!EL13</f>
        <v>24962.146682847069</v>
      </c>
      <c r="EF8" s="623">
        <f>+Divisional!EM13</f>
        <v>28484.022996361578</v>
      </c>
      <c r="EG8" s="625">
        <f>+Divisional!EN13</f>
        <v>48572.04143606955</v>
      </c>
      <c r="EH8" s="622">
        <f>+Divisional!EO13</f>
        <v>53446.169679208644</v>
      </c>
      <c r="EI8" s="762">
        <f>+Divisional!EP13</f>
        <v>102018.2111152782</v>
      </c>
      <c r="EJ8" s="625">
        <f>+Divisional!EQ13</f>
        <v>24281.537796007491</v>
      </c>
      <c r="EK8" s="625">
        <f>+Divisional!ER13</f>
        <v>25943.168261212359</v>
      </c>
      <c r="EL8" s="625">
        <f>+Divisional!ES13</f>
        <v>25822.967161129109</v>
      </c>
      <c r="EM8" s="623">
        <f>+Divisional!ET13</f>
        <v>29486.443929043391</v>
      </c>
      <c r="EN8" s="625">
        <f>+Divisional!EU13</f>
        <v>50224.706057219846</v>
      </c>
      <c r="EO8" s="622">
        <f>+Divisional!EV13</f>
        <v>55309.411090172493</v>
      </c>
      <c r="EP8" s="762">
        <f>+Divisional!EW13</f>
        <v>105534.11714739233</v>
      </c>
      <c r="EQ8" s="43"/>
      <c r="ER8" s="46"/>
    </row>
    <row r="9" spans="1:148" ht="10.199999999999999" customHeight="1">
      <c r="A9" s="43" t="s">
        <v>416</v>
      </c>
      <c r="B9" s="108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>
        <v>-10421</v>
      </c>
      <c r="O9" s="203">
        <f>R9-N9</f>
        <v>-11236</v>
      </c>
      <c r="P9" s="203">
        <f>-33005-R9</f>
        <v>-11348</v>
      </c>
      <c r="Q9" s="1448">
        <f>S9-P9</f>
        <v>-14720</v>
      </c>
      <c r="R9" s="203">
        <v>-21657</v>
      </c>
      <c r="S9" s="203">
        <f>T9-R9</f>
        <v>-26068</v>
      </c>
      <c r="T9" s="1461">
        <f>+-49613-T20</f>
        <v>-47725</v>
      </c>
      <c r="U9" s="203">
        <v>-10669</v>
      </c>
      <c r="V9" s="203">
        <f t="shared" ref="V9" si="0">Y9-U9</f>
        <v>-12089</v>
      </c>
      <c r="W9" s="203">
        <f>-34099-Y9</f>
        <v>-11341</v>
      </c>
      <c r="X9" s="1448">
        <f>Z9-W9</f>
        <v>-17677</v>
      </c>
      <c r="Y9" s="203">
        <v>-22758</v>
      </c>
      <c r="Z9" s="203">
        <f>AA9-Y9</f>
        <v>-29018</v>
      </c>
      <c r="AA9" s="1461">
        <v>-51776</v>
      </c>
      <c r="AB9" s="203">
        <v>-10370</v>
      </c>
      <c r="AC9" s="203">
        <f>AF9-AB9</f>
        <v>-14489</v>
      </c>
      <c r="AD9" s="203">
        <f>-36942-AF9</f>
        <v>-12083</v>
      </c>
      <c r="AE9" s="1448">
        <f>AG9-AD9</f>
        <v>-18657</v>
      </c>
      <c r="AF9" s="203">
        <v>-24859</v>
      </c>
      <c r="AG9" s="203">
        <f>AH9-AF9</f>
        <v>-30740</v>
      </c>
      <c r="AH9" s="1461">
        <v>-55599</v>
      </c>
      <c r="AI9" s="203">
        <v>-10740</v>
      </c>
      <c r="AJ9" s="203">
        <f>AM9-AI9</f>
        <v>-15903</v>
      </c>
      <c r="AK9" s="203">
        <f>-38939-AM9</f>
        <v>-12296</v>
      </c>
      <c r="AL9" s="1448">
        <f>AN9-AK9</f>
        <v>-22378</v>
      </c>
      <c r="AM9" s="203">
        <v>-26643</v>
      </c>
      <c r="AN9" s="203">
        <f>AO9-AM9</f>
        <v>-34674</v>
      </c>
      <c r="AO9" s="1461">
        <v>-61317</v>
      </c>
      <c r="AP9" s="203">
        <v>-11703</v>
      </c>
      <c r="AQ9" s="203">
        <f>+AT9-AP9</f>
        <v>-13638</v>
      </c>
      <c r="AR9" s="203">
        <v>-12674</v>
      </c>
      <c r="AS9" s="1448">
        <f>AU9-AR9</f>
        <v>-21145</v>
      </c>
      <c r="AT9" s="203">
        <v>-25341</v>
      </c>
      <c r="AU9" s="203">
        <f>AV9-AT9</f>
        <v>-33819</v>
      </c>
      <c r="AV9" s="1461">
        <v>-59160</v>
      </c>
      <c r="AW9" s="203">
        <v>-10437</v>
      </c>
      <c r="AX9" s="203">
        <f>+BA9-AW9</f>
        <v>-11953</v>
      </c>
      <c r="AY9" s="203">
        <f>-33707-BA9</f>
        <v>-11317</v>
      </c>
      <c r="AZ9" s="1448">
        <f>BB9-AY9</f>
        <v>-18442</v>
      </c>
      <c r="BA9" s="203">
        <v>-22390</v>
      </c>
      <c r="BB9" s="203">
        <f>BC9-BA9</f>
        <v>-29759</v>
      </c>
      <c r="BC9" s="1461">
        <v>-52149</v>
      </c>
      <c r="BD9" s="203">
        <v>-9045</v>
      </c>
      <c r="BE9" s="203">
        <f>BH9-BD9</f>
        <v>-12685</v>
      </c>
      <c r="BF9" s="203">
        <f>-34357-BH9</f>
        <v>-12627</v>
      </c>
      <c r="BG9" s="1448">
        <f>BI9-BF9</f>
        <v>-20563</v>
      </c>
      <c r="BH9" s="203">
        <v>-21730</v>
      </c>
      <c r="BI9" s="203">
        <f>BJ9-BH9</f>
        <v>-33190</v>
      </c>
      <c r="BJ9" s="1461">
        <v>-54920</v>
      </c>
      <c r="BK9" s="203">
        <v>-11169</v>
      </c>
      <c r="BL9" s="203">
        <v>-15085</v>
      </c>
      <c r="BM9" s="203">
        <f>-38985-BO9</f>
        <v>-12731</v>
      </c>
      <c r="BN9" s="1448">
        <f>BP9-BM9</f>
        <v>-20988</v>
      </c>
      <c r="BO9" s="203">
        <f>BK9+BL9</f>
        <v>-26254</v>
      </c>
      <c r="BP9" s="203">
        <f>BQ9-BO9</f>
        <v>-33719</v>
      </c>
      <c r="BQ9" s="1461">
        <v>-59973</v>
      </c>
      <c r="BR9" s="203">
        <v>-9430</v>
      </c>
      <c r="BS9" s="203">
        <v>-8566</v>
      </c>
      <c r="BT9" s="203">
        <v>-9528</v>
      </c>
      <c r="BU9" s="1448">
        <f>BW9-BT9</f>
        <v>-16726</v>
      </c>
      <c r="BV9" s="203">
        <f>BR9+BS9</f>
        <v>-17996</v>
      </c>
      <c r="BW9" s="203">
        <f>BX9-BV9</f>
        <v>-26254</v>
      </c>
      <c r="BX9" s="1461">
        <v>-44250</v>
      </c>
      <c r="BY9" s="203">
        <v>-8981</v>
      </c>
      <c r="BZ9" s="203">
        <f>CC9-BY9</f>
        <v>-10895</v>
      </c>
      <c r="CA9" s="203">
        <v>-8730</v>
      </c>
      <c r="CB9" s="1448">
        <f>CD9-CA9</f>
        <v>-13912</v>
      </c>
      <c r="CC9" s="203">
        <v>-19876</v>
      </c>
      <c r="CD9" s="203">
        <f>CE9-CC9</f>
        <v>-22642</v>
      </c>
      <c r="CE9" s="1461">
        <v>-42518</v>
      </c>
      <c r="CF9" s="203">
        <v>-9460</v>
      </c>
      <c r="CG9" s="203">
        <f>CJ9-CF9</f>
        <v>-10431</v>
      </c>
      <c r="CH9" s="203">
        <v>-11162</v>
      </c>
      <c r="CI9" s="1448">
        <f>CK9-CH9</f>
        <v>-17139</v>
      </c>
      <c r="CJ9" s="203">
        <v>-19891</v>
      </c>
      <c r="CK9" s="203">
        <f>CL9-CJ9</f>
        <v>-28301</v>
      </c>
      <c r="CL9" s="1461">
        <v>-48192</v>
      </c>
      <c r="CM9" s="203">
        <v>-10103</v>
      </c>
      <c r="CN9" s="203">
        <f>CQ9-CM9</f>
        <v>-13043</v>
      </c>
      <c r="CO9" s="203">
        <v>-12846</v>
      </c>
      <c r="CP9" s="1448">
        <f>CR9-CO9</f>
        <v>-19410</v>
      </c>
      <c r="CQ9" s="203">
        <v>-23146</v>
      </c>
      <c r="CR9" s="203">
        <f>CS9-CQ9</f>
        <v>-32256</v>
      </c>
      <c r="CS9" s="1461">
        <v>-55402</v>
      </c>
      <c r="CT9" s="203">
        <v>-10897</v>
      </c>
      <c r="CU9" s="203">
        <f>CX9-CT9</f>
        <v>-13755</v>
      </c>
      <c r="CV9" s="203">
        <v>-13222</v>
      </c>
      <c r="CW9" s="1448">
        <f>CY9-CV9</f>
        <v>-20681</v>
      </c>
      <c r="CX9" s="203">
        <v>-24652</v>
      </c>
      <c r="CY9" s="203">
        <f>CZ9-CX9</f>
        <v>-33903</v>
      </c>
      <c r="CZ9" s="1461">
        <v>-58555</v>
      </c>
      <c r="DA9" s="203">
        <v>-11664</v>
      </c>
      <c r="DB9" s="203">
        <f>DE9-DA9</f>
        <v>-13696</v>
      </c>
      <c r="DC9" s="2081">
        <v>-14899</v>
      </c>
      <c r="DD9" s="1448">
        <f>DF9-DC9</f>
        <v>-22194</v>
      </c>
      <c r="DE9" s="2081">
        <v>-25360</v>
      </c>
      <c r="DF9" s="203">
        <f>DG9-DE9</f>
        <v>-37093</v>
      </c>
      <c r="DG9" s="1269">
        <v>-62453</v>
      </c>
      <c r="DH9" s="203">
        <v>-11095</v>
      </c>
      <c r="DI9" s="203">
        <f>DL9-DH9</f>
        <v>-16742</v>
      </c>
      <c r="DJ9" s="860">
        <f t="shared" ref="DJ9:EP9" si="1">+DJ10-DJ8</f>
        <v>-16681.661452147102</v>
      </c>
      <c r="DK9" s="1557">
        <f>DM9-DJ9</f>
        <v>-23955.760803911518</v>
      </c>
      <c r="DL9" s="1892">
        <v>-27837</v>
      </c>
      <c r="DM9" s="1422">
        <f>DN9-DL9</f>
        <v>-40637.42225605862</v>
      </c>
      <c r="DN9" s="1119">
        <f t="shared" si="1"/>
        <v>-68474.42225605862</v>
      </c>
      <c r="DO9" s="860">
        <f>(DO8/DU8)*DU9</f>
        <v>-17151.737161170644</v>
      </c>
      <c r="DP9" s="860">
        <f>DS9-DO9</f>
        <v>-18928.144604329686</v>
      </c>
      <c r="DQ9" s="860">
        <f>(DQ8/DU8)*DU9</f>
        <v>-18839.298830401975</v>
      </c>
      <c r="DR9" s="1557">
        <f>DT9-DQ9</f>
        <v>-21289.258384342858</v>
      </c>
      <c r="DS9" s="860">
        <f>(DS8/DU8)*DU9</f>
        <v>-36079.881765500329</v>
      </c>
      <c r="DT9" s="1422">
        <f>DU9-DS9</f>
        <v>-40128.557214744833</v>
      </c>
      <c r="DU9" s="1119">
        <f t="shared" si="1"/>
        <v>-76208.438980245162</v>
      </c>
      <c r="DV9" s="860">
        <f>(DV8/EB8)*EB9</f>
        <v>-18615.79671485347</v>
      </c>
      <c r="DW9" s="860">
        <f>DZ9-DV9</f>
        <v>-20556.747466270306</v>
      </c>
      <c r="DX9" s="860">
        <f>(DX8/EB8)*EB9</f>
        <v>-20463.866616888841</v>
      </c>
      <c r="DY9" s="1557">
        <f>EA9-DX9</f>
        <v>-23336.28915624537</v>
      </c>
      <c r="DZ9" s="860">
        <f>(DZ8/EB8)*EB9</f>
        <v>-39172.544181123776</v>
      </c>
      <c r="EA9" s="1422">
        <f>EB9-DZ9</f>
        <v>-43800.155773134211</v>
      </c>
      <c r="EB9" s="1119">
        <f t="shared" si="1"/>
        <v>-82972.699954257987</v>
      </c>
      <c r="EC9" s="860">
        <f>(EC8/EI8)*EI9</f>
        <v>-19970.651449455621</v>
      </c>
      <c r="ED9" s="860">
        <f>EG9-EC9</f>
        <v>-21315.583771203495</v>
      </c>
      <c r="EE9" s="860">
        <f>(EE8/EI8)*EI9</f>
        <v>-21217.824680420006</v>
      </c>
      <c r="EF9" s="1557">
        <f>EH9-EE9</f>
        <v>-24211.419546907342</v>
      </c>
      <c r="EG9" s="860">
        <f>(EG8/EI8)*EI9</f>
        <v>-41286.235220659117</v>
      </c>
      <c r="EH9" s="1422">
        <f>EI9-EG9</f>
        <v>-45429.244227327348</v>
      </c>
      <c r="EI9" s="1119">
        <f t="shared" si="1"/>
        <v>-86715.479447986465</v>
      </c>
      <c r="EJ9" s="860">
        <f>(EJ8/EP8)*EP9</f>
        <v>-20639.307126606367</v>
      </c>
      <c r="EK9" s="860">
        <f>EN9-EJ9</f>
        <v>-22051.693022030497</v>
      </c>
      <c r="EL9" s="860">
        <f>(EL8/EP8)*EP9</f>
        <v>-21949.522086959743</v>
      </c>
      <c r="EM9" s="1557">
        <f>EO9-EL9</f>
        <v>-25063.477339686873</v>
      </c>
      <c r="EN9" s="860">
        <f>(EN8/EP8)*EP9</f>
        <v>-42691.000148636864</v>
      </c>
      <c r="EO9" s="1422">
        <f>EP9-EN9</f>
        <v>-47012.999426646616</v>
      </c>
      <c r="EP9" s="1119">
        <f t="shared" si="1"/>
        <v>-89703.99957528348</v>
      </c>
      <c r="EQ9" s="43"/>
      <c r="ER9" s="46"/>
    </row>
    <row r="10" spans="1:148" ht="10.199999999999999" customHeight="1">
      <c r="A10" s="48" t="s">
        <v>417</v>
      </c>
      <c r="B10" s="48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>
        <f t="shared" ref="N10:S10" si="2">N8+N9</f>
        <v>1673</v>
      </c>
      <c r="O10" s="92">
        <f t="shared" si="2"/>
        <v>2340</v>
      </c>
      <c r="P10" s="92">
        <f t="shared" si="2"/>
        <v>1929</v>
      </c>
      <c r="Q10" s="699">
        <f t="shared" si="2"/>
        <v>3900</v>
      </c>
      <c r="R10" s="92">
        <f t="shared" si="2"/>
        <v>4013</v>
      </c>
      <c r="S10" s="92">
        <f t="shared" si="2"/>
        <v>5829</v>
      </c>
      <c r="T10" s="1289">
        <f>+T8+T9</f>
        <v>9842</v>
      </c>
      <c r="U10" s="92">
        <f t="shared" ref="U10:Z10" si="3">U8+U9</f>
        <v>1979</v>
      </c>
      <c r="V10" s="92">
        <f t="shared" si="3"/>
        <v>2463</v>
      </c>
      <c r="W10" s="92">
        <f t="shared" si="3"/>
        <v>1956</v>
      </c>
      <c r="X10" s="699">
        <f t="shared" si="3"/>
        <v>2539</v>
      </c>
      <c r="Y10" s="92">
        <f t="shared" si="3"/>
        <v>4442</v>
      </c>
      <c r="Z10" s="92">
        <f t="shared" si="3"/>
        <v>4495</v>
      </c>
      <c r="AA10" s="1289">
        <f>+AA8+AA9</f>
        <v>8937</v>
      </c>
      <c r="AB10" s="92">
        <f t="shared" ref="AB10:AG10" si="4">AB8+AB9</f>
        <v>1708</v>
      </c>
      <c r="AC10" s="92">
        <f t="shared" si="4"/>
        <v>2326</v>
      </c>
      <c r="AD10" s="92">
        <f t="shared" si="4"/>
        <v>1989</v>
      </c>
      <c r="AE10" s="699">
        <f t="shared" si="4"/>
        <v>2828</v>
      </c>
      <c r="AF10" s="92">
        <f t="shared" si="4"/>
        <v>4034</v>
      </c>
      <c r="AG10" s="92">
        <f t="shared" si="4"/>
        <v>4817</v>
      </c>
      <c r="AH10" s="1289">
        <f>+AH8+AH9</f>
        <v>8851</v>
      </c>
      <c r="AI10" s="92">
        <f t="shared" ref="AI10:AN10" si="5">AI8+AI9</f>
        <v>1443</v>
      </c>
      <c r="AJ10" s="92">
        <f t="shared" si="5"/>
        <v>669</v>
      </c>
      <c r="AK10" s="92">
        <f t="shared" si="5"/>
        <v>1654</v>
      </c>
      <c r="AL10" s="699">
        <f t="shared" si="5"/>
        <v>1498</v>
      </c>
      <c r="AM10" s="92">
        <f t="shared" si="5"/>
        <v>2112</v>
      </c>
      <c r="AN10" s="92">
        <f t="shared" si="5"/>
        <v>3152</v>
      </c>
      <c r="AO10" s="1289">
        <f>+AO8+AO9</f>
        <v>5264</v>
      </c>
      <c r="AP10" s="92">
        <f t="shared" ref="AP10:AQ10" si="6">AP8+AP9</f>
        <v>1285</v>
      </c>
      <c r="AQ10" s="92">
        <f t="shared" si="6"/>
        <v>2083</v>
      </c>
      <c r="AR10" s="92">
        <f t="shared" ref="AR10:AS10" si="7">AR8+AR9</f>
        <v>1570</v>
      </c>
      <c r="AS10" s="699">
        <f t="shared" si="7"/>
        <v>2669</v>
      </c>
      <c r="AT10" s="92">
        <f t="shared" ref="AT10:AU10" si="8">AT8+AT9</f>
        <v>3368</v>
      </c>
      <c r="AU10" s="92">
        <f t="shared" si="8"/>
        <v>4239</v>
      </c>
      <c r="AV10" s="1289">
        <f t="shared" ref="AV10:CR10" si="9">AV8+AV9</f>
        <v>7607</v>
      </c>
      <c r="AW10" s="92">
        <f t="shared" si="9"/>
        <v>1005</v>
      </c>
      <c r="AX10" s="92">
        <f t="shared" si="9"/>
        <v>1780</v>
      </c>
      <c r="AY10" s="92">
        <f t="shared" si="9"/>
        <v>1515</v>
      </c>
      <c r="AZ10" s="699">
        <f t="shared" si="9"/>
        <v>2573</v>
      </c>
      <c r="BA10" s="92">
        <f t="shared" si="9"/>
        <v>2785</v>
      </c>
      <c r="BB10" s="92">
        <f t="shared" si="9"/>
        <v>4088</v>
      </c>
      <c r="BC10" s="1289">
        <f t="shared" si="9"/>
        <v>6873</v>
      </c>
      <c r="BD10" s="92">
        <f t="shared" ref="BD10:BI10" si="10">BD8+BD9</f>
        <v>1074</v>
      </c>
      <c r="BE10" s="92">
        <f t="shared" si="10"/>
        <v>2166</v>
      </c>
      <c r="BF10" s="92">
        <f t="shared" si="10"/>
        <v>2824</v>
      </c>
      <c r="BG10" s="699">
        <f t="shared" si="10"/>
        <v>2723</v>
      </c>
      <c r="BH10" s="92">
        <f t="shared" si="10"/>
        <v>3240</v>
      </c>
      <c r="BI10" s="92">
        <f t="shared" si="10"/>
        <v>5547</v>
      </c>
      <c r="BJ10" s="1289">
        <f t="shared" si="9"/>
        <v>8787</v>
      </c>
      <c r="BK10" s="92">
        <f t="shared" si="9"/>
        <v>1380</v>
      </c>
      <c r="BL10" s="92">
        <f t="shared" si="9"/>
        <v>3232</v>
      </c>
      <c r="BM10" s="92">
        <f t="shared" si="9"/>
        <v>2571</v>
      </c>
      <c r="BN10" s="699">
        <f t="shared" si="9"/>
        <v>3322</v>
      </c>
      <c r="BO10" s="92">
        <f t="shared" si="9"/>
        <v>4612</v>
      </c>
      <c r="BP10" s="92">
        <f t="shared" si="9"/>
        <v>5893</v>
      </c>
      <c r="BQ10" s="1289">
        <f t="shared" si="9"/>
        <v>10505</v>
      </c>
      <c r="BR10" s="92">
        <f t="shared" ref="BR10:BW10" si="11">BR8+BR9</f>
        <v>1201</v>
      </c>
      <c r="BS10" s="92">
        <f t="shared" si="11"/>
        <v>-249</v>
      </c>
      <c r="BT10" s="92">
        <f t="shared" si="11"/>
        <v>1685</v>
      </c>
      <c r="BU10" s="699">
        <f t="shared" si="11"/>
        <v>3025</v>
      </c>
      <c r="BV10" s="92">
        <f t="shared" si="11"/>
        <v>952</v>
      </c>
      <c r="BW10" s="92">
        <f t="shared" si="11"/>
        <v>4710</v>
      </c>
      <c r="BX10" s="1289">
        <f t="shared" si="9"/>
        <v>5662</v>
      </c>
      <c r="BY10" s="92">
        <f t="shared" si="9"/>
        <v>1479</v>
      </c>
      <c r="BZ10" s="92">
        <f t="shared" si="9"/>
        <v>3282</v>
      </c>
      <c r="CA10" s="92">
        <f t="shared" si="9"/>
        <v>1788</v>
      </c>
      <c r="CB10" s="699">
        <f t="shared" si="9"/>
        <v>3082</v>
      </c>
      <c r="CC10" s="92">
        <f t="shared" si="9"/>
        <v>4761</v>
      </c>
      <c r="CD10" s="92">
        <f t="shared" si="9"/>
        <v>4870</v>
      </c>
      <c r="CE10" s="1289">
        <f t="shared" si="9"/>
        <v>9631</v>
      </c>
      <c r="CF10" s="92">
        <f t="shared" ref="CF10:CK10" si="12">CF8+CF9</f>
        <v>2540</v>
      </c>
      <c r="CG10" s="92">
        <f t="shared" si="12"/>
        <v>2379</v>
      </c>
      <c r="CH10" s="92">
        <f t="shared" si="12"/>
        <v>2147</v>
      </c>
      <c r="CI10" s="699">
        <f t="shared" si="12"/>
        <v>3505</v>
      </c>
      <c r="CJ10" s="92">
        <f t="shared" si="12"/>
        <v>4919</v>
      </c>
      <c r="CK10" s="92">
        <f t="shared" si="12"/>
        <v>5652</v>
      </c>
      <c r="CL10" s="1289">
        <f t="shared" si="9"/>
        <v>10571</v>
      </c>
      <c r="CM10" s="92">
        <f t="shared" si="9"/>
        <v>1660</v>
      </c>
      <c r="CN10" s="92">
        <f t="shared" si="9"/>
        <v>2857</v>
      </c>
      <c r="CO10" s="92">
        <f t="shared" si="9"/>
        <v>2051</v>
      </c>
      <c r="CP10" s="699">
        <f t="shared" si="9"/>
        <v>3476</v>
      </c>
      <c r="CQ10" s="92">
        <f t="shared" si="9"/>
        <v>4517</v>
      </c>
      <c r="CR10" s="92">
        <f t="shared" si="9"/>
        <v>5527</v>
      </c>
      <c r="CS10" s="1289">
        <f t="shared" ref="CS10:CT10" si="13">CS8+CS9</f>
        <v>10044</v>
      </c>
      <c r="CT10" s="92">
        <f t="shared" si="13"/>
        <v>1933</v>
      </c>
      <c r="CU10" s="92">
        <f t="shared" ref="CU10:CW10" si="14">CU8+CU9</f>
        <v>2240</v>
      </c>
      <c r="CV10" s="92">
        <f t="shared" si="14"/>
        <v>2467</v>
      </c>
      <c r="CW10" s="699">
        <f t="shared" si="14"/>
        <v>4035</v>
      </c>
      <c r="CX10" s="92">
        <f t="shared" ref="CX10:DB10" si="15">CX8+CX9</f>
        <v>4173</v>
      </c>
      <c r="CY10" s="92">
        <f t="shared" si="15"/>
        <v>6502</v>
      </c>
      <c r="CZ10" s="1289">
        <f t="shared" si="15"/>
        <v>10675</v>
      </c>
      <c r="DA10" s="92">
        <f t="shared" si="15"/>
        <v>1878</v>
      </c>
      <c r="DB10" s="92">
        <f t="shared" si="15"/>
        <v>2372</v>
      </c>
      <c r="DC10" s="92">
        <f t="shared" ref="DC10:DI10" si="16">DC8+DC9</f>
        <v>2927</v>
      </c>
      <c r="DD10" s="699">
        <f t="shared" si="16"/>
        <v>3790</v>
      </c>
      <c r="DE10" s="92">
        <f t="shared" si="16"/>
        <v>4250</v>
      </c>
      <c r="DF10" s="92">
        <f t="shared" si="16"/>
        <v>6717</v>
      </c>
      <c r="DG10" s="1268">
        <f t="shared" si="16"/>
        <v>10967</v>
      </c>
      <c r="DH10" s="92">
        <f t="shared" si="16"/>
        <v>1556</v>
      </c>
      <c r="DI10" s="92">
        <f t="shared" si="16"/>
        <v>3783</v>
      </c>
      <c r="DJ10" s="622">
        <f t="shared" ref="DJ10:EP10" si="17">+DJ11*DJ8</f>
        <v>2715.6193061634817</v>
      </c>
      <c r="DK10" s="623">
        <f t="shared" ref="DK10:DM10" si="18">DK8+DK9</f>
        <v>4029.1022684350974</v>
      </c>
      <c r="DL10" s="1919">
        <f t="shared" si="18"/>
        <v>5339</v>
      </c>
      <c r="DM10" s="622">
        <f t="shared" si="18"/>
        <v>6744.7215745985668</v>
      </c>
      <c r="DN10" s="762">
        <f t="shared" si="17"/>
        <v>12083.72157459858</v>
      </c>
      <c r="DO10" s="622">
        <f t="shared" ref="DO10:DT10" si="19">DO8+DO9</f>
        <v>3026.7771460889344</v>
      </c>
      <c r="DP10" s="625">
        <f t="shared" si="19"/>
        <v>3340.2608125287625</v>
      </c>
      <c r="DQ10" s="622">
        <f t="shared" si="19"/>
        <v>3324.5821465415247</v>
      </c>
      <c r="DR10" s="623">
        <f t="shared" si="19"/>
        <v>3756.927950178153</v>
      </c>
      <c r="DS10" s="622">
        <f t="shared" si="19"/>
        <v>6367.0379586177005</v>
      </c>
      <c r="DT10" s="622">
        <f t="shared" si="19"/>
        <v>7081.5100967196777</v>
      </c>
      <c r="DU10" s="762">
        <f t="shared" si="17"/>
        <v>13448.54805533738</v>
      </c>
      <c r="DV10" s="622">
        <f t="shared" ref="DV10:EA10" si="20">DV8+DV9</f>
        <v>3285.1405967388491</v>
      </c>
      <c r="DW10" s="625">
        <f t="shared" si="20"/>
        <v>3627.6613175771126</v>
      </c>
      <c r="DX10" s="622">
        <f t="shared" si="20"/>
        <v>3611.2705794509711</v>
      </c>
      <c r="DY10" s="623">
        <f t="shared" si="20"/>
        <v>4118.1686746315281</v>
      </c>
      <c r="DZ10" s="622">
        <f t="shared" si="20"/>
        <v>6912.8019143159618</v>
      </c>
      <c r="EA10" s="622">
        <f t="shared" si="20"/>
        <v>7729.4392540824992</v>
      </c>
      <c r="EB10" s="762">
        <f t="shared" si="17"/>
        <v>14642.241168398468</v>
      </c>
      <c r="EC10" s="622">
        <f t="shared" ref="EC10:EH10" si="21">EC8+EC9</f>
        <v>3524.2326087274669</v>
      </c>
      <c r="ED10" s="625">
        <f t="shared" si="21"/>
        <v>3761.5736066829668</v>
      </c>
      <c r="EE10" s="622">
        <f t="shared" si="21"/>
        <v>3744.3220024270631</v>
      </c>
      <c r="EF10" s="623">
        <f t="shared" si="21"/>
        <v>4272.6034494542364</v>
      </c>
      <c r="EG10" s="622">
        <f t="shared" si="21"/>
        <v>7285.8062154104337</v>
      </c>
      <c r="EH10" s="622">
        <f t="shared" si="21"/>
        <v>8016.9254518812959</v>
      </c>
      <c r="EI10" s="762">
        <f t="shared" si="17"/>
        <v>15302.73166729173</v>
      </c>
      <c r="EJ10" s="622">
        <f t="shared" ref="EJ10:EO10" si="22">EJ8+EJ9</f>
        <v>3642.230669401124</v>
      </c>
      <c r="EK10" s="625">
        <f t="shared" si="22"/>
        <v>3891.475239181862</v>
      </c>
      <c r="EL10" s="622">
        <f t="shared" si="22"/>
        <v>3873.4450741693654</v>
      </c>
      <c r="EM10" s="623">
        <f t="shared" si="22"/>
        <v>4422.9665893565179</v>
      </c>
      <c r="EN10" s="622">
        <f t="shared" si="22"/>
        <v>7533.7059085829824</v>
      </c>
      <c r="EO10" s="622">
        <f t="shared" si="22"/>
        <v>8296.4116635258761</v>
      </c>
      <c r="EP10" s="762">
        <f t="shared" si="17"/>
        <v>15830.117572108849</v>
      </c>
      <c r="EQ10" s="48"/>
      <c r="ER10" s="97"/>
    </row>
    <row r="11" spans="1:148" ht="10.199999999999999" customHeight="1">
      <c r="A11" s="157" t="s">
        <v>554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251">
        <f t="shared" ref="N11:S11" si="23">+N10/N8</f>
        <v>0.13833305771456922</v>
      </c>
      <c r="O11" s="251">
        <f t="shared" si="23"/>
        <v>0.17236299351797291</v>
      </c>
      <c r="P11" s="251">
        <f t="shared" si="23"/>
        <v>0.14528884537169542</v>
      </c>
      <c r="Q11" s="1277">
        <f t="shared" si="23"/>
        <v>0.20945220193340494</v>
      </c>
      <c r="R11" s="251">
        <f t="shared" si="23"/>
        <v>0.15633034670821971</v>
      </c>
      <c r="S11" s="251">
        <f t="shared" si="23"/>
        <v>0.182744458726526</v>
      </c>
      <c r="T11" s="1295">
        <f t="shared" ref="T11:CL11" si="24">+T10/T8</f>
        <v>0.17096600482915558</v>
      </c>
      <c r="U11" s="251">
        <f t="shared" ref="U11:Z11" si="25">+U10/U8</f>
        <v>0.1564674256799494</v>
      </c>
      <c r="V11" s="251">
        <f t="shared" si="25"/>
        <v>0.16925508521165475</v>
      </c>
      <c r="W11" s="251">
        <f t="shared" si="25"/>
        <v>0.14710084981574792</v>
      </c>
      <c r="X11" s="1277">
        <f t="shared" si="25"/>
        <v>0.12559358923624853</v>
      </c>
      <c r="Y11" s="251">
        <f t="shared" si="25"/>
        <v>0.16330882352941176</v>
      </c>
      <c r="Z11" s="251">
        <f t="shared" si="25"/>
        <v>0.13412705517261958</v>
      </c>
      <c r="AA11" s="1295">
        <f t="shared" si="24"/>
        <v>0.14720076425147827</v>
      </c>
      <c r="AB11" s="251">
        <f t="shared" si="24"/>
        <v>0.14141414141414141</v>
      </c>
      <c r="AC11" s="251">
        <f t="shared" si="24"/>
        <v>0.13832887303003272</v>
      </c>
      <c r="AD11" s="251">
        <f t="shared" si="24"/>
        <v>0.14134451392836839</v>
      </c>
      <c r="AE11" s="1277">
        <f t="shared" si="24"/>
        <v>0.13162671631370723</v>
      </c>
      <c r="AF11" s="251">
        <f t="shared" si="24"/>
        <v>0.13961859273872565</v>
      </c>
      <c r="AG11" s="251">
        <f t="shared" si="24"/>
        <v>0.13547262142475461</v>
      </c>
      <c r="AH11" s="1295">
        <f t="shared" si="24"/>
        <v>0.13733126454615982</v>
      </c>
      <c r="AI11" s="251">
        <f t="shared" ref="AI11:AN11" si="26">+AI10/AI8</f>
        <v>0.11844373307067224</v>
      </c>
      <c r="AJ11" s="251">
        <f t="shared" si="26"/>
        <v>4.0369297610427228E-2</v>
      </c>
      <c r="AK11" s="251">
        <f t="shared" si="26"/>
        <v>0.1185663082437276</v>
      </c>
      <c r="AL11" s="1277">
        <f t="shared" si="26"/>
        <v>6.2740827609314792E-2</v>
      </c>
      <c r="AM11" s="251">
        <f t="shared" si="26"/>
        <v>7.3448095983307246E-2</v>
      </c>
      <c r="AN11" s="251">
        <f t="shared" si="26"/>
        <v>8.3328927192936081E-2</v>
      </c>
      <c r="AO11" s="1295">
        <f t="shared" si="24"/>
        <v>7.9061594148480796E-2</v>
      </c>
      <c r="AP11" s="251">
        <f t="shared" si="24"/>
        <v>9.8937480751462886E-2</v>
      </c>
      <c r="AQ11" s="251">
        <f t="shared" si="24"/>
        <v>0.13249793270148211</v>
      </c>
      <c r="AR11" s="251">
        <f t="shared" ref="AR11:AS11" si="27">+AR10/AR8</f>
        <v>0.11022184779556304</v>
      </c>
      <c r="AS11" s="1277">
        <f t="shared" si="27"/>
        <v>0.112076929537247</v>
      </c>
      <c r="AT11" s="251">
        <f t="shared" ref="AT11:AU11" si="28">+AT10/AT8</f>
        <v>0.11731512766031559</v>
      </c>
      <c r="AU11" s="251">
        <f t="shared" si="28"/>
        <v>0.11138262651742079</v>
      </c>
      <c r="AV11" s="1295">
        <f t="shared" si="24"/>
        <v>0.11393353003729387</v>
      </c>
      <c r="AW11" s="251">
        <f t="shared" ref="AW11:BB11" si="29">+AW10/AW8</f>
        <v>8.7834294703723129E-2</v>
      </c>
      <c r="AX11" s="251">
        <f t="shared" si="29"/>
        <v>0.12961479647564261</v>
      </c>
      <c r="AY11" s="251">
        <f t="shared" si="29"/>
        <v>0.1180642144638404</v>
      </c>
      <c r="AZ11" s="1277">
        <f t="shared" si="29"/>
        <v>0.12243635498453485</v>
      </c>
      <c r="BA11" s="251">
        <f t="shared" si="29"/>
        <v>0.11062562065541212</v>
      </c>
      <c r="BB11" s="251">
        <f t="shared" si="29"/>
        <v>0.12077879871185039</v>
      </c>
      <c r="BC11" s="1295">
        <f t="shared" si="24"/>
        <v>0.11644810409677747</v>
      </c>
      <c r="BD11" s="251">
        <f t="shared" si="24"/>
        <v>0.10613697005632967</v>
      </c>
      <c r="BE11" s="251">
        <f t="shared" si="24"/>
        <v>0.14584876439297018</v>
      </c>
      <c r="BF11" s="251">
        <f t="shared" si="24"/>
        <v>0.18277134166073394</v>
      </c>
      <c r="BG11" s="1277">
        <f t="shared" si="24"/>
        <v>0.11693721549428841</v>
      </c>
      <c r="BH11" s="251">
        <f t="shared" si="24"/>
        <v>0.12975570684821786</v>
      </c>
      <c r="BI11" s="251">
        <f t="shared" si="24"/>
        <v>0.14319642718847614</v>
      </c>
      <c r="BJ11" s="1295">
        <f t="shared" si="24"/>
        <v>0.13792832812720737</v>
      </c>
      <c r="BK11" s="251">
        <f t="shared" ref="BK11:BP11" si="30">+BK10/BK8</f>
        <v>0.10996892182644036</v>
      </c>
      <c r="BL11" s="251">
        <f t="shared" si="30"/>
        <v>0.17644810831468036</v>
      </c>
      <c r="BM11" s="251">
        <f t="shared" si="30"/>
        <v>0.16801725264671286</v>
      </c>
      <c r="BN11" s="1277">
        <f t="shared" si="30"/>
        <v>0.13665158371040723</v>
      </c>
      <c r="BO11" s="251">
        <f t="shared" si="30"/>
        <v>0.14942007386768613</v>
      </c>
      <c r="BP11" s="251">
        <f t="shared" si="30"/>
        <v>0.14876805008583258</v>
      </c>
      <c r="BQ11" s="1295">
        <f t="shared" si="24"/>
        <v>0.14905360538040238</v>
      </c>
      <c r="BR11" s="251">
        <f t="shared" si="24"/>
        <v>0.11297149844793529</v>
      </c>
      <c r="BS11" s="251">
        <f t="shared" ref="BS11:BW11" si="31">+BS10/BS8</f>
        <v>-2.9938679812432367E-2</v>
      </c>
      <c r="BT11" s="251">
        <f t="shared" si="31"/>
        <v>0.15027200570766075</v>
      </c>
      <c r="BU11" s="1277">
        <f t="shared" si="31"/>
        <v>0.15315680218723102</v>
      </c>
      <c r="BV11" s="251">
        <f t="shared" si="31"/>
        <v>5.0242769685454929E-2</v>
      </c>
      <c r="BW11" s="251">
        <f t="shared" si="31"/>
        <v>0.15211213021573441</v>
      </c>
      <c r="BX11" s="1295">
        <f t="shared" si="24"/>
        <v>0.11343965379067159</v>
      </c>
      <c r="BY11" s="251">
        <f t="shared" ref="BY11:CD11" si="32">+BY10/BY8</f>
        <v>0.14139579349904396</v>
      </c>
      <c r="BZ11" s="251">
        <f t="shared" si="32"/>
        <v>0.23150172815123088</v>
      </c>
      <c r="CA11" s="251">
        <f t="shared" si="32"/>
        <v>0.16999429549343981</v>
      </c>
      <c r="CB11" s="1277">
        <f t="shared" si="32"/>
        <v>0.18135812639755208</v>
      </c>
      <c r="CC11" s="251">
        <f t="shared" si="32"/>
        <v>0.19324593091691358</v>
      </c>
      <c r="CD11" s="251">
        <f t="shared" si="32"/>
        <v>0.17701366676359406</v>
      </c>
      <c r="CE11" s="1295">
        <f t="shared" si="24"/>
        <v>0.18468235248998063</v>
      </c>
      <c r="CF11" s="251">
        <f t="shared" si="24"/>
        <v>0.21166666666666667</v>
      </c>
      <c r="CG11" s="251">
        <f t="shared" si="24"/>
        <v>0.18571428571428572</v>
      </c>
      <c r="CH11" s="251">
        <f t="shared" si="24"/>
        <v>0.16131940791945301</v>
      </c>
      <c r="CI11" s="1277">
        <f t="shared" si="24"/>
        <v>0.16978298779306336</v>
      </c>
      <c r="CJ11" s="251">
        <f t="shared" si="24"/>
        <v>0.19826682789197905</v>
      </c>
      <c r="CK11" s="251">
        <f t="shared" si="24"/>
        <v>0.1664654080640886</v>
      </c>
      <c r="CL11" s="1295">
        <f t="shared" si="24"/>
        <v>0.17989210898014057</v>
      </c>
      <c r="CM11" s="251">
        <f t="shared" ref="CM11:CR11" si="33">+CM10/CM8</f>
        <v>0.14112046246705773</v>
      </c>
      <c r="CN11" s="251">
        <f t="shared" si="33"/>
        <v>0.17968553459119496</v>
      </c>
      <c r="CO11" s="251">
        <f t="shared" si="33"/>
        <v>0.13767872726052224</v>
      </c>
      <c r="CP11" s="1277">
        <f t="shared" si="33"/>
        <v>0.1518832474001573</v>
      </c>
      <c r="CQ11" s="251">
        <f t="shared" si="33"/>
        <v>0.16328670064707371</v>
      </c>
      <c r="CR11" s="251">
        <f t="shared" si="33"/>
        <v>0.14628271974168278</v>
      </c>
      <c r="CS11" s="1295">
        <f t="shared" ref="CS11:CT11" si="34">+CS10/CS8</f>
        <v>0.15347003636585888</v>
      </c>
      <c r="CT11" s="251">
        <f t="shared" si="34"/>
        <v>0.15066250974279033</v>
      </c>
      <c r="CU11" s="251">
        <f t="shared" ref="CU11:CW11" si="35">+CU10/CU8</f>
        <v>0.14004376367614879</v>
      </c>
      <c r="CV11" s="251">
        <f t="shared" si="35"/>
        <v>0.1572439288673593</v>
      </c>
      <c r="CW11" s="1277">
        <f t="shared" si="35"/>
        <v>0.16325457193720666</v>
      </c>
      <c r="CX11" s="251">
        <f t="shared" ref="CX11:DB11" si="36">+CX10/CX8</f>
        <v>0.14477016478751084</v>
      </c>
      <c r="CY11" s="251">
        <f t="shared" si="36"/>
        <v>0.16092067813389432</v>
      </c>
      <c r="CZ11" s="1295">
        <f t="shared" si="36"/>
        <v>0.15419615773508594</v>
      </c>
      <c r="DA11" s="251">
        <f t="shared" si="36"/>
        <v>0.1386796632698272</v>
      </c>
      <c r="DB11" s="251">
        <f t="shared" si="36"/>
        <v>0.14762260393328355</v>
      </c>
      <c r="DC11" s="251">
        <f t="shared" ref="DC11:DI11" si="37">+DC10/DC8</f>
        <v>0.16419836194322898</v>
      </c>
      <c r="DD11" s="1277">
        <f t="shared" si="37"/>
        <v>0.14585899014778325</v>
      </c>
      <c r="DE11" s="251">
        <f t="shared" si="37"/>
        <v>0.14353259034110097</v>
      </c>
      <c r="DF11" s="251">
        <f t="shared" si="37"/>
        <v>0.15332115955261355</v>
      </c>
      <c r="DG11" s="1275">
        <f t="shared" si="37"/>
        <v>0.14937346771996732</v>
      </c>
      <c r="DH11" s="251">
        <f t="shared" si="37"/>
        <v>0.12299422970516165</v>
      </c>
      <c r="DI11" s="251">
        <f t="shared" si="37"/>
        <v>0.18431181485992693</v>
      </c>
      <c r="DJ11" s="1261">
        <v>0.14000000000000001</v>
      </c>
      <c r="DK11" s="450">
        <f t="shared" ref="DK11:DM11" si="38">+DK10/DK8</f>
        <v>0.14397434277305701</v>
      </c>
      <c r="DL11" s="2025">
        <f t="shared" si="38"/>
        <v>0.16092958765372559</v>
      </c>
      <c r="DM11" s="449">
        <f t="shared" si="38"/>
        <v>0.1423473281138157</v>
      </c>
      <c r="DN11" s="648">
        <v>0.15</v>
      </c>
      <c r="DO11" s="449">
        <f t="shared" ref="DO11:DT11" si="39">+DO10/DO8</f>
        <v>0.14999999999999988</v>
      </c>
      <c r="DP11" s="900">
        <f t="shared" si="39"/>
        <v>0.1499999999999998</v>
      </c>
      <c r="DQ11" s="449">
        <f t="shared" si="39"/>
        <v>0.15</v>
      </c>
      <c r="DR11" s="450">
        <f t="shared" si="39"/>
        <v>0.15000000000000005</v>
      </c>
      <c r="DS11" s="449">
        <f t="shared" si="39"/>
        <v>0.14999999999999991</v>
      </c>
      <c r="DT11" s="449">
        <f t="shared" si="39"/>
        <v>0.15000000000000002</v>
      </c>
      <c r="DU11" s="755">
        <f>+DN11</f>
        <v>0.15</v>
      </c>
      <c r="DV11" s="449">
        <f t="shared" ref="DV11:EA11" si="40">+DV10/DV8</f>
        <v>0.15000000000000005</v>
      </c>
      <c r="DW11" s="900">
        <f t="shared" si="40"/>
        <v>0.15</v>
      </c>
      <c r="DX11" s="449">
        <f t="shared" si="40"/>
        <v>0.14999999999999997</v>
      </c>
      <c r="DY11" s="450">
        <f t="shared" si="40"/>
        <v>0.14999999999999977</v>
      </c>
      <c r="DZ11" s="449">
        <f t="shared" si="40"/>
        <v>0.15000000000000002</v>
      </c>
      <c r="EA11" s="449">
        <f t="shared" si="40"/>
        <v>0.14999999999999986</v>
      </c>
      <c r="EB11" s="755">
        <f>+DU11</f>
        <v>0.15</v>
      </c>
      <c r="EC11" s="449">
        <f t="shared" ref="EC11:EH11" si="41">+EC10/EC8</f>
        <v>0.15000000000000016</v>
      </c>
      <c r="ED11" s="900">
        <f t="shared" si="41"/>
        <v>0.14999999999999991</v>
      </c>
      <c r="EE11" s="449">
        <f t="shared" si="41"/>
        <v>0.15000000000000011</v>
      </c>
      <c r="EF11" s="450">
        <f t="shared" si="41"/>
        <v>0.15</v>
      </c>
      <c r="EG11" s="449">
        <f t="shared" si="41"/>
        <v>0.15000000000000002</v>
      </c>
      <c r="EH11" s="449">
        <f t="shared" si="41"/>
        <v>0.15</v>
      </c>
      <c r="EI11" s="755">
        <f>+EB11</f>
        <v>0.15</v>
      </c>
      <c r="EJ11" s="449">
        <f t="shared" ref="EJ11:EO11" si="42">+EJ10/EJ8</f>
        <v>0.15000000000000002</v>
      </c>
      <c r="EK11" s="900">
        <f t="shared" si="42"/>
        <v>0.15000000000000033</v>
      </c>
      <c r="EL11" s="449">
        <f t="shared" si="42"/>
        <v>0.14999999999999997</v>
      </c>
      <c r="EM11" s="450">
        <f t="shared" si="42"/>
        <v>0.15000000000000033</v>
      </c>
      <c r="EN11" s="449">
        <f t="shared" si="42"/>
        <v>0.15000000000000011</v>
      </c>
      <c r="EO11" s="449">
        <f t="shared" si="42"/>
        <v>0.15000000000000005</v>
      </c>
      <c r="EP11" s="755">
        <f t="shared" ref="EP11" si="43">+EI11</f>
        <v>0.15</v>
      </c>
      <c r="EQ11" s="50"/>
      <c r="ER11" s="253"/>
    </row>
    <row r="12" spans="1:148" ht="10.199999999999999" customHeight="1">
      <c r="A12" s="43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700"/>
      <c r="R12" s="108"/>
      <c r="S12" s="108"/>
      <c r="T12" s="538"/>
      <c r="U12" s="108"/>
      <c r="V12" s="108"/>
      <c r="W12" s="108"/>
      <c r="X12" s="700"/>
      <c r="Y12" s="108"/>
      <c r="Z12" s="108"/>
      <c r="AA12" s="538"/>
      <c r="AB12" s="108"/>
      <c r="AC12" s="108"/>
      <c r="AD12" s="108"/>
      <c r="AE12" s="700"/>
      <c r="AF12" s="108"/>
      <c r="AG12" s="108"/>
      <c r="AH12" s="538"/>
      <c r="AI12" s="108"/>
      <c r="AJ12" s="108"/>
      <c r="AK12" s="108"/>
      <c r="AL12" s="700"/>
      <c r="AM12" s="108"/>
      <c r="AN12" s="108"/>
      <c r="AO12" s="538"/>
      <c r="AP12" s="108"/>
      <c r="AQ12" s="108"/>
      <c r="AR12" s="108"/>
      <c r="AS12" s="700"/>
      <c r="AT12" s="108"/>
      <c r="AU12" s="108"/>
      <c r="AV12" s="538"/>
      <c r="AW12" s="108"/>
      <c r="AX12" s="108"/>
      <c r="AY12" s="108"/>
      <c r="AZ12" s="700"/>
      <c r="BA12" s="108"/>
      <c r="BB12" s="108"/>
      <c r="BC12" s="538"/>
      <c r="BD12" s="108"/>
      <c r="BE12" s="108"/>
      <c r="BF12" s="108"/>
      <c r="BG12" s="700"/>
      <c r="BH12" s="108"/>
      <c r="BI12" s="108"/>
      <c r="BJ12" s="538"/>
      <c r="BK12" s="108"/>
      <c r="BL12" s="108"/>
      <c r="BM12" s="108"/>
      <c r="BN12" s="700"/>
      <c r="BO12" s="108"/>
      <c r="BP12" s="108"/>
      <c r="BQ12" s="538"/>
      <c r="BR12" s="108"/>
      <c r="BS12" s="108"/>
      <c r="BT12" s="108"/>
      <c r="BU12" s="700"/>
      <c r="BV12" s="108"/>
      <c r="BW12" s="108"/>
      <c r="BX12" s="538"/>
      <c r="BY12" s="108"/>
      <c r="BZ12" s="108"/>
      <c r="CA12" s="108"/>
      <c r="CB12" s="700"/>
      <c r="CC12" s="108"/>
      <c r="CD12" s="108"/>
      <c r="CE12" s="538"/>
      <c r="CF12" s="108"/>
      <c r="CG12" s="108"/>
      <c r="CH12" s="108"/>
      <c r="CI12" s="700"/>
      <c r="CJ12" s="108"/>
      <c r="CK12" s="108"/>
      <c r="CL12" s="538"/>
      <c r="CM12" s="108"/>
      <c r="CN12" s="108"/>
      <c r="CO12" s="108"/>
      <c r="CP12" s="700"/>
      <c r="CQ12" s="108"/>
      <c r="CR12" s="108"/>
      <c r="CS12" s="538"/>
      <c r="CT12" s="108"/>
      <c r="CU12" s="108"/>
      <c r="CV12" s="108"/>
      <c r="CW12" s="700"/>
      <c r="CX12" s="108"/>
      <c r="CY12" s="108"/>
      <c r="CZ12" s="1479"/>
      <c r="DA12" s="108"/>
      <c r="DB12" s="108"/>
      <c r="DC12" s="3"/>
      <c r="DD12" s="700"/>
      <c r="DE12" s="108"/>
      <c r="DF12" s="108"/>
      <c r="DG12" s="1479"/>
      <c r="DH12" s="108"/>
      <c r="DI12" s="108"/>
      <c r="DJ12" s="3"/>
      <c r="DK12" s="700"/>
      <c r="DL12" s="1879"/>
      <c r="DM12" s="108"/>
      <c r="DN12" s="1479"/>
      <c r="DO12" s="3"/>
      <c r="DP12" s="3"/>
      <c r="DQ12" s="3"/>
      <c r="DR12" s="700"/>
      <c r="DS12" s="3"/>
      <c r="DT12" s="108"/>
      <c r="DU12" s="1479"/>
      <c r="DV12" s="3"/>
      <c r="DW12" s="3"/>
      <c r="DX12" s="3"/>
      <c r="DY12" s="700"/>
      <c r="DZ12" s="3"/>
      <c r="EA12" s="108"/>
      <c r="EB12" s="1479"/>
      <c r="EC12" s="3"/>
      <c r="ED12" s="3"/>
      <c r="EE12" s="3"/>
      <c r="EF12" s="700"/>
      <c r="EG12" s="3"/>
      <c r="EH12" s="108"/>
      <c r="EI12" s="1479"/>
      <c r="EJ12" s="3"/>
      <c r="EK12" s="3"/>
      <c r="EL12" s="3"/>
      <c r="EM12" s="700"/>
      <c r="EN12" s="3"/>
      <c r="EO12" s="108"/>
      <c r="EP12" s="1479"/>
      <c r="EQ12" s="43"/>
      <c r="ER12" s="46"/>
    </row>
    <row r="13" spans="1:148" ht="10.199999999999999" customHeight="1">
      <c r="A13" s="43" t="s">
        <v>0</v>
      </c>
      <c r="B13" s="108"/>
      <c r="C13" s="203">
        <f t="shared" ref="C13:M13" si="44">+C18-C15-C8-C17-C14-C16</f>
        <v>-22047</v>
      </c>
      <c r="D13" s="203">
        <f t="shared" si="44"/>
        <v>-21652</v>
      </c>
      <c r="E13" s="203">
        <f t="shared" si="44"/>
        <v>-23901</v>
      </c>
      <c r="F13" s="203">
        <f t="shared" si="44"/>
        <v>-25877</v>
      </c>
      <c r="G13" s="203">
        <f t="shared" si="44"/>
        <v>-32967</v>
      </c>
      <c r="H13" s="203">
        <f t="shared" si="44"/>
        <v>-33018</v>
      </c>
      <c r="I13" s="203">
        <f t="shared" si="44"/>
        <v>-34240</v>
      </c>
      <c r="J13" s="203">
        <f t="shared" si="44"/>
        <v>-36557</v>
      </c>
      <c r="K13" s="203">
        <f t="shared" si="44"/>
        <v>-37946</v>
      </c>
      <c r="L13" s="203">
        <f t="shared" si="44"/>
        <v>-40359</v>
      </c>
      <c r="M13" s="203">
        <f t="shared" si="44"/>
        <v>-46475</v>
      </c>
      <c r="N13" s="203">
        <f>+N18-N15-N8-N17-N14-N16</f>
        <v>-9977</v>
      </c>
      <c r="O13" s="203">
        <f t="shared" ref="O13" si="45">+O18-O15-O8-O17-O14-O16</f>
        <v>-10785</v>
      </c>
      <c r="P13" s="203">
        <f t="shared" ref="P13" si="46">+P18-P15-P8-P17-P14-P16</f>
        <v>-10872</v>
      </c>
      <c r="Q13" s="1448">
        <f t="shared" ref="Q13" si="47">+Q18-Q15-Q8-Q17-Q14-Q16</f>
        <v>-15998</v>
      </c>
      <c r="R13" s="203">
        <f t="shared" ref="R13" si="48">+R18-R15-R8-R17-R14-R16</f>
        <v>-20762</v>
      </c>
      <c r="S13" s="203">
        <f t="shared" ref="S13" si="49">+S18-S15-S8-S17-S14-S16</f>
        <v>-26870</v>
      </c>
      <c r="T13" s="1461">
        <f t="shared" ref="T13" si="50">+T18-T15-T8-T17-T14-T16</f>
        <v>-47671</v>
      </c>
      <c r="U13" s="203">
        <f>+U18-U15-U8-U17-U14-U16</f>
        <v>-10188</v>
      </c>
      <c r="V13" s="203">
        <f t="shared" ref="V13" si="51">+V18-V15-V8-V17-V14-V16</f>
        <v>-11596</v>
      </c>
      <c r="W13" s="203">
        <f t="shared" ref="W13" si="52">+W18-W15-W8-W17-W14-W16</f>
        <v>-10813</v>
      </c>
      <c r="X13" s="1448">
        <f t="shared" ref="X13" si="53">+X18-X15-X8-X17-X14-X16</f>
        <v>-16980</v>
      </c>
      <c r="Y13" s="203">
        <f t="shared" ref="Y13" si="54">+Y18-Y15-Y8-Y17-Y14-Y16</f>
        <v>-21784</v>
      </c>
      <c r="Z13" s="203">
        <f t="shared" ref="Z13" si="55">+Z18-Z15-Z8-Z17-Z14-Z16</f>
        <v>-27793</v>
      </c>
      <c r="AA13" s="1461">
        <f t="shared" ref="AA13" si="56">+AA18-AA15-AA8-AA17-AA14-AA16</f>
        <v>-49620</v>
      </c>
      <c r="AB13" s="203">
        <f>+AB18-AB15-AB8-AB17-AB14-AB16</f>
        <v>-9836</v>
      </c>
      <c r="AC13" s="203">
        <f t="shared" ref="AC13" si="57">+AC18-AC15-AC8-AC17-AC14-AC16</f>
        <v>-13919</v>
      </c>
      <c r="AD13" s="203">
        <f t="shared" ref="AD13" si="58">+AD18-AD15-AD8-AD17-AD14-AD16</f>
        <v>-11511</v>
      </c>
      <c r="AE13" s="1448">
        <f t="shared" ref="AE13" si="59">+AE18-AE15-AE8-AE17-AE14-AE16</f>
        <v>-17843</v>
      </c>
      <c r="AF13" s="203">
        <f t="shared" ref="AF13" si="60">+AF18-AF15-AF8-AF17-AF14-AF16</f>
        <v>-23755</v>
      </c>
      <c r="AG13" s="203">
        <f t="shared" ref="AG13" si="61">+AG18-AG15-AG8-AG17-AG14-AG16</f>
        <v>-29354</v>
      </c>
      <c r="AH13" s="1461">
        <f t="shared" ref="AH13" si="62">+AH18-AH15-AH8-AH17-AH14-AH16</f>
        <v>-53133</v>
      </c>
      <c r="AI13" s="203">
        <f>+AI18-AI15-AI8-AI17-AI14-AI16</f>
        <v>-10228</v>
      </c>
      <c r="AJ13" s="203">
        <f t="shared" ref="AJ13" si="63">+AJ18-AJ15-AJ8-AJ17-AJ14-AJ16</f>
        <v>-15342</v>
      </c>
      <c r="AK13" s="203">
        <f t="shared" ref="AK13" si="64">+AK18-AK15-AK8-AK17-AK14-AK16</f>
        <v>-11789</v>
      </c>
      <c r="AL13" s="1448">
        <f t="shared" ref="AL13" si="65">+AL18-AL15-AL8-AL17-AL14-AL16</f>
        <v>-21664</v>
      </c>
      <c r="AM13" s="203">
        <f t="shared" ref="AM13" si="66">+AM18-AM15-AM8-AM17-AM14-AM16</f>
        <v>-25570</v>
      </c>
      <c r="AN13" s="203">
        <f t="shared" ref="AN13" si="67">+AN18-AN15-AN8-AN17-AN14-AN16</f>
        <v>-33453</v>
      </c>
      <c r="AO13" s="1461">
        <f t="shared" ref="AO13" si="68">+AO18-AO15-AO8-AO17-AO14-AO16</f>
        <v>-59067</v>
      </c>
      <c r="AP13" s="203">
        <f>+AP18-AP15-AP8-AP17-AP14-AP16</f>
        <v>-11152</v>
      </c>
      <c r="AQ13" s="203">
        <f t="shared" ref="AQ13" si="69">+AQ18-AQ15-AQ8-AQ17-AQ14-AQ16</f>
        <v>-13103</v>
      </c>
      <c r="AR13" s="203">
        <f t="shared" ref="AR13" si="70">+AR18-AR15-AR8-AR17-AR14-AR16</f>
        <v>-12157</v>
      </c>
      <c r="AS13" s="1448">
        <f t="shared" ref="AS13" si="71">+AS18-AS15-AS8-AS17-AS14-AS16</f>
        <v>-20450</v>
      </c>
      <c r="AT13" s="203">
        <f t="shared" ref="AT13" si="72">+AT18-AT15-AT8-AT17-AT14-AT16</f>
        <v>-24255</v>
      </c>
      <c r="AU13" s="203">
        <f t="shared" ref="AU13" si="73">+AU18-AU15-AU8-AU17-AU14-AU16</f>
        <v>-32607</v>
      </c>
      <c r="AV13" s="1461">
        <f t="shared" ref="AV13" si="74">+AV18-AV15-AV8-AV17-AV14-AV16</f>
        <v>-56862</v>
      </c>
      <c r="AW13" s="203">
        <f>+AW18-AW15-AW8-AW17-AW14-AW16</f>
        <v>-9886</v>
      </c>
      <c r="AX13" s="203">
        <f t="shared" ref="AX13" si="75">+AX18-AX15-AX8-AX17-AX14-AX16</f>
        <v>-11418</v>
      </c>
      <c r="AY13" s="203">
        <f t="shared" ref="AY13" si="76">+AY18-AY15-AY8-AY17-AY14-AY16</f>
        <v>-10800</v>
      </c>
      <c r="AZ13" s="1448">
        <f t="shared" ref="AZ13" si="77">+AZ18-AZ15-AZ8-AZ17-AZ14-AZ16</f>
        <v>-17747</v>
      </c>
      <c r="BA13" s="203">
        <f t="shared" ref="BA13" si="78">+BA18-BA15-BA8-BA17-BA14-BA16</f>
        <v>-21304</v>
      </c>
      <c r="BB13" s="203">
        <f t="shared" ref="BB13" si="79">+BB18-BB15-BB8-BB17-BB14-BB16</f>
        <v>-28547</v>
      </c>
      <c r="BC13" s="1461">
        <f t="shared" ref="BC13" si="80">+BC18-BC15-BC8-BC17-BC14-BC16</f>
        <v>-49851</v>
      </c>
      <c r="BD13" s="203">
        <f>+BD18-BD15-BD8-BD17-BD14-BD16</f>
        <v>-8481</v>
      </c>
      <c r="BE13" s="203">
        <f t="shared" ref="BE13" si="81">+BE18-BE15-BE8-BE17-BE14-BE16</f>
        <v>-12087</v>
      </c>
      <c r="BF13" s="203">
        <f t="shared" ref="BF13" si="82">+BF18-BF15-BF8-BF17-BF14-BF16</f>
        <v>-12105</v>
      </c>
      <c r="BG13" s="1448">
        <f t="shared" ref="BG13" si="83">+BG18-BG15-BG8-BG17-BG14-BG16</f>
        <v>-19803</v>
      </c>
      <c r="BH13" s="203">
        <f t="shared" ref="BH13" si="84">+BH18-BH15-BH8-BH17-BH14-BH16</f>
        <v>-20568</v>
      </c>
      <c r="BI13" s="203">
        <f t="shared" ref="BI13" si="85">+BI18-BI15-BI8-BI17-BI14-BI16</f>
        <v>-31908</v>
      </c>
      <c r="BJ13" s="1461">
        <f t="shared" ref="BJ13" si="86">+BJ18-BJ15-BJ8-BJ17-BJ14-BJ16</f>
        <v>-52476</v>
      </c>
      <c r="BK13" s="203">
        <f>+BK18-BK15-BK8-BK17-BK14-BK16</f>
        <v>-10449</v>
      </c>
      <c r="BL13" s="203">
        <f t="shared" ref="BL13" si="87">+BL18-BL15-BL8-BL17-BL14-BL16</f>
        <v>-14543</v>
      </c>
      <c r="BM13" s="203">
        <f t="shared" ref="BM13" si="88">+BM18-BM15-BM8-BM17-BM14-BM16</f>
        <v>-12001</v>
      </c>
      <c r="BN13" s="1448">
        <f t="shared" ref="BN13" si="89">+BN18-BN15-BN8-BN17-BN14-BN16</f>
        <v>-20053</v>
      </c>
      <c r="BO13" s="203">
        <f t="shared" ref="BO13" si="90">+BO18-BO15-BO8-BO17-BO14-BO16</f>
        <v>-24992</v>
      </c>
      <c r="BP13" s="203">
        <f t="shared" ref="BP13" si="91">+BP18-BP15-BP8-BP17-BP14-BP16</f>
        <v>-32054</v>
      </c>
      <c r="BQ13" s="1461">
        <f t="shared" ref="BQ13" si="92">+BQ18-BQ15-BQ8-BQ17-BQ14-BQ16</f>
        <v>-57046</v>
      </c>
      <c r="BR13" s="203">
        <f>+BR18-BR15-BR8-BR17-BR14-BR16</f>
        <v>-8602</v>
      </c>
      <c r="BS13" s="203">
        <f t="shared" ref="BS13" si="93">+BS18-BS15-BS8-BS17-BS14-BS16</f>
        <v>-7973</v>
      </c>
      <c r="BT13" s="203">
        <f t="shared" ref="BT13" si="94">+BT18-BT15-BT8-BT17-BT14-BT16</f>
        <v>-8905</v>
      </c>
      <c r="BU13" s="1448">
        <f t="shared" ref="BU13" si="95">+BU18-BU15-BU8-BU17-BU14-BU16</f>
        <v>-15939</v>
      </c>
      <c r="BV13" s="203">
        <f t="shared" ref="BV13" si="96">+BV18-BV15-BV8-BV17-BV14-BV16</f>
        <v>-16575</v>
      </c>
      <c r="BW13" s="203">
        <f t="shared" ref="BW13" si="97">+BW18-BW15-BW8-BW17-BW14-BW16</f>
        <v>-24844</v>
      </c>
      <c r="BX13" s="1461">
        <f t="shared" ref="BX13" si="98">+BX18-BX15-BX8-BX17-BX14-BX16</f>
        <v>-41419</v>
      </c>
      <c r="BY13" s="203">
        <f>+BY18-BY15-BY8-BY17-BY14-BY16</f>
        <v>-8384</v>
      </c>
      <c r="BZ13" s="203">
        <f t="shared" ref="BZ13" si="99">+BZ18-BZ15-BZ8-BZ17-BZ14-BZ16</f>
        <v>-10441</v>
      </c>
      <c r="CA13" s="203">
        <f t="shared" ref="CA13" si="100">+CA18-CA15-CA8-CA17-CA14-CA16</f>
        <v>-8075</v>
      </c>
      <c r="CB13" s="1448">
        <f t="shared" ref="CB13" si="101">+CB18-CB15-CB8-CB17-CB14-CB16</f>
        <v>-13293</v>
      </c>
      <c r="CC13" s="203">
        <f t="shared" ref="CC13" si="102">+CC18-CC15-CC8-CC17-CC14-CC16</f>
        <v>-18825</v>
      </c>
      <c r="CD13" s="203">
        <f t="shared" ref="CD13" si="103">+CD18-CD15-CD8-CD17-CD14-CD16</f>
        <v>-21368</v>
      </c>
      <c r="CE13" s="1461">
        <f t="shared" ref="CE13" si="104">+CE18-CE15-CE8-CE17-CE14-CE16</f>
        <v>-40193</v>
      </c>
      <c r="CF13" s="203">
        <f>+CF18-CF15-CF8-CF17-CF14-CF16</f>
        <v>-8875</v>
      </c>
      <c r="CG13" s="203">
        <f t="shared" ref="CG13" si="105">+CG18-CG15-CG8-CG17-CG14-CG16</f>
        <v>-9854</v>
      </c>
      <c r="CH13" s="203">
        <f t="shared" ref="CH13" si="106">+CH18-CH15-CH8-CH17-CH14-CH16</f>
        <v>-10684</v>
      </c>
      <c r="CI13" s="1448">
        <f t="shared" ref="CI13" si="107">+CI18-CI15-CI8-CI17-CI14-CI16</f>
        <v>-16063</v>
      </c>
      <c r="CJ13" s="203">
        <f t="shared" ref="CJ13" si="108">+CJ18-CJ15-CJ8-CJ17-CJ14-CJ16</f>
        <v>-18729</v>
      </c>
      <c r="CK13" s="203">
        <f t="shared" ref="CK13" si="109">+CK18-CK15-CK8-CK17-CK14-CK16</f>
        <v>-26747</v>
      </c>
      <c r="CL13" s="1461">
        <f t="shared" ref="CL13" si="110">+CL18-CL15-CL8-CL17-CL14-CL16</f>
        <v>-45476</v>
      </c>
      <c r="CM13" s="203">
        <f>+CM18-CM15-CM8-CM17-CM14-CM16</f>
        <v>-9608</v>
      </c>
      <c r="CN13" s="203">
        <f t="shared" ref="CN13" si="111">+CN18-CN15-CN8-CN17-CN14-CN16</f>
        <v>-12496</v>
      </c>
      <c r="CO13" s="203">
        <f t="shared" ref="CO13" si="112">+CO18-CO15-CO8-CO17-CO14-CO16</f>
        <v>-12279</v>
      </c>
      <c r="CP13" s="1448">
        <f t="shared" ref="CP13" si="113">+CP18-CP15-CP8-CP17-CP14-CP16</f>
        <v>-18777</v>
      </c>
      <c r="CQ13" s="203">
        <f t="shared" ref="CQ13" si="114">+CQ18-CQ15-CQ8-CQ17-CQ14-CQ16</f>
        <v>-22104</v>
      </c>
      <c r="CR13" s="203">
        <f t="shared" ref="CR13" si="115">+CR18-CR15-CR8-CR17-CR14-CR16</f>
        <v>-31056</v>
      </c>
      <c r="CS13" s="1461">
        <f t="shared" ref="CS13" si="116">+CS18-CS15-CS8-CS17-CS14-CS16</f>
        <v>-53160</v>
      </c>
      <c r="CT13" s="203">
        <f>+CT18-CT15-CT8-CT17-CT14-CT16</f>
        <v>-10384</v>
      </c>
      <c r="CU13" s="203">
        <f t="shared" ref="CU13:EP13" si="117">+CU18-CU15-CU8-CU17-CU14-CU16</f>
        <v>-12969</v>
      </c>
      <c r="CV13" s="203">
        <f t="shared" si="117"/>
        <v>-12657</v>
      </c>
      <c r="CW13" s="1448">
        <f t="shared" si="117"/>
        <v>-19692</v>
      </c>
      <c r="CX13" s="203">
        <f t="shared" si="117"/>
        <v>-23353</v>
      </c>
      <c r="CY13" s="203">
        <f t="shared" si="117"/>
        <v>-32349</v>
      </c>
      <c r="CZ13" s="1461">
        <f t="shared" si="117"/>
        <v>-55702</v>
      </c>
      <c r="DA13" s="203">
        <f>+DA18-DA15-DA8-DA17-DA14-DA16</f>
        <v>-11038</v>
      </c>
      <c r="DB13" s="203">
        <f t="shared" ref="DB13" si="118">+DB18-DB15-DB8-DB17-DB14-DB16</f>
        <v>-13060</v>
      </c>
      <c r="DC13" s="834">
        <f t="shared" si="117"/>
        <v>-14246</v>
      </c>
      <c r="DD13" s="1448">
        <f t="shared" ref="DD13" si="119">+DD18-DD15-DD8-DD17-DD14-DD16</f>
        <v>-20934</v>
      </c>
      <c r="DE13" s="203">
        <f t="shared" ref="DE13:DG13" si="120">+DE18-DE15-DE8-DE17-DE14-DE16</f>
        <v>-24098</v>
      </c>
      <c r="DF13" s="203">
        <f t="shared" si="120"/>
        <v>-35180</v>
      </c>
      <c r="DG13" s="1269">
        <f t="shared" si="120"/>
        <v>-59278</v>
      </c>
      <c r="DH13" s="203">
        <f>+DH18-DH15-DH8-DH17-DH14-DH16</f>
        <v>-10279</v>
      </c>
      <c r="DI13" s="203">
        <f t="shared" ref="DI13" si="121">+DI18-DI15-DI8-DI17-DI14-DI16</f>
        <v>-16216</v>
      </c>
      <c r="DJ13" s="860">
        <f t="shared" si="117"/>
        <v>-15599.957654579599</v>
      </c>
      <c r="DK13" s="1109">
        <f t="shared" si="117"/>
        <v>-21593.288204151915</v>
      </c>
      <c r="DL13" s="1892">
        <f t="shared" si="117"/>
        <v>-26495</v>
      </c>
      <c r="DM13" s="860">
        <f t="shared" si="117"/>
        <v>-37193.245858731505</v>
      </c>
      <c r="DN13" s="1119">
        <f t="shared" si="117"/>
        <v>-63688.245858731505</v>
      </c>
      <c r="DO13" s="860">
        <f t="shared" si="117"/>
        <v>-15390.969225210925</v>
      </c>
      <c r="DP13" s="860">
        <f t="shared" si="117"/>
        <v>-17427.100358400035</v>
      </c>
      <c r="DQ13" s="860">
        <f t="shared" si="117"/>
        <v>-17331.717222252912</v>
      </c>
      <c r="DR13" s="1109">
        <f t="shared" si="117"/>
        <v>-19699.736335345671</v>
      </c>
      <c r="DS13" s="860">
        <f t="shared" si="117"/>
        <v>-32818.069583610966</v>
      </c>
      <c r="DT13" s="860">
        <f t="shared" si="117"/>
        <v>-37031.453557598586</v>
      </c>
      <c r="DU13" s="1119">
        <f t="shared" si="117"/>
        <v>-69849.523141209545</v>
      </c>
      <c r="DV13" s="860">
        <f t="shared" si="117"/>
        <v>-16325.111044800393</v>
      </c>
      <c r="DW13" s="860">
        <f t="shared" si="117"/>
        <v>-18549.883062399531</v>
      </c>
      <c r="DX13" s="860">
        <f t="shared" si="117"/>
        <v>-18451.151477842523</v>
      </c>
      <c r="DY13" s="1109">
        <f t="shared" si="117"/>
        <v>-21133.948607165854</v>
      </c>
      <c r="DZ13" s="860">
        <f t="shared" si="117"/>
        <v>-34874.99410719992</v>
      </c>
      <c r="EA13" s="860">
        <f t="shared" si="117"/>
        <v>-39585.10008500838</v>
      </c>
      <c r="EB13" s="1119">
        <f t="shared" si="117"/>
        <v>-74460.094192208315</v>
      </c>
      <c r="EC13" s="860">
        <f t="shared" si="117"/>
        <v>-17321.930140498327</v>
      </c>
      <c r="ED13" s="860">
        <f t="shared" si="117"/>
        <v>-19128.159964922328</v>
      </c>
      <c r="EE13" s="860">
        <f t="shared" si="117"/>
        <v>-19015.50877450217</v>
      </c>
      <c r="EF13" s="1109">
        <f t="shared" si="117"/>
        <v>-21789.552910405338</v>
      </c>
      <c r="EG13" s="860">
        <f t="shared" si="117"/>
        <v>-36450.090105420648</v>
      </c>
      <c r="EH13" s="860">
        <f t="shared" si="117"/>
        <v>-40805.061684907501</v>
      </c>
      <c r="EI13" s="1119">
        <f t="shared" si="117"/>
        <v>-77255.151790328178</v>
      </c>
      <c r="EJ13" s="860">
        <f t="shared" si="117"/>
        <v>-17801.863111173236</v>
      </c>
      <c r="EK13" s="860">
        <f t="shared" si="117"/>
        <v>-19684.488170483146</v>
      </c>
      <c r="EL13" s="860">
        <f t="shared" si="117"/>
        <v>-19567.598191045563</v>
      </c>
      <c r="EM13" s="1109">
        <f t="shared" si="117"/>
        <v>-22442.020508522226</v>
      </c>
      <c r="EN13" s="860">
        <f t="shared" si="117"/>
        <v>-37486.351281656374</v>
      </c>
      <c r="EO13" s="860">
        <f t="shared" si="117"/>
        <v>-42009.618699567785</v>
      </c>
      <c r="EP13" s="1119">
        <f t="shared" si="117"/>
        <v>-79495.96998122416</v>
      </c>
      <c r="EQ13" s="108"/>
      <c r="ER13" s="145"/>
    </row>
    <row r="14" spans="1:148" ht="10.199999999999999" customHeight="1">
      <c r="A14" s="108" t="s">
        <v>418</v>
      </c>
      <c r="B14" s="108"/>
      <c r="C14" s="203">
        <v>-2492</v>
      </c>
      <c r="D14" s="203">
        <v>-2985</v>
      </c>
      <c r="E14" s="203">
        <v>-2296</v>
      </c>
      <c r="F14" s="203">
        <v>-2336</v>
      </c>
      <c r="G14" s="203">
        <v>-2462</v>
      </c>
      <c r="H14" s="203">
        <v>-2275</v>
      </c>
      <c r="I14" s="203">
        <v>-2317</v>
      </c>
      <c r="J14" s="203">
        <v>-2298</v>
      </c>
      <c r="K14" s="203">
        <f>-1024-1288</f>
        <v>-2312</v>
      </c>
      <c r="L14" s="203">
        <f>-981-1427</f>
        <v>-2408</v>
      </c>
      <c r="M14" s="203">
        <v>-3093</v>
      </c>
      <c r="N14" s="203">
        <v>-664</v>
      </c>
      <c r="O14" s="203">
        <f>R14-N14</f>
        <v>-782</v>
      </c>
      <c r="P14" s="203">
        <f>-2138-R14</f>
        <v>-692</v>
      </c>
      <c r="Q14" s="1448">
        <f>S14-P14</f>
        <v>-883</v>
      </c>
      <c r="R14" s="203">
        <v>-1446</v>
      </c>
      <c r="S14" s="203">
        <f>T14-R14</f>
        <v>-1575</v>
      </c>
      <c r="T14" s="1461">
        <v>-3021</v>
      </c>
      <c r="U14" s="203">
        <v>-666</v>
      </c>
      <c r="V14" s="203">
        <f t="shared" ref="V14" si="122">Y14-U14</f>
        <v>-705</v>
      </c>
      <c r="W14" s="203">
        <f>-2012-Y14</f>
        <v>-641</v>
      </c>
      <c r="X14" s="1448">
        <f>Z14-W14</f>
        <v>-768</v>
      </c>
      <c r="Y14" s="203">
        <v>-1371</v>
      </c>
      <c r="Z14" s="203">
        <f>AA14-Y14</f>
        <v>-1409</v>
      </c>
      <c r="AA14" s="1461">
        <v>-2780</v>
      </c>
      <c r="AB14" s="203">
        <v>-631</v>
      </c>
      <c r="AC14" s="203">
        <f>AF14-AB14</f>
        <v>-761</v>
      </c>
      <c r="AD14" s="203">
        <f>-2019-AF14</f>
        <v>-627</v>
      </c>
      <c r="AE14" s="1448">
        <f>AG14-AD14</f>
        <v>-854</v>
      </c>
      <c r="AF14" s="203">
        <v>-1392</v>
      </c>
      <c r="AG14" s="203">
        <f>AH14-AF14</f>
        <v>-1481</v>
      </c>
      <c r="AH14" s="1461">
        <v>-2873</v>
      </c>
      <c r="AI14" s="203">
        <v>-651</v>
      </c>
      <c r="AJ14" s="203">
        <f>AM14-AI14</f>
        <v>-641</v>
      </c>
      <c r="AK14" s="203">
        <f>-1895-AM14</f>
        <v>-603</v>
      </c>
      <c r="AL14" s="1448">
        <f>AN14-AK14</f>
        <v>-1082</v>
      </c>
      <c r="AM14" s="203">
        <v>-1292</v>
      </c>
      <c r="AN14" s="203">
        <f>AO14-AM14</f>
        <v>-1685</v>
      </c>
      <c r="AO14" s="1461">
        <v>-2977</v>
      </c>
      <c r="AP14" s="203">
        <v>-644</v>
      </c>
      <c r="AQ14" s="203">
        <f>+AT14-AP14</f>
        <v>-678</v>
      </c>
      <c r="AR14" s="203">
        <f>-1923-AT14</f>
        <v>-601</v>
      </c>
      <c r="AS14" s="1448">
        <f>AU14-AR14</f>
        <v>-516</v>
      </c>
      <c r="AT14" s="203">
        <v>-1322</v>
      </c>
      <c r="AU14" s="203">
        <f>AV14-AT14</f>
        <v>-1117</v>
      </c>
      <c r="AV14" s="1461">
        <f>-872-1567</f>
        <v>-2439</v>
      </c>
      <c r="AW14" s="203">
        <f>-211-412</f>
        <v>-623</v>
      </c>
      <c r="AX14" s="203">
        <f>+BA14-AW14</f>
        <v>-639</v>
      </c>
      <c r="AY14" s="203">
        <f>-639-1206-BA14</f>
        <v>-583</v>
      </c>
      <c r="AZ14" s="1448">
        <f>BB14-AY14</f>
        <v>-594</v>
      </c>
      <c r="BA14" s="203">
        <f>-462-800</f>
        <v>-1262</v>
      </c>
      <c r="BB14" s="203">
        <f>BC14-BA14</f>
        <v>-1177</v>
      </c>
      <c r="BC14" s="1461">
        <f>-872-1567</f>
        <v>-2439</v>
      </c>
      <c r="BD14" s="203">
        <f>-185-357</f>
        <v>-542</v>
      </c>
      <c r="BE14" s="203">
        <f>BH14-BD14</f>
        <v>-552</v>
      </c>
      <c r="BF14" s="203">
        <f>-622-1093-BH14</f>
        <v>-621</v>
      </c>
      <c r="BG14" s="1448">
        <f>BI14-BF14</f>
        <v>-720</v>
      </c>
      <c r="BH14" s="203">
        <f>-411-683</f>
        <v>-1094</v>
      </c>
      <c r="BI14" s="203">
        <f>BJ14-BH14</f>
        <v>-1341</v>
      </c>
      <c r="BJ14" s="1461">
        <f>-861-1574</f>
        <v>-2435</v>
      </c>
      <c r="BK14" s="203">
        <f>-212-372</f>
        <v>-584</v>
      </c>
      <c r="BL14" s="203">
        <f>-248-402</f>
        <v>-650</v>
      </c>
      <c r="BM14" s="203">
        <f>-214-379</f>
        <v>-593</v>
      </c>
      <c r="BN14" s="1448">
        <f>BP14-BM14</f>
        <v>-4298</v>
      </c>
      <c r="BO14" s="203">
        <f>BK14+BL14</f>
        <v>-1234</v>
      </c>
      <c r="BP14" s="203">
        <f>BQ14-BO14</f>
        <v>-4891</v>
      </c>
      <c r="BQ14" s="1461">
        <f>-908-5217</f>
        <v>-6125</v>
      </c>
      <c r="BR14" s="203">
        <f>-200-393</f>
        <v>-593</v>
      </c>
      <c r="BS14" s="203">
        <f>-170-370</f>
        <v>-540</v>
      </c>
      <c r="BT14" s="203">
        <f>-161-290</f>
        <v>-451</v>
      </c>
      <c r="BU14" s="1448">
        <f>BW14-BT14</f>
        <v>-556</v>
      </c>
      <c r="BV14" s="203">
        <f>BR14+BS14</f>
        <v>-1133</v>
      </c>
      <c r="BW14" s="203">
        <f>BX14-BV14</f>
        <v>-1007</v>
      </c>
      <c r="BX14" s="1461">
        <f>-717-1423</f>
        <v>-2140</v>
      </c>
      <c r="BY14" s="203">
        <f>-170-340</f>
        <v>-510</v>
      </c>
      <c r="BZ14" s="203">
        <f>CC14-BY14</f>
        <v>-446</v>
      </c>
      <c r="CA14" s="203">
        <f>-164-333</f>
        <v>-497</v>
      </c>
      <c r="CB14" s="1448">
        <f>CD14-CA14</f>
        <v>-599</v>
      </c>
      <c r="CC14" s="203">
        <f>-344-612</f>
        <v>-956</v>
      </c>
      <c r="CD14" s="203">
        <f>CE14-CC14</f>
        <v>-1096</v>
      </c>
      <c r="CE14" s="1461">
        <f>-713-1339</f>
        <v>-2052</v>
      </c>
      <c r="CF14" s="203">
        <f>-181-330</f>
        <v>-511</v>
      </c>
      <c r="CG14" s="203">
        <f>-383-706-CF14</f>
        <v>-578</v>
      </c>
      <c r="CH14" s="203">
        <f>-193-338</f>
        <v>-531</v>
      </c>
      <c r="CI14" s="1448">
        <f>CK14-CH14</f>
        <v>-620</v>
      </c>
      <c r="CJ14" s="203">
        <f>+CF14+CG14</f>
        <v>-1089</v>
      </c>
      <c r="CK14" s="203">
        <f>CL14-CJ14</f>
        <v>-1151</v>
      </c>
      <c r="CL14" s="1461">
        <f>-788-1452</f>
        <v>-2240</v>
      </c>
      <c r="CM14" s="203">
        <f>-205-382</f>
        <v>-587</v>
      </c>
      <c r="CN14" s="203">
        <f>CQ14-CM14</f>
        <v>-663</v>
      </c>
      <c r="CO14" s="203">
        <f>-218-405</f>
        <v>-623</v>
      </c>
      <c r="CP14" s="1448">
        <f>CR14-CO14</f>
        <v>-648</v>
      </c>
      <c r="CQ14" s="203">
        <f>-424-826</f>
        <v>-1250</v>
      </c>
      <c r="CR14" s="203">
        <f>CS14-CQ14</f>
        <v>-1271</v>
      </c>
      <c r="CS14" s="1461">
        <f>-867-1654</f>
        <v>-2521</v>
      </c>
      <c r="CT14" s="203">
        <f>-226-440</f>
        <v>-666</v>
      </c>
      <c r="CU14" s="203">
        <f>CX14-CT14</f>
        <v>-678</v>
      </c>
      <c r="CV14" s="203">
        <f>-203-399</f>
        <v>-602</v>
      </c>
      <c r="CW14" s="1448">
        <f>CY14-CV14</f>
        <v>-675</v>
      </c>
      <c r="CX14" s="203">
        <f>-460-884</f>
        <v>-1344</v>
      </c>
      <c r="CY14" s="203">
        <f>CZ14-CX14</f>
        <v>-1277</v>
      </c>
      <c r="CZ14" s="1461">
        <f>-877-1744</f>
        <v>-2621</v>
      </c>
      <c r="DA14" s="203">
        <f>-219-446</f>
        <v>-665</v>
      </c>
      <c r="DB14" s="203">
        <f>DE14-DA14</f>
        <v>-638</v>
      </c>
      <c r="DC14" s="2091">
        <f>-191+-358</f>
        <v>-549</v>
      </c>
      <c r="DD14" s="1448">
        <f>DF14-DC14</f>
        <v>-726</v>
      </c>
      <c r="DE14" s="2091">
        <f>-428-875</f>
        <v>-1303</v>
      </c>
      <c r="DF14" s="203">
        <f>DG14-DE14</f>
        <v>-1275</v>
      </c>
      <c r="DG14" s="1269">
        <f>-856-1722</f>
        <v>-2578</v>
      </c>
      <c r="DH14" s="203">
        <f>-219-446</f>
        <v>-665</v>
      </c>
      <c r="DI14" s="203">
        <f>DL14-DH14</f>
        <v>-692</v>
      </c>
      <c r="DJ14" s="860">
        <f>DC14*(1+((DJ8/DC8)-1))</f>
        <v>-597.39185102168233</v>
      </c>
      <c r="DK14" s="1557">
        <f>DM14-DJ14</f>
        <v>-874.25013747510673</v>
      </c>
      <c r="DL14" s="1892">
        <f>-441-916</f>
        <v>-1357</v>
      </c>
      <c r="DM14" s="1422">
        <f t="shared" ref="DM14" si="123">DN14-DL14</f>
        <v>-1471.6419884967891</v>
      </c>
      <c r="DN14" s="1119">
        <f>DG14*(1+((DN8/DG8)-1))</f>
        <v>-2828.6419884967891</v>
      </c>
      <c r="DO14" s="860">
        <f>DH14*(1+((DO8/DH8)-1))</f>
        <v>-1060.6838996385754</v>
      </c>
      <c r="DP14" s="860">
        <f>DS14-DO14</f>
        <v>-675.52510885033735</v>
      </c>
      <c r="DQ14" s="860">
        <f>DJ14*(1+((DQ8/DJ8)-1))</f>
        <v>-682.59680558408957</v>
      </c>
      <c r="DR14" s="1557">
        <f>DT14-DQ14</f>
        <v>-729.32429458583408</v>
      </c>
      <c r="DS14" s="860">
        <f>DL14*(1+((DS8/DL8)-1))</f>
        <v>-1736.2090084889128</v>
      </c>
      <c r="DT14" s="1422">
        <f t="shared" ref="DT14" si="124">DU14-DS14</f>
        <v>-1411.9211001699236</v>
      </c>
      <c r="DU14" s="1119">
        <f>DN14*(1+((DU8/DN8)-1))</f>
        <v>-3148.1301086588364</v>
      </c>
      <c r="DV14" s="860">
        <f>DO14*(1+((DV8/DO8)-1))</f>
        <v>-1151.2230900489201</v>
      </c>
      <c r="DW14" s="860">
        <f>DZ14-DV14</f>
        <v>-733.80869954330706</v>
      </c>
      <c r="DX14" s="860">
        <f>DQ14*(1+((DX8/DQ8)-1))</f>
        <v>-741.459122674215</v>
      </c>
      <c r="DY14" s="1557">
        <f>EA14-DX14</f>
        <v>-801.06722195050588</v>
      </c>
      <c r="DZ14" s="860">
        <f>DS14*(1+((DZ8/DS8)-1))</f>
        <v>-1885.0317895922271</v>
      </c>
      <c r="EA14" s="1422">
        <f t="shared" ref="EA14" si="125">EB14-DZ14</f>
        <v>-1542.5263446247209</v>
      </c>
      <c r="EB14" s="1119">
        <f>DU14*(1+((EB8/DU8)-1))</f>
        <v>-3427.558134216948</v>
      </c>
      <c r="EC14" s="860">
        <f>DV14*(1+((EC8/DV8)-1))</f>
        <v>-1235.0089240923048</v>
      </c>
      <c r="ED14" s="860">
        <f>EG14-EC14</f>
        <v>-751.7363203237303</v>
      </c>
      <c r="EE14" s="860">
        <f>DX14*(1+((EE8/DX8)-1))</f>
        <v>-768.77698467872995</v>
      </c>
      <c r="EF14" s="1557">
        <f>EH14-EE14</f>
        <v>-826.64813668005343</v>
      </c>
      <c r="EG14" s="860">
        <f>DZ14*(1+((EG8/DZ8)-1))</f>
        <v>-1986.7452444160351</v>
      </c>
      <c r="EH14" s="1422">
        <f t="shared" ref="EH14" si="126">EI14-EG14</f>
        <v>-1595.4251213587834</v>
      </c>
      <c r="EI14" s="1119">
        <f>EB14*(1+((EI8/EB8)-1))</f>
        <v>-3582.1703657748185</v>
      </c>
      <c r="EJ14" s="860">
        <f>EC14*(1+((EJ8/EC8)-1))</f>
        <v>-1276.3593893245575</v>
      </c>
      <c r="EK14" s="860">
        <f>EN14-EJ14</f>
        <v>-777.98489930720416</v>
      </c>
      <c r="EL14" s="860">
        <f>EE14*(1+((EL8/EE8)-1))</f>
        <v>-795.28828517109162</v>
      </c>
      <c r="EM14" s="1557">
        <f>EO14-EL14</f>
        <v>-855.99196999961748</v>
      </c>
      <c r="EN14" s="860">
        <f>EG14*(1+((EN8/EG8)-1))</f>
        <v>-2054.3442886317616</v>
      </c>
      <c r="EO14" s="1422">
        <f t="shared" ref="EO14" si="127">EP14-EN14</f>
        <v>-1651.2802551707091</v>
      </c>
      <c r="EP14" s="1119">
        <f>EI14*(1+((EP8/EI8)-1))</f>
        <v>-3705.6245438024707</v>
      </c>
      <c r="EQ14" s="108"/>
      <c r="ER14" s="145"/>
    </row>
    <row r="15" spans="1:148" ht="10.199999999999999" customHeight="1">
      <c r="A15" s="43" t="s">
        <v>1</v>
      </c>
      <c r="B15" s="108"/>
      <c r="C15" s="203">
        <f>-Divisional!C124</f>
        <v>-2096</v>
      </c>
      <c r="D15" s="203">
        <f>-Divisional!D124</f>
        <v>-2189</v>
      </c>
      <c r="E15" s="203">
        <f>-Divisional!E124</f>
        <v>-2126</v>
      </c>
      <c r="F15" s="203">
        <f>-Divisional!F124</f>
        <v>-2075</v>
      </c>
      <c r="G15" s="203">
        <f>-Divisional!G124</f>
        <v>-2458</v>
      </c>
      <c r="H15" s="203">
        <f>-Divisional!H124</f>
        <v>-2608</v>
      </c>
      <c r="I15" s="203">
        <f>-Divisional!I124</f>
        <v>-2669</v>
      </c>
      <c r="J15" s="203">
        <f>-Divisional!J124</f>
        <v>-2825</v>
      </c>
      <c r="K15" s="203">
        <f>-Divisional!K124</f>
        <v>-2939</v>
      </c>
      <c r="L15" s="203">
        <f>-Divisional!L124</f>
        <v>-3152</v>
      </c>
      <c r="M15" s="203">
        <f>-Divisional!M124</f>
        <v>-3142</v>
      </c>
      <c r="N15" s="203">
        <f>-Divisional!N124</f>
        <v>-617</v>
      </c>
      <c r="O15" s="203">
        <f>-Divisional!O124</f>
        <v>-782</v>
      </c>
      <c r="P15" s="203">
        <f>-Divisional!P124</f>
        <v>-753</v>
      </c>
      <c r="Q15" s="1448">
        <f>-Divisional!Q124</f>
        <v>-966</v>
      </c>
      <c r="R15" s="203">
        <f>-Divisional!R124</f>
        <v>-1399</v>
      </c>
      <c r="S15" s="203">
        <f>-Divisional!S124</f>
        <v>-1719</v>
      </c>
      <c r="T15" s="1461">
        <f>-Divisional!T124</f>
        <v>-3118</v>
      </c>
      <c r="U15" s="203">
        <f>-Divisional!U124</f>
        <v>-727</v>
      </c>
      <c r="V15" s="203">
        <f>-Divisional!V124</f>
        <v>-837</v>
      </c>
      <c r="W15" s="203">
        <f>-Divisional!W124</f>
        <v>-812</v>
      </c>
      <c r="X15" s="1448">
        <f>-Divisional!X124</f>
        <v>-1015</v>
      </c>
      <c r="Y15" s="203">
        <f>-Divisional!Y124</f>
        <v>-1564</v>
      </c>
      <c r="Z15" s="203">
        <f>-Divisional!Z124</f>
        <v>-1827</v>
      </c>
      <c r="AA15" s="1461">
        <f>-Divisional!AA124</f>
        <v>-3391</v>
      </c>
      <c r="AB15" s="203">
        <f>-Divisional!AB124</f>
        <v>-701</v>
      </c>
      <c r="AC15" s="203">
        <f>-Divisional!AC124</f>
        <v>-805</v>
      </c>
      <c r="AD15" s="203">
        <f>-Divisional!AD124</f>
        <v>-781</v>
      </c>
      <c r="AE15" s="1448">
        <f>-Divisional!AE124</f>
        <v>-1173</v>
      </c>
      <c r="AF15" s="203">
        <f>-Divisional!AF124</f>
        <v>-1506</v>
      </c>
      <c r="AG15" s="203">
        <f>-Divisional!AG124</f>
        <v>-1954</v>
      </c>
      <c r="AH15" s="1461">
        <f>-Divisional!AH124</f>
        <v>-3460</v>
      </c>
      <c r="AI15" s="203">
        <f>-Divisional!AI124</f>
        <v>-547</v>
      </c>
      <c r="AJ15" s="203">
        <f>-Divisional!AJ124</f>
        <v>-762</v>
      </c>
      <c r="AK15" s="203">
        <f>-Divisional!AK124</f>
        <v>-706</v>
      </c>
      <c r="AL15" s="1448">
        <f>-Divisional!AL124</f>
        <v>-955</v>
      </c>
      <c r="AM15" s="203">
        <f>-Divisional!AM124</f>
        <v>-1309</v>
      </c>
      <c r="AN15" s="203">
        <f>-Divisional!AN124</f>
        <v>-1661</v>
      </c>
      <c r="AO15" s="1461">
        <f>-Divisional!AO124</f>
        <v>-2970</v>
      </c>
      <c r="AP15" s="203">
        <f>-Divisional!AP124</f>
        <v>-548</v>
      </c>
      <c r="AQ15" s="203">
        <f>-Divisional!AQ124</f>
        <v>-740</v>
      </c>
      <c r="AR15" s="203">
        <f>-Divisional!AR124</f>
        <v>-630</v>
      </c>
      <c r="AS15" s="1448">
        <f>-Divisional!AS124</f>
        <v>-889</v>
      </c>
      <c r="AT15" s="203">
        <f>-Divisional!AT124</f>
        <v>-1288</v>
      </c>
      <c r="AU15" s="203">
        <f>-Divisional!AU124</f>
        <v>-1519</v>
      </c>
      <c r="AV15" s="1461">
        <f>-Divisional!AV124</f>
        <v>-2807</v>
      </c>
      <c r="AW15" s="203">
        <f>-Divisional!AW124</f>
        <v>-548</v>
      </c>
      <c r="AX15" s="203">
        <f>-Divisional!AX124</f>
        <v>-740</v>
      </c>
      <c r="AY15" s="203">
        <f>-Divisional!AY124</f>
        <v>-630</v>
      </c>
      <c r="AZ15" s="1448">
        <f>-Divisional!AZ124</f>
        <v>-889</v>
      </c>
      <c r="BA15" s="203">
        <f>-Divisional!BA124</f>
        <v>-1288</v>
      </c>
      <c r="BB15" s="203">
        <f>-Divisional!BB124</f>
        <v>-1519</v>
      </c>
      <c r="BC15" s="1461">
        <f>-Divisional!BC124</f>
        <v>-2807</v>
      </c>
      <c r="BD15" s="203">
        <f>-Divisional!BD124</f>
        <v>-616</v>
      </c>
      <c r="BE15" s="203">
        <f>-Divisional!BE124</f>
        <v>-787</v>
      </c>
      <c r="BF15" s="203">
        <f>-Divisional!BF124</f>
        <v>-700</v>
      </c>
      <c r="BG15" s="1448">
        <f>-Divisional!BG124</f>
        <v>-1114</v>
      </c>
      <c r="BH15" s="203">
        <f>-Divisional!BH124</f>
        <v>-1403</v>
      </c>
      <c r="BI15" s="203">
        <f>-Divisional!BI124</f>
        <v>-1814</v>
      </c>
      <c r="BJ15" s="1461">
        <f>-Divisional!BJ124</f>
        <v>-3217</v>
      </c>
      <c r="BK15" s="203">
        <f>-Divisional!BR124</f>
        <v>-654</v>
      </c>
      <c r="BL15" s="203">
        <f>-Divisional!BS124</f>
        <v>-769</v>
      </c>
      <c r="BM15" s="203">
        <f>-Divisional!BT124</f>
        <v>-727</v>
      </c>
      <c r="BN15" s="1448">
        <f>-Divisional!BU124</f>
        <v>-1208</v>
      </c>
      <c r="BO15" s="203">
        <f>-Divisional!BV124</f>
        <v>-1423</v>
      </c>
      <c r="BP15" s="203">
        <f>-Divisional!BW124</f>
        <v>-1935</v>
      </c>
      <c r="BQ15" s="1461">
        <f>-Divisional!BQ124</f>
        <v>-3358</v>
      </c>
      <c r="BR15" s="203">
        <f>-Divisional!BY124</f>
        <v>-663</v>
      </c>
      <c r="BS15" s="203">
        <f>-Divisional!BZ124</f>
        <v>-733</v>
      </c>
      <c r="BT15" s="203">
        <f>-Divisional!CA124</f>
        <v>-636</v>
      </c>
      <c r="BU15" s="1448">
        <f>-Divisional!CB124</f>
        <v>-826</v>
      </c>
      <c r="BV15" s="203">
        <f>-Divisional!CC124</f>
        <v>-1396</v>
      </c>
      <c r="BW15" s="203">
        <f>-Divisional!CD124</f>
        <v>-1462</v>
      </c>
      <c r="BX15" s="1461">
        <f>-Divisional!CE124</f>
        <v>-2858</v>
      </c>
      <c r="BY15" s="203">
        <f>-Divisional!CF124</f>
        <v>-620</v>
      </c>
      <c r="BZ15" s="203">
        <f>-Divisional!CG124</f>
        <v>-642</v>
      </c>
      <c r="CA15" s="203">
        <f>-Divisional!CH124</f>
        <v>-657</v>
      </c>
      <c r="CB15" s="1448">
        <f>-Divisional!CI124</f>
        <v>-827</v>
      </c>
      <c r="CC15" s="203">
        <f>-Divisional!CJ124</f>
        <v>-1262</v>
      </c>
      <c r="CD15" s="203">
        <f>-Divisional!CK124</f>
        <v>-1484</v>
      </c>
      <c r="CE15" s="1461">
        <f>-Divisional!CL124</f>
        <v>-2746</v>
      </c>
      <c r="CF15" s="203">
        <f>-Divisional!CM124</f>
        <v>-586</v>
      </c>
      <c r="CG15" s="203">
        <f>-Divisional!CN124</f>
        <v>-676</v>
      </c>
      <c r="CH15" s="203">
        <f>-Divisional!CO124</f>
        <v>-703</v>
      </c>
      <c r="CI15" s="1448">
        <f>-Divisional!CP124</f>
        <v>-1114</v>
      </c>
      <c r="CJ15" s="203">
        <f>-Divisional!CQ124</f>
        <v>-1262</v>
      </c>
      <c r="CK15" s="203">
        <f>-Divisional!CR124</f>
        <v>-1817</v>
      </c>
      <c r="CL15" s="1461">
        <f>-Divisional!CS124</f>
        <v>-3079</v>
      </c>
      <c r="CM15" s="203">
        <f>-Divisional!CT124</f>
        <v>-683</v>
      </c>
      <c r="CN15" s="203">
        <f>-Divisional!CU124</f>
        <v>-748</v>
      </c>
      <c r="CO15" s="203">
        <f>-Divisional!CV124</f>
        <v>-736</v>
      </c>
      <c r="CP15" s="1448">
        <f>-Divisional!CW124</f>
        <v>-1090</v>
      </c>
      <c r="CQ15" s="203">
        <f>-Divisional!CX124</f>
        <v>-1431</v>
      </c>
      <c r="CR15" s="203">
        <f>-Divisional!CY124</f>
        <v>-1826</v>
      </c>
      <c r="CS15" s="1461">
        <f>-Divisional!CZ124</f>
        <v>-3257</v>
      </c>
      <c r="CT15" s="203">
        <f>-Divisional!DA124</f>
        <v>-743</v>
      </c>
      <c r="CU15" s="203">
        <f t="shared" ref="CU15:CU17" si="128">CX15-CT15</f>
        <v>-850</v>
      </c>
      <c r="CV15" s="203">
        <v>-758</v>
      </c>
      <c r="CW15" s="1448">
        <f>-Divisional!DD124</f>
        <v>-899</v>
      </c>
      <c r="CX15" s="203">
        <v>-1593</v>
      </c>
      <c r="CY15" s="203">
        <f>-Divisional!DF124</f>
        <v>-1657</v>
      </c>
      <c r="CZ15" s="1461">
        <f>-Divisional!DG124</f>
        <v>-3250</v>
      </c>
      <c r="DA15" s="203">
        <f>-Divisional!DH124</f>
        <v>-673</v>
      </c>
      <c r="DB15" s="203">
        <f t="shared" ref="DB15:DB17" si="129">DE15-DA15</f>
        <v>-733</v>
      </c>
      <c r="DC15" s="2081">
        <v>-739</v>
      </c>
      <c r="DD15" s="1448">
        <f>-Divisional!DK124</f>
        <v>-1008</v>
      </c>
      <c r="DE15" s="2081">
        <v>-1406</v>
      </c>
      <c r="DF15" s="203">
        <f>-Divisional!DM124</f>
        <v>-1747</v>
      </c>
      <c r="DG15" s="1269">
        <f>-Divisional!DN124</f>
        <v>-3153</v>
      </c>
      <c r="DH15" s="203">
        <f>-Divisional!DO124</f>
        <v>-730</v>
      </c>
      <c r="DI15" s="203">
        <f t="shared" ref="DI15:DI17" si="130">DL15-DH15</f>
        <v>-734</v>
      </c>
      <c r="DJ15" s="860">
        <f>-Divisional!DQ124</f>
        <v>-781.62797593505536</v>
      </c>
      <c r="DK15" s="1557">
        <f>DM15-DJ15</f>
        <v>-1263.598801731192</v>
      </c>
      <c r="DL15" s="1892">
        <v>-1464</v>
      </c>
      <c r="DM15" s="1422">
        <f t="shared" ref="DM15:DM17" si="131">DN15-DL15</f>
        <v>-2045.2267776662475</v>
      </c>
      <c r="DN15" s="1119">
        <f>-Divisional!DU124</f>
        <v>-3509.2267776662475</v>
      </c>
      <c r="DO15" s="860">
        <f>-Divisional!DV124</f>
        <v>-915.27196158012737</v>
      </c>
      <c r="DP15" s="860">
        <f t="shared" ref="DP15:DP17" si="132">DS15-DO15</f>
        <v>-998.62773782607371</v>
      </c>
      <c r="DQ15" s="860">
        <f>-Divisional!DX124</f>
        <v>-996.30594021986349</v>
      </c>
      <c r="DR15" s="1557">
        <f>DT15-DQ15</f>
        <v>-1092.6686964588478</v>
      </c>
      <c r="DS15" s="860">
        <f>-Divisional!DZ124</f>
        <v>-1913.8996994062011</v>
      </c>
      <c r="DT15" s="1422">
        <f t="shared" ref="DT15:DT17" si="133">DU15-DS15</f>
        <v>-2088.9746366787112</v>
      </c>
      <c r="DU15" s="1119">
        <f>-Divisional!EB124</f>
        <v>-4002.8743360849121</v>
      </c>
      <c r="DV15" s="860">
        <f>-Divisional!EC124</f>
        <v>-1011.698591797483</v>
      </c>
      <c r="DW15" s="860">
        <f t="shared" ref="DW15:DW17" si="134">DZ15-DV15</f>
        <v>-1107.1528336606166</v>
      </c>
      <c r="DX15" s="860">
        <f>-Divisional!EE124</f>
        <v>-1103.9309640702106</v>
      </c>
      <c r="DY15" s="1557">
        <f>EA15-DX15</f>
        <v>-1230.5688207667379</v>
      </c>
      <c r="DZ15" s="860">
        <f>-Divisional!EG124</f>
        <v>-2118.8514254580996</v>
      </c>
      <c r="EA15" s="1422">
        <f t="shared" ref="EA15:EA17" si="135">EB15-DZ15</f>
        <v>-2334.4997848369485</v>
      </c>
      <c r="EB15" s="1119">
        <f>-Divisional!EI124</f>
        <v>-4453.3512102950481</v>
      </c>
      <c r="EC15" s="860">
        <f>-Divisional!EJ124</f>
        <v>-1102.5675130107832</v>
      </c>
      <c r="ED15" s="860">
        <f t="shared" ref="ED15:ED17" si="136">EG15-EC15</f>
        <v>-1167.9480680388226</v>
      </c>
      <c r="EE15" s="860">
        <f>-Divisional!EL124</f>
        <v>-1163.7049408538794</v>
      </c>
      <c r="EF15" s="1557">
        <f>EH15-EE15</f>
        <v>-1304.548083755313</v>
      </c>
      <c r="EG15" s="860">
        <f>-Divisional!EN124</f>
        <v>-2270.5155810496058</v>
      </c>
      <c r="EH15" s="1422">
        <f t="shared" ref="EH15:EH17" si="137">EI15-EG15</f>
        <v>-2468.2530246091924</v>
      </c>
      <c r="EI15" s="1119">
        <f>-Divisional!EP124</f>
        <v>-4738.7686056587982</v>
      </c>
      <c r="EJ15" s="860">
        <f>-Divisional!EQ124</f>
        <v>-1156.4077936776621</v>
      </c>
      <c r="EK15" s="860">
        <f t="shared" ref="EK15:EK17" si="138">EN15-EJ15</f>
        <v>-1229.1465777171788</v>
      </c>
      <c r="EL15" s="860">
        <f>-Divisional!ES124</f>
        <v>-1223.8284684376026</v>
      </c>
      <c r="EM15" s="1557">
        <f>EO15-EL15</f>
        <v>-1379.6585335831128</v>
      </c>
      <c r="EN15" s="860">
        <f>-Divisional!EU124</f>
        <v>-2385.5543713948409</v>
      </c>
      <c r="EO15" s="1422">
        <f t="shared" ref="EO15:EO17" si="139">EP15-EN15</f>
        <v>-2603.4870020207154</v>
      </c>
      <c r="EP15" s="1119">
        <f>-Divisional!EW124</f>
        <v>-4989.0413734155563</v>
      </c>
      <c r="EQ15" s="93"/>
      <c r="ER15" s="91"/>
    </row>
    <row r="16" spans="1:148" ht="10.199999999999999" customHeight="1">
      <c r="A16" s="108" t="s">
        <v>929</v>
      </c>
      <c r="B16" s="108"/>
      <c r="C16" s="203">
        <v>248</v>
      </c>
      <c r="D16" s="203">
        <v>196</v>
      </c>
      <c r="E16" s="203">
        <v>314</v>
      </c>
      <c r="F16" s="203">
        <v>222</v>
      </c>
      <c r="G16" s="203">
        <v>297</v>
      </c>
      <c r="H16" s="203">
        <v>233</v>
      </c>
      <c r="I16" s="203">
        <v>189</v>
      </c>
      <c r="J16" s="203">
        <v>170</v>
      </c>
      <c r="K16" s="203">
        <f>171-102</f>
        <v>69</v>
      </c>
      <c r="L16" s="203">
        <f>359-221</f>
        <v>138</v>
      </c>
      <c r="M16" s="203">
        <v>184</v>
      </c>
      <c r="N16" s="203">
        <v>61</v>
      </c>
      <c r="O16" s="203">
        <f>R16-N16</f>
        <v>32</v>
      </c>
      <c r="P16" s="203">
        <f>129-R16</f>
        <v>36</v>
      </c>
      <c r="Q16" s="1448">
        <f>S16-P16</f>
        <v>143</v>
      </c>
      <c r="R16" s="203">
        <v>93</v>
      </c>
      <c r="S16" s="203">
        <f>T16-R16</f>
        <v>179</v>
      </c>
      <c r="T16" s="1461">
        <v>272</v>
      </c>
      <c r="U16" s="203">
        <v>52</v>
      </c>
      <c r="V16" s="203">
        <f t="shared" ref="V16" si="140">Y16-U16</f>
        <v>112</v>
      </c>
      <c r="W16" s="203">
        <f>235-Y16</f>
        <v>71</v>
      </c>
      <c r="X16" s="1448">
        <f>Z16-W16</f>
        <v>95</v>
      </c>
      <c r="Y16" s="203">
        <v>164</v>
      </c>
      <c r="Z16" s="203">
        <f>AA16-Y16</f>
        <v>166</v>
      </c>
      <c r="AA16" s="1461">
        <v>330</v>
      </c>
      <c r="AB16" s="203">
        <v>127</v>
      </c>
      <c r="AC16" s="203">
        <f>AF16-AB16</f>
        <v>145</v>
      </c>
      <c r="AD16" s="203">
        <f>296-AF16</f>
        <v>24</v>
      </c>
      <c r="AE16" s="1448">
        <f>AG16-AD16</f>
        <v>178</v>
      </c>
      <c r="AF16" s="203">
        <v>272</v>
      </c>
      <c r="AG16" s="203">
        <f>AH16-AF16</f>
        <v>202</v>
      </c>
      <c r="AH16" s="1461">
        <v>474</v>
      </c>
      <c r="AI16" s="203">
        <v>85</v>
      </c>
      <c r="AJ16" s="203">
        <f>AM16-AI16</f>
        <v>2269</v>
      </c>
      <c r="AK16" s="203">
        <f>2422-AM16</f>
        <v>68</v>
      </c>
      <c r="AL16" s="1448">
        <f>AN16-AK16</f>
        <v>267</v>
      </c>
      <c r="AM16" s="203">
        <v>2354</v>
      </c>
      <c r="AN16" s="203">
        <f>AO16-AM16</f>
        <v>335</v>
      </c>
      <c r="AO16" s="1461">
        <v>2689</v>
      </c>
      <c r="AP16" s="203">
        <v>703</v>
      </c>
      <c r="AQ16" s="203">
        <f>+AT16-AP16</f>
        <v>84</v>
      </c>
      <c r="AR16" s="203">
        <f>916-AT16</f>
        <v>129</v>
      </c>
      <c r="AS16" s="1448">
        <f>AU16-AR16</f>
        <v>-271</v>
      </c>
      <c r="AT16" s="203">
        <v>787</v>
      </c>
      <c r="AU16" s="203">
        <f>AV16-AT16</f>
        <v>-142</v>
      </c>
      <c r="AV16" s="1461">
        <f>981-336</f>
        <v>645</v>
      </c>
      <c r="AW16" s="203">
        <f>703-21</f>
        <v>682</v>
      </c>
      <c r="AX16" s="203">
        <f>+BA16-AW16</f>
        <v>45</v>
      </c>
      <c r="AY16" s="203">
        <f>916-78-BA16</f>
        <v>111</v>
      </c>
      <c r="AZ16" s="1448">
        <f>BB16-AY16</f>
        <v>-193</v>
      </c>
      <c r="BA16" s="203">
        <f>787-60</f>
        <v>727</v>
      </c>
      <c r="BB16" s="203">
        <f>BC16-BA16</f>
        <v>-82</v>
      </c>
      <c r="BC16" s="1461">
        <f>981-336</f>
        <v>645</v>
      </c>
      <c r="BD16" s="203">
        <f>256-9</f>
        <v>247</v>
      </c>
      <c r="BE16" s="203">
        <f>BH16-BD16</f>
        <v>20</v>
      </c>
      <c r="BF16" s="203">
        <f>352-78-BH16</f>
        <v>7</v>
      </c>
      <c r="BG16" s="1448">
        <f>BI16-BF16</f>
        <v>1200</v>
      </c>
      <c r="BH16" s="203">
        <f>310-43</f>
        <v>267</v>
      </c>
      <c r="BI16" s="203">
        <f>BJ16-BH16</f>
        <v>1207</v>
      </c>
      <c r="BJ16" s="1461">
        <f>1656-182</f>
        <v>1474</v>
      </c>
      <c r="BK16" s="203">
        <f>70-21</f>
        <v>49</v>
      </c>
      <c r="BL16" s="203">
        <f>62-42</f>
        <v>20</v>
      </c>
      <c r="BM16" s="203">
        <f>115-53</f>
        <v>62</v>
      </c>
      <c r="BN16" s="1448">
        <f>BP16-BM16</f>
        <v>-117</v>
      </c>
      <c r="BO16" s="203">
        <f>BK16+BL16</f>
        <v>69</v>
      </c>
      <c r="BP16" s="203">
        <f>BQ16-BO16</f>
        <v>-55</v>
      </c>
      <c r="BQ16" s="1461">
        <f>370-356</f>
        <v>14</v>
      </c>
      <c r="BR16" s="203">
        <f>29-14</f>
        <v>15</v>
      </c>
      <c r="BS16" s="203">
        <f>39-129</f>
        <v>-90</v>
      </c>
      <c r="BT16" s="203">
        <f>31-1232</f>
        <v>-1201</v>
      </c>
      <c r="BU16" s="1448">
        <f>BW16-BT16</f>
        <v>-50</v>
      </c>
      <c r="BV16" s="203">
        <f>BR16+BS16</f>
        <v>-75</v>
      </c>
      <c r="BW16" s="203">
        <f>BX16-BV16</f>
        <v>-1251</v>
      </c>
      <c r="BX16" s="1461">
        <f>132-1458</f>
        <v>-1326</v>
      </c>
      <c r="BY16" s="203">
        <f>21-26</f>
        <v>-5</v>
      </c>
      <c r="BZ16" s="203">
        <f>CC16-BY16</f>
        <v>69</v>
      </c>
      <c r="CA16" s="203">
        <f>58-24</f>
        <v>34</v>
      </c>
      <c r="CB16" s="1448">
        <f>CD16-CA16</f>
        <v>295</v>
      </c>
      <c r="CC16" s="203">
        <f>158-94</f>
        <v>64</v>
      </c>
      <c r="CD16" s="203">
        <f>CE16-CC16</f>
        <v>329</v>
      </c>
      <c r="CE16" s="1461">
        <f>594-201</f>
        <v>393</v>
      </c>
      <c r="CF16" s="203">
        <f>22-19</f>
        <v>3</v>
      </c>
      <c r="CG16" s="203">
        <f>55-CF16</f>
        <v>52</v>
      </c>
      <c r="CH16" s="203">
        <f>9-5</f>
        <v>4</v>
      </c>
      <c r="CI16" s="1448">
        <f>CK16-CH16</f>
        <v>-178</v>
      </c>
      <c r="CJ16" s="203">
        <f>+CF16+CG16</f>
        <v>55</v>
      </c>
      <c r="CK16" s="203">
        <f>CL16-CJ16</f>
        <v>-174</v>
      </c>
      <c r="CL16" s="1461">
        <f>471-590</f>
        <v>-119</v>
      </c>
      <c r="CM16" s="203">
        <f>24-36</f>
        <v>-12</v>
      </c>
      <c r="CN16" s="203">
        <f>CQ16-CM16</f>
        <v>-27</v>
      </c>
      <c r="CO16" s="203">
        <f>96-15</f>
        <v>81</v>
      </c>
      <c r="CP16" s="1448">
        <f>CR16-CO16</f>
        <v>-8</v>
      </c>
      <c r="CQ16" s="203">
        <f>34-73</f>
        <v>-39</v>
      </c>
      <c r="CR16" s="203">
        <f>CS16-CQ16</f>
        <v>73</v>
      </c>
      <c r="CS16" s="1461">
        <f>243-209</f>
        <v>34</v>
      </c>
      <c r="CT16" s="203">
        <f>90-25</f>
        <v>65</v>
      </c>
      <c r="CU16" s="203">
        <f>CX16-CT16</f>
        <v>35</v>
      </c>
      <c r="CV16" s="203">
        <f>63-32</f>
        <v>31</v>
      </c>
      <c r="CW16" s="1448">
        <f>CY16-CV16</f>
        <v>-25</v>
      </c>
      <c r="CX16" s="203">
        <f>178-78</f>
        <v>100</v>
      </c>
      <c r="CY16" s="203">
        <f>CZ16-CX16</f>
        <v>6</v>
      </c>
      <c r="CZ16" s="1461">
        <f>303-197</f>
        <v>106</v>
      </c>
      <c r="DA16" s="203">
        <f>33-121</f>
        <v>-88</v>
      </c>
      <c r="DB16" s="203">
        <f>DE16-DA16</f>
        <v>26</v>
      </c>
      <c r="DC16" s="2091">
        <f>64+-39</f>
        <v>25</v>
      </c>
      <c r="DD16" s="1448">
        <f>DF16-DC16</f>
        <v>528</v>
      </c>
      <c r="DE16" s="2091">
        <f>98-160</f>
        <v>-62</v>
      </c>
      <c r="DF16" s="203">
        <f>DG16-DE16</f>
        <v>553</v>
      </c>
      <c r="DG16" s="1269">
        <f>979-488</f>
        <v>491</v>
      </c>
      <c r="DH16" s="203">
        <f>33-121</f>
        <v>-88</v>
      </c>
      <c r="DI16" s="203">
        <f>DL16-DH16</f>
        <v>131</v>
      </c>
      <c r="DJ16" s="860">
        <f>DM16/2</f>
        <v>224</v>
      </c>
      <c r="DK16" s="1557">
        <f>DM16-DJ16</f>
        <v>224</v>
      </c>
      <c r="DL16" s="1892">
        <f>87-44</f>
        <v>43</v>
      </c>
      <c r="DM16" s="1422">
        <f t="shared" si="131"/>
        <v>448</v>
      </c>
      <c r="DN16" s="1119">
        <f>DG16</f>
        <v>491</v>
      </c>
      <c r="DO16" s="860">
        <f t="shared" ref="DO16" si="141">DS16/2</f>
        <v>122.75</v>
      </c>
      <c r="DP16" s="860">
        <f t="shared" si="132"/>
        <v>122.75</v>
      </c>
      <c r="DQ16" s="860">
        <f>DT16/2</f>
        <v>122.75</v>
      </c>
      <c r="DR16" s="1557">
        <f>DT16-DQ16</f>
        <v>122.75</v>
      </c>
      <c r="DS16" s="860">
        <f t="shared" ref="DS16" si="142">DU16/2</f>
        <v>245.5</v>
      </c>
      <c r="DT16" s="1422">
        <f t="shared" si="133"/>
        <v>245.5</v>
      </c>
      <c r="DU16" s="1119">
        <f>DN16</f>
        <v>491</v>
      </c>
      <c r="DV16" s="860">
        <f t="shared" ref="DV16" si="143">DZ16/2</f>
        <v>122.75</v>
      </c>
      <c r="DW16" s="860">
        <f t="shared" si="134"/>
        <v>122.75</v>
      </c>
      <c r="DX16" s="860">
        <f>EA16/2</f>
        <v>122.75</v>
      </c>
      <c r="DY16" s="1557">
        <f>EA16-DX16</f>
        <v>122.75</v>
      </c>
      <c r="DZ16" s="860">
        <f t="shared" ref="DZ16" si="144">EB16/2</f>
        <v>245.5</v>
      </c>
      <c r="EA16" s="1422">
        <f t="shared" si="135"/>
        <v>245.5</v>
      </c>
      <c r="EB16" s="1119">
        <f>DU16</f>
        <v>491</v>
      </c>
      <c r="EC16" s="860">
        <f t="shared" ref="EC16" si="145">EG16/2</f>
        <v>122.75</v>
      </c>
      <c r="ED16" s="860">
        <f t="shared" si="136"/>
        <v>122.75</v>
      </c>
      <c r="EE16" s="860">
        <f>EH16/2</f>
        <v>122.75</v>
      </c>
      <c r="EF16" s="1557">
        <f>EH16-EE16</f>
        <v>122.75</v>
      </c>
      <c r="EG16" s="860">
        <f t="shared" ref="EG16" si="146">EI16/2</f>
        <v>245.5</v>
      </c>
      <c r="EH16" s="1422">
        <f t="shared" si="137"/>
        <v>245.5</v>
      </c>
      <c r="EI16" s="1119">
        <f>EB16</f>
        <v>491</v>
      </c>
      <c r="EJ16" s="860">
        <f t="shared" ref="EJ16" si="147">EN16/2</f>
        <v>122.75</v>
      </c>
      <c r="EK16" s="860">
        <f t="shared" si="138"/>
        <v>122.75</v>
      </c>
      <c r="EL16" s="860">
        <f>EO16/2</f>
        <v>122.75</v>
      </c>
      <c r="EM16" s="1557">
        <f>EO16-EL16</f>
        <v>122.75</v>
      </c>
      <c r="EN16" s="860">
        <f t="shared" ref="EN16" si="148">EP16/2</f>
        <v>245.5</v>
      </c>
      <c r="EO16" s="1422">
        <f t="shared" si="139"/>
        <v>245.5</v>
      </c>
      <c r="EP16" s="1119">
        <f>EI16</f>
        <v>491</v>
      </c>
      <c r="EQ16" s="93"/>
      <c r="ER16" s="91"/>
    </row>
    <row r="17" spans="1:148" ht="10.199999999999999" customHeight="1">
      <c r="A17" s="43" t="s">
        <v>272</v>
      </c>
      <c r="B17" s="108"/>
      <c r="C17" s="822">
        <v>87</v>
      </c>
      <c r="D17" s="822">
        <v>186</v>
      </c>
      <c r="E17" s="210">
        <v>84</v>
      </c>
      <c r="F17" s="210">
        <v>225</v>
      </c>
      <c r="G17" s="210">
        <v>189</v>
      </c>
      <c r="H17" s="210">
        <v>296</v>
      </c>
      <c r="I17" s="210">
        <v>211</v>
      </c>
      <c r="J17" s="210">
        <v>134</v>
      </c>
      <c r="K17" s="210">
        <v>145</v>
      </c>
      <c r="L17" s="210">
        <v>192</v>
      </c>
      <c r="M17" s="210">
        <v>247</v>
      </c>
      <c r="N17" s="1442">
        <v>126</v>
      </c>
      <c r="O17" s="1442">
        <f>R17-N17</f>
        <v>72</v>
      </c>
      <c r="P17" s="1442">
        <f>319-R17</f>
        <v>121</v>
      </c>
      <c r="Q17" s="1449">
        <f>S17-P17</f>
        <v>164</v>
      </c>
      <c r="R17" s="1442">
        <v>198</v>
      </c>
      <c r="S17" s="1442">
        <f>T17-R17</f>
        <v>285</v>
      </c>
      <c r="T17" s="1462">
        <v>483</v>
      </c>
      <c r="U17" s="1725">
        <v>71</v>
      </c>
      <c r="V17" s="1442">
        <f t="shared" ref="V17" si="149">Y17-U17</f>
        <v>77</v>
      </c>
      <c r="W17" s="1442">
        <f>304-Y17</f>
        <v>156</v>
      </c>
      <c r="X17" s="1449">
        <f>Z17-W17</f>
        <v>591</v>
      </c>
      <c r="Y17" s="1442">
        <v>148</v>
      </c>
      <c r="Z17" s="1442">
        <f>AA17-Y17</f>
        <v>747</v>
      </c>
      <c r="AA17" s="1462">
        <v>895</v>
      </c>
      <c r="AB17" s="1725">
        <v>729</v>
      </c>
      <c r="AC17" s="1442">
        <f>AF17-AB17</f>
        <v>73</v>
      </c>
      <c r="AD17" s="1442">
        <f>909-AF17</f>
        <v>107</v>
      </c>
      <c r="AE17" s="1449">
        <f>AG17-AD17</f>
        <v>161</v>
      </c>
      <c r="AF17" s="1442">
        <v>802</v>
      </c>
      <c r="AG17" s="1442">
        <f>AH17-AF17</f>
        <v>268</v>
      </c>
      <c r="AH17" s="1462">
        <v>1070</v>
      </c>
      <c r="AI17" s="1725">
        <v>32</v>
      </c>
      <c r="AJ17" s="1442">
        <f>AM17-AI17</f>
        <v>-46</v>
      </c>
      <c r="AK17" s="1442">
        <f>78-AM17</f>
        <v>92</v>
      </c>
      <c r="AL17" s="1449">
        <f>AN17-AK17</f>
        <v>174</v>
      </c>
      <c r="AM17" s="1442">
        <v>-14</v>
      </c>
      <c r="AN17" s="1442">
        <f>AO17-AM17</f>
        <v>266</v>
      </c>
      <c r="AO17" s="1462">
        <v>252</v>
      </c>
      <c r="AP17" s="1725">
        <v>56</v>
      </c>
      <c r="AQ17" s="1442">
        <f>+AT17-AP17</f>
        <v>190</v>
      </c>
      <c r="AR17" s="1442">
        <v>53</v>
      </c>
      <c r="AS17" s="1449">
        <f>AU17-AR17</f>
        <v>116</v>
      </c>
      <c r="AT17" s="1442">
        <v>246</v>
      </c>
      <c r="AU17" s="1442">
        <f>AV17-AT17</f>
        <v>169</v>
      </c>
      <c r="AV17" s="1462">
        <f>333+82</f>
        <v>415</v>
      </c>
      <c r="AW17" s="1725">
        <f>42+17</f>
        <v>59</v>
      </c>
      <c r="AX17" s="1442">
        <f>+BA17-AW17</f>
        <v>190</v>
      </c>
      <c r="AY17" s="1442">
        <f>197+101-BA17</f>
        <v>49</v>
      </c>
      <c r="AZ17" s="1450">
        <f>BB17-AY17</f>
        <v>95</v>
      </c>
      <c r="BA17" s="1442">
        <f>149+100</f>
        <v>249</v>
      </c>
      <c r="BB17" s="1442">
        <f>BC17-BA17</f>
        <v>144</v>
      </c>
      <c r="BC17" s="1462">
        <f>311+82</f>
        <v>393</v>
      </c>
      <c r="BD17" s="1725">
        <f>31+5</f>
        <v>36</v>
      </c>
      <c r="BE17" s="1442">
        <f>BH17-BD17</f>
        <v>74</v>
      </c>
      <c r="BF17" s="1442">
        <f>120+43-BH17</f>
        <v>53</v>
      </c>
      <c r="BG17" s="1450">
        <f>BI17-BF17</f>
        <v>276</v>
      </c>
      <c r="BH17" s="1442">
        <f>81+29</f>
        <v>110</v>
      </c>
      <c r="BI17" s="1442">
        <f>BJ17-BH17</f>
        <v>329</v>
      </c>
      <c r="BJ17" s="1462">
        <f>330+109</f>
        <v>439</v>
      </c>
      <c r="BK17" s="1725">
        <f>-8-2</f>
        <v>-10</v>
      </c>
      <c r="BL17" s="1442">
        <f>63+16</f>
        <v>79</v>
      </c>
      <c r="BM17" s="1442">
        <f>76+18-BO17</f>
        <v>25</v>
      </c>
      <c r="BN17" s="1450">
        <f>BP17-BM17</f>
        <v>209</v>
      </c>
      <c r="BO17" s="1442">
        <f>BK17+BL17</f>
        <v>69</v>
      </c>
      <c r="BP17" s="1442">
        <f>BQ17-BO17</f>
        <v>234</v>
      </c>
      <c r="BQ17" s="1462">
        <f>299+4</f>
        <v>303</v>
      </c>
      <c r="BR17" s="1725">
        <v>119</v>
      </c>
      <c r="BS17" s="1442">
        <f>-26</f>
        <v>-26</v>
      </c>
      <c r="BT17" s="1442">
        <v>-23</v>
      </c>
      <c r="BU17" s="1450">
        <f>BW17-BT17</f>
        <v>82</v>
      </c>
      <c r="BV17" s="1442">
        <f>BR17+BS17</f>
        <v>93</v>
      </c>
      <c r="BW17" s="1442">
        <f>BX17-BV17</f>
        <v>59</v>
      </c>
      <c r="BX17" s="1462">
        <f>39+113</f>
        <v>152</v>
      </c>
      <c r="BY17" s="1725">
        <v>118</v>
      </c>
      <c r="BZ17" s="1442">
        <f>CC17-BY17</f>
        <v>2</v>
      </c>
      <c r="CA17" s="1442">
        <f>-27+4</f>
        <v>-23</v>
      </c>
      <c r="CB17" s="1450">
        <f>CD17-CA17</f>
        <v>19</v>
      </c>
      <c r="CC17" s="1442">
        <f>-1+121</f>
        <v>120</v>
      </c>
      <c r="CD17" s="1726">
        <f>CE17-CC17</f>
        <v>-4</v>
      </c>
      <c r="CE17" s="1463">
        <f>40+76</f>
        <v>116</v>
      </c>
      <c r="CF17" s="1725">
        <f>-21+4</f>
        <v>-17</v>
      </c>
      <c r="CG17" s="1442">
        <f>-62-17+29-CF17</f>
        <v>-33</v>
      </c>
      <c r="CH17" s="1442">
        <f>34+28</f>
        <v>62</v>
      </c>
      <c r="CI17" s="1450">
        <f>CK17-CH17</f>
        <v>180</v>
      </c>
      <c r="CJ17" s="1442">
        <f>+CF17+CG17</f>
        <v>-50</v>
      </c>
      <c r="CK17" s="1726">
        <f>CL17-CJ17</f>
        <v>242</v>
      </c>
      <c r="CL17" s="1462">
        <f>134+58</f>
        <v>192</v>
      </c>
      <c r="CM17" s="1441">
        <f>9+3</f>
        <v>12</v>
      </c>
      <c r="CN17" s="1441">
        <f>CQ17-CM17</f>
        <v>78</v>
      </c>
      <c r="CO17" s="1441">
        <f>49+3</f>
        <v>52</v>
      </c>
      <c r="CP17" s="1449">
        <f>CR17-CO17</f>
        <v>161</v>
      </c>
      <c r="CQ17" s="1441">
        <f>80+10</f>
        <v>90</v>
      </c>
      <c r="CR17" s="1441">
        <f>CS17-CQ17</f>
        <v>213</v>
      </c>
      <c r="CS17" s="1462">
        <f>267+36</f>
        <v>303</v>
      </c>
      <c r="CT17" s="203">
        <f>22-2</f>
        <v>20</v>
      </c>
      <c r="CU17" s="203">
        <f t="shared" si="128"/>
        <v>100</v>
      </c>
      <c r="CV17" s="203">
        <f>80+16</f>
        <v>96</v>
      </c>
      <c r="CW17" s="1449">
        <f>CY17-CV17</f>
        <v>178</v>
      </c>
      <c r="CX17" s="203">
        <f>79+41</f>
        <v>120</v>
      </c>
      <c r="CY17" s="1441">
        <f>CZ17-CX17</f>
        <v>274</v>
      </c>
      <c r="CZ17" s="1462">
        <f>350+44</f>
        <v>394</v>
      </c>
      <c r="DA17" s="203">
        <f>29-8</f>
        <v>21</v>
      </c>
      <c r="DB17" s="203">
        <f t="shared" si="129"/>
        <v>117</v>
      </c>
      <c r="DC17" s="2094">
        <f>46+38</f>
        <v>84</v>
      </c>
      <c r="DD17" s="1449">
        <f>DF17-DC17</f>
        <v>133</v>
      </c>
      <c r="DE17" s="2091">
        <f>103+35</f>
        <v>138</v>
      </c>
      <c r="DF17" s="1441">
        <f>DG17-DE17</f>
        <v>217</v>
      </c>
      <c r="DG17" s="1602">
        <f>305+50</f>
        <v>355</v>
      </c>
      <c r="DH17" s="203">
        <f>29-8</f>
        <v>21</v>
      </c>
      <c r="DI17" s="203">
        <f t="shared" si="130"/>
        <v>163</v>
      </c>
      <c r="DJ17" s="1672">
        <f>DM17/2</f>
        <v>102.7571578580993</v>
      </c>
      <c r="DK17" s="1557">
        <f>DM17-DJ17</f>
        <v>102.7571578580993</v>
      </c>
      <c r="DL17" s="2052">
        <f>135+49</f>
        <v>184</v>
      </c>
      <c r="DM17" s="1422">
        <f t="shared" si="131"/>
        <v>205.51431571619861</v>
      </c>
      <c r="DN17" s="1480">
        <f>DG17*(1+((DN8/DG8)-1))</f>
        <v>389.51431571619861</v>
      </c>
      <c r="DO17" s="1672">
        <f>DS17/2</f>
        <v>108.37724869801075</v>
      </c>
      <c r="DP17" s="1408">
        <f t="shared" si="132"/>
        <v>108.37724869801075</v>
      </c>
      <c r="DQ17" s="1672">
        <f>DT17/2</f>
        <v>108.37724869801075</v>
      </c>
      <c r="DR17" s="1557">
        <f>DT17-DQ17</f>
        <v>108.37724869801075</v>
      </c>
      <c r="DS17" s="1672">
        <f>DU17/2</f>
        <v>216.75449739602149</v>
      </c>
      <c r="DT17" s="1422">
        <f t="shared" si="133"/>
        <v>216.75449739602149</v>
      </c>
      <c r="DU17" s="1480">
        <f>DN17*(1+((DU8/DN8)-1))</f>
        <v>433.50899479204298</v>
      </c>
      <c r="DV17" s="1672">
        <f>DZ17/2</f>
        <v>117.99681319307761</v>
      </c>
      <c r="DW17" s="1408">
        <f t="shared" si="134"/>
        <v>117.99681319307761</v>
      </c>
      <c r="DX17" s="1672">
        <f>EA17/2</f>
        <v>117.99681319307761</v>
      </c>
      <c r="DY17" s="1557">
        <f>EA17-DX17</f>
        <v>117.99681319307761</v>
      </c>
      <c r="DZ17" s="1672">
        <f>EB17/2</f>
        <v>235.99362638615523</v>
      </c>
      <c r="EA17" s="1422">
        <f t="shared" si="135"/>
        <v>235.99362638615523</v>
      </c>
      <c r="EB17" s="1480">
        <f>DU17*(1+((EB8/DU8)-1))</f>
        <v>471.98725277231046</v>
      </c>
      <c r="EC17" s="1672">
        <f>EG17/2</f>
        <v>123.31948020268234</v>
      </c>
      <c r="ED17" s="1408">
        <f t="shared" si="136"/>
        <v>123.31948020268234</v>
      </c>
      <c r="EE17" s="1672">
        <f>EH17/2</f>
        <v>123.31948020268234</v>
      </c>
      <c r="EF17" s="1557">
        <f>EH17-EE17</f>
        <v>123.31948020268234</v>
      </c>
      <c r="EG17" s="1672">
        <f>EI17/2</f>
        <v>246.63896040536468</v>
      </c>
      <c r="EH17" s="1422">
        <f t="shared" si="137"/>
        <v>246.63896040536468</v>
      </c>
      <c r="EI17" s="1480">
        <f>EB17*(1+((EI8/EB8)-1))</f>
        <v>493.27792081072937</v>
      </c>
      <c r="EJ17" s="1672">
        <f>EN17/2</f>
        <v>127.56950281709433</v>
      </c>
      <c r="EK17" s="1408">
        <f t="shared" si="138"/>
        <v>127.56950281709433</v>
      </c>
      <c r="EL17" s="1672">
        <f>EO17/2</f>
        <v>127.56950281709433</v>
      </c>
      <c r="EM17" s="1557">
        <f>EO17-EL17</f>
        <v>127.56950281709433</v>
      </c>
      <c r="EN17" s="1672">
        <f>EP17/2</f>
        <v>255.13900563418866</v>
      </c>
      <c r="EO17" s="1422">
        <f t="shared" si="139"/>
        <v>255.13900563418866</v>
      </c>
      <c r="EP17" s="1480">
        <f>EI17*(1+((EP8/EI8)-1))</f>
        <v>510.27801126837733</v>
      </c>
      <c r="EQ17" s="43"/>
      <c r="ER17" s="146"/>
    </row>
    <row r="18" spans="1:148" ht="10.199999999999999" customHeight="1">
      <c r="A18" s="48" t="s">
        <v>778</v>
      </c>
      <c r="B18" s="48"/>
      <c r="C18" s="92">
        <f>+Divisional!C111</f>
        <v>3601</v>
      </c>
      <c r="D18" s="92">
        <f>+Divisional!D111</f>
        <v>3689</v>
      </c>
      <c r="E18" s="92">
        <f>+Divisional!E111</f>
        <v>3836</v>
      </c>
      <c r="F18" s="92">
        <f>+Divisional!F111</f>
        <v>4365</v>
      </c>
      <c r="G18" s="92">
        <f>+Divisional!G111</f>
        <v>2033</v>
      </c>
      <c r="H18" s="92">
        <f>+Divisional!H111</f>
        <v>1751</v>
      </c>
      <c r="I18" s="92">
        <f>+Divisional!I111</f>
        <v>4439</v>
      </c>
      <c r="J18" s="92">
        <f>+Divisional!J111</f>
        <v>1446</v>
      </c>
      <c r="K18" s="92">
        <f>+Divisional!K111</f>
        <v>2769</v>
      </c>
      <c r="L18" s="92">
        <f>+Divisional!L111</f>
        <v>3539</v>
      </c>
      <c r="M18" s="92">
        <f>+Divisional!M111</f>
        <v>4201</v>
      </c>
      <c r="N18" s="92">
        <f>+Divisional!N111</f>
        <v>1023</v>
      </c>
      <c r="O18" s="92">
        <f>+Divisional!O111</f>
        <v>1331</v>
      </c>
      <c r="P18" s="92">
        <f>+Divisional!P111</f>
        <v>1117</v>
      </c>
      <c r="Q18" s="699">
        <f>+Divisional!Q111</f>
        <v>1080</v>
      </c>
      <c r="R18" s="92">
        <f>+Divisional!R111</f>
        <v>2354</v>
      </c>
      <c r="S18" s="92">
        <f>+Divisional!S111</f>
        <v>2197</v>
      </c>
      <c r="T18" s="1289">
        <f>+Divisional!T111</f>
        <v>4512</v>
      </c>
      <c r="U18" s="92">
        <f>+Divisional!U111</f>
        <v>1190</v>
      </c>
      <c r="V18" s="92">
        <f>+Divisional!V111</f>
        <v>1603</v>
      </c>
      <c r="W18" s="92">
        <f>+Divisional!W111</f>
        <v>1258</v>
      </c>
      <c r="X18" s="699">
        <f>+Divisional!X111</f>
        <v>2139</v>
      </c>
      <c r="Y18" s="92">
        <f>+Divisional!Y111</f>
        <v>2793</v>
      </c>
      <c r="Z18" s="92">
        <f>+Divisional!Z111</f>
        <v>3397</v>
      </c>
      <c r="AA18" s="1289">
        <f>+Divisional!AA111</f>
        <v>6147</v>
      </c>
      <c r="AB18" s="92">
        <f>+Divisional!AB111</f>
        <v>1766</v>
      </c>
      <c r="AC18" s="92">
        <f>+Divisional!AC111</f>
        <v>1548</v>
      </c>
      <c r="AD18" s="92">
        <f>+Divisional!AD111</f>
        <v>1284</v>
      </c>
      <c r="AE18" s="699">
        <f>+Divisional!AE111</f>
        <v>1954</v>
      </c>
      <c r="AF18" s="92">
        <f>+Divisional!AF111</f>
        <v>3314</v>
      </c>
      <c r="AG18" s="92">
        <f>+Divisional!AG111</f>
        <v>3238</v>
      </c>
      <c r="AH18" s="1289">
        <f>+Divisional!AH111</f>
        <v>6528</v>
      </c>
      <c r="AI18" s="92">
        <f>+Divisional!AI111</f>
        <v>874</v>
      </c>
      <c r="AJ18" s="92">
        <f>+Divisional!AJ111</f>
        <v>2050</v>
      </c>
      <c r="AK18" s="92">
        <f>+Divisional!AK111</f>
        <v>1012</v>
      </c>
      <c r="AL18" s="699">
        <f>+Divisional!AL111</f>
        <v>616</v>
      </c>
      <c r="AM18" s="92">
        <f>+Divisional!AM111</f>
        <v>2924</v>
      </c>
      <c r="AN18" s="92">
        <f>+Divisional!AN111</f>
        <v>1628</v>
      </c>
      <c r="AO18" s="1289">
        <f>+Divisional!AO111</f>
        <v>4508</v>
      </c>
      <c r="AP18" s="92">
        <f>+Divisional!AP111</f>
        <v>1403</v>
      </c>
      <c r="AQ18" s="92">
        <f>+Divisional!AQ111</f>
        <v>1474</v>
      </c>
      <c r="AR18" s="92">
        <f>+Divisional!AR111</f>
        <v>1038</v>
      </c>
      <c r="AS18" s="699">
        <f>+Divisional!AS111</f>
        <v>1804</v>
      </c>
      <c r="AT18" s="92">
        <f>+Divisional!AT111</f>
        <v>2877</v>
      </c>
      <c r="AU18" s="92">
        <f>+Divisional!AU111</f>
        <v>2842</v>
      </c>
      <c r="AV18" s="1289">
        <f>+Divisional!AV111</f>
        <v>5719</v>
      </c>
      <c r="AW18" s="92">
        <f>+Divisional!AW111</f>
        <v>1126</v>
      </c>
      <c r="AX18" s="92">
        <f>+Divisional!AX111</f>
        <v>1171</v>
      </c>
      <c r="AY18" s="92">
        <f>+Divisional!AY111</f>
        <v>979</v>
      </c>
      <c r="AZ18" s="699">
        <f>+Divisional!AZ111</f>
        <v>1687</v>
      </c>
      <c r="BA18" s="92">
        <f>+Divisional!BA111</f>
        <v>2297</v>
      </c>
      <c r="BB18" s="92">
        <f>+Divisional!BB111</f>
        <v>2666</v>
      </c>
      <c r="BC18" s="1289">
        <f>+Divisional!BC111</f>
        <v>4963</v>
      </c>
      <c r="BD18" s="92">
        <f t="shared" ref="BD18:BI18" si="150">BD22-BD20</f>
        <v>763</v>
      </c>
      <c r="BE18" s="92">
        <f t="shared" si="150"/>
        <v>1519</v>
      </c>
      <c r="BF18" s="92">
        <f t="shared" si="150"/>
        <v>2085</v>
      </c>
      <c r="BG18" s="699">
        <f t="shared" si="150"/>
        <v>3125</v>
      </c>
      <c r="BH18" s="92">
        <f t="shared" si="150"/>
        <v>2282</v>
      </c>
      <c r="BI18" s="92">
        <f t="shared" si="150"/>
        <v>5210</v>
      </c>
      <c r="BJ18" s="1289">
        <f t="shared" ref="BJ18:EP18" si="151">BJ22-BJ20</f>
        <v>7492</v>
      </c>
      <c r="BK18" s="92">
        <f t="shared" si="151"/>
        <v>901</v>
      </c>
      <c r="BL18" s="92">
        <f t="shared" si="151"/>
        <v>2454</v>
      </c>
      <c r="BM18" s="92">
        <f t="shared" si="151"/>
        <v>2068</v>
      </c>
      <c r="BN18" s="699">
        <f t="shared" si="151"/>
        <v>-1157</v>
      </c>
      <c r="BO18" s="92">
        <f t="shared" si="151"/>
        <v>3355</v>
      </c>
      <c r="BP18" s="92">
        <f t="shared" si="151"/>
        <v>911</v>
      </c>
      <c r="BQ18" s="1289">
        <f t="shared" si="151"/>
        <v>4266</v>
      </c>
      <c r="BR18" s="92">
        <f t="shared" ref="BR18" si="152">BR22-BR20</f>
        <v>907</v>
      </c>
      <c r="BS18" s="92">
        <f t="shared" ref="BS18:BW18" si="153">BS22-BS20</f>
        <v>-1045</v>
      </c>
      <c r="BT18" s="92">
        <f t="shared" si="153"/>
        <v>-3</v>
      </c>
      <c r="BU18" s="699">
        <f t="shared" si="153"/>
        <v>2462</v>
      </c>
      <c r="BV18" s="92">
        <f t="shared" si="153"/>
        <v>-138</v>
      </c>
      <c r="BW18" s="92">
        <f t="shared" si="153"/>
        <v>2459</v>
      </c>
      <c r="BX18" s="1289">
        <f t="shared" si="151"/>
        <v>2321</v>
      </c>
      <c r="BY18" s="92">
        <f t="shared" si="151"/>
        <v>1059</v>
      </c>
      <c r="BZ18" s="92">
        <f t="shared" si="151"/>
        <v>2719</v>
      </c>
      <c r="CA18" s="92">
        <f t="shared" si="151"/>
        <v>1300</v>
      </c>
      <c r="CB18" s="699">
        <f t="shared" si="151"/>
        <v>2589</v>
      </c>
      <c r="CC18" s="92">
        <f t="shared" si="151"/>
        <v>3778</v>
      </c>
      <c r="CD18" s="92">
        <f t="shared" si="151"/>
        <v>3889</v>
      </c>
      <c r="CE18" s="1289">
        <f t="shared" si="151"/>
        <v>7667</v>
      </c>
      <c r="CF18" s="92">
        <f t="shared" si="151"/>
        <v>2014</v>
      </c>
      <c r="CG18" s="92">
        <f t="shared" si="151"/>
        <v>1721</v>
      </c>
      <c r="CH18" s="92">
        <f t="shared" si="151"/>
        <v>1457</v>
      </c>
      <c r="CI18" s="699">
        <f t="shared" si="151"/>
        <v>2849</v>
      </c>
      <c r="CJ18" s="92">
        <f t="shared" si="151"/>
        <v>3735</v>
      </c>
      <c r="CK18" s="92">
        <f t="shared" si="151"/>
        <v>4306</v>
      </c>
      <c r="CL18" s="1289">
        <f t="shared" si="151"/>
        <v>8041</v>
      </c>
      <c r="CM18" s="92">
        <f t="shared" si="151"/>
        <v>885</v>
      </c>
      <c r="CN18" s="92">
        <f t="shared" si="151"/>
        <v>2044</v>
      </c>
      <c r="CO18" s="92">
        <f t="shared" si="151"/>
        <v>1392</v>
      </c>
      <c r="CP18" s="699">
        <f t="shared" si="151"/>
        <v>2524</v>
      </c>
      <c r="CQ18" s="92">
        <f t="shared" si="151"/>
        <v>2929</v>
      </c>
      <c r="CR18" s="92">
        <f t="shared" si="151"/>
        <v>3916</v>
      </c>
      <c r="CS18" s="1289">
        <f t="shared" ref="CS18:CU18" si="154">CS22-CS20</f>
        <v>6845</v>
      </c>
      <c r="CT18" s="237">
        <f t="shared" si="154"/>
        <v>1122</v>
      </c>
      <c r="CU18" s="237">
        <f t="shared" si="154"/>
        <v>1633</v>
      </c>
      <c r="CV18" s="237">
        <f t="shared" ref="CV18:CW18" si="155">CV22-CV20</f>
        <v>1799</v>
      </c>
      <c r="CW18" s="699">
        <f t="shared" si="155"/>
        <v>3603</v>
      </c>
      <c r="CX18" s="237">
        <f t="shared" ref="CX18:CY18" si="156">CX22-CX20</f>
        <v>2755</v>
      </c>
      <c r="CY18" s="92">
        <f t="shared" si="156"/>
        <v>5402</v>
      </c>
      <c r="CZ18" s="1289">
        <f t="shared" si="151"/>
        <v>8157</v>
      </c>
      <c r="DA18" s="237">
        <f t="shared" si="151"/>
        <v>1099</v>
      </c>
      <c r="DB18" s="237">
        <f t="shared" si="151"/>
        <v>1780</v>
      </c>
      <c r="DC18" s="1828">
        <f t="shared" ref="DC18:DI18" si="157">DC22-DC20</f>
        <v>2401</v>
      </c>
      <c r="DD18" s="699">
        <f t="shared" si="157"/>
        <v>3977</v>
      </c>
      <c r="DE18" s="237">
        <f t="shared" si="157"/>
        <v>2879</v>
      </c>
      <c r="DF18" s="92">
        <f t="shared" si="157"/>
        <v>6378</v>
      </c>
      <c r="DG18" s="1268">
        <f t="shared" si="157"/>
        <v>9257</v>
      </c>
      <c r="DH18" s="237">
        <f t="shared" si="157"/>
        <v>910</v>
      </c>
      <c r="DI18" s="237">
        <f t="shared" si="157"/>
        <v>3177</v>
      </c>
      <c r="DJ18" s="1197">
        <f t="shared" ref="DJ18:DM18" si="158">DJ22-DJ20</f>
        <v>2745.0604346323435</v>
      </c>
      <c r="DK18" s="1511">
        <f t="shared" si="158"/>
        <v>4580.4830868465015</v>
      </c>
      <c r="DL18" s="2053">
        <f t="shared" si="158"/>
        <v>4087</v>
      </c>
      <c r="DM18" s="1197">
        <f t="shared" si="158"/>
        <v>7325.5435214788467</v>
      </c>
      <c r="DN18" s="1481">
        <f t="shared" si="151"/>
        <v>11412.543521478845</v>
      </c>
      <c r="DO18" s="1197">
        <f t="shared" si="151"/>
        <v>3042.7164695279607</v>
      </c>
      <c r="DP18" s="1197">
        <f t="shared" si="151"/>
        <v>3398.2794604800129</v>
      </c>
      <c r="DQ18" s="1197">
        <f t="shared" si="151"/>
        <v>3384.3882575846455</v>
      </c>
      <c r="DR18" s="1511">
        <f t="shared" si="151"/>
        <v>3755.5842568286716</v>
      </c>
      <c r="DS18" s="1197">
        <f t="shared" si="151"/>
        <v>6440.9959300079745</v>
      </c>
      <c r="DT18" s="1197">
        <f t="shared" si="151"/>
        <v>7139.9725144133172</v>
      </c>
      <c r="DU18" s="1481">
        <f t="shared" si="151"/>
        <v>13580.968444421291</v>
      </c>
      <c r="DV18" s="1197">
        <f t="shared" si="151"/>
        <v>3653.6513981386006</v>
      </c>
      <c r="DW18" s="1197">
        <f t="shared" si="151"/>
        <v>4034.3110014370409</v>
      </c>
      <c r="DX18" s="1197">
        <f t="shared" si="151"/>
        <v>4019.342444945939</v>
      </c>
      <c r="DY18" s="1511">
        <f t="shared" si="151"/>
        <v>4529.6199941868745</v>
      </c>
      <c r="DZ18" s="1197">
        <f t="shared" si="151"/>
        <v>7687.962399575641</v>
      </c>
      <c r="EA18" s="1197">
        <f t="shared" si="151"/>
        <v>8548.9624391328143</v>
      </c>
      <c r="EB18" s="1481">
        <f t="shared" si="151"/>
        <v>16236.924838708457</v>
      </c>
      <c r="EC18" s="1197">
        <f t="shared" si="151"/>
        <v>4081.4469607843557</v>
      </c>
      <c r="ED18" s="1197">
        <f t="shared" si="151"/>
        <v>4275.3825048042618</v>
      </c>
      <c r="EE18" s="1197">
        <f t="shared" si="151"/>
        <v>4260.225463014971</v>
      </c>
      <c r="EF18" s="1511">
        <f t="shared" si="151"/>
        <v>4809.3433457235533</v>
      </c>
      <c r="EG18" s="1197">
        <f t="shared" si="151"/>
        <v>8356.8294655886184</v>
      </c>
      <c r="EH18" s="1197">
        <f t="shared" si="151"/>
        <v>9069.5688087385261</v>
      </c>
      <c r="EI18" s="1481">
        <f t="shared" si="151"/>
        <v>17426.398274327141</v>
      </c>
      <c r="EJ18" s="1197">
        <f t="shared" si="151"/>
        <v>4297.227004649134</v>
      </c>
      <c r="EK18" s="1197">
        <f t="shared" si="151"/>
        <v>4501.868116521925</v>
      </c>
      <c r="EL18" s="1197">
        <f t="shared" si="151"/>
        <v>4486.5717192919437</v>
      </c>
      <c r="EM18" s="1511">
        <f t="shared" si="151"/>
        <v>5059.0924197555332</v>
      </c>
      <c r="EN18" s="1197">
        <f t="shared" si="151"/>
        <v>8799.0951211710599</v>
      </c>
      <c r="EO18" s="1197">
        <f t="shared" si="151"/>
        <v>9545.6641390474761</v>
      </c>
      <c r="EP18" s="1481">
        <f t="shared" si="151"/>
        <v>18344.759260218536</v>
      </c>
      <c r="EQ18" s="48"/>
      <c r="ER18" s="1198"/>
    </row>
    <row r="19" spans="1:148" ht="10.199999999999999" customHeight="1">
      <c r="A19" s="43"/>
      <c r="B19" s="108"/>
      <c r="C19" s="130"/>
      <c r="D19" s="130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700"/>
      <c r="R19" s="108"/>
      <c r="S19" s="108"/>
      <c r="T19" s="538"/>
      <c r="U19" s="108"/>
      <c r="V19" s="108"/>
      <c r="W19" s="108"/>
      <c r="X19" s="700"/>
      <c r="Y19" s="108"/>
      <c r="Z19" s="108"/>
      <c r="AA19" s="538"/>
      <c r="AB19" s="108"/>
      <c r="AC19" s="108"/>
      <c r="AD19" s="108"/>
      <c r="AE19" s="700"/>
      <c r="AF19" s="108"/>
      <c r="AG19" s="108"/>
      <c r="AH19" s="538"/>
      <c r="AI19" s="108"/>
      <c r="AJ19" s="108"/>
      <c r="AK19" s="108"/>
      <c r="AL19" s="700"/>
      <c r="AM19" s="108"/>
      <c r="AN19" s="108"/>
      <c r="AO19" s="538"/>
      <c r="AP19" s="108"/>
      <c r="AQ19" s="108"/>
      <c r="AR19" s="108"/>
      <c r="AS19" s="700"/>
      <c r="AT19" s="108"/>
      <c r="AU19" s="108"/>
      <c r="AV19" s="538"/>
      <c r="AW19" s="108"/>
      <c r="AX19" s="108"/>
      <c r="AY19" s="108"/>
      <c r="AZ19" s="700"/>
      <c r="BA19" s="108"/>
      <c r="BB19" s="108"/>
      <c r="BC19" s="538"/>
      <c r="BD19" s="108"/>
      <c r="BE19" s="108"/>
      <c r="BF19" s="108"/>
      <c r="BG19" s="700"/>
      <c r="BH19" s="108"/>
      <c r="BI19" s="108"/>
      <c r="BJ19" s="538"/>
      <c r="BK19" s="108"/>
      <c r="BL19" s="108"/>
      <c r="BM19" s="108"/>
      <c r="BN19" s="700"/>
      <c r="BO19" s="108"/>
      <c r="BP19" s="108"/>
      <c r="BQ19" s="538"/>
      <c r="BR19" s="108"/>
      <c r="BS19" s="108"/>
      <c r="BT19" s="108"/>
      <c r="BU19" s="700"/>
      <c r="BV19" s="108"/>
      <c r="BW19" s="108"/>
      <c r="BX19" s="538"/>
      <c r="BY19" s="108"/>
      <c r="BZ19" s="108"/>
      <c r="CA19" s="108"/>
      <c r="CB19" s="700"/>
      <c r="CC19" s="108"/>
      <c r="CD19" s="108"/>
      <c r="CE19" s="538"/>
      <c r="CF19" s="108"/>
      <c r="CG19" s="108"/>
      <c r="CH19" s="108"/>
      <c r="CI19" s="700"/>
      <c r="CJ19" s="108"/>
      <c r="CK19" s="108"/>
      <c r="CL19" s="538"/>
      <c r="CM19" s="108"/>
      <c r="CN19" s="108"/>
      <c r="CO19" s="108"/>
      <c r="CP19" s="700"/>
      <c r="CQ19" s="108"/>
      <c r="CR19" s="108"/>
      <c r="CS19" s="538"/>
      <c r="CT19" s="108"/>
      <c r="CU19" s="108"/>
      <c r="CV19" s="108"/>
      <c r="CW19" s="700"/>
      <c r="CX19" s="108"/>
      <c r="CY19" s="108"/>
      <c r="CZ19" s="538"/>
      <c r="DA19" s="108"/>
      <c r="DB19" s="108"/>
      <c r="DC19" s="12"/>
      <c r="DD19" s="700"/>
      <c r="DE19" s="108"/>
      <c r="DF19" s="108"/>
      <c r="DG19" s="313"/>
      <c r="DH19" s="108"/>
      <c r="DI19" s="108"/>
      <c r="DJ19" s="3"/>
      <c r="DK19" s="700"/>
      <c r="DL19" s="1879"/>
      <c r="DM19" s="108"/>
      <c r="DN19" s="1479"/>
      <c r="DO19" s="3"/>
      <c r="DP19" s="3"/>
      <c r="DQ19" s="3"/>
      <c r="DR19" s="700"/>
      <c r="DS19" s="3"/>
      <c r="DT19" s="108"/>
      <c r="DU19" s="1479"/>
      <c r="DV19" s="3"/>
      <c r="DW19" s="3"/>
      <c r="DX19" s="3"/>
      <c r="DY19" s="700"/>
      <c r="DZ19" s="3"/>
      <c r="EA19" s="108"/>
      <c r="EB19" s="1479"/>
      <c r="EC19" s="3"/>
      <c r="ED19" s="3"/>
      <c r="EE19" s="3"/>
      <c r="EF19" s="700"/>
      <c r="EG19" s="3"/>
      <c r="EH19" s="108"/>
      <c r="EI19" s="1479"/>
      <c r="EJ19" s="3"/>
      <c r="EK19" s="3"/>
      <c r="EL19" s="3"/>
      <c r="EM19" s="700"/>
      <c r="EN19" s="3"/>
      <c r="EO19" s="108"/>
      <c r="EP19" s="1479"/>
      <c r="EQ19" s="43"/>
      <c r="ER19" s="46"/>
    </row>
    <row r="20" spans="1:148" ht="10.199999999999999" customHeight="1">
      <c r="A20" s="43" t="s">
        <v>273</v>
      </c>
      <c r="B20" s="108"/>
      <c r="C20" s="203">
        <f>-Divisional!C96</f>
        <v>-2175</v>
      </c>
      <c r="D20" s="203">
        <f>-Divisional!D98</f>
        <v>-2146</v>
      </c>
      <c r="E20" s="203">
        <f>-Divisional!E98</f>
        <v>-1404</v>
      </c>
      <c r="F20" s="203">
        <f>-Divisional!F98</f>
        <v>-1513</v>
      </c>
      <c r="G20" s="203">
        <f>-Divisional!G98</f>
        <v>-1634</v>
      </c>
      <c r="H20" s="203">
        <f>-Divisional!H98</f>
        <v>-1699</v>
      </c>
      <c r="I20" s="203">
        <f>-Divisional!I98</f>
        <v>-1609</v>
      </c>
      <c r="J20" s="203">
        <f>-Divisional!J98</f>
        <v>-1768</v>
      </c>
      <c r="K20" s="203">
        <f>-Divisional!K98</f>
        <v>-1538</v>
      </c>
      <c r="L20" s="203">
        <f>-Divisional!L98</f>
        <v>-1843</v>
      </c>
      <c r="M20" s="203">
        <f>-Divisional!M98</f>
        <v>-2015</v>
      </c>
      <c r="N20" s="203">
        <f>-Divisional!N98</f>
        <v>-434</v>
      </c>
      <c r="O20" s="203">
        <f>-Divisional!O98</f>
        <v>-442</v>
      </c>
      <c r="P20" s="203">
        <f>-Divisional!P98</f>
        <v>-464</v>
      </c>
      <c r="Q20" s="1448">
        <f>-Divisional!Q98</f>
        <v>-587</v>
      </c>
      <c r="R20" s="203">
        <f>-Divisional!R98</f>
        <v>-876</v>
      </c>
      <c r="S20" s="203">
        <f>-Divisional!S98</f>
        <v>-1051</v>
      </c>
      <c r="T20" s="1461">
        <f>-Divisional!T98</f>
        <v>-1888</v>
      </c>
      <c r="U20" s="203">
        <f>-Divisional!U98</f>
        <v>-471</v>
      </c>
      <c r="V20" s="203">
        <f>-Divisional!V98</f>
        <v>-483</v>
      </c>
      <c r="W20" s="203">
        <f>-Divisional!W98</f>
        <v>-514</v>
      </c>
      <c r="X20" s="1448">
        <f>-Divisional!X98</f>
        <v>-682</v>
      </c>
      <c r="Y20" s="203">
        <f>-Divisional!Y98</f>
        <v>-954</v>
      </c>
      <c r="Z20" s="203">
        <f>-Divisional!Z98</f>
        <v>-1196</v>
      </c>
      <c r="AA20" s="1461">
        <f>-Divisional!AA98</f>
        <v>-2107</v>
      </c>
      <c r="AB20" s="203">
        <f>-Divisional!AB98</f>
        <v>-525</v>
      </c>
      <c r="AC20" s="203">
        <f>-Divisional!AC98</f>
        <v>-560</v>
      </c>
      <c r="AD20" s="203">
        <f>-Divisional!AD98</f>
        <v>-567</v>
      </c>
      <c r="AE20" s="1448">
        <f>-Divisional!AE98</f>
        <v>-814</v>
      </c>
      <c r="AF20" s="203">
        <f>-Divisional!AF98</f>
        <v>-1085</v>
      </c>
      <c r="AG20" s="203">
        <f>-Divisional!AG98</f>
        <v>-1381</v>
      </c>
      <c r="AH20" s="1461">
        <f>-Divisional!AH98</f>
        <v>-2442</v>
      </c>
      <c r="AI20" s="203">
        <f>-Divisional!AI98</f>
        <v>-512</v>
      </c>
      <c r="AJ20" s="203">
        <f>-Divisional!AJ98</f>
        <v>-561</v>
      </c>
      <c r="AK20" s="203">
        <f>-Divisional!AK98</f>
        <v>-507</v>
      </c>
      <c r="AL20" s="1448">
        <f>-Divisional!AL98</f>
        <v>-714</v>
      </c>
      <c r="AM20" s="203">
        <f>-Divisional!AM98</f>
        <v>-1073</v>
      </c>
      <c r="AN20" s="203">
        <f>-Divisional!AN98</f>
        <v>-1221</v>
      </c>
      <c r="AO20" s="1461">
        <f>-Divisional!AO98</f>
        <v>-2250</v>
      </c>
      <c r="AP20" s="203">
        <f>-Divisional!AP98</f>
        <v>-551</v>
      </c>
      <c r="AQ20" s="203">
        <f>-Divisional!AQ98</f>
        <v>-535</v>
      </c>
      <c r="AR20" s="203">
        <f>-Divisional!AR98</f>
        <v>-517</v>
      </c>
      <c r="AS20" s="1448">
        <f>-Divisional!AS98</f>
        <v>-695</v>
      </c>
      <c r="AT20" s="203">
        <f>-Divisional!AT98</f>
        <v>-1086</v>
      </c>
      <c r="AU20" s="203">
        <f>-Divisional!AU98</f>
        <v>-1212</v>
      </c>
      <c r="AV20" s="1461">
        <f>-Divisional!AV98</f>
        <v>-2298</v>
      </c>
      <c r="AW20" s="203">
        <f>-Divisional!AW98</f>
        <v>-551</v>
      </c>
      <c r="AX20" s="203">
        <f>-Divisional!AX98</f>
        <v>-535</v>
      </c>
      <c r="AY20" s="203">
        <f>-Divisional!AY98</f>
        <v>-517</v>
      </c>
      <c r="AZ20" s="1448">
        <f>-Divisional!AZ98</f>
        <v>-695</v>
      </c>
      <c r="BA20" s="203">
        <f>-Divisional!BA98</f>
        <v>-1086</v>
      </c>
      <c r="BB20" s="203">
        <f>-Divisional!BB98</f>
        <v>-1212</v>
      </c>
      <c r="BC20" s="1461">
        <f>-Divisional!BC98</f>
        <v>-2298</v>
      </c>
      <c r="BD20" s="203">
        <f>-Divisional!BD98</f>
        <v>-564</v>
      </c>
      <c r="BE20" s="203">
        <f>-Divisional!BE98</f>
        <v>-598</v>
      </c>
      <c r="BF20" s="203">
        <f>-Divisional!BF98</f>
        <v>-522</v>
      </c>
      <c r="BG20" s="1448">
        <f>-Divisional!BG98</f>
        <v>-760</v>
      </c>
      <c r="BH20" s="203">
        <f>-Divisional!BH98</f>
        <v>-1162</v>
      </c>
      <c r="BI20" s="203">
        <f>-Divisional!BI98</f>
        <v>-1282</v>
      </c>
      <c r="BJ20" s="1461">
        <f>-Divisional!BJ98</f>
        <v>-2444</v>
      </c>
      <c r="BK20" s="203">
        <f>-Divisional!BR98</f>
        <v>-720</v>
      </c>
      <c r="BL20" s="203">
        <f>-Divisional!BS98</f>
        <v>-542</v>
      </c>
      <c r="BM20" s="203">
        <f>-Divisional!BT98</f>
        <v>-730</v>
      </c>
      <c r="BN20" s="1448">
        <f>-Divisional!BU98</f>
        <v>-935</v>
      </c>
      <c r="BO20" s="203">
        <f>-Divisional!BV98</f>
        <v>-1262</v>
      </c>
      <c r="BP20" s="203">
        <f>-Divisional!BW98</f>
        <v>-1665</v>
      </c>
      <c r="BQ20" s="1461">
        <f>-Divisional!BQ98</f>
        <v>-2927</v>
      </c>
      <c r="BR20" s="203">
        <f>-Divisional!BY98</f>
        <v>-828</v>
      </c>
      <c r="BS20" s="203">
        <f>-Divisional!BZ98</f>
        <v>-593</v>
      </c>
      <c r="BT20" s="203">
        <f>-Divisional!CA98</f>
        <v>-623</v>
      </c>
      <c r="BU20" s="1448">
        <f>-Divisional!CB98</f>
        <v>-787</v>
      </c>
      <c r="BV20" s="203">
        <f>-Divisional!CC98</f>
        <v>-1421</v>
      </c>
      <c r="BW20" s="203">
        <f>-Divisional!CD98</f>
        <v>-1410</v>
      </c>
      <c r="BX20" s="1461">
        <f>-Divisional!CE98</f>
        <v>-2831</v>
      </c>
      <c r="BY20" s="203">
        <f>-Divisional!CF98</f>
        <v>-597</v>
      </c>
      <c r="BZ20" s="203">
        <f>-Divisional!CG98</f>
        <v>-454</v>
      </c>
      <c r="CA20" s="203">
        <f>-Divisional!CH98</f>
        <v>-590</v>
      </c>
      <c r="CB20" s="1448">
        <f>-Divisional!CI98</f>
        <v>-684</v>
      </c>
      <c r="CC20" s="203">
        <f>-Divisional!CJ98</f>
        <v>-1051</v>
      </c>
      <c r="CD20" s="203">
        <f>-Divisional!CK98</f>
        <v>-1274</v>
      </c>
      <c r="CE20" s="1461">
        <f>-Divisional!CL98</f>
        <v>-2325</v>
      </c>
      <c r="CF20" s="203">
        <f>-Divisional!CM98</f>
        <v>-585</v>
      </c>
      <c r="CG20" s="203">
        <f>-Divisional!CN98</f>
        <v>-571</v>
      </c>
      <c r="CH20" s="203">
        <f>-Divisional!CO98</f>
        <v>-484</v>
      </c>
      <c r="CI20" s="1448">
        <f>-Divisional!CP98</f>
        <v>-1076</v>
      </c>
      <c r="CJ20" s="203">
        <f>-Divisional!CQ98</f>
        <v>-1156</v>
      </c>
      <c r="CK20" s="203">
        <f>-Divisional!CR98</f>
        <v>-1560</v>
      </c>
      <c r="CL20" s="1461">
        <f>-Divisional!CS98</f>
        <v>-2716</v>
      </c>
      <c r="CM20" s="203">
        <f>-Divisional!CT98</f>
        <v>-495</v>
      </c>
      <c r="CN20" s="203">
        <f>-Divisional!CU98</f>
        <v>-547</v>
      </c>
      <c r="CO20" s="203">
        <f>-Divisional!CV98</f>
        <v>-567</v>
      </c>
      <c r="CP20" s="1448">
        <f>-Divisional!CW98</f>
        <v>-633</v>
      </c>
      <c r="CQ20" s="203">
        <f>-Divisional!CX98</f>
        <v>-1042</v>
      </c>
      <c r="CR20" s="203">
        <f>-Divisional!CY98</f>
        <v>-1200</v>
      </c>
      <c r="CS20" s="1461">
        <f>-Divisional!CZ98</f>
        <v>-2242</v>
      </c>
      <c r="CT20" s="203">
        <f>-Divisional!DA98</f>
        <v>-513</v>
      </c>
      <c r="CU20" s="203">
        <f>-Divisional!DB98</f>
        <v>-786</v>
      </c>
      <c r="CV20" s="203">
        <f>-Divisional!DC98</f>
        <v>-565</v>
      </c>
      <c r="CW20" s="1448">
        <f>-Divisional!DD98</f>
        <v>-988.99999999999989</v>
      </c>
      <c r="CX20" s="203">
        <f>-Divisional!DE98</f>
        <v>-1299</v>
      </c>
      <c r="CY20" s="203">
        <f>-Divisional!DF98</f>
        <v>-1554</v>
      </c>
      <c r="CZ20" s="1461">
        <f>-Divisional!DG98</f>
        <v>-2853</v>
      </c>
      <c r="DA20" s="203">
        <f>-Divisional!DH98</f>
        <v>-626</v>
      </c>
      <c r="DB20" s="203">
        <f>-Divisional!DI98</f>
        <v>-635.99999999999989</v>
      </c>
      <c r="DC20" s="834">
        <f>-Divisional!DJ98</f>
        <v>-653</v>
      </c>
      <c r="DD20" s="1448">
        <f>-Divisional!DK98</f>
        <v>-1260.0000000000002</v>
      </c>
      <c r="DE20" s="203">
        <f>-Divisional!DL98</f>
        <v>-1262</v>
      </c>
      <c r="DF20" s="203">
        <f>-Divisional!DM98</f>
        <v>-1913</v>
      </c>
      <c r="DG20" s="1269">
        <f>-Divisional!DN98</f>
        <v>-3175</v>
      </c>
      <c r="DH20" s="203">
        <f>-Divisional!DO98</f>
        <v>-686</v>
      </c>
      <c r="DI20" s="203">
        <f>-Divisional!DP98</f>
        <v>-656</v>
      </c>
      <c r="DJ20" s="860">
        <f>-Divisional!DQ98</f>
        <v>-735.9016206229868</v>
      </c>
      <c r="DK20" s="1109">
        <f>-Divisional!DR98</f>
        <v>-1555.0387065134578</v>
      </c>
      <c r="DL20" s="1892">
        <f>-Divisional!DS98</f>
        <v>-1342</v>
      </c>
      <c r="DM20" s="860">
        <f>-Divisional!DT98</f>
        <v>-2290.9403271364449</v>
      </c>
      <c r="DN20" s="1119">
        <f>-Divisional!DU98</f>
        <v>-3632.9403271364445</v>
      </c>
      <c r="DO20" s="860">
        <f>-Divisional!DV98</f>
        <v>-919.04405631801524</v>
      </c>
      <c r="DP20" s="860">
        <f>-Divisional!DW98</f>
        <v>-1009.2082133299646</v>
      </c>
      <c r="DQ20" s="860">
        <f>-Divisional!DX98</f>
        <v>-1003.6430871132917</v>
      </c>
      <c r="DR20" s="1109">
        <f>-Divisional!DY98</f>
        <v>-1117.6713777123841</v>
      </c>
      <c r="DS20" s="860">
        <f>-Divisional!DZ98</f>
        <v>-1928.2522696479798</v>
      </c>
      <c r="DT20" s="860">
        <f>-Divisional!EA98</f>
        <v>-2121.3144648256757</v>
      </c>
      <c r="DU20" s="1119">
        <f>-Divisional!EB98</f>
        <v>-4049.5667344736557</v>
      </c>
      <c r="DV20" s="860">
        <f>-Divisional!EC98</f>
        <v>-998.0189926578596</v>
      </c>
      <c r="DW20" s="860">
        <f>-Divisional!ED98</f>
        <v>-1096.7622912713709</v>
      </c>
      <c r="DX20" s="860">
        <f>-Divisional!EE98</f>
        <v>-1090.9407759784406</v>
      </c>
      <c r="DY20" s="1109">
        <f>-Divisional!EF98</f>
        <v>-1226.767168869641</v>
      </c>
      <c r="DZ20" s="860">
        <f>-Divisional!EG98</f>
        <v>-2094.7812839292305</v>
      </c>
      <c r="EA20" s="860">
        <f>-Divisional!EH98</f>
        <v>-2317.7079448480818</v>
      </c>
      <c r="EB20" s="1119">
        <f>-Divisional!EI98</f>
        <v>-4412.4892287773127</v>
      </c>
      <c r="EC20" s="860">
        <f>-Divisional!EJ98</f>
        <v>-1070.360711612283</v>
      </c>
      <c r="ED20" s="860">
        <f>-Divisional!EK98</f>
        <v>-1137.4140276331932</v>
      </c>
      <c r="EE20" s="860">
        <f>-Divisional!EL98</f>
        <v>-1131.2893591740267</v>
      </c>
      <c r="EF20" s="1109">
        <f>-Divisional!EM98</f>
        <v>-1272.9435271586676</v>
      </c>
      <c r="EG20" s="860">
        <f>-Divisional!EN98</f>
        <v>-2207.7747392454762</v>
      </c>
      <c r="EH20" s="860">
        <f>-Divisional!EO98</f>
        <v>-2404.2328863326943</v>
      </c>
      <c r="EI20" s="1119">
        <f>-Divisional!EP98</f>
        <v>-4612.0076255781696</v>
      </c>
      <c r="EJ20" s="860">
        <f>-Divisional!EQ98</f>
        <v>-1106.1487659272141</v>
      </c>
      <c r="EK20" s="860">
        <f>-Divisional!ER98</f>
        <v>-1176.632893519755</v>
      </c>
      <c r="EL20" s="860">
        <f>-Divisional!ES98</f>
        <v>-1170.2275318231084</v>
      </c>
      <c r="EM20" s="1109">
        <f>-Divisional!ET98</f>
        <v>-1317.6462150936006</v>
      </c>
      <c r="EN20" s="860">
        <f>-Divisional!EU98</f>
        <v>-2282.7816594469691</v>
      </c>
      <c r="EO20" s="860">
        <f>-Divisional!EV98</f>
        <v>-2487.873746916709</v>
      </c>
      <c r="EP20" s="1119">
        <f>-Divisional!EW98</f>
        <v>-4770.6554063636777</v>
      </c>
      <c r="EQ20" s="43"/>
      <c r="ER20" s="46"/>
    </row>
    <row r="21" spans="1:148" ht="10.199999999999999" customHeight="1">
      <c r="A21" s="48"/>
      <c r="B21" s="48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1448"/>
      <c r="R21" s="203"/>
      <c r="S21" s="203"/>
      <c r="T21" s="1461"/>
      <c r="U21" s="203"/>
      <c r="V21" s="203"/>
      <c r="W21" s="203"/>
      <c r="X21" s="1448"/>
      <c r="Y21" s="203"/>
      <c r="Z21" s="203"/>
      <c r="AA21" s="1461"/>
      <c r="AB21" s="203"/>
      <c r="AC21" s="203"/>
      <c r="AD21" s="203"/>
      <c r="AE21" s="1448"/>
      <c r="AF21" s="203"/>
      <c r="AG21" s="203"/>
      <c r="AH21" s="1461"/>
      <c r="AI21" s="203"/>
      <c r="AJ21" s="203"/>
      <c r="AK21" s="203"/>
      <c r="AL21" s="1448"/>
      <c r="AM21" s="203"/>
      <c r="AN21" s="203"/>
      <c r="AO21" s="1461"/>
      <c r="AP21" s="203"/>
      <c r="AQ21" s="203"/>
      <c r="AR21" s="203"/>
      <c r="AS21" s="1448"/>
      <c r="AT21" s="203"/>
      <c r="AU21" s="203"/>
      <c r="AV21" s="1461"/>
      <c r="AW21" s="203"/>
      <c r="AX21" s="203"/>
      <c r="AY21" s="203"/>
      <c r="AZ21" s="1448"/>
      <c r="BA21" s="203"/>
      <c r="BB21" s="203"/>
      <c r="BC21" s="1461"/>
      <c r="BD21" s="203"/>
      <c r="BE21" s="203"/>
      <c r="BF21" s="203"/>
      <c r="BG21" s="1448"/>
      <c r="BH21" s="203"/>
      <c r="BI21" s="203"/>
      <c r="BJ21" s="1461"/>
      <c r="BK21" s="203"/>
      <c r="BL21" s="203"/>
      <c r="BM21" s="203"/>
      <c r="BN21" s="1448"/>
      <c r="BO21" s="203"/>
      <c r="BP21" s="203"/>
      <c r="BQ21" s="1461"/>
      <c r="BR21" s="203"/>
      <c r="BS21" s="203"/>
      <c r="BT21" s="203"/>
      <c r="BU21" s="1448"/>
      <c r="BV21" s="203"/>
      <c r="BW21" s="203"/>
      <c r="BX21" s="1461"/>
      <c r="BY21" s="203"/>
      <c r="BZ21" s="203"/>
      <c r="CA21" s="203"/>
      <c r="CB21" s="1448"/>
      <c r="CC21" s="203"/>
      <c r="CD21" s="203"/>
      <c r="CE21" s="1461"/>
      <c r="CF21" s="203"/>
      <c r="CG21" s="203"/>
      <c r="CH21" s="203"/>
      <c r="CI21" s="1448"/>
      <c r="CJ21" s="203"/>
      <c r="CK21" s="203"/>
      <c r="CL21" s="1461"/>
      <c r="CM21" s="203"/>
      <c r="CN21" s="203"/>
      <c r="CO21" s="203"/>
      <c r="CP21" s="1448"/>
      <c r="CQ21" s="203"/>
      <c r="CR21" s="203"/>
      <c r="CS21" s="1461"/>
      <c r="CT21" s="203"/>
      <c r="CU21" s="203"/>
      <c r="CV21" s="203"/>
      <c r="CW21" s="1448"/>
      <c r="CX21" s="203"/>
      <c r="CY21" s="203"/>
      <c r="CZ21" s="1461"/>
      <c r="DA21" s="203"/>
      <c r="DB21" s="203"/>
      <c r="DC21" s="860"/>
      <c r="DD21" s="1448"/>
      <c r="DE21" s="203"/>
      <c r="DF21" s="203"/>
      <c r="DG21" s="1269"/>
      <c r="DH21" s="203"/>
      <c r="DI21" s="203"/>
      <c r="DJ21" s="860"/>
      <c r="DK21" s="1448"/>
      <c r="DL21" s="1892"/>
      <c r="DM21" s="203"/>
      <c r="DN21" s="1119"/>
      <c r="DO21" s="860"/>
      <c r="DP21" s="860"/>
      <c r="DQ21" s="860"/>
      <c r="DR21" s="1448"/>
      <c r="DS21" s="860"/>
      <c r="DT21" s="203"/>
      <c r="DU21" s="1119"/>
      <c r="DV21" s="860"/>
      <c r="DW21" s="860"/>
      <c r="DX21" s="860"/>
      <c r="DY21" s="1448"/>
      <c r="DZ21" s="860"/>
      <c r="EA21" s="203"/>
      <c r="EB21" s="1119"/>
      <c r="EC21" s="860"/>
      <c r="ED21" s="860"/>
      <c r="EE21" s="860"/>
      <c r="EF21" s="1448"/>
      <c r="EG21" s="860"/>
      <c r="EH21" s="203"/>
      <c r="EI21" s="1119"/>
      <c r="EJ21" s="860"/>
      <c r="EK21" s="860"/>
      <c r="EL21" s="860"/>
      <c r="EM21" s="1448"/>
      <c r="EN21" s="860"/>
      <c r="EO21" s="203"/>
      <c r="EP21" s="1119"/>
      <c r="EQ21" s="43"/>
      <c r="ER21" s="46"/>
    </row>
    <row r="22" spans="1:148" ht="10.199999999999999" customHeight="1">
      <c r="A22" s="48" t="s">
        <v>332</v>
      </c>
      <c r="B22" s="108"/>
      <c r="C22" s="126">
        <f t="shared" ref="C22:BC22" si="159">C18+C20</f>
        <v>1426</v>
      </c>
      <c r="D22" s="126">
        <f t="shared" si="159"/>
        <v>1543</v>
      </c>
      <c r="E22" s="126">
        <f t="shared" si="159"/>
        <v>2432</v>
      </c>
      <c r="F22" s="126">
        <f t="shared" si="159"/>
        <v>2852</v>
      </c>
      <c r="G22" s="126">
        <f t="shared" si="159"/>
        <v>399</v>
      </c>
      <c r="H22" s="126">
        <f t="shared" si="159"/>
        <v>52</v>
      </c>
      <c r="I22" s="126">
        <f t="shared" si="159"/>
        <v>2830</v>
      </c>
      <c r="J22" s="126">
        <f t="shared" si="159"/>
        <v>-322</v>
      </c>
      <c r="K22" s="126">
        <f t="shared" si="159"/>
        <v>1231</v>
      </c>
      <c r="L22" s="126">
        <f t="shared" si="159"/>
        <v>1696</v>
      </c>
      <c r="M22" s="126">
        <f t="shared" si="159"/>
        <v>2186</v>
      </c>
      <c r="N22" s="126">
        <f>Divisional!N60</f>
        <v>589</v>
      </c>
      <c r="O22" s="126">
        <f>Divisional!O60</f>
        <v>889</v>
      </c>
      <c r="P22" s="126">
        <f>Divisional!P60</f>
        <v>653</v>
      </c>
      <c r="Q22" s="1276">
        <f>Divisional!Q60</f>
        <v>493</v>
      </c>
      <c r="R22" s="126">
        <f>Divisional!R60</f>
        <v>1478</v>
      </c>
      <c r="S22" s="126">
        <f>Divisional!S60</f>
        <v>1146</v>
      </c>
      <c r="T22" s="1082">
        <f t="shared" si="159"/>
        <v>2624</v>
      </c>
      <c r="U22" s="126">
        <f>Divisional!U60</f>
        <v>719</v>
      </c>
      <c r="V22" s="126">
        <f>Divisional!V60</f>
        <v>1120</v>
      </c>
      <c r="W22" s="126">
        <f>Divisional!W60</f>
        <v>744</v>
      </c>
      <c r="X22" s="1276">
        <f>Divisional!X60</f>
        <v>1457</v>
      </c>
      <c r="Y22" s="126">
        <f>Divisional!Y60</f>
        <v>1839</v>
      </c>
      <c r="Z22" s="126">
        <f>Divisional!Z60</f>
        <v>2201</v>
      </c>
      <c r="AA22" s="1082">
        <f t="shared" si="159"/>
        <v>4040</v>
      </c>
      <c r="AB22" s="126">
        <f>Divisional!AB60</f>
        <v>1241</v>
      </c>
      <c r="AC22" s="126">
        <f>Divisional!AC60</f>
        <v>988</v>
      </c>
      <c r="AD22" s="126">
        <f>Divisional!AD60</f>
        <v>717</v>
      </c>
      <c r="AE22" s="1276">
        <f>Divisional!AE60</f>
        <v>1140</v>
      </c>
      <c r="AF22" s="126">
        <f>Divisional!AF60</f>
        <v>2229</v>
      </c>
      <c r="AG22" s="126">
        <f>Divisional!AG60</f>
        <v>1857</v>
      </c>
      <c r="AH22" s="1082">
        <f t="shared" si="159"/>
        <v>4086</v>
      </c>
      <c r="AI22" s="126">
        <f>Divisional!AI60</f>
        <v>362</v>
      </c>
      <c r="AJ22" s="126">
        <f>Divisional!AJ60</f>
        <v>1489</v>
      </c>
      <c r="AK22" s="126">
        <f>Divisional!AK60</f>
        <v>505</v>
      </c>
      <c r="AL22" s="1276">
        <f>Divisional!AL60</f>
        <v>-98</v>
      </c>
      <c r="AM22" s="126">
        <f>Divisional!AM60</f>
        <v>1851</v>
      </c>
      <c r="AN22" s="126">
        <f>Divisional!AN60</f>
        <v>407</v>
      </c>
      <c r="AO22" s="1082">
        <f t="shared" si="159"/>
        <v>2258</v>
      </c>
      <c r="AP22" s="126">
        <f>Divisional!AP60</f>
        <v>852</v>
      </c>
      <c r="AQ22" s="126">
        <f>Divisional!AQ60</f>
        <v>939</v>
      </c>
      <c r="AR22" s="126">
        <f>Divisional!AR60</f>
        <v>521</v>
      </c>
      <c r="AS22" s="1276">
        <f>Divisional!AS60</f>
        <v>1109</v>
      </c>
      <c r="AT22" s="126">
        <f>Divisional!AT60</f>
        <v>1791</v>
      </c>
      <c r="AU22" s="126">
        <f>Divisional!AU60</f>
        <v>1630</v>
      </c>
      <c r="AV22" s="1082">
        <f t="shared" si="159"/>
        <v>3421</v>
      </c>
      <c r="AW22" s="126">
        <f>Divisional!AW60</f>
        <v>575</v>
      </c>
      <c r="AX22" s="126">
        <f>Divisional!AX60</f>
        <v>636</v>
      </c>
      <c r="AY22" s="126">
        <f>Divisional!AY60</f>
        <v>462</v>
      </c>
      <c r="AZ22" s="1276">
        <f>Divisional!AZ60</f>
        <v>992</v>
      </c>
      <c r="BA22" s="126">
        <f>Divisional!BA60</f>
        <v>1211</v>
      </c>
      <c r="BB22" s="126">
        <f>Divisional!BB60</f>
        <v>1454</v>
      </c>
      <c r="BC22" s="1082">
        <f t="shared" si="159"/>
        <v>2665</v>
      </c>
      <c r="BD22" s="126">
        <f>Divisional!BD60</f>
        <v>199</v>
      </c>
      <c r="BE22" s="126">
        <f>Divisional!BE60</f>
        <v>921</v>
      </c>
      <c r="BF22" s="126">
        <f>Divisional!BF60</f>
        <v>1563</v>
      </c>
      <c r="BG22" s="1276">
        <f>Divisional!BG60</f>
        <v>2365</v>
      </c>
      <c r="BH22" s="126">
        <f>Divisional!BH60</f>
        <v>1120</v>
      </c>
      <c r="BI22" s="126">
        <f>Divisional!BI60</f>
        <v>3928</v>
      </c>
      <c r="BJ22" s="1082">
        <f>Divisional!BJ60</f>
        <v>5048</v>
      </c>
      <c r="BK22" s="126">
        <f>Divisional!BR60</f>
        <v>181</v>
      </c>
      <c r="BL22" s="126">
        <f>Divisional!BS60</f>
        <v>1912</v>
      </c>
      <c r="BM22" s="126">
        <f>Divisional!BT60</f>
        <v>1338</v>
      </c>
      <c r="BN22" s="1276">
        <f>Divisional!BU60</f>
        <v>-2092</v>
      </c>
      <c r="BO22" s="126">
        <f>Divisional!BV60</f>
        <v>2093</v>
      </c>
      <c r="BP22" s="126">
        <f>Divisional!BW60</f>
        <v>-754</v>
      </c>
      <c r="BQ22" s="1082">
        <f>Divisional!BQ60</f>
        <v>1339</v>
      </c>
      <c r="BR22" s="126">
        <f>Divisional!BY60</f>
        <v>79</v>
      </c>
      <c r="BS22" s="126">
        <f>Divisional!BZ60</f>
        <v>-1638</v>
      </c>
      <c r="BT22" s="126">
        <f>Divisional!CA60</f>
        <v>-626</v>
      </c>
      <c r="BU22" s="1276">
        <f>Divisional!CB60</f>
        <v>1675</v>
      </c>
      <c r="BV22" s="126">
        <f>Divisional!CC60</f>
        <v>-1559</v>
      </c>
      <c r="BW22" s="126">
        <f>Divisional!CD60</f>
        <v>1049</v>
      </c>
      <c r="BX22" s="1082">
        <f>Divisional!CE60</f>
        <v>-510</v>
      </c>
      <c r="BY22" s="126">
        <f>Divisional!CF60</f>
        <v>462</v>
      </c>
      <c r="BZ22" s="126">
        <f>Divisional!CG60</f>
        <v>2265</v>
      </c>
      <c r="CA22" s="126">
        <f>Divisional!CH60</f>
        <v>710</v>
      </c>
      <c r="CB22" s="1276">
        <f>Divisional!CI60</f>
        <v>1905</v>
      </c>
      <c r="CC22" s="126">
        <f>Divisional!CJ60</f>
        <v>2727</v>
      </c>
      <c r="CD22" s="126">
        <f>Divisional!CK60</f>
        <v>2615</v>
      </c>
      <c r="CE22" s="1082">
        <f>Divisional!CL60</f>
        <v>5342</v>
      </c>
      <c r="CF22" s="126">
        <f>Divisional!CM60</f>
        <v>1429</v>
      </c>
      <c r="CG22" s="126">
        <f>Divisional!CN60</f>
        <v>1150</v>
      </c>
      <c r="CH22" s="126">
        <f>Divisional!CO60</f>
        <v>973</v>
      </c>
      <c r="CI22" s="1276">
        <f>Divisional!CP60</f>
        <v>1773</v>
      </c>
      <c r="CJ22" s="126">
        <f>Divisional!CQ60</f>
        <v>2579</v>
      </c>
      <c r="CK22" s="126">
        <f>Divisional!CR60</f>
        <v>2746</v>
      </c>
      <c r="CL22" s="1082">
        <f>Divisional!CS60</f>
        <v>5325</v>
      </c>
      <c r="CM22" s="126">
        <f>Divisional!CT60</f>
        <v>390</v>
      </c>
      <c r="CN22" s="126">
        <f>Divisional!CU60</f>
        <v>1497</v>
      </c>
      <c r="CO22" s="126">
        <f>Divisional!CV60</f>
        <v>825</v>
      </c>
      <c r="CP22" s="1276">
        <f>Divisional!CW60</f>
        <v>1891</v>
      </c>
      <c r="CQ22" s="126">
        <f>Divisional!CX60</f>
        <v>1887</v>
      </c>
      <c r="CR22" s="126">
        <f>Divisional!CY60</f>
        <v>2716</v>
      </c>
      <c r="CS22" s="1082">
        <f>Divisional!CZ60</f>
        <v>4603</v>
      </c>
      <c r="CT22" s="126">
        <f>Divisional!DA60</f>
        <v>609</v>
      </c>
      <c r="CU22" s="126">
        <f>Divisional!DB60</f>
        <v>847</v>
      </c>
      <c r="CV22" s="126">
        <f>Divisional!DC60</f>
        <v>1234</v>
      </c>
      <c r="CW22" s="1276">
        <f>Divisional!DD60</f>
        <v>2614</v>
      </c>
      <c r="CX22" s="126">
        <f>Divisional!DE60</f>
        <v>1456</v>
      </c>
      <c r="CY22" s="126">
        <f>Divisional!DF60</f>
        <v>3848</v>
      </c>
      <c r="CZ22" s="1082">
        <f>Divisional!DG60</f>
        <v>5304</v>
      </c>
      <c r="DA22" s="126">
        <f>Divisional!DH60</f>
        <v>473</v>
      </c>
      <c r="DB22" s="126">
        <f>Divisional!DI60</f>
        <v>1144</v>
      </c>
      <c r="DC22" s="20">
        <f>Divisional!DJ60</f>
        <v>1748</v>
      </c>
      <c r="DD22" s="1276">
        <f>Divisional!DK60</f>
        <v>2717</v>
      </c>
      <c r="DE22" s="126">
        <f>Divisional!DL60</f>
        <v>1617</v>
      </c>
      <c r="DF22" s="126">
        <f>Divisional!DM60</f>
        <v>4465</v>
      </c>
      <c r="DG22" s="1274">
        <f>Divisional!DN60</f>
        <v>6082</v>
      </c>
      <c r="DH22" s="126">
        <f>Divisional!DO60</f>
        <v>224</v>
      </c>
      <c r="DI22" s="126">
        <f>Divisional!DP60</f>
        <v>2521</v>
      </c>
      <c r="DJ22" s="883">
        <f>Divisional!DQ60</f>
        <v>2009.1588140093568</v>
      </c>
      <c r="DK22" s="1512">
        <f>Divisional!DR60</f>
        <v>3025.4443803330441</v>
      </c>
      <c r="DL22" s="2015">
        <f>Divisional!DS60</f>
        <v>2745</v>
      </c>
      <c r="DM22" s="883">
        <f>Divisional!DT60</f>
        <v>5034.6031943424014</v>
      </c>
      <c r="DN22" s="1482">
        <f>Divisional!DU60</f>
        <v>7779.6031943424014</v>
      </c>
      <c r="DO22" s="883">
        <f>Divisional!DV60</f>
        <v>2123.6724132099453</v>
      </c>
      <c r="DP22" s="883">
        <f>Divisional!DW60</f>
        <v>2389.0712471500483</v>
      </c>
      <c r="DQ22" s="883">
        <f>Divisional!DX60</f>
        <v>2380.745170471354</v>
      </c>
      <c r="DR22" s="1512">
        <f>Divisional!DY60</f>
        <v>2637.9128791162875</v>
      </c>
      <c r="DS22" s="883">
        <f>Divisional!DZ60</f>
        <v>4512.7436603599945</v>
      </c>
      <c r="DT22" s="883">
        <f>Divisional!EA60</f>
        <v>5018.6580495876415</v>
      </c>
      <c r="DU22" s="1482">
        <f>Divisional!EB60</f>
        <v>9531.401709947635</v>
      </c>
      <c r="DV22" s="883">
        <f>Divisional!EC60</f>
        <v>2655.632405480741</v>
      </c>
      <c r="DW22" s="883">
        <f>Divisional!ED60</f>
        <v>2937.5487101656699</v>
      </c>
      <c r="DX22" s="883">
        <f>Divisional!EE60</f>
        <v>2928.4016689674986</v>
      </c>
      <c r="DY22" s="1512">
        <f>Divisional!EF60</f>
        <v>3302.8528253172335</v>
      </c>
      <c r="DZ22" s="883">
        <f>Divisional!EG60</f>
        <v>5593.1811156464109</v>
      </c>
      <c r="EA22" s="883">
        <f>Divisional!EH60</f>
        <v>6231.2544942847317</v>
      </c>
      <c r="EB22" s="1482">
        <f>Divisional!EI60</f>
        <v>11824.435609931144</v>
      </c>
      <c r="EC22" s="883">
        <f>Divisional!EJ60</f>
        <v>3011.0862491720727</v>
      </c>
      <c r="ED22" s="883">
        <f>Divisional!EK60</f>
        <v>3137.9684771710681</v>
      </c>
      <c r="EE22" s="883">
        <f>Divisional!EL60</f>
        <v>3128.9361038409447</v>
      </c>
      <c r="EF22" s="1512">
        <f>Divisional!EM60</f>
        <v>3536.3998185648857</v>
      </c>
      <c r="EG22" s="883">
        <f>Divisional!EN60</f>
        <v>6149.0547263431417</v>
      </c>
      <c r="EH22" s="883">
        <f>Divisional!EO60</f>
        <v>6665.3359224058313</v>
      </c>
      <c r="EI22" s="1482">
        <f>Divisional!EP60</f>
        <v>12814.390648748971</v>
      </c>
      <c r="EJ22" s="883">
        <f>Divisional!EQ60</f>
        <v>3191.0782387219201</v>
      </c>
      <c r="EK22" s="883">
        <f>Divisional!ER60</f>
        <v>3325.2352230021702</v>
      </c>
      <c r="EL22" s="883">
        <f>Divisional!ES60</f>
        <v>3316.3441874688351</v>
      </c>
      <c r="EM22" s="1512">
        <f>Divisional!ET60</f>
        <v>3741.4462046619328</v>
      </c>
      <c r="EN22" s="883">
        <f>Divisional!EU60</f>
        <v>6516.3134617240903</v>
      </c>
      <c r="EO22" s="883">
        <f>Divisional!EV60</f>
        <v>7057.7903921307679</v>
      </c>
      <c r="EP22" s="1482">
        <f>Divisional!EW60</f>
        <v>13574.103853854858</v>
      </c>
      <c r="EQ22" s="43"/>
      <c r="ER22" s="46"/>
    </row>
    <row r="23" spans="1:148" ht="10.199999999999999" customHeight="1">
      <c r="A23" s="48"/>
      <c r="B23" s="48"/>
      <c r="C23" s="203"/>
      <c r="D23" s="823"/>
      <c r="E23" s="82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1448"/>
      <c r="R23" s="203"/>
      <c r="S23" s="203"/>
      <c r="T23" s="1270"/>
      <c r="U23" s="203"/>
      <c r="V23" s="203"/>
      <c r="W23" s="203"/>
      <c r="X23" s="1448"/>
      <c r="Y23" s="203"/>
      <c r="Z23" s="203"/>
      <c r="AA23" s="1270"/>
      <c r="AB23" s="203"/>
      <c r="AC23" s="203"/>
      <c r="AD23" s="203"/>
      <c r="AE23" s="1448"/>
      <c r="AF23" s="203"/>
      <c r="AG23" s="203"/>
      <c r="AH23" s="1270"/>
      <c r="AI23" s="203"/>
      <c r="AJ23" s="203"/>
      <c r="AK23" s="203"/>
      <c r="AL23" s="1448"/>
      <c r="AM23" s="203"/>
      <c r="AN23" s="203"/>
      <c r="AO23" s="1270"/>
      <c r="AP23" s="203"/>
      <c r="AQ23" s="203"/>
      <c r="AR23" s="203"/>
      <c r="AS23" s="1448"/>
      <c r="AT23" s="203"/>
      <c r="AU23" s="203"/>
      <c r="AV23" s="1270"/>
      <c r="AW23" s="203"/>
      <c r="AX23" s="203"/>
      <c r="AY23" s="203"/>
      <c r="AZ23" s="1448"/>
      <c r="BA23" s="203"/>
      <c r="BB23" s="203"/>
      <c r="BC23" s="1270"/>
      <c r="BD23" s="203"/>
      <c r="BE23" s="203"/>
      <c r="BF23" s="203"/>
      <c r="BG23" s="1448"/>
      <c r="BH23" s="203"/>
      <c r="BI23" s="203"/>
      <c r="BJ23" s="1270"/>
      <c r="BK23" s="203"/>
      <c r="BL23" s="203"/>
      <c r="BM23" s="203"/>
      <c r="BN23" s="1448"/>
      <c r="BO23" s="203"/>
      <c r="BP23" s="203"/>
      <c r="BQ23" s="1270"/>
      <c r="BR23" s="203"/>
      <c r="BS23" s="203"/>
      <c r="BT23" s="203"/>
      <c r="BU23" s="1448"/>
      <c r="BV23" s="203"/>
      <c r="BW23" s="203"/>
      <c r="BX23" s="1270"/>
      <c r="BY23" s="203"/>
      <c r="BZ23" s="203"/>
      <c r="CA23" s="203"/>
      <c r="CB23" s="1448"/>
      <c r="CC23" s="203"/>
      <c r="CD23" s="203"/>
      <c r="CE23" s="1270"/>
      <c r="CF23" s="203"/>
      <c r="CG23" s="203"/>
      <c r="CH23" s="203"/>
      <c r="CI23" s="1448"/>
      <c r="CJ23" s="203"/>
      <c r="CK23" s="203"/>
      <c r="CL23" s="1270"/>
      <c r="CM23" s="203"/>
      <c r="CN23" s="203"/>
      <c r="CO23" s="203"/>
      <c r="CP23" s="1448"/>
      <c r="CQ23" s="203"/>
      <c r="CR23" s="203"/>
      <c r="CS23" s="1270"/>
      <c r="CT23" s="203"/>
      <c r="CU23" s="203"/>
      <c r="CV23" s="203"/>
      <c r="CW23" s="1448"/>
      <c r="CX23" s="203"/>
      <c r="CY23" s="203"/>
      <c r="CZ23" s="1270"/>
      <c r="DA23" s="203"/>
      <c r="DB23" s="203"/>
      <c r="DC23" s="834"/>
      <c r="DD23" s="1448"/>
      <c r="DE23" s="203"/>
      <c r="DF23" s="203"/>
      <c r="DG23" s="1279"/>
      <c r="DH23" s="203"/>
      <c r="DI23" s="203"/>
      <c r="DJ23" s="12"/>
      <c r="DK23" s="1448"/>
      <c r="DL23" s="1892"/>
      <c r="DM23" s="203"/>
      <c r="DN23" s="1483"/>
      <c r="DO23" s="12"/>
      <c r="DP23" s="12"/>
      <c r="DQ23" s="12"/>
      <c r="DR23" s="1448"/>
      <c r="DS23" s="12"/>
      <c r="DT23" s="203"/>
      <c r="DU23" s="1483"/>
      <c r="DV23" s="12"/>
      <c r="DW23" s="12"/>
      <c r="DX23" s="12"/>
      <c r="DY23" s="1448"/>
      <c r="DZ23" s="12"/>
      <c r="EA23" s="203"/>
      <c r="EB23" s="1483"/>
      <c r="EC23" s="12"/>
      <c r="ED23" s="12"/>
      <c r="EE23" s="12"/>
      <c r="EF23" s="1448"/>
      <c r="EG23" s="12"/>
      <c r="EH23" s="203"/>
      <c r="EI23" s="1483"/>
      <c r="EJ23" s="12"/>
      <c r="EK23" s="12"/>
      <c r="EL23" s="12"/>
      <c r="EM23" s="1448"/>
      <c r="EN23" s="12"/>
      <c r="EO23" s="203"/>
      <c r="EP23" s="1483"/>
      <c r="EQ23" s="43"/>
      <c r="ER23" s="46"/>
    </row>
    <row r="24" spans="1:148" ht="10.199999999999999" customHeight="1">
      <c r="A24" s="43" t="s">
        <v>217</v>
      </c>
      <c r="B24" s="108"/>
      <c r="C24" s="203">
        <f>-Divisional!C84</f>
        <v>-243</v>
      </c>
      <c r="D24" s="203">
        <f>-Divisional!D84</f>
        <v>-229</v>
      </c>
      <c r="E24" s="203">
        <f>-Divisional!E84</f>
        <v>-217</v>
      </c>
      <c r="F24" s="203">
        <f>-Divisional!F84</f>
        <v>-140</v>
      </c>
      <c r="G24" s="203">
        <f>-Divisional!G84</f>
        <v>-57</v>
      </c>
      <c r="H24" s="203">
        <f>-Divisional!H84</f>
        <v>-73</v>
      </c>
      <c r="I24" s="203">
        <f>-Divisional!I84</f>
        <v>-58</v>
      </c>
      <c r="J24" s="203">
        <f>-Divisional!J84</f>
        <v>-58</v>
      </c>
      <c r="K24" s="203">
        <f>-Divisional!K84</f>
        <v>-44</v>
      </c>
      <c r="L24" s="203">
        <f>-Divisional!L84</f>
        <v>-41</v>
      </c>
      <c r="M24" s="203">
        <f>-Divisional!M84</f>
        <v>-38</v>
      </c>
      <c r="N24" s="203">
        <v>-10</v>
      </c>
      <c r="O24" s="203">
        <f t="shared" ref="O24:O26" si="160">R24-N24</f>
        <v>-9</v>
      </c>
      <c r="P24" s="203">
        <f>-31-R24</f>
        <v>-12</v>
      </c>
      <c r="Q24" s="1448">
        <f>S24-P24</f>
        <v>-8</v>
      </c>
      <c r="R24" s="203">
        <v>-19</v>
      </c>
      <c r="S24" s="203">
        <f t="shared" ref="S24:S26" si="161">T24-R24</f>
        <v>-20</v>
      </c>
      <c r="T24" s="1461">
        <f>-Divisional!T84</f>
        <v>-39</v>
      </c>
      <c r="U24" s="203">
        <v>-10</v>
      </c>
      <c r="V24" s="203">
        <f t="shared" ref="V24:V26" si="162">Y24-U24</f>
        <v>-10</v>
      </c>
      <c r="W24" s="203">
        <f>-29-Y24</f>
        <v>-9</v>
      </c>
      <c r="X24" s="1448">
        <f>Z24-W24</f>
        <v>-14</v>
      </c>
      <c r="Y24" s="203">
        <v>-20</v>
      </c>
      <c r="Z24" s="203">
        <f t="shared" ref="Z24:Z26" si="163">AA24-Y24</f>
        <v>-23</v>
      </c>
      <c r="AA24" s="1461">
        <f>-Divisional!AA84</f>
        <v>-43</v>
      </c>
      <c r="AB24" s="203">
        <v>-9</v>
      </c>
      <c r="AC24" s="203">
        <f t="shared" ref="AC24:AC26" si="164">AF24-AB24</f>
        <v>-10</v>
      </c>
      <c r="AD24" s="203">
        <f>-24-AF24</f>
        <v>-5</v>
      </c>
      <c r="AE24" s="1448">
        <f>AG24-AD24</f>
        <v>0</v>
      </c>
      <c r="AF24" s="203">
        <v>-19</v>
      </c>
      <c r="AG24" s="203">
        <f t="shared" ref="AG24:AG26" si="165">AH24-AF24</f>
        <v>-5</v>
      </c>
      <c r="AH24" s="1461">
        <f>-Divisional!AH84</f>
        <v>-24</v>
      </c>
      <c r="AI24" s="203"/>
      <c r="AJ24" s="203"/>
      <c r="AK24" s="203"/>
      <c r="AL24" s="1448"/>
      <c r="AM24" s="203"/>
      <c r="AN24" s="203"/>
      <c r="AO24" s="1461"/>
      <c r="AP24" s="203"/>
      <c r="AQ24" s="203"/>
      <c r="AR24" s="203"/>
      <c r="AS24" s="1448"/>
      <c r="AT24" s="203"/>
      <c r="AU24" s="203"/>
      <c r="AV24" s="1461"/>
      <c r="AW24" s="203"/>
      <c r="AX24" s="203"/>
      <c r="AY24" s="203"/>
      <c r="AZ24" s="1448"/>
      <c r="BA24" s="203"/>
      <c r="BB24" s="203"/>
      <c r="BC24" s="1461"/>
      <c r="BD24" s="203"/>
      <c r="BE24" s="203"/>
      <c r="BF24" s="203"/>
      <c r="BG24" s="1448"/>
      <c r="BH24" s="203"/>
      <c r="BI24" s="203"/>
      <c r="BJ24" s="1461"/>
      <c r="BK24" s="203"/>
      <c r="BL24" s="203"/>
      <c r="BM24" s="203"/>
      <c r="BN24" s="1448"/>
      <c r="BO24" s="203"/>
      <c r="BP24" s="203"/>
      <c r="BQ24" s="1461"/>
      <c r="BR24" s="203"/>
      <c r="BS24" s="203"/>
      <c r="BT24" s="203"/>
      <c r="BU24" s="1448"/>
      <c r="BV24" s="203"/>
      <c r="BW24" s="203"/>
      <c r="BX24" s="1461"/>
      <c r="BY24" s="203"/>
      <c r="BZ24" s="203"/>
      <c r="CA24" s="203"/>
      <c r="CB24" s="1448"/>
      <c r="CC24" s="203"/>
      <c r="CD24" s="203"/>
      <c r="CE24" s="1461"/>
      <c r="CF24" s="203"/>
      <c r="CG24" s="203"/>
      <c r="CH24" s="203"/>
      <c r="CI24" s="1448"/>
      <c r="CJ24" s="203"/>
      <c r="CK24" s="203"/>
      <c r="CL24" s="1461"/>
      <c r="CM24" s="203"/>
      <c r="CN24" s="203"/>
      <c r="CO24" s="203"/>
      <c r="CP24" s="1448"/>
      <c r="CQ24" s="203"/>
      <c r="CR24" s="203"/>
      <c r="CS24" s="1461"/>
      <c r="CT24" s="203"/>
      <c r="CU24" s="203"/>
      <c r="CV24" s="203"/>
      <c r="CW24" s="1448"/>
      <c r="CX24" s="203"/>
      <c r="CY24" s="203"/>
      <c r="CZ24" s="1461"/>
      <c r="DA24" s="203"/>
      <c r="DB24" s="203"/>
      <c r="DC24" s="834"/>
      <c r="DD24" s="1448"/>
      <c r="DE24" s="203"/>
      <c r="DF24" s="203"/>
      <c r="DG24" s="1269"/>
      <c r="DH24" s="203"/>
      <c r="DI24" s="203"/>
      <c r="DJ24" s="834"/>
      <c r="DK24" s="1448"/>
      <c r="DL24" s="1892"/>
      <c r="DM24" s="203"/>
      <c r="DN24" s="1269"/>
      <c r="DO24" s="834"/>
      <c r="DP24" s="834"/>
      <c r="DQ24" s="834"/>
      <c r="DR24" s="1448"/>
      <c r="DS24" s="834"/>
      <c r="DT24" s="203"/>
      <c r="DU24" s="1269"/>
      <c r="DV24" s="834"/>
      <c r="DW24" s="834"/>
      <c r="DX24" s="834"/>
      <c r="DY24" s="1448"/>
      <c r="DZ24" s="834"/>
      <c r="EA24" s="203"/>
      <c r="EB24" s="1269"/>
      <c r="EC24" s="834"/>
      <c r="ED24" s="834"/>
      <c r="EE24" s="834"/>
      <c r="EF24" s="1448"/>
      <c r="EG24" s="834"/>
      <c r="EH24" s="203"/>
      <c r="EI24" s="1269"/>
      <c r="EJ24" s="834"/>
      <c r="EK24" s="834"/>
      <c r="EL24" s="834"/>
      <c r="EM24" s="1448"/>
      <c r="EN24" s="834"/>
      <c r="EO24" s="203"/>
      <c r="EP24" s="1269"/>
      <c r="EQ24" s="43"/>
      <c r="ER24" s="46"/>
    </row>
    <row r="25" spans="1:148" ht="10.199999999999999" customHeight="1">
      <c r="A25" s="43" t="s">
        <v>77</v>
      </c>
      <c r="B25" s="108"/>
      <c r="C25" s="203">
        <v>-936</v>
      </c>
      <c r="D25" s="203">
        <v>-567</v>
      </c>
      <c r="E25" s="203">
        <v>0</v>
      </c>
      <c r="F25" s="203">
        <v>0</v>
      </c>
      <c r="G25" s="203">
        <v>-64</v>
      </c>
      <c r="H25" s="203">
        <v>-12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f t="shared" si="160"/>
        <v>0</v>
      </c>
      <c r="P25" s="203">
        <v>0</v>
      </c>
      <c r="Q25" s="1448">
        <f>S25-P25</f>
        <v>0</v>
      </c>
      <c r="R25" s="203">
        <v>0</v>
      </c>
      <c r="S25" s="203">
        <f t="shared" si="161"/>
        <v>0</v>
      </c>
      <c r="T25" s="1461">
        <v>0</v>
      </c>
      <c r="U25" s="203">
        <v>0</v>
      </c>
      <c r="V25" s="203">
        <f t="shared" si="162"/>
        <v>0</v>
      </c>
      <c r="W25" s="203">
        <v>0</v>
      </c>
      <c r="X25" s="1448">
        <f>Z25-W25</f>
        <v>0</v>
      </c>
      <c r="Y25" s="203">
        <v>0</v>
      </c>
      <c r="Z25" s="203">
        <f t="shared" si="163"/>
        <v>0</v>
      </c>
      <c r="AA25" s="1461">
        <v>0</v>
      </c>
      <c r="AB25" s="203">
        <v>0</v>
      </c>
      <c r="AC25" s="203">
        <f t="shared" si="164"/>
        <v>0</v>
      </c>
      <c r="AD25" s="203">
        <v>0</v>
      </c>
      <c r="AE25" s="1448">
        <f>AG25-AD25</f>
        <v>0</v>
      </c>
      <c r="AF25" s="203">
        <v>0</v>
      </c>
      <c r="AG25" s="203">
        <f t="shared" si="165"/>
        <v>0</v>
      </c>
      <c r="AH25" s="1461">
        <v>0</v>
      </c>
      <c r="AI25" s="203">
        <v>0</v>
      </c>
      <c r="AJ25" s="203">
        <f t="shared" ref="AJ25:AJ26" si="166">AM25-AI25</f>
        <v>0</v>
      </c>
      <c r="AK25" s="203">
        <v>0</v>
      </c>
      <c r="AL25" s="1448">
        <f>AN25-AK25</f>
        <v>0</v>
      </c>
      <c r="AM25" s="203">
        <v>0</v>
      </c>
      <c r="AN25" s="203">
        <f t="shared" ref="AN25:AN26" si="167">AO25-AM25</f>
        <v>0</v>
      </c>
      <c r="AO25" s="1461">
        <v>0</v>
      </c>
      <c r="AP25" s="203">
        <v>0</v>
      </c>
      <c r="AQ25" s="203">
        <f t="shared" ref="AQ25:AQ26" si="168">AT25-AP25</f>
        <v>0</v>
      </c>
      <c r="AR25" s="203">
        <v>0</v>
      </c>
      <c r="AS25" s="1448">
        <f>AU25-AR25</f>
        <v>0</v>
      </c>
      <c r="AT25" s="203">
        <v>0</v>
      </c>
      <c r="AU25" s="203">
        <f t="shared" ref="AU25:AU26" si="169">AV25-AT25</f>
        <v>0</v>
      </c>
      <c r="AV25" s="1461">
        <v>0</v>
      </c>
      <c r="AW25" s="203">
        <v>0</v>
      </c>
      <c r="AX25" s="203">
        <f t="shared" ref="AX25:AX26" si="170">BA25-AW25</f>
        <v>0</v>
      </c>
      <c r="AY25" s="203">
        <v>0</v>
      </c>
      <c r="AZ25" s="1448">
        <f>BB25-AY25</f>
        <v>0</v>
      </c>
      <c r="BA25" s="203">
        <v>0</v>
      </c>
      <c r="BB25" s="203">
        <f t="shared" ref="BB25:BB26" si="171">BC25-BA25</f>
        <v>0</v>
      </c>
      <c r="BC25" s="1461">
        <v>0</v>
      </c>
      <c r="BD25" s="203">
        <v>0</v>
      </c>
      <c r="BE25" s="203">
        <f t="shared" ref="BE25:BE26" si="172">BH25-BD25</f>
        <v>0</v>
      </c>
      <c r="BF25" s="203">
        <v>0</v>
      </c>
      <c r="BG25" s="1448">
        <f>BI25-BF25</f>
        <v>0</v>
      </c>
      <c r="BH25" s="203">
        <v>0</v>
      </c>
      <c r="BI25" s="203">
        <f t="shared" ref="BI25:BI26" si="173">BJ25-BH25</f>
        <v>0</v>
      </c>
      <c r="BJ25" s="1461">
        <v>0</v>
      </c>
      <c r="BK25" s="203">
        <v>0</v>
      </c>
      <c r="BL25" s="203">
        <f t="shared" ref="BL25:BL26" si="174">BO25-BK25</f>
        <v>0</v>
      </c>
      <c r="BM25" s="203">
        <v>0</v>
      </c>
      <c r="BN25" s="1448">
        <f>BP25-BM25</f>
        <v>0</v>
      </c>
      <c r="BO25" s="203">
        <v>0</v>
      </c>
      <c r="BP25" s="203">
        <f t="shared" ref="BP25:BP26" si="175">BQ25-BO25</f>
        <v>0</v>
      </c>
      <c r="BQ25" s="1461">
        <v>0</v>
      </c>
      <c r="BR25" s="203">
        <v>0</v>
      </c>
      <c r="BS25" s="203">
        <f t="shared" ref="BS25:BS26" si="176">BV25-BR25</f>
        <v>0</v>
      </c>
      <c r="BT25" s="203">
        <v>0</v>
      </c>
      <c r="BU25" s="1448">
        <f>BW25-BT25</f>
        <v>0</v>
      </c>
      <c r="BV25" s="203">
        <v>0</v>
      </c>
      <c r="BW25" s="203">
        <f t="shared" ref="BW25:BW26" si="177">BX25-BV25</f>
        <v>0</v>
      </c>
      <c r="BX25" s="1461">
        <v>0</v>
      </c>
      <c r="BY25" s="203">
        <v>0</v>
      </c>
      <c r="BZ25" s="203">
        <f t="shared" ref="BZ25:BZ26" si="178">CC25-BY25</f>
        <v>0</v>
      </c>
      <c r="CA25" s="203">
        <v>0</v>
      </c>
      <c r="CB25" s="1448">
        <f>CD25-CA25</f>
        <v>0</v>
      </c>
      <c r="CC25" s="203">
        <v>0</v>
      </c>
      <c r="CD25" s="203">
        <f t="shared" ref="CD25:CD26" si="179">CE25-CC25</f>
        <v>0</v>
      </c>
      <c r="CE25" s="1461">
        <v>0</v>
      </c>
      <c r="CF25" s="203">
        <v>0</v>
      </c>
      <c r="CG25" s="203">
        <f t="shared" ref="CG25:CG26" si="180">CJ25-CF25</f>
        <v>0</v>
      </c>
      <c r="CH25" s="203">
        <v>0</v>
      </c>
      <c r="CI25" s="1448">
        <f>CK25-CH25</f>
        <v>0</v>
      </c>
      <c r="CJ25" s="203">
        <v>0</v>
      </c>
      <c r="CK25" s="203">
        <f t="shared" ref="CK25:CK26" si="181">CL25-CJ25</f>
        <v>0</v>
      </c>
      <c r="CL25" s="1461">
        <v>0</v>
      </c>
      <c r="CM25" s="203">
        <v>0</v>
      </c>
      <c r="CN25" s="203">
        <f t="shared" ref="CN25:CN26" si="182">CQ25-CM25</f>
        <v>0</v>
      </c>
      <c r="CO25" s="203">
        <v>0</v>
      </c>
      <c r="CP25" s="1448">
        <f>CR25-CO25</f>
        <v>0</v>
      </c>
      <c r="CQ25" s="203">
        <v>0</v>
      </c>
      <c r="CR25" s="203">
        <f t="shared" ref="CR25:CR26" si="183">CS25-CQ25</f>
        <v>0</v>
      </c>
      <c r="CS25" s="1461">
        <v>0</v>
      </c>
      <c r="CT25" s="203">
        <v>0</v>
      </c>
      <c r="CU25" s="203">
        <f t="shared" ref="CU25:CU26" si="184">CX25-CT25</f>
        <v>0</v>
      </c>
      <c r="CV25" s="203">
        <v>0</v>
      </c>
      <c r="CW25" s="1448">
        <f>CY25-CV25</f>
        <v>0</v>
      </c>
      <c r="CX25" s="203">
        <v>0</v>
      </c>
      <c r="CY25" s="203">
        <f t="shared" ref="CY25:CY26" si="185">CZ25-CX25</f>
        <v>0</v>
      </c>
      <c r="CZ25" s="1461">
        <v>0</v>
      </c>
      <c r="DA25" s="203">
        <v>0</v>
      </c>
      <c r="DB25" s="203">
        <f t="shared" ref="DB25:DB26" si="186">DE25-DA25</f>
        <v>0</v>
      </c>
      <c r="DC25" s="1829">
        <f>DF25/2</f>
        <v>0</v>
      </c>
      <c r="DD25" s="1448">
        <f>DF25-DC25</f>
        <v>0</v>
      </c>
      <c r="DE25" s="203">
        <v>0</v>
      </c>
      <c r="DF25" s="203">
        <f t="shared" ref="DF25:DF26" si="187">DG25-DE25</f>
        <v>0</v>
      </c>
      <c r="DG25" s="1269">
        <v>0</v>
      </c>
      <c r="DH25" s="203">
        <v>0</v>
      </c>
      <c r="DI25" s="203">
        <f t="shared" ref="DI25:DI26" si="188">DL25-DH25</f>
        <v>0</v>
      </c>
      <c r="DJ25" s="1670">
        <f>DM25/2</f>
        <v>0</v>
      </c>
      <c r="DK25" s="1557">
        <f>DM25-DJ25</f>
        <v>0</v>
      </c>
      <c r="DL25" s="2054">
        <v>0</v>
      </c>
      <c r="DM25" s="1422">
        <f t="shared" ref="DM25:DM26" si="189">DN25-DL25</f>
        <v>0</v>
      </c>
      <c r="DN25" s="1484">
        <v>0</v>
      </c>
      <c r="DO25" s="1670">
        <f t="shared" ref="DO25:DO26" si="190">DS25/2</f>
        <v>0</v>
      </c>
      <c r="DP25" s="860">
        <f t="shared" ref="DP25:DP26" si="191">DS25-DO25</f>
        <v>0</v>
      </c>
      <c r="DQ25" s="1670">
        <f>DT25/2</f>
        <v>0</v>
      </c>
      <c r="DR25" s="1557">
        <f>DT25-DQ25</f>
        <v>0</v>
      </c>
      <c r="DS25" s="326">
        <f t="shared" ref="DS25:DS26" si="192">DU25/2</f>
        <v>0</v>
      </c>
      <c r="DT25" s="1422">
        <f t="shared" ref="DT25:DT26" si="193">DU25-DS25</f>
        <v>0</v>
      </c>
      <c r="DU25" s="1484">
        <v>0</v>
      </c>
      <c r="DV25" s="1670">
        <f t="shared" ref="DV25:DV26" si="194">DZ25/2</f>
        <v>0</v>
      </c>
      <c r="DW25" s="860">
        <f t="shared" ref="DW25:DW26" si="195">DZ25-DV25</f>
        <v>0</v>
      </c>
      <c r="DX25" s="1670">
        <f>EA25/2</f>
        <v>0</v>
      </c>
      <c r="DY25" s="1557">
        <f>EA25-DX25</f>
        <v>0</v>
      </c>
      <c r="DZ25" s="326">
        <f t="shared" ref="DZ25:DZ26" si="196">EB25/2</f>
        <v>0</v>
      </c>
      <c r="EA25" s="1422">
        <f t="shared" ref="EA25:EA26" si="197">EB25-DZ25</f>
        <v>0</v>
      </c>
      <c r="EB25" s="1484">
        <v>0</v>
      </c>
      <c r="EC25" s="1670">
        <f t="shared" ref="EC25:EC26" si="198">EG25/2</f>
        <v>0</v>
      </c>
      <c r="ED25" s="860">
        <f t="shared" ref="ED25:ED26" si="199">EG25-EC25</f>
        <v>0</v>
      </c>
      <c r="EE25" s="1670">
        <f>EH25/2</f>
        <v>0</v>
      </c>
      <c r="EF25" s="1557">
        <f>EH25-EE25</f>
        <v>0</v>
      </c>
      <c r="EG25" s="326">
        <f t="shared" ref="EG25:EG26" si="200">EI25/2</f>
        <v>0</v>
      </c>
      <c r="EH25" s="1422">
        <f t="shared" ref="EH25:EH26" si="201">EI25-EG25</f>
        <v>0</v>
      </c>
      <c r="EI25" s="1484">
        <v>0</v>
      </c>
      <c r="EJ25" s="1670">
        <f t="shared" ref="EJ25:EJ26" si="202">EN25/2</f>
        <v>0</v>
      </c>
      <c r="EK25" s="860">
        <f t="shared" ref="EK25:EK26" si="203">EN25-EJ25</f>
        <v>0</v>
      </c>
      <c r="EL25" s="1670">
        <f>EO25/2</f>
        <v>0</v>
      </c>
      <c r="EM25" s="1557">
        <f>EO25-EL25</f>
        <v>0</v>
      </c>
      <c r="EN25" s="326">
        <f t="shared" ref="EN25:EN26" si="204">EP25/2</f>
        <v>0</v>
      </c>
      <c r="EO25" s="1422">
        <f t="shared" ref="EO25:EO26" si="205">EP25-EN25</f>
        <v>0</v>
      </c>
      <c r="EP25" s="1484">
        <v>0</v>
      </c>
      <c r="EQ25" s="43"/>
      <c r="ER25" s="46"/>
    </row>
    <row r="26" spans="1:148" ht="10.199999999999999" customHeight="1">
      <c r="A26" s="43" t="s">
        <v>136</v>
      </c>
      <c r="B26" s="108"/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-42</v>
      </c>
      <c r="M26" s="207">
        <v>-17</v>
      </c>
      <c r="N26" s="1442">
        <v>0</v>
      </c>
      <c r="O26" s="1442">
        <f t="shared" si="160"/>
        <v>0</v>
      </c>
      <c r="P26" s="1442">
        <f>0-R26</f>
        <v>0</v>
      </c>
      <c r="Q26" s="1450">
        <f>S26-P26</f>
        <v>-15</v>
      </c>
      <c r="R26" s="1442">
        <v>0</v>
      </c>
      <c r="S26" s="1442">
        <f t="shared" si="161"/>
        <v>-15</v>
      </c>
      <c r="T26" s="1463">
        <v>-15</v>
      </c>
      <c r="U26" s="1442">
        <v>0</v>
      </c>
      <c r="V26" s="1442">
        <f t="shared" si="162"/>
        <v>0</v>
      </c>
      <c r="W26" s="1442">
        <f>-5-Y26</f>
        <v>-5</v>
      </c>
      <c r="X26" s="1450">
        <f>Z26-W26</f>
        <v>-1</v>
      </c>
      <c r="Y26" s="1442">
        <v>0</v>
      </c>
      <c r="Z26" s="1442">
        <f t="shared" si="163"/>
        <v>-6</v>
      </c>
      <c r="AA26" s="1463">
        <v>-6</v>
      </c>
      <c r="AB26" s="1442">
        <v>0</v>
      </c>
      <c r="AC26" s="1442">
        <f t="shared" si="164"/>
        <v>0</v>
      </c>
      <c r="AD26" s="1442">
        <v>0</v>
      </c>
      <c r="AE26" s="1450">
        <f>AG26-AD26</f>
        <v>0</v>
      </c>
      <c r="AF26" s="1442">
        <v>0</v>
      </c>
      <c r="AG26" s="1442">
        <f t="shared" si="165"/>
        <v>0</v>
      </c>
      <c r="AH26" s="1463">
        <v>0</v>
      </c>
      <c r="AI26" s="1442">
        <v>0</v>
      </c>
      <c r="AJ26" s="1442">
        <f t="shared" si="166"/>
        <v>0</v>
      </c>
      <c r="AK26" s="1442">
        <v>0</v>
      </c>
      <c r="AL26" s="1450">
        <f>AN26-AK26</f>
        <v>0</v>
      </c>
      <c r="AM26" s="1442">
        <v>0</v>
      </c>
      <c r="AN26" s="1442">
        <f t="shared" si="167"/>
        <v>0</v>
      </c>
      <c r="AO26" s="1463"/>
      <c r="AP26" s="1442">
        <v>0</v>
      </c>
      <c r="AQ26" s="1442">
        <f t="shared" si="168"/>
        <v>0</v>
      </c>
      <c r="AR26" s="1442">
        <v>0</v>
      </c>
      <c r="AS26" s="1450">
        <f>AU26-AR26</f>
        <v>0</v>
      </c>
      <c r="AT26" s="1442">
        <v>0</v>
      </c>
      <c r="AU26" s="1442">
        <f t="shared" si="169"/>
        <v>0</v>
      </c>
      <c r="AV26" s="1463">
        <v>0</v>
      </c>
      <c r="AW26" s="1442">
        <v>0</v>
      </c>
      <c r="AX26" s="1442">
        <f t="shared" si="170"/>
        <v>0</v>
      </c>
      <c r="AY26" s="1442">
        <v>0</v>
      </c>
      <c r="AZ26" s="1450">
        <f>BB26-AY26</f>
        <v>0</v>
      </c>
      <c r="BA26" s="1442">
        <v>0</v>
      </c>
      <c r="BB26" s="1442">
        <f t="shared" si="171"/>
        <v>0</v>
      </c>
      <c r="BC26" s="1463">
        <v>0</v>
      </c>
      <c r="BD26" s="1442">
        <v>0</v>
      </c>
      <c r="BE26" s="1442">
        <f t="shared" si="172"/>
        <v>0</v>
      </c>
      <c r="BF26" s="1442">
        <v>0</v>
      </c>
      <c r="BG26" s="1450">
        <f>BI26-BF26</f>
        <v>0</v>
      </c>
      <c r="BH26" s="1442">
        <v>0</v>
      </c>
      <c r="BI26" s="1442">
        <f t="shared" si="173"/>
        <v>0</v>
      </c>
      <c r="BJ26" s="1463">
        <v>0</v>
      </c>
      <c r="BK26" s="1442">
        <v>0</v>
      </c>
      <c r="BL26" s="1442">
        <f t="shared" si="174"/>
        <v>0</v>
      </c>
      <c r="BM26" s="1442">
        <v>0</v>
      </c>
      <c r="BN26" s="1450">
        <f>BP26-BM26</f>
        <v>0</v>
      </c>
      <c r="BO26" s="1442">
        <v>0</v>
      </c>
      <c r="BP26" s="1442">
        <f t="shared" si="175"/>
        <v>0</v>
      </c>
      <c r="BQ26" s="1463">
        <v>0</v>
      </c>
      <c r="BR26" s="1442">
        <v>0</v>
      </c>
      <c r="BS26" s="1442">
        <f t="shared" si="176"/>
        <v>0</v>
      </c>
      <c r="BT26" s="1442">
        <v>0</v>
      </c>
      <c r="BU26" s="1450">
        <f>BW26-BT26</f>
        <v>0</v>
      </c>
      <c r="BV26" s="1442">
        <v>0</v>
      </c>
      <c r="BW26" s="1442">
        <f t="shared" si="177"/>
        <v>0</v>
      </c>
      <c r="BX26" s="1463">
        <v>0</v>
      </c>
      <c r="BY26" s="1442">
        <v>0</v>
      </c>
      <c r="BZ26" s="1442">
        <f t="shared" si="178"/>
        <v>0</v>
      </c>
      <c r="CA26" s="1442">
        <v>0</v>
      </c>
      <c r="CB26" s="1450">
        <f>CD26-CA26</f>
        <v>0</v>
      </c>
      <c r="CC26" s="1442">
        <v>0</v>
      </c>
      <c r="CD26" s="1442">
        <f t="shared" si="179"/>
        <v>0</v>
      </c>
      <c r="CE26" s="1463">
        <v>0</v>
      </c>
      <c r="CF26" s="1442">
        <v>0</v>
      </c>
      <c r="CG26" s="1442">
        <f t="shared" si="180"/>
        <v>0</v>
      </c>
      <c r="CH26" s="1442">
        <v>0</v>
      </c>
      <c r="CI26" s="1450">
        <f>CK26-CH26</f>
        <v>0</v>
      </c>
      <c r="CJ26" s="1442">
        <v>0</v>
      </c>
      <c r="CK26" s="1442">
        <f t="shared" si="181"/>
        <v>0</v>
      </c>
      <c r="CL26" s="1463">
        <v>0</v>
      </c>
      <c r="CM26" s="1442">
        <v>0</v>
      </c>
      <c r="CN26" s="1442">
        <f t="shared" si="182"/>
        <v>0</v>
      </c>
      <c r="CO26" s="1442">
        <v>0</v>
      </c>
      <c r="CP26" s="1450">
        <f>CR26-CO26</f>
        <v>0</v>
      </c>
      <c r="CQ26" s="1442">
        <v>0</v>
      </c>
      <c r="CR26" s="1442">
        <f t="shared" si="183"/>
        <v>0</v>
      </c>
      <c r="CS26" s="1463">
        <v>0</v>
      </c>
      <c r="CT26" s="1442">
        <v>0</v>
      </c>
      <c r="CU26" s="1442">
        <f t="shared" si="184"/>
        <v>0</v>
      </c>
      <c r="CV26" s="1442">
        <v>0</v>
      </c>
      <c r="CW26" s="1450">
        <f>CY26-CV26</f>
        <v>0</v>
      </c>
      <c r="CX26" s="1442">
        <v>0</v>
      </c>
      <c r="CY26" s="1442">
        <f t="shared" si="185"/>
        <v>0</v>
      </c>
      <c r="CZ26" s="1463">
        <v>0</v>
      </c>
      <c r="DA26" s="1442">
        <v>0</v>
      </c>
      <c r="DB26" s="1442">
        <f t="shared" si="186"/>
        <v>0</v>
      </c>
      <c r="DC26" s="1830">
        <f>DF26/2</f>
        <v>0</v>
      </c>
      <c r="DD26" s="1450">
        <f>DF26-DC26</f>
        <v>0</v>
      </c>
      <c r="DE26" s="1442">
        <v>0</v>
      </c>
      <c r="DF26" s="1442">
        <f t="shared" si="187"/>
        <v>0</v>
      </c>
      <c r="DG26" s="1598">
        <v>0</v>
      </c>
      <c r="DH26" s="1442">
        <v>0</v>
      </c>
      <c r="DI26" s="1442">
        <f t="shared" si="188"/>
        <v>0</v>
      </c>
      <c r="DJ26" s="1671">
        <f>DM26/2</f>
        <v>0</v>
      </c>
      <c r="DK26" s="1669">
        <f>DM26-DJ26</f>
        <v>0</v>
      </c>
      <c r="DL26" s="2052">
        <v>0</v>
      </c>
      <c r="DM26" s="1668">
        <f t="shared" si="189"/>
        <v>0</v>
      </c>
      <c r="DN26" s="1485">
        <v>0</v>
      </c>
      <c r="DO26" s="1671">
        <f t="shared" si="190"/>
        <v>0</v>
      </c>
      <c r="DP26" s="1410">
        <f t="shared" si="191"/>
        <v>0</v>
      </c>
      <c r="DQ26" s="1671">
        <f>DT26/2</f>
        <v>0</v>
      </c>
      <c r="DR26" s="1669">
        <f>DT26-DQ26</f>
        <v>0</v>
      </c>
      <c r="DS26" s="1672">
        <f t="shared" si="192"/>
        <v>0</v>
      </c>
      <c r="DT26" s="1668">
        <f t="shared" si="193"/>
        <v>0</v>
      </c>
      <c r="DU26" s="1485">
        <v>0</v>
      </c>
      <c r="DV26" s="1671">
        <f t="shared" si="194"/>
        <v>0</v>
      </c>
      <c r="DW26" s="1410">
        <f t="shared" si="195"/>
        <v>0</v>
      </c>
      <c r="DX26" s="1671">
        <f>EA26/2</f>
        <v>0</v>
      </c>
      <c r="DY26" s="1669">
        <f>EA26-DX26</f>
        <v>0</v>
      </c>
      <c r="DZ26" s="1672">
        <f t="shared" si="196"/>
        <v>0</v>
      </c>
      <c r="EA26" s="1668">
        <f t="shared" si="197"/>
        <v>0</v>
      </c>
      <c r="EB26" s="1485">
        <v>0</v>
      </c>
      <c r="EC26" s="1671">
        <f t="shared" si="198"/>
        <v>0</v>
      </c>
      <c r="ED26" s="1410">
        <f t="shared" si="199"/>
        <v>0</v>
      </c>
      <c r="EE26" s="1671">
        <f>EH26/2</f>
        <v>0</v>
      </c>
      <c r="EF26" s="1669">
        <f>EH26-EE26</f>
        <v>0</v>
      </c>
      <c r="EG26" s="1672">
        <f t="shared" si="200"/>
        <v>0</v>
      </c>
      <c r="EH26" s="1668">
        <f t="shared" si="201"/>
        <v>0</v>
      </c>
      <c r="EI26" s="1485">
        <v>0</v>
      </c>
      <c r="EJ26" s="1671">
        <f t="shared" si="202"/>
        <v>0</v>
      </c>
      <c r="EK26" s="1410">
        <f t="shared" si="203"/>
        <v>0</v>
      </c>
      <c r="EL26" s="1671">
        <f>EO26/2</f>
        <v>0</v>
      </c>
      <c r="EM26" s="1669">
        <f>EO26-EL26</f>
        <v>0</v>
      </c>
      <c r="EN26" s="1672">
        <f t="shared" si="204"/>
        <v>0</v>
      </c>
      <c r="EO26" s="1668">
        <f t="shared" si="205"/>
        <v>0</v>
      </c>
      <c r="EP26" s="1485">
        <v>0</v>
      </c>
      <c r="EQ26" s="43"/>
      <c r="ER26" s="46"/>
    </row>
    <row r="27" spans="1:148" ht="10.199999999999999" customHeight="1">
      <c r="A27" s="48" t="s">
        <v>699</v>
      </c>
      <c r="B27" s="108"/>
      <c r="C27" s="126">
        <f t="shared" ref="C27:EP27" si="206">C22+C24+C25+C26</f>
        <v>247</v>
      </c>
      <c r="D27" s="126">
        <f t="shared" si="206"/>
        <v>747</v>
      </c>
      <c r="E27" s="126">
        <f t="shared" si="206"/>
        <v>2215</v>
      </c>
      <c r="F27" s="126">
        <f t="shared" si="206"/>
        <v>2712</v>
      </c>
      <c r="G27" s="126">
        <f t="shared" si="206"/>
        <v>278</v>
      </c>
      <c r="H27" s="126">
        <f t="shared" si="206"/>
        <v>-33</v>
      </c>
      <c r="I27" s="126">
        <f t="shared" si="206"/>
        <v>2772</v>
      </c>
      <c r="J27" s="126">
        <f t="shared" si="206"/>
        <v>-380</v>
      </c>
      <c r="K27" s="126">
        <f t="shared" si="206"/>
        <v>1187</v>
      </c>
      <c r="L27" s="126">
        <f t="shared" si="206"/>
        <v>1613</v>
      </c>
      <c r="M27" s="126">
        <f t="shared" si="206"/>
        <v>2131</v>
      </c>
      <c r="N27" s="126">
        <f t="shared" ref="N27:S27" si="207">N22+N24+N25+N26</f>
        <v>579</v>
      </c>
      <c r="O27" s="126">
        <f t="shared" si="207"/>
        <v>880</v>
      </c>
      <c r="P27" s="126">
        <f t="shared" si="207"/>
        <v>641</v>
      </c>
      <c r="Q27" s="1276">
        <f t="shared" si="207"/>
        <v>470</v>
      </c>
      <c r="R27" s="126">
        <f t="shared" si="207"/>
        <v>1459</v>
      </c>
      <c r="S27" s="126">
        <f t="shared" si="207"/>
        <v>1111</v>
      </c>
      <c r="T27" s="1082">
        <f t="shared" si="206"/>
        <v>2570</v>
      </c>
      <c r="U27" s="126">
        <f t="shared" si="206"/>
        <v>709</v>
      </c>
      <c r="V27" s="126">
        <f t="shared" si="206"/>
        <v>1110</v>
      </c>
      <c r="W27" s="126">
        <f t="shared" si="206"/>
        <v>730</v>
      </c>
      <c r="X27" s="1276">
        <f t="shared" si="206"/>
        <v>1442</v>
      </c>
      <c r="Y27" s="126">
        <f t="shared" si="206"/>
        <v>1819</v>
      </c>
      <c r="Z27" s="126">
        <f t="shared" si="206"/>
        <v>2172</v>
      </c>
      <c r="AA27" s="1082">
        <f t="shared" si="206"/>
        <v>3991</v>
      </c>
      <c r="AB27" s="126">
        <f t="shared" ref="AB27:AG27" si="208">AB22+AB24+AB25+AB26</f>
        <v>1232</v>
      </c>
      <c r="AC27" s="126">
        <f t="shared" si="208"/>
        <v>978</v>
      </c>
      <c r="AD27" s="126">
        <f t="shared" si="208"/>
        <v>712</v>
      </c>
      <c r="AE27" s="1276">
        <f t="shared" si="208"/>
        <v>1140</v>
      </c>
      <c r="AF27" s="126">
        <f t="shared" si="208"/>
        <v>2210</v>
      </c>
      <c r="AG27" s="126">
        <f t="shared" si="208"/>
        <v>1852</v>
      </c>
      <c r="AH27" s="1082">
        <f t="shared" si="206"/>
        <v>4062</v>
      </c>
      <c r="AI27" s="126">
        <f t="shared" si="206"/>
        <v>362</v>
      </c>
      <c r="AJ27" s="126">
        <f t="shared" si="206"/>
        <v>1489</v>
      </c>
      <c r="AK27" s="126">
        <f t="shared" si="206"/>
        <v>505</v>
      </c>
      <c r="AL27" s="1276">
        <f t="shared" si="206"/>
        <v>-98</v>
      </c>
      <c r="AM27" s="126">
        <f t="shared" si="206"/>
        <v>1851</v>
      </c>
      <c r="AN27" s="126">
        <f t="shared" si="206"/>
        <v>407</v>
      </c>
      <c r="AO27" s="1082">
        <f t="shared" si="206"/>
        <v>2258</v>
      </c>
      <c r="AP27" s="126">
        <f t="shared" ref="AP27:AQ27" si="209">AP22+AP24+AP25+AP26</f>
        <v>852</v>
      </c>
      <c r="AQ27" s="126">
        <f t="shared" si="209"/>
        <v>939</v>
      </c>
      <c r="AR27" s="126">
        <f t="shared" ref="AR27:AS27" si="210">AR22+AR24+AR25+AR26</f>
        <v>521</v>
      </c>
      <c r="AS27" s="1276">
        <f t="shared" si="210"/>
        <v>1109</v>
      </c>
      <c r="AT27" s="126">
        <f t="shared" ref="AT27:AU27" si="211">AT22+AT24+AT25+AT26</f>
        <v>1791</v>
      </c>
      <c r="AU27" s="126">
        <f t="shared" si="211"/>
        <v>1630</v>
      </c>
      <c r="AV27" s="1082">
        <f t="shared" si="206"/>
        <v>3421</v>
      </c>
      <c r="AW27" s="126">
        <f t="shared" si="206"/>
        <v>575</v>
      </c>
      <c r="AX27" s="126">
        <f t="shared" si="206"/>
        <v>636</v>
      </c>
      <c r="AY27" s="126">
        <f t="shared" si="206"/>
        <v>462</v>
      </c>
      <c r="AZ27" s="1276">
        <f t="shared" si="206"/>
        <v>992</v>
      </c>
      <c r="BA27" s="126">
        <f t="shared" si="206"/>
        <v>1211</v>
      </c>
      <c r="BB27" s="126">
        <f t="shared" si="206"/>
        <v>1454</v>
      </c>
      <c r="BC27" s="1082">
        <f t="shared" si="206"/>
        <v>2665</v>
      </c>
      <c r="BD27" s="126">
        <f t="shared" ref="BD27:BI27" si="212">BD22+BD24+BD25+BD26</f>
        <v>199</v>
      </c>
      <c r="BE27" s="126">
        <f t="shared" si="212"/>
        <v>921</v>
      </c>
      <c r="BF27" s="126">
        <f t="shared" si="212"/>
        <v>1563</v>
      </c>
      <c r="BG27" s="1276">
        <f t="shared" si="212"/>
        <v>2365</v>
      </c>
      <c r="BH27" s="126">
        <f t="shared" si="212"/>
        <v>1120</v>
      </c>
      <c r="BI27" s="126">
        <f t="shared" si="212"/>
        <v>3928</v>
      </c>
      <c r="BJ27" s="1082">
        <f t="shared" si="206"/>
        <v>5048</v>
      </c>
      <c r="BK27" s="126">
        <f t="shared" si="206"/>
        <v>181</v>
      </c>
      <c r="BL27" s="126">
        <f t="shared" si="206"/>
        <v>1912</v>
      </c>
      <c r="BM27" s="126">
        <f t="shared" si="206"/>
        <v>1338</v>
      </c>
      <c r="BN27" s="1276">
        <f t="shared" si="206"/>
        <v>-2092</v>
      </c>
      <c r="BO27" s="126">
        <f t="shared" si="206"/>
        <v>2093</v>
      </c>
      <c r="BP27" s="126">
        <f t="shared" si="206"/>
        <v>-754</v>
      </c>
      <c r="BQ27" s="1082">
        <f t="shared" si="206"/>
        <v>1339</v>
      </c>
      <c r="BR27" s="126">
        <f t="shared" ref="BR27:BW27" si="213">BR22+BR24+BR25+BR26</f>
        <v>79</v>
      </c>
      <c r="BS27" s="126">
        <f t="shared" si="213"/>
        <v>-1638</v>
      </c>
      <c r="BT27" s="126">
        <f t="shared" si="213"/>
        <v>-626</v>
      </c>
      <c r="BU27" s="1276">
        <f t="shared" si="213"/>
        <v>1675</v>
      </c>
      <c r="BV27" s="126">
        <f t="shared" si="213"/>
        <v>-1559</v>
      </c>
      <c r="BW27" s="126">
        <f t="shared" si="213"/>
        <v>1049</v>
      </c>
      <c r="BX27" s="1082">
        <f t="shared" si="206"/>
        <v>-510</v>
      </c>
      <c r="BY27" s="126">
        <f t="shared" si="206"/>
        <v>462</v>
      </c>
      <c r="BZ27" s="126">
        <f t="shared" si="206"/>
        <v>2265</v>
      </c>
      <c r="CA27" s="126">
        <f t="shared" si="206"/>
        <v>710</v>
      </c>
      <c r="CB27" s="1276">
        <f t="shared" si="206"/>
        <v>1905</v>
      </c>
      <c r="CC27" s="126">
        <f t="shared" si="206"/>
        <v>2727</v>
      </c>
      <c r="CD27" s="126">
        <f t="shared" si="206"/>
        <v>2615</v>
      </c>
      <c r="CE27" s="1082">
        <f t="shared" si="206"/>
        <v>5342</v>
      </c>
      <c r="CF27" s="126">
        <f t="shared" ref="CF27:CK27" si="214">CF22+CF24+CF25+CF26</f>
        <v>1429</v>
      </c>
      <c r="CG27" s="126">
        <f t="shared" si="214"/>
        <v>1150</v>
      </c>
      <c r="CH27" s="126">
        <f t="shared" si="214"/>
        <v>973</v>
      </c>
      <c r="CI27" s="1276">
        <f t="shared" si="214"/>
        <v>1773</v>
      </c>
      <c r="CJ27" s="126">
        <f t="shared" si="214"/>
        <v>2579</v>
      </c>
      <c r="CK27" s="126">
        <f t="shared" si="214"/>
        <v>2746</v>
      </c>
      <c r="CL27" s="1082">
        <f t="shared" si="206"/>
        <v>5325</v>
      </c>
      <c r="CM27" s="126">
        <f t="shared" si="206"/>
        <v>390</v>
      </c>
      <c r="CN27" s="126">
        <f t="shared" si="206"/>
        <v>1497</v>
      </c>
      <c r="CO27" s="126">
        <f t="shared" si="206"/>
        <v>825</v>
      </c>
      <c r="CP27" s="1276">
        <f t="shared" si="206"/>
        <v>1891</v>
      </c>
      <c r="CQ27" s="126">
        <f t="shared" si="206"/>
        <v>1887</v>
      </c>
      <c r="CR27" s="126">
        <f t="shared" si="206"/>
        <v>2716</v>
      </c>
      <c r="CS27" s="1082">
        <f t="shared" si="206"/>
        <v>4603</v>
      </c>
      <c r="CT27" s="126">
        <f t="shared" si="206"/>
        <v>609</v>
      </c>
      <c r="CU27" s="126">
        <f t="shared" si="206"/>
        <v>847</v>
      </c>
      <c r="CV27" s="126">
        <f t="shared" ref="CV27:CW27" si="215">CV22+CV24+CV25+CV26</f>
        <v>1234</v>
      </c>
      <c r="CW27" s="1276">
        <f t="shared" si="215"/>
        <v>2614</v>
      </c>
      <c r="CX27" s="126">
        <f t="shared" ref="CX27:CY27" si="216">CX22+CX24+CX25+CX26</f>
        <v>1456</v>
      </c>
      <c r="CY27" s="126">
        <f t="shared" si="216"/>
        <v>3848</v>
      </c>
      <c r="CZ27" s="1082">
        <f t="shared" ref="CZ27:DB27" si="217">CZ22+CZ24+CZ25+CZ26</f>
        <v>5304</v>
      </c>
      <c r="DA27" s="126">
        <f t="shared" si="217"/>
        <v>473</v>
      </c>
      <c r="DB27" s="126">
        <f t="shared" si="217"/>
        <v>1144</v>
      </c>
      <c r="DC27" s="852">
        <f t="shared" ref="DC27:DI27" si="218">DC22+DC24+DC25+DC26</f>
        <v>1748</v>
      </c>
      <c r="DD27" s="1276">
        <f t="shared" si="218"/>
        <v>2717</v>
      </c>
      <c r="DE27" s="126">
        <f t="shared" si="218"/>
        <v>1617</v>
      </c>
      <c r="DF27" s="126">
        <f t="shared" si="218"/>
        <v>4465</v>
      </c>
      <c r="DG27" s="1274">
        <f t="shared" si="218"/>
        <v>6082</v>
      </c>
      <c r="DH27" s="126">
        <f t="shared" si="218"/>
        <v>224</v>
      </c>
      <c r="DI27" s="126">
        <f t="shared" si="218"/>
        <v>2521</v>
      </c>
      <c r="DJ27" s="884">
        <f t="shared" ref="DJ27:DM27" si="219">DJ22+DJ24+DJ25+DJ26</f>
        <v>2009.1588140093568</v>
      </c>
      <c r="DK27" s="1515">
        <f t="shared" si="219"/>
        <v>3025.4443803330441</v>
      </c>
      <c r="DL27" s="2012">
        <f t="shared" si="219"/>
        <v>2745</v>
      </c>
      <c r="DM27" s="884">
        <f t="shared" si="219"/>
        <v>5034.6031943424014</v>
      </c>
      <c r="DN27" s="1486">
        <f t="shared" si="206"/>
        <v>7779.6031943424014</v>
      </c>
      <c r="DO27" s="884">
        <f t="shared" si="206"/>
        <v>2123.6724132099453</v>
      </c>
      <c r="DP27" s="884">
        <f t="shared" si="206"/>
        <v>2389.0712471500483</v>
      </c>
      <c r="DQ27" s="884">
        <f t="shared" si="206"/>
        <v>2380.745170471354</v>
      </c>
      <c r="DR27" s="1515">
        <f t="shared" si="206"/>
        <v>2637.9128791162875</v>
      </c>
      <c r="DS27" s="884">
        <f t="shared" si="206"/>
        <v>4512.7436603599945</v>
      </c>
      <c r="DT27" s="884">
        <f t="shared" si="206"/>
        <v>5018.6580495876415</v>
      </c>
      <c r="DU27" s="1486">
        <f t="shared" si="206"/>
        <v>9531.401709947635</v>
      </c>
      <c r="DV27" s="884">
        <f t="shared" si="206"/>
        <v>2655.632405480741</v>
      </c>
      <c r="DW27" s="884">
        <f t="shared" si="206"/>
        <v>2937.5487101656699</v>
      </c>
      <c r="DX27" s="884">
        <f t="shared" si="206"/>
        <v>2928.4016689674986</v>
      </c>
      <c r="DY27" s="1515">
        <f t="shared" si="206"/>
        <v>3302.8528253172335</v>
      </c>
      <c r="DZ27" s="884">
        <f t="shared" si="206"/>
        <v>5593.1811156464109</v>
      </c>
      <c r="EA27" s="884">
        <f t="shared" si="206"/>
        <v>6231.2544942847317</v>
      </c>
      <c r="EB27" s="1486">
        <f t="shared" si="206"/>
        <v>11824.435609931144</v>
      </c>
      <c r="EC27" s="884">
        <f t="shared" si="206"/>
        <v>3011.0862491720727</v>
      </c>
      <c r="ED27" s="884">
        <f t="shared" si="206"/>
        <v>3137.9684771710681</v>
      </c>
      <c r="EE27" s="884">
        <f t="shared" si="206"/>
        <v>3128.9361038409447</v>
      </c>
      <c r="EF27" s="1515">
        <f t="shared" si="206"/>
        <v>3536.3998185648857</v>
      </c>
      <c r="EG27" s="884">
        <f t="shared" si="206"/>
        <v>6149.0547263431417</v>
      </c>
      <c r="EH27" s="884">
        <f t="shared" si="206"/>
        <v>6665.3359224058313</v>
      </c>
      <c r="EI27" s="1486">
        <f t="shared" si="206"/>
        <v>12814.390648748971</v>
      </c>
      <c r="EJ27" s="884">
        <f t="shared" si="206"/>
        <v>3191.0782387219201</v>
      </c>
      <c r="EK27" s="884">
        <f t="shared" si="206"/>
        <v>3325.2352230021702</v>
      </c>
      <c r="EL27" s="884">
        <f t="shared" si="206"/>
        <v>3316.3441874688351</v>
      </c>
      <c r="EM27" s="1515">
        <f t="shared" si="206"/>
        <v>3741.4462046619328</v>
      </c>
      <c r="EN27" s="884">
        <f t="shared" si="206"/>
        <v>6516.3134617240903</v>
      </c>
      <c r="EO27" s="884">
        <f t="shared" si="206"/>
        <v>7057.7903921307679</v>
      </c>
      <c r="EP27" s="1486">
        <f t="shared" si="206"/>
        <v>13574.103853854858</v>
      </c>
      <c r="EQ27" s="43"/>
      <c r="ER27" s="46"/>
    </row>
    <row r="28" spans="1:148" ht="10.199999999999999" customHeight="1">
      <c r="A28" s="43"/>
      <c r="B28" s="108"/>
      <c r="C28" s="108"/>
      <c r="D28" s="823"/>
      <c r="E28" s="823"/>
      <c r="F28" s="823"/>
      <c r="G28" s="823"/>
      <c r="H28" s="823"/>
      <c r="I28" s="823"/>
      <c r="J28" s="823"/>
      <c r="K28" s="823"/>
      <c r="L28" s="823"/>
      <c r="M28" s="823"/>
      <c r="N28" s="823"/>
      <c r="O28" s="823"/>
      <c r="P28" s="823"/>
      <c r="Q28" s="1451"/>
      <c r="R28" s="823"/>
      <c r="S28" s="823"/>
      <c r="T28" s="1270"/>
      <c r="U28" s="823"/>
      <c r="V28" s="823"/>
      <c r="W28" s="823"/>
      <c r="X28" s="1451"/>
      <c r="Y28" s="823"/>
      <c r="Z28" s="823"/>
      <c r="AA28" s="1270"/>
      <c r="AB28" s="823"/>
      <c r="AC28" s="823"/>
      <c r="AD28" s="823"/>
      <c r="AE28" s="1451"/>
      <c r="AF28" s="823"/>
      <c r="AG28" s="823"/>
      <c r="AH28" s="1270"/>
      <c r="AI28" s="823"/>
      <c r="AJ28" s="823"/>
      <c r="AK28" s="823"/>
      <c r="AL28" s="1451"/>
      <c r="AM28" s="823"/>
      <c r="AN28" s="823"/>
      <c r="AO28" s="1270"/>
      <c r="AP28" s="823"/>
      <c r="AQ28" s="823"/>
      <c r="AR28" s="823"/>
      <c r="AS28" s="1451"/>
      <c r="AT28" s="823"/>
      <c r="AU28" s="823"/>
      <c r="AV28" s="1270"/>
      <c r="AW28" s="823"/>
      <c r="AX28" s="823"/>
      <c r="AY28" s="823"/>
      <c r="AZ28" s="1451"/>
      <c r="BA28" s="823"/>
      <c r="BB28" s="823"/>
      <c r="BC28" s="1270"/>
      <c r="BD28" s="823"/>
      <c r="BE28" s="823"/>
      <c r="BF28" s="823"/>
      <c r="BG28" s="1451"/>
      <c r="BH28" s="823"/>
      <c r="BI28" s="823"/>
      <c r="BJ28" s="1270"/>
      <c r="BK28" s="823"/>
      <c r="BL28" s="823"/>
      <c r="BM28" s="823"/>
      <c r="BN28" s="1451"/>
      <c r="BO28" s="823"/>
      <c r="BP28" s="823"/>
      <c r="BQ28" s="1270"/>
      <c r="BR28" s="823"/>
      <c r="BS28" s="823"/>
      <c r="BT28" s="823"/>
      <c r="BU28" s="1451"/>
      <c r="BV28" s="823"/>
      <c r="BW28" s="823"/>
      <c r="BX28" s="1270"/>
      <c r="BY28" s="823"/>
      <c r="BZ28" s="823"/>
      <c r="CA28" s="823"/>
      <c r="CB28" s="1451"/>
      <c r="CC28" s="823"/>
      <c r="CD28" s="823"/>
      <c r="CE28" s="1270"/>
      <c r="CF28" s="823"/>
      <c r="CG28" s="823"/>
      <c r="CH28" s="823"/>
      <c r="CI28" s="1451"/>
      <c r="CJ28" s="823"/>
      <c r="CK28" s="823"/>
      <c r="CL28" s="1270"/>
      <c r="CM28" s="823"/>
      <c r="CN28" s="823"/>
      <c r="CO28" s="823"/>
      <c r="CP28" s="1451"/>
      <c r="CQ28" s="823"/>
      <c r="CR28" s="823"/>
      <c r="CS28" s="1270"/>
      <c r="CT28" s="3"/>
      <c r="CU28" s="3"/>
      <c r="CV28" s="3"/>
      <c r="CW28" s="1451"/>
      <c r="CX28" s="3"/>
      <c r="CY28" s="823"/>
      <c r="CZ28" s="1479"/>
      <c r="DA28" s="3"/>
      <c r="DB28" s="3"/>
      <c r="DC28" s="1"/>
      <c r="DD28" s="1451"/>
      <c r="DE28" s="3"/>
      <c r="DF28" s="823"/>
      <c r="DG28" s="1479"/>
      <c r="DH28" s="3"/>
      <c r="DI28" s="3"/>
      <c r="DJ28" s="3"/>
      <c r="DK28" s="1509"/>
      <c r="DL28" s="1879"/>
      <c r="DM28" s="3"/>
      <c r="DN28" s="1479"/>
      <c r="DO28" s="3"/>
      <c r="DP28" s="3"/>
      <c r="DQ28" s="3"/>
      <c r="DR28" s="1509"/>
      <c r="DS28" s="3"/>
      <c r="DT28" s="3"/>
      <c r="DU28" s="1479"/>
      <c r="DV28" s="3"/>
      <c r="DW28" s="3"/>
      <c r="DX28" s="3"/>
      <c r="DY28" s="1509"/>
      <c r="DZ28" s="3"/>
      <c r="EA28" s="3"/>
      <c r="EB28" s="1479"/>
      <c r="EC28" s="3"/>
      <c r="ED28" s="3"/>
      <c r="EE28" s="3"/>
      <c r="EF28" s="1509"/>
      <c r="EG28" s="3"/>
      <c r="EH28" s="3"/>
      <c r="EI28" s="1479"/>
      <c r="EJ28" s="3"/>
      <c r="EK28" s="3"/>
      <c r="EL28" s="3"/>
      <c r="EM28" s="1509"/>
      <c r="EN28" s="3"/>
      <c r="EO28" s="3"/>
      <c r="EP28" s="1479"/>
      <c r="EQ28" s="43"/>
      <c r="ER28" s="46"/>
    </row>
    <row r="29" spans="1:148" ht="10.199999999999999" customHeight="1">
      <c r="A29" s="43" t="s">
        <v>46</v>
      </c>
      <c r="B29" s="108"/>
      <c r="C29" s="203">
        <v>-607</v>
      </c>
      <c r="D29" s="203">
        <v>-203</v>
      </c>
      <c r="E29" s="203">
        <v>-627</v>
      </c>
      <c r="F29" s="203">
        <v>-578</v>
      </c>
      <c r="G29" s="203">
        <v>-575</v>
      </c>
      <c r="H29" s="203">
        <v>-701</v>
      </c>
      <c r="I29" s="203">
        <v>-581</v>
      </c>
      <c r="J29" s="203">
        <v>-503</v>
      </c>
      <c r="K29" s="203">
        <v>-415</v>
      </c>
      <c r="L29" s="203">
        <v>-364</v>
      </c>
      <c r="M29" s="203">
        <v>-522</v>
      </c>
      <c r="N29" s="203">
        <f>-126</f>
        <v>-126</v>
      </c>
      <c r="O29" s="203">
        <f>R29-N29</f>
        <v>-134</v>
      </c>
      <c r="P29" s="203">
        <f>-400-R29</f>
        <v>-140</v>
      </c>
      <c r="Q29" s="1448">
        <f>S29-P29</f>
        <v>-93</v>
      </c>
      <c r="R29" s="203">
        <f>-260</f>
        <v>-260</v>
      </c>
      <c r="S29" s="203">
        <f>T29-R29</f>
        <v>-233</v>
      </c>
      <c r="T29" s="1461">
        <v>-493</v>
      </c>
      <c r="U29" s="203">
        <f>-130</f>
        <v>-130</v>
      </c>
      <c r="V29" s="203">
        <f>Y29-U29</f>
        <v>-138</v>
      </c>
      <c r="W29" s="203">
        <f>-395-Y29</f>
        <v>-127</v>
      </c>
      <c r="X29" s="1448">
        <f>Z29-W29</f>
        <v>-67</v>
      </c>
      <c r="Y29" s="203">
        <f>-268</f>
        <v>-268</v>
      </c>
      <c r="Z29" s="203">
        <f>AA29-Y29</f>
        <v>-194</v>
      </c>
      <c r="AA29" s="1461">
        <v>-462</v>
      </c>
      <c r="AB29" s="203">
        <f>-146</f>
        <v>-146</v>
      </c>
      <c r="AC29" s="203">
        <f>AF29-AB29</f>
        <v>-128</v>
      </c>
      <c r="AD29" s="203">
        <f>-429-AF29</f>
        <v>-155</v>
      </c>
      <c r="AE29" s="1448">
        <f>AG29-AD29</f>
        <v>-122</v>
      </c>
      <c r="AF29" s="203">
        <f>-274</f>
        <v>-274</v>
      </c>
      <c r="AG29" s="203">
        <f>AH29-AF29</f>
        <v>-277</v>
      </c>
      <c r="AH29" s="1461">
        <v>-551</v>
      </c>
      <c r="AI29" s="203">
        <f>-143</f>
        <v>-143</v>
      </c>
      <c r="AJ29" s="203">
        <f>AM29-AI29</f>
        <v>-91</v>
      </c>
      <c r="AK29" s="203">
        <f>-389-AM29</f>
        <v>-155</v>
      </c>
      <c r="AL29" s="1448">
        <f>AN29-AK29</f>
        <v>-133</v>
      </c>
      <c r="AM29" s="203">
        <f>-234</f>
        <v>-234</v>
      </c>
      <c r="AN29" s="203">
        <f>AO29-AM29</f>
        <v>-288</v>
      </c>
      <c r="AO29" s="1461">
        <v>-522</v>
      </c>
      <c r="AP29" s="203">
        <f>-127</f>
        <v>-127</v>
      </c>
      <c r="AQ29" s="203">
        <f>AT29-AP29</f>
        <v>-124</v>
      </c>
      <c r="AR29" s="203">
        <v>-134</v>
      </c>
      <c r="AS29" s="1448">
        <f>AU29-AR29</f>
        <v>-132</v>
      </c>
      <c r="AT29" s="203">
        <v>-251</v>
      </c>
      <c r="AU29" s="203">
        <f>AV29-AT29</f>
        <v>-266</v>
      </c>
      <c r="AV29" s="1461">
        <v>-517</v>
      </c>
      <c r="AW29" s="203">
        <f>-127</f>
        <v>-127</v>
      </c>
      <c r="AX29" s="203">
        <f>-124</f>
        <v>-124</v>
      </c>
      <c r="AY29" s="203">
        <f>-385-BA29</f>
        <v>-134</v>
      </c>
      <c r="AZ29" s="1448">
        <f>BB29-AY29</f>
        <v>-132</v>
      </c>
      <c r="BA29" s="203">
        <f>+AX29+AW29</f>
        <v>-251</v>
      </c>
      <c r="BB29" s="203">
        <f>BC29-BA29</f>
        <v>-266</v>
      </c>
      <c r="BC29" s="1461">
        <v>-517</v>
      </c>
      <c r="BD29" s="203">
        <f>-104</f>
        <v>-104</v>
      </c>
      <c r="BE29" s="203">
        <f>BH29-BD29</f>
        <v>-95</v>
      </c>
      <c r="BF29" s="203">
        <f>-367-BH29</f>
        <v>-168</v>
      </c>
      <c r="BG29" s="1448">
        <f>BI29-BF29</f>
        <v>-73</v>
      </c>
      <c r="BH29" s="203">
        <f>-199</f>
        <v>-199</v>
      </c>
      <c r="BI29" s="203">
        <f>BJ29-BH29</f>
        <v>-241</v>
      </c>
      <c r="BJ29" s="1461">
        <v>-440</v>
      </c>
      <c r="BK29" s="203">
        <f>-92</f>
        <v>-92</v>
      </c>
      <c r="BL29" s="203">
        <f>BO29-BK29</f>
        <v>-99</v>
      </c>
      <c r="BM29" s="203">
        <f>-266-BO29</f>
        <v>-75</v>
      </c>
      <c r="BN29" s="1448">
        <f>BP29-BM29</f>
        <v>-73</v>
      </c>
      <c r="BO29" s="203">
        <f>-191</f>
        <v>-191</v>
      </c>
      <c r="BP29" s="203">
        <f>BQ29-BO29</f>
        <v>-148</v>
      </c>
      <c r="BQ29" s="1461">
        <v>-339</v>
      </c>
      <c r="BR29" s="203">
        <f>-98</f>
        <v>-98</v>
      </c>
      <c r="BS29" s="203">
        <f>-113</f>
        <v>-113</v>
      </c>
      <c r="BT29" s="203">
        <f>-313-BV29</f>
        <v>-102</v>
      </c>
      <c r="BU29" s="1448">
        <f>BW29-BT29</f>
        <v>-98</v>
      </c>
      <c r="BV29" s="203">
        <f>BR29+BS29</f>
        <v>-211</v>
      </c>
      <c r="BW29" s="203">
        <f>BX29-BV29</f>
        <v>-200</v>
      </c>
      <c r="BX29" s="1461">
        <v>-411</v>
      </c>
      <c r="BY29" s="203">
        <f>-96</f>
        <v>-96</v>
      </c>
      <c r="BZ29" s="203">
        <f>CC29-BY29</f>
        <v>-108</v>
      </c>
      <c r="CA29" s="203">
        <f>-281-BY29-BZ29</f>
        <v>-77</v>
      </c>
      <c r="CB29" s="1448">
        <f>CD29-CA29</f>
        <v>-53</v>
      </c>
      <c r="CC29" s="203">
        <f>-204</f>
        <v>-204</v>
      </c>
      <c r="CD29" s="203">
        <f>CE29-CC29</f>
        <v>-130</v>
      </c>
      <c r="CE29" s="1461">
        <v>-334</v>
      </c>
      <c r="CF29" s="203">
        <f>-78</f>
        <v>-78</v>
      </c>
      <c r="CG29" s="203">
        <f>+CJ29-CF29</f>
        <v>-88</v>
      </c>
      <c r="CH29" s="203">
        <f>-258-CF29-CG29</f>
        <v>-92</v>
      </c>
      <c r="CI29" s="1448">
        <f>CK29-CH29</f>
        <v>-154</v>
      </c>
      <c r="CJ29" s="203">
        <f>-166</f>
        <v>-166</v>
      </c>
      <c r="CK29" s="203">
        <f>CL29-CJ29</f>
        <v>-246</v>
      </c>
      <c r="CL29" s="1461">
        <v>-412</v>
      </c>
      <c r="CM29" s="203">
        <f>-166</f>
        <v>-166</v>
      </c>
      <c r="CN29" s="203">
        <f>CQ29-CM29</f>
        <v>-170</v>
      </c>
      <c r="CO29" s="203">
        <f>-195</f>
        <v>-195</v>
      </c>
      <c r="CP29" s="1448">
        <f>CR29-CO29</f>
        <v>-222</v>
      </c>
      <c r="CQ29" s="203">
        <f>-336</f>
        <v>-336</v>
      </c>
      <c r="CR29" s="203">
        <f>CS29-CQ29</f>
        <v>-417</v>
      </c>
      <c r="CS29" s="1461">
        <v>-753</v>
      </c>
      <c r="CT29" s="834">
        <v>-213</v>
      </c>
      <c r="CU29" s="203">
        <f t="shared" ref="CU29:CU35" si="220">CX29-CT29</f>
        <v>-215</v>
      </c>
      <c r="CV29" s="203">
        <v>-212</v>
      </c>
      <c r="CW29" s="1448">
        <f>CY29-CV29</f>
        <v>-260</v>
      </c>
      <c r="CX29" s="834">
        <v>-428</v>
      </c>
      <c r="CY29" s="203">
        <f>CZ29-CX29</f>
        <v>-472</v>
      </c>
      <c r="CZ29" s="1461">
        <v>-900</v>
      </c>
      <c r="DA29" s="834">
        <v>-189</v>
      </c>
      <c r="DB29" s="203">
        <f t="shared" ref="DB29:DB35" si="221">DE29-DA29</f>
        <v>-194</v>
      </c>
      <c r="DC29" s="2081">
        <v>-181</v>
      </c>
      <c r="DD29" s="1448">
        <f>DF29-DC29</f>
        <v>-206</v>
      </c>
      <c r="DE29" s="2081">
        <v>-383</v>
      </c>
      <c r="DF29" s="203">
        <f>DG29-DE29</f>
        <v>-387</v>
      </c>
      <c r="DG29" s="1269">
        <v>-770</v>
      </c>
      <c r="DH29" s="834">
        <v>-175</v>
      </c>
      <c r="DI29" s="203">
        <f t="shared" ref="DI29:DI35" si="222">DL29-DH29</f>
        <v>-185</v>
      </c>
      <c r="DJ29" s="326">
        <f>-BS!DJ234</f>
        <v>-223.45625000000001</v>
      </c>
      <c r="DK29" s="1109">
        <f>-BS!DK234</f>
        <v>-309.99375000000003</v>
      </c>
      <c r="DL29" s="2054">
        <v>-360</v>
      </c>
      <c r="DM29" s="860">
        <f>-BS!DM234</f>
        <v>-533.45000000000005</v>
      </c>
      <c r="DN29" s="1119">
        <f>-BS!DN234</f>
        <v>-893.45</v>
      </c>
      <c r="DO29" s="326">
        <f>-BS!DO234</f>
        <v>-223.36250000000001</v>
      </c>
      <c r="DP29" s="860">
        <f>-BS!DP234</f>
        <v>-223.36250000000001</v>
      </c>
      <c r="DQ29" s="326">
        <f>-BS!DQ234</f>
        <v>-223.36250000000001</v>
      </c>
      <c r="DR29" s="1109">
        <f>-BS!DR234</f>
        <v>-223.36250000000001</v>
      </c>
      <c r="DS29" s="326">
        <f>-BS!DS234</f>
        <v>-446.72500000000002</v>
      </c>
      <c r="DT29" s="860">
        <f>-BS!DT234</f>
        <v>-446.72500000000002</v>
      </c>
      <c r="DU29" s="1119">
        <f>-BS!DU234</f>
        <v>-893.45</v>
      </c>
      <c r="DV29" s="326">
        <f>-BS!DV234</f>
        <v>-223.36250000000001</v>
      </c>
      <c r="DW29" s="860">
        <f>-BS!DW234</f>
        <v>-223.36250000000001</v>
      </c>
      <c r="DX29" s="326">
        <f>-BS!DX234</f>
        <v>-223.36250000000001</v>
      </c>
      <c r="DY29" s="1109">
        <f>-BS!DY234</f>
        <v>-223.36250000000001</v>
      </c>
      <c r="DZ29" s="326">
        <f>-BS!DZ234</f>
        <v>-446.72500000000002</v>
      </c>
      <c r="EA29" s="860">
        <f>-BS!EA234</f>
        <v>-446.72500000000002</v>
      </c>
      <c r="EB29" s="1119">
        <f>-BS!EB234</f>
        <v>-893.45</v>
      </c>
      <c r="EC29" s="326">
        <f>-BS!EC234</f>
        <v>-223.36250000000001</v>
      </c>
      <c r="ED29" s="860">
        <f>-BS!ED234</f>
        <v>-223.36250000000001</v>
      </c>
      <c r="EE29" s="326">
        <f>-BS!EE234</f>
        <v>-223.36250000000001</v>
      </c>
      <c r="EF29" s="1109">
        <f>-BS!EF234</f>
        <v>-223.36250000000001</v>
      </c>
      <c r="EG29" s="326">
        <f>-BS!EG234</f>
        <v>-446.72500000000002</v>
      </c>
      <c r="EH29" s="860">
        <f>-BS!EH234</f>
        <v>-446.72500000000002</v>
      </c>
      <c r="EI29" s="1119">
        <f>-BS!EI234</f>
        <v>-893.45</v>
      </c>
      <c r="EJ29" s="326">
        <f>-BS!EJ234</f>
        <v>-223.36250000000001</v>
      </c>
      <c r="EK29" s="860">
        <f>-BS!EK234</f>
        <v>-223.36250000000001</v>
      </c>
      <c r="EL29" s="326">
        <f>-BS!EL234</f>
        <v>-223.36250000000001</v>
      </c>
      <c r="EM29" s="1109">
        <f>-BS!EM234</f>
        <v>-223.36250000000001</v>
      </c>
      <c r="EN29" s="326">
        <f>-BS!EN234</f>
        <v>-446.72500000000002</v>
      </c>
      <c r="EO29" s="860">
        <f>-BS!EO234</f>
        <v>-446.72500000000002</v>
      </c>
      <c r="EP29" s="1119">
        <f>-BS!EP234</f>
        <v>-893.45</v>
      </c>
      <c r="EQ29" s="43"/>
      <c r="ER29" s="46"/>
    </row>
    <row r="30" spans="1:148" ht="10.199999999999999" customHeight="1">
      <c r="A30" s="43" t="s">
        <v>47</v>
      </c>
      <c r="B30" s="108"/>
      <c r="C30" s="207">
        <v>526</v>
      </c>
      <c r="D30" s="207">
        <v>186</v>
      </c>
      <c r="E30" s="207">
        <v>352</v>
      </c>
      <c r="F30" s="207">
        <v>423</v>
      </c>
      <c r="G30" s="207">
        <v>454</v>
      </c>
      <c r="H30" s="207">
        <v>502</v>
      </c>
      <c r="I30" s="207">
        <v>617</v>
      </c>
      <c r="J30" s="207">
        <v>356</v>
      </c>
      <c r="K30" s="207">
        <v>316</v>
      </c>
      <c r="L30" s="207">
        <v>377</v>
      </c>
      <c r="M30" s="207">
        <v>237</v>
      </c>
      <c r="N30" s="1442">
        <v>40</v>
      </c>
      <c r="O30" s="1442">
        <f>R30-N30</f>
        <v>44</v>
      </c>
      <c r="P30" s="1442">
        <f>137-R30</f>
        <v>53</v>
      </c>
      <c r="Q30" s="1450">
        <f>S30-P30</f>
        <v>24</v>
      </c>
      <c r="R30" s="1442">
        <v>84</v>
      </c>
      <c r="S30" s="1442">
        <f>T30-R30</f>
        <v>77</v>
      </c>
      <c r="T30" s="1463">
        <v>161</v>
      </c>
      <c r="U30" s="1442">
        <v>36</v>
      </c>
      <c r="V30" s="1442">
        <f>Y30-U30</f>
        <v>43</v>
      </c>
      <c r="W30" s="1442">
        <f>117-Y30</f>
        <v>38</v>
      </c>
      <c r="X30" s="1450">
        <f>Z30-W30</f>
        <v>25</v>
      </c>
      <c r="Y30" s="1442">
        <v>79</v>
      </c>
      <c r="Z30" s="1442">
        <f>AA30-Y30</f>
        <v>63</v>
      </c>
      <c r="AA30" s="1463">
        <v>142</v>
      </c>
      <c r="AB30" s="1442">
        <v>40</v>
      </c>
      <c r="AC30" s="1442">
        <f>AF30-AB30</f>
        <v>45</v>
      </c>
      <c r="AD30" s="1442">
        <f>131-AF30</f>
        <v>46</v>
      </c>
      <c r="AE30" s="1450">
        <f>AG30-AD30</f>
        <v>52</v>
      </c>
      <c r="AF30" s="1442">
        <v>85</v>
      </c>
      <c r="AG30" s="1442">
        <f>AH30-AF30</f>
        <v>98</v>
      </c>
      <c r="AH30" s="1463">
        <v>183</v>
      </c>
      <c r="AI30" s="1442">
        <v>75</v>
      </c>
      <c r="AJ30" s="1442">
        <f>AM30-AI30</f>
        <v>62</v>
      </c>
      <c r="AK30" s="1442">
        <f>186-AM30</f>
        <v>49</v>
      </c>
      <c r="AL30" s="1450">
        <f>AN30-AK30</f>
        <v>61</v>
      </c>
      <c r="AM30" s="1442">
        <v>137</v>
      </c>
      <c r="AN30" s="1442">
        <f>AO30-AM30</f>
        <v>110</v>
      </c>
      <c r="AO30" s="1463">
        <v>247</v>
      </c>
      <c r="AP30" s="1442">
        <v>39</v>
      </c>
      <c r="AQ30" s="1442">
        <f>AT30-AP30</f>
        <v>42</v>
      </c>
      <c r="AR30" s="1442">
        <v>53</v>
      </c>
      <c r="AS30" s="1450">
        <f>AU30-AR30</f>
        <v>55</v>
      </c>
      <c r="AT30" s="1442">
        <v>81</v>
      </c>
      <c r="AU30" s="1442">
        <f>AV30-AT30</f>
        <v>108</v>
      </c>
      <c r="AV30" s="1463">
        <v>189</v>
      </c>
      <c r="AW30" s="1442">
        <v>39</v>
      </c>
      <c r="AX30" s="1442">
        <v>42</v>
      </c>
      <c r="AY30" s="1442">
        <f>134-BA30</f>
        <v>53</v>
      </c>
      <c r="AZ30" s="1450">
        <f>BB30-AY30</f>
        <v>55</v>
      </c>
      <c r="BA30" s="1442">
        <f>+AX30+AW30</f>
        <v>81</v>
      </c>
      <c r="BB30" s="1442">
        <f>BC30-BA30</f>
        <v>108</v>
      </c>
      <c r="BC30" s="1463">
        <v>189</v>
      </c>
      <c r="BD30" s="1442">
        <v>41</v>
      </c>
      <c r="BE30" s="1442">
        <f>BH30-BD30</f>
        <v>46</v>
      </c>
      <c r="BF30" s="1442">
        <f>144-BH30</f>
        <v>57</v>
      </c>
      <c r="BG30" s="1450">
        <f>BI30-BF30</f>
        <v>64</v>
      </c>
      <c r="BH30" s="1442">
        <v>87</v>
      </c>
      <c r="BI30" s="1442">
        <f>BJ30-BH30</f>
        <v>121</v>
      </c>
      <c r="BJ30" s="1463">
        <v>208</v>
      </c>
      <c r="BK30" s="1442">
        <v>56</v>
      </c>
      <c r="BL30" s="1442">
        <f>BO30-BK30</f>
        <v>35</v>
      </c>
      <c r="BM30" s="1442">
        <f>143-BO30</f>
        <v>52</v>
      </c>
      <c r="BN30" s="1450">
        <f>BP30-BM30</f>
        <v>85</v>
      </c>
      <c r="BO30" s="1442">
        <v>91</v>
      </c>
      <c r="BP30" s="1442">
        <f>BQ30-BO30</f>
        <v>137</v>
      </c>
      <c r="BQ30" s="1463">
        <v>228</v>
      </c>
      <c r="BR30" s="1442">
        <v>53</v>
      </c>
      <c r="BS30" s="1442">
        <v>29</v>
      </c>
      <c r="BT30" s="1442">
        <f>101-BR30-BS30</f>
        <v>19</v>
      </c>
      <c r="BU30" s="1450">
        <f>BW30-BT30</f>
        <v>39</v>
      </c>
      <c r="BV30" s="1442">
        <f>BR30+BS30</f>
        <v>82</v>
      </c>
      <c r="BW30" s="1442">
        <f>BX30-BV30</f>
        <v>58</v>
      </c>
      <c r="BX30" s="1463">
        <v>140</v>
      </c>
      <c r="BY30" s="1442">
        <v>14</v>
      </c>
      <c r="BZ30" s="1442">
        <f>CC30-BY30</f>
        <v>18</v>
      </c>
      <c r="CA30" s="1442">
        <f>48-BY30-BZ30</f>
        <v>16</v>
      </c>
      <c r="CB30" s="1450">
        <f>CD30-CA30</f>
        <v>40</v>
      </c>
      <c r="CC30" s="1442">
        <v>32</v>
      </c>
      <c r="CD30" s="1442">
        <f>CE30-CC30</f>
        <v>56</v>
      </c>
      <c r="CE30" s="1463">
        <v>88</v>
      </c>
      <c r="CF30" s="1442">
        <v>2</v>
      </c>
      <c r="CG30" s="1442">
        <f>+CJ30-CF30</f>
        <v>28</v>
      </c>
      <c r="CH30" s="1442">
        <f>92-CF30-CG30</f>
        <v>62</v>
      </c>
      <c r="CI30" s="1450">
        <f>CK30-CH30</f>
        <v>88</v>
      </c>
      <c r="CJ30" s="1442">
        <v>30</v>
      </c>
      <c r="CK30" s="1442">
        <f>CL30-CJ30</f>
        <v>150</v>
      </c>
      <c r="CL30" s="1463">
        <v>180</v>
      </c>
      <c r="CM30" s="1442">
        <v>133</v>
      </c>
      <c r="CN30" s="1442">
        <f>CQ30-CM30</f>
        <v>145</v>
      </c>
      <c r="CO30" s="1442">
        <v>246</v>
      </c>
      <c r="CP30" s="1450">
        <f>CR30-CO30</f>
        <v>204</v>
      </c>
      <c r="CQ30" s="1442">
        <v>278</v>
      </c>
      <c r="CR30" s="1442">
        <f>CS30-CQ30</f>
        <v>450</v>
      </c>
      <c r="CS30" s="1463">
        <v>728</v>
      </c>
      <c r="CT30" s="1564">
        <v>217</v>
      </c>
      <c r="CU30" s="1442">
        <f t="shared" si="220"/>
        <v>182</v>
      </c>
      <c r="CV30" s="1564">
        <v>183</v>
      </c>
      <c r="CW30" s="1450">
        <f>CY30-CV30</f>
        <v>220</v>
      </c>
      <c r="CX30" s="1564">
        <v>399</v>
      </c>
      <c r="CY30" s="1442">
        <f>CZ30-CX30</f>
        <v>403</v>
      </c>
      <c r="CZ30" s="1463">
        <v>802</v>
      </c>
      <c r="DA30" s="1564">
        <v>209</v>
      </c>
      <c r="DB30" s="1442">
        <f t="shared" si="221"/>
        <v>171</v>
      </c>
      <c r="DC30" s="2088">
        <v>157</v>
      </c>
      <c r="DD30" s="1450">
        <f>DF30-DC30</f>
        <v>173</v>
      </c>
      <c r="DE30" s="2088">
        <v>380</v>
      </c>
      <c r="DF30" s="1442">
        <f>DG30-DE30</f>
        <v>330</v>
      </c>
      <c r="DG30" s="1598">
        <v>710</v>
      </c>
      <c r="DH30" s="1564">
        <v>176</v>
      </c>
      <c r="DI30" s="1442">
        <f t="shared" si="222"/>
        <v>165</v>
      </c>
      <c r="DJ30" s="1672">
        <f>+BS!DJ245</f>
        <v>146.1</v>
      </c>
      <c r="DK30" s="1516">
        <f>+BS!DK245</f>
        <v>193.35000000000005</v>
      </c>
      <c r="DL30" s="2052">
        <v>341</v>
      </c>
      <c r="DM30" s="1410">
        <f>+BS!DM245</f>
        <v>339.45000000000005</v>
      </c>
      <c r="DN30" s="1487">
        <f>+BS!DN245</f>
        <v>680.45</v>
      </c>
      <c r="DO30" s="1672">
        <f>+BS!DO245</f>
        <v>181.63947056415395</v>
      </c>
      <c r="DP30" s="1410">
        <f>+BS!DP245</f>
        <v>181.63947056415395</v>
      </c>
      <c r="DQ30" s="1672">
        <f>+BS!DQ245</f>
        <v>167.10560722420524</v>
      </c>
      <c r="DR30" s="1516">
        <f>+BS!DR245</f>
        <v>196.17333390410266</v>
      </c>
      <c r="DS30" s="1672">
        <f>+BS!DS245</f>
        <v>363.27894112830791</v>
      </c>
      <c r="DT30" s="1410">
        <f>+BS!DT245</f>
        <v>363.27894112830791</v>
      </c>
      <c r="DU30" s="1487">
        <f>+BS!DU245</f>
        <v>726.55788225661581</v>
      </c>
      <c r="DV30" s="1672">
        <f>+BS!DV245</f>
        <v>196.81415272009406</v>
      </c>
      <c r="DW30" s="1410">
        <f>+BS!DW245</f>
        <v>196.81415272009406</v>
      </c>
      <c r="DX30" s="1672">
        <f>+BS!DX245</f>
        <v>187.69957270067096</v>
      </c>
      <c r="DY30" s="1516">
        <f>+BS!DY245</f>
        <v>205.92873273951716</v>
      </c>
      <c r="DZ30" s="1672">
        <f>+BS!DZ245</f>
        <v>393.62830544018811</v>
      </c>
      <c r="EA30" s="1410">
        <f>+BS!EA245</f>
        <v>393.62830544018811</v>
      </c>
      <c r="EB30" s="1487">
        <f>+BS!EB245</f>
        <v>787.25661088037623</v>
      </c>
      <c r="EC30" s="1672">
        <f>+BS!EC245</f>
        <v>224.30600656456363</v>
      </c>
      <c r="ED30" s="1410">
        <f>+BS!ED245</f>
        <v>224.30600656456363</v>
      </c>
      <c r="EE30" s="1672">
        <f>+BS!EE245</f>
        <v>214.19583662533256</v>
      </c>
      <c r="EF30" s="1516">
        <f>+BS!EF245</f>
        <v>234.4161765037947</v>
      </c>
      <c r="EG30" s="1672">
        <f>+BS!EG245</f>
        <v>448.61201312912726</v>
      </c>
      <c r="EH30" s="1410">
        <f>+BS!EH245</f>
        <v>448.61201312912726</v>
      </c>
      <c r="EI30" s="1487">
        <f>+BS!EI245</f>
        <v>897.22402625825453</v>
      </c>
      <c r="EJ30" s="1672">
        <f>+BS!EJ245</f>
        <v>252.31414679769478</v>
      </c>
      <c r="EK30" s="1410">
        <f>+BS!EK245</f>
        <v>252.31414679769478</v>
      </c>
      <c r="EL30" s="1672">
        <f>+BS!EL245</f>
        <v>252.59817306819519</v>
      </c>
      <c r="EM30" s="1516">
        <f>+BS!EM245</f>
        <v>252.03012052719436</v>
      </c>
      <c r="EN30" s="1672">
        <f>+BS!EN245</f>
        <v>504.62829359538955</v>
      </c>
      <c r="EO30" s="1410">
        <f>+BS!EO245</f>
        <v>504.62829359538955</v>
      </c>
      <c r="EP30" s="1487">
        <f>+BS!EP245</f>
        <v>1009.2565871907791</v>
      </c>
      <c r="EQ30" s="43"/>
      <c r="ER30" s="46"/>
    </row>
    <row r="31" spans="1:148" ht="10.199999999999999" customHeight="1">
      <c r="A31" s="43" t="s">
        <v>44</v>
      </c>
      <c r="B31" s="108"/>
      <c r="C31" s="203">
        <f t="shared" ref="C31:EP31" si="223">+C29+C30</f>
        <v>-81</v>
      </c>
      <c r="D31" s="203">
        <f t="shared" si="223"/>
        <v>-17</v>
      </c>
      <c r="E31" s="203">
        <f t="shared" si="223"/>
        <v>-275</v>
      </c>
      <c r="F31" s="203">
        <f t="shared" si="223"/>
        <v>-155</v>
      </c>
      <c r="G31" s="203">
        <f t="shared" si="223"/>
        <v>-121</v>
      </c>
      <c r="H31" s="203">
        <f t="shared" si="223"/>
        <v>-199</v>
      </c>
      <c r="I31" s="203">
        <f t="shared" si="223"/>
        <v>36</v>
      </c>
      <c r="J31" s="203">
        <f t="shared" si="223"/>
        <v>-147</v>
      </c>
      <c r="K31" s="203">
        <f t="shared" si="223"/>
        <v>-99</v>
      </c>
      <c r="L31" s="203">
        <f t="shared" si="223"/>
        <v>13</v>
      </c>
      <c r="M31" s="203">
        <f t="shared" si="223"/>
        <v>-285</v>
      </c>
      <c r="N31" s="203">
        <f t="shared" si="223"/>
        <v>-86</v>
      </c>
      <c r="O31" s="203">
        <f t="shared" si="223"/>
        <v>-90</v>
      </c>
      <c r="P31" s="203">
        <f t="shared" si="223"/>
        <v>-87</v>
      </c>
      <c r="Q31" s="1448">
        <f t="shared" si="223"/>
        <v>-69</v>
      </c>
      <c r="R31" s="203">
        <f t="shared" si="223"/>
        <v>-176</v>
      </c>
      <c r="S31" s="203">
        <f t="shared" si="223"/>
        <v>-156</v>
      </c>
      <c r="T31" s="1461">
        <f t="shared" si="223"/>
        <v>-332</v>
      </c>
      <c r="U31" s="203">
        <f t="shared" si="223"/>
        <v>-94</v>
      </c>
      <c r="V31" s="203">
        <f t="shared" si="223"/>
        <v>-95</v>
      </c>
      <c r="W31" s="203">
        <f t="shared" si="223"/>
        <v>-89</v>
      </c>
      <c r="X31" s="1448">
        <f t="shared" si="223"/>
        <v>-42</v>
      </c>
      <c r="Y31" s="203">
        <f t="shared" si="223"/>
        <v>-189</v>
      </c>
      <c r="Z31" s="203">
        <f t="shared" si="223"/>
        <v>-131</v>
      </c>
      <c r="AA31" s="1461">
        <f t="shared" si="223"/>
        <v>-320</v>
      </c>
      <c r="AB31" s="203">
        <f t="shared" si="223"/>
        <v>-106</v>
      </c>
      <c r="AC31" s="203">
        <f t="shared" si="223"/>
        <v>-83</v>
      </c>
      <c r="AD31" s="203">
        <f t="shared" si="223"/>
        <v>-109</v>
      </c>
      <c r="AE31" s="1448">
        <f t="shared" si="223"/>
        <v>-70</v>
      </c>
      <c r="AF31" s="203">
        <f t="shared" si="223"/>
        <v>-189</v>
      </c>
      <c r="AG31" s="203">
        <f t="shared" si="223"/>
        <v>-179</v>
      </c>
      <c r="AH31" s="1461">
        <f t="shared" si="223"/>
        <v>-368</v>
      </c>
      <c r="AI31" s="203">
        <f t="shared" si="223"/>
        <v>-68</v>
      </c>
      <c r="AJ31" s="203">
        <f t="shared" si="223"/>
        <v>-29</v>
      </c>
      <c r="AK31" s="203">
        <f t="shared" si="223"/>
        <v>-106</v>
      </c>
      <c r="AL31" s="1448">
        <f t="shared" si="223"/>
        <v>-72</v>
      </c>
      <c r="AM31" s="203">
        <f t="shared" si="223"/>
        <v>-97</v>
      </c>
      <c r="AN31" s="203">
        <f t="shared" si="223"/>
        <v>-178</v>
      </c>
      <c r="AO31" s="1461">
        <f t="shared" si="223"/>
        <v>-275</v>
      </c>
      <c r="AP31" s="203">
        <f t="shared" ref="AP31:AS31" si="224">+AP29+AP30</f>
        <v>-88</v>
      </c>
      <c r="AQ31" s="203">
        <f t="shared" si="224"/>
        <v>-82</v>
      </c>
      <c r="AR31" s="203">
        <f t="shared" si="224"/>
        <v>-81</v>
      </c>
      <c r="AS31" s="1448">
        <f t="shared" si="224"/>
        <v>-77</v>
      </c>
      <c r="AT31" s="203">
        <f t="shared" ref="AT31:AU31" si="225">+AT29+AT30</f>
        <v>-170</v>
      </c>
      <c r="AU31" s="203">
        <f t="shared" si="225"/>
        <v>-158</v>
      </c>
      <c r="AV31" s="1461">
        <f t="shared" si="223"/>
        <v>-328</v>
      </c>
      <c r="AW31" s="203">
        <f t="shared" si="223"/>
        <v>-88</v>
      </c>
      <c r="AX31" s="203">
        <f t="shared" si="223"/>
        <v>-82</v>
      </c>
      <c r="AY31" s="203">
        <f t="shared" si="223"/>
        <v>-81</v>
      </c>
      <c r="AZ31" s="1448">
        <f t="shared" si="223"/>
        <v>-77</v>
      </c>
      <c r="BA31" s="203">
        <f t="shared" si="223"/>
        <v>-170</v>
      </c>
      <c r="BB31" s="203">
        <f t="shared" si="223"/>
        <v>-158</v>
      </c>
      <c r="BC31" s="1461">
        <f t="shared" si="223"/>
        <v>-328</v>
      </c>
      <c r="BD31" s="203">
        <f t="shared" si="223"/>
        <v>-63</v>
      </c>
      <c r="BE31" s="203">
        <f t="shared" si="223"/>
        <v>-49</v>
      </c>
      <c r="BF31" s="203">
        <f t="shared" si="223"/>
        <v>-111</v>
      </c>
      <c r="BG31" s="1448">
        <f t="shared" si="223"/>
        <v>-9</v>
      </c>
      <c r="BH31" s="203">
        <f t="shared" si="223"/>
        <v>-112</v>
      </c>
      <c r="BI31" s="203">
        <f t="shared" si="223"/>
        <v>-120</v>
      </c>
      <c r="BJ31" s="1461">
        <f t="shared" si="223"/>
        <v>-232</v>
      </c>
      <c r="BK31" s="203">
        <f t="shared" si="223"/>
        <v>-36</v>
      </c>
      <c r="BL31" s="203">
        <f t="shared" si="223"/>
        <v>-64</v>
      </c>
      <c r="BM31" s="203">
        <f t="shared" si="223"/>
        <v>-23</v>
      </c>
      <c r="BN31" s="1448">
        <f t="shared" si="223"/>
        <v>12</v>
      </c>
      <c r="BO31" s="203">
        <f t="shared" si="223"/>
        <v>-100</v>
      </c>
      <c r="BP31" s="203">
        <f t="shared" si="223"/>
        <v>-11</v>
      </c>
      <c r="BQ31" s="1461">
        <f t="shared" si="223"/>
        <v>-111</v>
      </c>
      <c r="BR31" s="203">
        <f t="shared" ref="BR31:BW31" si="226">+BR29+BR30</f>
        <v>-45</v>
      </c>
      <c r="BS31" s="203">
        <f t="shared" si="226"/>
        <v>-84</v>
      </c>
      <c r="BT31" s="203">
        <f t="shared" si="226"/>
        <v>-83</v>
      </c>
      <c r="BU31" s="1448">
        <f t="shared" si="226"/>
        <v>-59</v>
      </c>
      <c r="BV31" s="203">
        <f t="shared" si="226"/>
        <v>-129</v>
      </c>
      <c r="BW31" s="203">
        <f t="shared" si="226"/>
        <v>-142</v>
      </c>
      <c r="BX31" s="1461">
        <f t="shared" si="223"/>
        <v>-271</v>
      </c>
      <c r="BY31" s="203">
        <f t="shared" si="223"/>
        <v>-82</v>
      </c>
      <c r="BZ31" s="203">
        <f t="shared" si="223"/>
        <v>-90</v>
      </c>
      <c r="CA31" s="203">
        <f t="shared" si="223"/>
        <v>-61</v>
      </c>
      <c r="CB31" s="1448">
        <f t="shared" si="223"/>
        <v>-13</v>
      </c>
      <c r="CC31" s="203">
        <f t="shared" si="223"/>
        <v>-172</v>
      </c>
      <c r="CD31" s="203">
        <f t="shared" si="223"/>
        <v>-74</v>
      </c>
      <c r="CE31" s="1461">
        <f t="shared" si="223"/>
        <v>-246</v>
      </c>
      <c r="CF31" s="203">
        <f t="shared" si="223"/>
        <v>-76</v>
      </c>
      <c r="CG31" s="203">
        <f t="shared" si="223"/>
        <v>-60</v>
      </c>
      <c r="CH31" s="203">
        <f t="shared" si="223"/>
        <v>-30</v>
      </c>
      <c r="CI31" s="1448">
        <f t="shared" si="223"/>
        <v>-66</v>
      </c>
      <c r="CJ31" s="203">
        <f t="shared" si="223"/>
        <v>-136</v>
      </c>
      <c r="CK31" s="203">
        <f t="shared" si="223"/>
        <v>-96</v>
      </c>
      <c r="CL31" s="1461">
        <f t="shared" si="223"/>
        <v>-232</v>
      </c>
      <c r="CM31" s="203">
        <f t="shared" si="223"/>
        <v>-33</v>
      </c>
      <c r="CN31" s="203">
        <f t="shared" si="223"/>
        <v>-25</v>
      </c>
      <c r="CO31" s="203">
        <f t="shared" si="223"/>
        <v>51</v>
      </c>
      <c r="CP31" s="1448">
        <f t="shared" si="223"/>
        <v>-18</v>
      </c>
      <c r="CQ31" s="203">
        <f t="shared" si="223"/>
        <v>-58</v>
      </c>
      <c r="CR31" s="203">
        <f t="shared" si="223"/>
        <v>33</v>
      </c>
      <c r="CS31" s="1461">
        <f t="shared" ref="CS31:CW31" si="227">+CS29+CS30</f>
        <v>-25</v>
      </c>
      <c r="CT31" s="203">
        <f t="shared" si="227"/>
        <v>4</v>
      </c>
      <c r="CU31" s="203">
        <f t="shared" si="227"/>
        <v>-33</v>
      </c>
      <c r="CV31" s="203">
        <f t="shared" si="227"/>
        <v>-29</v>
      </c>
      <c r="CW31" s="1448">
        <f t="shared" si="227"/>
        <v>-40</v>
      </c>
      <c r="CX31" s="203">
        <f t="shared" ref="CX31:CY31" si="228">+CX29+CX30</f>
        <v>-29</v>
      </c>
      <c r="CY31" s="203">
        <f t="shared" si="228"/>
        <v>-69</v>
      </c>
      <c r="CZ31" s="1461">
        <f t="shared" si="223"/>
        <v>-98</v>
      </c>
      <c r="DA31" s="203">
        <f t="shared" si="223"/>
        <v>20</v>
      </c>
      <c r="DB31" s="203">
        <f t="shared" si="223"/>
        <v>-23</v>
      </c>
      <c r="DC31" s="203">
        <f t="shared" si="223"/>
        <v>-24</v>
      </c>
      <c r="DD31" s="1448">
        <f t="shared" si="223"/>
        <v>-33</v>
      </c>
      <c r="DE31" s="203">
        <f t="shared" ref="DE31:DI31" si="229">+DE29+DE30</f>
        <v>-3</v>
      </c>
      <c r="DF31" s="203">
        <f t="shared" si="229"/>
        <v>-57</v>
      </c>
      <c r="DG31" s="1269">
        <f t="shared" si="229"/>
        <v>-60</v>
      </c>
      <c r="DH31" s="203">
        <f t="shared" si="229"/>
        <v>1</v>
      </c>
      <c r="DI31" s="203">
        <f t="shared" si="229"/>
        <v>-20</v>
      </c>
      <c r="DJ31" s="860">
        <f t="shared" ref="DJ31:DM31" si="230">+DJ29+DJ30</f>
        <v>-77.356250000000017</v>
      </c>
      <c r="DK31" s="1109">
        <f t="shared" si="230"/>
        <v>-116.64374999999998</v>
      </c>
      <c r="DL31" s="1892">
        <f t="shared" si="230"/>
        <v>-19</v>
      </c>
      <c r="DM31" s="860">
        <f t="shared" si="230"/>
        <v>-194</v>
      </c>
      <c r="DN31" s="1119">
        <f t="shared" si="223"/>
        <v>-213</v>
      </c>
      <c r="DO31" s="860">
        <f t="shared" si="223"/>
        <v>-41.723029435846058</v>
      </c>
      <c r="DP31" s="860">
        <f t="shared" si="223"/>
        <v>-41.723029435846058</v>
      </c>
      <c r="DQ31" s="860">
        <f t="shared" si="223"/>
        <v>-56.256892775794768</v>
      </c>
      <c r="DR31" s="1109">
        <f t="shared" si="223"/>
        <v>-27.189166095897349</v>
      </c>
      <c r="DS31" s="860">
        <f t="shared" si="223"/>
        <v>-83.446058871692117</v>
      </c>
      <c r="DT31" s="860">
        <f t="shared" si="223"/>
        <v>-83.446058871692117</v>
      </c>
      <c r="DU31" s="1119">
        <f t="shared" si="223"/>
        <v>-166.89211774338423</v>
      </c>
      <c r="DV31" s="860">
        <f t="shared" si="223"/>
        <v>-26.548347279905954</v>
      </c>
      <c r="DW31" s="860">
        <f t="shared" si="223"/>
        <v>-26.548347279905954</v>
      </c>
      <c r="DX31" s="860">
        <f t="shared" si="223"/>
        <v>-35.662927299329056</v>
      </c>
      <c r="DY31" s="1109">
        <f t="shared" si="223"/>
        <v>-17.433767260482853</v>
      </c>
      <c r="DZ31" s="860">
        <f t="shared" si="223"/>
        <v>-53.096694559811908</v>
      </c>
      <c r="EA31" s="860">
        <f t="shared" si="223"/>
        <v>-53.096694559811908</v>
      </c>
      <c r="EB31" s="1119">
        <f t="shared" si="223"/>
        <v>-106.19338911962382</v>
      </c>
      <c r="EC31" s="860">
        <f t="shared" si="223"/>
        <v>0.94350656456362003</v>
      </c>
      <c r="ED31" s="860">
        <f t="shared" si="223"/>
        <v>0.94350656456362003</v>
      </c>
      <c r="EE31" s="860">
        <f t="shared" si="223"/>
        <v>-9.1666633746674506</v>
      </c>
      <c r="EF31" s="1109">
        <f t="shared" si="223"/>
        <v>11.053676503794691</v>
      </c>
      <c r="EG31" s="860">
        <f t="shared" si="223"/>
        <v>1.8870131291272401</v>
      </c>
      <c r="EH31" s="860">
        <f t="shared" si="223"/>
        <v>1.8870131291272401</v>
      </c>
      <c r="EI31" s="1119">
        <f t="shared" si="223"/>
        <v>3.7740262582544801</v>
      </c>
      <c r="EJ31" s="860">
        <f t="shared" si="223"/>
        <v>28.951646797694764</v>
      </c>
      <c r="EK31" s="860">
        <f t="shared" si="223"/>
        <v>28.951646797694764</v>
      </c>
      <c r="EL31" s="860">
        <f t="shared" si="223"/>
        <v>29.235673068195183</v>
      </c>
      <c r="EM31" s="1109">
        <f t="shared" si="223"/>
        <v>28.667620527194345</v>
      </c>
      <c r="EN31" s="860">
        <f t="shared" si="223"/>
        <v>57.903293595389528</v>
      </c>
      <c r="EO31" s="860">
        <f t="shared" si="223"/>
        <v>57.903293595389528</v>
      </c>
      <c r="EP31" s="1119">
        <f t="shared" si="223"/>
        <v>115.80658719077906</v>
      </c>
      <c r="EQ31" s="43"/>
      <c r="ER31" s="46"/>
    </row>
    <row r="32" spans="1:148" ht="10.199999999999999" customHeight="1">
      <c r="A32" s="51" t="s">
        <v>458</v>
      </c>
      <c r="B32" s="51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1452"/>
      <c r="R32" s="202"/>
      <c r="S32" s="202"/>
      <c r="T32" s="1464"/>
      <c r="U32" s="202"/>
      <c r="V32" s="202"/>
      <c r="W32" s="202"/>
      <c r="X32" s="1452"/>
      <c r="Y32" s="202"/>
      <c r="Z32" s="202"/>
      <c r="AA32" s="1464"/>
      <c r="AB32" s="202"/>
      <c r="AC32" s="202"/>
      <c r="AD32" s="202"/>
      <c r="AE32" s="1452"/>
      <c r="AF32" s="202"/>
      <c r="AG32" s="202"/>
      <c r="AH32" s="1464"/>
      <c r="AI32" s="202"/>
      <c r="AJ32" s="202"/>
      <c r="AK32" s="202"/>
      <c r="AL32" s="1452"/>
      <c r="AM32" s="202"/>
      <c r="AN32" s="202"/>
      <c r="AO32" s="1464"/>
      <c r="AP32" s="202"/>
      <c r="AQ32" s="202"/>
      <c r="AR32" s="202"/>
      <c r="AS32" s="1452"/>
      <c r="AT32" s="202"/>
      <c r="AU32" s="202"/>
      <c r="AV32" s="1464"/>
      <c r="AW32" s="202"/>
      <c r="AX32" s="202"/>
      <c r="AY32" s="202"/>
      <c r="AZ32" s="1452"/>
      <c r="BA32" s="202"/>
      <c r="BB32" s="202"/>
      <c r="BC32" s="1464"/>
      <c r="BD32" s="202"/>
      <c r="BE32" s="202"/>
      <c r="BF32" s="202"/>
      <c r="BG32" s="1452"/>
      <c r="BH32" s="202"/>
      <c r="BI32" s="202"/>
      <c r="BJ32" s="1464"/>
      <c r="BK32" s="202"/>
      <c r="BL32" s="202"/>
      <c r="BM32" s="202"/>
      <c r="BN32" s="1452"/>
      <c r="BO32" s="202"/>
      <c r="BP32" s="202"/>
      <c r="BQ32" s="1464"/>
      <c r="BR32" s="202"/>
      <c r="BS32" s="202"/>
      <c r="BT32" s="202"/>
      <c r="BU32" s="1452"/>
      <c r="BV32" s="202"/>
      <c r="BW32" s="202"/>
      <c r="BX32" s="1464"/>
      <c r="BY32" s="202"/>
      <c r="BZ32" s="202"/>
      <c r="CA32" s="202"/>
      <c r="CB32" s="1452"/>
      <c r="CC32" s="202"/>
      <c r="CD32" s="202"/>
      <c r="CE32" s="1464"/>
      <c r="CF32" s="202"/>
      <c r="CG32" s="202"/>
      <c r="CH32" s="202"/>
      <c r="CI32" s="1452"/>
      <c r="CJ32" s="202"/>
      <c r="CK32" s="202"/>
      <c r="CL32" s="1464"/>
      <c r="CM32" s="202">
        <v>0</v>
      </c>
      <c r="CN32" s="203">
        <f t="shared" ref="CN32" si="231">CQ32-CM32</f>
        <v>0</v>
      </c>
      <c r="CO32" s="202">
        <v>0</v>
      </c>
      <c r="CP32" s="1095">
        <f>CR32-CO32</f>
        <v>0</v>
      </c>
      <c r="CQ32" s="202">
        <v>0</v>
      </c>
      <c r="CR32" s="834">
        <f>CS32-CQ32</f>
        <v>0</v>
      </c>
      <c r="CS32" s="1464">
        <v>0</v>
      </c>
      <c r="CT32" s="202">
        <v>0</v>
      </c>
      <c r="CU32" s="203">
        <f t="shared" si="220"/>
        <v>0</v>
      </c>
      <c r="CV32" s="202">
        <v>0</v>
      </c>
      <c r="CW32" s="1095">
        <f>CY32-CV32</f>
        <v>0</v>
      </c>
      <c r="CX32" s="202">
        <v>0</v>
      </c>
      <c r="CY32" s="834">
        <f>CZ32-CX32</f>
        <v>0</v>
      </c>
      <c r="CZ32" s="1464">
        <v>0</v>
      </c>
      <c r="DA32" s="202">
        <v>0</v>
      </c>
      <c r="DB32" s="203">
        <f t="shared" si="221"/>
        <v>0</v>
      </c>
      <c r="DC32" s="202">
        <v>0</v>
      </c>
      <c r="DD32" s="1095">
        <f>DF32-DC32</f>
        <v>0</v>
      </c>
      <c r="DE32" s="202">
        <v>0</v>
      </c>
      <c r="DF32" s="834">
        <f>DG32-DE32</f>
        <v>0</v>
      </c>
      <c r="DG32" s="1551">
        <v>0</v>
      </c>
      <c r="DH32" s="202">
        <v>0</v>
      </c>
      <c r="DI32" s="203">
        <f t="shared" si="222"/>
        <v>0</v>
      </c>
      <c r="DJ32" s="326">
        <f>DM32/2</f>
        <v>0</v>
      </c>
      <c r="DK32" s="1109">
        <f>DM32-DJ32</f>
        <v>0</v>
      </c>
      <c r="DL32" s="2054">
        <v>0</v>
      </c>
      <c r="DM32" s="860">
        <f>DN32-DL32</f>
        <v>0</v>
      </c>
      <c r="DN32" s="1488">
        <f>DG32</f>
        <v>0</v>
      </c>
      <c r="DO32" s="326">
        <f>DS32/2</f>
        <v>0</v>
      </c>
      <c r="DP32" s="860">
        <f t="shared" ref="DP32" si="232">DS32-DO32</f>
        <v>0</v>
      </c>
      <c r="DQ32" s="326">
        <f>DT32/2</f>
        <v>0</v>
      </c>
      <c r="DR32" s="1109">
        <f>DT32-DQ32</f>
        <v>0</v>
      </c>
      <c r="DS32" s="326">
        <f>DU32/2</f>
        <v>0</v>
      </c>
      <c r="DT32" s="860">
        <f>DU32-DS32</f>
        <v>0</v>
      </c>
      <c r="DU32" s="1488">
        <f>DN32</f>
        <v>0</v>
      </c>
      <c r="DV32" s="326">
        <f>DZ32/2</f>
        <v>0</v>
      </c>
      <c r="DW32" s="860">
        <f t="shared" ref="DW32" si="233">DZ32-DV32</f>
        <v>0</v>
      </c>
      <c r="DX32" s="326">
        <f>EA32/2</f>
        <v>0</v>
      </c>
      <c r="DY32" s="1109">
        <f>EA32-DX32</f>
        <v>0</v>
      </c>
      <c r="DZ32" s="326">
        <f>EB32/2</f>
        <v>0</v>
      </c>
      <c r="EA32" s="860">
        <f>EB32-DZ32</f>
        <v>0</v>
      </c>
      <c r="EB32" s="1488">
        <f>DU32</f>
        <v>0</v>
      </c>
      <c r="EC32" s="326">
        <f>EG32/2</f>
        <v>0</v>
      </c>
      <c r="ED32" s="860">
        <f t="shared" ref="ED32" si="234">EG32-EC32</f>
        <v>0</v>
      </c>
      <c r="EE32" s="326">
        <f>EH32/2</f>
        <v>0</v>
      </c>
      <c r="EF32" s="1109">
        <f>EH32-EE32</f>
        <v>0</v>
      </c>
      <c r="EG32" s="326">
        <f>EI32/2</f>
        <v>0</v>
      </c>
      <c r="EH32" s="860">
        <f>EI32-EG32</f>
        <v>0</v>
      </c>
      <c r="EI32" s="1488">
        <f>EB32</f>
        <v>0</v>
      </c>
      <c r="EJ32" s="326">
        <f>EN32/2</f>
        <v>0</v>
      </c>
      <c r="EK32" s="860">
        <f t="shared" ref="EK32" si="235">EN32-EJ32</f>
        <v>0</v>
      </c>
      <c r="EL32" s="326">
        <f>EO32/2</f>
        <v>0</v>
      </c>
      <c r="EM32" s="1109">
        <f>EO32-EL32</f>
        <v>0</v>
      </c>
      <c r="EN32" s="326">
        <f>EP32/2</f>
        <v>0</v>
      </c>
      <c r="EO32" s="860">
        <f>EP32-EN32</f>
        <v>0</v>
      </c>
      <c r="EP32" s="1488">
        <f t="shared" ref="EP32" si="236">EI32</f>
        <v>0</v>
      </c>
      <c r="EQ32" s="51"/>
      <c r="ER32" s="46"/>
    </row>
    <row r="33" spans="1:148" ht="10.199999999999999" customHeight="1">
      <c r="A33" s="51" t="s">
        <v>459</v>
      </c>
      <c r="B33" s="51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1452"/>
      <c r="R33" s="202"/>
      <c r="S33" s="202"/>
      <c r="T33" s="1464"/>
      <c r="U33" s="202"/>
      <c r="V33" s="202"/>
      <c r="W33" s="202"/>
      <c r="X33" s="1452"/>
      <c r="Y33" s="202"/>
      <c r="Z33" s="202"/>
      <c r="AA33" s="1464"/>
      <c r="AB33" s="202"/>
      <c r="AC33" s="202"/>
      <c r="AD33" s="202"/>
      <c r="AE33" s="1452"/>
      <c r="AF33" s="202"/>
      <c r="AG33" s="202"/>
      <c r="AH33" s="1464"/>
      <c r="AI33" s="202"/>
      <c r="AJ33" s="202"/>
      <c r="AK33" s="202"/>
      <c r="AL33" s="1452"/>
      <c r="AM33" s="202"/>
      <c r="AN33" s="202"/>
      <c r="AO33" s="1464"/>
      <c r="AP33" s="202"/>
      <c r="AQ33" s="202"/>
      <c r="AR33" s="202"/>
      <c r="AS33" s="1452"/>
      <c r="AT33" s="202"/>
      <c r="AU33" s="202"/>
      <c r="AV33" s="1464"/>
      <c r="AW33" s="202"/>
      <c r="AX33" s="202"/>
      <c r="AY33" s="202"/>
      <c r="AZ33" s="1452"/>
      <c r="BA33" s="202"/>
      <c r="BB33" s="202"/>
      <c r="BC33" s="1464"/>
      <c r="BD33" s="202"/>
      <c r="BE33" s="202"/>
      <c r="BF33" s="202"/>
      <c r="BG33" s="1452"/>
      <c r="BH33" s="202"/>
      <c r="BI33" s="202"/>
      <c r="BJ33" s="1464"/>
      <c r="BK33" s="202"/>
      <c r="BL33" s="202"/>
      <c r="BM33" s="202"/>
      <c r="BN33" s="1452"/>
      <c r="BO33" s="202"/>
      <c r="BP33" s="202"/>
      <c r="BQ33" s="1464"/>
      <c r="BR33" s="202"/>
      <c r="BS33" s="202"/>
      <c r="BT33" s="202"/>
      <c r="BU33" s="1452"/>
      <c r="BV33" s="202"/>
      <c r="BW33" s="202"/>
      <c r="BX33" s="1464"/>
      <c r="BY33" s="202"/>
      <c r="BZ33" s="202"/>
      <c r="CA33" s="202"/>
      <c r="CB33" s="1452"/>
      <c r="CC33" s="202"/>
      <c r="CD33" s="202"/>
      <c r="CE33" s="1464"/>
      <c r="CF33" s="202"/>
      <c r="CG33" s="202"/>
      <c r="CH33" s="202"/>
      <c r="CI33" s="1452"/>
      <c r="CJ33" s="202"/>
      <c r="CK33" s="202"/>
      <c r="CL33" s="1464"/>
      <c r="CM33" s="202"/>
      <c r="CN33" s="202"/>
      <c r="CO33" s="202"/>
      <c r="CP33" s="1452"/>
      <c r="CQ33" s="202"/>
      <c r="CR33" s="202"/>
      <c r="CS33" s="1464"/>
      <c r="CT33" s="202"/>
      <c r="CU33" s="202"/>
      <c r="CV33" s="202"/>
      <c r="CW33" s="1452"/>
      <c r="CX33" s="202"/>
      <c r="CY33" s="202"/>
      <c r="CZ33" s="1464"/>
      <c r="DA33" s="202"/>
      <c r="DB33" s="202"/>
      <c r="DC33" s="1412"/>
      <c r="DD33" s="1452"/>
      <c r="DE33" s="202"/>
      <c r="DF33" s="202"/>
      <c r="DG33" s="1464"/>
      <c r="DH33" s="202"/>
      <c r="DI33" s="202"/>
      <c r="DJ33" s="1412"/>
      <c r="DK33" s="1452"/>
      <c r="DL33" s="2016"/>
      <c r="DM33" s="202"/>
      <c r="DN33" s="1489"/>
      <c r="DO33" s="1412"/>
      <c r="DP33" s="1412"/>
      <c r="DQ33" s="1412"/>
      <c r="DR33" s="1452"/>
      <c r="DS33" s="1412"/>
      <c r="DT33" s="202"/>
      <c r="DU33" s="1489"/>
      <c r="DV33" s="1412"/>
      <c r="DW33" s="1412"/>
      <c r="DX33" s="1412"/>
      <c r="DY33" s="1452"/>
      <c r="DZ33" s="1412"/>
      <c r="EA33" s="202"/>
      <c r="EB33" s="1489"/>
      <c r="EC33" s="1412"/>
      <c r="ED33" s="1412"/>
      <c r="EE33" s="1412"/>
      <c r="EF33" s="1452"/>
      <c r="EG33" s="1412"/>
      <c r="EH33" s="202"/>
      <c r="EI33" s="1489"/>
      <c r="EJ33" s="1412"/>
      <c r="EK33" s="1412"/>
      <c r="EL33" s="1412"/>
      <c r="EM33" s="1452"/>
      <c r="EN33" s="1412"/>
      <c r="EO33" s="202"/>
      <c r="EP33" s="1489"/>
      <c r="EQ33" s="51"/>
      <c r="ER33" s="46"/>
    </row>
    <row r="34" spans="1:148" ht="10.199999999999999" customHeight="1">
      <c r="A34" s="51" t="s">
        <v>460</v>
      </c>
      <c r="B34" s="51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1452"/>
      <c r="R34" s="202"/>
      <c r="S34" s="202"/>
      <c r="T34" s="1464"/>
      <c r="U34" s="202"/>
      <c r="V34" s="202"/>
      <c r="W34" s="202"/>
      <c r="X34" s="1452"/>
      <c r="Y34" s="202"/>
      <c r="Z34" s="202"/>
      <c r="AA34" s="1464"/>
      <c r="AB34" s="202"/>
      <c r="AC34" s="202"/>
      <c r="AD34" s="202"/>
      <c r="AE34" s="1452"/>
      <c r="AF34" s="202"/>
      <c r="AG34" s="202"/>
      <c r="AH34" s="1464"/>
      <c r="AI34" s="202"/>
      <c r="AJ34" s="202"/>
      <c r="AK34" s="202"/>
      <c r="AL34" s="1452"/>
      <c r="AM34" s="202"/>
      <c r="AN34" s="202"/>
      <c r="AO34" s="1464"/>
      <c r="AP34" s="202"/>
      <c r="AQ34" s="202"/>
      <c r="AR34" s="202"/>
      <c r="AS34" s="1452"/>
      <c r="AT34" s="202"/>
      <c r="AU34" s="202"/>
      <c r="AV34" s="1464"/>
      <c r="AW34" s="202"/>
      <c r="AX34" s="202"/>
      <c r="AY34" s="202"/>
      <c r="AZ34" s="1452"/>
      <c r="BA34" s="202"/>
      <c r="BB34" s="202"/>
      <c r="BC34" s="1464"/>
      <c r="BD34" s="202"/>
      <c r="BE34" s="202"/>
      <c r="BF34" s="202"/>
      <c r="BG34" s="1452"/>
      <c r="BH34" s="202"/>
      <c r="BI34" s="202"/>
      <c r="BJ34" s="1464"/>
      <c r="BK34" s="202"/>
      <c r="BL34" s="202"/>
      <c r="BM34" s="202"/>
      <c r="BN34" s="1452"/>
      <c r="BO34" s="202"/>
      <c r="BP34" s="202"/>
      <c r="BQ34" s="1464"/>
      <c r="BR34" s="202"/>
      <c r="BS34" s="202"/>
      <c r="BT34" s="202"/>
      <c r="BU34" s="1452"/>
      <c r="BV34" s="202"/>
      <c r="BW34" s="202"/>
      <c r="BX34" s="1464"/>
      <c r="BY34" s="202"/>
      <c r="BZ34" s="202"/>
      <c r="CA34" s="202"/>
      <c r="CB34" s="1452"/>
      <c r="CC34" s="202"/>
      <c r="CD34" s="202"/>
      <c r="CE34" s="1464"/>
      <c r="CF34" s="202"/>
      <c r="CG34" s="202"/>
      <c r="CH34" s="202"/>
      <c r="CI34" s="1452"/>
      <c r="CJ34" s="202"/>
      <c r="CK34" s="202"/>
      <c r="CL34" s="1464"/>
      <c r="CM34" s="202"/>
      <c r="CN34" s="202"/>
      <c r="CO34" s="202"/>
      <c r="CP34" s="1452"/>
      <c r="CQ34" s="202"/>
      <c r="CR34" s="202"/>
      <c r="CS34" s="1464"/>
      <c r="CT34" s="202">
        <v>225</v>
      </c>
      <c r="CU34" s="203">
        <f t="shared" si="220"/>
        <v>-305</v>
      </c>
      <c r="CV34" s="202">
        <f>-35-CT34-CU34</f>
        <v>45</v>
      </c>
      <c r="CW34" s="1448">
        <f>CY34-CV34</f>
        <v>253</v>
      </c>
      <c r="CX34" s="1073">
        <v>-80</v>
      </c>
      <c r="CY34" s="202">
        <f>CZ34-CX34</f>
        <v>298</v>
      </c>
      <c r="CZ34" s="1464">
        <v>218</v>
      </c>
      <c r="DA34" s="202">
        <v>593</v>
      </c>
      <c r="DB34" s="203">
        <f t="shared" si="221"/>
        <v>-113</v>
      </c>
      <c r="DC34" s="2081">
        <v>-99</v>
      </c>
      <c r="DD34" s="1448">
        <f>DF34-DC34</f>
        <v>-75</v>
      </c>
      <c r="DE34" s="2089">
        <v>480</v>
      </c>
      <c r="DF34" s="202">
        <f>DG34-DE34</f>
        <v>-174</v>
      </c>
      <c r="DG34" s="1464">
        <v>306</v>
      </c>
      <c r="DH34" s="202">
        <v>453</v>
      </c>
      <c r="DI34" s="203">
        <f t="shared" si="222"/>
        <v>-272</v>
      </c>
      <c r="DJ34" s="1391">
        <v>0</v>
      </c>
      <c r="DK34" s="1109">
        <f>DM34-DJ34</f>
        <v>0</v>
      </c>
      <c r="DL34" s="2016">
        <v>181</v>
      </c>
      <c r="DM34" s="860">
        <f>DN34-DL34</f>
        <v>0</v>
      </c>
      <c r="DN34" s="1490">
        <v>181</v>
      </c>
      <c r="DO34" s="1391"/>
      <c r="DP34" s="1411"/>
      <c r="DQ34" s="1391"/>
      <c r="DR34" s="1109"/>
      <c r="DS34" s="1391"/>
      <c r="DT34" s="860"/>
      <c r="DU34" s="1489"/>
      <c r="DV34" s="1391"/>
      <c r="DW34" s="1411"/>
      <c r="DX34" s="1391"/>
      <c r="DY34" s="1109"/>
      <c r="DZ34" s="1391"/>
      <c r="EA34" s="860"/>
      <c r="EB34" s="1489"/>
      <c r="EC34" s="1391"/>
      <c r="ED34" s="1411"/>
      <c r="EE34" s="1391"/>
      <c r="EF34" s="1109"/>
      <c r="EG34" s="1391"/>
      <c r="EH34" s="860"/>
      <c r="EI34" s="1489"/>
      <c r="EJ34" s="1391"/>
      <c r="EK34" s="1411"/>
      <c r="EL34" s="1391"/>
      <c r="EM34" s="1109"/>
      <c r="EN34" s="1391"/>
      <c r="EO34" s="860"/>
      <c r="EP34" s="1489"/>
      <c r="EQ34" s="51"/>
      <c r="ER34" s="46"/>
    </row>
    <row r="35" spans="1:148" ht="10.199999999999999" customHeight="1">
      <c r="A35" s="43" t="s">
        <v>240</v>
      </c>
      <c r="B35" s="108"/>
      <c r="C35" s="822">
        <v>21</v>
      </c>
      <c r="D35" s="822">
        <v>148</v>
      </c>
      <c r="E35" s="207">
        <v>-55</v>
      </c>
      <c r="F35" s="207">
        <v>-22</v>
      </c>
      <c r="G35" s="207">
        <v>-123</v>
      </c>
      <c r="H35" s="207">
        <v>-538</v>
      </c>
      <c r="I35" s="207">
        <v>-508</v>
      </c>
      <c r="J35" s="207">
        <v>-445</v>
      </c>
      <c r="K35" s="207">
        <v>-272</v>
      </c>
      <c r="L35" s="207">
        <v>-233</v>
      </c>
      <c r="M35" s="207">
        <v>-168</v>
      </c>
      <c r="N35" s="1442">
        <v>-187</v>
      </c>
      <c r="O35" s="1442">
        <f>R35-N35</f>
        <v>-54</v>
      </c>
      <c r="P35" s="1442">
        <f>-172-R35</f>
        <v>69</v>
      </c>
      <c r="Q35" s="1450">
        <f>S35-P35</f>
        <v>-106</v>
      </c>
      <c r="R35" s="1442">
        <v>-241</v>
      </c>
      <c r="S35" s="1442">
        <f>T35-R35</f>
        <v>-37</v>
      </c>
      <c r="T35" s="1463">
        <v>-278</v>
      </c>
      <c r="U35" s="1442">
        <v>-13</v>
      </c>
      <c r="V35" s="1442">
        <f>Y35-U35</f>
        <v>-50</v>
      </c>
      <c r="W35" s="1442">
        <f>-334-Y35</f>
        <v>-271</v>
      </c>
      <c r="X35" s="1450">
        <f>Z35-W35</f>
        <v>-124</v>
      </c>
      <c r="Y35" s="1442">
        <v>-63</v>
      </c>
      <c r="Z35" s="1442">
        <f>AA35-Y35</f>
        <v>-395</v>
      </c>
      <c r="AA35" s="1463">
        <v>-458</v>
      </c>
      <c r="AB35" s="1442">
        <v>-260</v>
      </c>
      <c r="AC35" s="1442">
        <f>AF35-AB35</f>
        <v>105</v>
      </c>
      <c r="AD35" s="1442">
        <f>-238-AF35</f>
        <v>-83</v>
      </c>
      <c r="AE35" s="1450">
        <f>AG35-AD35</f>
        <v>-81</v>
      </c>
      <c r="AF35" s="1442">
        <v>-155</v>
      </c>
      <c r="AG35" s="1442">
        <f>AH35-AF35</f>
        <v>-164</v>
      </c>
      <c r="AH35" s="1463">
        <v>-319</v>
      </c>
      <c r="AI35" s="1442">
        <v>261</v>
      </c>
      <c r="AJ35" s="1442">
        <f>AM35-AI35</f>
        <v>-312</v>
      </c>
      <c r="AK35" s="1442">
        <f>-139-AM35</f>
        <v>-88</v>
      </c>
      <c r="AL35" s="1450">
        <f>AN35-AK35</f>
        <v>-553</v>
      </c>
      <c r="AM35" s="1442">
        <v>-51</v>
      </c>
      <c r="AN35" s="1442">
        <f>AO35-AM35</f>
        <v>-641</v>
      </c>
      <c r="AO35" s="1463">
        <v>-692</v>
      </c>
      <c r="AP35" s="1442">
        <v>-118</v>
      </c>
      <c r="AQ35" s="1442">
        <f>+AT35-AP35</f>
        <v>354</v>
      </c>
      <c r="AR35" s="1442">
        <v>107</v>
      </c>
      <c r="AS35" s="1450">
        <f>AU35-AR35</f>
        <v>1134</v>
      </c>
      <c r="AT35" s="1442">
        <v>236</v>
      </c>
      <c r="AU35" s="1442">
        <f>AV35-AT35</f>
        <v>1241</v>
      </c>
      <c r="AV35" s="1463">
        <v>1477</v>
      </c>
      <c r="AW35" s="1442">
        <v>-118</v>
      </c>
      <c r="AX35" s="1442">
        <f>+BA35-AW35</f>
        <v>360</v>
      </c>
      <c r="AY35" s="1442">
        <f>352-BA35</f>
        <v>110</v>
      </c>
      <c r="AZ35" s="1450">
        <f>BB35-AY35</f>
        <v>1137</v>
      </c>
      <c r="BA35" s="1442">
        <v>242</v>
      </c>
      <c r="BB35" s="1442">
        <f>BC35-BA35</f>
        <v>1247</v>
      </c>
      <c r="BC35" s="1463">
        <v>1489</v>
      </c>
      <c r="BD35" s="1442">
        <v>102</v>
      </c>
      <c r="BE35" s="1442">
        <f>BH35-BD35</f>
        <v>-293</v>
      </c>
      <c r="BF35" s="1442">
        <f>-190-BH35</f>
        <v>1</v>
      </c>
      <c r="BG35" s="1450">
        <f>BI35-BF35</f>
        <v>-341</v>
      </c>
      <c r="BH35" s="1442">
        <v>-191</v>
      </c>
      <c r="BI35" s="1442">
        <f>BJ35-BH35</f>
        <v>-340</v>
      </c>
      <c r="BJ35" s="1463">
        <v>-531</v>
      </c>
      <c r="BK35" s="1442">
        <v>-7</v>
      </c>
      <c r="BL35" s="1442">
        <f>BO35-BK35</f>
        <v>-108</v>
      </c>
      <c r="BM35" s="1442">
        <f>-110-BO35</f>
        <v>5</v>
      </c>
      <c r="BN35" s="1450">
        <f>BP35-BM35</f>
        <v>-54</v>
      </c>
      <c r="BO35" s="1442">
        <f>-115</f>
        <v>-115</v>
      </c>
      <c r="BP35" s="1442">
        <f>BQ35-BO35</f>
        <v>-49</v>
      </c>
      <c r="BQ35" s="1463">
        <v>-164</v>
      </c>
      <c r="BR35" s="1442">
        <v>-432</v>
      </c>
      <c r="BS35" s="1442">
        <v>132</v>
      </c>
      <c r="BT35" s="1442">
        <f>-500-BV35</f>
        <v>-200</v>
      </c>
      <c r="BU35" s="1450">
        <f>BW35-BT35</f>
        <v>151</v>
      </c>
      <c r="BV35" s="1442">
        <f>BR35+BS35</f>
        <v>-300</v>
      </c>
      <c r="BW35" s="1442">
        <f>BX35-BV35</f>
        <v>-49</v>
      </c>
      <c r="BX35" s="1463">
        <v>-349</v>
      </c>
      <c r="BY35" s="1442">
        <v>141</v>
      </c>
      <c r="BZ35" s="1442">
        <f>CC35-BY35</f>
        <v>1</v>
      </c>
      <c r="CA35" s="1442">
        <f>61-BY35-BZ35</f>
        <v>-81</v>
      </c>
      <c r="CB35" s="1450">
        <f>CD35-CA35</f>
        <v>-130</v>
      </c>
      <c r="CC35" s="1442">
        <v>142</v>
      </c>
      <c r="CD35" s="1442">
        <f>CE35-CC35</f>
        <v>-211</v>
      </c>
      <c r="CE35" s="1463">
        <v>-69</v>
      </c>
      <c r="CF35" s="1442">
        <v>242</v>
      </c>
      <c r="CG35" s="1442">
        <f>+CJ35-CF35</f>
        <v>1</v>
      </c>
      <c r="CH35" s="1442">
        <f>-140-CF35-CG35</f>
        <v>-383</v>
      </c>
      <c r="CI35" s="1450">
        <f>CK35-CH35</f>
        <v>122</v>
      </c>
      <c r="CJ35" s="1442">
        <v>243</v>
      </c>
      <c r="CK35" s="1442">
        <f>CL35-CJ35</f>
        <v>-261</v>
      </c>
      <c r="CL35" s="1463">
        <v>-18</v>
      </c>
      <c r="CM35" s="1442">
        <v>182</v>
      </c>
      <c r="CN35" s="1442">
        <f>CQ35-CM35</f>
        <v>-22</v>
      </c>
      <c r="CO35" s="1442">
        <v>78</v>
      </c>
      <c r="CP35" s="1450">
        <f>CR35-CO35</f>
        <v>-47</v>
      </c>
      <c r="CQ35" s="1442">
        <v>160</v>
      </c>
      <c r="CR35" s="1442">
        <f>CS35-CQ35</f>
        <v>31</v>
      </c>
      <c r="CS35" s="1463">
        <v>191</v>
      </c>
      <c r="CT35" s="1442">
        <v>225</v>
      </c>
      <c r="CU35" s="1442">
        <f t="shared" si="220"/>
        <v>-304</v>
      </c>
      <c r="CV35" s="1564">
        <v>45</v>
      </c>
      <c r="CW35" s="1450">
        <f>CY35-CV35</f>
        <v>253</v>
      </c>
      <c r="CX35" s="1442">
        <v>-79</v>
      </c>
      <c r="CY35" s="1442">
        <f>CZ35-CX35</f>
        <v>298</v>
      </c>
      <c r="CZ35" s="1463">
        <v>219</v>
      </c>
      <c r="DA35" s="1442">
        <v>601</v>
      </c>
      <c r="DB35" s="1442">
        <f t="shared" si="221"/>
        <v>-108</v>
      </c>
      <c r="DC35" s="2088">
        <v>-92</v>
      </c>
      <c r="DD35" s="1450">
        <f>DF35-DC35</f>
        <v>-73</v>
      </c>
      <c r="DE35" s="2088">
        <v>493</v>
      </c>
      <c r="DF35" s="1442">
        <f>DG35-DE35</f>
        <v>-165</v>
      </c>
      <c r="DG35" s="1598">
        <v>328</v>
      </c>
      <c r="DH35" s="1442">
        <v>465</v>
      </c>
      <c r="DI35" s="1442">
        <f t="shared" si="222"/>
        <v>-260</v>
      </c>
      <c r="DJ35" s="1410">
        <f t="shared" ref="DJ35" si="237">DJ32+DJ33+DJ34</f>
        <v>0</v>
      </c>
      <c r="DK35" s="1516">
        <f>DM35-DJ35</f>
        <v>-24</v>
      </c>
      <c r="DL35" s="2019">
        <v>205</v>
      </c>
      <c r="DM35" s="1410">
        <f>DN35-DL35</f>
        <v>-24</v>
      </c>
      <c r="DN35" s="1487">
        <f t="shared" ref="DN35:EP35" si="238">DN32+DN33+DN34</f>
        <v>181</v>
      </c>
      <c r="DO35" s="1410">
        <f t="shared" ref="DO35" si="239">DO32+DO33+DO34</f>
        <v>0</v>
      </c>
      <c r="DP35" s="1410">
        <f t="shared" ref="DP35" si="240">DS35-DO35</f>
        <v>0</v>
      </c>
      <c r="DQ35" s="1410">
        <f t="shared" ref="DQ35" si="241">DQ32+DQ33+DQ34</f>
        <v>0</v>
      </c>
      <c r="DR35" s="1516">
        <f>DT35-DQ35</f>
        <v>0</v>
      </c>
      <c r="DS35" s="1410">
        <f t="shared" ref="DS35" si="242">DS32+DS33+DS34</f>
        <v>0</v>
      </c>
      <c r="DT35" s="1410">
        <f>DU35-DS35</f>
        <v>0</v>
      </c>
      <c r="DU35" s="1487">
        <f t="shared" si="238"/>
        <v>0</v>
      </c>
      <c r="DV35" s="1410">
        <f t="shared" ref="DV35" si="243">DV32+DV33+DV34</f>
        <v>0</v>
      </c>
      <c r="DW35" s="1410">
        <f t="shared" ref="DW35" si="244">DZ35-DV35</f>
        <v>0</v>
      </c>
      <c r="DX35" s="1410">
        <f t="shared" ref="DX35" si="245">DX32+DX33+DX34</f>
        <v>0</v>
      </c>
      <c r="DY35" s="1516">
        <f>EA35-DX35</f>
        <v>0</v>
      </c>
      <c r="DZ35" s="1410">
        <f t="shared" ref="DZ35" si="246">DZ32+DZ33+DZ34</f>
        <v>0</v>
      </c>
      <c r="EA35" s="1410">
        <f>EB35-DZ35</f>
        <v>0</v>
      </c>
      <c r="EB35" s="1487">
        <f t="shared" si="238"/>
        <v>0</v>
      </c>
      <c r="EC35" s="1410">
        <f t="shared" ref="EC35" si="247">EC32+EC33+EC34</f>
        <v>0</v>
      </c>
      <c r="ED35" s="1410">
        <f t="shared" ref="ED35" si="248">EG35-EC35</f>
        <v>0</v>
      </c>
      <c r="EE35" s="1410">
        <f t="shared" ref="EE35" si="249">EE32+EE33+EE34</f>
        <v>0</v>
      </c>
      <c r="EF35" s="1516">
        <f>EH35-EE35</f>
        <v>0</v>
      </c>
      <c r="EG35" s="1410">
        <f t="shared" ref="EG35" si="250">EG32+EG33+EG34</f>
        <v>0</v>
      </c>
      <c r="EH35" s="1410">
        <f>EI35-EG35</f>
        <v>0</v>
      </c>
      <c r="EI35" s="1487">
        <f t="shared" si="238"/>
        <v>0</v>
      </c>
      <c r="EJ35" s="1410">
        <f t="shared" ref="EJ35" si="251">EJ32+EJ33+EJ34</f>
        <v>0</v>
      </c>
      <c r="EK35" s="1410">
        <f t="shared" ref="EK35" si="252">EN35-EJ35</f>
        <v>0</v>
      </c>
      <c r="EL35" s="1410">
        <f t="shared" ref="EL35" si="253">EL32+EL33+EL34</f>
        <v>0</v>
      </c>
      <c r="EM35" s="1516">
        <f>EO35-EL35</f>
        <v>0</v>
      </c>
      <c r="EN35" s="1410">
        <f t="shared" ref="EN35" si="254">EN32+EN33+EN34</f>
        <v>0</v>
      </c>
      <c r="EO35" s="1410">
        <f>EP35-EN35</f>
        <v>0</v>
      </c>
      <c r="EP35" s="1487">
        <f t="shared" si="238"/>
        <v>0</v>
      </c>
      <c r="EQ35" s="50"/>
      <c r="ER35" s="50"/>
    </row>
    <row r="36" spans="1:148" ht="10.199999999999999" customHeight="1">
      <c r="A36" s="43" t="s">
        <v>241</v>
      </c>
      <c r="B36" s="108"/>
      <c r="C36" s="203">
        <f>+C31+C35</f>
        <v>-60</v>
      </c>
      <c r="D36" s="203">
        <f>+D31+D35</f>
        <v>131</v>
      </c>
      <c r="E36" s="203">
        <f>+E31+E35</f>
        <v>-330</v>
      </c>
      <c r="F36" s="203">
        <f>F35+F31</f>
        <v>-177</v>
      </c>
      <c r="G36" s="203">
        <f>G35+G31</f>
        <v>-244</v>
      </c>
      <c r="H36" s="203">
        <f>H35+H31</f>
        <v>-737</v>
      </c>
      <c r="I36" s="203">
        <f>I35+I31</f>
        <v>-472</v>
      </c>
      <c r="J36" s="203">
        <f>J35+J31</f>
        <v>-592</v>
      </c>
      <c r="K36" s="203">
        <f t="shared" ref="K36:EP36" si="255">+K31+K35</f>
        <v>-371</v>
      </c>
      <c r="L36" s="203">
        <f t="shared" si="255"/>
        <v>-220</v>
      </c>
      <c r="M36" s="203">
        <f t="shared" si="255"/>
        <v>-453</v>
      </c>
      <c r="N36" s="203">
        <f t="shared" ref="N36:S36" si="256">+N31+N35</f>
        <v>-273</v>
      </c>
      <c r="O36" s="203">
        <f t="shared" si="256"/>
        <v>-144</v>
      </c>
      <c r="P36" s="203">
        <f t="shared" si="256"/>
        <v>-18</v>
      </c>
      <c r="Q36" s="1448">
        <f t="shared" si="256"/>
        <v>-175</v>
      </c>
      <c r="R36" s="203">
        <f t="shared" si="256"/>
        <v>-417</v>
      </c>
      <c r="S36" s="203">
        <f t="shared" si="256"/>
        <v>-193</v>
      </c>
      <c r="T36" s="1461">
        <f t="shared" si="255"/>
        <v>-610</v>
      </c>
      <c r="U36" s="203">
        <f t="shared" si="255"/>
        <v>-107</v>
      </c>
      <c r="V36" s="203">
        <f t="shared" si="255"/>
        <v>-145</v>
      </c>
      <c r="W36" s="203">
        <f t="shared" si="255"/>
        <v>-360</v>
      </c>
      <c r="X36" s="1448">
        <f t="shared" si="255"/>
        <v>-166</v>
      </c>
      <c r="Y36" s="203">
        <f t="shared" si="255"/>
        <v>-252</v>
      </c>
      <c r="Z36" s="203">
        <f t="shared" si="255"/>
        <v>-526</v>
      </c>
      <c r="AA36" s="1461">
        <f t="shared" si="255"/>
        <v>-778</v>
      </c>
      <c r="AB36" s="203">
        <f t="shared" si="255"/>
        <v>-366</v>
      </c>
      <c r="AC36" s="203">
        <f t="shared" si="255"/>
        <v>22</v>
      </c>
      <c r="AD36" s="203">
        <f t="shared" si="255"/>
        <v>-192</v>
      </c>
      <c r="AE36" s="1448">
        <f t="shared" si="255"/>
        <v>-151</v>
      </c>
      <c r="AF36" s="203">
        <f t="shared" si="255"/>
        <v>-344</v>
      </c>
      <c r="AG36" s="203">
        <f t="shared" si="255"/>
        <v>-343</v>
      </c>
      <c r="AH36" s="1461">
        <f t="shared" si="255"/>
        <v>-687</v>
      </c>
      <c r="AI36" s="203">
        <f t="shared" si="255"/>
        <v>193</v>
      </c>
      <c r="AJ36" s="203">
        <f t="shared" si="255"/>
        <v>-341</v>
      </c>
      <c r="AK36" s="203">
        <f t="shared" si="255"/>
        <v>-194</v>
      </c>
      <c r="AL36" s="1448">
        <f t="shared" si="255"/>
        <v>-625</v>
      </c>
      <c r="AM36" s="203">
        <f t="shared" si="255"/>
        <v>-148</v>
      </c>
      <c r="AN36" s="203">
        <f t="shared" si="255"/>
        <v>-819</v>
      </c>
      <c r="AO36" s="1461">
        <f t="shared" si="255"/>
        <v>-967</v>
      </c>
      <c r="AP36" s="203">
        <f t="shared" ref="AP36:AS36" si="257">+AP31+AP35</f>
        <v>-206</v>
      </c>
      <c r="AQ36" s="203">
        <f t="shared" si="257"/>
        <v>272</v>
      </c>
      <c r="AR36" s="203">
        <f t="shared" si="257"/>
        <v>26</v>
      </c>
      <c r="AS36" s="1448">
        <f t="shared" si="257"/>
        <v>1057</v>
      </c>
      <c r="AT36" s="203">
        <f t="shared" ref="AT36:AU36" si="258">+AT31+AT35</f>
        <v>66</v>
      </c>
      <c r="AU36" s="203">
        <f t="shared" si="258"/>
        <v>1083</v>
      </c>
      <c r="AV36" s="1461">
        <f t="shared" si="255"/>
        <v>1149</v>
      </c>
      <c r="AW36" s="203">
        <f t="shared" si="255"/>
        <v>-206</v>
      </c>
      <c r="AX36" s="203">
        <f t="shared" si="255"/>
        <v>278</v>
      </c>
      <c r="AY36" s="203">
        <f t="shared" si="255"/>
        <v>29</v>
      </c>
      <c r="AZ36" s="1448">
        <f t="shared" si="255"/>
        <v>1060</v>
      </c>
      <c r="BA36" s="203">
        <f t="shared" si="255"/>
        <v>72</v>
      </c>
      <c r="BB36" s="203">
        <f t="shared" si="255"/>
        <v>1089</v>
      </c>
      <c r="BC36" s="1461">
        <f t="shared" si="255"/>
        <v>1161</v>
      </c>
      <c r="BD36" s="203">
        <f t="shared" si="255"/>
        <v>39</v>
      </c>
      <c r="BE36" s="203">
        <f t="shared" si="255"/>
        <v>-342</v>
      </c>
      <c r="BF36" s="203">
        <f t="shared" si="255"/>
        <v>-110</v>
      </c>
      <c r="BG36" s="1448">
        <f t="shared" si="255"/>
        <v>-350</v>
      </c>
      <c r="BH36" s="203">
        <f t="shared" si="255"/>
        <v>-303</v>
      </c>
      <c r="BI36" s="203">
        <f t="shared" si="255"/>
        <v>-460</v>
      </c>
      <c r="BJ36" s="1461">
        <f t="shared" si="255"/>
        <v>-763</v>
      </c>
      <c r="BK36" s="203">
        <f t="shared" si="255"/>
        <v>-43</v>
      </c>
      <c r="BL36" s="203">
        <f t="shared" si="255"/>
        <v>-172</v>
      </c>
      <c r="BM36" s="203">
        <f t="shared" si="255"/>
        <v>-18</v>
      </c>
      <c r="BN36" s="1448">
        <f t="shared" si="255"/>
        <v>-42</v>
      </c>
      <c r="BO36" s="203">
        <f t="shared" si="255"/>
        <v>-215</v>
      </c>
      <c r="BP36" s="203">
        <f t="shared" si="255"/>
        <v>-60</v>
      </c>
      <c r="BQ36" s="1461">
        <f t="shared" si="255"/>
        <v>-275</v>
      </c>
      <c r="BR36" s="203">
        <f t="shared" ref="BR36:BW36" si="259">+BR31+BR35</f>
        <v>-477</v>
      </c>
      <c r="BS36" s="203">
        <f t="shared" si="259"/>
        <v>48</v>
      </c>
      <c r="BT36" s="203">
        <f t="shared" si="259"/>
        <v>-283</v>
      </c>
      <c r="BU36" s="1448">
        <f t="shared" si="259"/>
        <v>92</v>
      </c>
      <c r="BV36" s="203">
        <f t="shared" si="259"/>
        <v>-429</v>
      </c>
      <c r="BW36" s="203">
        <f t="shared" si="259"/>
        <v>-191</v>
      </c>
      <c r="BX36" s="1461">
        <f t="shared" si="255"/>
        <v>-620</v>
      </c>
      <c r="BY36" s="203">
        <f t="shared" si="255"/>
        <v>59</v>
      </c>
      <c r="BZ36" s="203">
        <f t="shared" si="255"/>
        <v>-89</v>
      </c>
      <c r="CA36" s="203">
        <f t="shared" si="255"/>
        <v>-142</v>
      </c>
      <c r="CB36" s="1448">
        <f t="shared" si="255"/>
        <v>-143</v>
      </c>
      <c r="CC36" s="203">
        <f t="shared" si="255"/>
        <v>-30</v>
      </c>
      <c r="CD36" s="203">
        <f t="shared" si="255"/>
        <v>-285</v>
      </c>
      <c r="CE36" s="1461">
        <f t="shared" si="255"/>
        <v>-315</v>
      </c>
      <c r="CF36" s="203">
        <f t="shared" si="255"/>
        <v>166</v>
      </c>
      <c r="CG36" s="203">
        <f t="shared" si="255"/>
        <v>-59</v>
      </c>
      <c r="CH36" s="203">
        <f t="shared" si="255"/>
        <v>-413</v>
      </c>
      <c r="CI36" s="1448">
        <f t="shared" si="255"/>
        <v>56</v>
      </c>
      <c r="CJ36" s="203">
        <f t="shared" si="255"/>
        <v>107</v>
      </c>
      <c r="CK36" s="203">
        <f t="shared" si="255"/>
        <v>-357</v>
      </c>
      <c r="CL36" s="1461">
        <f t="shared" si="255"/>
        <v>-250</v>
      </c>
      <c r="CM36" s="203">
        <f t="shared" si="255"/>
        <v>149</v>
      </c>
      <c r="CN36" s="203">
        <f t="shared" si="255"/>
        <v>-47</v>
      </c>
      <c r="CO36" s="203">
        <f t="shared" si="255"/>
        <v>129</v>
      </c>
      <c r="CP36" s="1448">
        <f t="shared" si="255"/>
        <v>-65</v>
      </c>
      <c r="CQ36" s="203">
        <f t="shared" si="255"/>
        <v>102</v>
      </c>
      <c r="CR36" s="203">
        <f t="shared" si="255"/>
        <v>64</v>
      </c>
      <c r="CS36" s="1461">
        <f t="shared" ref="CS36:CT36" si="260">+CS31+CS35</f>
        <v>166</v>
      </c>
      <c r="CT36" s="203">
        <f t="shared" si="260"/>
        <v>229</v>
      </c>
      <c r="CU36" s="203">
        <f t="shared" ref="CU36:CW36" si="261">+CU31+CU35</f>
        <v>-337</v>
      </c>
      <c r="CV36" s="203">
        <f t="shared" si="261"/>
        <v>16</v>
      </c>
      <c r="CW36" s="1448">
        <f t="shared" si="261"/>
        <v>213</v>
      </c>
      <c r="CX36" s="203">
        <f t="shared" ref="CX36:DB36" si="262">+CX31+CX35</f>
        <v>-108</v>
      </c>
      <c r="CY36" s="203">
        <f t="shared" si="262"/>
        <v>229</v>
      </c>
      <c r="CZ36" s="1461">
        <f t="shared" si="262"/>
        <v>121</v>
      </c>
      <c r="DA36" s="203">
        <f t="shared" si="262"/>
        <v>621</v>
      </c>
      <c r="DB36" s="203">
        <f t="shared" si="262"/>
        <v>-131</v>
      </c>
      <c r="DC36" s="834">
        <f t="shared" ref="DC36:DD36" si="263">+DC31+DC35</f>
        <v>-116</v>
      </c>
      <c r="DD36" s="1448">
        <f t="shared" si="263"/>
        <v>-106</v>
      </c>
      <c r="DE36" s="203">
        <f>+DE31+DE35</f>
        <v>490</v>
      </c>
      <c r="DF36" s="203">
        <f t="shared" ref="DF36:DI36" si="264">+DF31+DF35</f>
        <v>-222</v>
      </c>
      <c r="DG36" s="1269">
        <f t="shared" si="264"/>
        <v>268</v>
      </c>
      <c r="DH36" s="203">
        <f t="shared" si="264"/>
        <v>466</v>
      </c>
      <c r="DI36" s="203">
        <f t="shared" si="264"/>
        <v>-280</v>
      </c>
      <c r="DJ36" s="860">
        <f t="shared" si="255"/>
        <v>-77.356250000000017</v>
      </c>
      <c r="DK36" s="1109">
        <f t="shared" si="255"/>
        <v>-140.64374999999998</v>
      </c>
      <c r="DL36" s="1892">
        <f>+DL31+DL35</f>
        <v>186</v>
      </c>
      <c r="DM36" s="860">
        <f t="shared" si="255"/>
        <v>-218</v>
      </c>
      <c r="DN36" s="1119">
        <f t="shared" si="255"/>
        <v>-32</v>
      </c>
      <c r="DO36" s="860">
        <f t="shared" ref="DO36:DT36" si="265">+DO31+DO35</f>
        <v>-41.723029435846058</v>
      </c>
      <c r="DP36" s="860">
        <f t="shared" si="265"/>
        <v>-41.723029435846058</v>
      </c>
      <c r="DQ36" s="860">
        <f t="shared" si="265"/>
        <v>-56.256892775794768</v>
      </c>
      <c r="DR36" s="1109">
        <f t="shared" si="265"/>
        <v>-27.189166095897349</v>
      </c>
      <c r="DS36" s="860">
        <f t="shared" si="265"/>
        <v>-83.446058871692117</v>
      </c>
      <c r="DT36" s="860">
        <f t="shared" si="265"/>
        <v>-83.446058871692117</v>
      </c>
      <c r="DU36" s="1119">
        <f t="shared" si="255"/>
        <v>-166.89211774338423</v>
      </c>
      <c r="DV36" s="860">
        <f t="shared" ref="DV36:EA36" si="266">+DV31+DV35</f>
        <v>-26.548347279905954</v>
      </c>
      <c r="DW36" s="860">
        <f t="shared" si="266"/>
        <v>-26.548347279905954</v>
      </c>
      <c r="DX36" s="860">
        <f t="shared" si="266"/>
        <v>-35.662927299329056</v>
      </c>
      <c r="DY36" s="1109">
        <f t="shared" si="266"/>
        <v>-17.433767260482853</v>
      </c>
      <c r="DZ36" s="860">
        <f t="shared" si="266"/>
        <v>-53.096694559811908</v>
      </c>
      <c r="EA36" s="860">
        <f t="shared" si="266"/>
        <v>-53.096694559811908</v>
      </c>
      <c r="EB36" s="1119">
        <f t="shared" si="255"/>
        <v>-106.19338911962382</v>
      </c>
      <c r="EC36" s="860">
        <f t="shared" ref="EC36:EH36" si="267">+EC31+EC35</f>
        <v>0.94350656456362003</v>
      </c>
      <c r="ED36" s="860">
        <f t="shared" si="267"/>
        <v>0.94350656456362003</v>
      </c>
      <c r="EE36" s="860">
        <f t="shared" si="267"/>
        <v>-9.1666633746674506</v>
      </c>
      <c r="EF36" s="1109">
        <f t="shared" si="267"/>
        <v>11.053676503794691</v>
      </c>
      <c r="EG36" s="860">
        <f t="shared" si="267"/>
        <v>1.8870131291272401</v>
      </c>
      <c r="EH36" s="860">
        <f t="shared" si="267"/>
        <v>1.8870131291272401</v>
      </c>
      <c r="EI36" s="1119">
        <f t="shared" si="255"/>
        <v>3.7740262582544801</v>
      </c>
      <c r="EJ36" s="860">
        <f t="shared" ref="EJ36:EO36" si="268">+EJ31+EJ35</f>
        <v>28.951646797694764</v>
      </c>
      <c r="EK36" s="860">
        <f t="shared" si="268"/>
        <v>28.951646797694764</v>
      </c>
      <c r="EL36" s="860">
        <f t="shared" si="268"/>
        <v>29.235673068195183</v>
      </c>
      <c r="EM36" s="1109">
        <f t="shared" si="268"/>
        <v>28.667620527194345</v>
      </c>
      <c r="EN36" s="860">
        <f t="shared" si="268"/>
        <v>57.903293595389528</v>
      </c>
      <c r="EO36" s="860">
        <f t="shared" si="268"/>
        <v>57.903293595389528</v>
      </c>
      <c r="EP36" s="1119">
        <f t="shared" si="255"/>
        <v>115.80658719077906</v>
      </c>
      <c r="EQ36" s="43"/>
      <c r="ER36" s="46"/>
    </row>
    <row r="37" spans="1:148" ht="10.199999999999999" customHeight="1">
      <c r="A37" s="43"/>
      <c r="B37" s="108"/>
      <c r="C37" s="203"/>
      <c r="D37" s="82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1448"/>
      <c r="R37" s="203"/>
      <c r="S37" s="203"/>
      <c r="T37" s="1465"/>
      <c r="U37" s="203"/>
      <c r="V37" s="203"/>
      <c r="W37" s="203"/>
      <c r="X37" s="1448"/>
      <c r="Y37" s="203"/>
      <c r="Z37" s="203"/>
      <c r="AA37" s="1465"/>
      <c r="AB37" s="203"/>
      <c r="AC37" s="203"/>
      <c r="AD37" s="203"/>
      <c r="AE37" s="1448"/>
      <c r="AF37" s="203"/>
      <c r="AG37" s="203"/>
      <c r="AH37" s="1465"/>
      <c r="AI37" s="203"/>
      <c r="AJ37" s="203"/>
      <c r="AK37" s="203"/>
      <c r="AL37" s="1448"/>
      <c r="AM37" s="203"/>
      <c r="AN37" s="203"/>
      <c r="AO37" s="1465"/>
      <c r="AP37" s="203"/>
      <c r="AQ37" s="203"/>
      <c r="AR37" s="203"/>
      <c r="AS37" s="1448"/>
      <c r="AT37" s="203"/>
      <c r="AU37" s="203"/>
      <c r="AV37" s="1465"/>
      <c r="AW37" s="203"/>
      <c r="AX37" s="203"/>
      <c r="AY37" s="203"/>
      <c r="AZ37" s="1448"/>
      <c r="BA37" s="203"/>
      <c r="BB37" s="203"/>
      <c r="BC37" s="1465"/>
      <c r="BD37" s="203"/>
      <c r="BE37" s="203"/>
      <c r="BF37" s="203"/>
      <c r="BG37" s="1448"/>
      <c r="BH37" s="203"/>
      <c r="BI37" s="203"/>
      <c r="BJ37" s="1465"/>
      <c r="BK37" s="203"/>
      <c r="BL37" s="203"/>
      <c r="BM37" s="203"/>
      <c r="BN37" s="1448"/>
      <c r="BO37" s="203"/>
      <c r="BP37" s="203"/>
      <c r="BQ37" s="1465"/>
      <c r="BR37" s="203"/>
      <c r="BS37" s="203"/>
      <c r="BT37" s="203"/>
      <c r="BU37" s="1448"/>
      <c r="BV37" s="203"/>
      <c r="BW37" s="203"/>
      <c r="BX37" s="1465"/>
      <c r="BY37" s="203"/>
      <c r="BZ37" s="203"/>
      <c r="CA37" s="203"/>
      <c r="CB37" s="1448"/>
      <c r="CC37" s="203"/>
      <c r="CD37" s="203"/>
      <c r="CE37" s="1465"/>
      <c r="CF37" s="203"/>
      <c r="CG37" s="203"/>
      <c r="CH37" s="203"/>
      <c r="CI37" s="1448"/>
      <c r="CJ37" s="203"/>
      <c r="CK37" s="203"/>
      <c r="CL37" s="1465"/>
      <c r="CM37" s="203"/>
      <c r="CN37" s="203"/>
      <c r="CO37" s="203"/>
      <c r="CP37" s="1448"/>
      <c r="CQ37" s="203"/>
      <c r="CR37" s="203"/>
      <c r="CS37" s="1465"/>
      <c r="CT37" s="860"/>
      <c r="CU37" s="860"/>
      <c r="CV37" s="860"/>
      <c r="CW37" s="1448"/>
      <c r="CX37" s="860"/>
      <c r="CY37" s="203"/>
      <c r="CZ37" s="1465"/>
      <c r="DA37" s="860"/>
      <c r="DB37" s="860"/>
      <c r="DC37" s="834"/>
      <c r="DD37" s="1448"/>
      <c r="DE37" s="860"/>
      <c r="DF37" s="203"/>
      <c r="DG37" s="1851"/>
      <c r="DH37" s="860"/>
      <c r="DI37" s="860"/>
      <c r="DJ37" s="860"/>
      <c r="DK37" s="1109"/>
      <c r="DL37" s="1892"/>
      <c r="DM37" s="860"/>
      <c r="DN37" s="1119"/>
      <c r="DO37" s="860"/>
      <c r="DP37" s="860"/>
      <c r="DQ37" s="860"/>
      <c r="DR37" s="1109"/>
      <c r="DS37" s="860"/>
      <c r="DT37" s="860"/>
      <c r="DU37" s="1119"/>
      <c r="DV37" s="860"/>
      <c r="DW37" s="860"/>
      <c r="DX37" s="860"/>
      <c r="DY37" s="1109"/>
      <c r="DZ37" s="860"/>
      <c r="EA37" s="860"/>
      <c r="EB37" s="1119"/>
      <c r="EC37" s="860"/>
      <c r="ED37" s="860"/>
      <c r="EE37" s="860"/>
      <c r="EF37" s="1109"/>
      <c r="EG37" s="860"/>
      <c r="EH37" s="860"/>
      <c r="EI37" s="1119"/>
      <c r="EJ37" s="860"/>
      <c r="EK37" s="860"/>
      <c r="EL37" s="860"/>
      <c r="EM37" s="1109"/>
      <c r="EN37" s="860"/>
      <c r="EO37" s="860"/>
      <c r="EP37" s="1119"/>
      <c r="EQ37" s="43"/>
      <c r="ER37" s="91"/>
    </row>
    <row r="38" spans="1:148" ht="10.199999999999999" customHeight="1">
      <c r="A38" s="48" t="s">
        <v>421</v>
      </c>
      <c r="B38" s="108"/>
      <c r="C38" s="126">
        <f t="shared" ref="C38:EP38" si="269">C27+C36</f>
        <v>187</v>
      </c>
      <c r="D38" s="126">
        <f t="shared" si="269"/>
        <v>878</v>
      </c>
      <c r="E38" s="126">
        <f t="shared" si="269"/>
        <v>1885</v>
      </c>
      <c r="F38" s="126">
        <f t="shared" si="269"/>
        <v>2535</v>
      </c>
      <c r="G38" s="126">
        <f t="shared" si="269"/>
        <v>34</v>
      </c>
      <c r="H38" s="126">
        <f t="shared" si="269"/>
        <v>-770</v>
      </c>
      <c r="I38" s="126">
        <f t="shared" si="269"/>
        <v>2300</v>
      </c>
      <c r="J38" s="126">
        <f t="shared" si="269"/>
        <v>-972</v>
      </c>
      <c r="K38" s="126">
        <f t="shared" si="269"/>
        <v>816</v>
      </c>
      <c r="L38" s="126">
        <f t="shared" si="269"/>
        <v>1393</v>
      </c>
      <c r="M38" s="126">
        <f t="shared" si="269"/>
        <v>1678</v>
      </c>
      <c r="N38" s="126">
        <f t="shared" ref="N38:S38" si="270">N27+N36</f>
        <v>306</v>
      </c>
      <c r="O38" s="126">
        <f t="shared" si="270"/>
        <v>736</v>
      </c>
      <c r="P38" s="126">
        <f t="shared" si="270"/>
        <v>623</v>
      </c>
      <c r="Q38" s="1276">
        <f t="shared" si="270"/>
        <v>295</v>
      </c>
      <c r="R38" s="126">
        <f t="shared" si="270"/>
        <v>1042</v>
      </c>
      <c r="S38" s="126">
        <f t="shared" si="270"/>
        <v>918</v>
      </c>
      <c r="T38" s="1082">
        <f t="shared" si="269"/>
        <v>1960</v>
      </c>
      <c r="U38" s="126">
        <f t="shared" si="269"/>
        <v>602</v>
      </c>
      <c r="V38" s="126">
        <f t="shared" si="269"/>
        <v>965</v>
      </c>
      <c r="W38" s="126">
        <f t="shared" si="269"/>
        <v>370</v>
      </c>
      <c r="X38" s="1276">
        <f t="shared" si="269"/>
        <v>1276</v>
      </c>
      <c r="Y38" s="126">
        <f t="shared" si="269"/>
        <v>1567</v>
      </c>
      <c r="Z38" s="126">
        <f t="shared" si="269"/>
        <v>1646</v>
      </c>
      <c r="AA38" s="1082">
        <f t="shared" si="269"/>
        <v>3213</v>
      </c>
      <c r="AB38" s="126">
        <f t="shared" si="269"/>
        <v>866</v>
      </c>
      <c r="AC38" s="126">
        <f t="shared" si="269"/>
        <v>1000</v>
      </c>
      <c r="AD38" s="126">
        <f t="shared" si="269"/>
        <v>520</v>
      </c>
      <c r="AE38" s="1276">
        <f t="shared" si="269"/>
        <v>989</v>
      </c>
      <c r="AF38" s="126">
        <f t="shared" si="269"/>
        <v>1866</v>
      </c>
      <c r="AG38" s="126">
        <f t="shared" si="269"/>
        <v>1509</v>
      </c>
      <c r="AH38" s="1082">
        <f t="shared" si="269"/>
        <v>3375</v>
      </c>
      <c r="AI38" s="126">
        <f t="shared" si="269"/>
        <v>555</v>
      </c>
      <c r="AJ38" s="126">
        <f t="shared" si="269"/>
        <v>1148</v>
      </c>
      <c r="AK38" s="126">
        <f t="shared" si="269"/>
        <v>311</v>
      </c>
      <c r="AL38" s="1276">
        <f t="shared" si="269"/>
        <v>-723</v>
      </c>
      <c r="AM38" s="126">
        <f t="shared" si="269"/>
        <v>1703</v>
      </c>
      <c r="AN38" s="126">
        <f t="shared" si="269"/>
        <v>-412</v>
      </c>
      <c r="AO38" s="1082">
        <f t="shared" si="269"/>
        <v>1291</v>
      </c>
      <c r="AP38" s="126">
        <f t="shared" ref="AP38:AS38" si="271">AP27+AP36</f>
        <v>646</v>
      </c>
      <c r="AQ38" s="126">
        <f t="shared" si="271"/>
        <v>1211</v>
      </c>
      <c r="AR38" s="126">
        <f t="shared" si="271"/>
        <v>547</v>
      </c>
      <c r="AS38" s="1276">
        <f t="shared" si="271"/>
        <v>2166</v>
      </c>
      <c r="AT38" s="126">
        <f t="shared" ref="AT38:AU38" si="272">AT27+AT36</f>
        <v>1857</v>
      </c>
      <c r="AU38" s="126">
        <f t="shared" si="272"/>
        <v>2713</v>
      </c>
      <c r="AV38" s="1082">
        <f t="shared" si="269"/>
        <v>4570</v>
      </c>
      <c r="AW38" s="126">
        <f t="shared" si="269"/>
        <v>369</v>
      </c>
      <c r="AX38" s="126">
        <f t="shared" si="269"/>
        <v>914</v>
      </c>
      <c r="AY38" s="126">
        <f t="shared" si="269"/>
        <v>491</v>
      </c>
      <c r="AZ38" s="1276">
        <f t="shared" si="269"/>
        <v>2052</v>
      </c>
      <c r="BA38" s="126">
        <f t="shared" si="269"/>
        <v>1283</v>
      </c>
      <c r="BB38" s="126">
        <f t="shared" si="269"/>
        <v>2543</v>
      </c>
      <c r="BC38" s="1082">
        <f t="shared" si="269"/>
        <v>3826</v>
      </c>
      <c r="BD38" s="126">
        <f t="shared" si="269"/>
        <v>238</v>
      </c>
      <c r="BE38" s="126">
        <f t="shared" si="269"/>
        <v>579</v>
      </c>
      <c r="BF38" s="126">
        <f t="shared" si="269"/>
        <v>1453</v>
      </c>
      <c r="BG38" s="1276">
        <f t="shared" si="269"/>
        <v>2015</v>
      </c>
      <c r="BH38" s="126">
        <f t="shared" si="269"/>
        <v>817</v>
      </c>
      <c r="BI38" s="126">
        <f t="shared" si="269"/>
        <v>3468</v>
      </c>
      <c r="BJ38" s="1082">
        <f t="shared" si="269"/>
        <v>4285</v>
      </c>
      <c r="BK38" s="126">
        <f t="shared" si="269"/>
        <v>138</v>
      </c>
      <c r="BL38" s="126">
        <f t="shared" si="269"/>
        <v>1740</v>
      </c>
      <c r="BM38" s="126">
        <f t="shared" si="269"/>
        <v>1320</v>
      </c>
      <c r="BN38" s="1276">
        <f t="shared" si="269"/>
        <v>-2134</v>
      </c>
      <c r="BO38" s="126">
        <f t="shared" si="269"/>
        <v>1878</v>
      </c>
      <c r="BP38" s="126">
        <f t="shared" si="269"/>
        <v>-814</v>
      </c>
      <c r="BQ38" s="1082">
        <f t="shared" si="269"/>
        <v>1064</v>
      </c>
      <c r="BR38" s="126">
        <f t="shared" ref="BR38:BW38" si="273">BR27+BR36</f>
        <v>-398</v>
      </c>
      <c r="BS38" s="126">
        <f t="shared" si="273"/>
        <v>-1590</v>
      </c>
      <c r="BT38" s="126">
        <f t="shared" si="273"/>
        <v>-909</v>
      </c>
      <c r="BU38" s="1276">
        <f t="shared" si="273"/>
        <v>1767</v>
      </c>
      <c r="BV38" s="126">
        <f t="shared" si="273"/>
        <v>-1988</v>
      </c>
      <c r="BW38" s="126">
        <f t="shared" si="273"/>
        <v>858</v>
      </c>
      <c r="BX38" s="1082">
        <f t="shared" si="269"/>
        <v>-1130</v>
      </c>
      <c r="BY38" s="126">
        <f t="shared" si="269"/>
        <v>521</v>
      </c>
      <c r="BZ38" s="126">
        <f t="shared" si="269"/>
        <v>2176</v>
      </c>
      <c r="CA38" s="126">
        <f t="shared" si="269"/>
        <v>568</v>
      </c>
      <c r="CB38" s="1276">
        <f t="shared" si="269"/>
        <v>1762</v>
      </c>
      <c r="CC38" s="126">
        <f t="shared" si="269"/>
        <v>2697</v>
      </c>
      <c r="CD38" s="126">
        <f t="shared" si="269"/>
        <v>2330</v>
      </c>
      <c r="CE38" s="1082">
        <f t="shared" si="269"/>
        <v>5027</v>
      </c>
      <c r="CF38" s="126">
        <f t="shared" si="269"/>
        <v>1595</v>
      </c>
      <c r="CG38" s="126">
        <f t="shared" si="269"/>
        <v>1091</v>
      </c>
      <c r="CH38" s="126">
        <f t="shared" si="269"/>
        <v>560</v>
      </c>
      <c r="CI38" s="1276">
        <f t="shared" si="269"/>
        <v>1829</v>
      </c>
      <c r="CJ38" s="126">
        <f t="shared" si="269"/>
        <v>2686</v>
      </c>
      <c r="CK38" s="126">
        <f t="shared" si="269"/>
        <v>2389</v>
      </c>
      <c r="CL38" s="1082">
        <f t="shared" si="269"/>
        <v>5075</v>
      </c>
      <c r="CM38" s="126">
        <f t="shared" si="269"/>
        <v>539</v>
      </c>
      <c r="CN38" s="126">
        <f t="shared" si="269"/>
        <v>1450</v>
      </c>
      <c r="CO38" s="126">
        <f t="shared" si="269"/>
        <v>954</v>
      </c>
      <c r="CP38" s="1276">
        <f t="shared" si="269"/>
        <v>1826</v>
      </c>
      <c r="CQ38" s="126">
        <f t="shared" si="269"/>
        <v>1989</v>
      </c>
      <c r="CR38" s="126">
        <f t="shared" si="269"/>
        <v>2780</v>
      </c>
      <c r="CS38" s="1082">
        <f t="shared" si="269"/>
        <v>4769</v>
      </c>
      <c r="CT38" s="126">
        <f t="shared" si="269"/>
        <v>838</v>
      </c>
      <c r="CU38" s="126">
        <f t="shared" ref="CU38:CW38" si="274">CU27+CU36</f>
        <v>510</v>
      </c>
      <c r="CV38" s="126">
        <f t="shared" si="274"/>
        <v>1250</v>
      </c>
      <c r="CW38" s="1276">
        <f t="shared" si="274"/>
        <v>2827</v>
      </c>
      <c r="CX38" s="126">
        <f t="shared" si="269"/>
        <v>1348</v>
      </c>
      <c r="CY38" s="126">
        <f t="shared" ref="CY38" si="275">CY27+CY36</f>
        <v>4077</v>
      </c>
      <c r="CZ38" s="1082">
        <f t="shared" ref="CZ38:DB38" si="276">CZ27+CZ36</f>
        <v>5425</v>
      </c>
      <c r="DA38" s="126">
        <f t="shared" si="276"/>
        <v>1094</v>
      </c>
      <c r="DB38" s="126">
        <f t="shared" si="276"/>
        <v>1013</v>
      </c>
      <c r="DC38" s="852">
        <f t="shared" ref="DC38:DI38" si="277">DC27+DC36</f>
        <v>1632</v>
      </c>
      <c r="DD38" s="1276">
        <f t="shared" si="277"/>
        <v>2611</v>
      </c>
      <c r="DE38" s="126">
        <f t="shared" si="277"/>
        <v>2107</v>
      </c>
      <c r="DF38" s="126">
        <f t="shared" si="277"/>
        <v>4243</v>
      </c>
      <c r="DG38" s="1082">
        <f t="shared" si="277"/>
        <v>6350</v>
      </c>
      <c r="DH38" s="126">
        <f t="shared" si="277"/>
        <v>690</v>
      </c>
      <c r="DI38" s="126">
        <f t="shared" si="277"/>
        <v>2241</v>
      </c>
      <c r="DJ38" s="884">
        <f t="shared" ref="DJ38:DM38" si="278">DJ27+DJ36</f>
        <v>1931.8025640093567</v>
      </c>
      <c r="DK38" s="1515">
        <f t="shared" si="278"/>
        <v>2884.800630333044</v>
      </c>
      <c r="DL38" s="2012">
        <f t="shared" si="278"/>
        <v>2931</v>
      </c>
      <c r="DM38" s="884">
        <f t="shared" si="278"/>
        <v>4816.6031943424014</v>
      </c>
      <c r="DN38" s="1486">
        <f t="shared" si="269"/>
        <v>7747.6031943424014</v>
      </c>
      <c r="DO38" s="884">
        <f t="shared" si="269"/>
        <v>2081.9493837740993</v>
      </c>
      <c r="DP38" s="884">
        <f t="shared" si="269"/>
        <v>2347.3482177142023</v>
      </c>
      <c r="DQ38" s="884">
        <f t="shared" si="269"/>
        <v>2324.4882776955592</v>
      </c>
      <c r="DR38" s="1515">
        <f t="shared" si="269"/>
        <v>2610.7237130203903</v>
      </c>
      <c r="DS38" s="884">
        <f t="shared" si="269"/>
        <v>4429.2976014883025</v>
      </c>
      <c r="DT38" s="884">
        <f t="shared" si="269"/>
        <v>4935.2119907159495</v>
      </c>
      <c r="DU38" s="1486">
        <f t="shared" si="269"/>
        <v>9364.509592204251</v>
      </c>
      <c r="DV38" s="884">
        <f t="shared" si="269"/>
        <v>2629.084058200835</v>
      </c>
      <c r="DW38" s="884">
        <f t="shared" si="269"/>
        <v>2911.0003628857639</v>
      </c>
      <c r="DX38" s="884">
        <f t="shared" si="269"/>
        <v>2892.7387416681695</v>
      </c>
      <c r="DY38" s="1515">
        <f t="shared" si="269"/>
        <v>3285.4190580567506</v>
      </c>
      <c r="DZ38" s="884">
        <f t="shared" si="269"/>
        <v>5540.0844210865989</v>
      </c>
      <c r="EA38" s="884">
        <f t="shared" si="269"/>
        <v>6178.1577997249196</v>
      </c>
      <c r="EB38" s="1486">
        <f t="shared" si="269"/>
        <v>11718.24222081152</v>
      </c>
      <c r="EC38" s="884">
        <f t="shared" si="269"/>
        <v>3012.0297557366362</v>
      </c>
      <c r="ED38" s="884">
        <f t="shared" si="269"/>
        <v>3138.9119837356316</v>
      </c>
      <c r="EE38" s="884">
        <f t="shared" si="269"/>
        <v>3119.769440466277</v>
      </c>
      <c r="EF38" s="1515">
        <f t="shared" si="269"/>
        <v>3547.4534950686802</v>
      </c>
      <c r="EG38" s="884">
        <f t="shared" si="269"/>
        <v>6150.9417394722686</v>
      </c>
      <c r="EH38" s="884">
        <f t="shared" si="269"/>
        <v>6667.2229355349582</v>
      </c>
      <c r="EI38" s="1486">
        <f t="shared" si="269"/>
        <v>12818.164675007225</v>
      </c>
      <c r="EJ38" s="884">
        <f t="shared" si="269"/>
        <v>3220.0298855196147</v>
      </c>
      <c r="EK38" s="884">
        <f t="shared" si="269"/>
        <v>3354.1868697998648</v>
      </c>
      <c r="EL38" s="884">
        <f t="shared" si="269"/>
        <v>3345.5798605370301</v>
      </c>
      <c r="EM38" s="1515">
        <f t="shared" si="269"/>
        <v>3770.1138251891271</v>
      </c>
      <c r="EN38" s="884">
        <f t="shared" si="269"/>
        <v>6574.2167553194795</v>
      </c>
      <c r="EO38" s="884">
        <f t="shared" si="269"/>
        <v>7115.6936857261571</v>
      </c>
      <c r="EP38" s="1486">
        <f t="shared" si="269"/>
        <v>13689.910441045637</v>
      </c>
      <c r="EQ38" s="43"/>
      <c r="ER38" s="46"/>
    </row>
    <row r="39" spans="1:148" ht="10.199999999999999" customHeight="1">
      <c r="A39" s="43"/>
      <c r="B39" s="108"/>
      <c r="C39" s="108"/>
      <c r="D39" s="823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700"/>
      <c r="R39" s="108"/>
      <c r="S39" s="108"/>
      <c r="T39" s="538"/>
      <c r="U39" s="108"/>
      <c r="V39" s="108"/>
      <c r="W39" s="108"/>
      <c r="X39" s="700"/>
      <c r="Y39" s="108"/>
      <c r="Z39" s="108"/>
      <c r="AA39" s="538"/>
      <c r="AB39" s="108"/>
      <c r="AC39" s="108"/>
      <c r="AD39" s="108"/>
      <c r="AE39" s="700"/>
      <c r="AF39" s="108"/>
      <c r="AG39" s="108"/>
      <c r="AH39" s="538"/>
      <c r="AI39" s="108"/>
      <c r="AJ39" s="108"/>
      <c r="AK39" s="108"/>
      <c r="AL39" s="700"/>
      <c r="AM39" s="108"/>
      <c r="AN39" s="108"/>
      <c r="AO39" s="538"/>
      <c r="AP39" s="108"/>
      <c r="AQ39" s="108"/>
      <c r="AR39" s="108"/>
      <c r="AS39" s="700"/>
      <c r="AT39" s="108"/>
      <c r="AU39" s="108"/>
      <c r="AV39" s="538"/>
      <c r="AW39" s="108"/>
      <c r="AX39" s="108"/>
      <c r="AY39" s="108"/>
      <c r="AZ39" s="700"/>
      <c r="BA39" s="108"/>
      <c r="BB39" s="108"/>
      <c r="BC39" s="538"/>
      <c r="BD39" s="108"/>
      <c r="BE39" s="108"/>
      <c r="BF39" s="108"/>
      <c r="BG39" s="700"/>
      <c r="BH39" s="108"/>
      <c r="BI39" s="108"/>
      <c r="BJ39" s="538"/>
      <c r="BK39" s="108"/>
      <c r="BL39" s="108"/>
      <c r="BM39" s="108"/>
      <c r="BN39" s="700"/>
      <c r="BO39" s="108"/>
      <c r="BP39" s="108"/>
      <c r="BQ39" s="538"/>
      <c r="BR39" s="108"/>
      <c r="BS39" s="108"/>
      <c r="BT39" s="108"/>
      <c r="BU39" s="700"/>
      <c r="BV39" s="108"/>
      <c r="BW39" s="108"/>
      <c r="BX39" s="538"/>
      <c r="BY39" s="108"/>
      <c r="BZ39" s="108"/>
      <c r="CA39" s="108"/>
      <c r="CB39" s="700"/>
      <c r="CC39" s="108"/>
      <c r="CD39" s="108"/>
      <c r="CE39" s="538"/>
      <c r="CF39" s="108"/>
      <c r="CG39" s="108"/>
      <c r="CH39" s="108"/>
      <c r="CI39" s="700"/>
      <c r="CJ39" s="108"/>
      <c r="CK39" s="108"/>
      <c r="CL39" s="538"/>
      <c r="CM39" s="108"/>
      <c r="CN39" s="108"/>
      <c r="CO39" s="108"/>
      <c r="CP39" s="700"/>
      <c r="CQ39" s="108"/>
      <c r="CR39" s="108"/>
      <c r="CS39" s="538"/>
      <c r="CT39" s="882"/>
      <c r="CU39" s="882"/>
      <c r="CV39" s="882"/>
      <c r="CW39" s="700"/>
      <c r="CX39" s="882"/>
      <c r="CY39" s="108"/>
      <c r="CZ39" s="538"/>
      <c r="DA39" s="882"/>
      <c r="DB39" s="882"/>
      <c r="DC39" s="882"/>
      <c r="DD39" s="700"/>
      <c r="DE39" s="882"/>
      <c r="DF39" s="108"/>
      <c r="DG39" s="313"/>
      <c r="DH39" s="882"/>
      <c r="DI39" s="882"/>
      <c r="DJ39" s="882"/>
      <c r="DK39" s="1371"/>
      <c r="DL39" s="1879"/>
      <c r="DM39" s="882"/>
      <c r="DN39" s="1491"/>
      <c r="DO39" s="882"/>
      <c r="DP39" s="882"/>
      <c r="DQ39" s="882"/>
      <c r="DR39" s="1371"/>
      <c r="DS39" s="882"/>
      <c r="DT39" s="882"/>
      <c r="DU39" s="1491"/>
      <c r="DV39" s="882"/>
      <c r="DW39" s="882"/>
      <c r="DX39" s="882"/>
      <c r="DY39" s="1371"/>
      <c r="DZ39" s="882"/>
      <c r="EA39" s="882"/>
      <c r="EB39" s="1491"/>
      <c r="EC39" s="882"/>
      <c r="ED39" s="882"/>
      <c r="EE39" s="882"/>
      <c r="EF39" s="1371"/>
      <c r="EG39" s="882"/>
      <c r="EH39" s="882"/>
      <c r="EI39" s="1491"/>
      <c r="EJ39" s="882"/>
      <c r="EK39" s="882"/>
      <c r="EL39" s="882"/>
      <c r="EM39" s="1371"/>
      <c r="EN39" s="882"/>
      <c r="EO39" s="882"/>
      <c r="EP39" s="1491"/>
      <c r="EQ39" s="43"/>
      <c r="ER39" s="46"/>
    </row>
    <row r="40" spans="1:148" ht="10.199999999999999" customHeight="1">
      <c r="A40" s="43" t="s">
        <v>45</v>
      </c>
      <c r="B40" s="108"/>
      <c r="C40" s="207">
        <v>-453</v>
      </c>
      <c r="D40" s="207">
        <v>-474</v>
      </c>
      <c r="E40" s="207">
        <v>-664</v>
      </c>
      <c r="F40" s="207">
        <v>-825</v>
      </c>
      <c r="G40" s="207">
        <v>81</v>
      </c>
      <c r="H40" s="207">
        <v>333</v>
      </c>
      <c r="I40" s="207">
        <v>-703</v>
      </c>
      <c r="J40" s="207">
        <v>220</v>
      </c>
      <c r="K40" s="207">
        <v>-244</v>
      </c>
      <c r="L40" s="207">
        <v>-356</v>
      </c>
      <c r="M40" s="207">
        <v>-449</v>
      </c>
      <c r="N40" s="1442">
        <v>-77</v>
      </c>
      <c r="O40" s="1442">
        <f>R40-N40</f>
        <v>-206</v>
      </c>
      <c r="P40" s="1442">
        <f>-460-R40</f>
        <v>-177</v>
      </c>
      <c r="Q40" s="1450">
        <f>S40-P40</f>
        <v>-17</v>
      </c>
      <c r="R40" s="1442">
        <v>-283</v>
      </c>
      <c r="S40" s="1442">
        <f>T40-R40</f>
        <v>-194</v>
      </c>
      <c r="T40" s="1463">
        <v>-477</v>
      </c>
      <c r="U40" s="1442">
        <v>-166</v>
      </c>
      <c r="V40" s="1442">
        <f>Y40-U40</f>
        <v>-260</v>
      </c>
      <c r="W40" s="1442">
        <f>-529-Y40</f>
        <v>-103</v>
      </c>
      <c r="X40" s="1450">
        <f>Z40-W40</f>
        <v>-334</v>
      </c>
      <c r="Y40" s="1442">
        <v>-426</v>
      </c>
      <c r="Z40" s="1442">
        <f>AA40-Y40</f>
        <v>-437</v>
      </c>
      <c r="AA40" s="1463">
        <v>-863</v>
      </c>
      <c r="AB40" s="1442">
        <v>-71</v>
      </c>
      <c r="AC40" s="1442">
        <f>AF40-AB40</f>
        <v>-264</v>
      </c>
      <c r="AD40" s="1442">
        <f>-484-AF40</f>
        <v>-149</v>
      </c>
      <c r="AE40" s="1450">
        <f>AG40-AD40</f>
        <v>-193</v>
      </c>
      <c r="AF40" s="1442">
        <v>-335</v>
      </c>
      <c r="AG40" s="1442">
        <f>AH40-AF40</f>
        <v>-342</v>
      </c>
      <c r="AH40" s="1463">
        <v>-677</v>
      </c>
      <c r="AI40" s="1442">
        <v>-157</v>
      </c>
      <c r="AJ40" s="1442">
        <f>AM40-AI40</f>
        <v>215</v>
      </c>
      <c r="AK40" s="1442">
        <f>-204-AM40</f>
        <v>-262</v>
      </c>
      <c r="AL40" s="1450">
        <f>AN40-AK40</f>
        <v>-87</v>
      </c>
      <c r="AM40" s="1442">
        <v>58</v>
      </c>
      <c r="AN40" s="1442">
        <f>AO40-AM40</f>
        <v>-349</v>
      </c>
      <c r="AO40" s="1463">
        <v>-291</v>
      </c>
      <c r="AP40" s="1442">
        <v>-37</v>
      </c>
      <c r="AQ40" s="1442">
        <f>+AT40-AP40</f>
        <v>-317</v>
      </c>
      <c r="AR40" s="1442">
        <v>-199</v>
      </c>
      <c r="AS40" s="1450">
        <f>AU40-AR40</f>
        <v>-1140</v>
      </c>
      <c r="AT40" s="1442">
        <v>-354</v>
      </c>
      <c r="AU40" s="1442">
        <f>AV40-AT40</f>
        <v>-1339</v>
      </c>
      <c r="AV40" s="1463">
        <v>-1693</v>
      </c>
      <c r="AW40" s="1442">
        <v>41</v>
      </c>
      <c r="AX40" s="1442">
        <f>+BA40-AW40</f>
        <v>-233</v>
      </c>
      <c r="AY40" s="1442">
        <f>-376-BA40</f>
        <v>-184</v>
      </c>
      <c r="AZ40" s="1450">
        <f>BB40-AY40</f>
        <v>-1086</v>
      </c>
      <c r="BA40" s="1442">
        <v>-192</v>
      </c>
      <c r="BB40" s="1442">
        <f>BC40-BA40</f>
        <v>-1270</v>
      </c>
      <c r="BC40" s="1463">
        <v>-1462</v>
      </c>
      <c r="BD40" s="1442">
        <v>46</v>
      </c>
      <c r="BE40" s="1442">
        <f>BH40-BD40</f>
        <v>-370</v>
      </c>
      <c r="BF40" s="1442">
        <f>-810-BH40</f>
        <v>-486</v>
      </c>
      <c r="BG40" s="1450">
        <f>BI40-BF40</f>
        <v>-464</v>
      </c>
      <c r="BH40" s="1442">
        <v>-324</v>
      </c>
      <c r="BI40" s="1442">
        <f>BJ40-BH40</f>
        <v>-950</v>
      </c>
      <c r="BJ40" s="1463">
        <v>-1274</v>
      </c>
      <c r="BK40" s="1442">
        <v>-94</v>
      </c>
      <c r="BL40" s="1442">
        <f>BO40-BK40</f>
        <v>-583</v>
      </c>
      <c r="BM40" s="1442">
        <f>-1024-BO40</f>
        <v>-347</v>
      </c>
      <c r="BN40" s="1450">
        <f>BP40-BM40</f>
        <v>-1365</v>
      </c>
      <c r="BO40" s="1442">
        <v>-677</v>
      </c>
      <c r="BP40" s="1442">
        <f>BQ40-BO40</f>
        <v>-1712</v>
      </c>
      <c r="BQ40" s="1463">
        <v>-2389</v>
      </c>
      <c r="BR40" s="1442">
        <v>-94</v>
      </c>
      <c r="BS40" s="1442">
        <v>158</v>
      </c>
      <c r="BT40" s="1442">
        <f>197-BV40</f>
        <v>133</v>
      </c>
      <c r="BU40" s="1450">
        <f>BW40-BT40</f>
        <v>-236</v>
      </c>
      <c r="BV40" s="1442">
        <f>BR40+BS40</f>
        <v>64</v>
      </c>
      <c r="BW40" s="1442">
        <f>BX40-BV40</f>
        <v>-103</v>
      </c>
      <c r="BX40" s="1463">
        <v>-39</v>
      </c>
      <c r="BY40" s="1442">
        <v>-175</v>
      </c>
      <c r="BZ40" s="1442">
        <f>CC40-BY40</f>
        <v>-318</v>
      </c>
      <c r="CA40" s="1442">
        <f>-676-BY40-BZ40</f>
        <v>-183</v>
      </c>
      <c r="CB40" s="1450">
        <f>CD40-CA40</f>
        <v>-177</v>
      </c>
      <c r="CC40" s="1442">
        <v>-493</v>
      </c>
      <c r="CD40" s="1442">
        <f>CE40-CC40</f>
        <v>-360</v>
      </c>
      <c r="CE40" s="1463">
        <v>-853</v>
      </c>
      <c r="CF40" s="1442">
        <v>-402</v>
      </c>
      <c r="CG40" s="1442">
        <f>+CJ40-CF40</f>
        <v>-440</v>
      </c>
      <c r="CH40" s="1442">
        <f>-768-CF40-CG40</f>
        <v>74</v>
      </c>
      <c r="CI40" s="1450">
        <f>CK40-CH40</f>
        <v>-171</v>
      </c>
      <c r="CJ40" s="1442">
        <v>-842</v>
      </c>
      <c r="CK40" s="1442">
        <f>CL40-CJ40</f>
        <v>-97</v>
      </c>
      <c r="CL40" s="1463">
        <v>-939</v>
      </c>
      <c r="CM40" s="1442">
        <v>-101</v>
      </c>
      <c r="CN40" s="1442">
        <f>CQ40-CM40</f>
        <v>-436</v>
      </c>
      <c r="CO40" s="1442">
        <v>-192</v>
      </c>
      <c r="CP40" s="1450">
        <f>CR40-CO40</f>
        <v>-427</v>
      </c>
      <c r="CQ40" s="1442">
        <v>-537</v>
      </c>
      <c r="CR40" s="1442">
        <f>CS40-CQ40</f>
        <v>-619</v>
      </c>
      <c r="CS40" s="1463">
        <v>-1156</v>
      </c>
      <c r="CT40" s="1564">
        <v>-286</v>
      </c>
      <c r="CU40" s="1442">
        <f t="shared" ref="CU40" si="279">CX40-CT40</f>
        <v>-329</v>
      </c>
      <c r="CV40" s="1564">
        <v>-312</v>
      </c>
      <c r="CW40" s="1450">
        <f>CY40-CV40</f>
        <v>-420</v>
      </c>
      <c r="CX40" s="1564">
        <v>-615</v>
      </c>
      <c r="CY40" s="1442">
        <f>CZ40-CX40</f>
        <v>-732</v>
      </c>
      <c r="CZ40" s="1463">
        <v>-1347</v>
      </c>
      <c r="DA40" s="1564">
        <v>-349</v>
      </c>
      <c r="DB40" s="1442">
        <f t="shared" ref="DB40" si="280">DE40-DA40</f>
        <v>-314</v>
      </c>
      <c r="DC40" s="2088">
        <v>-547</v>
      </c>
      <c r="DD40" s="1450">
        <f>DF40-DC40</f>
        <v>-180</v>
      </c>
      <c r="DE40" s="2088">
        <v>-663</v>
      </c>
      <c r="DF40" s="1442">
        <f>DG40-DE40</f>
        <v>-727</v>
      </c>
      <c r="DG40" s="1598">
        <v>-1390</v>
      </c>
      <c r="DH40" s="1564">
        <v>-139</v>
      </c>
      <c r="DI40" s="1442">
        <f t="shared" ref="DI40" si="281">DL40-DH40</f>
        <v>-613</v>
      </c>
      <c r="DJ40" s="1410">
        <f>(DJ38/DN38)*DN40</f>
        <v>-482.95064100233918</v>
      </c>
      <c r="DK40" s="1516">
        <f>DM40-DJ40</f>
        <v>-701.95015758326122</v>
      </c>
      <c r="DL40" s="2019">
        <v>-752</v>
      </c>
      <c r="DM40" s="1410">
        <f>DN40-DL40</f>
        <v>-1184.9007985856003</v>
      </c>
      <c r="DN40" s="1487">
        <f t="shared" ref="DN40:EP40" si="282">DN38*-DN41</f>
        <v>-1936.9007985856003</v>
      </c>
      <c r="DO40" s="1410">
        <f>(DO38/DU38)*DU40</f>
        <v>-520.48734594352482</v>
      </c>
      <c r="DP40" s="1410">
        <f t="shared" ref="DP40" si="283">DS40-DO40</f>
        <v>-586.8370544285508</v>
      </c>
      <c r="DQ40" s="1410">
        <f>(DQ38/DU38)*DU40</f>
        <v>-581.1220694238898</v>
      </c>
      <c r="DR40" s="1516">
        <f>DT40-DQ40</f>
        <v>-652.68092825509734</v>
      </c>
      <c r="DS40" s="1410">
        <f>(DS38/DU38)*DU40</f>
        <v>-1107.3244003720756</v>
      </c>
      <c r="DT40" s="1410">
        <f>DU40-DS40</f>
        <v>-1233.8029976789871</v>
      </c>
      <c r="DU40" s="1487">
        <f t="shared" si="282"/>
        <v>-2341.1273980510628</v>
      </c>
      <c r="DV40" s="1410">
        <f>(DV38/EB38)*EB40</f>
        <v>-657.27101455020875</v>
      </c>
      <c r="DW40" s="1410">
        <f t="shared" ref="DW40" si="284">DZ40-DV40</f>
        <v>-727.75009072144098</v>
      </c>
      <c r="DX40" s="1410">
        <f>(DX38/EB38)*EB40</f>
        <v>-723.18468541704237</v>
      </c>
      <c r="DY40" s="1516">
        <f>EA40-DX40</f>
        <v>-821.35476451418799</v>
      </c>
      <c r="DZ40" s="1410">
        <f>(DZ38/EB38)*EB40</f>
        <v>-1385.0211052716497</v>
      </c>
      <c r="EA40" s="1410">
        <f>EB40-DZ40</f>
        <v>-1544.5394499312304</v>
      </c>
      <c r="EB40" s="1487">
        <f t="shared" si="282"/>
        <v>-2929.5605552028801</v>
      </c>
      <c r="EC40" s="1410">
        <f>(EC38/EI38)*EI40</f>
        <v>-753.00743893415904</v>
      </c>
      <c r="ED40" s="1410">
        <f t="shared" ref="ED40" si="285">EG40-EC40</f>
        <v>-784.72799593390812</v>
      </c>
      <c r="EE40" s="1410">
        <f>(EE38/EI38)*EI40</f>
        <v>-779.94236011656926</v>
      </c>
      <c r="EF40" s="1516">
        <f>EH40-EE40</f>
        <v>-886.86337376716983</v>
      </c>
      <c r="EG40" s="1410">
        <f>(EG38/EI38)*EI40</f>
        <v>-1537.7354348680672</v>
      </c>
      <c r="EH40" s="1410">
        <f>EI40-EG40</f>
        <v>-1666.8057338837391</v>
      </c>
      <c r="EI40" s="1487">
        <f t="shared" si="282"/>
        <v>-3204.5411687518063</v>
      </c>
      <c r="EJ40" s="1410">
        <f>(EJ38/EP38)*EP40</f>
        <v>-805.00747137990368</v>
      </c>
      <c r="EK40" s="1410">
        <f t="shared" ref="EK40" si="286">EN40-EJ40</f>
        <v>-838.5467174499662</v>
      </c>
      <c r="EL40" s="1410">
        <f>(EL38/EP38)*EP40</f>
        <v>-836.39496513425752</v>
      </c>
      <c r="EM40" s="1516">
        <f>EO40-EL40</f>
        <v>-942.52845629728176</v>
      </c>
      <c r="EN40" s="1410">
        <f>(EN38/EP38)*EP40</f>
        <v>-1643.5541888298699</v>
      </c>
      <c r="EO40" s="1410">
        <f>EP40-EN40</f>
        <v>-1778.9234214315393</v>
      </c>
      <c r="EP40" s="1487">
        <f t="shared" si="282"/>
        <v>-3422.4776102614092</v>
      </c>
      <c r="EQ40" s="43"/>
      <c r="ER40" s="46"/>
    </row>
    <row r="41" spans="1:148" ht="10.199999999999999" customHeight="1">
      <c r="A41" s="43" t="s">
        <v>196</v>
      </c>
      <c r="B41" s="108"/>
      <c r="C41" s="134">
        <f>-C40/(C38-C25-C26)</f>
        <v>0.40338379341050756</v>
      </c>
      <c r="D41" s="157">
        <f>-D40/(D38-D25-D26)</f>
        <v>0.32802768166089963</v>
      </c>
      <c r="E41" s="157">
        <f>-E40/(E38-E25-E26)</f>
        <v>0.35225464190981431</v>
      </c>
      <c r="F41" s="157">
        <f>-F40/(F38-F25-F26)</f>
        <v>0.32544378698224852</v>
      </c>
      <c r="G41" s="824">
        <v>0.31</v>
      </c>
      <c r="H41" s="157">
        <f t="shared" ref="H41:CL41" si="287">-H40/(H38-H25-H26)</f>
        <v>0.43931398416886541</v>
      </c>
      <c r="I41" s="157">
        <f t="shared" si="287"/>
        <v>0.3056521739130435</v>
      </c>
      <c r="J41" s="157">
        <f t="shared" si="287"/>
        <v>0.22633744855967078</v>
      </c>
      <c r="K41" s="157">
        <f t="shared" si="287"/>
        <v>0.29901960784313725</v>
      </c>
      <c r="L41" s="157">
        <f t="shared" si="287"/>
        <v>0.2480836236933798</v>
      </c>
      <c r="M41" s="157">
        <f t="shared" si="287"/>
        <v>0.26489675516224187</v>
      </c>
      <c r="N41" s="251">
        <f t="shared" ref="N41:S41" si="288">-N40/(N38-N25-N26)</f>
        <v>0.25163398692810457</v>
      </c>
      <c r="O41" s="251">
        <f t="shared" si="288"/>
        <v>0.27989130434782611</v>
      </c>
      <c r="P41" s="251">
        <f t="shared" si="288"/>
        <v>0.2841091492776886</v>
      </c>
      <c r="Q41" s="1277">
        <f t="shared" si="288"/>
        <v>5.4838709677419356E-2</v>
      </c>
      <c r="R41" s="251">
        <f t="shared" si="288"/>
        <v>0.27159309021113243</v>
      </c>
      <c r="S41" s="251">
        <f t="shared" si="288"/>
        <v>0.20793140407288319</v>
      </c>
      <c r="T41" s="1295">
        <f t="shared" si="287"/>
        <v>0.24151898734177216</v>
      </c>
      <c r="U41" s="251">
        <f t="shared" si="287"/>
        <v>0.27574750830564781</v>
      </c>
      <c r="V41" s="251">
        <f t="shared" si="287"/>
        <v>0.26943005181347152</v>
      </c>
      <c r="W41" s="251">
        <f t="shared" si="287"/>
        <v>0.27466666666666667</v>
      </c>
      <c r="X41" s="1277">
        <f t="shared" si="287"/>
        <v>0.2615505090054816</v>
      </c>
      <c r="Y41" s="251">
        <f t="shared" si="287"/>
        <v>0.27185705169112956</v>
      </c>
      <c r="Z41" s="251">
        <f t="shared" si="287"/>
        <v>0.2645278450363196</v>
      </c>
      <c r="AA41" s="1295">
        <f t="shared" si="287"/>
        <v>0.26809568188878535</v>
      </c>
      <c r="AB41" s="251">
        <f t="shared" ref="AB41:AG41" si="289">-AB40/(AB38-AB25-AB26)</f>
        <v>8.198614318706697E-2</v>
      </c>
      <c r="AC41" s="251">
        <f t="shared" si="289"/>
        <v>0.26400000000000001</v>
      </c>
      <c r="AD41" s="251">
        <f t="shared" si="289"/>
        <v>0.28653846153846152</v>
      </c>
      <c r="AE41" s="1277">
        <f t="shared" si="289"/>
        <v>0.19514661274014156</v>
      </c>
      <c r="AF41" s="251">
        <f t="shared" si="289"/>
        <v>0.17952840300107181</v>
      </c>
      <c r="AG41" s="251">
        <f t="shared" si="289"/>
        <v>0.22664015904572565</v>
      </c>
      <c r="AH41" s="1295">
        <f t="shared" si="287"/>
        <v>0.2005925925925926</v>
      </c>
      <c r="AI41" s="251">
        <f t="shared" si="287"/>
        <v>0.28288288288288288</v>
      </c>
      <c r="AJ41" s="251">
        <f t="shared" si="287"/>
        <v>-0.18728222996515678</v>
      </c>
      <c r="AK41" s="251">
        <f t="shared" si="287"/>
        <v>0.842443729903537</v>
      </c>
      <c r="AL41" s="1277">
        <f t="shared" si="287"/>
        <v>-0.12033195020746888</v>
      </c>
      <c r="AM41" s="251">
        <f t="shared" si="287"/>
        <v>-3.4057545507927188E-2</v>
      </c>
      <c r="AN41" s="251">
        <f t="shared" si="287"/>
        <v>-0.84708737864077666</v>
      </c>
      <c r="AO41" s="1295">
        <f t="shared" si="287"/>
        <v>0.22540666150271108</v>
      </c>
      <c r="AP41" s="251">
        <f t="shared" ref="AP41:AS41" si="290">-AP40/(AP38-AP25-AP26)</f>
        <v>5.7275541795665637E-2</v>
      </c>
      <c r="AQ41" s="251">
        <f t="shared" si="290"/>
        <v>0.26176713459950451</v>
      </c>
      <c r="AR41" s="251">
        <f t="shared" si="290"/>
        <v>0.36380255941499084</v>
      </c>
      <c r="AS41" s="1277">
        <f t="shared" si="290"/>
        <v>0.52631578947368418</v>
      </c>
      <c r="AT41" s="251">
        <f t="shared" ref="AT41:AU41" si="291">-AT40/(AT38-AT25-AT26)</f>
        <v>0.19063004846526657</v>
      </c>
      <c r="AU41" s="251">
        <f t="shared" si="291"/>
        <v>0.49354957611500183</v>
      </c>
      <c r="AV41" s="1295">
        <f t="shared" si="287"/>
        <v>0.37045951859956239</v>
      </c>
      <c r="AW41" s="251">
        <f t="shared" si="287"/>
        <v>-0.1111111111111111</v>
      </c>
      <c r="AX41" s="251">
        <f t="shared" si="287"/>
        <v>0.25492341356673959</v>
      </c>
      <c r="AY41" s="251">
        <f t="shared" si="287"/>
        <v>0.37474541751527496</v>
      </c>
      <c r="AZ41" s="1277">
        <f t="shared" si="287"/>
        <v>0.5292397660818714</v>
      </c>
      <c r="BA41" s="251">
        <f t="shared" si="287"/>
        <v>0.14964925954793454</v>
      </c>
      <c r="BB41" s="251">
        <f t="shared" si="287"/>
        <v>0.49941014549744395</v>
      </c>
      <c r="BC41" s="1295">
        <f t="shared" si="287"/>
        <v>0.38212232096184007</v>
      </c>
      <c r="BD41" s="251">
        <f t="shared" ref="BD41:BI41" si="292">-BD40/(BD38-BD25-BD26)</f>
        <v>-0.19327731092436976</v>
      </c>
      <c r="BE41" s="251">
        <f t="shared" si="292"/>
        <v>0.63903281519861832</v>
      </c>
      <c r="BF41" s="251">
        <f t="shared" si="292"/>
        <v>0.33448038540949759</v>
      </c>
      <c r="BG41" s="1277">
        <f t="shared" si="292"/>
        <v>0.23027295285359803</v>
      </c>
      <c r="BH41" s="251">
        <f t="shared" si="292"/>
        <v>0.39657282741738065</v>
      </c>
      <c r="BI41" s="251">
        <f t="shared" si="292"/>
        <v>0.27393310265282583</v>
      </c>
      <c r="BJ41" s="1295">
        <f t="shared" si="287"/>
        <v>0.297316219369895</v>
      </c>
      <c r="BK41" s="251">
        <f t="shared" si="287"/>
        <v>0.6811594202898551</v>
      </c>
      <c r="BL41" s="251">
        <f t="shared" si="287"/>
        <v>0.3350574712643678</v>
      </c>
      <c r="BM41" s="251">
        <f t="shared" si="287"/>
        <v>0.26287878787878788</v>
      </c>
      <c r="BN41" s="1277">
        <f t="shared" si="287"/>
        <v>-0.63964386129334583</v>
      </c>
      <c r="BO41" s="251">
        <f t="shared" si="287"/>
        <v>0.36048988285410011</v>
      </c>
      <c r="BP41" s="251">
        <f t="shared" si="287"/>
        <v>-2.1031941031941033</v>
      </c>
      <c r="BQ41" s="1295">
        <f t="shared" si="287"/>
        <v>2.2453007518796992</v>
      </c>
      <c r="BR41" s="251">
        <f t="shared" ref="BR41:BS41" si="293">-BR40/(BR38-BR25-BR26)</f>
        <v>-0.23618090452261306</v>
      </c>
      <c r="BS41" s="251">
        <f t="shared" si="293"/>
        <v>9.9371069182389943E-2</v>
      </c>
      <c r="BT41" s="251">
        <f t="shared" ref="BT41" si="294">-BT40/(BT38-BT25-BT26)</f>
        <v>0.14631463146314633</v>
      </c>
      <c r="BU41" s="1277">
        <f t="shared" ref="BU41" si="295">-BU40/(BU38-BU25-BU26)</f>
        <v>0.13355970571590267</v>
      </c>
      <c r="BV41" s="251">
        <f t="shared" ref="BV41" si="296">-BV40/(BV38-BV25-BV26)</f>
        <v>3.2193158953722337E-2</v>
      </c>
      <c r="BW41" s="251">
        <f t="shared" ref="BW41" si="297">-BW40/(BW38-BW25-BW26)</f>
        <v>0.12004662004662005</v>
      </c>
      <c r="BX41" s="1295">
        <f t="shared" si="287"/>
        <v>-3.4513274336283185E-2</v>
      </c>
      <c r="BY41" s="251">
        <f t="shared" si="287"/>
        <v>0.33589251439539347</v>
      </c>
      <c r="BZ41" s="251">
        <f t="shared" si="287"/>
        <v>0.14613970588235295</v>
      </c>
      <c r="CA41" s="251">
        <f t="shared" si="287"/>
        <v>0.32218309859154931</v>
      </c>
      <c r="CB41" s="1277">
        <f t="shared" si="287"/>
        <v>0.10045402951191827</v>
      </c>
      <c r="CC41" s="251">
        <f t="shared" si="287"/>
        <v>0.18279569892473119</v>
      </c>
      <c r="CD41" s="251">
        <f t="shared" si="287"/>
        <v>0.15450643776824036</v>
      </c>
      <c r="CE41" s="1295">
        <f t="shared" si="287"/>
        <v>0.16968370797692461</v>
      </c>
      <c r="CF41" s="251">
        <f t="shared" ref="CF41:CK41" si="298">-CF40/(CF38-CF25-CF26)</f>
        <v>0.25203761755485893</v>
      </c>
      <c r="CG41" s="251">
        <f t="shared" si="298"/>
        <v>0.40329972502291478</v>
      </c>
      <c r="CH41" s="251">
        <f t="shared" si="298"/>
        <v>-0.13214285714285715</v>
      </c>
      <c r="CI41" s="1277">
        <f t="shared" si="298"/>
        <v>9.3493712411153632E-2</v>
      </c>
      <c r="CJ41" s="251">
        <f t="shared" si="298"/>
        <v>0.31347728965003724</v>
      </c>
      <c r="CK41" s="251">
        <f t="shared" si="298"/>
        <v>4.0602762662201759E-2</v>
      </c>
      <c r="CL41" s="1295">
        <f t="shared" si="287"/>
        <v>0.18502463054187193</v>
      </c>
      <c r="CM41" s="251">
        <f t="shared" ref="CM41:CO41" si="299">-CM40/(CM38-CM25-CM26)</f>
        <v>0.18738404452690166</v>
      </c>
      <c r="CN41" s="251">
        <f t="shared" si="299"/>
        <v>0.30068965517241381</v>
      </c>
      <c r="CO41" s="251">
        <f t="shared" si="299"/>
        <v>0.20125786163522014</v>
      </c>
      <c r="CP41" s="1277">
        <f t="shared" ref="CP41:CR41" si="300">-CP40/(CP38-CP25-CP26)</f>
        <v>0.23384446878422782</v>
      </c>
      <c r="CQ41" s="251">
        <f t="shared" si="300"/>
        <v>0.26998491704374056</v>
      </c>
      <c r="CR41" s="251">
        <f t="shared" si="300"/>
        <v>0.22266187050359712</v>
      </c>
      <c r="CS41" s="1295">
        <f t="shared" ref="CS41:CT41" si="301">-CS40/(CS38-CS25-CS26)</f>
        <v>0.24239882574963303</v>
      </c>
      <c r="CT41" s="251">
        <f t="shared" si="301"/>
        <v>0.3412887828162291</v>
      </c>
      <c r="CU41" s="251">
        <f t="shared" ref="CU41:CW41" si="302">-CU40/(CU38-CU25-CU26)</f>
        <v>0.64509803921568631</v>
      </c>
      <c r="CV41" s="251">
        <f t="shared" si="302"/>
        <v>0.24959999999999999</v>
      </c>
      <c r="CW41" s="1277">
        <f t="shared" si="302"/>
        <v>0.14856738592147153</v>
      </c>
      <c r="CX41" s="251">
        <f t="shared" ref="CX41:DD41" si="303">-CX40/(CX38-CX25-CX26)</f>
        <v>0.45623145400593473</v>
      </c>
      <c r="CY41" s="251">
        <f t="shared" si="303"/>
        <v>0.17954378219278883</v>
      </c>
      <c r="CZ41" s="1295">
        <f t="shared" si="303"/>
        <v>0.24829493087557603</v>
      </c>
      <c r="DA41" s="251">
        <f t="shared" si="303"/>
        <v>0.31901279707495428</v>
      </c>
      <c r="DB41" s="251">
        <f t="shared" si="303"/>
        <v>0.30997038499506419</v>
      </c>
      <c r="DC41" s="251">
        <f t="shared" si="303"/>
        <v>0.33517156862745096</v>
      </c>
      <c r="DD41" s="1277">
        <f t="shared" si="303"/>
        <v>6.8939103791650705E-2</v>
      </c>
      <c r="DE41" s="251">
        <f t="shared" ref="DE41:DI41" si="304">-DE40/(DE38-DE25-DE26)</f>
        <v>0.31466540104413859</v>
      </c>
      <c r="DF41" s="251">
        <f t="shared" si="304"/>
        <v>0.17134103228847514</v>
      </c>
      <c r="DG41" s="1275">
        <f t="shared" si="304"/>
        <v>0.2188976377952756</v>
      </c>
      <c r="DH41" s="251">
        <f t="shared" si="304"/>
        <v>0.20144927536231885</v>
      </c>
      <c r="DI41" s="251">
        <f t="shared" si="304"/>
        <v>0.27353859883980364</v>
      </c>
      <c r="DJ41" s="900">
        <f t="shared" ref="DJ41:DM41" si="305">-DJ40/(DJ38-DJ25-DJ26)</f>
        <v>0.25</v>
      </c>
      <c r="DK41" s="1114">
        <f t="shared" si="305"/>
        <v>0.24332709519070736</v>
      </c>
      <c r="DL41" s="2025">
        <f t="shared" si="305"/>
        <v>0.25656772432616853</v>
      </c>
      <c r="DM41" s="900">
        <f t="shared" si="305"/>
        <v>0.24600340754193514</v>
      </c>
      <c r="DN41" s="648">
        <v>0.25</v>
      </c>
      <c r="DO41" s="900">
        <f t="shared" ref="DO41:DT41" si="306">-DO40/(DO38-DO25-DO26)</f>
        <v>0.25</v>
      </c>
      <c r="DP41" s="900">
        <f t="shared" si="306"/>
        <v>0.25000000000000011</v>
      </c>
      <c r="DQ41" s="900">
        <f t="shared" si="306"/>
        <v>0.25</v>
      </c>
      <c r="DR41" s="1114">
        <f t="shared" si="306"/>
        <v>0.24999999999999992</v>
      </c>
      <c r="DS41" s="900">
        <f t="shared" si="306"/>
        <v>0.25</v>
      </c>
      <c r="DT41" s="900">
        <f t="shared" si="306"/>
        <v>0.24999999999999994</v>
      </c>
      <c r="DU41" s="755">
        <f>DN41</f>
        <v>0.25</v>
      </c>
      <c r="DV41" s="900">
        <f t="shared" ref="DV41:EA41" si="307">-DV40/(DV38-DV25-DV26)</f>
        <v>0.25</v>
      </c>
      <c r="DW41" s="900">
        <f t="shared" si="307"/>
        <v>0.25</v>
      </c>
      <c r="DX41" s="900">
        <f t="shared" si="307"/>
        <v>0.25</v>
      </c>
      <c r="DY41" s="1114">
        <f t="shared" si="307"/>
        <v>0.25000000000000011</v>
      </c>
      <c r="DZ41" s="900">
        <f t="shared" si="307"/>
        <v>0.25</v>
      </c>
      <c r="EA41" s="900">
        <f t="shared" si="307"/>
        <v>0.25000000000000006</v>
      </c>
      <c r="EB41" s="755">
        <f>DU41</f>
        <v>0.25</v>
      </c>
      <c r="EC41" s="900">
        <f t="shared" ref="EC41:EH41" si="308">-EC40/(EC38-EC25-EC26)</f>
        <v>0.25</v>
      </c>
      <c r="ED41" s="900">
        <f t="shared" si="308"/>
        <v>0.25000000000000006</v>
      </c>
      <c r="EE41" s="900">
        <f t="shared" si="308"/>
        <v>0.25</v>
      </c>
      <c r="EF41" s="1114">
        <f t="shared" si="308"/>
        <v>0.24999999999999994</v>
      </c>
      <c r="EG41" s="900">
        <f t="shared" si="308"/>
        <v>0.25</v>
      </c>
      <c r="EH41" s="900">
        <f t="shared" si="308"/>
        <v>0.24999999999999994</v>
      </c>
      <c r="EI41" s="755">
        <f>EB41</f>
        <v>0.25</v>
      </c>
      <c r="EJ41" s="900">
        <f t="shared" ref="EJ41:EO41" si="309">-EJ40/(EJ38-EJ25-EJ26)</f>
        <v>0.25</v>
      </c>
      <c r="EK41" s="900">
        <f t="shared" si="309"/>
        <v>0.25</v>
      </c>
      <c r="EL41" s="900">
        <f t="shared" si="309"/>
        <v>0.25</v>
      </c>
      <c r="EM41" s="1114">
        <f t="shared" si="309"/>
        <v>0.25</v>
      </c>
      <c r="EN41" s="900">
        <f t="shared" si="309"/>
        <v>0.25</v>
      </c>
      <c r="EO41" s="900">
        <f t="shared" si="309"/>
        <v>0.25</v>
      </c>
      <c r="EP41" s="755">
        <f t="shared" ref="EP41" si="310">EI41</f>
        <v>0.25</v>
      </c>
      <c r="EQ41" s="3"/>
      <c r="ER41" s="46"/>
    </row>
    <row r="42" spans="1:148" ht="10.199999999999999" customHeight="1">
      <c r="A42" s="48" t="s">
        <v>255</v>
      </c>
      <c r="B42" s="48"/>
      <c r="C42" s="126">
        <f t="shared" ref="C42:EP42" si="311">+C38+C40</f>
        <v>-266</v>
      </c>
      <c r="D42" s="126">
        <f t="shared" si="311"/>
        <v>404</v>
      </c>
      <c r="E42" s="126">
        <f t="shared" si="311"/>
        <v>1221</v>
      </c>
      <c r="F42" s="126">
        <f t="shared" si="311"/>
        <v>1710</v>
      </c>
      <c r="G42" s="126">
        <f t="shared" si="311"/>
        <v>115</v>
      </c>
      <c r="H42" s="126">
        <f t="shared" si="311"/>
        <v>-437</v>
      </c>
      <c r="I42" s="126">
        <f t="shared" si="311"/>
        <v>1597</v>
      </c>
      <c r="J42" s="126">
        <f t="shared" si="311"/>
        <v>-752</v>
      </c>
      <c r="K42" s="126">
        <f t="shared" si="311"/>
        <v>572</v>
      </c>
      <c r="L42" s="126">
        <f t="shared" si="311"/>
        <v>1037</v>
      </c>
      <c r="M42" s="126">
        <f t="shared" si="311"/>
        <v>1229</v>
      </c>
      <c r="N42" s="126">
        <f t="shared" ref="N42:S42" si="312">+N38+N40</f>
        <v>229</v>
      </c>
      <c r="O42" s="126">
        <f t="shared" si="312"/>
        <v>530</v>
      </c>
      <c r="P42" s="126">
        <f t="shared" si="312"/>
        <v>446</v>
      </c>
      <c r="Q42" s="1276">
        <f t="shared" si="312"/>
        <v>278</v>
      </c>
      <c r="R42" s="126">
        <f t="shared" si="312"/>
        <v>759</v>
      </c>
      <c r="S42" s="126">
        <f t="shared" si="312"/>
        <v>724</v>
      </c>
      <c r="T42" s="1082">
        <f t="shared" si="311"/>
        <v>1483</v>
      </c>
      <c r="U42" s="126">
        <f t="shared" si="311"/>
        <v>436</v>
      </c>
      <c r="V42" s="126">
        <f t="shared" si="311"/>
        <v>705</v>
      </c>
      <c r="W42" s="126">
        <f t="shared" si="311"/>
        <v>267</v>
      </c>
      <c r="X42" s="1276">
        <f t="shared" si="311"/>
        <v>942</v>
      </c>
      <c r="Y42" s="126">
        <f t="shared" si="311"/>
        <v>1141</v>
      </c>
      <c r="Z42" s="126">
        <f t="shared" si="311"/>
        <v>1209</v>
      </c>
      <c r="AA42" s="1082">
        <f t="shared" si="311"/>
        <v>2350</v>
      </c>
      <c r="AB42" s="126">
        <f t="shared" ref="AB42:AG42" si="313">+AB38+AB40</f>
        <v>795</v>
      </c>
      <c r="AC42" s="126">
        <f t="shared" si="313"/>
        <v>736</v>
      </c>
      <c r="AD42" s="126">
        <f t="shared" si="313"/>
        <v>371</v>
      </c>
      <c r="AE42" s="1276">
        <f t="shared" si="313"/>
        <v>796</v>
      </c>
      <c r="AF42" s="126">
        <f t="shared" si="313"/>
        <v>1531</v>
      </c>
      <c r="AG42" s="126">
        <f t="shared" si="313"/>
        <v>1167</v>
      </c>
      <c r="AH42" s="1082">
        <f t="shared" si="311"/>
        <v>2698</v>
      </c>
      <c r="AI42" s="126">
        <f t="shared" si="311"/>
        <v>398</v>
      </c>
      <c r="AJ42" s="126">
        <f t="shared" si="311"/>
        <v>1363</v>
      </c>
      <c r="AK42" s="126">
        <f t="shared" si="311"/>
        <v>49</v>
      </c>
      <c r="AL42" s="1276">
        <f t="shared" si="311"/>
        <v>-810</v>
      </c>
      <c r="AM42" s="126">
        <f t="shared" si="311"/>
        <v>1761</v>
      </c>
      <c r="AN42" s="126">
        <f t="shared" si="311"/>
        <v>-761</v>
      </c>
      <c r="AO42" s="1082">
        <f t="shared" si="311"/>
        <v>1000</v>
      </c>
      <c r="AP42" s="126">
        <f t="shared" ref="AP42:AS42" si="314">+AP38+AP40</f>
        <v>609</v>
      </c>
      <c r="AQ42" s="126">
        <f t="shared" si="314"/>
        <v>894</v>
      </c>
      <c r="AR42" s="126">
        <f t="shared" si="314"/>
        <v>348</v>
      </c>
      <c r="AS42" s="1276">
        <f t="shared" si="314"/>
        <v>1026</v>
      </c>
      <c r="AT42" s="126">
        <f t="shared" ref="AT42:AU42" si="315">+AT38+AT40</f>
        <v>1503</v>
      </c>
      <c r="AU42" s="126">
        <f t="shared" si="315"/>
        <v>1374</v>
      </c>
      <c r="AV42" s="1082">
        <f t="shared" si="311"/>
        <v>2877</v>
      </c>
      <c r="AW42" s="126">
        <f t="shared" si="311"/>
        <v>410</v>
      </c>
      <c r="AX42" s="126">
        <f t="shared" si="311"/>
        <v>681</v>
      </c>
      <c r="AY42" s="126">
        <f t="shared" si="311"/>
        <v>307</v>
      </c>
      <c r="AZ42" s="1276">
        <f t="shared" si="311"/>
        <v>966</v>
      </c>
      <c r="BA42" s="126">
        <f t="shared" si="311"/>
        <v>1091</v>
      </c>
      <c r="BB42" s="126">
        <f t="shared" si="311"/>
        <v>1273</v>
      </c>
      <c r="BC42" s="1082">
        <f t="shared" si="311"/>
        <v>2364</v>
      </c>
      <c r="BD42" s="126">
        <f t="shared" ref="BD42:BI42" si="316">+BD38+BD40</f>
        <v>284</v>
      </c>
      <c r="BE42" s="126">
        <f t="shared" si="316"/>
        <v>209</v>
      </c>
      <c r="BF42" s="126">
        <f t="shared" si="316"/>
        <v>967</v>
      </c>
      <c r="BG42" s="1276">
        <f t="shared" si="316"/>
        <v>1551</v>
      </c>
      <c r="BH42" s="126">
        <f t="shared" si="316"/>
        <v>493</v>
      </c>
      <c r="BI42" s="126">
        <f t="shared" si="316"/>
        <v>2518</v>
      </c>
      <c r="BJ42" s="1082">
        <f t="shared" si="311"/>
        <v>3011</v>
      </c>
      <c r="BK42" s="126">
        <f t="shared" si="311"/>
        <v>44</v>
      </c>
      <c r="BL42" s="126">
        <f t="shared" si="311"/>
        <v>1157</v>
      </c>
      <c r="BM42" s="126">
        <f t="shared" si="311"/>
        <v>973</v>
      </c>
      <c r="BN42" s="1276">
        <f t="shared" si="311"/>
        <v>-3499</v>
      </c>
      <c r="BO42" s="126">
        <f t="shared" si="311"/>
        <v>1201</v>
      </c>
      <c r="BP42" s="126">
        <f t="shared" si="311"/>
        <v>-2526</v>
      </c>
      <c r="BQ42" s="1082">
        <f t="shared" si="311"/>
        <v>-1325</v>
      </c>
      <c r="BR42" s="126">
        <f t="shared" ref="BR42:BS42" si="317">+BR38+BR40</f>
        <v>-492</v>
      </c>
      <c r="BS42" s="126">
        <f t="shared" si="317"/>
        <v>-1432</v>
      </c>
      <c r="BT42" s="126">
        <f t="shared" ref="BT42" si="318">+BT38+BT40</f>
        <v>-776</v>
      </c>
      <c r="BU42" s="1276">
        <f t="shared" ref="BU42" si="319">+BU38+BU40</f>
        <v>1531</v>
      </c>
      <c r="BV42" s="126">
        <f t="shared" ref="BV42" si="320">+BV38+BV40</f>
        <v>-1924</v>
      </c>
      <c r="BW42" s="126">
        <f t="shared" ref="BW42" si="321">+BW38+BW40</f>
        <v>755</v>
      </c>
      <c r="BX42" s="1082">
        <f t="shared" si="311"/>
        <v>-1169</v>
      </c>
      <c r="BY42" s="126">
        <f t="shared" si="311"/>
        <v>346</v>
      </c>
      <c r="BZ42" s="126">
        <f t="shared" si="311"/>
        <v>1858</v>
      </c>
      <c r="CA42" s="126">
        <f t="shared" si="311"/>
        <v>385</v>
      </c>
      <c r="CB42" s="1276">
        <f t="shared" si="311"/>
        <v>1585</v>
      </c>
      <c r="CC42" s="126">
        <f t="shared" si="311"/>
        <v>2204</v>
      </c>
      <c r="CD42" s="126">
        <f t="shared" si="311"/>
        <v>1970</v>
      </c>
      <c r="CE42" s="1082">
        <f t="shared" si="311"/>
        <v>4174</v>
      </c>
      <c r="CF42" s="126">
        <f t="shared" ref="CF42:CK42" si="322">+CF38+CF40</f>
        <v>1193</v>
      </c>
      <c r="CG42" s="126">
        <f t="shared" si="322"/>
        <v>651</v>
      </c>
      <c r="CH42" s="126">
        <f t="shared" si="322"/>
        <v>634</v>
      </c>
      <c r="CI42" s="1276">
        <f t="shared" si="322"/>
        <v>1658</v>
      </c>
      <c r="CJ42" s="126">
        <f t="shared" si="322"/>
        <v>1844</v>
      </c>
      <c r="CK42" s="126">
        <f t="shared" si="322"/>
        <v>2292</v>
      </c>
      <c r="CL42" s="1082">
        <f t="shared" si="311"/>
        <v>4136</v>
      </c>
      <c r="CM42" s="126">
        <f t="shared" si="311"/>
        <v>438</v>
      </c>
      <c r="CN42" s="126">
        <f t="shared" si="311"/>
        <v>1014</v>
      </c>
      <c r="CO42" s="126">
        <f t="shared" si="311"/>
        <v>762</v>
      </c>
      <c r="CP42" s="1276">
        <f t="shared" ref="CP42:CR42" si="323">+CP38+CP40</f>
        <v>1399</v>
      </c>
      <c r="CQ42" s="126">
        <f t="shared" si="323"/>
        <v>1452</v>
      </c>
      <c r="CR42" s="126">
        <f t="shared" si="323"/>
        <v>2161</v>
      </c>
      <c r="CS42" s="1082">
        <f t="shared" ref="CS42:CT42" si="324">+CS38+CS40</f>
        <v>3613</v>
      </c>
      <c r="CT42" s="126">
        <f t="shared" si="324"/>
        <v>552</v>
      </c>
      <c r="CU42" s="126">
        <f t="shared" ref="CU42:CW42" si="325">+CU38+CU40</f>
        <v>181</v>
      </c>
      <c r="CV42" s="126">
        <f t="shared" si="325"/>
        <v>938</v>
      </c>
      <c r="CW42" s="1276">
        <f t="shared" si="325"/>
        <v>2407</v>
      </c>
      <c r="CX42" s="126">
        <f t="shared" ref="CX42:DB42" si="326">+CX38+CX40</f>
        <v>733</v>
      </c>
      <c r="CY42" s="126">
        <f t="shared" si="326"/>
        <v>3345</v>
      </c>
      <c r="CZ42" s="1082">
        <f t="shared" si="326"/>
        <v>4078</v>
      </c>
      <c r="DA42" s="126">
        <f t="shared" si="326"/>
        <v>745</v>
      </c>
      <c r="DB42" s="126">
        <f t="shared" si="326"/>
        <v>699</v>
      </c>
      <c r="DC42" s="126">
        <f t="shared" ref="DC42:DI42" si="327">+DC38+DC40</f>
        <v>1085</v>
      </c>
      <c r="DD42" s="1276">
        <f t="shared" si="327"/>
        <v>2431</v>
      </c>
      <c r="DE42" s="126">
        <f t="shared" si="327"/>
        <v>1444</v>
      </c>
      <c r="DF42" s="126">
        <f t="shared" si="327"/>
        <v>3516</v>
      </c>
      <c r="DG42" s="1274">
        <f t="shared" si="327"/>
        <v>4960</v>
      </c>
      <c r="DH42" s="126">
        <f t="shared" si="327"/>
        <v>551</v>
      </c>
      <c r="DI42" s="126">
        <f t="shared" si="327"/>
        <v>1628</v>
      </c>
      <c r="DJ42" s="884">
        <f t="shared" ref="DJ42:DM42" si="328">+DJ38+DJ40</f>
        <v>1448.8519230070176</v>
      </c>
      <c r="DK42" s="1515">
        <f t="shared" si="328"/>
        <v>2182.850472749783</v>
      </c>
      <c r="DL42" s="2012">
        <f t="shared" si="328"/>
        <v>2179</v>
      </c>
      <c r="DM42" s="884">
        <f t="shared" si="328"/>
        <v>3631.7023957568008</v>
      </c>
      <c r="DN42" s="1486">
        <f t="shared" si="311"/>
        <v>5810.7023957568008</v>
      </c>
      <c r="DO42" s="884">
        <f t="shared" si="311"/>
        <v>1561.4620378305744</v>
      </c>
      <c r="DP42" s="884">
        <f t="shared" si="311"/>
        <v>1760.5111632856515</v>
      </c>
      <c r="DQ42" s="884">
        <f t="shared" si="311"/>
        <v>1743.3662082716694</v>
      </c>
      <c r="DR42" s="1515">
        <f t="shared" si="311"/>
        <v>1958.0427847652929</v>
      </c>
      <c r="DS42" s="884">
        <f t="shared" si="311"/>
        <v>3321.9732011162268</v>
      </c>
      <c r="DT42" s="884">
        <f t="shared" si="311"/>
        <v>3701.4089930369623</v>
      </c>
      <c r="DU42" s="1486">
        <f t="shared" si="311"/>
        <v>7023.3821941531878</v>
      </c>
      <c r="DV42" s="884">
        <f t="shared" si="311"/>
        <v>1971.8130436506262</v>
      </c>
      <c r="DW42" s="884">
        <f t="shared" si="311"/>
        <v>2183.2502721643232</v>
      </c>
      <c r="DX42" s="884">
        <f t="shared" si="311"/>
        <v>2169.5540562511269</v>
      </c>
      <c r="DY42" s="1515">
        <f t="shared" si="311"/>
        <v>2464.0642935425626</v>
      </c>
      <c r="DZ42" s="884">
        <f t="shared" si="311"/>
        <v>4155.0633158149494</v>
      </c>
      <c r="EA42" s="884">
        <f t="shared" si="311"/>
        <v>4633.618349793689</v>
      </c>
      <c r="EB42" s="1486">
        <f t="shared" si="311"/>
        <v>8788.6816656086412</v>
      </c>
      <c r="EC42" s="884">
        <f t="shared" si="311"/>
        <v>2259.0223168024772</v>
      </c>
      <c r="ED42" s="884">
        <f t="shared" si="311"/>
        <v>2354.1839878017236</v>
      </c>
      <c r="EE42" s="884">
        <f t="shared" si="311"/>
        <v>2339.827080349708</v>
      </c>
      <c r="EF42" s="1515">
        <f t="shared" si="311"/>
        <v>2660.5901213015104</v>
      </c>
      <c r="EG42" s="884">
        <f t="shared" si="311"/>
        <v>4613.2063046042013</v>
      </c>
      <c r="EH42" s="884">
        <f t="shared" si="311"/>
        <v>5000.4172016512193</v>
      </c>
      <c r="EI42" s="1486">
        <f t="shared" si="311"/>
        <v>9613.6235062554188</v>
      </c>
      <c r="EJ42" s="884">
        <f t="shared" si="311"/>
        <v>2415.0224141397111</v>
      </c>
      <c r="EK42" s="884">
        <f t="shared" si="311"/>
        <v>2515.6401523498985</v>
      </c>
      <c r="EL42" s="884">
        <f t="shared" si="311"/>
        <v>2509.1848954027728</v>
      </c>
      <c r="EM42" s="1515">
        <f t="shared" si="311"/>
        <v>2827.5853688918451</v>
      </c>
      <c r="EN42" s="884">
        <f t="shared" si="311"/>
        <v>4930.6625664896092</v>
      </c>
      <c r="EO42" s="884">
        <f t="shared" si="311"/>
        <v>5336.7702642946178</v>
      </c>
      <c r="EP42" s="1486">
        <f t="shared" si="311"/>
        <v>10267.432830784228</v>
      </c>
      <c r="EQ42" s="147"/>
      <c r="ER42" s="148"/>
    </row>
    <row r="43" spans="1:148" ht="10.199999999999999" customHeight="1">
      <c r="A43" s="43"/>
      <c r="B43" s="108"/>
      <c r="C43" s="203"/>
      <c r="D43" s="823">
        <f>(D42-C42)/$D$73</f>
        <v>0.83649907866243567</v>
      </c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700"/>
      <c r="R43" s="108"/>
      <c r="S43" s="108"/>
      <c r="T43" s="538"/>
      <c r="U43" s="108"/>
      <c r="V43" s="108"/>
      <c r="W43" s="108"/>
      <c r="X43" s="700"/>
      <c r="Y43" s="108"/>
      <c r="Z43" s="108"/>
      <c r="AA43" s="538"/>
      <c r="AB43" s="108"/>
      <c r="AC43" s="108"/>
      <c r="AD43" s="108"/>
      <c r="AE43" s="700"/>
      <c r="AF43" s="108"/>
      <c r="AG43" s="108"/>
      <c r="AH43" s="538"/>
      <c r="AI43" s="108"/>
      <c r="AJ43" s="108"/>
      <c r="AK43" s="108"/>
      <c r="AL43" s="700"/>
      <c r="AM43" s="108"/>
      <c r="AN43" s="108"/>
      <c r="AO43" s="538"/>
      <c r="AP43" s="108"/>
      <c r="AQ43" s="108"/>
      <c r="AR43" s="108"/>
      <c r="AS43" s="700"/>
      <c r="AT43" s="108"/>
      <c r="AU43" s="108"/>
      <c r="AV43" s="538"/>
      <c r="AW43" s="108"/>
      <c r="AX43" s="108"/>
      <c r="AY43" s="108"/>
      <c r="AZ43" s="700"/>
      <c r="BA43" s="108"/>
      <c r="BB43" s="108"/>
      <c r="BC43" s="538"/>
      <c r="BD43" s="108"/>
      <c r="BE43" s="108"/>
      <c r="BF43" s="108"/>
      <c r="BG43" s="700"/>
      <c r="BH43" s="108"/>
      <c r="BI43" s="108"/>
      <c r="BJ43" s="538"/>
      <c r="BK43" s="108"/>
      <c r="BL43" s="108"/>
      <c r="BM43" s="108"/>
      <c r="BN43" s="700"/>
      <c r="BO43" s="108"/>
      <c r="BP43" s="108"/>
      <c r="BQ43" s="538"/>
      <c r="BR43" s="108"/>
      <c r="BS43" s="108"/>
      <c r="BT43" s="108"/>
      <c r="BU43" s="700"/>
      <c r="BV43" s="108"/>
      <c r="BW43" s="108"/>
      <c r="BX43" s="538"/>
      <c r="BY43" s="108"/>
      <c r="BZ43" s="108"/>
      <c r="CA43" s="108"/>
      <c r="CB43" s="700"/>
      <c r="CC43" s="108"/>
      <c r="CD43" s="108"/>
      <c r="CE43" s="538"/>
      <c r="CF43" s="108"/>
      <c r="CG43" s="108"/>
      <c r="CH43" s="108"/>
      <c r="CI43" s="700"/>
      <c r="CJ43" s="108"/>
      <c r="CK43" s="108"/>
      <c r="CL43" s="538"/>
      <c r="CM43" s="108"/>
      <c r="CN43" s="108"/>
      <c r="CO43" s="108"/>
      <c r="CP43" s="700"/>
      <c r="CQ43" s="108"/>
      <c r="CR43" s="108"/>
      <c r="CS43" s="538"/>
      <c r="CT43" s="3"/>
      <c r="CU43" s="3"/>
      <c r="CV43" s="3"/>
      <c r="CW43" s="700"/>
      <c r="CX43" s="3"/>
      <c r="CY43" s="108"/>
      <c r="CZ43" s="538"/>
      <c r="DA43" s="3"/>
      <c r="DB43" s="3"/>
      <c r="DC43" s="3"/>
      <c r="DD43" s="700"/>
      <c r="DE43" s="3"/>
      <c r="DF43" s="108"/>
      <c r="DG43" s="313"/>
      <c r="DH43" s="3"/>
      <c r="DI43" s="3"/>
      <c r="DJ43" s="3"/>
      <c r="DK43" s="1509"/>
      <c r="DL43" s="1879"/>
      <c r="DM43" s="3"/>
      <c r="DN43" s="1479"/>
      <c r="DO43" s="3"/>
      <c r="DP43" s="3"/>
      <c r="DQ43" s="3"/>
      <c r="DR43" s="1509"/>
      <c r="DS43" s="3"/>
      <c r="DT43" s="3"/>
      <c r="DU43" s="1479"/>
      <c r="DV43" s="3"/>
      <c r="DW43" s="3"/>
      <c r="DX43" s="3"/>
      <c r="DY43" s="1509"/>
      <c r="DZ43" s="3"/>
      <c r="EA43" s="3"/>
      <c r="EB43" s="1479"/>
      <c r="EC43" s="3"/>
      <c r="ED43" s="3"/>
      <c r="EE43" s="3"/>
      <c r="EF43" s="1509"/>
      <c r="EG43" s="3"/>
      <c r="EH43" s="3"/>
      <c r="EI43" s="1479"/>
      <c r="EJ43" s="3"/>
      <c r="EK43" s="3"/>
      <c r="EL43" s="3"/>
      <c r="EM43" s="1509"/>
      <c r="EN43" s="3"/>
      <c r="EO43" s="3"/>
      <c r="EP43" s="1479"/>
      <c r="EQ43" s="43"/>
      <c r="ER43" s="149"/>
    </row>
    <row r="44" spans="1:148" ht="10.199999999999999" customHeight="1">
      <c r="A44" s="43" t="s">
        <v>106</v>
      </c>
      <c r="B44" s="108"/>
      <c r="C44" s="203">
        <v>-33</v>
      </c>
      <c r="D44" s="203">
        <v>-66</v>
      </c>
      <c r="E44" s="203">
        <v>-18</v>
      </c>
      <c r="F44" s="203">
        <v>-34</v>
      </c>
      <c r="G44" s="203">
        <v>-16</v>
      </c>
      <c r="H44" s="203">
        <v>-9</v>
      </c>
      <c r="I44" s="203">
        <v>-25</v>
      </c>
      <c r="J44" s="203">
        <v>-11</v>
      </c>
      <c r="K44" s="203">
        <v>-19</v>
      </c>
      <c r="L44" s="203">
        <v>-4</v>
      </c>
      <c r="M44" s="203">
        <v>-1</v>
      </c>
      <c r="N44" s="203">
        <v>-2</v>
      </c>
      <c r="O44" s="203">
        <f>R44-N44</f>
        <v>1</v>
      </c>
      <c r="P44" s="203">
        <f>-2-R44</f>
        <v>-1</v>
      </c>
      <c r="Q44" s="1448">
        <f>S44-P44</f>
        <v>-8</v>
      </c>
      <c r="R44" s="203">
        <v>-1</v>
      </c>
      <c r="S44" s="203">
        <f>T44-R44</f>
        <v>-9</v>
      </c>
      <c r="T44" s="1461">
        <v>-10</v>
      </c>
      <c r="U44" s="203">
        <v>3</v>
      </c>
      <c r="V44" s="203">
        <f>Y44-U44</f>
        <v>-9</v>
      </c>
      <c r="W44" s="203">
        <f>-9-Y44</f>
        <v>-3</v>
      </c>
      <c r="X44" s="1448">
        <f>Z44-W44</f>
        <v>2</v>
      </c>
      <c r="Y44" s="203">
        <v>-6</v>
      </c>
      <c r="Z44" s="203">
        <f>AA44-Y44</f>
        <v>-1</v>
      </c>
      <c r="AA44" s="1461">
        <v>-7</v>
      </c>
      <c r="AB44" s="203">
        <v>-3</v>
      </c>
      <c r="AC44" s="203">
        <f>AF44-AB44</f>
        <v>-4</v>
      </c>
      <c r="AD44" s="203">
        <f>-2-AF44</f>
        <v>5</v>
      </c>
      <c r="AE44" s="1448">
        <f>AG44-AD44</f>
        <v>0</v>
      </c>
      <c r="AF44" s="203">
        <v>-7</v>
      </c>
      <c r="AG44" s="203">
        <f>AH44-AF44</f>
        <v>5</v>
      </c>
      <c r="AH44" s="1461">
        <v>-2</v>
      </c>
      <c r="AI44" s="203">
        <v>1</v>
      </c>
      <c r="AJ44" s="203">
        <f>AM44-AI44</f>
        <v>-1</v>
      </c>
      <c r="AK44" s="203">
        <f>1-AM44</f>
        <v>1</v>
      </c>
      <c r="AL44" s="1448">
        <f>AN44-AK44</f>
        <v>-6</v>
      </c>
      <c r="AM44" s="203">
        <v>0</v>
      </c>
      <c r="AN44" s="203">
        <f>AO44-AM44</f>
        <v>-5</v>
      </c>
      <c r="AO44" s="1461">
        <v>-5</v>
      </c>
      <c r="AP44" s="203">
        <v>-1</v>
      </c>
      <c r="AQ44" s="203">
        <f>+AT44-AP44</f>
        <v>1</v>
      </c>
      <c r="AR44" s="203">
        <v>0</v>
      </c>
      <c r="AS44" s="1448">
        <f>AU44-AR44</f>
        <v>-4</v>
      </c>
      <c r="AT44" s="203">
        <v>0</v>
      </c>
      <c r="AU44" s="203">
        <f>AV44-AT44</f>
        <v>-4</v>
      </c>
      <c r="AV44" s="1461">
        <v>-4</v>
      </c>
      <c r="AW44" s="203">
        <v>-1</v>
      </c>
      <c r="AX44" s="203">
        <f>+BA44-AW44</f>
        <v>1</v>
      </c>
      <c r="AY44" s="203">
        <f>0-BA44</f>
        <v>0</v>
      </c>
      <c r="AZ44" s="1448">
        <f>BB44-AY44</f>
        <v>-3</v>
      </c>
      <c r="BA44" s="203">
        <v>0</v>
      </c>
      <c r="BB44" s="203">
        <f>BC44-BA44</f>
        <v>-3</v>
      </c>
      <c r="BC44" s="1461">
        <v>-3</v>
      </c>
      <c r="BD44" s="203">
        <v>-1</v>
      </c>
      <c r="BE44" s="203">
        <f>BH44-BD44</f>
        <v>4</v>
      </c>
      <c r="BF44" s="203">
        <f>-7-BH44</f>
        <v>-10</v>
      </c>
      <c r="BG44" s="1448">
        <f>BI44-BF44</f>
        <v>50</v>
      </c>
      <c r="BH44" s="203">
        <v>3</v>
      </c>
      <c r="BI44" s="203">
        <f>BJ44-BH44</f>
        <v>40</v>
      </c>
      <c r="BJ44" s="1461">
        <v>43</v>
      </c>
      <c r="BK44" s="203">
        <v>-4</v>
      </c>
      <c r="BL44" s="203">
        <f>BO44-BK44</f>
        <v>0</v>
      </c>
      <c r="BM44" s="203">
        <f>12-BO44</f>
        <v>16</v>
      </c>
      <c r="BN44" s="1448">
        <f>BP44-BM44</f>
        <v>-49</v>
      </c>
      <c r="BO44" s="203">
        <v>-4</v>
      </c>
      <c r="BP44" s="203">
        <f>BQ44-BO44</f>
        <v>-33</v>
      </c>
      <c r="BQ44" s="1461">
        <v>-37</v>
      </c>
      <c r="BR44" s="203">
        <v>11</v>
      </c>
      <c r="BS44" s="203">
        <f>BV44-BR44</f>
        <v>-6</v>
      </c>
      <c r="BT44" s="203">
        <f>14-BV44</f>
        <v>9</v>
      </c>
      <c r="BU44" s="1448">
        <f>BW44-BT44</f>
        <v>22</v>
      </c>
      <c r="BV44" s="203">
        <v>5</v>
      </c>
      <c r="BW44" s="203">
        <f>BX44-BV44</f>
        <v>31</v>
      </c>
      <c r="BX44" s="1461">
        <v>36</v>
      </c>
      <c r="BY44" s="203">
        <v>16</v>
      </c>
      <c r="BZ44" s="203">
        <f>CC44-BY44</f>
        <v>11</v>
      </c>
      <c r="CA44" s="203">
        <f>46-BY44-BZ44</f>
        <v>19</v>
      </c>
      <c r="CB44" s="1448">
        <f>CD44-CA44</f>
        <v>-7</v>
      </c>
      <c r="CC44" s="203">
        <v>27</v>
      </c>
      <c r="CD44" s="203">
        <f>CE44-CC44</f>
        <v>12</v>
      </c>
      <c r="CE44" s="1461">
        <v>39</v>
      </c>
      <c r="CF44" s="203">
        <v>26</v>
      </c>
      <c r="CG44" s="203">
        <f>+CJ44-CF44</f>
        <v>31</v>
      </c>
      <c r="CH44" s="203">
        <f>90-CF44-CG44</f>
        <v>33</v>
      </c>
      <c r="CI44" s="1448">
        <f>CK44-CH44</f>
        <v>21</v>
      </c>
      <c r="CJ44" s="203">
        <v>57</v>
      </c>
      <c r="CK44" s="203">
        <f>CL44-CJ44</f>
        <v>54</v>
      </c>
      <c r="CL44" s="1461">
        <v>111</v>
      </c>
      <c r="CM44" s="203">
        <v>28</v>
      </c>
      <c r="CN44" s="203">
        <f>CQ44-CM44</f>
        <v>46</v>
      </c>
      <c r="CO44" s="203">
        <v>44</v>
      </c>
      <c r="CP44" s="1448">
        <f>CR44-CO44</f>
        <v>58</v>
      </c>
      <c r="CQ44" s="203">
        <v>74</v>
      </c>
      <c r="CR44" s="203">
        <f>CS44-CQ44</f>
        <v>102</v>
      </c>
      <c r="CS44" s="1461">
        <v>176</v>
      </c>
      <c r="CT44" s="834">
        <v>43</v>
      </c>
      <c r="CU44" s="203">
        <f t="shared" ref="CU44" si="329">CX44-CT44</f>
        <v>49</v>
      </c>
      <c r="CV44" s="834">
        <v>45</v>
      </c>
      <c r="CW44" s="1448">
        <f>CY44-CV44</f>
        <v>17</v>
      </c>
      <c r="CX44" s="834">
        <v>92</v>
      </c>
      <c r="CY44" s="203">
        <f>CZ44-CX44</f>
        <v>62</v>
      </c>
      <c r="CZ44" s="1461">
        <v>154</v>
      </c>
      <c r="DA44" s="834">
        <v>48</v>
      </c>
      <c r="DB44" s="203">
        <f t="shared" ref="DB44" si="330">DE44-DA44</f>
        <v>33</v>
      </c>
      <c r="DC44" s="2093">
        <v>31</v>
      </c>
      <c r="DD44" s="1448">
        <f>DF44-DC44</f>
        <v>149</v>
      </c>
      <c r="DE44" s="2081">
        <v>81</v>
      </c>
      <c r="DF44" s="203">
        <f>DG44-DE44</f>
        <v>180</v>
      </c>
      <c r="DG44" s="1269">
        <v>261</v>
      </c>
      <c r="DH44" s="834">
        <v>35</v>
      </c>
      <c r="DI44" s="203">
        <f t="shared" ref="DI44" si="331">DL44-DH44</f>
        <v>29</v>
      </c>
      <c r="DJ44" s="326">
        <f>DM44/2</f>
        <v>93</v>
      </c>
      <c r="DK44" s="1109">
        <f>DM44-DJ44</f>
        <v>93</v>
      </c>
      <c r="DL44" s="2054">
        <v>64</v>
      </c>
      <c r="DM44" s="860">
        <f>DN44-DL44</f>
        <v>186</v>
      </c>
      <c r="DN44" s="1484">
        <v>250</v>
      </c>
      <c r="DO44" s="326">
        <f>DS44/2</f>
        <v>62.5</v>
      </c>
      <c r="DP44" s="860">
        <f t="shared" ref="DP44" si="332">DS44-DO44</f>
        <v>62.5</v>
      </c>
      <c r="DQ44" s="326">
        <f>DT44/2</f>
        <v>62.5</v>
      </c>
      <c r="DR44" s="1109">
        <f>DT44-DQ44</f>
        <v>62.5</v>
      </c>
      <c r="DS44" s="326">
        <f>DU44/2</f>
        <v>125</v>
      </c>
      <c r="DT44" s="860">
        <f>DU44-DS44</f>
        <v>125</v>
      </c>
      <c r="DU44" s="1119">
        <f>DN44</f>
        <v>250</v>
      </c>
      <c r="DV44" s="326">
        <f>DZ44/2</f>
        <v>62.5</v>
      </c>
      <c r="DW44" s="860">
        <f t="shared" ref="DW44" si="333">DZ44-DV44</f>
        <v>62.5</v>
      </c>
      <c r="DX44" s="326">
        <f>EA44/2</f>
        <v>62.5</v>
      </c>
      <c r="DY44" s="1109">
        <f>EA44-DX44</f>
        <v>62.5</v>
      </c>
      <c r="DZ44" s="326">
        <f>EB44/2</f>
        <v>125</v>
      </c>
      <c r="EA44" s="860">
        <f>EB44-DZ44</f>
        <v>125</v>
      </c>
      <c r="EB44" s="1119">
        <f>DU44</f>
        <v>250</v>
      </c>
      <c r="EC44" s="326">
        <f>EG44/2</f>
        <v>62.5</v>
      </c>
      <c r="ED44" s="860">
        <f t="shared" ref="ED44" si="334">EG44-EC44</f>
        <v>62.5</v>
      </c>
      <c r="EE44" s="326">
        <f>EH44/2</f>
        <v>62.5</v>
      </c>
      <c r="EF44" s="1109">
        <f>EH44-EE44</f>
        <v>62.5</v>
      </c>
      <c r="EG44" s="326">
        <f>EI44/2</f>
        <v>125</v>
      </c>
      <c r="EH44" s="860">
        <f>EI44-EG44</f>
        <v>125</v>
      </c>
      <c r="EI44" s="1119">
        <f>EB44</f>
        <v>250</v>
      </c>
      <c r="EJ44" s="326">
        <f>EN44/2</f>
        <v>62.5</v>
      </c>
      <c r="EK44" s="860">
        <f t="shared" ref="EK44" si="335">EN44-EJ44</f>
        <v>62.5</v>
      </c>
      <c r="EL44" s="326">
        <f>EO44/2</f>
        <v>62.5</v>
      </c>
      <c r="EM44" s="1109">
        <f>EO44-EL44</f>
        <v>62.5</v>
      </c>
      <c r="EN44" s="326">
        <f>EP44/2</f>
        <v>125</v>
      </c>
      <c r="EO44" s="860">
        <f>EP44-EN44</f>
        <v>125</v>
      </c>
      <c r="EP44" s="1119">
        <f t="shared" ref="EP44" si="336">EI44</f>
        <v>250</v>
      </c>
      <c r="EQ44" s="43"/>
      <c r="ER44" s="149"/>
    </row>
    <row r="45" spans="1:148" ht="10.199999999999999" customHeight="1">
      <c r="A45" s="43"/>
      <c r="B45" s="108"/>
      <c r="C45" s="822"/>
      <c r="D45" s="822"/>
      <c r="E45" s="822"/>
      <c r="F45" s="822"/>
      <c r="G45" s="822"/>
      <c r="H45" s="822"/>
      <c r="I45" s="822"/>
      <c r="J45" s="822"/>
      <c r="K45" s="822"/>
      <c r="L45" s="822"/>
      <c r="M45" s="822"/>
      <c r="N45" s="1443"/>
      <c r="O45" s="1443"/>
      <c r="P45" s="1443"/>
      <c r="Q45" s="1453"/>
      <c r="R45" s="1443"/>
      <c r="S45" s="1443"/>
      <c r="T45" s="1466"/>
      <c r="U45" s="1443"/>
      <c r="V45" s="1443"/>
      <c r="W45" s="1443"/>
      <c r="X45" s="1453"/>
      <c r="Y45" s="1443"/>
      <c r="Z45" s="1443"/>
      <c r="AA45" s="1466"/>
      <c r="AB45" s="1443"/>
      <c r="AC45" s="1443"/>
      <c r="AD45" s="1443"/>
      <c r="AE45" s="1453"/>
      <c r="AF45" s="1443"/>
      <c r="AG45" s="1443"/>
      <c r="AH45" s="1466"/>
      <c r="AI45" s="1443"/>
      <c r="AJ45" s="1443"/>
      <c r="AK45" s="1443"/>
      <c r="AL45" s="1453"/>
      <c r="AM45" s="1443"/>
      <c r="AN45" s="1443"/>
      <c r="AO45" s="1466"/>
      <c r="AP45" s="1443"/>
      <c r="AQ45" s="1443"/>
      <c r="AR45" s="1443"/>
      <c r="AS45" s="1453"/>
      <c r="AT45" s="1443"/>
      <c r="AU45" s="1443"/>
      <c r="AV45" s="1466"/>
      <c r="AW45" s="1443"/>
      <c r="AX45" s="1443"/>
      <c r="AY45" s="1443"/>
      <c r="AZ45" s="1453"/>
      <c r="BA45" s="1443"/>
      <c r="BB45" s="1443"/>
      <c r="BC45" s="1466"/>
      <c r="BD45" s="1443"/>
      <c r="BE45" s="1443"/>
      <c r="BF45" s="1443"/>
      <c r="BG45" s="1453"/>
      <c r="BH45" s="1443"/>
      <c r="BI45" s="1443"/>
      <c r="BJ45" s="1466"/>
      <c r="BK45" s="1443"/>
      <c r="BL45" s="1443"/>
      <c r="BM45" s="1443"/>
      <c r="BN45" s="1453"/>
      <c r="BO45" s="1443"/>
      <c r="BP45" s="1443"/>
      <c r="BQ45" s="1466"/>
      <c r="BR45" s="1443"/>
      <c r="BS45" s="1443"/>
      <c r="BT45" s="1443"/>
      <c r="BU45" s="1453"/>
      <c r="BV45" s="1443"/>
      <c r="BW45" s="1443"/>
      <c r="BX45" s="1466"/>
      <c r="BY45" s="1443"/>
      <c r="BZ45" s="1443"/>
      <c r="CA45" s="1443"/>
      <c r="CB45" s="1453"/>
      <c r="CC45" s="1443"/>
      <c r="CD45" s="1443"/>
      <c r="CE45" s="1466"/>
      <c r="CF45" s="1443"/>
      <c r="CG45" s="1443"/>
      <c r="CH45" s="1443"/>
      <c r="CI45" s="1453"/>
      <c r="CJ45" s="1443"/>
      <c r="CK45" s="1443"/>
      <c r="CL45" s="1466"/>
      <c r="CM45" s="1443"/>
      <c r="CN45" s="1443"/>
      <c r="CO45" s="1443"/>
      <c r="CP45" s="1453"/>
      <c r="CQ45" s="1443"/>
      <c r="CR45" s="1443"/>
      <c r="CS45" s="1466"/>
      <c r="CT45" s="1413"/>
      <c r="CU45" s="1413"/>
      <c r="CV45" s="1413"/>
      <c r="CW45" s="1453"/>
      <c r="CX45" s="1413"/>
      <c r="CY45" s="1443"/>
      <c r="CZ45" s="1466"/>
      <c r="DA45" s="1413"/>
      <c r="DB45" s="1413"/>
      <c r="DC45" s="1413"/>
      <c r="DD45" s="1453"/>
      <c r="DE45" s="1413"/>
      <c r="DF45" s="1443"/>
      <c r="DG45" s="1466"/>
      <c r="DH45" s="1413"/>
      <c r="DI45" s="1413"/>
      <c r="DJ45" s="1413"/>
      <c r="DK45" s="1518"/>
      <c r="DL45" s="2055"/>
      <c r="DM45" s="1413"/>
      <c r="DN45" s="1492"/>
      <c r="DO45" s="1413"/>
      <c r="DP45" s="1413"/>
      <c r="DQ45" s="1413"/>
      <c r="DR45" s="1518"/>
      <c r="DS45" s="1413"/>
      <c r="DT45" s="1413"/>
      <c r="DU45" s="1492"/>
      <c r="DV45" s="1413"/>
      <c r="DW45" s="1413"/>
      <c r="DX45" s="1413"/>
      <c r="DY45" s="1518"/>
      <c r="DZ45" s="1413"/>
      <c r="EA45" s="1413"/>
      <c r="EB45" s="1492"/>
      <c r="EC45" s="1413"/>
      <c r="ED45" s="1413"/>
      <c r="EE45" s="1413"/>
      <c r="EF45" s="1518"/>
      <c r="EG45" s="1413"/>
      <c r="EH45" s="1413"/>
      <c r="EI45" s="1492"/>
      <c r="EJ45" s="1413"/>
      <c r="EK45" s="1413"/>
      <c r="EL45" s="1413"/>
      <c r="EM45" s="1518"/>
      <c r="EN45" s="1413"/>
      <c r="EO45" s="1413"/>
      <c r="EP45" s="1492"/>
      <c r="EQ45" s="93"/>
      <c r="ER45" s="149"/>
    </row>
    <row r="46" spans="1:148" ht="10.199999999999999" customHeight="1">
      <c r="A46" s="48" t="s">
        <v>28</v>
      </c>
      <c r="B46" s="108"/>
      <c r="C46" s="126">
        <f t="shared" ref="C46:EP46" si="337">+C42+C44</f>
        <v>-299</v>
      </c>
      <c r="D46" s="126">
        <f t="shared" si="337"/>
        <v>338</v>
      </c>
      <c r="E46" s="126">
        <f t="shared" si="337"/>
        <v>1203</v>
      </c>
      <c r="F46" s="126">
        <f t="shared" si="337"/>
        <v>1676</v>
      </c>
      <c r="G46" s="126">
        <f t="shared" si="337"/>
        <v>99</v>
      </c>
      <c r="H46" s="126">
        <f t="shared" si="337"/>
        <v>-446</v>
      </c>
      <c r="I46" s="126">
        <f t="shared" si="337"/>
        <v>1572</v>
      </c>
      <c r="J46" s="126">
        <f t="shared" si="337"/>
        <v>-763</v>
      </c>
      <c r="K46" s="126">
        <f t="shared" si="337"/>
        <v>553</v>
      </c>
      <c r="L46" s="126">
        <f t="shared" si="337"/>
        <v>1033</v>
      </c>
      <c r="M46" s="126">
        <f t="shared" si="337"/>
        <v>1228</v>
      </c>
      <c r="N46" s="126">
        <f t="shared" ref="N46:S46" si="338">+N42+N44</f>
        <v>227</v>
      </c>
      <c r="O46" s="126">
        <f t="shared" si="338"/>
        <v>531</v>
      </c>
      <c r="P46" s="126">
        <f t="shared" si="338"/>
        <v>445</v>
      </c>
      <c r="Q46" s="1276">
        <f t="shared" si="338"/>
        <v>270</v>
      </c>
      <c r="R46" s="126">
        <f t="shared" si="338"/>
        <v>758</v>
      </c>
      <c r="S46" s="126">
        <f t="shared" si="338"/>
        <v>715</v>
      </c>
      <c r="T46" s="1082">
        <f t="shared" si="337"/>
        <v>1473</v>
      </c>
      <c r="U46" s="126">
        <f t="shared" si="337"/>
        <v>439</v>
      </c>
      <c r="V46" s="126">
        <f t="shared" si="337"/>
        <v>696</v>
      </c>
      <c r="W46" s="126">
        <f t="shared" si="337"/>
        <v>264</v>
      </c>
      <c r="X46" s="1276">
        <f t="shared" si="337"/>
        <v>944</v>
      </c>
      <c r="Y46" s="126">
        <f t="shared" si="337"/>
        <v>1135</v>
      </c>
      <c r="Z46" s="126">
        <f t="shared" si="337"/>
        <v>1208</v>
      </c>
      <c r="AA46" s="1082">
        <f t="shared" si="337"/>
        <v>2343</v>
      </c>
      <c r="AB46" s="126">
        <f t="shared" ref="AB46:AG46" si="339">+AB42+AB44</f>
        <v>792</v>
      </c>
      <c r="AC46" s="126">
        <f t="shared" si="339"/>
        <v>732</v>
      </c>
      <c r="AD46" s="126">
        <f t="shared" si="339"/>
        <v>376</v>
      </c>
      <c r="AE46" s="1276">
        <f t="shared" si="339"/>
        <v>796</v>
      </c>
      <c r="AF46" s="126">
        <f t="shared" si="339"/>
        <v>1524</v>
      </c>
      <c r="AG46" s="126">
        <f t="shared" si="339"/>
        <v>1172</v>
      </c>
      <c r="AH46" s="1082">
        <f t="shared" si="337"/>
        <v>2696</v>
      </c>
      <c r="AI46" s="126">
        <f t="shared" si="337"/>
        <v>399</v>
      </c>
      <c r="AJ46" s="126">
        <f t="shared" si="337"/>
        <v>1362</v>
      </c>
      <c r="AK46" s="126">
        <f t="shared" si="337"/>
        <v>50</v>
      </c>
      <c r="AL46" s="1276">
        <f t="shared" si="337"/>
        <v>-816</v>
      </c>
      <c r="AM46" s="126">
        <f t="shared" si="337"/>
        <v>1761</v>
      </c>
      <c r="AN46" s="126">
        <f t="shared" si="337"/>
        <v>-766</v>
      </c>
      <c r="AO46" s="1082">
        <f t="shared" si="337"/>
        <v>995</v>
      </c>
      <c r="AP46" s="126">
        <f t="shared" ref="AP46:AS46" si="340">+AP42+AP44</f>
        <v>608</v>
      </c>
      <c r="AQ46" s="126">
        <f t="shared" si="340"/>
        <v>895</v>
      </c>
      <c r="AR46" s="126">
        <f t="shared" si="340"/>
        <v>348</v>
      </c>
      <c r="AS46" s="1276">
        <f t="shared" si="340"/>
        <v>1022</v>
      </c>
      <c r="AT46" s="126">
        <f t="shared" ref="AT46:AU46" si="341">+AT42+AT44</f>
        <v>1503</v>
      </c>
      <c r="AU46" s="126">
        <f t="shared" si="341"/>
        <v>1370</v>
      </c>
      <c r="AV46" s="1082">
        <f t="shared" si="337"/>
        <v>2873</v>
      </c>
      <c r="AW46" s="126">
        <f t="shared" si="337"/>
        <v>409</v>
      </c>
      <c r="AX46" s="126">
        <f t="shared" si="337"/>
        <v>682</v>
      </c>
      <c r="AY46" s="126">
        <f t="shared" si="337"/>
        <v>307</v>
      </c>
      <c r="AZ46" s="1276">
        <f t="shared" si="337"/>
        <v>963</v>
      </c>
      <c r="BA46" s="126">
        <f t="shared" si="337"/>
        <v>1091</v>
      </c>
      <c r="BB46" s="126">
        <f t="shared" si="337"/>
        <v>1270</v>
      </c>
      <c r="BC46" s="1082">
        <f t="shared" si="337"/>
        <v>2361</v>
      </c>
      <c r="BD46" s="126">
        <f t="shared" ref="BD46:BI46" si="342">+BD42+BD44</f>
        <v>283</v>
      </c>
      <c r="BE46" s="126">
        <f t="shared" si="342"/>
        <v>213</v>
      </c>
      <c r="BF46" s="126">
        <f t="shared" si="342"/>
        <v>957</v>
      </c>
      <c r="BG46" s="1276">
        <f t="shared" si="342"/>
        <v>1601</v>
      </c>
      <c r="BH46" s="126">
        <f t="shared" si="342"/>
        <v>496</v>
      </c>
      <c r="BI46" s="126">
        <f t="shared" si="342"/>
        <v>2558</v>
      </c>
      <c r="BJ46" s="1082">
        <f t="shared" si="337"/>
        <v>3054</v>
      </c>
      <c r="BK46" s="126">
        <f t="shared" si="337"/>
        <v>40</v>
      </c>
      <c r="BL46" s="126">
        <f t="shared" si="337"/>
        <v>1157</v>
      </c>
      <c r="BM46" s="126">
        <f t="shared" si="337"/>
        <v>989</v>
      </c>
      <c r="BN46" s="1276">
        <f t="shared" si="337"/>
        <v>-3548</v>
      </c>
      <c r="BO46" s="126">
        <f t="shared" si="337"/>
        <v>1197</v>
      </c>
      <c r="BP46" s="126">
        <f t="shared" si="337"/>
        <v>-2559</v>
      </c>
      <c r="BQ46" s="1082">
        <f t="shared" si="337"/>
        <v>-1362</v>
      </c>
      <c r="BR46" s="126">
        <f t="shared" ref="BR46:BW46" si="343">+BR42+BR44</f>
        <v>-481</v>
      </c>
      <c r="BS46" s="126">
        <f t="shared" si="343"/>
        <v>-1438</v>
      </c>
      <c r="BT46" s="126">
        <f t="shared" si="343"/>
        <v>-767</v>
      </c>
      <c r="BU46" s="1276">
        <f t="shared" si="343"/>
        <v>1553</v>
      </c>
      <c r="BV46" s="126">
        <f t="shared" si="343"/>
        <v>-1919</v>
      </c>
      <c r="BW46" s="126">
        <f t="shared" si="343"/>
        <v>786</v>
      </c>
      <c r="BX46" s="1082">
        <f t="shared" si="337"/>
        <v>-1133</v>
      </c>
      <c r="BY46" s="126">
        <f t="shared" si="337"/>
        <v>362</v>
      </c>
      <c r="BZ46" s="126">
        <f t="shared" si="337"/>
        <v>1869</v>
      </c>
      <c r="CA46" s="126">
        <f t="shared" si="337"/>
        <v>404</v>
      </c>
      <c r="CB46" s="1276">
        <f t="shared" si="337"/>
        <v>1578</v>
      </c>
      <c r="CC46" s="126">
        <f t="shared" si="337"/>
        <v>2231</v>
      </c>
      <c r="CD46" s="126">
        <f t="shared" si="337"/>
        <v>1982</v>
      </c>
      <c r="CE46" s="1082">
        <f t="shared" si="337"/>
        <v>4213</v>
      </c>
      <c r="CF46" s="126">
        <f t="shared" ref="CF46:CK46" si="344">+CF42+CF44</f>
        <v>1219</v>
      </c>
      <c r="CG46" s="126">
        <f t="shared" si="344"/>
        <v>682</v>
      </c>
      <c r="CH46" s="126">
        <f t="shared" si="344"/>
        <v>667</v>
      </c>
      <c r="CI46" s="1276">
        <f t="shared" si="344"/>
        <v>1679</v>
      </c>
      <c r="CJ46" s="126">
        <f t="shared" si="344"/>
        <v>1901</v>
      </c>
      <c r="CK46" s="126">
        <f t="shared" si="344"/>
        <v>2346</v>
      </c>
      <c r="CL46" s="1082">
        <f t="shared" si="337"/>
        <v>4247</v>
      </c>
      <c r="CM46" s="126">
        <f t="shared" si="337"/>
        <v>466</v>
      </c>
      <c r="CN46" s="126">
        <f t="shared" si="337"/>
        <v>1060</v>
      </c>
      <c r="CO46" s="126">
        <f t="shared" si="337"/>
        <v>806</v>
      </c>
      <c r="CP46" s="1276">
        <f t="shared" si="337"/>
        <v>1457</v>
      </c>
      <c r="CQ46" s="126">
        <f t="shared" si="337"/>
        <v>1526</v>
      </c>
      <c r="CR46" s="126">
        <f t="shared" si="337"/>
        <v>2263</v>
      </c>
      <c r="CS46" s="1082">
        <f t="shared" ref="CS46:CU46" si="345">+CS42+CS44</f>
        <v>3789</v>
      </c>
      <c r="CT46" s="126">
        <f t="shared" si="345"/>
        <v>595</v>
      </c>
      <c r="CU46" s="126">
        <f t="shared" si="345"/>
        <v>230</v>
      </c>
      <c r="CV46" s="126">
        <f t="shared" ref="CV46:CW46" si="346">+CV42+CV44</f>
        <v>983</v>
      </c>
      <c r="CW46" s="1276">
        <f t="shared" si="346"/>
        <v>2424</v>
      </c>
      <c r="CX46" s="126">
        <f t="shared" ref="CX46:DB46" si="347">+CX42+CX44</f>
        <v>825</v>
      </c>
      <c r="CY46" s="126">
        <f t="shared" si="347"/>
        <v>3407</v>
      </c>
      <c r="CZ46" s="1082">
        <f t="shared" si="347"/>
        <v>4232</v>
      </c>
      <c r="DA46" s="126">
        <f t="shared" si="347"/>
        <v>793</v>
      </c>
      <c r="DB46" s="126">
        <f t="shared" si="347"/>
        <v>732</v>
      </c>
      <c r="DC46" s="126">
        <f t="shared" ref="DC46:DI46" si="348">+DC42+DC44</f>
        <v>1116</v>
      </c>
      <c r="DD46" s="1276">
        <f t="shared" si="348"/>
        <v>2580</v>
      </c>
      <c r="DE46" s="126">
        <f t="shared" si="348"/>
        <v>1525</v>
      </c>
      <c r="DF46" s="126">
        <f t="shared" si="348"/>
        <v>3696</v>
      </c>
      <c r="DG46" s="1082">
        <f t="shared" si="348"/>
        <v>5221</v>
      </c>
      <c r="DH46" s="126">
        <f t="shared" si="348"/>
        <v>586</v>
      </c>
      <c r="DI46" s="126">
        <f t="shared" si="348"/>
        <v>1657</v>
      </c>
      <c r="DJ46" s="884">
        <f t="shared" si="337"/>
        <v>1541.8519230070176</v>
      </c>
      <c r="DK46" s="1515">
        <f t="shared" si="337"/>
        <v>2275.850472749783</v>
      </c>
      <c r="DL46" s="2012">
        <f t="shared" si="337"/>
        <v>2243</v>
      </c>
      <c r="DM46" s="884">
        <f t="shared" si="337"/>
        <v>3817.7023957568008</v>
      </c>
      <c r="DN46" s="1486">
        <f t="shared" si="337"/>
        <v>6060.7023957568008</v>
      </c>
      <c r="DO46" s="884">
        <f t="shared" ref="DO46:DT46" si="349">+DO42+DO44</f>
        <v>1623.9620378305744</v>
      </c>
      <c r="DP46" s="884">
        <f t="shared" si="349"/>
        <v>1823.0111632856515</v>
      </c>
      <c r="DQ46" s="884">
        <f t="shared" si="349"/>
        <v>1805.8662082716694</v>
      </c>
      <c r="DR46" s="1515">
        <f t="shared" si="349"/>
        <v>2020.5427847652929</v>
      </c>
      <c r="DS46" s="884">
        <f t="shared" si="349"/>
        <v>3446.9732011162268</v>
      </c>
      <c r="DT46" s="884">
        <f t="shared" si="349"/>
        <v>3826.4089930369623</v>
      </c>
      <c r="DU46" s="1486">
        <f t="shared" si="337"/>
        <v>7273.3821941531878</v>
      </c>
      <c r="DV46" s="884">
        <f t="shared" ref="DV46:EA46" si="350">+DV42+DV44</f>
        <v>2034.3130436506262</v>
      </c>
      <c r="DW46" s="884">
        <f t="shared" si="350"/>
        <v>2245.7502721643232</v>
      </c>
      <c r="DX46" s="884">
        <f t="shared" si="350"/>
        <v>2232.0540562511269</v>
      </c>
      <c r="DY46" s="1515">
        <f t="shared" si="350"/>
        <v>2526.5642935425626</v>
      </c>
      <c r="DZ46" s="884">
        <f t="shared" si="350"/>
        <v>4280.0633158149494</v>
      </c>
      <c r="EA46" s="884">
        <f t="shared" si="350"/>
        <v>4758.618349793689</v>
      </c>
      <c r="EB46" s="1486">
        <f t="shared" si="337"/>
        <v>9038.6816656086412</v>
      </c>
      <c r="EC46" s="884">
        <f t="shared" ref="EC46:EH46" si="351">+EC42+EC44</f>
        <v>2321.5223168024772</v>
      </c>
      <c r="ED46" s="884">
        <f t="shared" si="351"/>
        <v>2416.6839878017236</v>
      </c>
      <c r="EE46" s="884">
        <f t="shared" si="351"/>
        <v>2402.327080349708</v>
      </c>
      <c r="EF46" s="1515">
        <f t="shared" si="351"/>
        <v>2723.0901213015104</v>
      </c>
      <c r="EG46" s="884">
        <f t="shared" si="351"/>
        <v>4738.2063046042013</v>
      </c>
      <c r="EH46" s="884">
        <f t="shared" si="351"/>
        <v>5125.4172016512193</v>
      </c>
      <c r="EI46" s="1486">
        <f t="shared" si="337"/>
        <v>9863.6235062554188</v>
      </c>
      <c r="EJ46" s="884">
        <f t="shared" ref="EJ46:EO46" si="352">+EJ42+EJ44</f>
        <v>2477.5224141397111</v>
      </c>
      <c r="EK46" s="884">
        <f t="shared" si="352"/>
        <v>2578.1401523498985</v>
      </c>
      <c r="EL46" s="884">
        <f t="shared" si="352"/>
        <v>2571.6848954027728</v>
      </c>
      <c r="EM46" s="1515">
        <f t="shared" si="352"/>
        <v>2890.0853688918451</v>
      </c>
      <c r="EN46" s="884">
        <f t="shared" si="352"/>
        <v>5055.6625664896092</v>
      </c>
      <c r="EO46" s="884">
        <f t="shared" si="352"/>
        <v>5461.7702642946178</v>
      </c>
      <c r="EP46" s="1486">
        <f t="shared" si="337"/>
        <v>10517.432830784228</v>
      </c>
      <c r="EQ46" s="48"/>
      <c r="ER46" s="148"/>
    </row>
    <row r="47" spans="1:148" ht="10.199999999999999" customHeight="1">
      <c r="A47" s="43" t="s">
        <v>56</v>
      </c>
      <c r="B47" s="108"/>
      <c r="C47" s="826">
        <f t="shared" ref="C47:EP47" si="353">+C46/C70</f>
        <v>-0.37183649361459675</v>
      </c>
      <c r="D47" s="826">
        <f t="shared" si="353"/>
        <v>0.42199505759388545</v>
      </c>
      <c r="E47" s="826">
        <f t="shared" si="353"/>
        <v>1.5018069715265325</v>
      </c>
      <c r="F47" s="826">
        <f t="shared" si="353"/>
        <v>2.1101399727325534</v>
      </c>
      <c r="G47" s="827">
        <f t="shared" si="353"/>
        <v>0.12365247571745704</v>
      </c>
      <c r="H47" s="826">
        <f t="shared" si="353"/>
        <v>-0.5591482533771609</v>
      </c>
      <c r="I47" s="827">
        <f t="shared" si="353"/>
        <v>1.9480065623186056</v>
      </c>
      <c r="J47" s="826">
        <f t="shared" si="353"/>
        <v>-0.94232548144433925</v>
      </c>
      <c r="K47" s="827">
        <f t="shared" si="353"/>
        <v>0.68213244717790833</v>
      </c>
      <c r="L47" s="827">
        <f t="shared" si="353"/>
        <v>1.2713736620115275</v>
      </c>
      <c r="M47" s="827">
        <f t="shared" si="353"/>
        <v>1.4986973098422343</v>
      </c>
      <c r="N47" s="827">
        <f t="shared" ref="N47:S47" si="354">+N46/N70</f>
        <v>0.27564514147321134</v>
      </c>
      <c r="O47" s="827">
        <f t="shared" si="354"/>
        <v>0.67342531104744674</v>
      </c>
      <c r="P47" s="827">
        <f t="shared" si="354"/>
        <v>0.57178840053064073</v>
      </c>
      <c r="Q47" s="1454">
        <f t="shared" si="354"/>
        <v>0.34634087866483371</v>
      </c>
      <c r="R47" s="827">
        <f t="shared" si="354"/>
        <v>0.94042988456946486</v>
      </c>
      <c r="S47" s="827">
        <f t="shared" si="354"/>
        <v>0.91793841738596926</v>
      </c>
      <c r="T47" s="1467">
        <f t="shared" si="353"/>
        <v>1.8587528017039028</v>
      </c>
      <c r="U47" s="827">
        <f t="shared" si="353"/>
        <v>0.56218742923193599</v>
      </c>
      <c r="V47" s="827">
        <f t="shared" si="353"/>
        <v>0.88872162308026803</v>
      </c>
      <c r="W47" s="827">
        <f t="shared" si="353"/>
        <v>0.33690043084128762</v>
      </c>
      <c r="X47" s="1454">
        <f t="shared" si="353"/>
        <v>1.2037599738622899</v>
      </c>
      <c r="Y47" s="827">
        <f t="shared" si="353"/>
        <v>1.4513827704722186</v>
      </c>
      <c r="Z47" s="827">
        <f t="shared" si="353"/>
        <v>1.5409894834305258</v>
      </c>
      <c r="AA47" s="1467">
        <f t="shared" si="353"/>
        <v>2.992480922311485</v>
      </c>
      <c r="AB47" s="827">
        <f t="shared" ref="AB47:AG47" si="355">+AB46/AB70</f>
        <v>1.0093620985490379</v>
      </c>
      <c r="AC47" s="827">
        <f t="shared" si="355"/>
        <v>0.93048031256450603</v>
      </c>
      <c r="AD47" s="827">
        <f t="shared" si="355"/>
        <v>0.47762725288565955</v>
      </c>
      <c r="AE47" s="1454">
        <f t="shared" si="355"/>
        <v>1.0154159958994649</v>
      </c>
      <c r="AF47" s="827">
        <f t="shared" si="355"/>
        <v>1.9397401792361164</v>
      </c>
      <c r="AG47" s="827">
        <f t="shared" si="355"/>
        <v>1.4919104009938955</v>
      </c>
      <c r="AH47" s="1467">
        <f t="shared" si="353"/>
        <v>3.431679728856162</v>
      </c>
      <c r="AI47" s="827">
        <f t="shared" si="353"/>
        <v>0.51380943005264013</v>
      </c>
      <c r="AJ47" s="827">
        <f t="shared" si="353"/>
        <v>1.7604184468634321</v>
      </c>
      <c r="AK47" s="827">
        <f t="shared" si="353"/>
        <v>6.4733175108536448E-2</v>
      </c>
      <c r="AL47" s="1454">
        <f t="shared" si="353"/>
        <v>-1.0562263510466958</v>
      </c>
      <c r="AM47" s="827">
        <f t="shared" si="353"/>
        <v>2.2719177224467866</v>
      </c>
      <c r="AN47" s="827">
        <f t="shared" si="353"/>
        <v>-0.99160941024177884</v>
      </c>
      <c r="AO47" s="1467">
        <f t="shared" si="353"/>
        <v>1.2858639124576507</v>
      </c>
      <c r="AP47" s="827">
        <f t="shared" ref="AP47:AS47" si="356">+AP46/AP70</f>
        <v>0.78682207712334495</v>
      </c>
      <c r="AQ47" s="827">
        <f t="shared" si="356"/>
        <v>1.1567514108221648</v>
      </c>
      <c r="AR47" s="827">
        <f t="shared" si="356"/>
        <v>0.44945131719367248</v>
      </c>
      <c r="AS47" s="1454">
        <f t="shared" si="356"/>
        <v>1.3197890536990324</v>
      </c>
      <c r="AT47" s="827">
        <f t="shared" ref="AT47:AU47" si="357">+AT46/AT70</f>
        <v>1.9438102675431224</v>
      </c>
      <c r="AU47" s="827">
        <f t="shared" si="357"/>
        <v>1.769290258511258</v>
      </c>
      <c r="AV47" s="1467">
        <f t="shared" si="353"/>
        <v>3.7129766823952908</v>
      </c>
      <c r="AW47" s="827">
        <f t="shared" si="353"/>
        <v>0.52929314069646061</v>
      </c>
      <c r="AX47" s="827">
        <f t="shared" si="353"/>
        <v>0.88145749964325848</v>
      </c>
      <c r="AY47" s="827">
        <f t="shared" si="353"/>
        <v>0.39649871947832599</v>
      </c>
      <c r="AZ47" s="1454">
        <f t="shared" si="353"/>
        <v>1.2435977091117105</v>
      </c>
      <c r="BA47" s="827">
        <f t="shared" si="353"/>
        <v>1.410976049161375</v>
      </c>
      <c r="BB47" s="827">
        <f t="shared" si="353"/>
        <v>1.6401449841673705</v>
      </c>
      <c r="BC47" s="1467">
        <f t="shared" si="353"/>
        <v>3.0512836571998894</v>
      </c>
      <c r="BD47" s="827">
        <f t="shared" ref="BD47:BI47" si="358">+BD46/BD70</f>
        <v>0.36546083333908214</v>
      </c>
      <c r="BE47" s="827">
        <f t="shared" si="358"/>
        <v>0.27523147742551424</v>
      </c>
      <c r="BF47" s="827">
        <f t="shared" si="358"/>
        <v>1.233202960628309</v>
      </c>
      <c r="BG47" s="1454">
        <f t="shared" si="358"/>
        <v>2.0621213476366145</v>
      </c>
      <c r="BH47" s="827">
        <f t="shared" si="358"/>
        <v>0.64071974487810868</v>
      </c>
      <c r="BI47" s="827">
        <f t="shared" si="358"/>
        <v>3.2955149205281873</v>
      </c>
      <c r="BJ47" s="1467">
        <f t="shared" si="353"/>
        <v>3.9397914161158529</v>
      </c>
      <c r="BK47" s="827">
        <f t="shared" si="353"/>
        <v>5.1564269337261992E-2</v>
      </c>
      <c r="BL47" s="827">
        <f t="shared" si="353"/>
        <v>1.4893455597679348</v>
      </c>
      <c r="BM47" s="827">
        <f t="shared" si="353"/>
        <v>1.2720087611744872</v>
      </c>
      <c r="BN47" s="1454">
        <f t="shared" si="353"/>
        <v>-4.560019606542026</v>
      </c>
      <c r="BO47" s="827">
        <f t="shared" si="353"/>
        <v>1.5419473104701262</v>
      </c>
      <c r="BP47" s="827">
        <f t="shared" si="353"/>
        <v>-3.2900970820221551</v>
      </c>
      <c r="BQ47" s="1467">
        <f t="shared" si="353"/>
        <v>-1.752805838693541</v>
      </c>
      <c r="BR47" s="827">
        <f t="shared" ref="BR47:BW47" si="359">+BR46/BR70</f>
        <v>-0.61487097539782343</v>
      </c>
      <c r="BS47" s="827">
        <f t="shared" si="359"/>
        <v>-1.8362399014690522</v>
      </c>
      <c r="BT47" s="827">
        <f t="shared" si="359"/>
        <v>-0.97876801548547299</v>
      </c>
      <c r="BU47" s="1454">
        <f t="shared" si="359"/>
        <v>1.9816899605963474</v>
      </c>
      <c r="BV47" s="827">
        <f t="shared" si="359"/>
        <v>-2.4517694938515566</v>
      </c>
      <c r="BW47" s="827">
        <f t="shared" si="359"/>
        <v>1.0029906283860706</v>
      </c>
      <c r="BX47" s="1467">
        <f t="shared" si="353"/>
        <v>-1.4466694974656158</v>
      </c>
      <c r="BY47" s="827">
        <f t="shared" si="353"/>
        <v>0.4617425370221499</v>
      </c>
      <c r="BZ47" s="827">
        <f t="shared" si="353"/>
        <v>2.3787180229741169</v>
      </c>
      <c r="CA47" s="827">
        <f t="shared" si="353"/>
        <v>0.5141292707116637</v>
      </c>
      <c r="CB47" s="1454">
        <f t="shared" si="353"/>
        <v>2.0081300481206372</v>
      </c>
      <c r="CC47" s="827">
        <f t="shared" si="353"/>
        <v>2.8425740979052243</v>
      </c>
      <c r="CD47" s="827">
        <f t="shared" si="353"/>
        <v>2.5222698612513348</v>
      </c>
      <c r="CE47" s="1467">
        <f t="shared" si="353"/>
        <v>5.3646506075385956</v>
      </c>
      <c r="CF47" s="827">
        <f t="shared" ref="CF47:CK47" si="360">+CF46/CF70</f>
        <v>1.5512042304482492</v>
      </c>
      <c r="CG47" s="827">
        <f t="shared" si="360"/>
        <v>0.86610281925395383</v>
      </c>
      <c r="CH47" s="827">
        <f t="shared" si="360"/>
        <v>0.84698727616348557</v>
      </c>
      <c r="CI47" s="1454">
        <f t="shared" si="360"/>
        <v>2.1319314016546671</v>
      </c>
      <c r="CJ47" s="827">
        <f t="shared" si="360"/>
        <v>2.4166127924731691</v>
      </c>
      <c r="CK47" s="827">
        <f t="shared" si="360"/>
        <v>2.9789608717070353</v>
      </c>
      <c r="CL47" s="1467">
        <f t="shared" si="353"/>
        <v>5.395889713599451</v>
      </c>
      <c r="CM47" s="827">
        <f t="shared" si="353"/>
        <v>0.59152687235432855</v>
      </c>
      <c r="CN47" s="827">
        <f t="shared" si="353"/>
        <v>1.3432764361691025</v>
      </c>
      <c r="CO47" s="827">
        <f t="shared" si="353"/>
        <v>1.0213074615423063</v>
      </c>
      <c r="CP47" s="1454">
        <f t="shared" si="353"/>
        <v>1.8471293020608113</v>
      </c>
      <c r="CQ47" s="827">
        <f t="shared" si="353"/>
        <v>1.935434272856291</v>
      </c>
      <c r="CR47" s="827">
        <f t="shared" si="353"/>
        <v>2.8682311297958618</v>
      </c>
      <c r="CS47" s="1467">
        <f t="shared" ref="CS47:CT47" si="361">+CS46/CS70</f>
        <v>4.8039814607191929</v>
      </c>
      <c r="CT47" s="827">
        <f t="shared" si="361"/>
        <v>0.75500246423921946</v>
      </c>
      <c r="CU47" s="827">
        <f t="shared" ref="CU47:CW47" si="362">+CU46/CU70</f>
        <v>0.29067013570099576</v>
      </c>
      <c r="CV47" s="827">
        <f t="shared" si="362"/>
        <v>1.2421009236189182</v>
      </c>
      <c r="CW47" s="1454">
        <f t="shared" si="362"/>
        <v>3.0718783180943068</v>
      </c>
      <c r="CX47" s="827">
        <f t="shared" ref="CX47:DB47" si="363">+CX46/CX70</f>
        <v>1.0447323638758146</v>
      </c>
      <c r="CY47" s="827">
        <f t="shared" si="363"/>
        <v>4.3113080080402613</v>
      </c>
      <c r="CZ47" s="1467">
        <f t="shared" si="363"/>
        <v>5.3572219455189236</v>
      </c>
      <c r="DA47" s="827">
        <f t="shared" si="363"/>
        <v>1.0070691709384201</v>
      </c>
      <c r="DB47" s="827">
        <f t="shared" si="363"/>
        <v>0.92532009501975543</v>
      </c>
      <c r="DC47" s="827">
        <f t="shared" ref="DC47:DI47" si="364">+DC46/DC70</f>
        <v>1.4129267840939146</v>
      </c>
      <c r="DD47" s="1454">
        <f t="shared" si="364"/>
        <v>3.266104289925444</v>
      </c>
      <c r="DE47" s="827">
        <f t="shared" si="364"/>
        <v>1.9322005425646998</v>
      </c>
      <c r="DF47" s="827">
        <f t="shared" si="364"/>
        <v>4.6791273422949029</v>
      </c>
      <c r="DG47" s="1467">
        <f t="shared" si="364"/>
        <v>6.6124330385559826</v>
      </c>
      <c r="DH47" s="827">
        <f t="shared" si="364"/>
        <v>0.74438433315126618</v>
      </c>
      <c r="DI47" s="827">
        <f t="shared" si="364"/>
        <v>2.0945175953907054</v>
      </c>
      <c r="DJ47" s="885">
        <f t="shared" si="353"/>
        <v>1.9561899142437547</v>
      </c>
      <c r="DK47" s="1519">
        <f t="shared" si="353"/>
        <v>2.9262815261405937</v>
      </c>
      <c r="DL47" s="2048">
        <f t="shared" si="353"/>
        <v>2.8422253862454734</v>
      </c>
      <c r="DM47" s="885">
        <f t="shared" si="353"/>
        <v>4.875989249923097</v>
      </c>
      <c r="DN47" s="1493">
        <f t="shared" si="353"/>
        <v>7.710180135350261</v>
      </c>
      <c r="DO47" s="885">
        <f t="shared" ref="DO47:DT47" si="365">+DO46/DO70</f>
        <v>2.0770262798061618</v>
      </c>
      <c r="DP47" s="885">
        <f t="shared" si="365"/>
        <v>2.3316075168743167</v>
      </c>
      <c r="DQ47" s="885">
        <f t="shared" si="365"/>
        <v>2.3186749598202607</v>
      </c>
      <c r="DR47" s="1519">
        <f t="shared" si="365"/>
        <v>2.5742606893653872</v>
      </c>
      <c r="DS47" s="885">
        <f t="shared" si="365"/>
        <v>4.4086337966804798</v>
      </c>
      <c r="DT47" s="885">
        <f t="shared" si="365"/>
        <v>4.8939272290141798</v>
      </c>
      <c r="DU47" s="1493">
        <f t="shared" si="353"/>
        <v>9.3025610256946578</v>
      </c>
      <c r="DV47" s="885">
        <f t="shared" ref="DV47:EA47" si="366">+DV46/DV70</f>
        <v>2.6208696491760577</v>
      </c>
      <c r="DW47" s="885">
        <f t="shared" si="366"/>
        <v>2.893270898652891</v>
      </c>
      <c r="DX47" s="885">
        <f t="shared" si="366"/>
        <v>2.8854310350202597</v>
      </c>
      <c r="DY47" s="1519">
        <f t="shared" si="366"/>
        <v>3.2440284529272296</v>
      </c>
      <c r="DZ47" s="885">
        <f t="shared" si="366"/>
        <v>5.5141405478289487</v>
      </c>
      <c r="EA47" s="885">
        <f t="shared" si="366"/>
        <v>6.130678090037569</v>
      </c>
      <c r="EB47" s="1493">
        <f t="shared" si="353"/>
        <v>11.644818637866521</v>
      </c>
      <c r="EC47" s="885">
        <f t="shared" ref="EC47:EH47" si="367">+EC46/EC70</f>
        <v>3.0100137583747819</v>
      </c>
      <c r="ED47" s="885">
        <f t="shared" si="367"/>
        <v>3.1333974264552111</v>
      </c>
      <c r="EE47" s="885">
        <f t="shared" si="367"/>
        <v>3.1240733565070804</v>
      </c>
      <c r="EF47" s="1519">
        <f t="shared" si="367"/>
        <v>3.5202054023535898</v>
      </c>
      <c r="EG47" s="885">
        <f t="shared" si="367"/>
        <v>6.1434111848299935</v>
      </c>
      <c r="EH47" s="885">
        <f t="shared" si="367"/>
        <v>6.6454568119896189</v>
      </c>
      <c r="EI47" s="1493">
        <f t="shared" si="353"/>
        <v>12.78886799681961</v>
      </c>
      <c r="EJ47" s="885">
        <f t="shared" ref="EJ47:EO47" si="368">+EJ46/EJ70</f>
        <v>3.2218600986824248</v>
      </c>
      <c r="EK47" s="885">
        <f t="shared" si="368"/>
        <v>3.3527070585762844</v>
      </c>
      <c r="EL47" s="885">
        <f t="shared" si="368"/>
        <v>3.3443124080714135</v>
      </c>
      <c r="EM47" s="1519">
        <f t="shared" si="368"/>
        <v>3.7583719439534509</v>
      </c>
      <c r="EN47" s="885">
        <f t="shared" si="368"/>
        <v>6.5745671572587083</v>
      </c>
      <c r="EO47" s="885">
        <f t="shared" si="368"/>
        <v>7.1026843520248644</v>
      </c>
      <c r="EP47" s="1493">
        <f t="shared" si="353"/>
        <v>13.677251509283574</v>
      </c>
      <c r="EQ47" s="43"/>
      <c r="ER47" s="149"/>
    </row>
    <row r="48" spans="1:148" ht="10.199999999999999" customHeight="1">
      <c r="A48" s="43" t="s">
        <v>57</v>
      </c>
      <c r="B48" s="108"/>
      <c r="C48" s="826">
        <f t="shared" ref="C48:AS48" si="369">+C46/C73</f>
        <v>-0.37183649361459675</v>
      </c>
      <c r="D48" s="826">
        <f t="shared" si="369"/>
        <v>0.42199505759388545</v>
      </c>
      <c r="E48" s="826">
        <f t="shared" si="369"/>
        <v>1.4961144452782227</v>
      </c>
      <c r="F48" s="826">
        <f t="shared" si="369"/>
        <v>2.0944335787649169</v>
      </c>
      <c r="G48" s="827">
        <f t="shared" si="369"/>
        <v>0.1230860028645246</v>
      </c>
      <c r="H48" s="826">
        <f t="shared" si="369"/>
        <v>-0.55366008975542613</v>
      </c>
      <c r="I48" s="827">
        <f t="shared" si="369"/>
        <v>1.9465155428981304</v>
      </c>
      <c r="J48" s="826">
        <f t="shared" si="369"/>
        <v>-0.94059331810421121</v>
      </c>
      <c r="K48" s="827">
        <f t="shared" si="369"/>
        <v>0.68213216193700588</v>
      </c>
      <c r="L48" s="827">
        <f t="shared" si="369"/>
        <v>1.2695065269595012</v>
      </c>
      <c r="M48" s="827">
        <f t="shared" si="369"/>
        <v>1.4965536654132863</v>
      </c>
      <c r="N48" s="827">
        <f t="shared" si="369"/>
        <v>0.27510989219195936</v>
      </c>
      <c r="O48" s="827">
        <f t="shared" si="369"/>
        <v>0.6720237029821986</v>
      </c>
      <c r="P48" s="827">
        <f t="shared" si="369"/>
        <v>0.57102586162653668</v>
      </c>
      <c r="Q48" s="1454">
        <f t="shared" si="369"/>
        <v>0.3452965708317477</v>
      </c>
      <c r="R48" s="827">
        <f t="shared" si="369"/>
        <v>0.93853957496984797</v>
      </c>
      <c r="S48" s="827">
        <f t="shared" si="369"/>
        <v>0.9159411191747977</v>
      </c>
      <c r="T48" s="1467">
        <f t="shared" si="369"/>
        <v>1.8548651460654297</v>
      </c>
      <c r="U48" s="827">
        <f t="shared" ref="U48:Z48" si="370">+U46/U73</f>
        <v>0.56040516798344053</v>
      </c>
      <c r="V48" s="827">
        <f t="shared" si="370"/>
        <v>0.88752906740582793</v>
      </c>
      <c r="W48" s="827">
        <f t="shared" si="370"/>
        <v>0.33667859824161483</v>
      </c>
      <c r="X48" s="1454">
        <f t="shared" si="370"/>
        <v>1.2026536287326512</v>
      </c>
      <c r="Y48" s="827">
        <f t="shared" si="370"/>
        <v>1.448109084865703</v>
      </c>
      <c r="Z48" s="827">
        <f t="shared" si="370"/>
        <v>1.5397739054885886</v>
      </c>
      <c r="AA48" s="1467">
        <f t="shared" si="369"/>
        <v>2.9879268282964535</v>
      </c>
      <c r="AB48" s="827">
        <f t="shared" si="369"/>
        <v>1.008336155624219</v>
      </c>
      <c r="AC48" s="827">
        <f t="shared" si="369"/>
        <v>0.92965045093514276</v>
      </c>
      <c r="AD48" s="827">
        <f t="shared" si="369"/>
        <v>0.47731997447765007</v>
      </c>
      <c r="AE48" s="1454">
        <f t="shared" si="369"/>
        <v>1.0032894804299131</v>
      </c>
      <c r="AF48" s="827">
        <f t="shared" si="369"/>
        <v>1.9378895341548166</v>
      </c>
      <c r="AG48" s="827">
        <f t="shared" si="369"/>
        <v>1.482491826927689</v>
      </c>
      <c r="AH48" s="1467">
        <f t="shared" si="369"/>
        <v>3.4191863075746047</v>
      </c>
      <c r="AI48" s="827">
        <f t="shared" ref="AI48:AN48" si="371">+AI46/AI73</f>
        <v>0.51031708628895978</v>
      </c>
      <c r="AJ48" s="827">
        <f t="shared" si="371"/>
        <v>1.7483982941840617</v>
      </c>
      <c r="AK48" s="827">
        <f t="shared" si="371"/>
        <v>6.4293488975868673E-2</v>
      </c>
      <c r="AL48" s="1454">
        <f t="shared" si="371"/>
        <v>-1.0489924668392883</v>
      </c>
      <c r="AM48" s="827">
        <f t="shared" si="371"/>
        <v>2.2564403796051296</v>
      </c>
      <c r="AN48" s="827">
        <f t="shared" si="371"/>
        <v>-0.9848460921805271</v>
      </c>
      <c r="AO48" s="1467">
        <f t="shared" si="369"/>
        <v>1.2770988274032817</v>
      </c>
      <c r="AP48" s="827">
        <f t="shared" si="369"/>
        <v>0.78132097286638424</v>
      </c>
      <c r="AQ48" s="827">
        <f t="shared" si="369"/>
        <v>1.1485439168949247</v>
      </c>
      <c r="AR48" s="827">
        <f t="shared" si="369"/>
        <v>0.4462377005108677</v>
      </c>
      <c r="AS48" s="1454">
        <f t="shared" si="369"/>
        <v>1.3103661836635119</v>
      </c>
      <c r="AT48" s="827">
        <f t="shared" ref="AT48:AU48" si="372">+AT46/AT73</f>
        <v>1.9301191215843214</v>
      </c>
      <c r="AU48" s="827">
        <f t="shared" si="372"/>
        <v>1.756648885900836</v>
      </c>
      <c r="AV48" s="1467">
        <f>(AV46+7)/AV73</f>
        <v>3.6956184547421245</v>
      </c>
      <c r="AW48" s="827">
        <f t="shared" ref="AW48:BB48" si="373">+AW46/AW73</f>
        <v>0.52559256233939333</v>
      </c>
      <c r="AX48" s="827">
        <f t="shared" si="373"/>
        <v>0.87520329756685888</v>
      </c>
      <c r="AY48" s="827">
        <f t="shared" si="373"/>
        <v>0.39366371855412757</v>
      </c>
      <c r="AZ48" s="1454">
        <f t="shared" si="373"/>
        <v>1.234718820810139</v>
      </c>
      <c r="BA48" s="827">
        <f t="shared" si="373"/>
        <v>1.4010378986350596</v>
      </c>
      <c r="BB48" s="827">
        <f t="shared" si="373"/>
        <v>1.6284263394847165</v>
      </c>
      <c r="BC48" s="1467">
        <f>(BC46+7)/BC73</f>
        <v>3.0386196183435246</v>
      </c>
      <c r="BD48" s="827">
        <f t="shared" ref="BD48:BI48" si="374">+BD46/BD73</f>
        <v>0.36279282754170028</v>
      </c>
      <c r="BE48" s="827">
        <f t="shared" si="374"/>
        <v>0.27322012089482389</v>
      </c>
      <c r="BF48" s="827">
        <f t="shared" si="374"/>
        <v>1.2239544507231217</v>
      </c>
      <c r="BG48" s="1454">
        <f t="shared" si="374"/>
        <v>2.046713666013511</v>
      </c>
      <c r="BH48" s="827">
        <f t="shared" si="374"/>
        <v>0.63603984521878032</v>
      </c>
      <c r="BI48" s="827">
        <f t="shared" si="374"/>
        <v>3.2708457810560945</v>
      </c>
      <c r="BJ48" s="1467">
        <f>(BJ46+7)/BJ73</f>
        <v>3.9196200632497349</v>
      </c>
      <c r="BK48" s="827">
        <f t="shared" ref="BK48:BP48" si="375">+BK46/BK73</f>
        <v>5.1176662590279164E-2</v>
      </c>
      <c r="BL48" s="827">
        <f t="shared" si="375"/>
        <v>1.4779038235296895</v>
      </c>
      <c r="BM48" s="827">
        <f t="shared" si="375"/>
        <v>1.2619956885148673</v>
      </c>
      <c r="BN48" s="1454">
        <f t="shared" si="375"/>
        <v>-4.668370492950622</v>
      </c>
      <c r="BO48" s="827">
        <f t="shared" si="375"/>
        <v>1.5302289049859652</v>
      </c>
      <c r="BP48" s="827">
        <f t="shared" si="375"/>
        <v>-3.3154376314318705</v>
      </c>
      <c r="BQ48" s="1467">
        <f t="shared" ref="BQ48:EP48" si="376">+BQ46/BQ73</f>
        <v>-1.752805838693541</v>
      </c>
      <c r="BR48" s="827">
        <f t="shared" ref="BR48:BW48" si="377">+BR46/BR73</f>
        <v>-0.61485459086472372</v>
      </c>
      <c r="BS48" s="827">
        <f t="shared" si="377"/>
        <v>-1.8362887818125089</v>
      </c>
      <c r="BT48" s="827">
        <f t="shared" si="377"/>
        <v>-0.97876801548547288</v>
      </c>
      <c r="BU48" s="1454">
        <f t="shared" si="377"/>
        <v>1.9816899605963478</v>
      </c>
      <c r="BV48" s="827">
        <f t="shared" si="377"/>
        <v>-2.4517694938515566</v>
      </c>
      <c r="BW48" s="827">
        <f t="shared" si="377"/>
        <v>1.0029906283860706</v>
      </c>
      <c r="BX48" s="1467">
        <f t="shared" si="376"/>
        <v>-1.4466694974656158</v>
      </c>
      <c r="BY48" s="827">
        <f t="shared" si="376"/>
        <v>0.46142342905018946</v>
      </c>
      <c r="BZ48" s="827">
        <f t="shared" si="376"/>
        <v>2.3778795098274044</v>
      </c>
      <c r="CA48" s="827">
        <f t="shared" si="376"/>
        <v>0.51373176785665864</v>
      </c>
      <c r="CB48" s="1454">
        <f t="shared" si="376"/>
        <v>2.0058927994956846</v>
      </c>
      <c r="CC48" s="827">
        <f t="shared" si="376"/>
        <v>2.8410912898816538</v>
      </c>
      <c r="CD48" s="827">
        <f t="shared" si="376"/>
        <v>2.5198897043005037</v>
      </c>
      <c r="CE48" s="1467">
        <f t="shared" si="376"/>
        <v>5.360719275431288</v>
      </c>
      <c r="CF48" s="827">
        <f t="shared" ref="CF48:CK48" si="378">+CF46/CF73</f>
        <v>1.5500012197835686</v>
      </c>
      <c r="CG48" s="827">
        <f t="shared" si="378"/>
        <v>0.86566570409802224</v>
      </c>
      <c r="CH48" s="827">
        <f t="shared" si="378"/>
        <v>0.8458021498951569</v>
      </c>
      <c r="CI48" s="1454">
        <f t="shared" si="378"/>
        <v>2.1303606805691091</v>
      </c>
      <c r="CJ48" s="827">
        <f t="shared" si="378"/>
        <v>2.4150661752524063</v>
      </c>
      <c r="CK48" s="827">
        <f t="shared" si="378"/>
        <v>2.9757790686638037</v>
      </c>
      <c r="CL48" s="1467">
        <f t="shared" si="376"/>
        <v>5.3912804968422323</v>
      </c>
      <c r="CM48" s="827">
        <f t="shared" si="376"/>
        <v>0.59080383579415741</v>
      </c>
      <c r="CN48" s="827">
        <f t="shared" si="376"/>
        <v>1.3417287189512284</v>
      </c>
      <c r="CO48" s="827">
        <f t="shared" si="376"/>
        <v>1.0198718473829955</v>
      </c>
      <c r="CP48" s="1454">
        <f t="shared" si="376"/>
        <v>1.8443841775985457</v>
      </c>
      <c r="CQ48" s="827">
        <f t="shared" si="376"/>
        <v>1.9331364656377577</v>
      </c>
      <c r="CR48" s="827">
        <f t="shared" si="376"/>
        <v>2.8640839494975006</v>
      </c>
      <c r="CS48" s="1467">
        <f t="shared" ref="CS48:CT48" si="379">+CS46/CS73</f>
        <v>4.7976564098002061</v>
      </c>
      <c r="CT48" s="827">
        <f t="shared" si="379"/>
        <v>0.75386941914333383</v>
      </c>
      <c r="CU48" s="827">
        <f t="shared" ref="CU48:CW48" si="380">+CU46/CU73</f>
        <v>0.29054297717529232</v>
      </c>
      <c r="CV48" s="827">
        <f t="shared" si="380"/>
        <v>1.2405489619719179</v>
      </c>
      <c r="CW48" s="1454">
        <f t="shared" si="380"/>
        <v>3.0656746853312904</v>
      </c>
      <c r="CX48" s="827">
        <f t="shared" ref="CX48:DB48" si="381">+CX46/CX73</f>
        <v>1.0437207512757127</v>
      </c>
      <c r="CY48" s="827">
        <f t="shared" si="381"/>
        <v>4.3042630515331011</v>
      </c>
      <c r="CZ48" s="1467">
        <f t="shared" si="381"/>
        <v>5.3502499877125667</v>
      </c>
      <c r="DA48" s="827">
        <f t="shared" si="381"/>
        <v>1.0056053698738352</v>
      </c>
      <c r="DB48" s="827">
        <f t="shared" si="381"/>
        <v>0.92481238307811509</v>
      </c>
      <c r="DC48" s="827">
        <f t="shared" ref="DC48:DI48" si="382">+DC46/DC73</f>
        <v>1.4111250315701291</v>
      </c>
      <c r="DD48" s="1454">
        <f t="shared" si="382"/>
        <v>3.2550335434991586</v>
      </c>
      <c r="DE48" s="827">
        <f t="shared" si="382"/>
        <v>1.9302678255088415</v>
      </c>
      <c r="DF48" s="827">
        <f t="shared" si="382"/>
        <v>4.6682082953025716</v>
      </c>
      <c r="DG48" s="1467">
        <f t="shared" si="382"/>
        <v>6.6014059505217384</v>
      </c>
      <c r="DH48" s="827">
        <f t="shared" si="382"/>
        <v>0.74305715920787829</v>
      </c>
      <c r="DI48" s="827">
        <f t="shared" si="382"/>
        <v>2.0945877818631917</v>
      </c>
      <c r="DJ48" s="885">
        <f t="shared" si="376"/>
        <v>1.953700425846562</v>
      </c>
      <c r="DK48" s="1519">
        <f t="shared" si="376"/>
        <v>2.9154413040922038</v>
      </c>
      <c r="DL48" s="2048">
        <f t="shared" si="376"/>
        <v>2.8397432918654681</v>
      </c>
      <c r="DM48" s="885">
        <f t="shared" si="376"/>
        <v>4.8638876017724497</v>
      </c>
      <c r="DN48" s="1493">
        <f t="shared" si="376"/>
        <v>7.6972651232072939</v>
      </c>
      <c r="DO48" s="885">
        <f t="shared" ref="DO48:DT48" si="383">+DO46/DO73</f>
        <v>2.0735284962283926</v>
      </c>
      <c r="DP48" s="885">
        <f t="shared" si="383"/>
        <v>2.3276810097513119</v>
      </c>
      <c r="DQ48" s="885">
        <f t="shared" si="383"/>
        <v>2.3147550493486033</v>
      </c>
      <c r="DR48" s="1519">
        <f t="shared" si="383"/>
        <v>2.5699422716461111</v>
      </c>
      <c r="DS48" s="885">
        <f t="shared" si="383"/>
        <v>4.4012095059797058</v>
      </c>
      <c r="DT48" s="885">
        <f t="shared" si="383"/>
        <v>4.8856856875089658</v>
      </c>
      <c r="DU48" s="1493">
        <f t="shared" si="376"/>
        <v>9.2868951934886699</v>
      </c>
      <c r="DV48" s="885">
        <f t="shared" ref="DV48:EA48" si="384">+DV46/DV73</f>
        <v>2.6164238223706788</v>
      </c>
      <c r="DW48" s="885">
        <f t="shared" si="384"/>
        <v>2.888362992866544</v>
      </c>
      <c r="DX48" s="885">
        <f t="shared" si="384"/>
        <v>2.8805197667463767</v>
      </c>
      <c r="DY48" s="1519">
        <f t="shared" si="384"/>
        <v>3.238544156368488</v>
      </c>
      <c r="DZ48" s="885">
        <f t="shared" si="384"/>
        <v>5.5047868152372228</v>
      </c>
      <c r="EA48" s="885">
        <f t="shared" si="384"/>
        <v>6.120278514081396</v>
      </c>
      <c r="EB48" s="1493">
        <f t="shared" si="376"/>
        <v>11.625065329318621</v>
      </c>
      <c r="EC48" s="885">
        <f t="shared" ref="EC48:EH48" si="385">+EC46/EC73</f>
        <v>3.0048752287007772</v>
      </c>
      <c r="ED48" s="885">
        <f t="shared" si="385"/>
        <v>3.1280482629799637</v>
      </c>
      <c r="EE48" s="885">
        <f t="shared" si="385"/>
        <v>3.1187242300134042</v>
      </c>
      <c r="EF48" s="1519">
        <f t="shared" si="385"/>
        <v>3.5142136898848824</v>
      </c>
      <c r="EG48" s="885">
        <f t="shared" si="385"/>
        <v>6.1329234916807414</v>
      </c>
      <c r="EH48" s="885">
        <f t="shared" si="385"/>
        <v>6.634112054202145</v>
      </c>
      <c r="EI48" s="1493">
        <f t="shared" si="376"/>
        <v>12.767035545882884</v>
      </c>
      <c r="EJ48" s="885">
        <f t="shared" ref="EJ48:EO48" si="386">+EJ46/EJ73</f>
        <v>3.2163435389714041</v>
      </c>
      <c r="EK48" s="885">
        <f t="shared" si="386"/>
        <v>3.3469664590109085</v>
      </c>
      <c r="EL48" s="885">
        <f t="shared" si="386"/>
        <v>3.3385861820633447</v>
      </c>
      <c r="EM48" s="1519">
        <f t="shared" si="386"/>
        <v>3.7519367535323882</v>
      </c>
      <c r="EN48" s="885">
        <f t="shared" si="386"/>
        <v>6.5633099979823122</v>
      </c>
      <c r="EO48" s="885">
        <f t="shared" si="386"/>
        <v>7.0905229355957333</v>
      </c>
      <c r="EP48" s="1493">
        <f t="shared" si="376"/>
        <v>13.653832933578046</v>
      </c>
      <c r="EQ48" s="43"/>
      <c r="ER48" s="149"/>
    </row>
    <row r="49" spans="1:148" ht="10.199999999999999" customHeight="1">
      <c r="A49" s="43"/>
      <c r="B49" s="108"/>
      <c r="C49" s="826"/>
      <c r="D49" s="826"/>
      <c r="E49" s="826"/>
      <c r="F49" s="826"/>
      <c r="G49" s="827"/>
      <c r="H49" s="826"/>
      <c r="I49" s="827"/>
      <c r="J49" s="826"/>
      <c r="K49" s="827"/>
      <c r="L49" s="827"/>
      <c r="M49" s="827"/>
      <c r="N49" s="827"/>
      <c r="O49" s="827"/>
      <c r="P49" s="827"/>
      <c r="Q49" s="1454"/>
      <c r="R49" s="827"/>
      <c r="S49" s="827"/>
      <c r="T49" s="1270"/>
      <c r="U49" s="827"/>
      <c r="V49" s="827"/>
      <c r="W49" s="827"/>
      <c r="X49" s="1454"/>
      <c r="Y49" s="827"/>
      <c r="Z49" s="827"/>
      <c r="AA49" s="1270"/>
      <c r="AB49" s="827"/>
      <c r="AC49" s="827"/>
      <c r="AD49" s="827"/>
      <c r="AE49" s="1454"/>
      <c r="AF49" s="827"/>
      <c r="AG49" s="827"/>
      <c r="AH49" s="1270"/>
      <c r="AI49" s="827"/>
      <c r="AJ49" s="827"/>
      <c r="AK49" s="827"/>
      <c r="AL49" s="1454"/>
      <c r="AM49" s="827"/>
      <c r="AN49" s="827"/>
      <c r="AO49" s="1270"/>
      <c r="AP49" s="827"/>
      <c r="AQ49" s="827"/>
      <c r="AR49" s="827"/>
      <c r="AS49" s="1454"/>
      <c r="AT49" s="827"/>
      <c r="AU49" s="827"/>
      <c r="AV49" s="1270"/>
      <c r="AW49" s="827"/>
      <c r="AX49" s="827"/>
      <c r="AY49" s="827"/>
      <c r="AZ49" s="1454"/>
      <c r="BA49" s="827"/>
      <c r="BB49" s="827"/>
      <c r="BC49" s="1270"/>
      <c r="BD49" s="827"/>
      <c r="BE49" s="827"/>
      <c r="BF49" s="827"/>
      <c r="BG49" s="1454"/>
      <c r="BH49" s="827"/>
      <c r="BI49" s="827"/>
      <c r="BJ49" s="1270"/>
      <c r="BK49" s="827"/>
      <c r="BL49" s="827"/>
      <c r="BM49" s="827"/>
      <c r="BN49" s="1454"/>
      <c r="BO49" s="827"/>
      <c r="BP49" s="827"/>
      <c r="BQ49" s="1270"/>
      <c r="BR49" s="827"/>
      <c r="BS49" s="827"/>
      <c r="BT49" s="827"/>
      <c r="BU49" s="1454"/>
      <c r="BV49" s="827"/>
      <c r="BW49" s="827"/>
      <c r="BX49" s="1270"/>
      <c r="BY49" s="827"/>
      <c r="BZ49" s="827"/>
      <c r="CA49" s="827"/>
      <c r="CB49" s="1454"/>
      <c r="CC49" s="827"/>
      <c r="CD49" s="827"/>
      <c r="CE49" s="1270"/>
      <c r="CF49" s="827"/>
      <c r="CG49" s="827"/>
      <c r="CH49" s="827"/>
      <c r="CI49" s="1454"/>
      <c r="CJ49" s="827"/>
      <c r="CK49" s="827"/>
      <c r="CL49" s="1270"/>
      <c r="CM49" s="827"/>
      <c r="CN49" s="827"/>
      <c r="CO49" s="827"/>
      <c r="CP49" s="1454"/>
      <c r="CQ49" s="827"/>
      <c r="CR49" s="827"/>
      <c r="CS49" s="1270"/>
      <c r="CT49" s="854"/>
      <c r="CU49" s="854"/>
      <c r="CV49" s="854"/>
      <c r="CW49" s="1454"/>
      <c r="CX49" s="854"/>
      <c r="CY49" s="827"/>
      <c r="CZ49" s="1270"/>
      <c r="DA49" s="854"/>
      <c r="DB49" s="854"/>
      <c r="DC49" s="854"/>
      <c r="DD49" s="1454"/>
      <c r="DE49" s="854"/>
      <c r="DF49" s="827"/>
      <c r="DG49" s="1270"/>
      <c r="DH49" s="854"/>
      <c r="DI49" s="854"/>
      <c r="DJ49" s="854"/>
      <c r="DK49" s="1520"/>
      <c r="DL49" s="2048"/>
      <c r="DM49" s="854"/>
      <c r="DN49" s="1494"/>
      <c r="DO49" s="854"/>
      <c r="DP49" s="854"/>
      <c r="DQ49" s="854"/>
      <c r="DR49" s="1520"/>
      <c r="DS49" s="854"/>
      <c r="DT49" s="854"/>
      <c r="DU49" s="1494"/>
      <c r="DV49" s="854"/>
      <c r="DW49" s="854"/>
      <c r="DX49" s="854"/>
      <c r="DY49" s="1520"/>
      <c r="DZ49" s="854"/>
      <c r="EA49" s="854"/>
      <c r="EB49" s="1494"/>
      <c r="EC49" s="854"/>
      <c r="ED49" s="854"/>
      <c r="EE49" s="854"/>
      <c r="EF49" s="1520"/>
      <c r="EG49" s="854"/>
      <c r="EH49" s="854"/>
      <c r="EI49" s="1494"/>
      <c r="EJ49" s="854"/>
      <c r="EK49" s="854"/>
      <c r="EL49" s="854"/>
      <c r="EM49" s="1520"/>
      <c r="EN49" s="854"/>
      <c r="EO49" s="854"/>
      <c r="EP49" s="1494"/>
      <c r="EQ49" s="43"/>
      <c r="ER49" s="149"/>
    </row>
    <row r="50" spans="1:148" ht="10.199999999999999" customHeight="1">
      <c r="A50" s="43" t="s">
        <v>86</v>
      </c>
      <c r="B50" s="108"/>
      <c r="C50" s="826"/>
      <c r="D50" s="826"/>
      <c r="E50" s="826"/>
      <c r="F50" s="826"/>
      <c r="G50" s="827"/>
      <c r="H50" s="826"/>
      <c r="I50" s="827"/>
      <c r="J50" s="826"/>
      <c r="K50" s="203">
        <v>29.5</v>
      </c>
      <c r="L50" s="203">
        <v>71</v>
      </c>
      <c r="M50" s="203">
        <v>43</v>
      </c>
      <c r="N50" s="203">
        <v>7</v>
      </c>
      <c r="O50" s="203">
        <f>R50-N50</f>
        <v>6</v>
      </c>
      <c r="P50" s="203">
        <f>22-R50</f>
        <v>9</v>
      </c>
      <c r="Q50" s="1448">
        <f>S50-P50</f>
        <v>20</v>
      </c>
      <c r="R50" s="203">
        <v>13</v>
      </c>
      <c r="S50" s="203">
        <f>T50-R50</f>
        <v>29</v>
      </c>
      <c r="T50" s="1461">
        <v>42</v>
      </c>
      <c r="U50" s="203">
        <v>7</v>
      </c>
      <c r="V50" s="203">
        <f>Y50-U50</f>
        <v>7</v>
      </c>
      <c r="W50" s="203">
        <f>25-Y50</f>
        <v>11</v>
      </c>
      <c r="X50" s="1448">
        <f>Z50-W50</f>
        <v>8</v>
      </c>
      <c r="Y50" s="203">
        <v>14</v>
      </c>
      <c r="Z50" s="203">
        <f>AA50-Y50</f>
        <v>19</v>
      </c>
      <c r="AA50" s="1461">
        <v>33</v>
      </c>
      <c r="AB50" s="203">
        <v>6</v>
      </c>
      <c r="AC50" s="203">
        <f>AF50-AB50</f>
        <v>7</v>
      </c>
      <c r="AD50" s="203">
        <f>17-AF50</f>
        <v>4</v>
      </c>
      <c r="AE50" s="1448">
        <f>AG50-AD50</f>
        <v>0</v>
      </c>
      <c r="AF50" s="203">
        <v>13</v>
      </c>
      <c r="AG50" s="203">
        <f>AH50-AF50</f>
        <v>4</v>
      </c>
      <c r="AH50" s="1461">
        <v>17</v>
      </c>
      <c r="AI50" s="203">
        <f t="shared" ref="AI50:AN50" si="387">-AI24-AI26</f>
        <v>0</v>
      </c>
      <c r="AJ50" s="203">
        <f t="shared" si="387"/>
        <v>0</v>
      </c>
      <c r="AK50" s="203">
        <f t="shared" si="387"/>
        <v>0</v>
      </c>
      <c r="AL50" s="1448">
        <f t="shared" si="387"/>
        <v>0</v>
      </c>
      <c r="AM50" s="203">
        <f t="shared" si="387"/>
        <v>0</v>
      </c>
      <c r="AN50" s="203">
        <f t="shared" si="387"/>
        <v>0</v>
      </c>
      <c r="AO50" s="1461">
        <f t="shared" ref="AO50:EP50" si="388">-AO24-AO26</f>
        <v>0</v>
      </c>
      <c r="AP50" s="203">
        <f t="shared" ref="AP50:AS50" si="389">-AP24-AP26</f>
        <v>0</v>
      </c>
      <c r="AQ50" s="203">
        <f t="shared" si="389"/>
        <v>0</v>
      </c>
      <c r="AR50" s="203">
        <f t="shared" si="389"/>
        <v>0</v>
      </c>
      <c r="AS50" s="1448">
        <f t="shared" si="389"/>
        <v>0</v>
      </c>
      <c r="AT50" s="203">
        <f t="shared" ref="AT50:AU50" si="390">-AT24-AT26</f>
        <v>0</v>
      </c>
      <c r="AU50" s="203">
        <f t="shared" si="390"/>
        <v>0</v>
      </c>
      <c r="AV50" s="1461">
        <f t="shared" si="388"/>
        <v>0</v>
      </c>
      <c r="AW50" s="203">
        <f t="shared" si="388"/>
        <v>0</v>
      </c>
      <c r="AX50" s="203">
        <f t="shared" si="388"/>
        <v>0</v>
      </c>
      <c r="AY50" s="203">
        <f t="shared" si="388"/>
        <v>0</v>
      </c>
      <c r="AZ50" s="1448">
        <f t="shared" si="388"/>
        <v>0</v>
      </c>
      <c r="BA50" s="203">
        <f t="shared" si="388"/>
        <v>0</v>
      </c>
      <c r="BB50" s="203">
        <f t="shared" si="388"/>
        <v>0</v>
      </c>
      <c r="BC50" s="1461">
        <f t="shared" si="388"/>
        <v>0</v>
      </c>
      <c r="BD50" s="203">
        <f t="shared" ref="BD50:BI50" si="391">-BD24-BD26</f>
        <v>0</v>
      </c>
      <c r="BE50" s="203">
        <f t="shared" si="391"/>
        <v>0</v>
      </c>
      <c r="BF50" s="203">
        <f t="shared" si="391"/>
        <v>0</v>
      </c>
      <c r="BG50" s="1448">
        <f t="shared" si="391"/>
        <v>0</v>
      </c>
      <c r="BH50" s="203">
        <f t="shared" si="391"/>
        <v>0</v>
      </c>
      <c r="BI50" s="203">
        <f t="shared" si="391"/>
        <v>0</v>
      </c>
      <c r="BJ50" s="1461">
        <f t="shared" si="388"/>
        <v>0</v>
      </c>
      <c r="BK50" s="203">
        <f t="shared" si="388"/>
        <v>0</v>
      </c>
      <c r="BL50" s="203">
        <f t="shared" si="388"/>
        <v>0</v>
      </c>
      <c r="BM50" s="203">
        <f t="shared" si="388"/>
        <v>0</v>
      </c>
      <c r="BN50" s="1448">
        <f t="shared" si="388"/>
        <v>0</v>
      </c>
      <c r="BO50" s="203">
        <f t="shared" si="388"/>
        <v>0</v>
      </c>
      <c r="BP50" s="203">
        <f t="shared" si="388"/>
        <v>0</v>
      </c>
      <c r="BQ50" s="1461">
        <f t="shared" si="388"/>
        <v>0</v>
      </c>
      <c r="BR50" s="203">
        <f t="shared" ref="BR50:BW50" si="392">-BR24-BR26</f>
        <v>0</v>
      </c>
      <c r="BS50" s="203">
        <f t="shared" si="392"/>
        <v>0</v>
      </c>
      <c r="BT50" s="203">
        <f t="shared" si="392"/>
        <v>0</v>
      </c>
      <c r="BU50" s="1448">
        <f t="shared" si="392"/>
        <v>0</v>
      </c>
      <c r="BV50" s="203">
        <f t="shared" si="392"/>
        <v>0</v>
      </c>
      <c r="BW50" s="203">
        <f t="shared" si="392"/>
        <v>0</v>
      </c>
      <c r="BX50" s="1461">
        <f t="shared" si="388"/>
        <v>0</v>
      </c>
      <c r="BY50" s="203">
        <f t="shared" si="388"/>
        <v>0</v>
      </c>
      <c r="BZ50" s="203">
        <f t="shared" si="388"/>
        <v>0</v>
      </c>
      <c r="CA50" s="203">
        <f t="shared" si="388"/>
        <v>0</v>
      </c>
      <c r="CB50" s="1448">
        <f t="shared" si="388"/>
        <v>0</v>
      </c>
      <c r="CC50" s="203">
        <f t="shared" si="388"/>
        <v>0</v>
      </c>
      <c r="CD50" s="203">
        <f t="shared" si="388"/>
        <v>0</v>
      </c>
      <c r="CE50" s="1461">
        <f t="shared" si="388"/>
        <v>0</v>
      </c>
      <c r="CF50" s="203">
        <f t="shared" ref="CF50:CK50" si="393">-CF24-CF26</f>
        <v>0</v>
      </c>
      <c r="CG50" s="203">
        <f t="shared" si="393"/>
        <v>0</v>
      </c>
      <c r="CH50" s="203">
        <f t="shared" si="393"/>
        <v>0</v>
      </c>
      <c r="CI50" s="1448">
        <f t="shared" si="393"/>
        <v>0</v>
      </c>
      <c r="CJ50" s="203">
        <f t="shared" si="393"/>
        <v>0</v>
      </c>
      <c r="CK50" s="203">
        <f t="shared" si="393"/>
        <v>0</v>
      </c>
      <c r="CL50" s="1461">
        <f t="shared" si="388"/>
        <v>0</v>
      </c>
      <c r="CM50" s="203">
        <f t="shared" si="388"/>
        <v>0</v>
      </c>
      <c r="CN50" s="203">
        <f t="shared" si="388"/>
        <v>0</v>
      </c>
      <c r="CO50" s="203">
        <f t="shared" si="388"/>
        <v>0</v>
      </c>
      <c r="CP50" s="1448">
        <f t="shared" ref="CP50:CR50" si="394">-CP24-CP26</f>
        <v>0</v>
      </c>
      <c r="CQ50" s="203">
        <f t="shared" si="394"/>
        <v>0</v>
      </c>
      <c r="CR50" s="203">
        <f t="shared" si="394"/>
        <v>0</v>
      </c>
      <c r="CS50" s="1461">
        <f t="shared" ref="CS50:CT50" si="395">-CS24-CS26</f>
        <v>0</v>
      </c>
      <c r="CT50" s="203">
        <f t="shared" si="395"/>
        <v>0</v>
      </c>
      <c r="CU50" s="203">
        <f t="shared" ref="CU50:CW50" si="396">-CU24-CU26</f>
        <v>0</v>
      </c>
      <c r="CV50" s="203">
        <f t="shared" si="396"/>
        <v>0</v>
      </c>
      <c r="CW50" s="1448">
        <f t="shared" si="396"/>
        <v>0</v>
      </c>
      <c r="CX50" s="203">
        <f t="shared" ref="CX50:DB50" si="397">-CX24-CX26</f>
        <v>0</v>
      </c>
      <c r="CY50" s="203">
        <f t="shared" si="397"/>
        <v>0</v>
      </c>
      <c r="CZ50" s="1461">
        <f t="shared" si="397"/>
        <v>0</v>
      </c>
      <c r="DA50" s="203">
        <f t="shared" si="397"/>
        <v>0</v>
      </c>
      <c r="DB50" s="203">
        <f t="shared" si="397"/>
        <v>0</v>
      </c>
      <c r="DC50" s="203">
        <f>DF50/2</f>
        <v>0</v>
      </c>
      <c r="DD50" s="1448">
        <f t="shared" ref="DD50" si="398">-DD24-DD26</f>
        <v>0</v>
      </c>
      <c r="DE50" s="203">
        <f t="shared" ref="DE50:DI50" si="399">-DE24-DE26</f>
        <v>0</v>
      </c>
      <c r="DF50" s="203">
        <f t="shared" si="399"/>
        <v>0</v>
      </c>
      <c r="DG50" s="1461">
        <f t="shared" si="399"/>
        <v>0</v>
      </c>
      <c r="DH50" s="203">
        <f t="shared" si="399"/>
        <v>0</v>
      </c>
      <c r="DI50" s="203">
        <f t="shared" si="399"/>
        <v>0</v>
      </c>
      <c r="DJ50" s="326">
        <f>DM50/2</f>
        <v>0</v>
      </c>
      <c r="DK50" s="1109">
        <f t="shared" ref="DK50:DL50" si="400">-DK24-DK26</f>
        <v>0</v>
      </c>
      <c r="DL50" s="2054">
        <f t="shared" si="400"/>
        <v>0</v>
      </c>
      <c r="DM50" s="860">
        <f t="shared" ref="DM50" si="401">-DM24-DM26</f>
        <v>0</v>
      </c>
      <c r="DN50" s="1119">
        <f t="shared" si="388"/>
        <v>0</v>
      </c>
      <c r="DO50" s="326">
        <f>DS50/2</f>
        <v>0</v>
      </c>
      <c r="DP50" s="860">
        <f t="shared" ref="DP50" si="402">-DP24-DP26</f>
        <v>0</v>
      </c>
      <c r="DQ50" s="326">
        <f>DT50/2</f>
        <v>0</v>
      </c>
      <c r="DR50" s="1109">
        <f t="shared" ref="DR50" si="403">-DR24-DR26</f>
        <v>0</v>
      </c>
      <c r="DS50" s="326">
        <f>DU50/2</f>
        <v>0</v>
      </c>
      <c r="DT50" s="860">
        <f t="shared" ref="DT50" si="404">-DT24-DT26</f>
        <v>0</v>
      </c>
      <c r="DU50" s="1119">
        <f t="shared" si="388"/>
        <v>0</v>
      </c>
      <c r="DV50" s="326">
        <f>DZ50/2</f>
        <v>0</v>
      </c>
      <c r="DW50" s="860">
        <f t="shared" ref="DW50" si="405">-DW24-DW26</f>
        <v>0</v>
      </c>
      <c r="DX50" s="326">
        <f>EA50/2</f>
        <v>0</v>
      </c>
      <c r="DY50" s="1109">
        <f t="shared" ref="DY50" si="406">-DY24-DY26</f>
        <v>0</v>
      </c>
      <c r="DZ50" s="326">
        <f>EB50/2</f>
        <v>0</v>
      </c>
      <c r="EA50" s="860">
        <f t="shared" ref="EA50" si="407">-EA24-EA26</f>
        <v>0</v>
      </c>
      <c r="EB50" s="1119">
        <f t="shared" si="388"/>
        <v>0</v>
      </c>
      <c r="EC50" s="326">
        <f>EG50/2</f>
        <v>0</v>
      </c>
      <c r="ED50" s="860">
        <f t="shared" ref="ED50" si="408">-ED24-ED26</f>
        <v>0</v>
      </c>
      <c r="EE50" s="326">
        <f>EH50/2</f>
        <v>0</v>
      </c>
      <c r="EF50" s="1109">
        <f t="shared" ref="EF50" si="409">-EF24-EF26</f>
        <v>0</v>
      </c>
      <c r="EG50" s="326">
        <f>EI50/2</f>
        <v>0</v>
      </c>
      <c r="EH50" s="860">
        <f t="shared" ref="EH50" si="410">-EH24-EH26</f>
        <v>0</v>
      </c>
      <c r="EI50" s="1119">
        <f t="shared" si="388"/>
        <v>0</v>
      </c>
      <c r="EJ50" s="326">
        <f>EN50/2</f>
        <v>0</v>
      </c>
      <c r="EK50" s="860">
        <f t="shared" ref="EK50" si="411">-EK24-EK26</f>
        <v>0</v>
      </c>
      <c r="EL50" s="326">
        <f>EO50/2</f>
        <v>0</v>
      </c>
      <c r="EM50" s="1109">
        <f t="shared" ref="EM50" si="412">-EM24-EM26</f>
        <v>0</v>
      </c>
      <c r="EN50" s="326">
        <f>EP50/2</f>
        <v>0</v>
      </c>
      <c r="EO50" s="860">
        <f t="shared" ref="EO50" si="413">-EO24-EO26</f>
        <v>0</v>
      </c>
      <c r="EP50" s="1119">
        <f t="shared" si="388"/>
        <v>0</v>
      </c>
      <c r="EQ50" s="93"/>
      <c r="ER50" s="149"/>
    </row>
    <row r="51" spans="1:148" ht="10.199999999999999" customHeight="1">
      <c r="A51" s="48" t="s">
        <v>87</v>
      </c>
      <c r="B51" s="108"/>
      <c r="C51" s="826"/>
      <c r="D51" s="826"/>
      <c r="E51" s="826"/>
      <c r="F51" s="826"/>
      <c r="G51" s="827"/>
      <c r="H51" s="826"/>
      <c r="I51" s="827"/>
      <c r="J51" s="826"/>
      <c r="K51" s="126">
        <f t="shared" ref="K51:EP51" si="414">K46+K50</f>
        <v>582.5</v>
      </c>
      <c r="L51" s="126">
        <f t="shared" si="414"/>
        <v>1104</v>
      </c>
      <c r="M51" s="126">
        <f t="shared" si="414"/>
        <v>1271</v>
      </c>
      <c r="N51" s="126">
        <f t="shared" ref="N51:S51" si="415">N46+N50</f>
        <v>234</v>
      </c>
      <c r="O51" s="126">
        <f t="shared" si="415"/>
        <v>537</v>
      </c>
      <c r="P51" s="126">
        <f t="shared" si="415"/>
        <v>454</v>
      </c>
      <c r="Q51" s="1276">
        <f t="shared" si="415"/>
        <v>290</v>
      </c>
      <c r="R51" s="126">
        <f t="shared" si="415"/>
        <v>771</v>
      </c>
      <c r="S51" s="126">
        <f t="shared" si="415"/>
        <v>744</v>
      </c>
      <c r="T51" s="1082">
        <f t="shared" si="414"/>
        <v>1515</v>
      </c>
      <c r="U51" s="126">
        <f t="shared" si="414"/>
        <v>446</v>
      </c>
      <c r="V51" s="126">
        <f t="shared" si="414"/>
        <v>703</v>
      </c>
      <c r="W51" s="126">
        <f t="shared" si="414"/>
        <v>275</v>
      </c>
      <c r="X51" s="1276">
        <f t="shared" si="414"/>
        <v>952</v>
      </c>
      <c r="Y51" s="126">
        <f t="shared" si="414"/>
        <v>1149</v>
      </c>
      <c r="Z51" s="126">
        <f t="shared" si="414"/>
        <v>1227</v>
      </c>
      <c r="AA51" s="1082">
        <f t="shared" si="414"/>
        <v>2376</v>
      </c>
      <c r="AB51" s="126">
        <f t="shared" ref="AB51:AG51" si="416">AB46+AB50</f>
        <v>798</v>
      </c>
      <c r="AC51" s="126">
        <f t="shared" si="416"/>
        <v>739</v>
      </c>
      <c r="AD51" s="126">
        <f t="shared" si="416"/>
        <v>380</v>
      </c>
      <c r="AE51" s="1276">
        <f t="shared" si="416"/>
        <v>796</v>
      </c>
      <c r="AF51" s="126">
        <f t="shared" si="416"/>
        <v>1537</v>
      </c>
      <c r="AG51" s="126">
        <f t="shared" si="416"/>
        <v>1176</v>
      </c>
      <c r="AH51" s="1082">
        <f t="shared" si="414"/>
        <v>2713</v>
      </c>
      <c r="AI51" s="126">
        <f t="shared" si="414"/>
        <v>399</v>
      </c>
      <c r="AJ51" s="126">
        <f t="shared" si="414"/>
        <v>1362</v>
      </c>
      <c r="AK51" s="126">
        <f t="shared" si="414"/>
        <v>50</v>
      </c>
      <c r="AL51" s="1276">
        <f t="shared" si="414"/>
        <v>-816</v>
      </c>
      <c r="AM51" s="126">
        <f t="shared" si="414"/>
        <v>1761</v>
      </c>
      <c r="AN51" s="126">
        <f t="shared" si="414"/>
        <v>-766</v>
      </c>
      <c r="AO51" s="1082">
        <f t="shared" si="414"/>
        <v>995</v>
      </c>
      <c r="AP51" s="126">
        <f t="shared" ref="AP51:AS51" si="417">AP46+AP50</f>
        <v>608</v>
      </c>
      <c r="AQ51" s="126">
        <f t="shared" si="417"/>
        <v>895</v>
      </c>
      <c r="AR51" s="126">
        <f t="shared" si="417"/>
        <v>348</v>
      </c>
      <c r="AS51" s="1276">
        <f t="shared" si="417"/>
        <v>1022</v>
      </c>
      <c r="AT51" s="126">
        <f t="shared" ref="AT51:AU51" si="418">AT46+AT50</f>
        <v>1503</v>
      </c>
      <c r="AU51" s="126">
        <f t="shared" si="418"/>
        <v>1370</v>
      </c>
      <c r="AV51" s="1082">
        <f t="shared" si="414"/>
        <v>2873</v>
      </c>
      <c r="AW51" s="126">
        <f t="shared" si="414"/>
        <v>409</v>
      </c>
      <c r="AX51" s="126">
        <f t="shared" si="414"/>
        <v>682</v>
      </c>
      <c r="AY51" s="126">
        <f t="shared" si="414"/>
        <v>307</v>
      </c>
      <c r="AZ51" s="1276">
        <f t="shared" si="414"/>
        <v>963</v>
      </c>
      <c r="BA51" s="126">
        <f t="shared" si="414"/>
        <v>1091</v>
      </c>
      <c r="BB51" s="126">
        <f t="shared" si="414"/>
        <v>1270</v>
      </c>
      <c r="BC51" s="1082">
        <f t="shared" si="414"/>
        <v>2361</v>
      </c>
      <c r="BD51" s="126">
        <f t="shared" ref="BD51:BI51" si="419">BD46+BD50</f>
        <v>283</v>
      </c>
      <c r="BE51" s="126">
        <f t="shared" si="419"/>
        <v>213</v>
      </c>
      <c r="BF51" s="126">
        <f t="shared" si="419"/>
        <v>957</v>
      </c>
      <c r="BG51" s="1276">
        <f t="shared" si="419"/>
        <v>1601</v>
      </c>
      <c r="BH51" s="126">
        <f t="shared" si="419"/>
        <v>496</v>
      </c>
      <c r="BI51" s="126">
        <f t="shared" si="419"/>
        <v>2558</v>
      </c>
      <c r="BJ51" s="1082">
        <f t="shared" si="414"/>
        <v>3054</v>
      </c>
      <c r="BK51" s="126">
        <f t="shared" si="414"/>
        <v>40</v>
      </c>
      <c r="BL51" s="126">
        <f t="shared" si="414"/>
        <v>1157</v>
      </c>
      <c r="BM51" s="126">
        <f t="shared" si="414"/>
        <v>989</v>
      </c>
      <c r="BN51" s="1276">
        <f t="shared" si="414"/>
        <v>-3548</v>
      </c>
      <c r="BO51" s="126">
        <f t="shared" si="414"/>
        <v>1197</v>
      </c>
      <c r="BP51" s="126">
        <f t="shared" si="414"/>
        <v>-2559</v>
      </c>
      <c r="BQ51" s="1082">
        <f t="shared" si="414"/>
        <v>-1362</v>
      </c>
      <c r="BR51" s="126">
        <f t="shared" ref="BR51:BW51" si="420">BR46+BR50</f>
        <v>-481</v>
      </c>
      <c r="BS51" s="126">
        <f t="shared" si="420"/>
        <v>-1438</v>
      </c>
      <c r="BT51" s="126">
        <f t="shared" si="420"/>
        <v>-767</v>
      </c>
      <c r="BU51" s="1276">
        <f t="shared" si="420"/>
        <v>1553</v>
      </c>
      <c r="BV51" s="126">
        <f t="shared" si="420"/>
        <v>-1919</v>
      </c>
      <c r="BW51" s="126">
        <f t="shared" si="420"/>
        <v>786</v>
      </c>
      <c r="BX51" s="1082">
        <f t="shared" si="414"/>
        <v>-1133</v>
      </c>
      <c r="BY51" s="126">
        <f t="shared" si="414"/>
        <v>362</v>
      </c>
      <c r="BZ51" s="126">
        <f t="shared" si="414"/>
        <v>1869</v>
      </c>
      <c r="CA51" s="126">
        <f t="shared" si="414"/>
        <v>404</v>
      </c>
      <c r="CB51" s="1276">
        <f t="shared" si="414"/>
        <v>1578</v>
      </c>
      <c r="CC51" s="126">
        <f t="shared" si="414"/>
        <v>2231</v>
      </c>
      <c r="CD51" s="126">
        <f t="shared" si="414"/>
        <v>1982</v>
      </c>
      <c r="CE51" s="1082">
        <f t="shared" si="414"/>
        <v>4213</v>
      </c>
      <c r="CF51" s="126">
        <f t="shared" ref="CF51:CK51" si="421">CF46+CF50</f>
        <v>1219</v>
      </c>
      <c r="CG51" s="126">
        <f t="shared" si="421"/>
        <v>682</v>
      </c>
      <c r="CH51" s="126">
        <f t="shared" si="421"/>
        <v>667</v>
      </c>
      <c r="CI51" s="1276">
        <f t="shared" si="421"/>
        <v>1679</v>
      </c>
      <c r="CJ51" s="126">
        <f t="shared" si="421"/>
        <v>1901</v>
      </c>
      <c r="CK51" s="126">
        <f t="shared" si="421"/>
        <v>2346</v>
      </c>
      <c r="CL51" s="1082">
        <f t="shared" si="414"/>
        <v>4247</v>
      </c>
      <c r="CM51" s="126">
        <f t="shared" si="414"/>
        <v>466</v>
      </c>
      <c r="CN51" s="126">
        <f t="shared" si="414"/>
        <v>1060</v>
      </c>
      <c r="CO51" s="126">
        <f t="shared" si="414"/>
        <v>806</v>
      </c>
      <c r="CP51" s="1276">
        <f t="shared" ref="CP51:CR51" si="422">CP46+CP50</f>
        <v>1457</v>
      </c>
      <c r="CQ51" s="126">
        <f t="shared" si="422"/>
        <v>1526</v>
      </c>
      <c r="CR51" s="126">
        <f t="shared" si="422"/>
        <v>2263</v>
      </c>
      <c r="CS51" s="1082">
        <f t="shared" ref="CS51:CU51" si="423">CS46+CS50</f>
        <v>3789</v>
      </c>
      <c r="CT51" s="126">
        <f t="shared" si="423"/>
        <v>595</v>
      </c>
      <c r="CU51" s="126">
        <f t="shared" si="423"/>
        <v>230</v>
      </c>
      <c r="CV51" s="126">
        <f t="shared" ref="CV51:CW51" si="424">CV46+CV50</f>
        <v>983</v>
      </c>
      <c r="CW51" s="1276">
        <f t="shared" si="424"/>
        <v>2424</v>
      </c>
      <c r="CX51" s="126">
        <f t="shared" ref="CX51:CY51" si="425">CX46+CX50</f>
        <v>825</v>
      </c>
      <c r="CY51" s="126">
        <f t="shared" si="425"/>
        <v>3407</v>
      </c>
      <c r="CZ51" s="1082">
        <f t="shared" ref="CZ51:DB51" si="426">CZ46+CZ50</f>
        <v>4232</v>
      </c>
      <c r="DA51" s="126">
        <f t="shared" si="426"/>
        <v>793</v>
      </c>
      <c r="DB51" s="126">
        <f t="shared" si="426"/>
        <v>732</v>
      </c>
      <c r="DC51" s="126">
        <f>DC46+DC50</f>
        <v>1116</v>
      </c>
      <c r="DD51" s="1276">
        <f t="shared" ref="DD51" si="427">DD46+DD50</f>
        <v>2580</v>
      </c>
      <c r="DE51" s="126">
        <f t="shared" ref="DE51:DI51" si="428">DE46+DE50</f>
        <v>1525</v>
      </c>
      <c r="DF51" s="126">
        <f t="shared" si="428"/>
        <v>3696</v>
      </c>
      <c r="DG51" s="1082">
        <f t="shared" si="428"/>
        <v>5221</v>
      </c>
      <c r="DH51" s="126">
        <f t="shared" si="428"/>
        <v>586</v>
      </c>
      <c r="DI51" s="126">
        <f t="shared" si="428"/>
        <v>1657</v>
      </c>
      <c r="DJ51" s="884">
        <f>DJ46+DJ50</f>
        <v>1541.8519230070176</v>
      </c>
      <c r="DK51" s="1515">
        <f>DK46+DK50</f>
        <v>2275.850472749783</v>
      </c>
      <c r="DL51" s="2012">
        <f t="shared" ref="DL51" si="429">DL46+DL50</f>
        <v>2243</v>
      </c>
      <c r="DM51" s="884">
        <f>DM46+DM50</f>
        <v>3817.7023957568008</v>
      </c>
      <c r="DN51" s="1486">
        <f t="shared" si="414"/>
        <v>6060.7023957568008</v>
      </c>
      <c r="DO51" s="884">
        <f>DO46+DO50</f>
        <v>1623.9620378305744</v>
      </c>
      <c r="DP51" s="884">
        <f t="shared" ref="DP51" si="430">DP46+DP50</f>
        <v>1823.0111632856515</v>
      </c>
      <c r="DQ51" s="884">
        <f>DQ46+DQ50</f>
        <v>1805.8662082716694</v>
      </c>
      <c r="DR51" s="1515">
        <f>DR46+DR50</f>
        <v>2020.5427847652929</v>
      </c>
      <c r="DS51" s="884">
        <f>DS46+DS50</f>
        <v>3446.9732011162268</v>
      </c>
      <c r="DT51" s="884">
        <f>DT46+DT50</f>
        <v>3826.4089930369623</v>
      </c>
      <c r="DU51" s="1486">
        <f t="shared" si="414"/>
        <v>7273.3821941531878</v>
      </c>
      <c r="DV51" s="884">
        <f>DV46+DV50</f>
        <v>2034.3130436506262</v>
      </c>
      <c r="DW51" s="884">
        <f t="shared" ref="DW51" si="431">DW46+DW50</f>
        <v>2245.7502721643232</v>
      </c>
      <c r="DX51" s="884">
        <f>DX46+DX50</f>
        <v>2232.0540562511269</v>
      </c>
      <c r="DY51" s="1515">
        <f>DY46+DY50</f>
        <v>2526.5642935425626</v>
      </c>
      <c r="DZ51" s="884">
        <f>DZ46+DZ50</f>
        <v>4280.0633158149494</v>
      </c>
      <c r="EA51" s="884">
        <f>EA46+EA50</f>
        <v>4758.618349793689</v>
      </c>
      <c r="EB51" s="1486">
        <f t="shared" si="414"/>
        <v>9038.6816656086412</v>
      </c>
      <c r="EC51" s="884">
        <f>EC46+EC50</f>
        <v>2321.5223168024772</v>
      </c>
      <c r="ED51" s="884">
        <f t="shared" ref="ED51" si="432">ED46+ED50</f>
        <v>2416.6839878017236</v>
      </c>
      <c r="EE51" s="884">
        <f>EE46+EE50</f>
        <v>2402.327080349708</v>
      </c>
      <c r="EF51" s="1515">
        <f>EF46+EF50</f>
        <v>2723.0901213015104</v>
      </c>
      <c r="EG51" s="884">
        <f>EG46+EG50</f>
        <v>4738.2063046042013</v>
      </c>
      <c r="EH51" s="884">
        <f>EH46+EH50</f>
        <v>5125.4172016512193</v>
      </c>
      <c r="EI51" s="1486">
        <f t="shared" si="414"/>
        <v>9863.6235062554188</v>
      </c>
      <c r="EJ51" s="884">
        <f>EJ46+EJ50</f>
        <v>2477.5224141397111</v>
      </c>
      <c r="EK51" s="884">
        <f t="shared" ref="EK51" si="433">EK46+EK50</f>
        <v>2578.1401523498985</v>
      </c>
      <c r="EL51" s="884">
        <f>EL46+EL50</f>
        <v>2571.6848954027728</v>
      </c>
      <c r="EM51" s="1515">
        <f>EM46+EM50</f>
        <v>2890.0853688918451</v>
      </c>
      <c r="EN51" s="884">
        <f>EN46+EN50</f>
        <v>5055.6625664896092</v>
      </c>
      <c r="EO51" s="884">
        <f>EO46+EO50</f>
        <v>5461.7702642946178</v>
      </c>
      <c r="EP51" s="1486">
        <f t="shared" si="414"/>
        <v>10517.432830784228</v>
      </c>
      <c r="EQ51" s="43"/>
      <c r="ER51" s="149"/>
    </row>
    <row r="52" spans="1:148" ht="10.199999999999999" customHeight="1">
      <c r="A52" s="43"/>
      <c r="B52" s="108"/>
      <c r="C52" s="828"/>
      <c r="D52" s="828"/>
      <c r="E52" s="828"/>
      <c r="F52" s="828"/>
      <c r="G52" s="226"/>
      <c r="H52" s="828"/>
      <c r="I52" s="224"/>
      <c r="J52" s="244"/>
      <c r="K52" s="134"/>
      <c r="L52" s="134"/>
      <c r="M52" s="134"/>
      <c r="N52" s="134"/>
      <c r="O52" s="134"/>
      <c r="P52" s="134"/>
      <c r="Q52" s="717"/>
      <c r="R52" s="134"/>
      <c r="S52" s="134"/>
      <c r="T52" s="1270"/>
      <c r="U52" s="134"/>
      <c r="V52" s="134"/>
      <c r="W52" s="134"/>
      <c r="X52" s="717"/>
      <c r="Y52" s="134"/>
      <c r="Z52" s="134"/>
      <c r="AA52" s="1270"/>
      <c r="AB52" s="134"/>
      <c r="AC52" s="134"/>
      <c r="AD52" s="134"/>
      <c r="AE52" s="717"/>
      <c r="AF52" s="134"/>
      <c r="AG52" s="134"/>
      <c r="AH52" s="1270"/>
      <c r="AI52" s="134"/>
      <c r="AJ52" s="134"/>
      <c r="AK52" s="134"/>
      <c r="AL52" s="717"/>
      <c r="AM52" s="134"/>
      <c r="AN52" s="134"/>
      <c r="AO52" s="1270"/>
      <c r="AP52" s="134"/>
      <c r="AQ52" s="134"/>
      <c r="AR52" s="134"/>
      <c r="AS52" s="717"/>
      <c r="AT52" s="134"/>
      <c r="AU52" s="134"/>
      <c r="AV52" s="1270"/>
      <c r="AW52" s="134"/>
      <c r="AX52" s="134"/>
      <c r="AY52" s="134"/>
      <c r="AZ52" s="717"/>
      <c r="BA52" s="134"/>
      <c r="BB52" s="134"/>
      <c r="BC52" s="1270"/>
      <c r="BD52" s="134"/>
      <c r="BE52" s="134"/>
      <c r="BF52" s="134"/>
      <c r="BG52" s="717"/>
      <c r="BH52" s="134"/>
      <c r="BI52" s="134"/>
      <c r="BJ52" s="1270"/>
      <c r="BK52" s="134"/>
      <c r="BL52" s="134"/>
      <c r="BM52" s="134"/>
      <c r="BN52" s="717"/>
      <c r="BO52" s="134"/>
      <c r="BP52" s="134"/>
      <c r="BQ52" s="1270"/>
      <c r="BR52" s="134"/>
      <c r="BS52" s="134"/>
      <c r="BT52" s="134"/>
      <c r="BU52" s="717"/>
      <c r="BV52" s="134"/>
      <c r="BW52" s="134"/>
      <c r="BX52" s="1270"/>
      <c r="BY52" s="134"/>
      <c r="BZ52" s="134"/>
      <c r="CA52" s="134"/>
      <c r="CB52" s="717"/>
      <c r="CC52" s="134"/>
      <c r="CD52" s="134"/>
      <c r="CE52" s="1270"/>
      <c r="CF52" s="134"/>
      <c r="CG52" s="134"/>
      <c r="CH52" s="134"/>
      <c r="CI52" s="717"/>
      <c r="CJ52" s="134"/>
      <c r="CK52" s="134"/>
      <c r="CL52" s="1270"/>
      <c r="CM52" s="134"/>
      <c r="CN52" s="134"/>
      <c r="CO52" s="134"/>
      <c r="CP52" s="717"/>
      <c r="CQ52" s="134"/>
      <c r="CR52" s="134"/>
      <c r="CS52" s="1270"/>
      <c r="CT52" s="16"/>
      <c r="CU52" s="16"/>
      <c r="CV52" s="16"/>
      <c r="CW52" s="717"/>
      <c r="CX52" s="16"/>
      <c r="CY52" s="134"/>
      <c r="CZ52" s="1270"/>
      <c r="DA52" s="16"/>
      <c r="DB52" s="16"/>
      <c r="DC52" s="16"/>
      <c r="DD52" s="717"/>
      <c r="DE52" s="16"/>
      <c r="DF52" s="134"/>
      <c r="DG52" s="1270"/>
      <c r="DH52" s="16"/>
      <c r="DI52" s="16"/>
      <c r="DJ52" s="16"/>
      <c r="DK52" s="710"/>
      <c r="DL52" s="1205"/>
      <c r="DM52" s="16"/>
      <c r="DN52" s="1084"/>
      <c r="DO52" s="16"/>
      <c r="DP52" s="16"/>
      <c r="DQ52" s="16"/>
      <c r="DR52" s="710"/>
      <c r="DS52" s="16"/>
      <c r="DT52" s="16"/>
      <c r="DU52" s="1084"/>
      <c r="DV52" s="16"/>
      <c r="DW52" s="16"/>
      <c r="DX52" s="16"/>
      <c r="DY52" s="710"/>
      <c r="DZ52" s="16"/>
      <c r="EA52" s="16"/>
      <c r="EB52" s="1084"/>
      <c r="EC52" s="16"/>
      <c r="ED52" s="16"/>
      <c r="EE52" s="16"/>
      <c r="EF52" s="710"/>
      <c r="EG52" s="16"/>
      <c r="EH52" s="16"/>
      <c r="EI52" s="1084"/>
      <c r="EJ52" s="16"/>
      <c r="EK52" s="16"/>
      <c r="EL52" s="16"/>
      <c r="EM52" s="710"/>
      <c r="EN52" s="16"/>
      <c r="EO52" s="16"/>
      <c r="EP52" s="1084"/>
      <c r="EQ52" s="43"/>
      <c r="ER52" s="46"/>
    </row>
    <row r="53" spans="1:148" ht="10.199999999999999" customHeight="1">
      <c r="A53" s="102" t="s">
        <v>25</v>
      </c>
      <c r="B53" s="108"/>
      <c r="C53" s="828"/>
      <c r="D53" s="828"/>
      <c r="E53" s="828"/>
      <c r="F53" s="828"/>
      <c r="G53" s="226"/>
      <c r="H53" s="828"/>
      <c r="I53" s="224"/>
      <c r="J53" s="244"/>
      <c r="K53" s="134"/>
      <c r="L53" s="134"/>
      <c r="M53" s="134"/>
      <c r="N53" s="134"/>
      <c r="O53" s="134"/>
      <c r="P53" s="134"/>
      <c r="Q53" s="717"/>
      <c r="R53" s="134"/>
      <c r="S53" s="134"/>
      <c r="T53" s="1270"/>
      <c r="U53" s="134"/>
      <c r="V53" s="134"/>
      <c r="W53" s="134"/>
      <c r="X53" s="717"/>
      <c r="Y53" s="134"/>
      <c r="Z53" s="134"/>
      <c r="AA53" s="1270"/>
      <c r="AB53" s="134"/>
      <c r="AC53" s="134"/>
      <c r="AD53" s="134"/>
      <c r="AE53" s="717"/>
      <c r="AF53" s="134"/>
      <c r="AG53" s="134"/>
      <c r="AH53" s="1270"/>
      <c r="AI53" s="134"/>
      <c r="AJ53" s="134"/>
      <c r="AK53" s="134"/>
      <c r="AL53" s="717"/>
      <c r="AM53" s="134"/>
      <c r="AN53" s="134"/>
      <c r="AO53" s="1270"/>
      <c r="AP53" s="134"/>
      <c r="AQ53" s="134"/>
      <c r="AR53" s="134"/>
      <c r="AS53" s="717"/>
      <c r="AT53" s="134"/>
      <c r="AU53" s="134"/>
      <c r="AV53" s="1270"/>
      <c r="AW53" s="134"/>
      <c r="AX53" s="134"/>
      <c r="AY53" s="134"/>
      <c r="AZ53" s="717"/>
      <c r="BA53" s="134"/>
      <c r="BB53" s="134"/>
      <c r="BC53" s="1270"/>
      <c r="BD53" s="134"/>
      <c r="BE53" s="134"/>
      <c r="BF53" s="134"/>
      <c r="BG53" s="717"/>
      <c r="BH53" s="134"/>
      <c r="BI53" s="134"/>
      <c r="BJ53" s="1270"/>
      <c r="BK53" s="134"/>
      <c r="BL53" s="134"/>
      <c r="BM53" s="134"/>
      <c r="BN53" s="717"/>
      <c r="BO53" s="134"/>
      <c r="BP53" s="134"/>
      <c r="BQ53" s="1270"/>
      <c r="BR53" s="134"/>
      <c r="BS53" s="134"/>
      <c r="BT53" s="134"/>
      <c r="BU53" s="717"/>
      <c r="BV53" s="134"/>
      <c r="BW53" s="134"/>
      <c r="BX53" s="1270"/>
      <c r="BY53" s="134"/>
      <c r="BZ53" s="134"/>
      <c r="CA53" s="134"/>
      <c r="CB53" s="717"/>
      <c r="CC53" s="134"/>
      <c r="CD53" s="134"/>
      <c r="CE53" s="1270"/>
      <c r="CF53" s="134"/>
      <c r="CG53" s="134"/>
      <c r="CH53" s="134"/>
      <c r="CI53" s="717"/>
      <c r="CJ53" s="134"/>
      <c r="CK53" s="134"/>
      <c r="CL53" s="1270"/>
      <c r="CM53" s="134"/>
      <c r="CN53" s="134"/>
      <c r="CO53" s="134"/>
      <c r="CP53" s="717"/>
      <c r="CQ53" s="134"/>
      <c r="CR53" s="134"/>
      <c r="CS53" s="1270"/>
      <c r="CT53" s="16"/>
      <c r="CU53" s="16"/>
      <c r="CV53" s="16"/>
      <c r="CW53" s="717"/>
      <c r="CX53" s="16"/>
      <c r="CY53" s="134"/>
      <c r="CZ53" s="1270"/>
      <c r="DA53" s="16"/>
      <c r="DB53" s="16"/>
      <c r="DC53" s="16"/>
      <c r="DD53" s="717"/>
      <c r="DE53" s="16"/>
      <c r="DF53" s="134"/>
      <c r="DG53" s="1270"/>
      <c r="DH53" s="16"/>
      <c r="DI53" s="16"/>
      <c r="DJ53" s="16"/>
      <c r="DK53" s="710"/>
      <c r="DL53" s="1205"/>
      <c r="DM53" s="16"/>
      <c r="DN53" s="1084"/>
      <c r="DO53" s="16"/>
      <c r="DP53" s="16"/>
      <c r="DQ53" s="16"/>
      <c r="DR53" s="710"/>
      <c r="DS53" s="16"/>
      <c r="DT53" s="16"/>
      <c r="DU53" s="1084"/>
      <c r="DV53" s="16"/>
      <c r="DW53" s="16"/>
      <c r="DX53" s="16"/>
      <c r="DY53" s="710"/>
      <c r="DZ53" s="16"/>
      <c r="EA53" s="16"/>
      <c r="EB53" s="1084"/>
      <c r="EC53" s="16"/>
      <c r="ED53" s="16"/>
      <c r="EE53" s="16"/>
      <c r="EF53" s="710"/>
      <c r="EG53" s="16"/>
      <c r="EH53" s="16"/>
      <c r="EI53" s="1084"/>
      <c r="EJ53" s="16"/>
      <c r="EK53" s="16"/>
      <c r="EL53" s="16"/>
      <c r="EM53" s="710"/>
      <c r="EN53" s="16"/>
      <c r="EO53" s="16"/>
      <c r="EP53" s="1084"/>
      <c r="EQ53" s="43"/>
      <c r="ER53" s="46"/>
    </row>
    <row r="54" spans="1:148" ht="10.199999999999999" customHeight="1">
      <c r="A54" s="43" t="s">
        <v>2</v>
      </c>
      <c r="B54" s="108"/>
      <c r="C54" s="133"/>
      <c r="D54" s="133"/>
      <c r="E54" s="133"/>
      <c r="F54" s="133"/>
      <c r="G54" s="133"/>
      <c r="H54" s="133"/>
      <c r="I54" s="133"/>
      <c r="J54" s="133">
        <v>2470</v>
      </c>
      <c r="K54" s="133">
        <v>113</v>
      </c>
      <c r="L54" s="133">
        <v>98</v>
      </c>
      <c r="M54" s="133">
        <v>820</v>
      </c>
      <c r="N54" s="133">
        <f>-Divisional!N48</f>
        <v>145</v>
      </c>
      <c r="O54" s="133">
        <f>-Divisional!O48</f>
        <v>-9</v>
      </c>
      <c r="P54" s="133">
        <f>-Divisional!P48</f>
        <v>53</v>
      </c>
      <c r="Q54" s="688">
        <f>-Divisional!Q48</f>
        <v>724</v>
      </c>
      <c r="R54" s="133">
        <f>-Divisional!R48</f>
        <v>136</v>
      </c>
      <c r="S54" s="133">
        <f>-Divisional!S48</f>
        <v>777</v>
      </c>
      <c r="T54" s="339">
        <f>519+292+102</f>
        <v>913</v>
      </c>
      <c r="U54" s="133">
        <f>-Divisional!U48</f>
        <v>-19</v>
      </c>
      <c r="V54" s="133">
        <f>-Divisional!V48</f>
        <v>-51</v>
      </c>
      <c r="W54" s="133">
        <f>-Divisional!W48</f>
        <v>77</v>
      </c>
      <c r="X54" s="688">
        <f>-Divisional!X48</f>
        <v>19</v>
      </c>
      <c r="Y54" s="133">
        <f>-Divisional!Y48</f>
        <v>-70</v>
      </c>
      <c r="Z54" s="133">
        <f>-Divisional!Z48</f>
        <v>96</v>
      </c>
      <c r="AA54" s="339">
        <f>511-343-142</f>
        <v>26</v>
      </c>
      <c r="AB54" s="133">
        <f>-Divisional!AB48</f>
        <v>-590</v>
      </c>
      <c r="AC54" s="133">
        <f>-Divisional!AC48</f>
        <v>244</v>
      </c>
      <c r="AD54" s="133">
        <f>-Divisional!AD48</f>
        <v>204</v>
      </c>
      <c r="AE54" s="688">
        <f>-Divisional!AE48</f>
        <v>188</v>
      </c>
      <c r="AF54" s="133">
        <f>-Divisional!AF48</f>
        <v>-346</v>
      </c>
      <c r="AG54" s="133">
        <f>-Divisional!AG48</f>
        <v>392</v>
      </c>
      <c r="AH54" s="339">
        <v>46</v>
      </c>
      <c r="AI54" s="133">
        <f>-Divisional!AI48</f>
        <v>136</v>
      </c>
      <c r="AJ54" s="133">
        <f>-Divisional!AJ48</f>
        <v>-308</v>
      </c>
      <c r="AK54" s="133">
        <f>-Divisional!AK48</f>
        <v>224</v>
      </c>
      <c r="AL54" s="688">
        <f>-Divisional!AL48</f>
        <v>1645</v>
      </c>
      <c r="AM54" s="133">
        <f>-Divisional!AM48</f>
        <v>-172</v>
      </c>
      <c r="AN54" s="133">
        <f>-Divisional!AN48</f>
        <v>1869</v>
      </c>
      <c r="AO54" s="339">
        <v>1697</v>
      </c>
      <c r="AP54" s="133">
        <f>-Divisional!AP48</f>
        <v>-612</v>
      </c>
      <c r="AQ54" s="133">
        <f>-Divisional!AQ48</f>
        <v>-80</v>
      </c>
      <c r="AR54" s="133">
        <f>-Divisional!AR48</f>
        <v>176</v>
      </c>
      <c r="AS54" s="688">
        <f>-Divisional!AS48</f>
        <v>1348</v>
      </c>
      <c r="AT54" s="133">
        <f>-Divisional!AT48</f>
        <v>-692</v>
      </c>
      <c r="AU54" s="133">
        <f>-Divisional!AU48</f>
        <v>1524</v>
      </c>
      <c r="AV54" s="339">
        <v>832</v>
      </c>
      <c r="AW54" s="133">
        <f>-Divisional!AW48</f>
        <v>-594</v>
      </c>
      <c r="AX54" s="133">
        <f>-Divisional!AX48</f>
        <v>-64</v>
      </c>
      <c r="AY54" s="133">
        <f>-Divisional!AY48</f>
        <v>193</v>
      </c>
      <c r="AZ54" s="688">
        <f>-Divisional!AZ48</f>
        <v>990</v>
      </c>
      <c r="BA54" s="133">
        <f>-Divisional!BA48</f>
        <v>-658</v>
      </c>
      <c r="BB54" s="133">
        <f>-Divisional!BB48</f>
        <v>1183</v>
      </c>
      <c r="BC54" s="339">
        <f>46+472+7</f>
        <v>525</v>
      </c>
      <c r="BD54" s="133">
        <f>-Divisional!BD48</f>
        <v>-185</v>
      </c>
      <c r="BE54" s="133">
        <f>-Divisional!BE48</f>
        <v>227</v>
      </c>
      <c r="BF54" s="133">
        <f>-Divisional!BF48</f>
        <v>13</v>
      </c>
      <c r="BG54" s="688">
        <f>-Divisional!BG48</f>
        <v>731</v>
      </c>
      <c r="BH54" s="133">
        <f>-Divisional!BH48</f>
        <v>42</v>
      </c>
      <c r="BI54" s="133">
        <f>-Divisional!BI48</f>
        <v>744</v>
      </c>
      <c r="BJ54" s="339">
        <v>786</v>
      </c>
      <c r="BK54" s="197">
        <f>-Divisional!BR48</f>
        <v>368</v>
      </c>
      <c r="BL54" s="197">
        <f>-Divisional!BS48</f>
        <v>68</v>
      </c>
      <c r="BM54" s="197">
        <f>-Divisional!BT48</f>
        <v>266</v>
      </c>
      <c r="BN54" s="688">
        <f>-Divisional!BU48</f>
        <v>4905</v>
      </c>
      <c r="BO54" s="197">
        <f>-Divisional!BV48</f>
        <v>436</v>
      </c>
      <c r="BP54" s="197">
        <f>-Divisional!BW48</f>
        <v>5171</v>
      </c>
      <c r="BQ54" s="339">
        <f>-Divisional!BQ48</f>
        <v>5607</v>
      </c>
      <c r="BR54" s="197">
        <f>-Divisional!BY48</f>
        <v>202</v>
      </c>
      <c r="BS54" s="197">
        <f>-Divisional!BZ48</f>
        <v>412</v>
      </c>
      <c r="BT54" s="197">
        <f>-Divisional!CA48</f>
        <v>1446</v>
      </c>
      <c r="BU54" s="688">
        <f>-Divisional!CB48</f>
        <v>156</v>
      </c>
      <c r="BV54" s="197">
        <f>-Divisional!CC48</f>
        <v>614</v>
      </c>
      <c r="BW54" s="197">
        <f>-Divisional!CD48</f>
        <v>1602</v>
      </c>
      <c r="BX54" s="339">
        <f>-Divisional!CE48</f>
        <v>2216</v>
      </c>
      <c r="BY54" s="197">
        <f>-Divisional!CF48</f>
        <v>232</v>
      </c>
      <c r="BZ54" s="197">
        <f>-Divisional!CG48</f>
        <v>-256</v>
      </c>
      <c r="CA54" s="197">
        <f>-Divisional!CH48</f>
        <v>-44</v>
      </c>
      <c r="CB54" s="688">
        <f>-Divisional!CI48</f>
        <v>-409</v>
      </c>
      <c r="CC54" s="197">
        <f>-Divisional!CJ48</f>
        <v>-24</v>
      </c>
      <c r="CD54" s="197">
        <f>-Divisional!CK48</f>
        <v>-453</v>
      </c>
      <c r="CE54" s="339">
        <f>-Divisional!CL48</f>
        <v>-477</v>
      </c>
      <c r="CF54" s="197">
        <f>-Divisional!CM48</f>
        <v>-166</v>
      </c>
      <c r="CG54" s="197">
        <f>-Divisional!CN48</f>
        <v>232</v>
      </c>
      <c r="CH54" s="197">
        <f>-Divisional!CO48</f>
        <v>-137</v>
      </c>
      <c r="CI54" s="688">
        <f>-Divisional!CP48</f>
        <v>373</v>
      </c>
      <c r="CJ54" s="197">
        <f>-Divisional!CQ48</f>
        <v>66</v>
      </c>
      <c r="CK54" s="197">
        <f>-Divisional!CR48</f>
        <v>236</v>
      </c>
      <c r="CL54" s="339">
        <f>-Divisional!CS48</f>
        <v>302</v>
      </c>
      <c r="CM54" s="197">
        <f>-Divisional!CT48</f>
        <v>383</v>
      </c>
      <c r="CN54" s="197">
        <f>-Divisional!CU48</f>
        <v>348</v>
      </c>
      <c r="CO54" s="197">
        <f>-Divisional!CV48</f>
        <v>188</v>
      </c>
      <c r="CP54" s="688">
        <f>-Divisional!CW48</f>
        <v>316</v>
      </c>
      <c r="CQ54" s="197">
        <f>-Divisional!CX48</f>
        <v>731</v>
      </c>
      <c r="CR54" s="197">
        <f>-Divisional!CY48</f>
        <v>504</v>
      </c>
      <c r="CS54" s="339">
        <f>-Divisional!CZ48</f>
        <v>1235</v>
      </c>
      <c r="CT54" s="197">
        <f>-Divisional!DA48</f>
        <v>-32</v>
      </c>
      <c r="CU54" s="197">
        <f>-Divisional!DB48</f>
        <v>-33</v>
      </c>
      <c r="CV54" s="197">
        <f>-Divisional!DC48</f>
        <v>173</v>
      </c>
      <c r="CW54" s="688">
        <f>-Divisional!DD48</f>
        <v>-58</v>
      </c>
      <c r="CX54" s="197">
        <f>-Divisional!DE48</f>
        <v>-65</v>
      </c>
      <c r="CY54" s="197">
        <f>-Divisional!DF48</f>
        <v>115</v>
      </c>
      <c r="CZ54" s="339">
        <f>-Divisional!DG48</f>
        <v>50</v>
      </c>
      <c r="DA54" s="197">
        <f>-Divisional!DH48</f>
        <v>151</v>
      </c>
      <c r="DB54" s="197">
        <f>-Divisional!DI48</f>
        <v>436</v>
      </c>
      <c r="DC54" s="530">
        <f>-Divisional!DJ48</f>
        <v>194</v>
      </c>
      <c r="DD54" s="688">
        <f>-Divisional!DK48</f>
        <v>265</v>
      </c>
      <c r="DE54" s="197">
        <f>-Divisional!DL48</f>
        <v>587</v>
      </c>
      <c r="DF54" s="197">
        <f>-Divisional!DM48</f>
        <v>459</v>
      </c>
      <c r="DG54" s="339">
        <f>-Divisional!DN48</f>
        <v>1046</v>
      </c>
      <c r="DH54" s="197">
        <f>-Divisional!DO48</f>
        <v>76</v>
      </c>
      <c r="DI54" s="197">
        <f>-Divisional!DP48</f>
        <v>-94</v>
      </c>
      <c r="DJ54" s="460">
        <f>-Divisional!DQ48</f>
        <v>50</v>
      </c>
      <c r="DK54" s="461">
        <f>-Divisional!DR48</f>
        <v>100</v>
      </c>
      <c r="DL54" s="2009">
        <f>-Divisional!DS48</f>
        <v>-18</v>
      </c>
      <c r="DM54" s="460">
        <f>-Divisional!DT48</f>
        <v>150.00000000000091</v>
      </c>
      <c r="DN54" s="592">
        <f>-Divisional!DU48</f>
        <v>132</v>
      </c>
      <c r="DO54" s="460">
        <f>-Divisional!DV48</f>
        <v>0</v>
      </c>
      <c r="DP54" s="460">
        <f>-Divisional!DW48</f>
        <v>0</v>
      </c>
      <c r="DQ54" s="460">
        <f>-Divisional!DX48</f>
        <v>0</v>
      </c>
      <c r="DR54" s="461">
        <f>-Divisional!DY48</f>
        <v>-1.8189894035458565E-12</v>
      </c>
      <c r="DS54" s="460">
        <f>-Divisional!DZ48</f>
        <v>0</v>
      </c>
      <c r="DT54" s="460">
        <f>-Divisional!EA48</f>
        <v>0</v>
      </c>
      <c r="DU54" s="592">
        <f>-Divisional!EB48</f>
        <v>0</v>
      </c>
      <c r="DV54" s="460">
        <f>-Divisional!EC48</f>
        <v>0</v>
      </c>
      <c r="DW54" s="460">
        <f>-Divisional!ED48</f>
        <v>0</v>
      </c>
      <c r="DX54" s="460">
        <f>-Divisional!EE48</f>
        <v>0</v>
      </c>
      <c r="DY54" s="461">
        <f>-Divisional!EF48</f>
        <v>0</v>
      </c>
      <c r="DZ54" s="460">
        <f>-Divisional!EG48</f>
        <v>0</v>
      </c>
      <c r="EA54" s="460">
        <f>-Divisional!EH48</f>
        <v>0</v>
      </c>
      <c r="EB54" s="592">
        <f>-Divisional!EI48</f>
        <v>0</v>
      </c>
      <c r="EC54" s="460">
        <f>-Divisional!EJ48</f>
        <v>0</v>
      </c>
      <c r="ED54" s="460">
        <f>-Divisional!EK48</f>
        <v>0</v>
      </c>
      <c r="EE54" s="460">
        <f>-Divisional!EL48</f>
        <v>0</v>
      </c>
      <c r="EF54" s="461">
        <f>-Divisional!EM48</f>
        <v>0</v>
      </c>
      <c r="EG54" s="460">
        <f>-Divisional!EN48</f>
        <v>0</v>
      </c>
      <c r="EH54" s="460">
        <f>-Divisional!EO48</f>
        <v>0</v>
      </c>
      <c r="EI54" s="592">
        <f>-Divisional!EP48</f>
        <v>0</v>
      </c>
      <c r="EJ54" s="460">
        <f>-Divisional!EQ48</f>
        <v>0</v>
      </c>
      <c r="EK54" s="460">
        <f>-Divisional!ER48</f>
        <v>0</v>
      </c>
      <c r="EL54" s="460">
        <f>-Divisional!ES48</f>
        <v>0</v>
      </c>
      <c r="EM54" s="461">
        <f>-Divisional!ET48</f>
        <v>0</v>
      </c>
      <c r="EN54" s="460">
        <f>-Divisional!EU48</f>
        <v>0</v>
      </c>
      <c r="EO54" s="460">
        <f>-Divisional!EV48</f>
        <v>0</v>
      </c>
      <c r="EP54" s="592">
        <f>-Divisional!EW48</f>
        <v>0</v>
      </c>
      <c r="EQ54" s="43"/>
      <c r="ER54" s="46"/>
    </row>
    <row r="55" spans="1:148" ht="10.199999999999999" customHeight="1">
      <c r="A55" s="43" t="s">
        <v>26</v>
      </c>
      <c r="B55" s="108"/>
      <c r="C55" s="226"/>
      <c r="D55" s="226"/>
      <c r="E55" s="226"/>
      <c r="F55" s="226"/>
      <c r="G55" s="226"/>
      <c r="H55" s="226"/>
      <c r="I55" s="226"/>
      <c r="J55" s="226">
        <v>93</v>
      </c>
      <c r="K55" s="226">
        <v>-41</v>
      </c>
      <c r="L55" s="226">
        <v>-59</v>
      </c>
      <c r="M55" s="226">
        <v>-12</v>
      </c>
      <c r="N55" s="226">
        <v>150</v>
      </c>
      <c r="O55" s="226">
        <f>R55-N55</f>
        <v>22</v>
      </c>
      <c r="P55" s="226">
        <f>71-R55</f>
        <v>-101</v>
      </c>
      <c r="Q55" s="1455">
        <f>S55-P55</f>
        <v>36</v>
      </c>
      <c r="R55" s="226">
        <v>172</v>
      </c>
      <c r="S55" s="226">
        <f>T55-R55</f>
        <v>-65</v>
      </c>
      <c r="T55" s="1465">
        <v>107</v>
      </c>
      <c r="U55" s="226">
        <v>-28</v>
      </c>
      <c r="V55" s="226">
        <f>Y55-U55</f>
        <v>-1</v>
      </c>
      <c r="W55" s="226">
        <f>178-Y55</f>
        <v>207</v>
      </c>
      <c r="X55" s="1455">
        <f>Z55-W55</f>
        <v>163</v>
      </c>
      <c r="Y55" s="226">
        <v>-29</v>
      </c>
      <c r="Z55" s="226">
        <f>AA55-Y55</f>
        <v>370</v>
      </c>
      <c r="AA55" s="1465">
        <v>341</v>
      </c>
      <c r="AB55" s="226">
        <v>229</v>
      </c>
      <c r="AC55" s="226">
        <f>AF55-AB55</f>
        <v>-129</v>
      </c>
      <c r="AD55" s="226">
        <f>156-AF55</f>
        <v>56</v>
      </c>
      <c r="AE55" s="1455">
        <f>AG55-AD55</f>
        <v>62</v>
      </c>
      <c r="AF55" s="226">
        <v>100</v>
      </c>
      <c r="AG55" s="226">
        <f>AH55-AF55</f>
        <v>118</v>
      </c>
      <c r="AH55" s="1465">
        <v>218</v>
      </c>
      <c r="AI55" s="226">
        <v>-284</v>
      </c>
      <c r="AJ55" s="226">
        <f>AM55-AI55</f>
        <v>291</v>
      </c>
      <c r="AK55" s="226">
        <f>73-AM55</f>
        <v>66</v>
      </c>
      <c r="AL55" s="1455">
        <f>AN55-AK55</f>
        <v>554</v>
      </c>
      <c r="AM55" s="226">
        <v>7</v>
      </c>
      <c r="AN55" s="226">
        <f>AO55-AM55</f>
        <v>620</v>
      </c>
      <c r="AO55" s="1465">
        <v>627</v>
      </c>
      <c r="AP55" s="226">
        <v>97</v>
      </c>
      <c r="AQ55" s="226">
        <f>+AT55-AP55</f>
        <v>-374</v>
      </c>
      <c r="AR55" s="226">
        <f>-403-AT55</f>
        <v>-126</v>
      </c>
      <c r="AS55" s="1455">
        <f>AU55-AR55</f>
        <v>-1135</v>
      </c>
      <c r="AT55" s="226">
        <v>-277</v>
      </c>
      <c r="AU55" s="226">
        <f>AV55-AT55</f>
        <v>-1261</v>
      </c>
      <c r="AV55" s="1465">
        <v>-1538</v>
      </c>
      <c r="AW55" s="226">
        <v>97</v>
      </c>
      <c r="AX55" s="226">
        <f>+BA55-AW55</f>
        <v>-374</v>
      </c>
      <c r="AY55" s="226">
        <f>-403-BA55</f>
        <v>-126</v>
      </c>
      <c r="AZ55" s="1455">
        <f>BB55-AY55</f>
        <v>-1135</v>
      </c>
      <c r="BA55" s="226">
        <f>-140-137</f>
        <v>-277</v>
      </c>
      <c r="BB55" s="226">
        <f>BC55-BA55</f>
        <v>-1261</v>
      </c>
      <c r="BC55" s="1465">
        <v>-1538</v>
      </c>
      <c r="BD55" s="226">
        <v>-117</v>
      </c>
      <c r="BE55" s="226">
        <f>BH55-BD55</f>
        <v>282</v>
      </c>
      <c r="BF55" s="226">
        <f>154-BH55</f>
        <v>-11</v>
      </c>
      <c r="BG55" s="1455">
        <f>BI55-BF55</f>
        <v>333</v>
      </c>
      <c r="BH55" s="226">
        <v>165</v>
      </c>
      <c r="BI55" s="226">
        <f>BJ55-BH55</f>
        <v>322</v>
      </c>
      <c r="BJ55" s="1465">
        <v>487</v>
      </c>
      <c r="BK55" s="226">
        <v>-5</v>
      </c>
      <c r="BL55" s="226">
        <f>BO55-BK55</f>
        <v>94</v>
      </c>
      <c r="BM55" s="226">
        <f>72-BO55</f>
        <v>-17</v>
      </c>
      <c r="BN55" s="688">
        <f>BP55-BM55</f>
        <v>46</v>
      </c>
      <c r="BO55" s="226">
        <v>89</v>
      </c>
      <c r="BP55" s="133">
        <f>BQ55-BO55</f>
        <v>29</v>
      </c>
      <c r="BQ55" s="1465">
        <v>118</v>
      </c>
      <c r="BR55" s="226">
        <v>423</v>
      </c>
      <c r="BS55" s="226">
        <f>BV55-BR55</f>
        <v>-136</v>
      </c>
      <c r="BT55" s="226">
        <f>476-BV55</f>
        <v>189</v>
      </c>
      <c r="BU55" s="688">
        <f>BW55-BT55</f>
        <v>-152</v>
      </c>
      <c r="BV55" s="226">
        <v>287</v>
      </c>
      <c r="BW55" s="133">
        <f>BX55-BV55</f>
        <v>37</v>
      </c>
      <c r="BX55" s="1465">
        <v>324</v>
      </c>
      <c r="BY55" s="226">
        <v>-148</v>
      </c>
      <c r="BZ55" s="226">
        <f>CC55-BY55</f>
        <v>-8</v>
      </c>
      <c r="CA55" s="226">
        <f>-82-BY55-BZ55</f>
        <v>74</v>
      </c>
      <c r="CB55" s="688">
        <f>CD55-CA55</f>
        <v>132</v>
      </c>
      <c r="CC55" s="226">
        <v>-156</v>
      </c>
      <c r="CD55" s="133">
        <f>CE55-CC55</f>
        <v>206</v>
      </c>
      <c r="CE55" s="1465">
        <v>50</v>
      </c>
      <c r="CF55" s="226">
        <v>-243</v>
      </c>
      <c r="CG55" s="226">
        <f>+CJ55-CF55</f>
        <v>3</v>
      </c>
      <c r="CH55" s="226">
        <f>114-CF55-CG55</f>
        <v>354</v>
      </c>
      <c r="CI55" s="1455">
        <f>CK55-CH55</f>
        <v>-88</v>
      </c>
      <c r="CJ55" s="226">
        <v>-240</v>
      </c>
      <c r="CK55" s="226">
        <f>CL55-CJ55</f>
        <v>266</v>
      </c>
      <c r="CL55" s="1465">
        <v>26</v>
      </c>
      <c r="CM55" s="226">
        <v>-181</v>
      </c>
      <c r="CN55" s="226">
        <f>CQ55-CM55</f>
        <v>24</v>
      </c>
      <c r="CO55" s="226">
        <f>-231-CM55-CN55</f>
        <v>-74</v>
      </c>
      <c r="CP55" s="1455">
        <f>CR55-CO55</f>
        <v>37</v>
      </c>
      <c r="CQ55" s="226">
        <v>-157</v>
      </c>
      <c r="CR55" s="226">
        <f>CS55-CQ55</f>
        <v>-37</v>
      </c>
      <c r="CS55" s="1465">
        <v>-194</v>
      </c>
      <c r="CT55" s="1073">
        <v>-225</v>
      </c>
      <c r="CU55" s="203">
        <f t="shared" ref="CU55:CU56" si="434">CX55-CT55</f>
        <v>305</v>
      </c>
      <c r="CV55" s="1073">
        <f>35-CT55-CU55</f>
        <v>-45</v>
      </c>
      <c r="CW55" s="1455">
        <f>CY55-CV55</f>
        <v>-171</v>
      </c>
      <c r="CX55" s="1073">
        <v>80</v>
      </c>
      <c r="CY55" s="226">
        <f>CZ55-CX55</f>
        <v>-216</v>
      </c>
      <c r="CZ55" s="1465">
        <v>-136</v>
      </c>
      <c r="DA55" s="1073">
        <v>-593</v>
      </c>
      <c r="DB55" s="203">
        <f t="shared" ref="DB55:DB56" si="435">DE55-DA55</f>
        <v>113</v>
      </c>
      <c r="DC55" s="1834">
        <v>99</v>
      </c>
      <c r="DD55" s="1455">
        <f>DF55-DC55</f>
        <v>321</v>
      </c>
      <c r="DE55" s="2089">
        <v>-480</v>
      </c>
      <c r="DF55" s="226">
        <f>DG55-DE55</f>
        <v>420</v>
      </c>
      <c r="DG55" s="1851">
        <f>710-770</f>
        <v>-60</v>
      </c>
      <c r="DH55" s="1073">
        <v>-453</v>
      </c>
      <c r="DI55" s="203">
        <f t="shared" ref="DI55:DI56" si="436">DL55-DH55</f>
        <v>272</v>
      </c>
      <c r="DJ55" s="460">
        <f t="shared" ref="DJ55" si="437">-DJ34-DJ33</f>
        <v>0</v>
      </c>
      <c r="DK55" s="461">
        <f>DM55-DJ55</f>
        <v>0</v>
      </c>
      <c r="DL55" s="2009">
        <v>-181</v>
      </c>
      <c r="DM55" s="460">
        <f>DN55-DL55</f>
        <v>0</v>
      </c>
      <c r="DN55" s="1495">
        <f>-DN34-DN33</f>
        <v>-181</v>
      </c>
      <c r="DO55" s="460">
        <f t="shared" ref="DO55" si="438">-DO34-DO33</f>
        <v>0</v>
      </c>
      <c r="DP55" s="460">
        <f t="shared" ref="DP55:DP56" si="439">DS55-DO55</f>
        <v>0</v>
      </c>
      <c r="DQ55" s="460">
        <f t="shared" ref="DQ55" si="440">-DQ34-DQ33</f>
        <v>0</v>
      </c>
      <c r="DR55" s="461">
        <f>DT55-DQ55</f>
        <v>0</v>
      </c>
      <c r="DS55" s="460">
        <f t="shared" ref="DS55" si="441">-DS34-DS33</f>
        <v>0</v>
      </c>
      <c r="DT55" s="460">
        <f>DU55-DS55</f>
        <v>0</v>
      </c>
      <c r="DU55" s="1495">
        <f t="shared" ref="DU55:EP55" si="442">-DU34-DU33</f>
        <v>0</v>
      </c>
      <c r="DV55" s="460">
        <f t="shared" ref="DV55" si="443">-DV34-DV33</f>
        <v>0</v>
      </c>
      <c r="DW55" s="460">
        <f t="shared" ref="DW55:DW56" si="444">DZ55-DV55</f>
        <v>0</v>
      </c>
      <c r="DX55" s="460">
        <f t="shared" ref="DX55" si="445">-DX34-DX33</f>
        <v>0</v>
      </c>
      <c r="DY55" s="461">
        <f>EA55-DX55</f>
        <v>0</v>
      </c>
      <c r="DZ55" s="460">
        <f t="shared" ref="DZ55" si="446">-DZ34-DZ33</f>
        <v>0</v>
      </c>
      <c r="EA55" s="460">
        <f>EB55-DZ55</f>
        <v>0</v>
      </c>
      <c r="EB55" s="1495">
        <f t="shared" si="442"/>
        <v>0</v>
      </c>
      <c r="EC55" s="460">
        <f t="shared" ref="EC55" si="447">-EC34-EC33</f>
        <v>0</v>
      </c>
      <c r="ED55" s="460">
        <f t="shared" ref="ED55:ED56" si="448">EG55-EC55</f>
        <v>0</v>
      </c>
      <c r="EE55" s="460">
        <f t="shared" ref="EE55" si="449">-EE34-EE33</f>
        <v>0</v>
      </c>
      <c r="EF55" s="461">
        <f>EH55-EE55</f>
        <v>0</v>
      </c>
      <c r="EG55" s="460">
        <f t="shared" ref="EG55" si="450">-EG34-EG33</f>
        <v>0</v>
      </c>
      <c r="EH55" s="460">
        <f>EI55-EG55</f>
        <v>0</v>
      </c>
      <c r="EI55" s="1495">
        <f t="shared" si="442"/>
        <v>0</v>
      </c>
      <c r="EJ55" s="460">
        <f t="shared" ref="EJ55" si="451">-EJ34-EJ33</f>
        <v>0</v>
      </c>
      <c r="EK55" s="460">
        <f t="shared" ref="EK55:EK56" si="452">EN55-EJ55</f>
        <v>0</v>
      </c>
      <c r="EL55" s="460">
        <f t="shared" ref="EL55" si="453">-EL34-EL33</f>
        <v>0</v>
      </c>
      <c r="EM55" s="461">
        <f>EO55-EL55</f>
        <v>0</v>
      </c>
      <c r="EN55" s="460">
        <f t="shared" ref="EN55" si="454">-EN34-EN33</f>
        <v>0</v>
      </c>
      <c r="EO55" s="460">
        <f>EP55-EN55</f>
        <v>0</v>
      </c>
      <c r="EP55" s="1495">
        <f t="shared" si="442"/>
        <v>0</v>
      </c>
      <c r="EQ55" s="86"/>
      <c r="ER55" s="46"/>
    </row>
    <row r="56" spans="1:148" ht="10.199999999999999" customHeight="1">
      <c r="A56" s="43" t="s">
        <v>27</v>
      </c>
      <c r="B56" s="822"/>
      <c r="C56" s="829">
        <f t="shared" ref="C56:I56" si="455">-(C41*(C54+C55))</f>
        <v>0</v>
      </c>
      <c r="D56" s="829">
        <f t="shared" si="455"/>
        <v>0</v>
      </c>
      <c r="E56" s="829">
        <f t="shared" si="455"/>
        <v>0</v>
      </c>
      <c r="F56" s="829">
        <f t="shared" si="455"/>
        <v>0</v>
      </c>
      <c r="G56" s="829">
        <f t="shared" si="455"/>
        <v>0</v>
      </c>
      <c r="H56" s="829">
        <f t="shared" si="455"/>
        <v>0</v>
      </c>
      <c r="I56" s="829">
        <f t="shared" si="455"/>
        <v>0</v>
      </c>
      <c r="J56" s="829">
        <v>-580.10288065843622</v>
      </c>
      <c r="K56" s="829">
        <v>-22</v>
      </c>
      <c r="L56" s="829">
        <v>-11</v>
      </c>
      <c r="M56" s="829">
        <v>-241</v>
      </c>
      <c r="N56" s="1444">
        <f>441-N46-N54-N55</f>
        <v>-81</v>
      </c>
      <c r="O56" s="1442">
        <f t="shared" ref="O56" si="456">R56-N56</f>
        <v>2</v>
      </c>
      <c r="P56" s="1444">
        <f>1407-987-P46-P54-P55</f>
        <v>23</v>
      </c>
      <c r="Q56" s="1674">
        <f>S56-P56</f>
        <v>-251</v>
      </c>
      <c r="R56" s="1444">
        <f>987-R46-R54-R55</f>
        <v>-79</v>
      </c>
      <c r="S56" s="1673">
        <f>T56-R56</f>
        <v>-228</v>
      </c>
      <c r="T56" s="1468">
        <f>-156-88-31-32</f>
        <v>-307</v>
      </c>
      <c r="U56" s="1444">
        <f>413-U46-U54-U55</f>
        <v>21</v>
      </c>
      <c r="V56" s="1442">
        <f t="shared" ref="V56" si="457">Y56-U56</f>
        <v>23</v>
      </c>
      <c r="W56" s="1444">
        <f>1554-1080-W46-W54-W55</f>
        <v>-74</v>
      </c>
      <c r="X56" s="1674">
        <f>Z56-W56</f>
        <v>-79</v>
      </c>
      <c r="Y56" s="1444">
        <f>1080-Y46-Y54-Y55</f>
        <v>44</v>
      </c>
      <c r="Z56" s="1673">
        <f>AA56-Y56</f>
        <v>-153</v>
      </c>
      <c r="AA56" s="1468">
        <f>-153+103+43-102</f>
        <v>-109</v>
      </c>
      <c r="AB56" s="1444">
        <f>351-AB46-AB54-AB55</f>
        <v>-80</v>
      </c>
      <c r="AC56" s="1442">
        <f t="shared" ref="AC56" si="458">AF56-AB56</f>
        <v>-43</v>
      </c>
      <c r="AD56" s="1444">
        <f>1708-1155-AD46-AD54-AD55</f>
        <v>-83</v>
      </c>
      <c r="AE56" s="1674">
        <f>AG56-AD56</f>
        <v>-92</v>
      </c>
      <c r="AF56" s="1444">
        <f>1155-AF46-AF54-AF55</f>
        <v>-123</v>
      </c>
      <c r="AG56" s="1673">
        <f>AH56-AF56</f>
        <v>-175</v>
      </c>
      <c r="AH56" s="1468">
        <f>22-90+26-191-65</f>
        <v>-298</v>
      </c>
      <c r="AI56" s="1444">
        <f>292-AI46-AI54-AI55</f>
        <v>41</v>
      </c>
      <c r="AJ56" s="1442">
        <f t="shared" ref="AJ56" si="459">AM56-AI56</f>
        <v>-544</v>
      </c>
      <c r="AK56" s="1444">
        <f>1345-1093-AK46-AK54-AK55</f>
        <v>-88</v>
      </c>
      <c r="AL56" s="1674">
        <f>AN56-AK56</f>
        <v>-166</v>
      </c>
      <c r="AM56" s="1444">
        <f>1093-AM46-AM54-AM55</f>
        <v>-503</v>
      </c>
      <c r="AN56" s="1673">
        <f>AO56-AM56</f>
        <v>-254</v>
      </c>
      <c r="AO56" s="1468">
        <v>-757</v>
      </c>
      <c r="AP56" s="1444">
        <f>93-AP46-AP54-AP55</f>
        <v>0</v>
      </c>
      <c r="AQ56" s="1442">
        <f t="shared" ref="AQ56" si="460">AT56-AP56</f>
        <v>104</v>
      </c>
      <c r="AR56" s="1444">
        <f>1068-638-AR46-AR54-AR55</f>
        <v>32</v>
      </c>
      <c r="AS56" s="1674">
        <f>AU56-AR56</f>
        <v>533</v>
      </c>
      <c r="AT56" s="1444">
        <f>638-AT46-AT54-AT55</f>
        <v>104</v>
      </c>
      <c r="AU56" s="1673">
        <f>AV56-AT56</f>
        <v>565</v>
      </c>
      <c r="AV56" s="1468">
        <v>669</v>
      </c>
      <c r="AW56" s="1444">
        <f>-93-AW46-AW54-AW55</f>
        <v>-5</v>
      </c>
      <c r="AX56" s="1442">
        <f t="shared" ref="AX56" si="461">BA56-AW56</f>
        <v>99</v>
      </c>
      <c r="AY56" s="1444">
        <f>651-250-AY46-AY54-AY55</f>
        <v>27</v>
      </c>
      <c r="AZ56" s="1674">
        <f>BB56-AY56</f>
        <v>596.17000000000007</v>
      </c>
      <c r="BA56" s="1444">
        <f>250-BA46-BA54-BA55</f>
        <v>94</v>
      </c>
      <c r="BB56" s="1673">
        <f>BC56-BA56</f>
        <v>623.17000000000007</v>
      </c>
      <c r="BC56" s="1468">
        <f>-0.465*BC55+2</f>
        <v>717.17000000000007</v>
      </c>
      <c r="BD56" s="1444">
        <f>-47-BD46-BD54-BD55</f>
        <v>-28</v>
      </c>
      <c r="BE56" s="1442">
        <f t="shared" ref="BE56" si="462">BH56-BD56</f>
        <v>65</v>
      </c>
      <c r="BF56" s="1444">
        <f>1792-740-BF46-BF54-BF55</f>
        <v>93</v>
      </c>
      <c r="BG56" s="1674">
        <f>BI56-BF56</f>
        <v>-412</v>
      </c>
      <c r="BH56" s="1444">
        <f>740-BH46-BH54-BH55</f>
        <v>37</v>
      </c>
      <c r="BI56" s="1673">
        <f>BJ56-BH56</f>
        <v>-319</v>
      </c>
      <c r="BJ56" s="1468">
        <v>-282</v>
      </c>
      <c r="BK56" s="1444">
        <f>362-BK46-BK54-BK55</f>
        <v>-41</v>
      </c>
      <c r="BL56" s="1442">
        <f t="shared" ref="BL56" si="463">BO56-BK56</f>
        <v>69</v>
      </c>
      <c r="BM56" s="1444">
        <f>2912-1750-BM46-BM54-BM55</f>
        <v>-76</v>
      </c>
      <c r="BN56" s="1674">
        <f>BP56-BM56</f>
        <v>400</v>
      </c>
      <c r="BO56" s="1444">
        <f>1750-BO46-BO54-BO55</f>
        <v>28</v>
      </c>
      <c r="BP56" s="1673">
        <f>BQ56-BO56</f>
        <v>324</v>
      </c>
      <c r="BQ56" s="1468">
        <v>352</v>
      </c>
      <c r="BR56" s="1444">
        <f>177-BR46-BR54-BR55</f>
        <v>33</v>
      </c>
      <c r="BS56" s="1442">
        <f t="shared" ref="BS56" si="464">BV56-BR56</f>
        <v>196</v>
      </c>
      <c r="BT56" s="1444">
        <f>-250+789-BT46-BT54-BT55</f>
        <v>-329</v>
      </c>
      <c r="BU56" s="1674">
        <f>BW56-BT56</f>
        <v>-239</v>
      </c>
      <c r="BV56" s="1444">
        <f>-789-BV46-BV54-BV55</f>
        <v>229</v>
      </c>
      <c r="BW56" s="1673">
        <f>BX56-BV56</f>
        <v>-568</v>
      </c>
      <c r="BX56" s="1468">
        <v>-339</v>
      </c>
      <c r="BY56" s="1444">
        <f>458-BY46-BY54-BY55</f>
        <v>12</v>
      </c>
      <c r="BZ56" s="1442">
        <f t="shared" ref="BZ56" si="465">CC56-BY56</f>
        <v>-199</v>
      </c>
      <c r="CA56" s="1444">
        <f>2320-1864-CA46-CA54-CA55</f>
        <v>22</v>
      </c>
      <c r="CB56" s="1674">
        <f>CD56-CA56</f>
        <v>-224</v>
      </c>
      <c r="CC56" s="1444">
        <f>1864-CC46-CC54-CC55</f>
        <v>-187</v>
      </c>
      <c r="CD56" s="1673">
        <f>CE56-CC56</f>
        <v>-202</v>
      </c>
      <c r="CE56" s="1468">
        <v>-389</v>
      </c>
      <c r="CF56" s="1444">
        <f>892-CF46-CF54-CF55</f>
        <v>82</v>
      </c>
      <c r="CG56" s="1442">
        <f t="shared" ref="CG56" si="466">CJ56-CF56</f>
        <v>82</v>
      </c>
      <c r="CH56" s="1444">
        <f>2491-1891-CH46-CH54-CH55</f>
        <v>-284</v>
      </c>
      <c r="CI56" s="1674">
        <f>CK56-CH56</f>
        <v>-400</v>
      </c>
      <c r="CJ56" s="1444">
        <f>1891-CJ46-CJ54-CJ55</f>
        <v>164</v>
      </c>
      <c r="CK56" s="1673">
        <f>CL56-CJ56</f>
        <v>-684</v>
      </c>
      <c r="CL56" s="1468">
        <v>-520</v>
      </c>
      <c r="CM56" s="1444">
        <f>569-CM46-CM54-CM55</f>
        <v>-99</v>
      </c>
      <c r="CN56" s="1442">
        <f t="shared" ref="CN56" si="467">CQ56-CM56</f>
        <v>-56</v>
      </c>
      <c r="CO56" s="1444">
        <f>2769-1945-CO46-CO54-CO55</f>
        <v>-96</v>
      </c>
      <c r="CP56" s="1674">
        <f>CR56-CO56</f>
        <v>-162</v>
      </c>
      <c r="CQ56" s="1444">
        <f>1945-CQ46-CQ54-CQ55</f>
        <v>-155</v>
      </c>
      <c r="CR56" s="1673">
        <f>CS56-CQ56</f>
        <v>-258</v>
      </c>
      <c r="CS56" s="1468">
        <f>4417-CS46-CS54-CS55</f>
        <v>-413</v>
      </c>
      <c r="CT56" s="1444">
        <f>467-CT46-CT54-CT55</f>
        <v>129</v>
      </c>
      <c r="CU56" s="1442">
        <f t="shared" si="434"/>
        <v>118</v>
      </c>
      <c r="CV56" s="1444">
        <f>2138-1087-CV46-CV54-CV55</f>
        <v>-60</v>
      </c>
      <c r="CW56" s="1674">
        <f>CY56-CV56</f>
        <v>-341</v>
      </c>
      <c r="CX56" s="1444">
        <f>1087-CX46-CX54-CX55</f>
        <v>247</v>
      </c>
      <c r="CY56" s="1673">
        <f>CZ56-CX56</f>
        <v>-401</v>
      </c>
      <c r="CZ56" s="1805">
        <f>3992-CZ46-CZ54-CZ55</f>
        <v>-154</v>
      </c>
      <c r="DA56" s="1444">
        <f>524-DA46-DA54-DA55</f>
        <v>173</v>
      </c>
      <c r="DB56" s="1442">
        <f t="shared" si="435"/>
        <v>-108</v>
      </c>
      <c r="DC56" s="1444">
        <f>3133-1697-DC46-DC54-DC55</f>
        <v>27</v>
      </c>
      <c r="DD56" s="1674">
        <f>DF56-DC56</f>
        <v>-862</v>
      </c>
      <c r="DE56" s="2092">
        <f>1697-DE46-DE54-DE55</f>
        <v>65</v>
      </c>
      <c r="DF56" s="1673">
        <f>DG56-DE56</f>
        <v>-835</v>
      </c>
      <c r="DG56" s="1798">
        <f>5437-DG46-DG54-DG55</f>
        <v>-770</v>
      </c>
      <c r="DH56" s="1444">
        <f>263-DH46-DH54-DH55</f>
        <v>54</v>
      </c>
      <c r="DI56" s="1442">
        <f t="shared" si="436"/>
        <v>-40</v>
      </c>
      <c r="DJ56" s="1672">
        <f>-(DJ41*(DJ54+DJ55+DJ50))</f>
        <v>-12.5</v>
      </c>
      <c r="DK56" s="1521">
        <f>DM56-DJ56</f>
        <v>10.75</v>
      </c>
      <c r="DL56" s="2052">
        <f>2058-DL46-DL54-DL55</f>
        <v>14</v>
      </c>
      <c r="DM56" s="1414">
        <f>DN56-DL56</f>
        <v>-1.75</v>
      </c>
      <c r="DN56" s="1496">
        <f t="shared" ref="DN56:EP56" si="468">-(DN41*(DN54+DN55+DN50))</f>
        <v>12.25</v>
      </c>
      <c r="DO56" s="1672">
        <f>-(DO41*(DO54+DO55+DO50))</f>
        <v>0</v>
      </c>
      <c r="DP56" s="1414">
        <f t="shared" si="439"/>
        <v>0</v>
      </c>
      <c r="DQ56" s="1672">
        <f>-(DQ41*(DQ54+DQ55+DQ50))</f>
        <v>0</v>
      </c>
      <c r="DR56" s="1521">
        <f>DT56-DQ56</f>
        <v>0</v>
      </c>
      <c r="DS56" s="1672">
        <f>-(DS41*(DS54+DS55+DS50))</f>
        <v>0</v>
      </c>
      <c r="DT56" s="1414">
        <f>DU56-DS56</f>
        <v>0</v>
      </c>
      <c r="DU56" s="1496">
        <f t="shared" si="468"/>
        <v>0</v>
      </c>
      <c r="DV56" s="1672">
        <f>-(DV41*(DV54+DV55+DV50))</f>
        <v>0</v>
      </c>
      <c r="DW56" s="1414">
        <f t="shared" si="444"/>
        <v>0</v>
      </c>
      <c r="DX56" s="1672">
        <f>-(DX41*(DX54+DX55+DX50))</f>
        <v>0</v>
      </c>
      <c r="DY56" s="1521">
        <f>EA56-DX56</f>
        <v>0</v>
      </c>
      <c r="DZ56" s="1672">
        <f>-(DZ41*(DZ54+DZ55+DZ50))</f>
        <v>0</v>
      </c>
      <c r="EA56" s="1414">
        <f>EB56-DZ56</f>
        <v>0</v>
      </c>
      <c r="EB56" s="1496">
        <f t="shared" si="468"/>
        <v>0</v>
      </c>
      <c r="EC56" s="1672">
        <f>-(EC41*(EC54+EC55+EC50))</f>
        <v>0</v>
      </c>
      <c r="ED56" s="1414">
        <f t="shared" si="448"/>
        <v>0</v>
      </c>
      <c r="EE56" s="1672">
        <f>-(EE41*(EE54+EE55+EE50))</f>
        <v>0</v>
      </c>
      <c r="EF56" s="1521">
        <f>EH56-EE56</f>
        <v>0</v>
      </c>
      <c r="EG56" s="1672">
        <f>-(EG41*(EG54+EG55+EG50))</f>
        <v>0</v>
      </c>
      <c r="EH56" s="1414">
        <f>EI56-EG56</f>
        <v>0</v>
      </c>
      <c r="EI56" s="1496">
        <f t="shared" si="468"/>
        <v>0</v>
      </c>
      <c r="EJ56" s="1672">
        <f>-(EJ41*(EJ54+EJ55+EJ50))</f>
        <v>0</v>
      </c>
      <c r="EK56" s="1414">
        <f t="shared" si="452"/>
        <v>0</v>
      </c>
      <c r="EL56" s="1672">
        <f>-(EL41*(EL54+EL55+EL50))</f>
        <v>0</v>
      </c>
      <c r="EM56" s="1521">
        <f>EO56-EL56</f>
        <v>0</v>
      </c>
      <c r="EN56" s="1672">
        <f>-(EN41*(EN54+EN55+EN50))</f>
        <v>0</v>
      </c>
      <c r="EO56" s="1414">
        <f>EP56-EN56</f>
        <v>0</v>
      </c>
      <c r="EP56" s="1496">
        <f t="shared" si="468"/>
        <v>0</v>
      </c>
      <c r="EQ56" s="43"/>
      <c r="ER56" s="91"/>
    </row>
    <row r="57" spans="1:148" ht="10.199999999999999" customHeight="1">
      <c r="A57" s="48" t="s">
        <v>783</v>
      </c>
      <c r="B57" s="48"/>
      <c r="C57" s="150">
        <f t="shared" ref="C57:EP57" si="469">C46+C54+C55+C56</f>
        <v>-299</v>
      </c>
      <c r="D57" s="150">
        <f t="shared" si="469"/>
        <v>338</v>
      </c>
      <c r="E57" s="150">
        <f t="shared" si="469"/>
        <v>1203</v>
      </c>
      <c r="F57" s="150">
        <f t="shared" si="469"/>
        <v>1676</v>
      </c>
      <c r="G57" s="150">
        <f t="shared" si="469"/>
        <v>99</v>
      </c>
      <c r="H57" s="150">
        <f t="shared" si="469"/>
        <v>-446</v>
      </c>
      <c r="I57" s="150">
        <f t="shared" si="469"/>
        <v>1572</v>
      </c>
      <c r="J57" s="150">
        <f t="shared" si="469"/>
        <v>1219.8971193415637</v>
      </c>
      <c r="K57" s="150">
        <f t="shared" si="469"/>
        <v>603</v>
      </c>
      <c r="L57" s="150">
        <f t="shared" si="469"/>
        <v>1061</v>
      </c>
      <c r="M57" s="150">
        <f t="shared" si="469"/>
        <v>1795</v>
      </c>
      <c r="N57" s="249">
        <f t="shared" si="469"/>
        <v>441</v>
      </c>
      <c r="O57" s="249">
        <f t="shared" si="469"/>
        <v>546</v>
      </c>
      <c r="P57" s="249">
        <f t="shared" si="469"/>
        <v>420</v>
      </c>
      <c r="Q57" s="1457">
        <f t="shared" si="469"/>
        <v>779</v>
      </c>
      <c r="R57" s="249">
        <f t="shared" si="469"/>
        <v>987</v>
      </c>
      <c r="S57" s="249">
        <f t="shared" si="469"/>
        <v>1199</v>
      </c>
      <c r="T57" s="1469">
        <f t="shared" si="469"/>
        <v>2186</v>
      </c>
      <c r="U57" s="249">
        <f t="shared" ref="U57:Z57" si="470">U46+U54+U55+U56</f>
        <v>413</v>
      </c>
      <c r="V57" s="249">
        <f t="shared" si="470"/>
        <v>667</v>
      </c>
      <c r="W57" s="249">
        <f t="shared" si="470"/>
        <v>474</v>
      </c>
      <c r="X57" s="1457">
        <f t="shared" si="470"/>
        <v>1047</v>
      </c>
      <c r="Y57" s="249">
        <f t="shared" si="470"/>
        <v>1080</v>
      </c>
      <c r="Z57" s="249">
        <f t="shared" si="470"/>
        <v>1521</v>
      </c>
      <c r="AA57" s="1469">
        <f t="shared" si="469"/>
        <v>2601</v>
      </c>
      <c r="AB57" s="249">
        <f t="shared" si="469"/>
        <v>351</v>
      </c>
      <c r="AC57" s="249">
        <f t="shared" si="469"/>
        <v>804</v>
      </c>
      <c r="AD57" s="249">
        <f t="shared" si="469"/>
        <v>553</v>
      </c>
      <c r="AE57" s="1457">
        <f t="shared" si="469"/>
        <v>954</v>
      </c>
      <c r="AF57" s="249">
        <f t="shared" si="469"/>
        <v>1155</v>
      </c>
      <c r="AG57" s="249">
        <f t="shared" si="469"/>
        <v>1507</v>
      </c>
      <c r="AH57" s="1469">
        <f t="shared" si="469"/>
        <v>2662</v>
      </c>
      <c r="AI57" s="249">
        <f t="shared" ref="AI57:AN57" si="471">AI46+AI54+AI55+AI56</f>
        <v>292</v>
      </c>
      <c r="AJ57" s="249">
        <f t="shared" si="471"/>
        <v>801</v>
      </c>
      <c r="AK57" s="249">
        <f t="shared" si="471"/>
        <v>252</v>
      </c>
      <c r="AL57" s="1457">
        <f t="shared" si="471"/>
        <v>1217</v>
      </c>
      <c r="AM57" s="249">
        <f t="shared" si="471"/>
        <v>1093</v>
      </c>
      <c r="AN57" s="249">
        <f t="shared" si="471"/>
        <v>1469</v>
      </c>
      <c r="AO57" s="1469">
        <f t="shared" si="469"/>
        <v>2562</v>
      </c>
      <c r="AP57" s="249">
        <f t="shared" si="469"/>
        <v>93</v>
      </c>
      <c r="AQ57" s="249">
        <f t="shared" si="469"/>
        <v>545</v>
      </c>
      <c r="AR57" s="249">
        <f t="shared" si="469"/>
        <v>430</v>
      </c>
      <c r="AS57" s="1457">
        <f t="shared" si="469"/>
        <v>1768</v>
      </c>
      <c r="AT57" s="249">
        <f t="shared" ref="AT57:AU57" si="472">AT46+AT54+AT55+AT56</f>
        <v>638</v>
      </c>
      <c r="AU57" s="249">
        <f t="shared" si="472"/>
        <v>2198</v>
      </c>
      <c r="AV57" s="1469">
        <f t="shared" si="469"/>
        <v>2836</v>
      </c>
      <c r="AW57" s="249">
        <f t="shared" ref="AW57:BB57" si="473">AW46+AW54+AW55+AW56</f>
        <v>-93</v>
      </c>
      <c r="AX57" s="249">
        <f t="shared" si="473"/>
        <v>343</v>
      </c>
      <c r="AY57" s="249">
        <f t="shared" si="473"/>
        <v>401</v>
      </c>
      <c r="AZ57" s="1457">
        <f t="shared" si="473"/>
        <v>1414.17</v>
      </c>
      <c r="BA57" s="249">
        <f t="shared" si="473"/>
        <v>250</v>
      </c>
      <c r="BB57" s="249">
        <f t="shared" si="473"/>
        <v>1815.17</v>
      </c>
      <c r="BC57" s="1469">
        <f t="shared" si="469"/>
        <v>2065.17</v>
      </c>
      <c r="BD57" s="249">
        <f t="shared" si="469"/>
        <v>-47</v>
      </c>
      <c r="BE57" s="249">
        <f t="shared" si="469"/>
        <v>787</v>
      </c>
      <c r="BF57" s="249">
        <f t="shared" si="469"/>
        <v>1052</v>
      </c>
      <c r="BG57" s="1457">
        <f t="shared" si="469"/>
        <v>2253</v>
      </c>
      <c r="BH57" s="249">
        <f t="shared" si="469"/>
        <v>740</v>
      </c>
      <c r="BI57" s="249">
        <f t="shared" si="469"/>
        <v>3305</v>
      </c>
      <c r="BJ57" s="1469">
        <f t="shared" si="469"/>
        <v>4045</v>
      </c>
      <c r="BK57" s="249">
        <f t="shared" ref="BK57:BP57" si="474">BK46+BK54+BK55+BK56</f>
        <v>362</v>
      </c>
      <c r="BL57" s="249">
        <f t="shared" si="474"/>
        <v>1388</v>
      </c>
      <c r="BM57" s="249">
        <f t="shared" si="474"/>
        <v>1162</v>
      </c>
      <c r="BN57" s="1457">
        <f t="shared" si="474"/>
        <v>1803</v>
      </c>
      <c r="BO57" s="249">
        <f t="shared" si="474"/>
        <v>1750</v>
      </c>
      <c r="BP57" s="249">
        <f t="shared" si="474"/>
        <v>2965</v>
      </c>
      <c r="BQ57" s="1469">
        <f t="shared" si="469"/>
        <v>4715</v>
      </c>
      <c r="BR57" s="249">
        <f t="shared" si="469"/>
        <v>177</v>
      </c>
      <c r="BS57" s="249">
        <f t="shared" si="469"/>
        <v>-966</v>
      </c>
      <c r="BT57" s="249">
        <f t="shared" si="469"/>
        <v>539</v>
      </c>
      <c r="BU57" s="1457">
        <f t="shared" si="469"/>
        <v>1318</v>
      </c>
      <c r="BV57" s="249">
        <f t="shared" si="469"/>
        <v>-789</v>
      </c>
      <c r="BW57" s="249">
        <f t="shared" si="469"/>
        <v>1857</v>
      </c>
      <c r="BX57" s="1469">
        <f t="shared" si="469"/>
        <v>1068</v>
      </c>
      <c r="BY57" s="249">
        <f t="shared" ref="BY57" si="475">BY46+BY54+BY55+BY56</f>
        <v>458</v>
      </c>
      <c r="BZ57" s="249">
        <f t="shared" ref="BZ57" si="476">BZ46+BZ54+BZ55+BZ56</f>
        <v>1406</v>
      </c>
      <c r="CA57" s="249">
        <f t="shared" ref="CA57" si="477">CA46+CA54+CA55+CA56</f>
        <v>456</v>
      </c>
      <c r="CB57" s="1457">
        <f t="shared" ref="CB57" si="478">CB46+CB54+CB55+CB56</f>
        <v>1077</v>
      </c>
      <c r="CC57" s="249">
        <f t="shared" ref="CC57" si="479">CC46+CC54+CC55+CC56</f>
        <v>1864</v>
      </c>
      <c r="CD57" s="249">
        <f t="shared" ref="CD57" si="480">CD46+CD54+CD55+CD56</f>
        <v>1533</v>
      </c>
      <c r="CE57" s="1469">
        <f t="shared" si="469"/>
        <v>3397</v>
      </c>
      <c r="CF57" s="249">
        <f t="shared" ref="CF57:CK57" si="481">CF46+CF54+CF55+CF56</f>
        <v>892</v>
      </c>
      <c r="CG57" s="249">
        <f t="shared" si="481"/>
        <v>999</v>
      </c>
      <c r="CH57" s="249">
        <f t="shared" si="481"/>
        <v>600</v>
      </c>
      <c r="CI57" s="1457">
        <f t="shared" si="481"/>
        <v>1564</v>
      </c>
      <c r="CJ57" s="249">
        <f t="shared" si="481"/>
        <v>1891</v>
      </c>
      <c r="CK57" s="249">
        <f t="shared" si="481"/>
        <v>2164</v>
      </c>
      <c r="CL57" s="1469">
        <f t="shared" si="469"/>
        <v>4055</v>
      </c>
      <c r="CM57" s="249">
        <f t="shared" ref="CM57:CV57" si="482">CM46+CM54+CM55+CM56</f>
        <v>569</v>
      </c>
      <c r="CN57" s="249">
        <f t="shared" si="482"/>
        <v>1376</v>
      </c>
      <c r="CO57" s="249">
        <f t="shared" si="482"/>
        <v>824</v>
      </c>
      <c r="CP57" s="1457">
        <f t="shared" si="482"/>
        <v>1648</v>
      </c>
      <c r="CQ57" s="249">
        <f t="shared" si="482"/>
        <v>1945</v>
      </c>
      <c r="CR57" s="249">
        <f t="shared" si="482"/>
        <v>2472</v>
      </c>
      <c r="CS57" s="1469">
        <f t="shared" si="482"/>
        <v>4417</v>
      </c>
      <c r="CT57" s="249">
        <f t="shared" si="482"/>
        <v>467</v>
      </c>
      <c r="CU57" s="249">
        <f t="shared" si="482"/>
        <v>620</v>
      </c>
      <c r="CV57" s="249">
        <f t="shared" si="482"/>
        <v>1051</v>
      </c>
      <c r="CW57" s="1457">
        <f t="shared" ref="CW57" si="483">CW46+CW54+CW55+CW56</f>
        <v>1854</v>
      </c>
      <c r="CX57" s="249">
        <f>CX46+CX54+CX55+CX56</f>
        <v>1087</v>
      </c>
      <c r="CY57" s="249">
        <f t="shared" ref="CY57" si="484">CY46+CY54+CY55+CY56</f>
        <v>2905</v>
      </c>
      <c r="CZ57" s="1469">
        <f t="shared" si="469"/>
        <v>3992</v>
      </c>
      <c r="DA57" s="249">
        <f t="shared" si="469"/>
        <v>524</v>
      </c>
      <c r="DB57" s="249">
        <f t="shared" si="469"/>
        <v>1173</v>
      </c>
      <c r="DC57" s="1416">
        <f t="shared" ref="DC57:DD57" si="485">DC46+DC54+DC55+DC56</f>
        <v>1436</v>
      </c>
      <c r="DD57" s="1457">
        <f t="shared" si="485"/>
        <v>2304</v>
      </c>
      <c r="DE57" s="249">
        <f>DE46+DE54+DE55+DE56</f>
        <v>1697</v>
      </c>
      <c r="DF57" s="249">
        <f t="shared" ref="DF57:DI57" si="486">DF46+DF54+DF55+DF56</f>
        <v>3740</v>
      </c>
      <c r="DG57" s="1469">
        <f t="shared" si="486"/>
        <v>5437</v>
      </c>
      <c r="DH57" s="249">
        <f t="shared" si="486"/>
        <v>263</v>
      </c>
      <c r="DI57" s="249">
        <f t="shared" si="486"/>
        <v>1795</v>
      </c>
      <c r="DJ57" s="1415">
        <f t="shared" ref="DJ57:DM57" si="487">DJ46+DJ54+DJ55+DJ56</f>
        <v>1579.3519230070176</v>
      </c>
      <c r="DK57" s="1522">
        <f t="shared" si="487"/>
        <v>2386.600472749783</v>
      </c>
      <c r="DL57" s="2049">
        <f>DL46+DL54+DL55+DL56</f>
        <v>2058</v>
      </c>
      <c r="DM57" s="1415">
        <f t="shared" si="487"/>
        <v>3965.9523957568017</v>
      </c>
      <c r="DN57" s="1497">
        <f t="shared" si="469"/>
        <v>6023.9523957568008</v>
      </c>
      <c r="DO57" s="1415">
        <f t="shared" ref="DO57" si="488">DO46+DO54+DO55+DO56</f>
        <v>1623.9620378305744</v>
      </c>
      <c r="DP57" s="1415">
        <f>DP46+DP54+DP55+DP56</f>
        <v>1823.0111632856515</v>
      </c>
      <c r="DQ57" s="1415">
        <f t="shared" ref="DQ57:DT57" si="489">DQ46+DQ54+DQ55+DQ56</f>
        <v>1805.8662082716694</v>
      </c>
      <c r="DR57" s="1522">
        <f t="shared" si="489"/>
        <v>2020.5427847652911</v>
      </c>
      <c r="DS57" s="1415">
        <f t="shared" si="489"/>
        <v>3446.9732011162268</v>
      </c>
      <c r="DT57" s="1415">
        <f t="shared" si="489"/>
        <v>3826.4089930369623</v>
      </c>
      <c r="DU57" s="1497">
        <f t="shared" si="469"/>
        <v>7273.3821941531878</v>
      </c>
      <c r="DV57" s="1415">
        <f t="shared" ref="DV57" si="490">DV46+DV54+DV55+DV56</f>
        <v>2034.3130436506262</v>
      </c>
      <c r="DW57" s="1415">
        <f>DW46+DW54+DW55+DW56</f>
        <v>2245.7502721643232</v>
      </c>
      <c r="DX57" s="1415">
        <f t="shared" ref="DX57:EA57" si="491">DX46+DX54+DX55+DX56</f>
        <v>2232.0540562511269</v>
      </c>
      <c r="DY57" s="1522">
        <f t="shared" si="491"/>
        <v>2526.5642935425626</v>
      </c>
      <c r="DZ57" s="1415">
        <f t="shared" si="491"/>
        <v>4280.0633158149494</v>
      </c>
      <c r="EA57" s="1415">
        <f t="shared" si="491"/>
        <v>4758.618349793689</v>
      </c>
      <c r="EB57" s="1497">
        <f t="shared" si="469"/>
        <v>9038.6816656086412</v>
      </c>
      <c r="EC57" s="1415">
        <f t="shared" ref="EC57" si="492">EC46+EC54+EC55+EC56</f>
        <v>2321.5223168024772</v>
      </c>
      <c r="ED57" s="1415">
        <f>ED46+ED54+ED55+ED56</f>
        <v>2416.6839878017236</v>
      </c>
      <c r="EE57" s="1415">
        <f t="shared" ref="EE57:EH57" si="493">EE46+EE54+EE55+EE56</f>
        <v>2402.327080349708</v>
      </c>
      <c r="EF57" s="1522">
        <f t="shared" si="493"/>
        <v>2723.0901213015104</v>
      </c>
      <c r="EG57" s="1415">
        <f t="shared" si="493"/>
        <v>4738.2063046042013</v>
      </c>
      <c r="EH57" s="1415">
        <f t="shared" si="493"/>
        <v>5125.4172016512193</v>
      </c>
      <c r="EI57" s="1497">
        <f t="shared" si="469"/>
        <v>9863.6235062554188</v>
      </c>
      <c r="EJ57" s="1415">
        <f t="shared" ref="EJ57" si="494">EJ46+EJ54+EJ55+EJ56</f>
        <v>2477.5224141397111</v>
      </c>
      <c r="EK57" s="1415">
        <f>EK46+EK54+EK55+EK56</f>
        <v>2578.1401523498985</v>
      </c>
      <c r="EL57" s="1415">
        <f t="shared" ref="EL57:EO57" si="495">EL46+EL54+EL55+EL56</f>
        <v>2571.6848954027728</v>
      </c>
      <c r="EM57" s="1522">
        <f t="shared" si="495"/>
        <v>2890.0853688918451</v>
      </c>
      <c r="EN57" s="1415">
        <f t="shared" si="495"/>
        <v>5055.6625664896092</v>
      </c>
      <c r="EO57" s="1415">
        <f t="shared" si="495"/>
        <v>5461.7702642946178</v>
      </c>
      <c r="EP57" s="1497">
        <f t="shared" si="469"/>
        <v>10517.432830784228</v>
      </c>
      <c r="EQ57" s="150"/>
      <c r="ER57" s="97"/>
    </row>
    <row r="58" spans="1:148" ht="10.199999999999999" customHeight="1">
      <c r="A58" s="48"/>
      <c r="B58" s="48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457"/>
      <c r="R58" s="150"/>
      <c r="S58" s="150"/>
      <c r="T58" s="1469"/>
      <c r="U58" s="150"/>
      <c r="V58" s="150"/>
      <c r="W58" s="150"/>
      <c r="X58" s="1457"/>
      <c r="Y58" s="150"/>
      <c r="Z58" s="150"/>
      <c r="AA58" s="1469"/>
      <c r="AB58" s="150"/>
      <c r="AC58" s="150"/>
      <c r="AD58" s="150"/>
      <c r="AE58" s="1457"/>
      <c r="AF58" s="150"/>
      <c r="AG58" s="150"/>
      <c r="AH58" s="1469"/>
      <c r="AI58" s="150"/>
      <c r="AJ58" s="150"/>
      <c r="AK58" s="150"/>
      <c r="AL58" s="1457"/>
      <c r="AM58" s="150"/>
      <c r="AN58" s="150"/>
      <c r="AO58" s="1469"/>
      <c r="AP58" s="150"/>
      <c r="AQ58" s="150"/>
      <c r="AR58" s="150"/>
      <c r="AS58" s="1457"/>
      <c r="AT58" s="150"/>
      <c r="AU58" s="150"/>
      <c r="AV58" s="1469"/>
      <c r="AW58" s="150"/>
      <c r="AX58" s="150"/>
      <c r="AY58" s="150"/>
      <c r="AZ58" s="1457"/>
      <c r="BA58" s="150"/>
      <c r="BB58" s="150"/>
      <c r="BC58" s="1469"/>
      <c r="BD58" s="150"/>
      <c r="BE58" s="150"/>
      <c r="BF58" s="150"/>
      <c r="BG58" s="1457"/>
      <c r="BH58" s="150"/>
      <c r="BI58" s="150"/>
      <c r="BJ58" s="1469"/>
      <c r="BK58" s="150"/>
      <c r="BL58" s="150"/>
      <c r="BM58" s="150"/>
      <c r="BN58" s="1457"/>
      <c r="BO58" s="150"/>
      <c r="BP58" s="150"/>
      <c r="BQ58" s="1469"/>
      <c r="BR58" s="150"/>
      <c r="BS58" s="150"/>
      <c r="BT58" s="150"/>
      <c r="BU58" s="1457"/>
      <c r="BV58" s="150"/>
      <c r="BW58" s="150"/>
      <c r="BX58" s="1469"/>
      <c r="BY58" s="150"/>
      <c r="BZ58" s="150"/>
      <c r="CA58" s="150"/>
      <c r="CB58" s="1457"/>
      <c r="CC58" s="150"/>
      <c r="CD58" s="150"/>
      <c r="CE58" s="1469"/>
      <c r="CF58" s="150"/>
      <c r="CG58" s="150"/>
      <c r="CH58" s="150"/>
      <c r="CI58" s="1457"/>
      <c r="CJ58" s="150"/>
      <c r="CK58" s="150"/>
      <c r="CL58" s="1469"/>
      <c r="CM58" s="150"/>
      <c r="CN58" s="150"/>
      <c r="CO58" s="150"/>
      <c r="CP58" s="1457"/>
      <c r="CQ58" s="1416"/>
      <c r="CR58" s="150"/>
      <c r="CS58" s="1469"/>
      <c r="CT58" s="1416"/>
      <c r="CU58" s="1416"/>
      <c r="CV58" s="1416"/>
      <c r="CW58" s="1457"/>
      <c r="CX58" s="1416"/>
      <c r="CY58" s="150"/>
      <c r="CZ58" s="1498"/>
      <c r="DA58" s="1416"/>
      <c r="DB58" s="1416"/>
      <c r="DC58" s="1416"/>
      <c r="DD58" s="1457"/>
      <c r="DE58" s="1416"/>
      <c r="DF58" s="150"/>
      <c r="DG58" s="1498"/>
      <c r="DH58" s="1416"/>
      <c r="DI58" s="1416"/>
      <c r="DJ58" s="1416"/>
      <c r="DK58" s="1523"/>
      <c r="DL58" s="2049"/>
      <c r="DM58" s="1416"/>
      <c r="DN58" s="1498"/>
      <c r="DO58" s="1416"/>
      <c r="DP58" s="1416"/>
      <c r="DQ58" s="1416"/>
      <c r="DR58" s="1523"/>
      <c r="DS58" s="1416"/>
      <c r="DT58" s="1416"/>
      <c r="DU58" s="1498"/>
      <c r="DV58" s="1416"/>
      <c r="DW58" s="1416"/>
      <c r="DX58" s="1416"/>
      <c r="DY58" s="1523"/>
      <c r="DZ58" s="1416"/>
      <c r="EA58" s="1416"/>
      <c r="EB58" s="1498"/>
      <c r="EC58" s="1416"/>
      <c r="ED58" s="1416"/>
      <c r="EE58" s="1416"/>
      <c r="EF58" s="1523"/>
      <c r="EG58" s="1416"/>
      <c r="EH58" s="1416"/>
      <c r="EI58" s="1498"/>
      <c r="EJ58" s="1416"/>
      <c r="EK58" s="1416"/>
      <c r="EL58" s="1416"/>
      <c r="EM58" s="1523"/>
      <c r="EN58" s="1416"/>
      <c r="EO58" s="1416"/>
      <c r="EP58" s="1498"/>
      <c r="EQ58" s="150"/>
      <c r="ER58" s="97"/>
    </row>
    <row r="59" spans="1:148" ht="10.199999999999999" customHeight="1">
      <c r="A59" s="48" t="s">
        <v>839</v>
      </c>
      <c r="B59" s="48"/>
      <c r="C59" s="150"/>
      <c r="D59" s="150"/>
      <c r="E59" s="150"/>
      <c r="F59" s="150"/>
      <c r="G59" s="150"/>
      <c r="H59" s="150"/>
      <c r="I59" s="150"/>
      <c r="J59" s="150"/>
      <c r="K59" s="150">
        <f t="shared" ref="K59:EP59" si="496">K51+K54+K55+K56</f>
        <v>632.5</v>
      </c>
      <c r="L59" s="150">
        <f t="shared" si="496"/>
        <v>1132</v>
      </c>
      <c r="M59" s="150">
        <f t="shared" si="496"/>
        <v>1838</v>
      </c>
      <c r="N59" s="249">
        <f t="shared" ref="N59:S59" si="497">N51+N54+N55+N56</f>
        <v>448</v>
      </c>
      <c r="O59" s="249">
        <f t="shared" si="497"/>
        <v>552</v>
      </c>
      <c r="P59" s="249">
        <f t="shared" si="497"/>
        <v>429</v>
      </c>
      <c r="Q59" s="1523">
        <f t="shared" si="497"/>
        <v>799</v>
      </c>
      <c r="R59" s="249">
        <f t="shared" si="497"/>
        <v>1000</v>
      </c>
      <c r="S59" s="1416">
        <f t="shared" si="497"/>
        <v>1228</v>
      </c>
      <c r="T59" s="1469">
        <f t="shared" si="496"/>
        <v>2228</v>
      </c>
      <c r="U59" s="249">
        <f t="shared" si="496"/>
        <v>420</v>
      </c>
      <c r="V59" s="249">
        <f t="shared" si="496"/>
        <v>674</v>
      </c>
      <c r="W59" s="249">
        <f t="shared" si="496"/>
        <v>485</v>
      </c>
      <c r="X59" s="1523">
        <f t="shared" si="496"/>
        <v>1055</v>
      </c>
      <c r="Y59" s="249">
        <f t="shared" si="496"/>
        <v>1094</v>
      </c>
      <c r="Z59" s="1416">
        <f t="shared" si="496"/>
        <v>1540</v>
      </c>
      <c r="AA59" s="1469">
        <f t="shared" si="496"/>
        <v>2634</v>
      </c>
      <c r="AB59" s="249">
        <f t="shared" ref="AB59:AG59" si="498">AB51+AB54+AB55+AB56</f>
        <v>357</v>
      </c>
      <c r="AC59" s="249">
        <f t="shared" si="498"/>
        <v>811</v>
      </c>
      <c r="AD59" s="249">
        <f t="shared" si="498"/>
        <v>557</v>
      </c>
      <c r="AE59" s="1523">
        <f t="shared" si="498"/>
        <v>954</v>
      </c>
      <c r="AF59" s="249">
        <f t="shared" si="498"/>
        <v>1168</v>
      </c>
      <c r="AG59" s="1416">
        <f t="shared" si="498"/>
        <v>1511</v>
      </c>
      <c r="AH59" s="1469">
        <f t="shared" si="496"/>
        <v>2679</v>
      </c>
      <c r="AI59" s="249">
        <f t="shared" si="496"/>
        <v>292</v>
      </c>
      <c r="AJ59" s="249">
        <f t="shared" si="496"/>
        <v>801</v>
      </c>
      <c r="AK59" s="249">
        <f t="shared" si="496"/>
        <v>252</v>
      </c>
      <c r="AL59" s="1523">
        <f t="shared" si="496"/>
        <v>1217</v>
      </c>
      <c r="AM59" s="249">
        <f t="shared" si="496"/>
        <v>1093</v>
      </c>
      <c r="AN59" s="1416">
        <f t="shared" si="496"/>
        <v>1469</v>
      </c>
      <c r="AO59" s="1469">
        <f t="shared" si="496"/>
        <v>2562</v>
      </c>
      <c r="AP59" s="249">
        <f t="shared" ref="AP59:AS59" si="499">AP51+AP54+AP55+AP56</f>
        <v>93</v>
      </c>
      <c r="AQ59" s="249">
        <f t="shared" si="499"/>
        <v>545</v>
      </c>
      <c r="AR59" s="249">
        <f t="shared" si="499"/>
        <v>430</v>
      </c>
      <c r="AS59" s="1523">
        <f t="shared" si="499"/>
        <v>1768</v>
      </c>
      <c r="AT59" s="249">
        <f t="shared" ref="AT59:AU59" si="500">AT51+AT54+AT55+AT56</f>
        <v>638</v>
      </c>
      <c r="AU59" s="1416">
        <f t="shared" si="500"/>
        <v>2198</v>
      </c>
      <c r="AV59" s="1469">
        <f t="shared" si="496"/>
        <v>2836</v>
      </c>
      <c r="AW59" s="249">
        <f t="shared" si="496"/>
        <v>-93</v>
      </c>
      <c r="AX59" s="249">
        <f t="shared" si="496"/>
        <v>343</v>
      </c>
      <c r="AY59" s="249">
        <f t="shared" si="496"/>
        <v>401</v>
      </c>
      <c r="AZ59" s="1523">
        <f t="shared" si="496"/>
        <v>1414.17</v>
      </c>
      <c r="BA59" s="249">
        <f t="shared" ref="BA59:BB59" si="501">BA51+BA54+BA55+BA56</f>
        <v>250</v>
      </c>
      <c r="BB59" s="1416">
        <f t="shared" si="501"/>
        <v>1815.17</v>
      </c>
      <c r="BC59" s="1469">
        <f t="shared" si="496"/>
        <v>2065.17</v>
      </c>
      <c r="BD59" s="249">
        <f t="shared" ref="BD59:BG59" si="502">BD51+BD54+BD55+BD56</f>
        <v>-47</v>
      </c>
      <c r="BE59" s="249">
        <f t="shared" si="502"/>
        <v>787</v>
      </c>
      <c r="BF59" s="249">
        <f t="shared" si="502"/>
        <v>1052</v>
      </c>
      <c r="BG59" s="1523">
        <f t="shared" si="502"/>
        <v>2253</v>
      </c>
      <c r="BH59" s="249">
        <f t="shared" ref="BH59:BI59" si="503">BH51+BH54+BH55+BH56</f>
        <v>740</v>
      </c>
      <c r="BI59" s="1416">
        <f t="shared" si="503"/>
        <v>3305</v>
      </c>
      <c r="BJ59" s="1469">
        <f t="shared" si="496"/>
        <v>4045</v>
      </c>
      <c r="BK59" s="249">
        <f t="shared" si="496"/>
        <v>362</v>
      </c>
      <c r="BL59" s="249">
        <f t="shared" si="496"/>
        <v>1388</v>
      </c>
      <c r="BM59" s="249">
        <f t="shared" si="496"/>
        <v>1162</v>
      </c>
      <c r="BN59" s="1523">
        <f t="shared" si="496"/>
        <v>1803</v>
      </c>
      <c r="BO59" s="249">
        <f t="shared" si="496"/>
        <v>1750</v>
      </c>
      <c r="BP59" s="1416">
        <f t="shared" si="496"/>
        <v>2965</v>
      </c>
      <c r="BQ59" s="1469">
        <f t="shared" si="496"/>
        <v>4715</v>
      </c>
      <c r="BR59" s="249">
        <f t="shared" ref="BR59:BW59" si="504">BR51+BR54+BR55+BR56</f>
        <v>177</v>
      </c>
      <c r="BS59" s="249">
        <f t="shared" si="504"/>
        <v>-966</v>
      </c>
      <c r="BT59" s="249">
        <f t="shared" si="504"/>
        <v>539</v>
      </c>
      <c r="BU59" s="1523">
        <f t="shared" si="504"/>
        <v>1318</v>
      </c>
      <c r="BV59" s="249">
        <f t="shared" si="504"/>
        <v>-789</v>
      </c>
      <c r="BW59" s="1416">
        <f t="shared" si="504"/>
        <v>1857</v>
      </c>
      <c r="BX59" s="1469">
        <f t="shared" si="496"/>
        <v>1068</v>
      </c>
      <c r="BY59" s="249">
        <f t="shared" si="496"/>
        <v>458</v>
      </c>
      <c r="BZ59" s="249">
        <f t="shared" si="496"/>
        <v>1406</v>
      </c>
      <c r="CA59" s="249">
        <f t="shared" si="496"/>
        <v>456</v>
      </c>
      <c r="CB59" s="1523">
        <f t="shared" si="496"/>
        <v>1077</v>
      </c>
      <c r="CC59" s="249">
        <f t="shared" ref="CC59:CD59" si="505">CC51+CC54+CC55+CC56</f>
        <v>1864</v>
      </c>
      <c r="CD59" s="1416">
        <f t="shared" si="505"/>
        <v>1533</v>
      </c>
      <c r="CE59" s="1469">
        <f t="shared" si="496"/>
        <v>3397</v>
      </c>
      <c r="CF59" s="249">
        <f t="shared" ref="CF59:CI59" si="506">CF51+CF54+CF55+CF56</f>
        <v>892</v>
      </c>
      <c r="CG59" s="249">
        <f t="shared" si="506"/>
        <v>999</v>
      </c>
      <c r="CH59" s="249">
        <f t="shared" si="506"/>
        <v>600</v>
      </c>
      <c r="CI59" s="1523">
        <f t="shared" si="506"/>
        <v>1564</v>
      </c>
      <c r="CJ59" s="249">
        <f t="shared" ref="CJ59:CK59" si="507">CJ51+CJ54+CJ55+CJ56</f>
        <v>1891</v>
      </c>
      <c r="CK59" s="1416">
        <f t="shared" si="507"/>
        <v>2164</v>
      </c>
      <c r="CL59" s="1469">
        <f t="shared" si="496"/>
        <v>4055</v>
      </c>
      <c r="CM59" s="249">
        <f t="shared" si="496"/>
        <v>569</v>
      </c>
      <c r="CN59" s="249">
        <f t="shared" si="496"/>
        <v>1376</v>
      </c>
      <c r="CO59" s="249">
        <f t="shared" si="496"/>
        <v>824</v>
      </c>
      <c r="CP59" s="1523">
        <f t="shared" si="496"/>
        <v>1648</v>
      </c>
      <c r="CQ59" s="249">
        <f t="shared" ref="CQ59:CR59" si="508">CQ51+CQ54+CQ55+CQ56</f>
        <v>1945</v>
      </c>
      <c r="CR59" s="1416">
        <f t="shared" si="508"/>
        <v>2472</v>
      </c>
      <c r="CS59" s="1469">
        <f t="shared" ref="CS59:CT59" si="509">CS51+CS54+CS55+CS56</f>
        <v>4417</v>
      </c>
      <c r="CT59" s="249">
        <f t="shared" si="509"/>
        <v>467</v>
      </c>
      <c r="CU59" s="249">
        <f t="shared" ref="CU59:CW59" si="510">CU51+CU54+CU55+CU56</f>
        <v>620</v>
      </c>
      <c r="CV59" s="249">
        <f t="shared" si="510"/>
        <v>1051</v>
      </c>
      <c r="CW59" s="1523">
        <f t="shared" si="510"/>
        <v>1854</v>
      </c>
      <c r="CX59" s="249">
        <f t="shared" ref="CX59:DB59" si="511">CX51+CX54+CX55+CX56</f>
        <v>1087</v>
      </c>
      <c r="CY59" s="1416">
        <f t="shared" si="511"/>
        <v>2905</v>
      </c>
      <c r="CZ59" s="1469">
        <f t="shared" si="511"/>
        <v>3992</v>
      </c>
      <c r="DA59" s="249">
        <f t="shared" si="511"/>
        <v>524</v>
      </c>
      <c r="DB59" s="249">
        <f t="shared" si="511"/>
        <v>1173</v>
      </c>
      <c r="DC59" s="1416">
        <f t="shared" ref="DC59:DI59" si="512">DC51+DC54+DC55+DC56</f>
        <v>1436</v>
      </c>
      <c r="DD59" s="1523">
        <f t="shared" si="512"/>
        <v>2304</v>
      </c>
      <c r="DE59" s="249">
        <f t="shared" si="512"/>
        <v>1697</v>
      </c>
      <c r="DF59" s="1416">
        <f t="shared" si="512"/>
        <v>3740</v>
      </c>
      <c r="DG59" s="1469">
        <f t="shared" si="512"/>
        <v>5437</v>
      </c>
      <c r="DH59" s="249">
        <f t="shared" si="512"/>
        <v>263</v>
      </c>
      <c r="DI59" s="249">
        <f t="shared" si="512"/>
        <v>1795</v>
      </c>
      <c r="DJ59" s="1415">
        <f t="shared" si="496"/>
        <v>1579.3519230070176</v>
      </c>
      <c r="DK59" s="1522">
        <f t="shared" si="496"/>
        <v>2386.600472749783</v>
      </c>
      <c r="DL59" s="2049">
        <f t="shared" si="496"/>
        <v>2058</v>
      </c>
      <c r="DM59" s="1415">
        <f t="shared" si="496"/>
        <v>3965.9523957568017</v>
      </c>
      <c r="DN59" s="1497">
        <f t="shared" si="496"/>
        <v>6023.9523957568008</v>
      </c>
      <c r="DO59" s="1415">
        <f t="shared" ref="DO59:DT59" si="513">DO51+DO54+DO55+DO56</f>
        <v>1623.9620378305744</v>
      </c>
      <c r="DP59" s="1415">
        <f t="shared" si="513"/>
        <v>1823.0111632856515</v>
      </c>
      <c r="DQ59" s="1415">
        <f t="shared" si="513"/>
        <v>1805.8662082716694</v>
      </c>
      <c r="DR59" s="1522">
        <f t="shared" si="513"/>
        <v>2020.5427847652911</v>
      </c>
      <c r="DS59" s="1415">
        <f t="shared" si="513"/>
        <v>3446.9732011162268</v>
      </c>
      <c r="DT59" s="1415">
        <f t="shared" si="513"/>
        <v>3826.4089930369623</v>
      </c>
      <c r="DU59" s="1497">
        <f t="shared" si="496"/>
        <v>7273.3821941531878</v>
      </c>
      <c r="DV59" s="1415">
        <f t="shared" ref="DV59:EA59" si="514">DV51+DV54+DV55+DV56</f>
        <v>2034.3130436506262</v>
      </c>
      <c r="DW59" s="1415">
        <f t="shared" si="514"/>
        <v>2245.7502721643232</v>
      </c>
      <c r="DX59" s="1415">
        <f t="shared" si="514"/>
        <v>2232.0540562511269</v>
      </c>
      <c r="DY59" s="1522">
        <f t="shared" si="514"/>
        <v>2526.5642935425626</v>
      </c>
      <c r="DZ59" s="1415">
        <f t="shared" si="514"/>
        <v>4280.0633158149494</v>
      </c>
      <c r="EA59" s="1415">
        <f t="shared" si="514"/>
        <v>4758.618349793689</v>
      </c>
      <c r="EB59" s="1497">
        <f t="shared" si="496"/>
        <v>9038.6816656086412</v>
      </c>
      <c r="EC59" s="1415">
        <f t="shared" ref="EC59:EH59" si="515">EC51+EC54+EC55+EC56</f>
        <v>2321.5223168024772</v>
      </c>
      <c r="ED59" s="1415">
        <f t="shared" si="515"/>
        <v>2416.6839878017236</v>
      </c>
      <c r="EE59" s="1415">
        <f t="shared" si="515"/>
        <v>2402.327080349708</v>
      </c>
      <c r="EF59" s="1522">
        <f t="shared" si="515"/>
        <v>2723.0901213015104</v>
      </c>
      <c r="EG59" s="1415">
        <f t="shared" si="515"/>
        <v>4738.2063046042013</v>
      </c>
      <c r="EH59" s="1415">
        <f t="shared" si="515"/>
        <v>5125.4172016512193</v>
      </c>
      <c r="EI59" s="1497">
        <f t="shared" si="496"/>
        <v>9863.6235062554188</v>
      </c>
      <c r="EJ59" s="1415">
        <f t="shared" ref="EJ59:EO59" si="516">EJ51+EJ54+EJ55+EJ56</f>
        <v>2477.5224141397111</v>
      </c>
      <c r="EK59" s="1415">
        <f t="shared" si="516"/>
        <v>2578.1401523498985</v>
      </c>
      <c r="EL59" s="1415">
        <f t="shared" si="516"/>
        <v>2571.6848954027728</v>
      </c>
      <c r="EM59" s="1522">
        <f t="shared" si="516"/>
        <v>2890.0853688918451</v>
      </c>
      <c r="EN59" s="1415">
        <f t="shared" si="516"/>
        <v>5055.6625664896092</v>
      </c>
      <c r="EO59" s="1415">
        <f t="shared" si="516"/>
        <v>5461.7702642946178</v>
      </c>
      <c r="EP59" s="1497">
        <f t="shared" si="496"/>
        <v>10517.432830784228</v>
      </c>
      <c r="EQ59" s="150"/>
      <c r="ER59" s="97"/>
    </row>
    <row r="60" spans="1:148" ht="10.199999999999999" customHeight="1">
      <c r="A60" s="48"/>
      <c r="B60" s="48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457"/>
      <c r="R60" s="150"/>
      <c r="S60" s="150"/>
      <c r="T60" s="1469"/>
      <c r="U60" s="150"/>
      <c r="V60" s="150"/>
      <c r="W60" s="150"/>
      <c r="X60" s="1457"/>
      <c r="Y60" s="150"/>
      <c r="Z60" s="150"/>
      <c r="AA60" s="1469"/>
      <c r="AB60" s="150"/>
      <c r="AC60" s="150"/>
      <c r="AD60" s="150"/>
      <c r="AE60" s="1457"/>
      <c r="AF60" s="150"/>
      <c r="AG60" s="150"/>
      <c r="AH60" s="1469"/>
      <c r="AI60" s="150"/>
      <c r="AJ60" s="150"/>
      <c r="AK60" s="150"/>
      <c r="AL60" s="1457"/>
      <c r="AM60" s="150"/>
      <c r="AN60" s="150"/>
      <c r="AO60" s="1469"/>
      <c r="AP60" s="150"/>
      <c r="AQ60" s="150"/>
      <c r="AR60" s="150"/>
      <c r="AS60" s="1457"/>
      <c r="AT60" s="150"/>
      <c r="AU60" s="150"/>
      <c r="AV60" s="1469"/>
      <c r="AW60" s="150"/>
      <c r="AX60" s="150"/>
      <c r="AY60" s="150"/>
      <c r="AZ60" s="1457"/>
      <c r="BA60" s="150"/>
      <c r="BB60" s="150"/>
      <c r="BC60" s="1469"/>
      <c r="BD60" s="150"/>
      <c r="BE60" s="150"/>
      <c r="BF60" s="150"/>
      <c r="BG60" s="1457"/>
      <c r="BH60" s="150"/>
      <c r="BI60" s="150"/>
      <c r="BJ60" s="1469"/>
      <c r="BK60" s="150"/>
      <c r="BL60" s="150"/>
      <c r="BM60" s="150"/>
      <c r="BN60" s="1457"/>
      <c r="BO60" s="150"/>
      <c r="BP60" s="150"/>
      <c r="BQ60" s="1469"/>
      <c r="BR60" s="249"/>
      <c r="BS60" s="249"/>
      <c r="BT60" s="249"/>
      <c r="BU60" s="1523"/>
      <c r="BV60" s="249"/>
      <c r="BW60" s="1416"/>
      <c r="BX60" s="1469"/>
      <c r="BY60" s="249"/>
      <c r="BZ60" s="249"/>
      <c r="CA60" s="249"/>
      <c r="CB60" s="1523"/>
      <c r="CC60" s="249"/>
      <c r="CD60" s="1416"/>
      <c r="CE60" s="1469"/>
      <c r="CF60" s="249"/>
      <c r="CG60" s="249"/>
      <c r="CH60" s="249"/>
      <c r="CI60" s="1523"/>
      <c r="CJ60" s="249"/>
      <c r="CK60" s="1416"/>
      <c r="CL60" s="1469"/>
      <c r="CM60" s="249"/>
      <c r="CN60" s="249"/>
      <c r="CO60" s="249"/>
      <c r="CP60" s="1523"/>
      <c r="CQ60" s="249"/>
      <c r="CR60" s="1416"/>
      <c r="CS60" s="1469"/>
      <c r="CT60" s="249"/>
      <c r="CU60" s="249"/>
      <c r="CV60" s="249"/>
      <c r="CW60" s="1523"/>
      <c r="CX60" s="249"/>
      <c r="CY60" s="1416"/>
      <c r="CZ60" s="1469"/>
      <c r="DA60" s="249"/>
      <c r="DB60" s="249"/>
      <c r="DC60" s="1416"/>
      <c r="DD60" s="1523"/>
      <c r="DE60" s="249"/>
      <c r="DF60" s="1416"/>
      <c r="DG60" s="1469"/>
      <c r="DH60" s="249"/>
      <c r="DI60" s="249"/>
      <c r="DJ60" s="1415"/>
      <c r="DK60" s="1522"/>
      <c r="DL60" s="2049"/>
      <c r="DM60" s="1415"/>
      <c r="DN60" s="1497"/>
      <c r="DO60" s="1415"/>
      <c r="DP60" s="1415"/>
      <c r="DQ60" s="1415"/>
      <c r="DR60" s="1522"/>
      <c r="DS60" s="1415"/>
      <c r="DT60" s="1415"/>
      <c r="DU60" s="1497"/>
      <c r="DV60" s="1415"/>
      <c r="DW60" s="1415"/>
      <c r="DX60" s="1415"/>
      <c r="DY60" s="1522"/>
      <c r="DZ60" s="1415"/>
      <c r="EA60" s="1415"/>
      <c r="EB60" s="1497"/>
      <c r="EC60" s="1415"/>
      <c r="ED60" s="1415"/>
      <c r="EE60" s="1415"/>
      <c r="EF60" s="1522"/>
      <c r="EG60" s="1415"/>
      <c r="EH60" s="1415"/>
      <c r="EI60" s="1497"/>
      <c r="EJ60" s="1415"/>
      <c r="EK60" s="1415"/>
      <c r="EL60" s="1415"/>
      <c r="EM60" s="1522"/>
      <c r="EN60" s="1415"/>
      <c r="EO60" s="1415"/>
      <c r="EP60" s="1497"/>
      <c r="EQ60" s="150"/>
      <c r="ER60" s="286"/>
    </row>
    <row r="61" spans="1:148" ht="10.199999999999999" customHeight="1">
      <c r="A61" s="43" t="s">
        <v>840</v>
      </c>
      <c r="B61" s="108"/>
      <c r="C61" s="828"/>
      <c r="D61" s="828">
        <f t="shared" ref="D61:EP61" si="517">+D57/D70</f>
        <v>0.42199505759388545</v>
      </c>
      <c r="E61" s="828">
        <f t="shared" si="517"/>
        <v>1.5018069715265325</v>
      </c>
      <c r="F61" s="828">
        <f t="shared" si="517"/>
        <v>2.1101399727325534</v>
      </c>
      <c r="G61" s="828">
        <f t="shared" si="517"/>
        <v>0.12365247571745704</v>
      </c>
      <c r="H61" s="828">
        <f t="shared" si="517"/>
        <v>-0.5591482533771609</v>
      </c>
      <c r="I61" s="828">
        <f t="shared" si="517"/>
        <v>1.9480065623186056</v>
      </c>
      <c r="J61" s="828">
        <f t="shared" si="517"/>
        <v>1.50660568846147</v>
      </c>
      <c r="K61" s="828">
        <f t="shared" si="517"/>
        <v>0.74380807531334303</v>
      </c>
      <c r="L61" s="828">
        <f t="shared" si="517"/>
        <v>1.3058349035762153</v>
      </c>
      <c r="M61" s="828">
        <f t="shared" si="517"/>
        <v>2.1906853999729727</v>
      </c>
      <c r="N61" s="827">
        <f t="shared" ref="N61:S61" si="518">+N57/N70</f>
        <v>0.53550443784002733</v>
      </c>
      <c r="O61" s="827">
        <f t="shared" si="518"/>
        <v>0.69244862491884362</v>
      </c>
      <c r="P61" s="827">
        <f t="shared" si="518"/>
        <v>0.53966545668060473</v>
      </c>
      <c r="Q61" s="1678">
        <f t="shared" si="518"/>
        <v>0.99925757214779809</v>
      </c>
      <c r="R61" s="827">
        <f t="shared" si="518"/>
        <v>1.2245439262138018</v>
      </c>
      <c r="S61" s="1675">
        <f t="shared" si="518"/>
        <v>1.5393121153087792</v>
      </c>
      <c r="T61" s="1467">
        <f t="shared" si="517"/>
        <v>2.758474965733015</v>
      </c>
      <c r="U61" s="827">
        <f t="shared" si="517"/>
        <v>0.52889159059860957</v>
      </c>
      <c r="V61" s="827">
        <f t="shared" si="517"/>
        <v>0.85169155545192354</v>
      </c>
      <c r="W61" s="827">
        <f t="shared" si="517"/>
        <v>0.60488940991958462</v>
      </c>
      <c r="X61" s="1678">
        <f t="shared" si="517"/>
        <v>1.3351024286375186</v>
      </c>
      <c r="Y61" s="827">
        <f t="shared" si="517"/>
        <v>1.3810514467929482</v>
      </c>
      <c r="Z61" s="1675">
        <f t="shared" si="517"/>
        <v>1.9402690432929055</v>
      </c>
      <c r="AA61" s="1467">
        <f t="shared" si="517"/>
        <v>3.3219986679181273</v>
      </c>
      <c r="AB61" s="827">
        <f t="shared" ref="AB61:AG61" si="519">+AB57/AB70</f>
        <v>0.44733093003877816</v>
      </c>
      <c r="AC61" s="827">
        <f t="shared" si="519"/>
        <v>1.0220029662593755</v>
      </c>
      <c r="AD61" s="827">
        <f t="shared" si="519"/>
        <v>0.70246774161108971</v>
      </c>
      <c r="AE61" s="1678">
        <f t="shared" si="519"/>
        <v>1.2169684171960924</v>
      </c>
      <c r="AF61" s="827">
        <f t="shared" si="519"/>
        <v>1.4700786791454818</v>
      </c>
      <c r="AG61" s="1675">
        <f t="shared" si="519"/>
        <v>1.918352367148294</v>
      </c>
      <c r="AH61" s="1467">
        <f t="shared" si="517"/>
        <v>3.3884018687741482</v>
      </c>
      <c r="AI61" s="827">
        <f t="shared" si="517"/>
        <v>0.37602093627912514</v>
      </c>
      <c r="AJ61" s="827">
        <f t="shared" si="517"/>
        <v>1.0353121702919303</v>
      </c>
      <c r="AK61" s="827">
        <f t="shared" si="517"/>
        <v>0.32625520254702367</v>
      </c>
      <c r="AL61" s="1678">
        <f t="shared" si="517"/>
        <v>1.5752787613037116</v>
      </c>
      <c r="AM61" s="827">
        <f t="shared" si="517"/>
        <v>1.4101113405078578</v>
      </c>
      <c r="AN61" s="1675">
        <f t="shared" si="517"/>
        <v>1.9016634773435681</v>
      </c>
      <c r="AO61" s="1467">
        <f t="shared" si="517"/>
        <v>3.3109380338859307</v>
      </c>
      <c r="AP61" s="827">
        <f t="shared" ref="AP61:AS61" si="520">+AP57/AP70</f>
        <v>0.12035271903366954</v>
      </c>
      <c r="AQ61" s="827">
        <f t="shared" si="520"/>
        <v>0.70439052390846901</v>
      </c>
      <c r="AR61" s="827">
        <f t="shared" si="520"/>
        <v>0.55535651262436547</v>
      </c>
      <c r="AS61" s="1678">
        <f t="shared" si="520"/>
        <v>2.2831575801760171</v>
      </c>
      <c r="AT61" s="827">
        <f t="shared" ref="AT61:AU61" si="521">+AT57/AT70</f>
        <v>0.82511706632901671</v>
      </c>
      <c r="AU61" s="1675">
        <f t="shared" si="521"/>
        <v>2.8386131300786461</v>
      </c>
      <c r="AV61" s="1467">
        <f t="shared" si="517"/>
        <v>3.6651590223714043</v>
      </c>
      <c r="AW61" s="827">
        <f t="shared" si="517"/>
        <v>-0.12035271903366954</v>
      </c>
      <c r="AX61" s="827">
        <f t="shared" si="517"/>
        <v>0.44331366917542181</v>
      </c>
      <c r="AY61" s="827">
        <f t="shared" si="517"/>
        <v>0.5179022361915594</v>
      </c>
      <c r="AZ61" s="1678">
        <f t="shared" si="517"/>
        <v>1.8262290470347953</v>
      </c>
      <c r="BA61" s="827">
        <f t="shared" ref="BA61:BB61" si="522">+BA57/BA70</f>
        <v>0.32332173445494383</v>
      </c>
      <c r="BB61" s="1675">
        <f t="shared" si="522"/>
        <v>2.3442062763079421</v>
      </c>
      <c r="BC61" s="1467">
        <f t="shared" si="517"/>
        <v>2.6689620797710698</v>
      </c>
      <c r="BD61" s="827">
        <f t="shared" ref="BD61:BG61" si="523">+BD57/BD70</f>
        <v>-6.0694908717091378E-2</v>
      </c>
      <c r="BE61" s="827">
        <f t="shared" si="523"/>
        <v>1.0169350832576511</v>
      </c>
      <c r="BF61" s="827">
        <f t="shared" si="523"/>
        <v>1.3556212273573471</v>
      </c>
      <c r="BG61" s="1678">
        <f t="shared" si="523"/>
        <v>2.9019109283106137</v>
      </c>
      <c r="BH61" s="827">
        <f t="shared" ref="BH61:BI61" si="524">+BH57/BH70</f>
        <v>0.95591252260040405</v>
      </c>
      <c r="BI61" s="1675">
        <f t="shared" si="524"/>
        <v>4.2578877296112818</v>
      </c>
      <c r="BJ61" s="1467">
        <f t="shared" si="517"/>
        <v>5.2182240596557383</v>
      </c>
      <c r="BK61" s="827">
        <f t="shared" si="517"/>
        <v>0.46665663750222103</v>
      </c>
      <c r="BL61" s="827">
        <f t="shared" si="517"/>
        <v>1.7866997726515934</v>
      </c>
      <c r="BM61" s="827">
        <f t="shared" si="517"/>
        <v>1.4945138326438365</v>
      </c>
      <c r="BN61" s="1678">
        <f t="shared" si="517"/>
        <v>2.3172816658949471</v>
      </c>
      <c r="BO61" s="827">
        <f t="shared" ref="BO61:BP61" si="525">+BO57/BO70</f>
        <v>2.254308933435857</v>
      </c>
      <c r="BP61" s="1675">
        <f t="shared" si="525"/>
        <v>3.8120898195371979</v>
      </c>
      <c r="BQ61" s="1467">
        <f t="shared" si="517"/>
        <v>6.0678998013509879</v>
      </c>
      <c r="BR61" s="827">
        <f t="shared" ref="BR61:BW61" si="526">+BR57/BR70</f>
        <v>0.22626229240210968</v>
      </c>
      <c r="BS61" s="827">
        <f t="shared" si="526"/>
        <v>-1.2335241619048014</v>
      </c>
      <c r="BT61" s="827">
        <f t="shared" si="526"/>
        <v>0.68781741896567139</v>
      </c>
      <c r="BU61" s="1678">
        <f t="shared" si="526"/>
        <v>1.6818205847173122</v>
      </c>
      <c r="BV61" s="827">
        <f t="shared" si="526"/>
        <v>-1.0080490519275029</v>
      </c>
      <c r="BW61" s="1675">
        <f t="shared" si="526"/>
        <v>2.3696610647747236</v>
      </c>
      <c r="BX61" s="1467">
        <f t="shared" si="517"/>
        <v>1.3636743365342257</v>
      </c>
      <c r="BY61" s="827">
        <f t="shared" si="517"/>
        <v>0.58419359656393555</v>
      </c>
      <c r="BZ61" s="827">
        <f t="shared" si="517"/>
        <v>1.7894475871062647</v>
      </c>
      <c r="CA61" s="827">
        <f t="shared" si="517"/>
        <v>0.58030432535771936</v>
      </c>
      <c r="CB61" s="1678">
        <f t="shared" si="517"/>
        <v>1.3705678465310054</v>
      </c>
      <c r="CC61" s="827">
        <f t="shared" ref="CC61:CD61" si="527">+CC57/CC70</f>
        <v>2.3749700217370409</v>
      </c>
      <c r="CD61" s="1675">
        <f t="shared" si="527"/>
        <v>1.9508777483846098</v>
      </c>
      <c r="CE61" s="1467">
        <f t="shared" si="517"/>
        <v>4.3255917668665109</v>
      </c>
      <c r="CF61" s="827">
        <f t="shared" ref="CF61:CI61" si="528">+CF57/CF70</f>
        <v>1.1350895599342399</v>
      </c>
      <c r="CG61" s="827">
        <f t="shared" si="528"/>
        <v>1.2686755372942813</v>
      </c>
      <c r="CH61" s="827">
        <f t="shared" si="528"/>
        <v>0.76190759474976211</v>
      </c>
      <c r="CI61" s="1678">
        <f t="shared" si="528"/>
        <v>1.9859087029111968</v>
      </c>
      <c r="CJ61" s="827">
        <f t="shared" ref="CJ61:CK61" si="529">+CJ57/CJ70</f>
        <v>2.4039004684727843</v>
      </c>
      <c r="CK61" s="1675">
        <f t="shared" si="529"/>
        <v>2.7478564903555092</v>
      </c>
      <c r="CL61" s="1467">
        <f t="shared" si="517"/>
        <v>5.151950268105904</v>
      </c>
      <c r="CM61" s="827">
        <f t="shared" si="517"/>
        <v>0.72227208233822526</v>
      </c>
      <c r="CN61" s="827">
        <f t="shared" si="517"/>
        <v>1.7437248831780048</v>
      </c>
      <c r="CO61" s="827">
        <f t="shared" si="517"/>
        <v>1.0441158167628541</v>
      </c>
      <c r="CP61" s="1678">
        <f t="shared" si="517"/>
        <v>2.0892718529829906</v>
      </c>
      <c r="CQ61" s="827">
        <f t="shared" ref="CQ61:CR61" si="530">+CQ57/CQ70</f>
        <v>2.4668542992827565</v>
      </c>
      <c r="CR61" s="1675">
        <f t="shared" si="530"/>
        <v>3.133127420616602</v>
      </c>
      <c r="CS61" s="1467">
        <f t="shared" ref="CS61:CT61" si="531">+CS57/CS70</f>
        <v>5.6002074721553647</v>
      </c>
      <c r="CT61" s="827">
        <f t="shared" si="531"/>
        <v>0.59258176604994195</v>
      </c>
      <c r="CU61" s="827">
        <f t="shared" ref="CU61:CW61" si="532">+CU57/CU70</f>
        <v>0.78354558319398859</v>
      </c>
      <c r="CV61" s="827">
        <f t="shared" si="532"/>
        <v>1.328024487002526</v>
      </c>
      <c r="CW61" s="1678">
        <f t="shared" si="532"/>
        <v>2.3495306937899527</v>
      </c>
      <c r="CX61" s="827">
        <f t="shared" ref="CX61:DB61" si="533">+CX57/CX70</f>
        <v>1.3765140357975885</v>
      </c>
      <c r="CY61" s="1675">
        <f t="shared" si="533"/>
        <v>3.6760639164534661</v>
      </c>
      <c r="CZ61" s="1467">
        <f t="shared" si="533"/>
        <v>5.0534097368883613</v>
      </c>
      <c r="DA61" s="827">
        <f t="shared" si="533"/>
        <v>0.66545302089751834</v>
      </c>
      <c r="DB61" s="827">
        <f t="shared" si="533"/>
        <v>1.4827875293144441</v>
      </c>
      <c r="DC61" s="827">
        <f t="shared" ref="DC61:DI61" si="534">+DC57/DC70</f>
        <v>1.8180670806082986</v>
      </c>
      <c r="DD61" s="1678">
        <f t="shared" si="534"/>
        <v>2.9167070868171403</v>
      </c>
      <c r="DE61" s="827">
        <f t="shared" si="534"/>
        <v>2.1501274234310137</v>
      </c>
      <c r="DF61" s="1675">
        <f t="shared" si="534"/>
        <v>4.7348312392269847</v>
      </c>
      <c r="DG61" s="1467">
        <f t="shared" si="534"/>
        <v>6.8859985502066419</v>
      </c>
      <c r="DH61" s="827">
        <f t="shared" si="534"/>
        <v>0.33408375361567061</v>
      </c>
      <c r="DI61" s="827">
        <f t="shared" si="534"/>
        <v>2.2689553915065277</v>
      </c>
      <c r="DJ61" s="885">
        <f t="shared" si="517"/>
        <v>2.0037671949732005</v>
      </c>
      <c r="DK61" s="1519">
        <f t="shared" si="517"/>
        <v>3.0686835349283221</v>
      </c>
      <c r="DL61" s="2048">
        <f t="shared" si="517"/>
        <v>2.6078019816732878</v>
      </c>
      <c r="DM61" s="885">
        <f t="shared" si="517"/>
        <v>5.0653349168625983</v>
      </c>
      <c r="DN61" s="1493">
        <f t="shared" si="517"/>
        <v>7.6634282736893917</v>
      </c>
      <c r="DO61" s="885">
        <f t="shared" ref="DO61:DT61" si="535">+DO57/DO70</f>
        <v>2.0770262798061618</v>
      </c>
      <c r="DP61" s="885">
        <f t="shared" si="535"/>
        <v>2.3316075168743167</v>
      </c>
      <c r="DQ61" s="885">
        <f t="shared" si="535"/>
        <v>2.3186749598202607</v>
      </c>
      <c r="DR61" s="1519">
        <f t="shared" si="535"/>
        <v>2.574260689365385</v>
      </c>
      <c r="DS61" s="885">
        <f t="shared" si="535"/>
        <v>4.4086337966804798</v>
      </c>
      <c r="DT61" s="885">
        <f t="shared" si="535"/>
        <v>4.8939272290141798</v>
      </c>
      <c r="DU61" s="1493">
        <f t="shared" si="517"/>
        <v>9.3025610256946578</v>
      </c>
      <c r="DV61" s="885">
        <f t="shared" ref="DV61:EA61" si="536">+DV57/DV70</f>
        <v>2.6208696491760577</v>
      </c>
      <c r="DW61" s="885">
        <f t="shared" si="536"/>
        <v>2.893270898652891</v>
      </c>
      <c r="DX61" s="885">
        <f t="shared" si="536"/>
        <v>2.8854310350202597</v>
      </c>
      <c r="DY61" s="1519">
        <f t="shared" si="536"/>
        <v>3.2440284529272296</v>
      </c>
      <c r="DZ61" s="885">
        <f t="shared" si="536"/>
        <v>5.5141405478289487</v>
      </c>
      <c r="EA61" s="885">
        <f t="shared" si="536"/>
        <v>6.130678090037569</v>
      </c>
      <c r="EB61" s="1493">
        <f t="shared" si="517"/>
        <v>11.644818637866521</v>
      </c>
      <c r="EC61" s="885">
        <f t="shared" ref="EC61:EH61" si="537">+EC57/EC70</f>
        <v>3.0100137583747819</v>
      </c>
      <c r="ED61" s="885">
        <f t="shared" si="537"/>
        <v>3.1333974264552111</v>
      </c>
      <c r="EE61" s="885">
        <f t="shared" si="537"/>
        <v>3.1240733565070804</v>
      </c>
      <c r="EF61" s="1519">
        <f t="shared" si="537"/>
        <v>3.5202054023535898</v>
      </c>
      <c r="EG61" s="885">
        <f t="shared" si="537"/>
        <v>6.1434111848299935</v>
      </c>
      <c r="EH61" s="885">
        <f t="shared" si="537"/>
        <v>6.6454568119896189</v>
      </c>
      <c r="EI61" s="1493">
        <f t="shared" si="517"/>
        <v>12.78886799681961</v>
      </c>
      <c r="EJ61" s="885">
        <f t="shared" ref="EJ61:EO61" si="538">+EJ57/EJ70</f>
        <v>3.2218600986824248</v>
      </c>
      <c r="EK61" s="885">
        <f t="shared" si="538"/>
        <v>3.3527070585762844</v>
      </c>
      <c r="EL61" s="885">
        <f t="shared" si="538"/>
        <v>3.3443124080714135</v>
      </c>
      <c r="EM61" s="1519">
        <f t="shared" si="538"/>
        <v>3.7583719439534509</v>
      </c>
      <c r="EN61" s="885">
        <f t="shared" si="538"/>
        <v>6.5745671572587083</v>
      </c>
      <c r="EO61" s="885">
        <f t="shared" si="538"/>
        <v>7.1026843520248644</v>
      </c>
      <c r="EP61" s="1493">
        <f t="shared" si="517"/>
        <v>13.677251509283574</v>
      </c>
      <c r="EQ61" s="43"/>
      <c r="ER61" s="46"/>
    </row>
    <row r="62" spans="1:148" ht="10.199999999999999" customHeight="1">
      <c r="A62" s="48" t="s">
        <v>841</v>
      </c>
      <c r="B62" s="48"/>
      <c r="C62" s="151">
        <f t="shared" ref="C62:EP62" si="539">+C57/C73</f>
        <v>-0.37183649361459675</v>
      </c>
      <c r="D62" s="151">
        <f t="shared" si="539"/>
        <v>0.42199505759388545</v>
      </c>
      <c r="E62" s="151">
        <f t="shared" si="539"/>
        <v>1.4961144452782227</v>
      </c>
      <c r="F62" s="151">
        <f t="shared" si="539"/>
        <v>2.0944335787649169</v>
      </c>
      <c r="G62" s="151">
        <f t="shared" si="539"/>
        <v>0.1230860028645246</v>
      </c>
      <c r="H62" s="151">
        <f t="shared" si="539"/>
        <v>-0.55366008975542613</v>
      </c>
      <c r="I62" s="151">
        <f t="shared" si="539"/>
        <v>1.9465155428981304</v>
      </c>
      <c r="J62" s="151">
        <f t="shared" si="539"/>
        <v>1.5038362768378115</v>
      </c>
      <c r="K62" s="151">
        <f t="shared" si="539"/>
        <v>0.74380776428212392</v>
      </c>
      <c r="L62" s="151">
        <f t="shared" si="539"/>
        <v>1.3039171588615981</v>
      </c>
      <c r="M62" s="151">
        <f t="shared" si="539"/>
        <v>2.1875519783524831</v>
      </c>
      <c r="N62" s="250">
        <f t="shared" ref="N62:S62" si="540">+N57/N73</f>
        <v>0.53446459232006205</v>
      </c>
      <c r="O62" s="250">
        <f t="shared" si="540"/>
        <v>0.69100742340542465</v>
      </c>
      <c r="P62" s="250">
        <f t="shared" si="540"/>
        <v>0.53894575704077619</v>
      </c>
      <c r="Q62" s="1679">
        <f t="shared" si="540"/>
        <v>0.99624455065900541</v>
      </c>
      <c r="R62" s="250">
        <f t="shared" si="540"/>
        <v>1.2220825336348811</v>
      </c>
      <c r="S62" s="1676">
        <f t="shared" si="540"/>
        <v>1.5359627998469685</v>
      </c>
      <c r="T62" s="1470">
        <f t="shared" si="539"/>
        <v>2.7527055052946565</v>
      </c>
      <c r="U62" s="250">
        <f t="shared" si="539"/>
        <v>0.52721488468601574</v>
      </c>
      <c r="V62" s="250">
        <f t="shared" si="539"/>
        <v>0.85054868959725183</v>
      </c>
      <c r="W62" s="250">
        <f t="shared" si="539"/>
        <v>0.6044911195701721</v>
      </c>
      <c r="X62" s="1679">
        <f t="shared" si="539"/>
        <v>1.3338753700032691</v>
      </c>
      <c r="Y62" s="250">
        <f t="shared" si="539"/>
        <v>1.3779363979338848</v>
      </c>
      <c r="Z62" s="1676">
        <f t="shared" si="539"/>
        <v>1.9387385018610457</v>
      </c>
      <c r="AA62" s="1470">
        <f t="shared" si="539"/>
        <v>3.3169430987618762</v>
      </c>
      <c r="AB62" s="250">
        <f t="shared" ref="AB62:AG62" si="541">+AB57/AB73</f>
        <v>0.44687625078800608</v>
      </c>
      <c r="AC62" s="250">
        <f t="shared" si="541"/>
        <v>1.0210914788959764</v>
      </c>
      <c r="AD62" s="250">
        <f t="shared" si="541"/>
        <v>0.7020158135269694</v>
      </c>
      <c r="AE62" s="1679">
        <f t="shared" si="541"/>
        <v>1.2024348798117301</v>
      </c>
      <c r="AF62" s="250">
        <f t="shared" si="541"/>
        <v>1.4686761233259928</v>
      </c>
      <c r="AG62" s="1676">
        <f t="shared" si="541"/>
        <v>1.9062416238737434</v>
      </c>
      <c r="AH62" s="1470">
        <f t="shared" si="539"/>
        <v>3.3760660054761118</v>
      </c>
      <c r="AI62" s="250">
        <f t="shared" si="539"/>
        <v>0.37346513583051694</v>
      </c>
      <c r="AJ62" s="250">
        <f t="shared" si="539"/>
        <v>1.0282430496633137</v>
      </c>
      <c r="AK62" s="250">
        <f t="shared" si="539"/>
        <v>0.32403918443837815</v>
      </c>
      <c r="AL62" s="1679">
        <f t="shared" si="539"/>
        <v>1.5644899903718306</v>
      </c>
      <c r="AM62" s="250">
        <f t="shared" si="539"/>
        <v>1.400505016983763</v>
      </c>
      <c r="AN62" s="1676">
        <f t="shared" si="539"/>
        <v>1.8886930932287131</v>
      </c>
      <c r="AO62" s="1470">
        <f t="shared" si="539"/>
        <v>3.288369041012269</v>
      </c>
      <c r="AP62" s="250">
        <f t="shared" ref="AP62:AS62" si="542">+AP57/AP73</f>
        <v>0.11951126723120679</v>
      </c>
      <c r="AQ62" s="250">
        <f t="shared" si="542"/>
        <v>0.69939266447791504</v>
      </c>
      <c r="AR62" s="250">
        <f t="shared" si="542"/>
        <v>0.551385664424348</v>
      </c>
      <c r="AS62" s="1679">
        <f t="shared" si="542"/>
        <v>2.2668565682163297</v>
      </c>
      <c r="AT62" s="250">
        <f t="shared" ref="AT62:AU62" si="543">+AT57/AT73</f>
        <v>0.8193053889359927</v>
      </c>
      <c r="AU62" s="1676">
        <f t="shared" si="543"/>
        <v>2.8183315702263045</v>
      </c>
      <c r="AV62" s="1470">
        <f t="shared" si="539"/>
        <v>3.6391576172391198</v>
      </c>
      <c r="AW62" s="250">
        <f t="shared" si="539"/>
        <v>-0.11951126723120679</v>
      </c>
      <c r="AX62" s="250">
        <f t="shared" si="539"/>
        <v>0.44016822736866951</v>
      </c>
      <c r="AY62" s="250">
        <f t="shared" si="539"/>
        <v>0.51419918938177578</v>
      </c>
      <c r="AZ62" s="1679">
        <f t="shared" si="539"/>
        <v>1.8131903580738049</v>
      </c>
      <c r="BA62" s="250">
        <f t="shared" ref="BA62:BB62" si="544">+BA57/BA73</f>
        <v>0.32104443140125105</v>
      </c>
      <c r="BB62" s="1676">
        <f t="shared" si="544"/>
        <v>2.3274571957814749</v>
      </c>
      <c r="BC62" s="1470">
        <f t="shared" si="539"/>
        <v>2.6500279042290948</v>
      </c>
      <c r="BD62" s="250">
        <f t="shared" ref="BD62:BG62" si="545">+BD57/BD73</f>
        <v>-6.0251812347914893E-2</v>
      </c>
      <c r="BE62" s="250">
        <f t="shared" si="545"/>
        <v>1.0095034513813446</v>
      </c>
      <c r="BF62" s="250">
        <f t="shared" si="545"/>
        <v>1.3454546313069218</v>
      </c>
      <c r="BG62" s="1679">
        <f t="shared" si="545"/>
        <v>2.880228538118951</v>
      </c>
      <c r="BH62" s="250">
        <f t="shared" ref="BH62:BI62" si="546">+BH57/BH73</f>
        <v>0.94893041423769653</v>
      </c>
      <c r="BI62" s="1676">
        <f t="shared" si="546"/>
        <v>4.2260145842026553</v>
      </c>
      <c r="BJ62" s="1470">
        <f t="shared" si="539"/>
        <v>5.1796351374861738</v>
      </c>
      <c r="BK62" s="250">
        <f t="shared" si="539"/>
        <v>0.46314879644202644</v>
      </c>
      <c r="BL62" s="250">
        <f t="shared" si="539"/>
        <v>1.772973644822134</v>
      </c>
      <c r="BM62" s="250">
        <f t="shared" si="539"/>
        <v>1.4827492316018966</v>
      </c>
      <c r="BN62" s="1679">
        <f t="shared" si="539"/>
        <v>2.3723427279565872</v>
      </c>
      <c r="BO62" s="250">
        <f t="shared" ref="BO62:BP62" si="547">+BO57/BO73</f>
        <v>2.2371767616753875</v>
      </c>
      <c r="BP62" s="1676">
        <f t="shared" si="547"/>
        <v>3.841450792182687</v>
      </c>
      <c r="BQ62" s="1470">
        <f t="shared" si="539"/>
        <v>6.0678998013509879</v>
      </c>
      <c r="BR62" s="250">
        <f t="shared" ref="BR62:BW62" si="548">+BR57/BR73</f>
        <v>0.22625626316643679</v>
      </c>
      <c r="BS62" s="250">
        <f t="shared" si="548"/>
        <v>-1.2335569980743279</v>
      </c>
      <c r="BT62" s="250">
        <f t="shared" si="548"/>
        <v>0.68781741896567128</v>
      </c>
      <c r="BU62" s="1679">
        <f t="shared" si="548"/>
        <v>1.6818205847173124</v>
      </c>
      <c r="BV62" s="250">
        <f t="shared" si="548"/>
        <v>-1.0080490519275029</v>
      </c>
      <c r="BW62" s="1676">
        <f t="shared" si="548"/>
        <v>2.3696610647747236</v>
      </c>
      <c r="BX62" s="1470">
        <f t="shared" si="539"/>
        <v>1.3636743365342257</v>
      </c>
      <c r="BY62" s="250">
        <f t="shared" si="539"/>
        <v>0.58378986327344407</v>
      </c>
      <c r="BZ62" s="250">
        <f t="shared" si="539"/>
        <v>1.7888167955148904</v>
      </c>
      <c r="CA62" s="250">
        <f t="shared" si="539"/>
        <v>0.57985565876890177</v>
      </c>
      <c r="CB62" s="1679">
        <f t="shared" si="539"/>
        <v>1.3690409030778532</v>
      </c>
      <c r="CC62" s="250">
        <f t="shared" ref="CC62:CD62" si="549">+CC57/CC73</f>
        <v>2.3737311359656665</v>
      </c>
      <c r="CD62" s="1676">
        <f t="shared" si="549"/>
        <v>1.9490367894513987</v>
      </c>
      <c r="CE62" s="1470">
        <f t="shared" si="539"/>
        <v>4.3224218795727714</v>
      </c>
      <c r="CF62" s="250">
        <f t="shared" ref="CF62:CI62" si="550">+CF57/CF73</f>
        <v>1.1342092600877303</v>
      </c>
      <c r="CG62" s="250">
        <f t="shared" si="550"/>
        <v>1.2680352469119123</v>
      </c>
      <c r="CH62" s="250">
        <f t="shared" si="550"/>
        <v>0.76084151414856693</v>
      </c>
      <c r="CI62" s="1679">
        <f t="shared" si="550"/>
        <v>1.9844455654616358</v>
      </c>
      <c r="CJ62" s="250">
        <f t="shared" ref="CJ62:CK62" si="551">+CJ57/CJ73</f>
        <v>2.4023619870606523</v>
      </c>
      <c r="CK62" s="1676">
        <f t="shared" si="551"/>
        <v>2.7449215279575752</v>
      </c>
      <c r="CL62" s="1470">
        <f t="shared" si="539"/>
        <v>5.1475494265823531</v>
      </c>
      <c r="CM62" s="250">
        <f t="shared" si="539"/>
        <v>0.72138923297612789</v>
      </c>
      <c r="CN62" s="250">
        <f t="shared" si="539"/>
        <v>1.7417157710159341</v>
      </c>
      <c r="CO62" s="250">
        <f t="shared" si="539"/>
        <v>1.0426481417414246</v>
      </c>
      <c r="CP62" s="1679">
        <f t="shared" si="539"/>
        <v>2.0861668666317112</v>
      </c>
      <c r="CQ62" s="250">
        <f t="shared" ref="CQ62:CR62" si="552">+CQ57/CQ73</f>
        <v>2.4639255738305628</v>
      </c>
      <c r="CR62" s="1676">
        <f t="shared" si="552"/>
        <v>3.1285972263180826</v>
      </c>
      <c r="CS62" s="1470">
        <f t="shared" ref="CS62:CT62" si="553">+CS57/CS73</f>
        <v>5.5928340887008474</v>
      </c>
      <c r="CT62" s="250">
        <f t="shared" si="553"/>
        <v>0.59169246847048218</v>
      </c>
      <c r="CU62" s="250">
        <f t="shared" ref="CU62:CW62" si="554">+CU57/CU73</f>
        <v>0.78320280803774456</v>
      </c>
      <c r="CV62" s="250">
        <f t="shared" si="554"/>
        <v>1.3263651668692633</v>
      </c>
      <c r="CW62" s="1679">
        <f t="shared" si="554"/>
        <v>2.3447858360578433</v>
      </c>
      <c r="CX62" s="250">
        <f t="shared" ref="CX62:DB62" si="555">+CX57/CX73</f>
        <v>1.3751811595596359</v>
      </c>
      <c r="CY62" s="1676">
        <f t="shared" si="555"/>
        <v>3.6700569899335655</v>
      </c>
      <c r="CZ62" s="1470">
        <f t="shared" si="555"/>
        <v>5.0468331642127993</v>
      </c>
      <c r="DA62" s="250">
        <f t="shared" si="555"/>
        <v>0.66448576773504375</v>
      </c>
      <c r="DB62" s="250">
        <f t="shared" si="555"/>
        <v>1.481973941735832</v>
      </c>
      <c r="DC62" s="250">
        <f t="shared" ref="DC62:DI62" si="556">+DC57/DC73</f>
        <v>1.8157486965364746</v>
      </c>
      <c r="DD62" s="1679">
        <f t="shared" si="556"/>
        <v>2.9068206527992486</v>
      </c>
      <c r="DE62" s="250">
        <f t="shared" si="556"/>
        <v>2.1479767212383631</v>
      </c>
      <c r="DF62" s="1676">
        <f t="shared" si="556"/>
        <v>4.723782203579983</v>
      </c>
      <c r="DG62" s="1470">
        <f t="shared" si="556"/>
        <v>6.8745152562701959</v>
      </c>
      <c r="DH62" s="250">
        <f t="shared" si="556"/>
        <v>0.33348811070251194</v>
      </c>
      <c r="DI62" s="250">
        <f t="shared" si="556"/>
        <v>2.2690314233219246</v>
      </c>
      <c r="DJ62" s="1417">
        <f t="shared" si="539"/>
        <v>2.0012171587286423</v>
      </c>
      <c r="DK62" s="1524">
        <f t="shared" si="539"/>
        <v>3.0573157937804862</v>
      </c>
      <c r="DL62" s="2050">
        <f t="shared" si="539"/>
        <v>2.6055246075163323</v>
      </c>
      <c r="DM62" s="1417">
        <f t="shared" si="539"/>
        <v>5.0527633344026857</v>
      </c>
      <c r="DN62" s="1499">
        <f t="shared" si="539"/>
        <v>7.6505915737065111</v>
      </c>
      <c r="DO62" s="1417">
        <f t="shared" ref="DO62:DT62" si="557">+DO57/DO73</f>
        <v>2.0735284962283926</v>
      </c>
      <c r="DP62" s="1417">
        <f t="shared" si="557"/>
        <v>2.3276810097513119</v>
      </c>
      <c r="DQ62" s="1417">
        <f t="shared" si="557"/>
        <v>2.3147550493486033</v>
      </c>
      <c r="DR62" s="1524">
        <f t="shared" si="557"/>
        <v>2.5699422716461089</v>
      </c>
      <c r="DS62" s="1417">
        <f t="shared" si="557"/>
        <v>4.4012095059797058</v>
      </c>
      <c r="DT62" s="1417">
        <f t="shared" si="557"/>
        <v>4.8856856875089658</v>
      </c>
      <c r="DU62" s="1499">
        <f t="shared" si="539"/>
        <v>9.2868951934886699</v>
      </c>
      <c r="DV62" s="1417">
        <f t="shared" ref="DV62:EA62" si="558">+DV57/DV73</f>
        <v>2.6164238223706788</v>
      </c>
      <c r="DW62" s="1417">
        <f t="shared" si="558"/>
        <v>2.888362992866544</v>
      </c>
      <c r="DX62" s="1417">
        <f t="shared" si="558"/>
        <v>2.8805197667463767</v>
      </c>
      <c r="DY62" s="1524">
        <f t="shared" si="558"/>
        <v>3.238544156368488</v>
      </c>
      <c r="DZ62" s="1417">
        <f t="shared" si="558"/>
        <v>5.5047868152372228</v>
      </c>
      <c r="EA62" s="1417">
        <f t="shared" si="558"/>
        <v>6.120278514081396</v>
      </c>
      <c r="EB62" s="1499">
        <f t="shared" si="539"/>
        <v>11.625065329318621</v>
      </c>
      <c r="EC62" s="1417">
        <f t="shared" ref="EC62:EH62" si="559">+EC57/EC73</f>
        <v>3.0048752287007772</v>
      </c>
      <c r="ED62" s="1417">
        <f t="shared" si="559"/>
        <v>3.1280482629799637</v>
      </c>
      <c r="EE62" s="1417">
        <f t="shared" si="559"/>
        <v>3.1187242300134042</v>
      </c>
      <c r="EF62" s="1524">
        <f t="shared" si="559"/>
        <v>3.5142136898848824</v>
      </c>
      <c r="EG62" s="1417">
        <f t="shared" si="559"/>
        <v>6.1329234916807414</v>
      </c>
      <c r="EH62" s="1417">
        <f t="shared" si="559"/>
        <v>6.634112054202145</v>
      </c>
      <c r="EI62" s="1499">
        <f t="shared" si="539"/>
        <v>12.767035545882884</v>
      </c>
      <c r="EJ62" s="1417">
        <f t="shared" ref="EJ62:EO62" si="560">+EJ57/EJ73</f>
        <v>3.2163435389714041</v>
      </c>
      <c r="EK62" s="1417">
        <f t="shared" si="560"/>
        <v>3.3469664590109085</v>
      </c>
      <c r="EL62" s="1417">
        <f t="shared" si="560"/>
        <v>3.3385861820633447</v>
      </c>
      <c r="EM62" s="1524">
        <f t="shared" si="560"/>
        <v>3.7519367535323882</v>
      </c>
      <c r="EN62" s="1417">
        <f t="shared" si="560"/>
        <v>6.5633099979823122</v>
      </c>
      <c r="EO62" s="1417">
        <f t="shared" si="560"/>
        <v>7.0905229355957333</v>
      </c>
      <c r="EP62" s="1499">
        <f t="shared" si="539"/>
        <v>13.653832933578046</v>
      </c>
      <c r="EQ62" s="294"/>
      <c r="ER62" s="97"/>
    </row>
    <row r="63" spans="1:148" ht="10.199999999999999" customHeight="1">
      <c r="A63" s="108" t="s">
        <v>683</v>
      </c>
      <c r="B63" s="108"/>
      <c r="C63" s="108"/>
      <c r="D63" s="134">
        <f>+D62/C62-1</f>
        <v>-2.1348941398723422</v>
      </c>
      <c r="E63" s="134">
        <f>+E62/D62-1</f>
        <v>2.5453364165180234</v>
      </c>
      <c r="F63" s="134">
        <f>+F62/E62-1</f>
        <v>0.39991535097799868</v>
      </c>
      <c r="G63" s="134">
        <f>+G62/F62-1</f>
        <v>-0.94123184229260293</v>
      </c>
      <c r="H63" s="156" t="s">
        <v>58</v>
      </c>
      <c r="I63" s="156" t="s">
        <v>58</v>
      </c>
      <c r="J63" s="134">
        <f t="shared" ref="J63:M63" si="561">+J62/I62-1</f>
        <v>-0.22742138775898091</v>
      </c>
      <c r="K63" s="134">
        <f t="shared" si="561"/>
        <v>-0.50539312308241158</v>
      </c>
      <c r="L63" s="134">
        <f t="shared" si="561"/>
        <v>0.75302977661177861</v>
      </c>
      <c r="M63" s="134">
        <f t="shared" si="561"/>
        <v>0.67767711582410173</v>
      </c>
      <c r="N63" s="223"/>
      <c r="O63" s="223"/>
      <c r="P63" s="223"/>
      <c r="Q63" s="1097"/>
      <c r="R63" s="223"/>
      <c r="S63" s="1067"/>
      <c r="T63" s="1270">
        <f>+T62/M62-1</f>
        <v>0.25834975924449077</v>
      </c>
      <c r="U63" s="223">
        <f t="shared" ref="U63" si="562">+U62/N62-1</f>
        <v>-1.3564430157245733E-2</v>
      </c>
      <c r="V63" s="223">
        <f t="shared" ref="V63" si="563">+V62/O62-1</f>
        <v>0.23088213062252705</v>
      </c>
      <c r="W63" s="223">
        <f t="shared" ref="W63" si="564">+W62/P62-1</f>
        <v>0.12161773550141675</v>
      </c>
      <c r="X63" s="1097">
        <f t="shared" ref="X63" si="565">+X62/Q62-1</f>
        <v>0.33890355447457599</v>
      </c>
      <c r="Y63" s="223">
        <f t="shared" ref="Y63" si="566">+Y62/R62-1</f>
        <v>0.12753137370799528</v>
      </c>
      <c r="Z63" s="1067">
        <f t="shared" ref="Z63" si="567">+Z62/S62-1</f>
        <v>0.26223011524381112</v>
      </c>
      <c r="AA63" s="1270">
        <f>+AA62/T62-1</f>
        <v>0.20497564755181541</v>
      </c>
      <c r="AB63" s="223">
        <f t="shared" ref="AB63" si="568">+AB62/U62-1</f>
        <v>-0.15238309128137673</v>
      </c>
      <c r="AC63" s="223">
        <f t="shared" ref="AC63" si="569">+AC62/V62-1</f>
        <v>0.20050914355000571</v>
      </c>
      <c r="AD63" s="223">
        <f t="shared" ref="AD63" si="570">+AD62/W62-1</f>
        <v>0.16133354287510948</v>
      </c>
      <c r="AE63" s="1097">
        <f t="shared" ref="AE63" si="571">+AE62/X62-1</f>
        <v>-9.8540308298230905E-2</v>
      </c>
      <c r="AF63" s="223">
        <f t="shared" ref="AF63" si="572">+AF62/Y62-1</f>
        <v>6.5851896740782623E-2</v>
      </c>
      <c r="AG63" s="1067">
        <f t="shared" ref="AG63" si="573">+AG62/Z62-1</f>
        <v>-1.6761867552590348E-2</v>
      </c>
      <c r="AH63" s="1270">
        <f>+AH62/AA62-1</f>
        <v>1.7824516415824165E-2</v>
      </c>
      <c r="AI63" s="223">
        <f t="shared" ref="AI63:AJ63" si="574">+AI62/AB62-1</f>
        <v>-0.16427616108047483</v>
      </c>
      <c r="AJ63" s="223">
        <f t="shared" si="574"/>
        <v>7.0038492291304433E-3</v>
      </c>
      <c r="AK63" s="223">
        <f t="shared" ref="AK63" si="575">+AK62/AD62-1</f>
        <v>-0.53841611799257638</v>
      </c>
      <c r="AL63" s="1097">
        <f t="shared" ref="AL63" si="576">+AL62/AE62-1</f>
        <v>0.30110163688597313</v>
      </c>
      <c r="AM63" s="223">
        <f t="shared" ref="AM63" si="577">+AM62/AF62-1</f>
        <v>-4.6416704989966195E-2</v>
      </c>
      <c r="AN63" s="1067">
        <f t="shared" ref="AN63" si="578">+AN62/AG62-1</f>
        <v>-9.205827018596513E-3</v>
      </c>
      <c r="AO63" s="1270">
        <f>+AO62/AH62-1</f>
        <v>-2.597608113158778E-2</v>
      </c>
      <c r="AP63" s="223">
        <f t="shared" ref="AP63:AQ63" si="579">+AP62/AI62-1</f>
        <v>-0.67999351006236242</v>
      </c>
      <c r="AQ63" s="223">
        <f t="shared" si="579"/>
        <v>-0.31981775640795906</v>
      </c>
      <c r="AR63" s="223">
        <f t="shared" ref="AR63" si="580">+AR62/AK62-1</f>
        <v>0.70160181516320241</v>
      </c>
      <c r="AS63" s="1097">
        <f t="shared" ref="AS63" si="581">+AS62/AL62-1</f>
        <v>0.44894283898714393</v>
      </c>
      <c r="AT63" s="223">
        <f t="shared" ref="AT63" si="582">+AT62/AM62-1</f>
        <v>-0.41499289256348915</v>
      </c>
      <c r="AU63" s="1067">
        <f t="shared" ref="AU63" si="583">+AU62/AN62-1</f>
        <v>0.49221256769059196</v>
      </c>
      <c r="AV63" s="1270">
        <f>+AV62/AO62-1</f>
        <v>0.10667555005288176</v>
      </c>
      <c r="AW63" s="223">
        <f t="shared" ref="AW63" si="584">+AW62/AP62-1</f>
        <v>-2</v>
      </c>
      <c r="AX63" s="223">
        <f t="shared" ref="AX63" si="585">+AX62/AQ62-1</f>
        <v>-0.37064220183486229</v>
      </c>
      <c r="AY63" s="223">
        <f t="shared" ref="AY63" si="586">+AY62/AR62-1</f>
        <v>-6.7441860465116132E-2</v>
      </c>
      <c r="AZ63" s="1097">
        <f t="shared" ref="AZ63" si="587">+AZ62/AS62-1</f>
        <v>-0.20013009049773756</v>
      </c>
      <c r="BA63" s="223">
        <f t="shared" ref="BA63:BB63" si="588">+BA62/AT62-1</f>
        <v>-0.6081504702194358</v>
      </c>
      <c r="BB63" s="1067">
        <f t="shared" si="588"/>
        <v>-0.17417197452229294</v>
      </c>
      <c r="BC63" s="1270">
        <f>+BC62/AV62-1</f>
        <v>-0.27180183356840626</v>
      </c>
      <c r="BD63" s="223">
        <f t="shared" ref="BD63:BE63" si="589">+BD62/AW62-1</f>
        <v>-0.4958482681691293</v>
      </c>
      <c r="BE63" s="223">
        <f t="shared" si="589"/>
        <v>1.2934491601453546</v>
      </c>
      <c r="BF63" s="223">
        <f t="shared" ref="BF63" si="590">+BF62/AY62-1</f>
        <v>1.6166020077249996</v>
      </c>
      <c r="BG63" s="1097">
        <f t="shared" ref="BG63" si="591">+BG62/AZ62-1</f>
        <v>0.5884865730141462</v>
      </c>
      <c r="BH63" s="223">
        <f t="shared" ref="BH63" si="592">+BH62/BA62-1</f>
        <v>1.9557603914695987</v>
      </c>
      <c r="BI63" s="1067">
        <f t="shared" ref="BI63" si="593">+BI62/BB62-1</f>
        <v>0.81572172062383053</v>
      </c>
      <c r="BJ63" s="1270">
        <f>+BJ62/AV62-1</f>
        <v>0.42330607307296342</v>
      </c>
      <c r="BK63" s="223">
        <f t="shared" ref="BK63" si="594">+BK62/BD62-1</f>
        <v>-8.6868857283104521</v>
      </c>
      <c r="BL63" s="223">
        <f t="shared" ref="BL63" si="595">+BL62/BE62-1</f>
        <v>0.75628289571085894</v>
      </c>
      <c r="BM63" s="223">
        <f t="shared" ref="BM63" si="596">+BM62/BF62-1</f>
        <v>0.10204327749172215</v>
      </c>
      <c r="BN63" s="1097">
        <f t="shared" ref="BN63" si="597">+BN62/BG62-1</f>
        <v>-0.17633524681831636</v>
      </c>
      <c r="BO63" s="223">
        <f t="shared" ref="BO63:BP63" si="598">+BO62/BH62-1</f>
        <v>1.3575772555172834</v>
      </c>
      <c r="BP63" s="1067">
        <f t="shared" si="598"/>
        <v>-9.0999163480768197E-2</v>
      </c>
      <c r="BQ63" s="1270">
        <f>+BQ62/BJ62-1</f>
        <v>0.17149174416480517</v>
      </c>
      <c r="BR63" s="223">
        <f t="shared" ref="BR63" si="599">+BR62/BK62-1</f>
        <v>-0.51148256261363745</v>
      </c>
      <c r="BS63" s="223">
        <f t="shared" ref="BS63" si="600">+BS62/BL62-1</f>
        <v>-1.6957559700206821</v>
      </c>
      <c r="BT63" s="223">
        <f t="shared" ref="BT63" si="601">+BT62/BM62-1</f>
        <v>-0.536120198678111</v>
      </c>
      <c r="BU63" s="1097">
        <f t="shared" ref="BU63" si="602">+BU62/BN62-1</f>
        <v>-0.29107183169695494</v>
      </c>
      <c r="BV63" s="223">
        <f t="shared" ref="BV63" si="603">+BV62/BO62-1</f>
        <v>-1.4505898099766559</v>
      </c>
      <c r="BW63" s="1067">
        <f t="shared" ref="BW63" si="604">+BW62/BP62-1</f>
        <v>-0.38313382287833553</v>
      </c>
      <c r="BX63" s="1270">
        <f>+BX62/BQ62-1</f>
        <v>-0.77526419664500557</v>
      </c>
      <c r="BY63" s="223">
        <f t="shared" ref="BY63:BZ63" si="605">+BY62/BR62-1</f>
        <v>1.5802152616831706</v>
      </c>
      <c r="BZ63" s="223">
        <f t="shared" si="605"/>
        <v>-2.4501290157709477</v>
      </c>
      <c r="CA63" s="223">
        <f t="shared" ref="CA63:DL63" si="606">+CA62/BT62-1</f>
        <v>-0.15696281777673016</v>
      </c>
      <c r="CB63" s="1097">
        <f t="shared" si="606"/>
        <v>-0.18597684228727207</v>
      </c>
      <c r="CC63" s="223">
        <f t="shared" si="606"/>
        <v>-3.3547774103123515</v>
      </c>
      <c r="CD63" s="1067">
        <f t="shared" si="606"/>
        <v>-0.17750398214156093</v>
      </c>
      <c r="CE63" s="1270">
        <f t="shared" si="606"/>
        <v>2.1696877793844784</v>
      </c>
      <c r="CF63" s="223">
        <f t="shared" si="606"/>
        <v>0.94283822217802493</v>
      </c>
      <c r="CG63" s="223">
        <f t="shared" si="606"/>
        <v>-0.29113185313819523</v>
      </c>
      <c r="CH63" s="223">
        <f t="shared" si="606"/>
        <v>0.31212225429328111</v>
      </c>
      <c r="CI63" s="1097">
        <f t="shared" si="606"/>
        <v>0.44951517591639578</v>
      </c>
      <c r="CJ63" s="223">
        <f t="shared" si="606"/>
        <v>1.2061539178209513E-2</v>
      </c>
      <c r="CK63" s="1067">
        <f t="shared" si="606"/>
        <v>0.40834772479086778</v>
      </c>
      <c r="CL63" s="1270">
        <f t="shared" si="606"/>
        <v>0.19089472753898273</v>
      </c>
      <c r="CM63" s="223">
        <f t="shared" si="606"/>
        <v>-0.36397165993837066</v>
      </c>
      <c r="CN63" s="223">
        <f t="shared" si="606"/>
        <v>0.37355469830794652</v>
      </c>
      <c r="CO63" s="223">
        <f t="shared" si="606"/>
        <v>0.37038807997775769</v>
      </c>
      <c r="CP63" s="1097">
        <f t="shared" si="606"/>
        <v>5.1259305339732109E-2</v>
      </c>
      <c r="CQ63" s="223">
        <f t="shared" si="606"/>
        <v>2.5626274100863045E-2</v>
      </c>
      <c r="CR63" s="1067">
        <f t="shared" si="606"/>
        <v>0.1397765635384085</v>
      </c>
      <c r="CS63" s="1270">
        <f t="shared" si="606"/>
        <v>8.6504203304782035E-2</v>
      </c>
      <c r="CT63" s="223">
        <f t="shared" si="606"/>
        <v>-0.17978749692530771</v>
      </c>
      <c r="CU63" s="223">
        <f t="shared" si="606"/>
        <v>-0.55032685523602609</v>
      </c>
      <c r="CV63" s="223">
        <f t="shared" si="606"/>
        <v>0.27211195586458947</v>
      </c>
      <c r="CW63" s="1097">
        <f t="shared" si="606"/>
        <v>0.12396849627071949</v>
      </c>
      <c r="CX63" s="223">
        <f t="shared" si="606"/>
        <v>-0.4418739047293142</v>
      </c>
      <c r="CY63" s="1067">
        <f t="shared" si="606"/>
        <v>0.17306790374314329</v>
      </c>
      <c r="CZ63" s="1270">
        <f t="shared" si="606"/>
        <v>-9.7625088788370951E-2</v>
      </c>
      <c r="DA63" s="223">
        <f t="shared" si="606"/>
        <v>0.12302556335173809</v>
      </c>
      <c r="DB63" s="223">
        <f t="shared" si="606"/>
        <v>0.89219692080625412</v>
      </c>
      <c r="DC63" s="223">
        <f t="shared" si="606"/>
        <v>0.36896590915633465</v>
      </c>
      <c r="DD63" s="1097">
        <f t="shared" si="606"/>
        <v>0.23969558673483071</v>
      </c>
      <c r="DE63" s="223">
        <f t="shared" si="606"/>
        <v>0.56195909630276919</v>
      </c>
      <c r="DF63" s="1067">
        <f t="shared" ref="DF63" si="607">+DF62/CY62-1</f>
        <v>0.28711412834640804</v>
      </c>
      <c r="DG63" s="1270">
        <f t="shared" ref="DG63" si="608">+DG62/CZ62-1</f>
        <v>0.36214434529310946</v>
      </c>
      <c r="DH63" s="223">
        <f t="shared" si="606"/>
        <v>-0.49812602933658834</v>
      </c>
      <c r="DI63" s="223">
        <f t="shared" si="606"/>
        <v>0.53108726099746018</v>
      </c>
      <c r="DJ63" s="901">
        <f t="shared" si="606"/>
        <v>0.10214434549557838</v>
      </c>
      <c r="DK63" s="1122">
        <f t="shared" ref="DK63:EO63" si="609">+DK62/DD62-1</f>
        <v>5.1773108477233265E-2</v>
      </c>
      <c r="DL63" s="1205">
        <f t="shared" si="606"/>
        <v>0.21301342875549478</v>
      </c>
      <c r="DM63" s="901">
        <f t="shared" si="609"/>
        <v>6.9643585721073098E-2</v>
      </c>
      <c r="DN63" s="1115">
        <f t="shared" si="609"/>
        <v>0.11289178778510411</v>
      </c>
      <c r="DO63" s="901">
        <f t="shared" si="609"/>
        <v>5.2176984116776612</v>
      </c>
      <c r="DP63" s="901">
        <f t="shared" si="609"/>
        <v>2.5847851125623711E-2</v>
      </c>
      <c r="DQ63" s="901">
        <f t="shared" si="609"/>
        <v>0.1566735969919173</v>
      </c>
      <c r="DR63" s="1122">
        <f t="shared" si="609"/>
        <v>-0.15941222791765375</v>
      </c>
      <c r="DS63" s="901">
        <f t="shared" si="609"/>
        <v>0.68918362669968292</v>
      </c>
      <c r="DT63" s="901">
        <f t="shared" si="609"/>
        <v>-3.3066588683491327E-2</v>
      </c>
      <c r="DU63" s="1115">
        <f t="shared" si="609"/>
        <v>0.21387935874211261</v>
      </c>
      <c r="DV63" s="901">
        <f t="shared" si="609"/>
        <v>0.26182197501976745</v>
      </c>
      <c r="DW63" s="901">
        <f t="shared" si="609"/>
        <v>0.24087578184741698</v>
      </c>
      <c r="DX63" s="901">
        <f t="shared" si="609"/>
        <v>0.24441666843193</v>
      </c>
      <c r="DY63" s="1122">
        <f t="shared" si="609"/>
        <v>0.26016221924476302</v>
      </c>
      <c r="DZ63" s="901">
        <f t="shared" si="609"/>
        <v>0.25074409835708589</v>
      </c>
      <c r="EA63" s="901">
        <f t="shared" si="609"/>
        <v>0.25269591732617247</v>
      </c>
      <c r="EB63" s="1115">
        <f t="shared" si="609"/>
        <v>0.25177091881787517</v>
      </c>
      <c r="EC63" s="901">
        <f t="shared" si="609"/>
        <v>0.1484665454460401</v>
      </c>
      <c r="ED63" s="901">
        <f t="shared" si="609"/>
        <v>8.2983084434115728E-2</v>
      </c>
      <c r="EE63" s="901">
        <f t="shared" si="609"/>
        <v>8.2694958742145941E-2</v>
      </c>
      <c r="EF63" s="1122">
        <f t="shared" si="609"/>
        <v>8.5121437351502349E-2</v>
      </c>
      <c r="EG63" s="901">
        <f t="shared" si="609"/>
        <v>0.11410735738300337</v>
      </c>
      <c r="EH63" s="901">
        <f t="shared" si="609"/>
        <v>8.3955908042180116E-2</v>
      </c>
      <c r="EI63" s="1115">
        <f t="shared" si="609"/>
        <v>9.8233445078729442E-2</v>
      </c>
      <c r="EJ63" s="901">
        <f t="shared" si="609"/>
        <v>7.0375071900093511E-2</v>
      </c>
      <c r="EK63" s="901">
        <f t="shared" si="609"/>
        <v>6.9985555728730997E-2</v>
      </c>
      <c r="EL63" s="901">
        <f t="shared" si="609"/>
        <v>7.0497400807058686E-2</v>
      </c>
      <c r="EM63" s="1122">
        <f t="shared" si="609"/>
        <v>6.7646160599668326E-2</v>
      </c>
      <c r="EN63" s="901">
        <f t="shared" si="609"/>
        <v>7.0176402312108754E-2</v>
      </c>
      <c r="EO63" s="901">
        <f t="shared" si="609"/>
        <v>6.8797584011938806E-2</v>
      </c>
      <c r="EP63" s="1115">
        <f t="shared" ref="EP63" si="610">+EP62/EI62-1</f>
        <v>6.9459929402416076E-2</v>
      </c>
      <c r="EQ63" s="49"/>
      <c r="ER63" s="46"/>
    </row>
    <row r="64" spans="1:148" ht="10.199999999999999" customHeight="1">
      <c r="A64" s="43"/>
      <c r="B64" s="108"/>
      <c r="C64" s="108"/>
      <c r="D64" s="134"/>
      <c r="E64" s="134"/>
      <c r="F64" s="134"/>
      <c r="G64" s="134"/>
      <c r="H64" s="156"/>
      <c r="I64" s="156"/>
      <c r="J64" s="134"/>
      <c r="K64" s="134"/>
      <c r="L64" s="134"/>
      <c r="M64" s="134"/>
      <c r="N64" s="134"/>
      <c r="O64" s="134"/>
      <c r="P64" s="134"/>
      <c r="Q64" s="717"/>
      <c r="R64" s="134"/>
      <c r="S64" s="134"/>
      <c r="T64" s="1270"/>
      <c r="U64" s="134"/>
      <c r="V64" s="134"/>
      <c r="W64" s="134"/>
      <c r="X64" s="717"/>
      <c r="Y64" s="134"/>
      <c r="Z64" s="134"/>
      <c r="AA64" s="1270"/>
      <c r="AB64" s="134"/>
      <c r="AC64" s="134"/>
      <c r="AD64" s="134"/>
      <c r="AE64" s="717"/>
      <c r="AF64" s="134"/>
      <c r="AG64" s="134"/>
      <c r="AH64" s="1270"/>
      <c r="AI64" s="134"/>
      <c r="AJ64" s="16"/>
      <c r="AK64" s="134"/>
      <c r="AL64" s="717"/>
      <c r="AM64" s="134"/>
      <c r="AN64" s="134"/>
      <c r="AO64" s="1270"/>
      <c r="AP64" s="16"/>
      <c r="AQ64" s="16"/>
      <c r="AR64" s="16"/>
      <c r="AS64" s="1097"/>
      <c r="AT64" s="16"/>
      <c r="AU64" s="1067"/>
      <c r="AV64" s="1270"/>
      <c r="AW64" s="16"/>
      <c r="AX64" s="16"/>
      <c r="AY64" s="16"/>
      <c r="AZ64" s="1097"/>
      <c r="BA64" s="16"/>
      <c r="BB64" s="1067"/>
      <c r="BC64" s="1270"/>
      <c r="BD64" s="16"/>
      <c r="BE64" s="16"/>
      <c r="BF64" s="16"/>
      <c r="BG64" s="1097"/>
      <c r="BH64" s="16"/>
      <c r="BI64" s="1067"/>
      <c r="BJ64" s="1270"/>
      <c r="BK64" s="16"/>
      <c r="BL64" s="16"/>
      <c r="BM64" s="16"/>
      <c r="BN64" s="1097"/>
      <c r="BO64" s="16"/>
      <c r="BP64" s="1067"/>
      <c r="BQ64" s="1270"/>
      <c r="BR64" s="16"/>
      <c r="BS64" s="16"/>
      <c r="BT64" s="16"/>
      <c r="BU64" s="1097"/>
      <c r="BV64" s="16"/>
      <c r="BW64" s="1067"/>
      <c r="BX64" s="1270"/>
      <c r="BY64" s="16"/>
      <c r="BZ64" s="16"/>
      <c r="CA64" s="16"/>
      <c r="CB64" s="1097"/>
      <c r="CC64" s="16"/>
      <c r="CD64" s="1067"/>
      <c r="CE64" s="1270"/>
      <c r="CF64" s="16"/>
      <c r="CG64" s="16"/>
      <c r="CH64" s="16"/>
      <c r="CI64" s="1097"/>
      <c r="CJ64" s="16"/>
      <c r="CK64" s="1067"/>
      <c r="CL64" s="1270"/>
      <c r="CM64" s="16"/>
      <c r="CN64" s="16"/>
      <c r="CO64" s="16"/>
      <c r="CP64" s="1097"/>
      <c r="CQ64" s="16"/>
      <c r="CR64" s="1067"/>
      <c r="CS64" s="1270"/>
      <c r="CT64" s="16"/>
      <c r="CU64" s="16"/>
      <c r="CV64" s="16"/>
      <c r="CW64" s="1097"/>
      <c r="CX64" s="16"/>
      <c r="CY64" s="1067"/>
      <c r="CZ64" s="1270"/>
      <c r="DA64" s="16"/>
      <c r="DB64" s="16"/>
      <c r="DC64" s="16"/>
      <c r="DD64" s="1097"/>
      <c r="DE64" s="16"/>
      <c r="DF64" s="1067"/>
      <c r="DG64" s="1270"/>
      <c r="DH64" s="16"/>
      <c r="DI64" s="16"/>
      <c r="DJ64" s="16"/>
      <c r="DK64" s="710"/>
      <c r="DL64" s="1205"/>
      <c r="DM64" s="16"/>
      <c r="DN64" s="1084"/>
      <c r="DO64" s="16"/>
      <c r="DP64" s="16"/>
      <c r="DQ64" s="16"/>
      <c r="DR64" s="710"/>
      <c r="DS64" s="16"/>
      <c r="DT64" s="16"/>
      <c r="DU64" s="1084"/>
      <c r="DV64" s="16"/>
      <c r="DW64" s="16"/>
      <c r="DX64" s="16"/>
      <c r="DY64" s="710"/>
      <c r="DZ64" s="16"/>
      <c r="EA64" s="16"/>
      <c r="EB64" s="1084"/>
      <c r="EC64" s="16"/>
      <c r="ED64" s="16"/>
      <c r="EE64" s="16"/>
      <c r="EF64" s="710"/>
      <c r="EG64" s="16"/>
      <c r="EH64" s="16"/>
      <c r="EI64" s="1084"/>
      <c r="EJ64" s="16"/>
      <c r="EK64" s="16"/>
      <c r="EL64" s="16"/>
      <c r="EM64" s="710"/>
      <c r="EN64" s="16"/>
      <c r="EO64" s="16"/>
      <c r="EP64" s="1084"/>
      <c r="EQ64" s="43"/>
      <c r="ER64" s="46"/>
    </row>
    <row r="65" spans="1:155" ht="10.199999999999999" customHeight="1">
      <c r="A65" s="43" t="s">
        <v>842</v>
      </c>
      <c r="B65" s="108"/>
      <c r="C65" s="108"/>
      <c r="D65" s="134"/>
      <c r="E65" s="134"/>
      <c r="F65" s="134"/>
      <c r="G65" s="134"/>
      <c r="H65" s="156"/>
      <c r="I65" s="156"/>
      <c r="J65" s="134"/>
      <c r="K65" s="828">
        <f t="shared" ref="K65:EP65" si="611">+K59/K70</f>
        <v>0.78019669591324958</v>
      </c>
      <c r="L65" s="828">
        <f t="shared" si="611"/>
        <v>1.3932187661152458</v>
      </c>
      <c r="M65" s="828">
        <f t="shared" si="611"/>
        <v>2.2431642145684259</v>
      </c>
      <c r="N65" s="827">
        <f t="shared" ref="N65:S65" si="612">+N59/N70</f>
        <v>0.54400450828193248</v>
      </c>
      <c r="O65" s="827">
        <f t="shared" si="612"/>
        <v>0.70005795046740227</v>
      </c>
      <c r="P65" s="827">
        <f t="shared" si="612"/>
        <v>0.55122971646661767</v>
      </c>
      <c r="Q65" s="1678">
        <f t="shared" si="612"/>
        <v>1.0249124520488968</v>
      </c>
      <c r="R65" s="827">
        <f t="shared" si="612"/>
        <v>1.2406726709359694</v>
      </c>
      <c r="S65" s="1675">
        <f t="shared" si="612"/>
        <v>1.5765431839859725</v>
      </c>
      <c r="T65" s="1467">
        <f t="shared" si="611"/>
        <v>2.8114740272887273</v>
      </c>
      <c r="U65" s="827">
        <f t="shared" si="611"/>
        <v>0.53785585484604359</v>
      </c>
      <c r="V65" s="827">
        <f t="shared" si="611"/>
        <v>0.86062984763807571</v>
      </c>
      <c r="W65" s="827">
        <f t="shared" si="611"/>
        <v>0.61892692787130499</v>
      </c>
      <c r="X65" s="1678">
        <f t="shared" si="611"/>
        <v>1.3453037843482161</v>
      </c>
      <c r="Y65" s="827">
        <f t="shared" si="611"/>
        <v>1.3989539655476717</v>
      </c>
      <c r="Z65" s="1675">
        <f t="shared" si="611"/>
        <v>1.9645064606647431</v>
      </c>
      <c r="AA65" s="1467">
        <f t="shared" si="611"/>
        <v>3.3641462865422325</v>
      </c>
      <c r="AB65" s="827">
        <f t="shared" ref="AB65:AE65" si="613">+AB59/AB70</f>
        <v>0.45497761260354358</v>
      </c>
      <c r="AC65" s="827">
        <f t="shared" si="613"/>
        <v>1.0309010020352656</v>
      </c>
      <c r="AD65" s="827">
        <f t="shared" si="613"/>
        <v>0.7075488825992351</v>
      </c>
      <c r="AE65" s="1678">
        <f t="shared" si="613"/>
        <v>1.2169684171960924</v>
      </c>
      <c r="AF65" s="827">
        <f t="shared" ref="AF65:AG65" si="614">+AF59/AF70</f>
        <v>1.486625019257076</v>
      </c>
      <c r="AG65" s="1675">
        <f t="shared" si="614"/>
        <v>1.923444211520287</v>
      </c>
      <c r="AH65" s="1467">
        <f t="shared" si="611"/>
        <v>3.4100407988151553</v>
      </c>
      <c r="AI65" s="827">
        <f t="shared" si="611"/>
        <v>0.37602093627912514</v>
      </c>
      <c r="AJ65" s="827">
        <f t="shared" si="611"/>
        <v>1.0353121702919303</v>
      </c>
      <c r="AK65" s="827">
        <f t="shared" si="611"/>
        <v>0.32625520254702367</v>
      </c>
      <c r="AL65" s="1678">
        <f t="shared" si="611"/>
        <v>1.5752787613037116</v>
      </c>
      <c r="AM65" s="827">
        <f t="shared" ref="AM65:AN65" si="615">+AM59/AM70</f>
        <v>1.4101113405078578</v>
      </c>
      <c r="AN65" s="1675">
        <f t="shared" si="615"/>
        <v>1.9016634773435681</v>
      </c>
      <c r="AO65" s="1467">
        <f t="shared" si="611"/>
        <v>3.3109380338859307</v>
      </c>
      <c r="AP65" s="827">
        <f t="shared" ref="AP65:AS65" si="616">+AP59/AP70</f>
        <v>0.12035271903366954</v>
      </c>
      <c r="AQ65" s="827">
        <f t="shared" si="616"/>
        <v>0.70439052390846901</v>
      </c>
      <c r="AR65" s="827">
        <f t="shared" si="616"/>
        <v>0.55535651262436547</v>
      </c>
      <c r="AS65" s="1678">
        <f t="shared" si="616"/>
        <v>2.2831575801760171</v>
      </c>
      <c r="AT65" s="827">
        <f t="shared" ref="AT65:AU65" si="617">+AT59/AT70</f>
        <v>0.82511706632901671</v>
      </c>
      <c r="AU65" s="1675">
        <f t="shared" si="617"/>
        <v>2.8386131300786461</v>
      </c>
      <c r="AV65" s="1467">
        <f t="shared" si="611"/>
        <v>3.6651590223714043</v>
      </c>
      <c r="AW65" s="827">
        <f t="shared" si="611"/>
        <v>-0.12035271903366954</v>
      </c>
      <c r="AX65" s="827">
        <f t="shared" si="611"/>
        <v>0.44331366917542181</v>
      </c>
      <c r="AY65" s="827">
        <f t="shared" si="611"/>
        <v>0.5179022361915594</v>
      </c>
      <c r="AZ65" s="1678">
        <f t="shared" si="611"/>
        <v>1.8262290470347953</v>
      </c>
      <c r="BA65" s="827">
        <f t="shared" ref="BA65:BB65" si="618">+BA59/BA70</f>
        <v>0.32332173445494383</v>
      </c>
      <c r="BB65" s="1675">
        <f t="shared" si="618"/>
        <v>2.3442062763079421</v>
      </c>
      <c r="BC65" s="1467">
        <f t="shared" si="611"/>
        <v>2.6689620797710698</v>
      </c>
      <c r="BD65" s="827">
        <f t="shared" ref="BD65:BG65" si="619">+BD59/BD70</f>
        <v>-6.0694908717091378E-2</v>
      </c>
      <c r="BE65" s="827">
        <f t="shared" si="619"/>
        <v>1.0169350832576511</v>
      </c>
      <c r="BF65" s="827">
        <f t="shared" si="619"/>
        <v>1.3556212273573471</v>
      </c>
      <c r="BG65" s="1678">
        <f t="shared" si="619"/>
        <v>2.9019109283106137</v>
      </c>
      <c r="BH65" s="827">
        <f t="shared" ref="BH65:BI65" si="620">+BH59/BH70</f>
        <v>0.95591252260040405</v>
      </c>
      <c r="BI65" s="1675">
        <f t="shared" si="620"/>
        <v>4.2578877296112818</v>
      </c>
      <c r="BJ65" s="1467">
        <f t="shared" si="611"/>
        <v>5.2182240596557383</v>
      </c>
      <c r="BK65" s="827">
        <f t="shared" si="611"/>
        <v>0.46665663750222103</v>
      </c>
      <c r="BL65" s="827">
        <f t="shared" si="611"/>
        <v>1.7866997726515934</v>
      </c>
      <c r="BM65" s="827">
        <f t="shared" si="611"/>
        <v>1.4945138326438365</v>
      </c>
      <c r="BN65" s="1678">
        <f t="shared" si="611"/>
        <v>2.3172816658949471</v>
      </c>
      <c r="BO65" s="827">
        <f t="shared" ref="BO65:BP65" si="621">+BO59/BO70</f>
        <v>2.254308933435857</v>
      </c>
      <c r="BP65" s="1675">
        <f t="shared" si="621"/>
        <v>3.8120898195371979</v>
      </c>
      <c r="BQ65" s="1467">
        <f t="shared" si="611"/>
        <v>6.0678998013509879</v>
      </c>
      <c r="BR65" s="827">
        <f t="shared" ref="BR65:BW65" si="622">+BR59/BR70</f>
        <v>0.22626229240210968</v>
      </c>
      <c r="BS65" s="827">
        <f t="shared" si="622"/>
        <v>-1.2335241619048014</v>
      </c>
      <c r="BT65" s="827">
        <f t="shared" si="622"/>
        <v>0.68781741896567139</v>
      </c>
      <c r="BU65" s="1678">
        <f t="shared" si="622"/>
        <v>1.6818205847173122</v>
      </c>
      <c r="BV65" s="827">
        <f t="shared" si="622"/>
        <v>-1.0080490519275029</v>
      </c>
      <c r="BW65" s="1675">
        <f t="shared" si="622"/>
        <v>2.3696610647747236</v>
      </c>
      <c r="BX65" s="1467">
        <f t="shared" si="611"/>
        <v>1.3636743365342257</v>
      </c>
      <c r="BY65" s="827">
        <f t="shared" si="611"/>
        <v>0.58419359656393555</v>
      </c>
      <c r="BZ65" s="827">
        <f t="shared" si="611"/>
        <v>1.7894475871062647</v>
      </c>
      <c r="CA65" s="827">
        <f t="shared" si="611"/>
        <v>0.58030432535771936</v>
      </c>
      <c r="CB65" s="1678">
        <f t="shared" si="611"/>
        <v>1.3705678465310054</v>
      </c>
      <c r="CC65" s="827">
        <f t="shared" ref="CC65:CD65" si="623">+CC59/CC70</f>
        <v>2.3749700217370409</v>
      </c>
      <c r="CD65" s="1675">
        <f t="shared" si="623"/>
        <v>1.9508777483846098</v>
      </c>
      <c r="CE65" s="1467">
        <f t="shared" si="611"/>
        <v>4.3255917668665109</v>
      </c>
      <c r="CF65" s="827">
        <f t="shared" ref="CF65:CI65" si="624">+CF59/CF70</f>
        <v>1.1350895599342399</v>
      </c>
      <c r="CG65" s="827">
        <f t="shared" si="624"/>
        <v>1.2686755372942813</v>
      </c>
      <c r="CH65" s="827">
        <f t="shared" si="624"/>
        <v>0.76190759474976211</v>
      </c>
      <c r="CI65" s="1678">
        <f t="shared" si="624"/>
        <v>1.9859087029111968</v>
      </c>
      <c r="CJ65" s="827">
        <f t="shared" ref="CJ65:CK65" si="625">+CJ59/CJ70</f>
        <v>2.4039004684727843</v>
      </c>
      <c r="CK65" s="1675">
        <f t="shared" si="625"/>
        <v>2.7478564903555092</v>
      </c>
      <c r="CL65" s="1467">
        <f t="shared" si="611"/>
        <v>5.151950268105904</v>
      </c>
      <c r="CM65" s="827">
        <f t="shared" si="611"/>
        <v>0.72227208233822526</v>
      </c>
      <c r="CN65" s="827">
        <f t="shared" si="611"/>
        <v>1.7437248831780048</v>
      </c>
      <c r="CO65" s="827">
        <f t="shared" si="611"/>
        <v>1.0441158167628541</v>
      </c>
      <c r="CP65" s="1678">
        <f t="shared" si="611"/>
        <v>2.0892718529829906</v>
      </c>
      <c r="CQ65" s="827">
        <f t="shared" ref="CQ65:CR65" si="626">+CQ59/CQ70</f>
        <v>2.4668542992827565</v>
      </c>
      <c r="CR65" s="1675">
        <f t="shared" si="626"/>
        <v>3.133127420616602</v>
      </c>
      <c r="CS65" s="1467">
        <f t="shared" ref="CS65:CT65" si="627">+CS59/CS70</f>
        <v>5.6002074721553647</v>
      </c>
      <c r="CT65" s="827">
        <f t="shared" si="627"/>
        <v>0.59258176604994195</v>
      </c>
      <c r="CU65" s="827">
        <f t="shared" ref="CU65:CW65" si="628">+CU59/CU70</f>
        <v>0.78354558319398859</v>
      </c>
      <c r="CV65" s="827">
        <f t="shared" si="628"/>
        <v>1.328024487002526</v>
      </c>
      <c r="CW65" s="1678">
        <f t="shared" si="628"/>
        <v>2.3495306937899527</v>
      </c>
      <c r="CX65" s="827">
        <f t="shared" ref="CX65:DB65" si="629">+CX59/CX70</f>
        <v>1.3765140357975885</v>
      </c>
      <c r="CY65" s="1675">
        <f t="shared" si="629"/>
        <v>3.6760639164534661</v>
      </c>
      <c r="CZ65" s="1467">
        <f t="shared" si="629"/>
        <v>5.0534097368883613</v>
      </c>
      <c r="DA65" s="827">
        <f t="shared" si="629"/>
        <v>0.66545302089751834</v>
      </c>
      <c r="DB65" s="827">
        <f t="shared" si="629"/>
        <v>1.4827875293144441</v>
      </c>
      <c r="DC65" s="827">
        <f t="shared" ref="DC65:DI65" si="630">+DC59/DC70</f>
        <v>1.8180670806082986</v>
      </c>
      <c r="DD65" s="1678">
        <f t="shared" si="630"/>
        <v>2.9167070868171403</v>
      </c>
      <c r="DE65" s="827">
        <f t="shared" si="630"/>
        <v>2.1501274234310137</v>
      </c>
      <c r="DF65" s="1675">
        <f t="shared" si="630"/>
        <v>4.7348312392269847</v>
      </c>
      <c r="DG65" s="1467">
        <f t="shared" si="630"/>
        <v>6.8859985502066419</v>
      </c>
      <c r="DH65" s="827">
        <f t="shared" si="630"/>
        <v>0.33408375361567061</v>
      </c>
      <c r="DI65" s="827">
        <f t="shared" si="630"/>
        <v>2.2689553915065277</v>
      </c>
      <c r="DJ65" s="885">
        <f t="shared" si="611"/>
        <v>2.0037671949732005</v>
      </c>
      <c r="DK65" s="1519">
        <f t="shared" si="611"/>
        <v>3.0686835349283221</v>
      </c>
      <c r="DL65" s="2048">
        <f t="shared" si="611"/>
        <v>2.6078019816732878</v>
      </c>
      <c r="DM65" s="885">
        <f t="shared" si="611"/>
        <v>5.0653349168625983</v>
      </c>
      <c r="DN65" s="1493">
        <f t="shared" si="611"/>
        <v>7.6634282736893917</v>
      </c>
      <c r="DO65" s="885">
        <f t="shared" ref="DO65:DT65" si="631">+DO59/DO70</f>
        <v>2.0770262798061618</v>
      </c>
      <c r="DP65" s="885">
        <f t="shared" si="631"/>
        <v>2.3316075168743167</v>
      </c>
      <c r="DQ65" s="885">
        <f t="shared" si="631"/>
        <v>2.3186749598202607</v>
      </c>
      <c r="DR65" s="1519">
        <f t="shared" si="631"/>
        <v>2.574260689365385</v>
      </c>
      <c r="DS65" s="885">
        <f t="shared" si="631"/>
        <v>4.4086337966804798</v>
      </c>
      <c r="DT65" s="885">
        <f t="shared" si="631"/>
        <v>4.8939272290141798</v>
      </c>
      <c r="DU65" s="1493">
        <f t="shared" si="611"/>
        <v>9.3025610256946578</v>
      </c>
      <c r="DV65" s="885">
        <f t="shared" ref="DV65:EA65" si="632">+DV59/DV70</f>
        <v>2.6208696491760577</v>
      </c>
      <c r="DW65" s="885">
        <f t="shared" si="632"/>
        <v>2.893270898652891</v>
      </c>
      <c r="DX65" s="885">
        <f t="shared" si="632"/>
        <v>2.8854310350202597</v>
      </c>
      <c r="DY65" s="1519">
        <f t="shared" si="632"/>
        <v>3.2440284529272296</v>
      </c>
      <c r="DZ65" s="885">
        <f t="shared" si="632"/>
        <v>5.5141405478289487</v>
      </c>
      <c r="EA65" s="885">
        <f t="shared" si="632"/>
        <v>6.130678090037569</v>
      </c>
      <c r="EB65" s="1493">
        <f t="shared" si="611"/>
        <v>11.644818637866521</v>
      </c>
      <c r="EC65" s="885">
        <f t="shared" ref="EC65:EH65" si="633">+EC59/EC70</f>
        <v>3.0100137583747819</v>
      </c>
      <c r="ED65" s="885">
        <f t="shared" si="633"/>
        <v>3.1333974264552111</v>
      </c>
      <c r="EE65" s="885">
        <f t="shared" si="633"/>
        <v>3.1240733565070804</v>
      </c>
      <c r="EF65" s="1519">
        <f t="shared" si="633"/>
        <v>3.5202054023535898</v>
      </c>
      <c r="EG65" s="885">
        <f t="shared" si="633"/>
        <v>6.1434111848299935</v>
      </c>
      <c r="EH65" s="885">
        <f t="shared" si="633"/>
        <v>6.6454568119896189</v>
      </c>
      <c r="EI65" s="1493">
        <f t="shared" si="611"/>
        <v>12.78886799681961</v>
      </c>
      <c r="EJ65" s="885">
        <f t="shared" ref="EJ65:EO65" si="634">+EJ59/EJ70</f>
        <v>3.2218600986824248</v>
      </c>
      <c r="EK65" s="885">
        <f t="shared" si="634"/>
        <v>3.3527070585762844</v>
      </c>
      <c r="EL65" s="885">
        <f t="shared" si="634"/>
        <v>3.3443124080714135</v>
      </c>
      <c r="EM65" s="1519">
        <f t="shared" si="634"/>
        <v>3.7583719439534509</v>
      </c>
      <c r="EN65" s="885">
        <f t="shared" si="634"/>
        <v>6.5745671572587083</v>
      </c>
      <c r="EO65" s="885">
        <f t="shared" si="634"/>
        <v>7.1026843520248644</v>
      </c>
      <c r="EP65" s="1493">
        <f t="shared" si="611"/>
        <v>13.677251509283574</v>
      </c>
      <c r="EQ65" s="49"/>
      <c r="ER65" s="46"/>
    </row>
    <row r="66" spans="1:155" ht="10.199999999999999" customHeight="1">
      <c r="A66" s="48" t="s">
        <v>843</v>
      </c>
      <c r="B66" s="108"/>
      <c r="C66" s="108"/>
      <c r="D66" s="134"/>
      <c r="E66" s="134"/>
      <c r="F66" s="134"/>
      <c r="G66" s="134"/>
      <c r="H66" s="156"/>
      <c r="I66" s="156"/>
      <c r="J66" s="134"/>
      <c r="K66" s="151">
        <f t="shared" ref="K66:EP66" si="635">+K59/K73</f>
        <v>0.78019636966574357</v>
      </c>
      <c r="L66" s="151">
        <f t="shared" si="635"/>
        <v>1.3911726897562007</v>
      </c>
      <c r="M66" s="151">
        <f t="shared" si="635"/>
        <v>2.2399557304801467</v>
      </c>
      <c r="N66" s="250">
        <f t="shared" ref="N66:S66" si="636">+N59/N73</f>
        <v>0.54294815727752332</v>
      </c>
      <c r="O66" s="250">
        <f t="shared" si="636"/>
        <v>0.69860091157471493</v>
      </c>
      <c r="P66" s="250">
        <f t="shared" si="636"/>
        <v>0.55049459469164996</v>
      </c>
      <c r="Q66" s="1679">
        <f t="shared" si="636"/>
        <v>1.02182207442432</v>
      </c>
      <c r="R66" s="250">
        <f t="shared" si="636"/>
        <v>1.2381788587992717</v>
      </c>
      <c r="S66" s="1676">
        <f t="shared" si="636"/>
        <v>1.5731128592260861</v>
      </c>
      <c r="T66" s="1470">
        <f t="shared" si="635"/>
        <v>2.8055937171987626</v>
      </c>
      <c r="U66" s="250">
        <f t="shared" si="635"/>
        <v>0.53615073018916859</v>
      </c>
      <c r="V66" s="250">
        <f t="shared" si="635"/>
        <v>0.85947498768897712</v>
      </c>
      <c r="W66" s="250">
        <f t="shared" si="635"/>
        <v>0.61851939449690596</v>
      </c>
      <c r="X66" s="1679">
        <f t="shared" si="635"/>
        <v>1.3440673499077829</v>
      </c>
      <c r="Y66" s="250">
        <f t="shared" si="635"/>
        <v>1.3957985364256205</v>
      </c>
      <c r="Z66" s="1676">
        <f t="shared" si="635"/>
        <v>1.9629568000433992</v>
      </c>
      <c r="AA66" s="1470">
        <f t="shared" si="635"/>
        <v>3.3590265752167556</v>
      </c>
      <c r="AB66" s="250">
        <f t="shared" ref="AB66:AE66" si="637">+AB59/AB73</f>
        <v>0.45451516105788653</v>
      </c>
      <c r="AC66" s="250">
        <f t="shared" si="637"/>
        <v>1.0299815788366131</v>
      </c>
      <c r="AD66" s="250">
        <f t="shared" si="637"/>
        <v>0.70709368559588048</v>
      </c>
      <c r="AE66" s="1679">
        <f t="shared" si="637"/>
        <v>1.2024348798117301</v>
      </c>
      <c r="AF66" s="250">
        <f t="shared" ref="AF66:AG66" si="638">+AF59/AF73</f>
        <v>1.4852066770950301</v>
      </c>
      <c r="AG66" s="1676">
        <f t="shared" si="638"/>
        <v>1.9113013229417559</v>
      </c>
      <c r="AH66" s="1470">
        <f t="shared" si="635"/>
        <v>3.3976261565253583</v>
      </c>
      <c r="AI66" s="250">
        <f t="shared" si="635"/>
        <v>0.37346513583051694</v>
      </c>
      <c r="AJ66" s="250">
        <f t="shared" si="635"/>
        <v>1.0282430496633137</v>
      </c>
      <c r="AK66" s="250">
        <f t="shared" si="635"/>
        <v>0.32403918443837815</v>
      </c>
      <c r="AL66" s="1679">
        <f t="shared" si="635"/>
        <v>1.5644899903718306</v>
      </c>
      <c r="AM66" s="250">
        <f t="shared" ref="AM66:AN66" si="639">+AM59/AM73</f>
        <v>1.400505016983763</v>
      </c>
      <c r="AN66" s="1676">
        <f t="shared" si="639"/>
        <v>1.8886930932287131</v>
      </c>
      <c r="AO66" s="1470">
        <f t="shared" si="635"/>
        <v>3.288369041012269</v>
      </c>
      <c r="AP66" s="250">
        <f t="shared" ref="AP66:AS66" si="640">+AP59/AP73</f>
        <v>0.11951126723120679</v>
      </c>
      <c r="AQ66" s="250">
        <f t="shared" si="640"/>
        <v>0.69939266447791504</v>
      </c>
      <c r="AR66" s="250">
        <f t="shared" si="640"/>
        <v>0.551385664424348</v>
      </c>
      <c r="AS66" s="1679">
        <f t="shared" si="640"/>
        <v>2.2668565682163297</v>
      </c>
      <c r="AT66" s="250">
        <f t="shared" ref="AT66:AU66" si="641">+AT59/AT73</f>
        <v>0.8193053889359927</v>
      </c>
      <c r="AU66" s="1676">
        <f t="shared" si="641"/>
        <v>2.8183315702263045</v>
      </c>
      <c r="AV66" s="1470">
        <f t="shared" si="635"/>
        <v>3.6391576172391198</v>
      </c>
      <c r="AW66" s="250">
        <f t="shared" si="635"/>
        <v>-0.11951126723120679</v>
      </c>
      <c r="AX66" s="250">
        <f t="shared" si="635"/>
        <v>0.44016822736866951</v>
      </c>
      <c r="AY66" s="250">
        <f t="shared" si="635"/>
        <v>0.51419918938177578</v>
      </c>
      <c r="AZ66" s="1679">
        <f t="shared" si="635"/>
        <v>1.8131903580738049</v>
      </c>
      <c r="BA66" s="250">
        <f t="shared" ref="BA66:BB66" si="642">+BA59/BA73</f>
        <v>0.32104443140125105</v>
      </c>
      <c r="BB66" s="1676">
        <f t="shared" si="642"/>
        <v>2.3274571957814749</v>
      </c>
      <c r="BC66" s="1470">
        <f t="shared" si="635"/>
        <v>2.6500279042290948</v>
      </c>
      <c r="BD66" s="250">
        <f t="shared" ref="BD66:BG66" si="643">+BD59/BD73</f>
        <v>-6.0251812347914893E-2</v>
      </c>
      <c r="BE66" s="250">
        <f t="shared" si="643"/>
        <v>1.0095034513813446</v>
      </c>
      <c r="BF66" s="250">
        <f t="shared" si="643"/>
        <v>1.3454546313069218</v>
      </c>
      <c r="BG66" s="1679">
        <f t="shared" si="643"/>
        <v>2.880228538118951</v>
      </c>
      <c r="BH66" s="250">
        <f t="shared" ref="BH66:BI66" si="644">+BH59/BH73</f>
        <v>0.94893041423769653</v>
      </c>
      <c r="BI66" s="1676">
        <f t="shared" si="644"/>
        <v>4.2260145842026553</v>
      </c>
      <c r="BJ66" s="1470">
        <f t="shared" si="635"/>
        <v>5.1796351374861738</v>
      </c>
      <c r="BK66" s="250">
        <f t="shared" si="635"/>
        <v>0.46314879644202644</v>
      </c>
      <c r="BL66" s="250">
        <f t="shared" si="635"/>
        <v>1.772973644822134</v>
      </c>
      <c r="BM66" s="250">
        <f t="shared" si="635"/>
        <v>1.4827492316018966</v>
      </c>
      <c r="BN66" s="1679">
        <f t="shared" si="635"/>
        <v>2.3723427279565872</v>
      </c>
      <c r="BO66" s="250">
        <f t="shared" ref="BO66:BP66" si="645">+BO59/BO73</f>
        <v>2.2371767616753875</v>
      </c>
      <c r="BP66" s="1676">
        <f t="shared" si="645"/>
        <v>3.841450792182687</v>
      </c>
      <c r="BQ66" s="1470">
        <f t="shared" si="635"/>
        <v>6.0678998013509879</v>
      </c>
      <c r="BR66" s="250">
        <f t="shared" ref="BR66:BW66" si="646">+BR59/BR73</f>
        <v>0.22625626316643679</v>
      </c>
      <c r="BS66" s="250">
        <f t="shared" si="646"/>
        <v>-1.2335569980743279</v>
      </c>
      <c r="BT66" s="250">
        <f t="shared" si="646"/>
        <v>0.68781741896567128</v>
      </c>
      <c r="BU66" s="1679">
        <f t="shared" si="646"/>
        <v>1.6818205847173124</v>
      </c>
      <c r="BV66" s="250">
        <f t="shared" si="646"/>
        <v>-1.0080490519275029</v>
      </c>
      <c r="BW66" s="1676">
        <f t="shared" si="646"/>
        <v>2.3696610647747236</v>
      </c>
      <c r="BX66" s="1470">
        <f t="shared" si="635"/>
        <v>1.3636743365342257</v>
      </c>
      <c r="BY66" s="250">
        <f t="shared" si="635"/>
        <v>0.58378986327344407</v>
      </c>
      <c r="BZ66" s="250">
        <f t="shared" si="635"/>
        <v>1.7888167955148904</v>
      </c>
      <c r="CA66" s="250">
        <f t="shared" si="635"/>
        <v>0.57985565876890177</v>
      </c>
      <c r="CB66" s="1679">
        <f t="shared" si="635"/>
        <v>1.3690409030778532</v>
      </c>
      <c r="CC66" s="250">
        <f t="shared" ref="CC66:CD66" si="647">+CC59/CC73</f>
        <v>2.3737311359656665</v>
      </c>
      <c r="CD66" s="1676">
        <f t="shared" si="647"/>
        <v>1.9490367894513987</v>
      </c>
      <c r="CE66" s="1470">
        <f t="shared" si="635"/>
        <v>4.3224218795727714</v>
      </c>
      <c r="CF66" s="250">
        <f t="shared" ref="CF66:CI66" si="648">+CF59/CF73</f>
        <v>1.1342092600877303</v>
      </c>
      <c r="CG66" s="250">
        <f t="shared" si="648"/>
        <v>1.2680352469119123</v>
      </c>
      <c r="CH66" s="250">
        <f t="shared" si="648"/>
        <v>0.76084151414856693</v>
      </c>
      <c r="CI66" s="1679">
        <f t="shared" si="648"/>
        <v>1.9844455654616358</v>
      </c>
      <c r="CJ66" s="250">
        <f t="shared" ref="CJ66:CK66" si="649">+CJ59/CJ73</f>
        <v>2.4023619870606523</v>
      </c>
      <c r="CK66" s="1676">
        <f t="shared" si="649"/>
        <v>2.7449215279575752</v>
      </c>
      <c r="CL66" s="1470">
        <f t="shared" si="635"/>
        <v>5.1475494265823531</v>
      </c>
      <c r="CM66" s="250">
        <f t="shared" si="635"/>
        <v>0.72138923297612789</v>
      </c>
      <c r="CN66" s="250">
        <f t="shared" si="635"/>
        <v>1.7417157710159341</v>
      </c>
      <c r="CO66" s="250">
        <f t="shared" si="635"/>
        <v>1.0426481417414246</v>
      </c>
      <c r="CP66" s="1679">
        <f t="shared" si="635"/>
        <v>2.0861668666317112</v>
      </c>
      <c r="CQ66" s="250">
        <f t="shared" ref="CQ66:CR66" si="650">+CQ59/CQ73</f>
        <v>2.4639255738305628</v>
      </c>
      <c r="CR66" s="1676">
        <f t="shared" si="650"/>
        <v>3.1285972263180826</v>
      </c>
      <c r="CS66" s="1470">
        <f t="shared" ref="CS66:CT66" si="651">+CS59/CS73</f>
        <v>5.5928340887008474</v>
      </c>
      <c r="CT66" s="250">
        <f t="shared" si="651"/>
        <v>0.59169246847048218</v>
      </c>
      <c r="CU66" s="250">
        <f t="shared" ref="CU66:CW66" si="652">+CU59/CU73</f>
        <v>0.78320280803774456</v>
      </c>
      <c r="CV66" s="250">
        <f t="shared" si="652"/>
        <v>1.3263651668692633</v>
      </c>
      <c r="CW66" s="1679">
        <f t="shared" si="652"/>
        <v>2.3447858360578433</v>
      </c>
      <c r="CX66" s="250">
        <f t="shared" ref="CX66:DB66" si="653">+CX59/CX73</f>
        <v>1.3751811595596359</v>
      </c>
      <c r="CY66" s="1676">
        <f t="shared" si="653"/>
        <v>3.6700569899335655</v>
      </c>
      <c r="CZ66" s="1470">
        <f t="shared" si="653"/>
        <v>5.0468331642127993</v>
      </c>
      <c r="DA66" s="250">
        <f t="shared" si="653"/>
        <v>0.66448576773504375</v>
      </c>
      <c r="DB66" s="250">
        <f t="shared" si="653"/>
        <v>1.481973941735832</v>
      </c>
      <c r="DC66" s="250">
        <f t="shared" ref="DC66:DG66" si="654">+DC59/DC73</f>
        <v>1.8157486965364746</v>
      </c>
      <c r="DD66" s="1679">
        <f t="shared" si="654"/>
        <v>2.9068206527992486</v>
      </c>
      <c r="DE66" s="250">
        <f t="shared" si="654"/>
        <v>2.1479767212383631</v>
      </c>
      <c r="DF66" s="1676">
        <f t="shared" si="654"/>
        <v>4.723782203579983</v>
      </c>
      <c r="DG66" s="1470">
        <f t="shared" si="654"/>
        <v>6.8745152562701959</v>
      </c>
      <c r="DH66" s="250">
        <f>+DH59/DH73</f>
        <v>0.33348811070251194</v>
      </c>
      <c r="DI66" s="250">
        <f t="shared" ref="DI66" si="655">+DI59/DI73</f>
        <v>2.2690314233219246</v>
      </c>
      <c r="DJ66" s="1417">
        <f t="shared" si="635"/>
        <v>2.0012171587286423</v>
      </c>
      <c r="DK66" s="1524">
        <f t="shared" si="635"/>
        <v>3.0573157937804862</v>
      </c>
      <c r="DL66" s="2050">
        <f t="shared" si="635"/>
        <v>2.6055246075163323</v>
      </c>
      <c r="DM66" s="1417">
        <f t="shared" si="635"/>
        <v>5.0527633344026857</v>
      </c>
      <c r="DN66" s="1499">
        <f t="shared" si="635"/>
        <v>7.6505915737065111</v>
      </c>
      <c r="DO66" s="1417">
        <f t="shared" ref="DO66:DT66" si="656">+DO59/DO73</f>
        <v>2.0735284962283926</v>
      </c>
      <c r="DP66" s="1417">
        <f t="shared" si="656"/>
        <v>2.3276810097513119</v>
      </c>
      <c r="DQ66" s="1417">
        <f t="shared" si="656"/>
        <v>2.3147550493486033</v>
      </c>
      <c r="DR66" s="1524">
        <f t="shared" si="656"/>
        <v>2.5699422716461089</v>
      </c>
      <c r="DS66" s="1417">
        <f t="shared" si="656"/>
        <v>4.4012095059797058</v>
      </c>
      <c r="DT66" s="1417">
        <f t="shared" si="656"/>
        <v>4.8856856875089658</v>
      </c>
      <c r="DU66" s="1499">
        <f t="shared" si="635"/>
        <v>9.2868951934886699</v>
      </c>
      <c r="DV66" s="1417">
        <f t="shared" ref="DV66:EA66" si="657">+DV59/DV73</f>
        <v>2.6164238223706788</v>
      </c>
      <c r="DW66" s="1417">
        <f t="shared" si="657"/>
        <v>2.888362992866544</v>
      </c>
      <c r="DX66" s="1417">
        <f t="shared" si="657"/>
        <v>2.8805197667463767</v>
      </c>
      <c r="DY66" s="1524">
        <f t="shared" si="657"/>
        <v>3.238544156368488</v>
      </c>
      <c r="DZ66" s="1417">
        <f t="shared" si="657"/>
        <v>5.5047868152372228</v>
      </c>
      <c r="EA66" s="1417">
        <f t="shared" si="657"/>
        <v>6.120278514081396</v>
      </c>
      <c r="EB66" s="1499">
        <f t="shared" si="635"/>
        <v>11.625065329318621</v>
      </c>
      <c r="EC66" s="1417">
        <f t="shared" ref="EC66:EH66" si="658">+EC59/EC73</f>
        <v>3.0048752287007772</v>
      </c>
      <c r="ED66" s="1417">
        <f t="shared" si="658"/>
        <v>3.1280482629799637</v>
      </c>
      <c r="EE66" s="1417">
        <f t="shared" si="658"/>
        <v>3.1187242300134042</v>
      </c>
      <c r="EF66" s="1524">
        <f t="shared" si="658"/>
        <v>3.5142136898848824</v>
      </c>
      <c r="EG66" s="1417">
        <f t="shared" si="658"/>
        <v>6.1329234916807414</v>
      </c>
      <c r="EH66" s="1417">
        <f t="shared" si="658"/>
        <v>6.634112054202145</v>
      </c>
      <c r="EI66" s="1499">
        <f t="shared" si="635"/>
        <v>12.767035545882884</v>
      </c>
      <c r="EJ66" s="1417">
        <f t="shared" ref="EJ66:EO66" si="659">+EJ59/EJ73</f>
        <v>3.2163435389714041</v>
      </c>
      <c r="EK66" s="1417">
        <f t="shared" si="659"/>
        <v>3.3469664590109085</v>
      </c>
      <c r="EL66" s="1417">
        <f t="shared" si="659"/>
        <v>3.3385861820633447</v>
      </c>
      <c r="EM66" s="1524">
        <f t="shared" si="659"/>
        <v>3.7519367535323882</v>
      </c>
      <c r="EN66" s="1417">
        <f t="shared" si="659"/>
        <v>6.5633099979823122</v>
      </c>
      <c r="EO66" s="1417">
        <f t="shared" si="659"/>
        <v>7.0905229355957333</v>
      </c>
      <c r="EP66" s="1499">
        <f t="shared" si="635"/>
        <v>13.653832933578046</v>
      </c>
      <c r="EQ66" s="50">
        <f>(EP66/DN66)^(1/4)-1</f>
        <v>0.15581916588225075</v>
      </c>
      <c r="ER66" s="46"/>
      <c r="EY66" s="2003"/>
    </row>
    <row r="67" spans="1:155" ht="10.199999999999999" customHeight="1">
      <c r="A67" s="43"/>
      <c r="B67" s="108"/>
      <c r="C67" s="108"/>
      <c r="D67" s="134"/>
      <c r="E67" s="134"/>
      <c r="F67" s="134"/>
      <c r="G67" s="134"/>
      <c r="H67" s="156"/>
      <c r="I67" s="156"/>
      <c r="J67" s="134"/>
      <c r="K67" s="134"/>
      <c r="L67" s="134"/>
      <c r="M67" s="134"/>
      <c r="N67" s="1418"/>
      <c r="O67" s="1418"/>
      <c r="P67" s="1418"/>
      <c r="Q67" s="1680"/>
      <c r="R67" s="1418"/>
      <c r="S67" s="1677"/>
      <c r="T67" s="1270"/>
      <c r="U67" s="1418"/>
      <c r="V67" s="1418"/>
      <c r="W67" s="1418"/>
      <c r="X67" s="1680"/>
      <c r="Y67" s="1418"/>
      <c r="Z67" s="1677"/>
      <c r="AA67" s="1270"/>
      <c r="AB67" s="1418"/>
      <c r="AC67" s="1418"/>
      <c r="AD67" s="1418"/>
      <c r="AE67" s="1680"/>
      <c r="AF67" s="1418"/>
      <c r="AG67" s="1677"/>
      <c r="AH67" s="1270"/>
      <c r="AI67" s="1418"/>
      <c r="AJ67" s="1418"/>
      <c r="AK67" s="1418"/>
      <c r="AL67" s="1680"/>
      <c r="AM67" s="1418"/>
      <c r="AN67" s="1677"/>
      <c r="AO67" s="1270"/>
      <c r="AP67" s="1418"/>
      <c r="AQ67" s="1418"/>
      <c r="AR67" s="1418"/>
      <c r="AS67" s="1680"/>
      <c r="AT67" s="1418"/>
      <c r="AU67" s="1677"/>
      <c r="AV67" s="1270"/>
      <c r="AW67" s="1418"/>
      <c r="AX67" s="1418"/>
      <c r="AY67" s="1418"/>
      <c r="AZ67" s="1680"/>
      <c r="BA67" s="1418"/>
      <c r="BB67" s="1677"/>
      <c r="BC67" s="1270"/>
      <c r="BD67" s="1418"/>
      <c r="BE67" s="1418"/>
      <c r="BF67" s="1418"/>
      <c r="BG67" s="1680"/>
      <c r="BH67" s="1418"/>
      <c r="BI67" s="1677"/>
      <c r="BJ67" s="1270"/>
      <c r="BK67" s="1418"/>
      <c r="BL67" s="1418"/>
      <c r="BM67" s="1418"/>
      <c r="BN67" s="1680"/>
      <c r="BO67" s="1418"/>
      <c r="BP67" s="1677"/>
      <c r="BQ67" s="1270"/>
      <c r="BR67" s="1418"/>
      <c r="BS67" s="1418"/>
      <c r="BT67" s="1418"/>
      <c r="BU67" s="1680"/>
      <c r="BV67" s="1418"/>
      <c r="BW67" s="1677"/>
      <c r="BX67" s="1270"/>
      <c r="BY67" s="1418"/>
      <c r="BZ67" s="1418"/>
      <c r="CA67" s="1418"/>
      <c r="CB67" s="1680"/>
      <c r="CC67" s="1418"/>
      <c r="CD67" s="1677"/>
      <c r="CE67" s="1270"/>
      <c r="CF67" s="1418"/>
      <c r="CG67" s="1418"/>
      <c r="CH67" s="1418"/>
      <c r="CI67" s="1680"/>
      <c r="CJ67" s="1418"/>
      <c r="CK67" s="1677"/>
      <c r="CL67" s="1270"/>
      <c r="CM67" s="1418"/>
      <c r="CN67" s="1418"/>
      <c r="CO67" s="1418"/>
      <c r="CP67" s="1680"/>
      <c r="CQ67" s="1418"/>
      <c r="CR67" s="1677"/>
      <c r="CS67" s="1270"/>
      <c r="CT67" s="1418"/>
      <c r="CU67" s="1418"/>
      <c r="CV67" s="1418"/>
      <c r="CW67" s="1680"/>
      <c r="CX67" s="1418"/>
      <c r="CY67" s="1677"/>
      <c r="CZ67" s="1270"/>
      <c r="DA67" s="1418"/>
      <c r="DB67" s="1418"/>
      <c r="DC67" s="1418"/>
      <c r="DD67" s="1680"/>
      <c r="DE67" s="1418"/>
      <c r="DF67" s="1677"/>
      <c r="DG67" s="1270"/>
      <c r="DH67" s="1418"/>
      <c r="DI67" s="1418"/>
      <c r="DJ67" s="1418"/>
      <c r="DK67" s="1525"/>
      <c r="DL67" s="2051"/>
      <c r="DM67" s="1418"/>
      <c r="DN67" s="391"/>
      <c r="DO67" s="1418"/>
      <c r="DP67" s="1418"/>
      <c r="DQ67" s="1418"/>
      <c r="DR67" s="1525"/>
      <c r="DS67" s="1418"/>
      <c r="DT67" s="1418"/>
      <c r="DU67" s="391"/>
      <c r="DV67" s="1418"/>
      <c r="DW67" s="1418"/>
      <c r="DX67" s="1418"/>
      <c r="DY67" s="1525"/>
      <c r="DZ67" s="1418"/>
      <c r="EA67" s="1418"/>
      <c r="EB67" s="391"/>
      <c r="EC67" s="1418"/>
      <c r="ED67" s="1418"/>
      <c r="EE67" s="1418"/>
      <c r="EF67" s="1525"/>
      <c r="EG67" s="1418"/>
      <c r="EH67" s="1418"/>
      <c r="EI67" s="391"/>
      <c r="EJ67" s="1418"/>
      <c r="EK67" s="1418"/>
      <c r="EL67" s="1418"/>
      <c r="EM67" s="1525"/>
      <c r="EN67" s="1418"/>
      <c r="EO67" s="1418"/>
      <c r="EP67" s="391"/>
      <c r="EQ67" s="43"/>
      <c r="ER67" s="46"/>
    </row>
    <row r="68" spans="1:155" ht="10.199999999999999" customHeight="1">
      <c r="A68" s="43"/>
      <c r="B68" s="108"/>
      <c r="C68" s="108"/>
      <c r="D68" s="156"/>
      <c r="E68" s="134"/>
      <c r="F68" s="134"/>
      <c r="G68" s="134"/>
      <c r="H68" s="134"/>
      <c r="I68" s="134"/>
      <c r="J68" s="134"/>
      <c r="K68" s="134"/>
      <c r="L68" s="134"/>
      <c r="M68" s="134"/>
      <c r="N68" s="901"/>
      <c r="O68" s="901"/>
      <c r="P68" s="901"/>
      <c r="Q68" s="1097"/>
      <c r="R68" s="901"/>
      <c r="S68" s="1067"/>
      <c r="T68" s="1270"/>
      <c r="U68" s="901"/>
      <c r="V68" s="901"/>
      <c r="W68" s="901"/>
      <c r="X68" s="1097"/>
      <c r="Y68" s="901"/>
      <c r="Z68" s="1067"/>
      <c r="AA68" s="1270"/>
      <c r="AB68" s="901"/>
      <c r="AC68" s="901"/>
      <c r="AD68" s="901"/>
      <c r="AE68" s="1097"/>
      <c r="AF68" s="901"/>
      <c r="AG68" s="1067"/>
      <c r="AH68" s="1270"/>
      <c r="AI68" s="901"/>
      <c r="AJ68" s="901"/>
      <c r="AK68" s="901"/>
      <c r="AL68" s="1097"/>
      <c r="AM68" s="901"/>
      <c r="AN68" s="1067"/>
      <c r="AO68" s="1270"/>
      <c r="AP68" s="901"/>
      <c r="AQ68" s="901"/>
      <c r="AR68" s="901"/>
      <c r="AS68" s="1097"/>
      <c r="AT68" s="901"/>
      <c r="AU68" s="1067"/>
      <c r="AV68" s="1270"/>
      <c r="AW68" s="901"/>
      <c r="AX68" s="901"/>
      <c r="AY68" s="901"/>
      <c r="AZ68" s="1097"/>
      <c r="BA68" s="901"/>
      <c r="BB68" s="1067"/>
      <c r="BC68" s="1270"/>
      <c r="BD68" s="901"/>
      <c r="BE68" s="901"/>
      <c r="BF68" s="901"/>
      <c r="BG68" s="1097"/>
      <c r="BH68" s="901"/>
      <c r="BI68" s="1067"/>
      <c r="BJ68" s="1270"/>
      <c r="BK68" s="901"/>
      <c r="BL68" s="901"/>
      <c r="BM68" s="901"/>
      <c r="BN68" s="1097"/>
      <c r="BO68" s="901"/>
      <c r="BP68" s="1067"/>
      <c r="BQ68" s="1270"/>
      <c r="BR68" s="901"/>
      <c r="BS68" s="901"/>
      <c r="BT68" s="901"/>
      <c r="BU68" s="1097"/>
      <c r="BV68" s="901"/>
      <c r="BW68" s="1067"/>
      <c r="BX68" s="1270"/>
      <c r="BY68" s="901"/>
      <c r="BZ68" s="901"/>
      <c r="CA68" s="901"/>
      <c r="CB68" s="1097"/>
      <c r="CC68" s="901"/>
      <c r="CD68" s="1067"/>
      <c r="CE68" s="1270"/>
      <c r="CF68" s="901"/>
      <c r="CG68" s="901"/>
      <c r="CH68" s="901"/>
      <c r="CI68" s="1097"/>
      <c r="CJ68" s="901"/>
      <c r="CK68" s="1067"/>
      <c r="CL68" s="1270"/>
      <c r="CM68" s="901"/>
      <c r="CN68" s="901"/>
      <c r="CO68" s="901"/>
      <c r="CP68" s="1097"/>
      <c r="CQ68" s="901"/>
      <c r="CR68" s="1067"/>
      <c r="CS68" s="1270"/>
      <c r="CT68" s="901"/>
      <c r="CU68" s="901"/>
      <c r="CV68" s="901"/>
      <c r="CW68" s="1097"/>
      <c r="CX68" s="901"/>
      <c r="CY68" s="1067"/>
      <c r="CZ68" s="1270"/>
      <c r="DA68" s="901"/>
      <c r="DB68" s="901"/>
      <c r="DC68" s="1067"/>
      <c r="DD68" s="1097"/>
      <c r="DE68" s="901"/>
      <c r="DF68" s="1067"/>
      <c r="DG68" s="1270"/>
      <c r="DH68" s="901"/>
      <c r="DI68" s="901"/>
      <c r="DJ68" s="901"/>
      <c r="DK68" s="1122"/>
      <c r="DL68" s="1205"/>
      <c r="DM68" s="901"/>
      <c r="DN68" s="1115"/>
      <c r="DO68" s="901"/>
      <c r="DP68" s="901"/>
      <c r="DQ68" s="901"/>
      <c r="DR68" s="1122"/>
      <c r="DS68" s="901"/>
      <c r="DT68" s="901"/>
      <c r="DU68" s="1115"/>
      <c r="DV68" s="901"/>
      <c r="DW68" s="901"/>
      <c r="DX68" s="901"/>
      <c r="DY68" s="1122"/>
      <c r="DZ68" s="901"/>
      <c r="EA68" s="901"/>
      <c r="EB68" s="1115"/>
      <c r="EC68" s="901"/>
      <c r="ED68" s="901"/>
      <c r="EE68" s="901"/>
      <c r="EF68" s="1122"/>
      <c r="EG68" s="901"/>
      <c r="EH68" s="901"/>
      <c r="EI68" s="1115"/>
      <c r="EJ68" s="901"/>
      <c r="EK68" s="901"/>
      <c r="EL68" s="901"/>
      <c r="EM68" s="1122"/>
      <c r="EN68" s="901"/>
      <c r="EO68" s="901"/>
      <c r="EP68" s="1115"/>
      <c r="EQ68" s="43"/>
      <c r="ER68" s="46"/>
    </row>
    <row r="69" spans="1:155" ht="10.199999999999999" customHeight="1">
      <c r="A69" s="43" t="s">
        <v>59</v>
      </c>
      <c r="B69" s="108"/>
      <c r="C69" s="108"/>
      <c r="D69" s="292">
        <v>800.95724800000005</v>
      </c>
      <c r="E69" s="292">
        <v>801.03503499999999</v>
      </c>
      <c r="F69" s="292">
        <v>794.73422000000005</v>
      </c>
      <c r="G69" s="292">
        <v>795.28353100000004</v>
      </c>
      <c r="H69" s="292">
        <v>800</v>
      </c>
      <c r="I69" s="292">
        <v>806.97880099999998</v>
      </c>
      <c r="J69" s="292">
        <v>809.69899999999996</v>
      </c>
      <c r="K69" s="292">
        <v>810.69299999999998</v>
      </c>
      <c r="L69" s="292">
        <v>814.89599999999996</v>
      </c>
      <c r="M69" s="292">
        <v>827.36794499999996</v>
      </c>
      <c r="N69" s="292">
        <v>825.89984400000003</v>
      </c>
      <c r="O69" s="292">
        <f>R69</f>
        <v>778.297504</v>
      </c>
      <c r="P69" s="292">
        <v>779.479422</v>
      </c>
      <c r="Q69" s="1459">
        <f>S69</f>
        <v>783.15763500000003</v>
      </c>
      <c r="R69" s="292">
        <v>778.297504</v>
      </c>
      <c r="S69" s="874">
        <f>T69</f>
        <v>783.15763500000003</v>
      </c>
      <c r="T69" s="358">
        <v>783.15763500000003</v>
      </c>
      <c r="U69" s="292">
        <f>783.639993-0.572118</f>
        <v>783.06787499999996</v>
      </c>
      <c r="V69" s="292">
        <f>Y69</f>
        <v>783.48914600000001</v>
      </c>
      <c r="W69" s="292">
        <f>784.79944-0.753944</f>
        <v>784.04549599999996</v>
      </c>
      <c r="X69" s="1459">
        <f>Z69</f>
        <v>784.34875299999999</v>
      </c>
      <c r="Y69" s="292">
        <f>784.09589-0.606744</f>
        <v>783.48914600000001</v>
      </c>
      <c r="Z69" s="874">
        <f>AA69</f>
        <v>784.34875299999999</v>
      </c>
      <c r="AA69" s="358">
        <v>784.34875299999999</v>
      </c>
      <c r="AB69" s="292">
        <f>785.914888-0.431832</f>
        <v>785.48305600000003</v>
      </c>
      <c r="AC69" s="292">
        <f>AF69</f>
        <v>787.14759600000002</v>
      </c>
      <c r="AD69" s="292">
        <f>787.730114-0.43171</f>
        <v>787.298404</v>
      </c>
      <c r="AE69" s="1459">
        <f>AG69</f>
        <v>783.87072699999999</v>
      </c>
      <c r="AF69" s="292">
        <f>787.579306-0.43171</f>
        <v>787.14759600000002</v>
      </c>
      <c r="AG69" s="874">
        <f>AH69</f>
        <v>783.87072699999999</v>
      </c>
      <c r="AH69" s="358">
        <v>783.87072699999999</v>
      </c>
      <c r="AI69" s="292">
        <f>778.198822-0.910705</f>
        <v>777.28811699999994</v>
      </c>
      <c r="AJ69" s="292">
        <f>AM69</f>
        <v>772.39759200000003</v>
      </c>
      <c r="AK69" s="292">
        <f>772.712046-0.280954</f>
        <v>772.43109200000004</v>
      </c>
      <c r="AL69" s="1459">
        <f>AN69</f>
        <v>772.72869900000001</v>
      </c>
      <c r="AM69" s="292">
        <f>772.678546-0.280954</f>
        <v>772.39759200000003</v>
      </c>
      <c r="AN69" s="874">
        <f>AO69</f>
        <v>772.72869900000001</v>
      </c>
      <c r="AO69" s="358">
        <f>772.912869-0.18417</f>
        <v>772.72869900000001</v>
      </c>
      <c r="AP69" s="292">
        <f>772.912869-0.18417</f>
        <v>772.72869900000001</v>
      </c>
      <c r="AQ69" s="292">
        <f>AT69</f>
        <v>774.28290600000003</v>
      </c>
      <c r="AR69" s="292">
        <f>774.46748-0.184574</f>
        <v>774.28290600000003</v>
      </c>
      <c r="AS69" s="1459">
        <f>AU69</f>
        <v>772.72869900000001</v>
      </c>
      <c r="AT69" s="292">
        <f>774.46748-0.184574</f>
        <v>774.28290600000003</v>
      </c>
      <c r="AU69" s="874">
        <f>AV69</f>
        <v>772.72869900000001</v>
      </c>
      <c r="AV69" s="358">
        <v>772.72869900000001</v>
      </c>
      <c r="AW69" s="292">
        <f>772.912869-0.18417</f>
        <v>772.72869900000001</v>
      </c>
      <c r="AX69" s="292">
        <f>BA69</f>
        <v>774.28290600000003</v>
      </c>
      <c r="AY69" s="292">
        <f>774.46748-0.184574</f>
        <v>774.28290600000003</v>
      </c>
      <c r="AZ69" s="1459">
        <f>BB69</f>
        <v>774.42653700000005</v>
      </c>
      <c r="BA69" s="292">
        <f>774.46748-0.184574</f>
        <v>774.28290600000003</v>
      </c>
      <c r="BB69" s="874">
        <f>BC69</f>
        <v>774.42653700000005</v>
      </c>
      <c r="BC69" s="358">
        <v>774.42653700000005</v>
      </c>
      <c r="BD69" s="292">
        <v>774.03786400000001</v>
      </c>
      <c r="BE69" s="292">
        <f>BH69</f>
        <v>775.19358699999998</v>
      </c>
      <c r="BF69" s="292">
        <v>775.19358699999998</v>
      </c>
      <c r="BG69" s="1459">
        <f>BI69</f>
        <v>775.73095699999999</v>
      </c>
      <c r="BH69" s="292">
        <v>775.19358699999998</v>
      </c>
      <c r="BI69" s="874">
        <f>BJ69</f>
        <v>775.73095699999999</v>
      </c>
      <c r="BJ69" s="358">
        <v>775.73095699999999</v>
      </c>
      <c r="BK69" s="292">
        <v>775.73095699999999</v>
      </c>
      <c r="BL69" s="292">
        <f>BO69</f>
        <v>782.23590999999999</v>
      </c>
      <c r="BM69" s="292">
        <v>777.49718399999995</v>
      </c>
      <c r="BN69" s="1459">
        <f>BP69</f>
        <v>782.31</v>
      </c>
      <c r="BO69" s="292">
        <v>782.23590999999999</v>
      </c>
      <c r="BP69" s="874">
        <f>BQ69</f>
        <v>782.31</v>
      </c>
      <c r="BQ69" s="358">
        <v>782.31</v>
      </c>
      <c r="BR69" s="292">
        <v>785.58775400000002</v>
      </c>
      <c r="BS69" s="292">
        <f>BV69</f>
        <v>783.63264100000004</v>
      </c>
      <c r="BT69" s="292">
        <v>783.63075200000003</v>
      </c>
      <c r="BU69" s="1459">
        <f>BW69</f>
        <v>783.71639500000003</v>
      </c>
      <c r="BV69" s="292">
        <v>783.63264100000004</v>
      </c>
      <c r="BW69" s="874">
        <f>BX69</f>
        <v>783.71639500000003</v>
      </c>
      <c r="BX69" s="358">
        <v>783.71639500000003</v>
      </c>
      <c r="BY69" s="292">
        <v>785.58775400000002</v>
      </c>
      <c r="BZ69" s="292">
        <f>CC69</f>
        <v>785.78300300000001</v>
      </c>
      <c r="CA69" s="292">
        <v>785.78538100000003</v>
      </c>
      <c r="CB69" s="1459">
        <f>CD69</f>
        <v>785.62895500000002</v>
      </c>
      <c r="CC69" s="292">
        <v>785.78300300000001</v>
      </c>
      <c r="CD69" s="874">
        <f>CE69</f>
        <v>785.62895500000002</v>
      </c>
      <c r="CE69" s="358">
        <v>785.62895500000002</v>
      </c>
      <c r="CF69" s="292">
        <v>787.35531400000002</v>
      </c>
      <c r="CG69" s="292">
        <f>CJ69</f>
        <v>787.48773200000005</v>
      </c>
      <c r="CH69" s="292">
        <v>787.487796</v>
      </c>
      <c r="CI69" s="1459">
        <f>CK69</f>
        <v>787.55750799999998</v>
      </c>
      <c r="CJ69" s="292">
        <v>787.48773200000005</v>
      </c>
      <c r="CK69" s="874">
        <f>CL69</f>
        <v>787.55750799999998</v>
      </c>
      <c r="CL69" s="358">
        <v>787.55750799999998</v>
      </c>
      <c r="CM69" s="292">
        <v>789.06316700000002</v>
      </c>
      <c r="CN69" s="292">
        <f>CQ69</f>
        <v>789.17653499999994</v>
      </c>
      <c r="CO69" s="292">
        <v>789.17653499999994</v>
      </c>
      <c r="CP69" s="1459">
        <f>CR69</f>
        <v>787.421967</v>
      </c>
      <c r="CQ69" s="292">
        <v>789.17653499999994</v>
      </c>
      <c r="CR69" s="874">
        <f>CS69</f>
        <v>787.421967</v>
      </c>
      <c r="CS69" s="358">
        <v>787.421967</v>
      </c>
      <c r="CT69" s="292">
        <v>790.92412100000001</v>
      </c>
      <c r="CU69" s="292">
        <f>CX69</f>
        <v>791.50425499999994</v>
      </c>
      <c r="CV69" s="292">
        <v>790.498333</v>
      </c>
      <c r="CW69" s="1459">
        <f>CY69</f>
        <v>787.95625099999995</v>
      </c>
      <c r="CX69" s="292">
        <v>791.50425499999994</v>
      </c>
      <c r="CY69" s="874">
        <f>CZ69</f>
        <v>787.95625099999995</v>
      </c>
      <c r="CZ69" s="358">
        <v>787.95625099999995</v>
      </c>
      <c r="DA69" s="292">
        <v>787.32967399999995</v>
      </c>
      <c r="DB69" s="292">
        <f>DE69</f>
        <v>791.29483900000002</v>
      </c>
      <c r="DC69" s="1835">
        <v>789.37955999999997</v>
      </c>
      <c r="DD69" s="1459">
        <f>DF69</f>
        <v>787.22774500000003</v>
      </c>
      <c r="DE69" s="2090">
        <v>791.29483900000002</v>
      </c>
      <c r="DF69" s="874">
        <f>DG69</f>
        <v>787.22774500000003</v>
      </c>
      <c r="DG69" s="1471">
        <v>787.22774500000003</v>
      </c>
      <c r="DH69" s="292">
        <v>787.22812499999998</v>
      </c>
      <c r="DI69" s="292">
        <f>DL69</f>
        <v>791.48048900000003</v>
      </c>
      <c r="DJ69" s="1419">
        <f>DN69</f>
        <v>784.90216360465115</v>
      </c>
      <c r="DK69" s="1526">
        <f>DM69</f>
        <v>784.90216360465115</v>
      </c>
      <c r="DL69" s="2056">
        <v>791.48048900000003</v>
      </c>
      <c r="DM69" s="1419">
        <f>DN69</f>
        <v>784.90216360465115</v>
      </c>
      <c r="DN69" s="2004">
        <f>DG69+DN77</f>
        <v>784.90216360465115</v>
      </c>
      <c r="DO69" s="1419">
        <f>DU69</f>
        <v>778.83542952982805</v>
      </c>
      <c r="DP69" s="1419">
        <f>DS69</f>
        <v>778.83542952982805</v>
      </c>
      <c r="DQ69" s="1419">
        <f>DU69</f>
        <v>778.83542952982805</v>
      </c>
      <c r="DR69" s="1526">
        <f>DT69</f>
        <v>778.83542952982805</v>
      </c>
      <c r="DS69" s="1419">
        <f>DU69</f>
        <v>778.83542952982805</v>
      </c>
      <c r="DT69" s="1419">
        <f>DU69</f>
        <v>778.83542952982805</v>
      </c>
      <c r="DU69" s="2004">
        <f>DN69+DU77</f>
        <v>778.83542952982805</v>
      </c>
      <c r="DV69" s="1419">
        <f>EB69</f>
        <v>773.56000859519929</v>
      </c>
      <c r="DW69" s="1419">
        <f>DZ69</f>
        <v>773.56000859519929</v>
      </c>
      <c r="DX69" s="1419">
        <f>EB69</f>
        <v>773.56000859519929</v>
      </c>
      <c r="DY69" s="1526">
        <f>EA69</f>
        <v>773.56000859519929</v>
      </c>
      <c r="DZ69" s="1419">
        <f>EB69</f>
        <v>773.56000859519929</v>
      </c>
      <c r="EA69" s="1419">
        <f>EB69</f>
        <v>773.56000859519929</v>
      </c>
      <c r="EB69" s="2004">
        <f>DU69+EB77</f>
        <v>773.56000859519929</v>
      </c>
      <c r="EC69" s="1419">
        <f>EI69</f>
        <v>768.97268604334818</v>
      </c>
      <c r="ED69" s="1419">
        <f>EG69</f>
        <v>768.97268604334818</v>
      </c>
      <c r="EE69" s="1419">
        <f>EI69</f>
        <v>768.97268604334818</v>
      </c>
      <c r="EF69" s="1526">
        <f>EH69</f>
        <v>768.97268604334818</v>
      </c>
      <c r="EG69" s="1419">
        <f>EI69</f>
        <v>768.97268604334818</v>
      </c>
      <c r="EH69" s="1419">
        <f>EI69</f>
        <v>768.97268604334818</v>
      </c>
      <c r="EI69" s="2004">
        <f>EB69+EI77</f>
        <v>768.97268604334818</v>
      </c>
      <c r="EJ69" s="1419">
        <f>EP69</f>
        <v>768.97268604334818</v>
      </c>
      <c r="EK69" s="1419">
        <f>EN69</f>
        <v>768.97268604334818</v>
      </c>
      <c r="EL69" s="1419">
        <f>EP69</f>
        <v>768.97268604334818</v>
      </c>
      <c r="EM69" s="1526">
        <f>EO69</f>
        <v>768.97268604334818</v>
      </c>
      <c r="EN69" s="1419">
        <f>EP69</f>
        <v>768.97268604334818</v>
      </c>
      <c r="EO69" s="1419">
        <f>EP69</f>
        <v>768.97268604334818</v>
      </c>
      <c r="EP69" s="2004">
        <f>EI69+EP77</f>
        <v>768.97268604334818</v>
      </c>
      <c r="EQ69" s="43"/>
      <c r="ER69" s="46"/>
    </row>
    <row r="70" spans="1:155" ht="10.199999999999999" customHeight="1">
      <c r="A70" s="43" t="s">
        <v>60</v>
      </c>
      <c r="B70" s="108"/>
      <c r="C70" s="244">
        <v>804.11687700000004</v>
      </c>
      <c r="D70" s="244">
        <v>800.95724800000005</v>
      </c>
      <c r="E70" s="292">
        <v>801.03503499999999</v>
      </c>
      <c r="F70" s="292">
        <v>794.26010674999998</v>
      </c>
      <c r="G70" s="292">
        <v>800.63095724999994</v>
      </c>
      <c r="H70" s="292">
        <v>797.64176550000002</v>
      </c>
      <c r="I70" s="292">
        <v>806.97880099999998</v>
      </c>
      <c r="J70" s="292">
        <v>809.69899999999996</v>
      </c>
      <c r="K70" s="292">
        <v>810.69299999999998</v>
      </c>
      <c r="L70" s="292">
        <v>812.50699999999995</v>
      </c>
      <c r="M70" s="292">
        <v>819.37826399999994</v>
      </c>
      <c r="N70" s="874">
        <v>823.52258700000004</v>
      </c>
      <c r="O70" s="874">
        <f>R70*2-N70</f>
        <v>788.50615099999993</v>
      </c>
      <c r="P70" s="874">
        <f>796.762889*3-N70-O70</f>
        <v>778.25992899999994</v>
      </c>
      <c r="Q70" s="1459">
        <f>S70*2-P70</f>
        <v>779.57878100000005</v>
      </c>
      <c r="R70" s="874">
        <v>806.01436899999999</v>
      </c>
      <c r="S70" s="874">
        <f>T70*2-R70</f>
        <v>778.919355</v>
      </c>
      <c r="T70" s="358">
        <v>792.46686199999999</v>
      </c>
      <c r="U70" s="874">
        <v>780.87836400000003</v>
      </c>
      <c r="V70" s="874">
        <f>Y70*2-U70</f>
        <v>783.14736800000003</v>
      </c>
      <c r="W70" s="874">
        <f>782.546682*3-U70-V70</f>
        <v>783.61431399999981</v>
      </c>
      <c r="X70" s="1459">
        <f>Z70*2-W70</f>
        <v>784.20949400000029</v>
      </c>
      <c r="Y70" s="874">
        <v>782.01286600000003</v>
      </c>
      <c r="Z70" s="874">
        <f>AA70*2-Y70</f>
        <v>783.91190400000005</v>
      </c>
      <c r="AA70" s="358">
        <v>782.96238500000004</v>
      </c>
      <c r="AB70" s="874">
        <v>784.65399200000002</v>
      </c>
      <c r="AC70" s="874">
        <f>AF70*2-AB70</f>
        <v>786.69047599999999</v>
      </c>
      <c r="AD70" s="874">
        <f>786.189743*3-AB70-AC70</f>
        <v>787.22476100000017</v>
      </c>
      <c r="AE70" s="1459">
        <f>AG70*2-AD70</f>
        <v>783.91516699999966</v>
      </c>
      <c r="AF70" s="874">
        <v>785.672234</v>
      </c>
      <c r="AG70" s="874">
        <f>AH70*2-AF70</f>
        <v>785.56996399999991</v>
      </c>
      <c r="AH70" s="358">
        <v>785.62109899999996</v>
      </c>
      <c r="AI70" s="874">
        <v>776.552505</v>
      </c>
      <c r="AJ70" s="874">
        <f>AM70*2-AI70</f>
        <v>773.67969099999993</v>
      </c>
      <c r="AK70" s="874">
        <f>774.211224*3-AI70-AJ70</f>
        <v>772.40147599999989</v>
      </c>
      <c r="AL70" s="1459">
        <f>AN70*2-AK70</f>
        <v>772.56167600000038</v>
      </c>
      <c r="AM70" s="874">
        <v>775.11609799999997</v>
      </c>
      <c r="AN70" s="874">
        <f>AO70*2-AM70</f>
        <v>772.48157600000013</v>
      </c>
      <c r="AO70" s="358">
        <v>773.79883700000005</v>
      </c>
      <c r="AP70" s="874">
        <v>772.72869900000001</v>
      </c>
      <c r="AQ70" s="874">
        <f>AT70*2-AP70</f>
        <v>773.71852899999999</v>
      </c>
      <c r="AR70" s="874">
        <f>773.574878*3-AP70-AQ70</f>
        <v>774.27740600000016</v>
      </c>
      <c r="AS70" s="1459">
        <f>AU70*2-AR70</f>
        <v>774.36617399999977</v>
      </c>
      <c r="AT70" s="874">
        <v>773.223614</v>
      </c>
      <c r="AU70" s="874">
        <f>AV70*2-AT70</f>
        <v>774.32178999999996</v>
      </c>
      <c r="AV70" s="358">
        <v>773.77270199999998</v>
      </c>
      <c r="AW70" s="874">
        <v>772.72869900000001</v>
      </c>
      <c r="AX70" s="874">
        <f>BA70*2-AW70</f>
        <v>773.71852899999999</v>
      </c>
      <c r="AY70" s="874">
        <f>773.574878*3-AW70-AX70</f>
        <v>774.27740600000016</v>
      </c>
      <c r="AZ70" s="1459">
        <f>BB70*2-AY70</f>
        <v>774.36617399999977</v>
      </c>
      <c r="BA70" s="874">
        <v>773.223614</v>
      </c>
      <c r="BB70" s="874">
        <f>BC70*2-BA70</f>
        <v>774.32178999999996</v>
      </c>
      <c r="BC70" s="358">
        <v>773.77270199999998</v>
      </c>
      <c r="BD70" s="874">
        <v>774.36478599999998</v>
      </c>
      <c r="BE70" s="874">
        <f>BH70*2-BD70</f>
        <v>773.89404000000002</v>
      </c>
      <c r="BF70" s="874">
        <f>774.762268*3-BD70-BE70</f>
        <v>776.02797799999973</v>
      </c>
      <c r="BG70" s="1459">
        <f>BI70*2-BF70</f>
        <v>776.38496000000043</v>
      </c>
      <c r="BH70" s="874">
        <v>774.129413</v>
      </c>
      <c r="BI70" s="874">
        <f>BJ70*2-BH70</f>
        <v>776.20646900000008</v>
      </c>
      <c r="BJ70" s="358">
        <v>775.16794100000004</v>
      </c>
      <c r="BK70" s="874">
        <v>775.73095699999999</v>
      </c>
      <c r="BL70" s="874">
        <f>BO70*2-BK70</f>
        <v>776.85127699999998</v>
      </c>
      <c r="BM70" s="874">
        <f>776.697534*3-BK70-BL70</f>
        <v>777.5103680000002</v>
      </c>
      <c r="BN70" s="1459">
        <f>BP70*2-BM70</f>
        <v>778.06682999999975</v>
      </c>
      <c r="BO70" s="874">
        <v>776.29111699999999</v>
      </c>
      <c r="BP70" s="874">
        <f>BQ70*2-BO70</f>
        <v>777.78859899999998</v>
      </c>
      <c r="BQ70" s="358">
        <v>777.03985799999998</v>
      </c>
      <c r="BR70" s="874">
        <v>782.27793999999994</v>
      </c>
      <c r="BS70" s="874">
        <f>BV70*2-BR70</f>
        <v>783.12207400000011</v>
      </c>
      <c r="BT70" s="874">
        <f>783.012736*3-BR70-BS70</f>
        <v>783.63819399999988</v>
      </c>
      <c r="BU70" s="1459">
        <f>BW70*2-BT70</f>
        <v>783.67455599999994</v>
      </c>
      <c r="BV70" s="874">
        <v>782.70000700000003</v>
      </c>
      <c r="BW70" s="874">
        <f>BX70*2-BV70</f>
        <v>783.65637499999991</v>
      </c>
      <c r="BX70" s="358">
        <v>783.17819099999997</v>
      </c>
      <c r="BY70" s="874">
        <v>783.98668299999997</v>
      </c>
      <c r="BZ70" s="874">
        <f>CC70*2-BY70</f>
        <v>785.71734099999992</v>
      </c>
      <c r="CA70" s="874">
        <f>785.166205*3-BY70-BZ70</f>
        <v>785.79459099999997</v>
      </c>
      <c r="CB70" s="1459">
        <f>CD70*2-CA70</f>
        <v>785.80568099999994</v>
      </c>
      <c r="CC70" s="874">
        <v>784.85201199999995</v>
      </c>
      <c r="CD70" s="874">
        <f>CE70*2-CC70</f>
        <v>785.80013599999995</v>
      </c>
      <c r="CE70" s="358">
        <v>785.32607399999995</v>
      </c>
      <c r="CF70" s="874">
        <v>785.84107500000005</v>
      </c>
      <c r="CG70" s="874">
        <f>CJ70*2-CF70</f>
        <v>787.43537700000002</v>
      </c>
      <c r="CH70" s="874">
        <f>786.924508*3-CF70-CG70</f>
        <v>787.49707199999966</v>
      </c>
      <c r="CI70" s="1459">
        <f>CK70*2-CH70</f>
        <v>787.54879200000005</v>
      </c>
      <c r="CJ70" s="874">
        <v>786.63822600000003</v>
      </c>
      <c r="CK70" s="874">
        <f>CL70*2-CJ70</f>
        <v>787.52293199999986</v>
      </c>
      <c r="CL70" s="358">
        <v>787.08057899999994</v>
      </c>
      <c r="CM70" s="874">
        <v>787.79176700000005</v>
      </c>
      <c r="CN70" s="874">
        <f>CQ70*2-CM70</f>
        <v>789.11530899999991</v>
      </c>
      <c r="CO70" s="874">
        <f>788.697186*3-CM70-CN70</f>
        <v>789.184482</v>
      </c>
      <c r="CP70" s="1459">
        <f>CR70*2-CO70</f>
        <v>788.79155800000001</v>
      </c>
      <c r="CQ70" s="874">
        <v>788.45353799999998</v>
      </c>
      <c r="CR70" s="874">
        <f>CS70*2-CQ70</f>
        <v>788.98802000000001</v>
      </c>
      <c r="CS70" s="358">
        <v>788.72077899999999</v>
      </c>
      <c r="CT70" s="874">
        <v>788.07689800000003</v>
      </c>
      <c r="CU70" s="874">
        <f>CX70*2-CT70</f>
        <v>791.27495999999996</v>
      </c>
      <c r="CV70" s="874">
        <f>790.250976*3-CT70-CU70</f>
        <v>791.40106999999989</v>
      </c>
      <c r="CW70" s="1459">
        <f>CY70*2-CV70</f>
        <v>789.09375600000021</v>
      </c>
      <c r="CX70" s="874">
        <v>789.675929</v>
      </c>
      <c r="CY70" s="874">
        <f>CZ70*2-CX70</f>
        <v>790.24741300000005</v>
      </c>
      <c r="CZ70" s="358">
        <v>789.96167100000002</v>
      </c>
      <c r="DA70" s="874">
        <v>787.43349799999999</v>
      </c>
      <c r="DB70" s="874">
        <f>DE70*2-DA70</f>
        <v>791.07759999999996</v>
      </c>
      <c r="DC70" s="1835">
        <v>789.84984399999996</v>
      </c>
      <c r="DD70" s="1459">
        <f>DF70*2-DC70</f>
        <v>789.93191000000013</v>
      </c>
      <c r="DE70" s="2090">
        <v>789.25554899999997</v>
      </c>
      <c r="DF70" s="874">
        <f>DG70*2-DE70</f>
        <v>789.89087700000005</v>
      </c>
      <c r="DG70" s="1471">
        <v>789.57321300000001</v>
      </c>
      <c r="DH70" s="874">
        <v>787.22774500000003</v>
      </c>
      <c r="DI70" s="874">
        <f>DL70*2-DH70</f>
        <v>791.11295299999995</v>
      </c>
      <c r="DJ70" s="1419">
        <f>AVERAGE(DI69,DJ69)</f>
        <v>788.19132630232559</v>
      </c>
      <c r="DK70" s="1526">
        <f>DM70*2-DJ70</f>
        <v>777.72779290697656</v>
      </c>
      <c r="DL70" s="2056">
        <v>789.17034899999999</v>
      </c>
      <c r="DM70" s="1419">
        <f>DN70*2-DL70</f>
        <v>782.95955960465108</v>
      </c>
      <c r="DN70" s="1500">
        <f>AVERAGE(DG69,DN69)</f>
        <v>786.06495430232553</v>
      </c>
      <c r="DO70" s="1419">
        <f>AVERAGE(DN69,DO69)</f>
        <v>781.86879656723954</v>
      </c>
      <c r="DP70" s="1419">
        <f>DS70*2-DO70</f>
        <v>781.86879656723954</v>
      </c>
      <c r="DQ70" s="1419">
        <f>AVERAGE(DP69,DQ69)</f>
        <v>778.83542952982805</v>
      </c>
      <c r="DR70" s="1526">
        <f>DT70*2-DQ70</f>
        <v>784.90216360465104</v>
      </c>
      <c r="DS70" s="1419">
        <f>AVERAGE(DN69,DS69)</f>
        <v>781.86879656723954</v>
      </c>
      <c r="DT70" s="1419">
        <f>DU70*2-DS70</f>
        <v>781.86879656723954</v>
      </c>
      <c r="DU70" s="1500">
        <f>AVERAGE(DN69,DU69)</f>
        <v>781.86879656723954</v>
      </c>
      <c r="DV70" s="1419">
        <f>AVERAGE(DU69,DV69)</f>
        <v>776.19771906251367</v>
      </c>
      <c r="DW70" s="1419">
        <f>DZ70*2-DV70</f>
        <v>776.19771906251367</v>
      </c>
      <c r="DX70" s="1419">
        <f>AVERAGE(DW69,DX69)</f>
        <v>773.56000859519929</v>
      </c>
      <c r="DY70" s="1526">
        <f>EA70*2-DX70</f>
        <v>778.83542952982805</v>
      </c>
      <c r="DZ70" s="1419">
        <f>AVERAGE(DU69,DZ69)</f>
        <v>776.19771906251367</v>
      </c>
      <c r="EA70" s="1419">
        <f>EB70*2-DZ70</f>
        <v>776.19771906251367</v>
      </c>
      <c r="EB70" s="1500">
        <f>AVERAGE(DU69,EB69)</f>
        <v>776.19771906251367</v>
      </c>
      <c r="EC70" s="1419">
        <f>AVERAGE(EB69,EC69)</f>
        <v>771.26634731927379</v>
      </c>
      <c r="ED70" s="1419">
        <f>EG70*2-EC70</f>
        <v>771.26634731927379</v>
      </c>
      <c r="EE70" s="1419">
        <f>AVERAGE(ED69,EE69)</f>
        <v>768.97268604334818</v>
      </c>
      <c r="EF70" s="1526">
        <f>EH70*2-EE70</f>
        <v>773.56000859519941</v>
      </c>
      <c r="EG70" s="1419">
        <f>AVERAGE(EB69,EG69)</f>
        <v>771.26634731927379</v>
      </c>
      <c r="EH70" s="1419">
        <f>EI70*2-EG70</f>
        <v>771.26634731927379</v>
      </c>
      <c r="EI70" s="1500">
        <f>AVERAGE(EB69,EI69)</f>
        <v>771.26634731927379</v>
      </c>
      <c r="EJ70" s="1419">
        <f>AVERAGE(EI69,EJ69)</f>
        <v>768.97268604334818</v>
      </c>
      <c r="EK70" s="1419">
        <f>EN70*2-EJ70</f>
        <v>768.97268604334818</v>
      </c>
      <c r="EL70" s="1419">
        <f>AVERAGE(EK69,EL69)</f>
        <v>768.97268604334818</v>
      </c>
      <c r="EM70" s="1526">
        <f>EO70*2-EL70</f>
        <v>768.97268604334818</v>
      </c>
      <c r="EN70" s="1419">
        <f>AVERAGE(EI69,EN69)</f>
        <v>768.97268604334818</v>
      </c>
      <c r="EO70" s="1419">
        <f>EP70*2-EN70</f>
        <v>768.97268604334818</v>
      </c>
      <c r="EP70" s="1500">
        <f>AVERAGE(EI69,EP69)</f>
        <v>768.97268604334818</v>
      </c>
      <c r="EQ70" s="43"/>
      <c r="ER70" s="46"/>
    </row>
    <row r="71" spans="1:155" ht="10.199999999999999" customHeight="1">
      <c r="A71" s="43"/>
      <c r="B71" s="108"/>
      <c r="C71" s="108"/>
      <c r="D71" s="108"/>
      <c r="E71" s="244"/>
      <c r="F71" s="244"/>
      <c r="G71" s="244"/>
      <c r="H71" s="244"/>
      <c r="I71" s="244"/>
      <c r="J71" s="134"/>
      <c r="K71" s="134"/>
      <c r="L71" s="108"/>
      <c r="M71" s="108"/>
      <c r="N71" s="882"/>
      <c r="O71" s="882"/>
      <c r="P71" s="882"/>
      <c r="Q71" s="1094"/>
      <c r="R71" s="882"/>
      <c r="S71" s="1"/>
      <c r="T71" s="538"/>
      <c r="U71" s="882"/>
      <c r="V71" s="882"/>
      <c r="W71" s="882"/>
      <c r="X71" s="1094"/>
      <c r="Y71" s="882"/>
      <c r="Z71" s="1"/>
      <c r="AA71" s="538"/>
      <c r="AB71" s="882"/>
      <c r="AC71" s="882"/>
      <c r="AD71" s="882"/>
      <c r="AE71" s="1094"/>
      <c r="AF71" s="882"/>
      <c r="AG71" s="1"/>
      <c r="AH71" s="538"/>
      <c r="AI71" s="882"/>
      <c r="AJ71" s="882"/>
      <c r="AK71" s="882"/>
      <c r="AL71" s="1094"/>
      <c r="AM71" s="882"/>
      <c r="AN71" s="1"/>
      <c r="AO71" s="538"/>
      <c r="AP71" s="882"/>
      <c r="AQ71" s="882"/>
      <c r="AR71" s="882"/>
      <c r="AS71" s="1094"/>
      <c r="AT71" s="882"/>
      <c r="AU71" s="1"/>
      <c r="AV71" s="538"/>
      <c r="AW71" s="882"/>
      <c r="AX71" s="882"/>
      <c r="AY71" s="882"/>
      <c r="AZ71" s="1094"/>
      <c r="BA71" s="882"/>
      <c r="BB71" s="1"/>
      <c r="BC71" s="538"/>
      <c r="BD71" s="882"/>
      <c r="BE71" s="882"/>
      <c r="BF71" s="882"/>
      <c r="BG71" s="1094"/>
      <c r="BH71" s="882"/>
      <c r="BI71" s="1"/>
      <c r="BJ71" s="538"/>
      <c r="BK71" s="882"/>
      <c r="BL71" s="882"/>
      <c r="BM71" s="882"/>
      <c r="BN71" s="1094"/>
      <c r="BO71" s="882"/>
      <c r="BP71" s="1"/>
      <c r="BQ71" s="538"/>
      <c r="BR71" s="882"/>
      <c r="BS71" s="882"/>
      <c r="BT71" s="882"/>
      <c r="BU71" s="1094"/>
      <c r="BV71" s="882"/>
      <c r="BW71" s="1"/>
      <c r="BX71" s="538"/>
      <c r="BY71" s="882"/>
      <c r="BZ71" s="882"/>
      <c r="CA71" s="882"/>
      <c r="CB71" s="1094"/>
      <c r="CC71" s="882"/>
      <c r="CD71" s="1"/>
      <c r="CE71" s="538"/>
      <c r="CF71" s="882"/>
      <c r="CG71" s="882"/>
      <c r="CH71" s="882"/>
      <c r="CI71" s="1094"/>
      <c r="CJ71" s="882"/>
      <c r="CK71" s="1"/>
      <c r="CL71" s="538"/>
      <c r="CM71" s="882"/>
      <c r="CN71" s="882"/>
      <c r="CO71" s="882"/>
      <c r="CP71" s="1094"/>
      <c r="CQ71" s="882"/>
      <c r="CR71" s="1"/>
      <c r="CS71" s="538"/>
      <c r="CT71" s="882"/>
      <c r="CU71" s="882"/>
      <c r="CV71" s="882"/>
      <c r="CW71" s="1094"/>
      <c r="CX71" s="882"/>
      <c r="CY71" s="1"/>
      <c r="CZ71" s="538"/>
      <c r="DA71" s="882"/>
      <c r="DB71" s="882"/>
      <c r="DC71" s="1"/>
      <c r="DD71" s="1094"/>
      <c r="DE71" s="882"/>
      <c r="DF71" s="1"/>
      <c r="DG71" s="313"/>
      <c r="DH71" s="882"/>
      <c r="DI71" s="882"/>
      <c r="DJ71" s="882"/>
      <c r="DK71" s="1371"/>
      <c r="DL71" s="1879"/>
      <c r="DM71" s="882"/>
      <c r="DN71" s="1491"/>
      <c r="DO71" s="882"/>
      <c r="DP71" s="882"/>
      <c r="DQ71" s="882"/>
      <c r="DR71" s="1371"/>
      <c r="DS71" s="882"/>
      <c r="DT71" s="882"/>
      <c r="DU71" s="1491"/>
      <c r="DV71" s="882"/>
      <c r="DW71" s="882"/>
      <c r="DX71" s="882"/>
      <c r="DY71" s="1371"/>
      <c r="DZ71" s="882"/>
      <c r="EA71" s="882"/>
      <c r="EB71" s="1491"/>
      <c r="EC71" s="882"/>
      <c r="ED71" s="882"/>
      <c r="EE71" s="882"/>
      <c r="EF71" s="1371"/>
      <c r="EG71" s="882"/>
      <c r="EH71" s="882"/>
      <c r="EI71" s="1491"/>
      <c r="EJ71" s="882"/>
      <c r="EK71" s="882"/>
      <c r="EL71" s="882"/>
      <c r="EM71" s="1371"/>
      <c r="EN71" s="882"/>
      <c r="EO71" s="882"/>
      <c r="EP71" s="1491"/>
      <c r="EQ71" s="43"/>
      <c r="ER71" s="46"/>
    </row>
    <row r="72" spans="1:155" ht="10.199999999999999" customHeight="1">
      <c r="A72" s="3" t="s">
        <v>61</v>
      </c>
      <c r="B72" s="1"/>
      <c r="C72" s="1"/>
      <c r="D72" s="1">
        <v>801</v>
      </c>
      <c r="E72" s="874">
        <v>804.08287199999995</v>
      </c>
      <c r="F72" s="874">
        <v>800</v>
      </c>
      <c r="G72" s="874">
        <v>803.23728600000004</v>
      </c>
      <c r="H72" s="874">
        <v>805.93773037384608</v>
      </c>
      <c r="I72" s="874">
        <v>809.68040592839998</v>
      </c>
      <c r="J72" s="874">
        <v>811.19</v>
      </c>
      <c r="K72" s="874">
        <v>810.93600000000004</v>
      </c>
      <c r="L72" s="874">
        <v>813.70100000000002</v>
      </c>
      <c r="M72" s="874">
        <v>820.55193099999997</v>
      </c>
      <c r="N72" s="874">
        <f t="shared" ref="N72" si="660">N73-N70+N69</f>
        <v>827.50207599999999</v>
      </c>
      <c r="O72" s="874">
        <f>R72</f>
        <v>779.92089499999997</v>
      </c>
      <c r="P72" s="874">
        <f t="shared" ref="P72" si="661">P73-P70+P69</f>
        <v>780.51869799999997</v>
      </c>
      <c r="Q72" s="1459">
        <f>S72</f>
        <v>780.32251399999996</v>
      </c>
      <c r="R72" s="874">
        <f t="shared" ref="R72" si="662">R73-R70+R69</f>
        <v>779.92089499999997</v>
      </c>
      <c r="S72" s="874">
        <f>T72</f>
        <v>780.32251399999996</v>
      </c>
      <c r="T72" s="1471">
        <v>780.32251399999996</v>
      </c>
      <c r="U72" s="874">
        <f t="shared" ref="U72" si="663">U73-U70+U69</f>
        <v>785.55130899999995</v>
      </c>
      <c r="V72" s="874">
        <f>Y72</f>
        <v>785.25701300000003</v>
      </c>
      <c r="W72" s="874">
        <f t="shared" ref="W72" si="664">W73-W70+W69</f>
        <v>784.56180800000038</v>
      </c>
      <c r="X72" s="1459">
        <f>Z72</f>
        <v>784.34875299999999</v>
      </c>
      <c r="Y72" s="874">
        <f t="shared" ref="Y72" si="665">Y73-Y70+Y69</f>
        <v>785.25701300000003</v>
      </c>
      <c r="Z72" s="874">
        <f>AA72</f>
        <v>784.34875299999999</v>
      </c>
      <c r="AA72" s="1471">
        <v>784.34875299999999</v>
      </c>
      <c r="AB72" s="874">
        <f t="shared" ref="AB72" si="666">AB73-AB70+AB69</f>
        <v>786.28141100000005</v>
      </c>
      <c r="AC72" s="874">
        <f>AF72</f>
        <v>787.89789700000006</v>
      </c>
      <c r="AD72" s="874">
        <f t="shared" ref="AD72" si="667">AD73-AD70+AD69</f>
        <v>787.80518600000005</v>
      </c>
      <c r="AE72" s="1459">
        <f>AG72</f>
        <v>786.74132090000001</v>
      </c>
      <c r="AF72" s="874">
        <f t="shared" ref="AF72" si="668">AF73-AF70+AF69</f>
        <v>787.89789700000006</v>
      </c>
      <c r="AG72" s="874">
        <f>AH72</f>
        <v>786.74132090000001</v>
      </c>
      <c r="AH72" s="1471">
        <f t="shared" ref="AH72:CM72" si="669">AH73-AH70+AH69</f>
        <v>786.74132090000001</v>
      </c>
      <c r="AI72" s="874">
        <f t="shared" si="669"/>
        <v>782.6024369999999</v>
      </c>
      <c r="AJ72" s="874">
        <f>AM72</f>
        <v>777.71425700000009</v>
      </c>
      <c r="AK72" s="874">
        <f t="shared" ref="AK72" si="670">AK73-AK70+AK69</f>
        <v>777.71334100000036</v>
      </c>
      <c r="AL72" s="1459">
        <f>AN72</f>
        <v>778.03949599999999</v>
      </c>
      <c r="AM72" s="874">
        <f t="shared" ref="AM72" si="671">AM73-AM70+AM69</f>
        <v>777.71425700000009</v>
      </c>
      <c r="AN72" s="874">
        <f>AO72</f>
        <v>778.03949599999999</v>
      </c>
      <c r="AO72" s="1471">
        <f t="shared" si="669"/>
        <v>778.03949599999999</v>
      </c>
      <c r="AP72" s="874">
        <f t="shared" ref="AP72" si="672">AP73-AP70+AP69</f>
        <v>778.169307</v>
      </c>
      <c r="AQ72" s="874">
        <f>AT72</f>
        <v>779.76770599999998</v>
      </c>
      <c r="AR72" s="874">
        <f t="shared" ref="AR72" si="673">AR73-AR70+AR69</f>
        <v>779.85892700000022</v>
      </c>
      <c r="AS72" s="1459">
        <f>AU72</f>
        <v>778.25722500000006</v>
      </c>
      <c r="AT72" s="874">
        <f t="shared" ref="AT72" si="674">AT73-AT70+AT69</f>
        <v>779.76770599999998</v>
      </c>
      <c r="AU72" s="874">
        <f>AV72</f>
        <v>778.25722500000006</v>
      </c>
      <c r="AV72" s="1471">
        <f t="shared" si="669"/>
        <v>778.25722500000006</v>
      </c>
      <c r="AW72" s="874">
        <f t="shared" si="669"/>
        <v>778.169307</v>
      </c>
      <c r="AX72" s="874">
        <f>BA72</f>
        <v>779.76770599999998</v>
      </c>
      <c r="AY72" s="874">
        <f t="shared" ref="AY72" si="675">AY73-AY70+AY69</f>
        <v>779.85892700000022</v>
      </c>
      <c r="AZ72" s="1459">
        <f>BB72</f>
        <v>779.95506300000011</v>
      </c>
      <c r="BA72" s="874">
        <f t="shared" ref="BA72" si="676">BA73-BA70+BA69</f>
        <v>779.76770599999998</v>
      </c>
      <c r="BB72" s="874">
        <f>BC72</f>
        <v>779.95506300000011</v>
      </c>
      <c r="BC72" s="1471">
        <f t="shared" si="669"/>
        <v>779.95506300000011</v>
      </c>
      <c r="BD72" s="874">
        <f t="shared" ref="BD72" si="677">BD73-BD70+BD69</f>
        <v>779.73260100000005</v>
      </c>
      <c r="BE72" s="874">
        <f>BH72</f>
        <v>780.88953200000003</v>
      </c>
      <c r="BF72" s="874">
        <f t="shared" ref="BF72" si="678">BF73-BF70+BF69</f>
        <v>781.05745100000036</v>
      </c>
      <c r="BG72" s="1459">
        <f>BI72</f>
        <v>781.50605399999995</v>
      </c>
      <c r="BH72" s="874">
        <f t="shared" ref="BH72" si="679">BH73-BH70+BH69</f>
        <v>780.88953200000003</v>
      </c>
      <c r="BI72" s="874">
        <f>BJ72</f>
        <v>781.50605399999995</v>
      </c>
      <c r="BJ72" s="1471">
        <f t="shared" si="669"/>
        <v>781.50605399999995</v>
      </c>
      <c r="BK72" s="874">
        <f t="shared" si="669"/>
        <v>781.60626300000001</v>
      </c>
      <c r="BL72" s="874">
        <f>BO72</f>
        <v>788.18070299999999</v>
      </c>
      <c r="BM72" s="874">
        <f t="shared" ref="BM72" si="680">BM73-BM70+BM69</f>
        <v>783.66619699999978</v>
      </c>
      <c r="BN72" s="1459">
        <f>BP72</f>
        <v>782.31</v>
      </c>
      <c r="BO72" s="874">
        <f t="shared" ref="BO72" si="681">BO73-BO70+BO69</f>
        <v>788.18070299999999</v>
      </c>
      <c r="BP72" s="874">
        <f>BQ72</f>
        <v>782.31</v>
      </c>
      <c r="BQ72" s="1471">
        <f t="shared" si="669"/>
        <v>782.31</v>
      </c>
      <c r="BR72" s="874">
        <f t="shared" ref="BR72" si="682">BR73-BR70+BR69</f>
        <v>785.60860000000002</v>
      </c>
      <c r="BS72" s="874">
        <f>BV72</f>
        <v>783.63264100000004</v>
      </c>
      <c r="BT72" s="874">
        <f t="shared" ref="BT72" si="683">BT73-BT70+BT69</f>
        <v>783.63075200000014</v>
      </c>
      <c r="BU72" s="1459">
        <f>BW72</f>
        <v>783.71639500000003</v>
      </c>
      <c r="BV72" s="874">
        <f t="shared" ref="BV72" si="684">BV73-BV70+BV69</f>
        <v>783.63264100000004</v>
      </c>
      <c r="BW72" s="874">
        <f>BX72</f>
        <v>783.71639500000003</v>
      </c>
      <c r="BX72" s="1471">
        <f t="shared" si="669"/>
        <v>783.71639500000003</v>
      </c>
      <c r="BY72" s="874">
        <f t="shared" si="669"/>
        <v>786.12993800000004</v>
      </c>
      <c r="BZ72" s="874">
        <f>CC72</f>
        <v>786.19262900000001</v>
      </c>
      <c r="CA72" s="874">
        <f t="shared" ref="CA72" si="685">CA73-CA70+CA69</f>
        <v>786.3933940000004</v>
      </c>
      <c r="CB72" s="1459">
        <f>CD72</f>
        <v>786.20488100000011</v>
      </c>
      <c r="CC72" s="874">
        <f t="shared" ref="CC72" si="686">CC73-CC70+CC69</f>
        <v>786.19262900000001</v>
      </c>
      <c r="CD72" s="874">
        <f>CE72</f>
        <v>786.20488100000011</v>
      </c>
      <c r="CE72" s="1471">
        <f t="shared" si="669"/>
        <v>786.20488100000011</v>
      </c>
      <c r="CF72" s="874">
        <f t="shared" ref="CF72" si="687">CF73-CF70+CF69</f>
        <v>787.96523300000001</v>
      </c>
      <c r="CG72" s="874">
        <f>CJ72</f>
        <v>787.99149799999998</v>
      </c>
      <c r="CH72" s="874">
        <f t="shared" ref="CH72" si="688">CH73-CH70+CH69</f>
        <v>788.59122600000035</v>
      </c>
      <c r="CI72" s="1459">
        <f>CK72</f>
        <v>788.230414</v>
      </c>
      <c r="CJ72" s="874">
        <f t="shared" ref="CJ72" si="689">CJ73-CJ70+CJ69</f>
        <v>787.99149799999998</v>
      </c>
      <c r="CK72" s="874">
        <f>CL72</f>
        <v>788.230414</v>
      </c>
      <c r="CL72" s="1471">
        <f t="shared" si="669"/>
        <v>788.230414</v>
      </c>
      <c r="CM72" s="874">
        <f t="shared" si="669"/>
        <v>790.02728100000002</v>
      </c>
      <c r="CN72" s="874">
        <f>CQ72</f>
        <v>790.11372399999993</v>
      </c>
      <c r="CO72" s="874">
        <f t="shared" ref="CO72" si="690">CO73-CO70+CO69</f>
        <v>790.2874240000001</v>
      </c>
      <c r="CP72" s="1459">
        <f>CR72</f>
        <v>788.46178699999996</v>
      </c>
      <c r="CQ72" s="874">
        <f t="shared" ref="CQ72" si="691">CQ73-CQ70+CQ69</f>
        <v>790.11372399999993</v>
      </c>
      <c r="CR72" s="874">
        <f>CS72</f>
        <v>788.46178699999996</v>
      </c>
      <c r="CS72" s="1471">
        <f t="shared" ref="CS72:CT72" si="692">CS73-CS70+CS69</f>
        <v>788.46178699999996</v>
      </c>
      <c r="CT72" s="874">
        <f t="shared" si="692"/>
        <v>792.10857899999996</v>
      </c>
      <c r="CU72" s="874">
        <f>CX72</f>
        <v>792.26963799999999</v>
      </c>
      <c r="CV72" s="874">
        <f t="shared" ref="CV72" si="693">CV73-CV70+CV69</f>
        <v>791.48839800000019</v>
      </c>
      <c r="CW72" s="1459">
        <f>CY72</f>
        <v>788.98565699999995</v>
      </c>
      <c r="CX72" s="874">
        <f t="shared" ref="CX72" si="694">CX73-CX70+CX69</f>
        <v>792.26963799999999</v>
      </c>
      <c r="CY72" s="874">
        <f>CZ72</f>
        <v>788.98565699999995</v>
      </c>
      <c r="CZ72" s="1471">
        <f t="shared" ref="CZ72:DA72" si="695">CZ73-CZ70+CZ69</f>
        <v>788.98565699999995</v>
      </c>
      <c r="DA72" s="874">
        <f t="shared" si="695"/>
        <v>788.47589499999992</v>
      </c>
      <c r="DB72" s="874">
        <f>DE72</f>
        <v>792.08509600000002</v>
      </c>
      <c r="DC72" s="874">
        <f t="shared" ref="DC72" si="696">DC73-DC70+DC69</f>
        <v>790.38805600000001</v>
      </c>
      <c r="DD72" s="1459">
        <f>DF72</f>
        <v>788.54665999999997</v>
      </c>
      <c r="DE72" s="874">
        <f t="shared" ref="DE72" si="697">DE73-DE70+DE69</f>
        <v>792.08509600000002</v>
      </c>
      <c r="DF72" s="874">
        <f>DG72</f>
        <v>788.54665999999997</v>
      </c>
      <c r="DG72" s="1471">
        <f t="shared" ref="DG72:DH72" si="698">DG73-DG70+DG69</f>
        <v>788.54665999999997</v>
      </c>
      <c r="DH72" s="874">
        <f t="shared" si="698"/>
        <v>788.63419199999998</v>
      </c>
      <c r="DI72" s="874">
        <f>DL72</f>
        <v>792.17026800000008</v>
      </c>
      <c r="DJ72" s="1419">
        <f>DN72</f>
        <v>786.2210786046511</v>
      </c>
      <c r="DK72" s="1526">
        <f>DM72</f>
        <v>786.2210786046511</v>
      </c>
      <c r="DL72" s="2056">
        <f t="shared" ref="DL72" si="699">DL73-DL70+DL69</f>
        <v>792.17026800000008</v>
      </c>
      <c r="DM72" s="1419">
        <f>DN72</f>
        <v>786.2210786046511</v>
      </c>
      <c r="DN72" s="1500">
        <f>+DG72+DN77</f>
        <v>786.2210786046511</v>
      </c>
      <c r="DO72" s="1419">
        <f>DU72</f>
        <v>780.15434452982799</v>
      </c>
      <c r="DP72" s="1419">
        <f>DS72</f>
        <v>780.15434452982799</v>
      </c>
      <c r="DQ72" s="1419">
        <f>DU72</f>
        <v>780.15434452982799</v>
      </c>
      <c r="DR72" s="1526">
        <f>DT72</f>
        <v>780.15434452982799</v>
      </c>
      <c r="DS72" s="1419">
        <f>DU72</f>
        <v>780.15434452982799</v>
      </c>
      <c r="DT72" s="1419">
        <f>DU72</f>
        <v>780.15434452982799</v>
      </c>
      <c r="DU72" s="1500">
        <f>+DN72+DU77</f>
        <v>780.15434452982799</v>
      </c>
      <c r="DV72" s="1419">
        <f>EB72</f>
        <v>774.87892359519924</v>
      </c>
      <c r="DW72" s="1419">
        <f>DZ72</f>
        <v>774.87892359519924</v>
      </c>
      <c r="DX72" s="1419">
        <f>EB72</f>
        <v>774.87892359519924</v>
      </c>
      <c r="DY72" s="1526">
        <f>EA72</f>
        <v>774.87892359519924</v>
      </c>
      <c r="DZ72" s="1419">
        <f>EB72</f>
        <v>774.87892359519924</v>
      </c>
      <c r="EA72" s="1419">
        <f>EB72</f>
        <v>774.87892359519924</v>
      </c>
      <c r="EB72" s="1500">
        <f>+DU72+EB77</f>
        <v>774.87892359519924</v>
      </c>
      <c r="EC72" s="1419">
        <f>EI72</f>
        <v>770.29160104334812</v>
      </c>
      <c r="ED72" s="1419">
        <f>EG72</f>
        <v>770.29160104334812</v>
      </c>
      <c r="EE72" s="1419">
        <f>EI72</f>
        <v>770.29160104334812</v>
      </c>
      <c r="EF72" s="1526">
        <f>EH72</f>
        <v>770.29160104334812</v>
      </c>
      <c r="EG72" s="1419">
        <f>EI72</f>
        <v>770.29160104334812</v>
      </c>
      <c r="EH72" s="1419">
        <f>EI72</f>
        <v>770.29160104334812</v>
      </c>
      <c r="EI72" s="1500">
        <f>+EB72+EI77</f>
        <v>770.29160104334812</v>
      </c>
      <c r="EJ72" s="1419">
        <f>EP72</f>
        <v>770.29160104334812</v>
      </c>
      <c r="EK72" s="1419">
        <f>EN72</f>
        <v>770.29160104334812</v>
      </c>
      <c r="EL72" s="1419">
        <f>EP72</f>
        <v>770.29160104334812</v>
      </c>
      <c r="EM72" s="1526">
        <f>EO72</f>
        <v>770.29160104334812</v>
      </c>
      <c r="EN72" s="1419">
        <f>EP72</f>
        <v>770.29160104334812</v>
      </c>
      <c r="EO72" s="1419">
        <f>EP72</f>
        <v>770.29160104334812</v>
      </c>
      <c r="EP72" s="1500">
        <f t="shared" ref="EP72" si="700">+EI72+EP77</f>
        <v>770.29160104334812</v>
      </c>
      <c r="EQ72" s="3"/>
      <c r="ER72" s="875"/>
    </row>
    <row r="73" spans="1:155" ht="10.199999999999999" customHeight="1">
      <c r="A73" s="43" t="s">
        <v>228</v>
      </c>
      <c r="B73" s="108"/>
      <c r="C73" s="292">
        <v>804.11687700000004</v>
      </c>
      <c r="D73" s="292">
        <v>800.95724800000005</v>
      </c>
      <c r="E73" s="292">
        <v>804.08287199999995</v>
      </c>
      <c r="F73" s="292">
        <v>800.21635300000003</v>
      </c>
      <c r="G73" s="292">
        <v>804.31566299999997</v>
      </c>
      <c r="H73" s="292">
        <v>805.54840100000001</v>
      </c>
      <c r="I73" s="292">
        <v>807.59694200000001</v>
      </c>
      <c r="J73" s="292">
        <v>811.190113</v>
      </c>
      <c r="K73" s="292">
        <v>810.69333900000004</v>
      </c>
      <c r="L73" s="292">
        <v>813.702</v>
      </c>
      <c r="M73" s="292">
        <v>820.55193099999997</v>
      </c>
      <c r="N73" s="874">
        <v>825.124819</v>
      </c>
      <c r="O73" s="874">
        <f>R73*2-N73</f>
        <v>790.15070099999991</v>
      </c>
      <c r="P73" s="874">
        <f>798.191575*3-N73-O73</f>
        <v>779.29920499999992</v>
      </c>
      <c r="Q73" s="1459">
        <f>S73*2-P73</f>
        <v>781.93652299999997</v>
      </c>
      <c r="R73" s="874">
        <v>807.63775999999996</v>
      </c>
      <c r="S73" s="874">
        <f>T73*2-R73</f>
        <v>780.61786399999994</v>
      </c>
      <c r="T73" s="358">
        <v>794.12781199999995</v>
      </c>
      <c r="U73" s="874">
        <v>783.36179800000002</v>
      </c>
      <c r="V73" s="874">
        <f>Y73*2-U73</f>
        <v>784.19966800000009</v>
      </c>
      <c r="W73" s="874">
        <f>783.897364*3-U73-V73</f>
        <v>784.13062600000023</v>
      </c>
      <c r="X73" s="1459">
        <f>Z73*2-W73</f>
        <v>784.93090399999971</v>
      </c>
      <c r="Y73" s="874">
        <v>783.78073300000005</v>
      </c>
      <c r="Z73" s="874">
        <f>AA73*2-Y73</f>
        <v>784.53076499999997</v>
      </c>
      <c r="AA73" s="358">
        <v>784.15574900000001</v>
      </c>
      <c r="AB73" s="874">
        <v>785.45234700000003</v>
      </c>
      <c r="AC73" s="874">
        <f>AF73*2-AB73</f>
        <v>787.39272300000005</v>
      </c>
      <c r="AD73" s="874">
        <f>786.858871*3-AB73-AC73</f>
        <v>787.73154300000022</v>
      </c>
      <c r="AE73" s="1459">
        <f>AG73*2-AD73</f>
        <v>793.39015859999961</v>
      </c>
      <c r="AF73" s="874">
        <v>786.42253500000004</v>
      </c>
      <c r="AG73" s="874">
        <f>AH73*2-AF73</f>
        <v>790.56085079999991</v>
      </c>
      <c r="AH73" s="358">
        <v>788.49169289999998</v>
      </c>
      <c r="AI73" s="874">
        <v>781.86682499999995</v>
      </c>
      <c r="AJ73" s="874">
        <f>AM73*2-AI73</f>
        <v>778.9987010000001</v>
      </c>
      <c r="AK73" s="874">
        <f>779.516417*3-AI73-AJ73</f>
        <v>777.68372500000021</v>
      </c>
      <c r="AL73" s="1459">
        <f>AN73*2-AK73</f>
        <v>777.88928499999986</v>
      </c>
      <c r="AM73" s="874">
        <v>780.43276300000002</v>
      </c>
      <c r="AN73" s="874">
        <f>AO73*2-AM73</f>
        <v>777.78650500000003</v>
      </c>
      <c r="AO73" s="358">
        <v>779.10963400000003</v>
      </c>
      <c r="AP73" s="874">
        <v>778.169307</v>
      </c>
      <c r="AQ73" s="874">
        <f>AT73*2-AP73</f>
        <v>779.24752099999989</v>
      </c>
      <c r="AR73" s="874">
        <f>779.090085*3-AP73-AQ73</f>
        <v>779.85342700000035</v>
      </c>
      <c r="AS73" s="1459">
        <f>AU73*2-AR73</f>
        <v>779.9346569999999</v>
      </c>
      <c r="AT73" s="874">
        <v>778.70841399999995</v>
      </c>
      <c r="AU73" s="874">
        <f>AV73*2-AT73</f>
        <v>779.89404200000013</v>
      </c>
      <c r="AV73" s="358">
        <v>779.30122800000004</v>
      </c>
      <c r="AW73" s="874">
        <v>778.169307</v>
      </c>
      <c r="AX73" s="874">
        <f>BA73*2-AW73</f>
        <v>779.24752099999989</v>
      </c>
      <c r="AY73" s="874">
        <f>779.090085*3-AW73-AX73</f>
        <v>779.85342700000035</v>
      </c>
      <c r="AZ73" s="1459">
        <f>BB73*2-AY73</f>
        <v>779.9346569999999</v>
      </c>
      <c r="BA73" s="874">
        <v>778.70841399999995</v>
      </c>
      <c r="BB73" s="874">
        <f>BC73*2-BA73</f>
        <v>779.89404200000013</v>
      </c>
      <c r="BC73" s="358">
        <v>779.30122800000004</v>
      </c>
      <c r="BD73" s="874">
        <v>780.05952300000001</v>
      </c>
      <c r="BE73" s="874">
        <f>BH73*2-BD73</f>
        <v>779.59119300000009</v>
      </c>
      <c r="BF73" s="874">
        <f>780.514186*3-BD73-BE73</f>
        <v>781.89184200000011</v>
      </c>
      <c r="BG73" s="1459">
        <f>BI73*2-BF73</f>
        <v>782.22959399999979</v>
      </c>
      <c r="BH73" s="874">
        <v>779.82535800000005</v>
      </c>
      <c r="BI73" s="874">
        <f>BJ73*2-BH73</f>
        <v>782.06071799999995</v>
      </c>
      <c r="BJ73" s="358">
        <v>780.943038</v>
      </c>
      <c r="BK73" s="874">
        <v>781.60626300000001</v>
      </c>
      <c r="BL73" s="874">
        <f>BO73*2-BK73</f>
        <v>782.86555699999997</v>
      </c>
      <c r="BM73" s="874">
        <f>782.717067*3-BK73-BL73</f>
        <v>783.67938100000003</v>
      </c>
      <c r="BN73" s="1459">
        <f>BP73*2-BM73</f>
        <v>760.00823099999991</v>
      </c>
      <c r="BO73" s="874">
        <v>782.23590999999999</v>
      </c>
      <c r="BP73" s="874">
        <f>BQ73*2-BO73</f>
        <v>771.84380599999997</v>
      </c>
      <c r="BQ73" s="358">
        <v>777.03985799999998</v>
      </c>
      <c r="BR73" s="874">
        <v>782.29878599999995</v>
      </c>
      <c r="BS73" s="874">
        <f>BV73*2-BR73</f>
        <v>783.10122800000011</v>
      </c>
      <c r="BT73" s="874">
        <f>783.012736*3-BR73-BS73</f>
        <v>783.638194</v>
      </c>
      <c r="BU73" s="1459">
        <f>BW73*2-BT73</f>
        <v>783.67455599999982</v>
      </c>
      <c r="BV73" s="874">
        <v>782.70000700000003</v>
      </c>
      <c r="BW73" s="874">
        <f>BX73*2-BV73</f>
        <v>783.65637499999991</v>
      </c>
      <c r="BX73" s="358">
        <v>783.17819099999997</v>
      </c>
      <c r="BY73" s="874">
        <v>784.52886699999999</v>
      </c>
      <c r="BZ73" s="874">
        <f>CC73*2-BY73</f>
        <v>785.99440899999991</v>
      </c>
      <c r="CA73" s="874">
        <f>785.64196*3-BY73-BZ73</f>
        <v>786.40260400000034</v>
      </c>
      <c r="CB73" s="1459">
        <f>CD73*2-CA73</f>
        <v>786.68211999999994</v>
      </c>
      <c r="CC73" s="874">
        <v>785.26163799999995</v>
      </c>
      <c r="CD73" s="874">
        <f>CE73*2-CC73</f>
        <v>786.54236200000014</v>
      </c>
      <c r="CE73" s="358">
        <v>785.90200000000004</v>
      </c>
      <c r="CF73" s="874">
        <v>786.45099400000004</v>
      </c>
      <c r="CG73" s="874">
        <f>CJ73*2-CF73</f>
        <v>787.83298999999988</v>
      </c>
      <c r="CH73" s="874">
        <f>787.628162*3-CF73-CG73</f>
        <v>788.60050200000001</v>
      </c>
      <c r="CI73" s="1459">
        <f>CK73*2-CH73</f>
        <v>788.1294539999999</v>
      </c>
      <c r="CJ73" s="874">
        <v>787.14199199999996</v>
      </c>
      <c r="CK73" s="874">
        <f>CL73*2-CJ73</f>
        <v>788.36497799999995</v>
      </c>
      <c r="CL73" s="358">
        <v>787.75348499999996</v>
      </c>
      <c r="CM73" s="874">
        <v>788.75588100000004</v>
      </c>
      <c r="CN73" s="874">
        <f>CQ73*2-CM73</f>
        <v>790.02557299999989</v>
      </c>
      <c r="CO73" s="874">
        <f>789.692275*3-CM73-CN73</f>
        <v>790.29537100000016</v>
      </c>
      <c r="CP73" s="1459">
        <f>CR73*2-CO73</f>
        <v>789.96557099999973</v>
      </c>
      <c r="CQ73" s="874">
        <v>789.39072699999997</v>
      </c>
      <c r="CR73" s="874">
        <f>CS73*2-CQ73</f>
        <v>790.13047099999994</v>
      </c>
      <c r="CS73" s="358">
        <v>789.76059899999996</v>
      </c>
      <c r="CT73" s="874">
        <v>789.26135599999998</v>
      </c>
      <c r="CU73" s="874">
        <f>CX73*2-CT73</f>
        <v>791.6212680000001</v>
      </c>
      <c r="CV73" s="874">
        <f>791.091253*3-CT73-CU73</f>
        <v>792.39113500000008</v>
      </c>
      <c r="CW73" s="1459">
        <f>CY73*2-CV73</f>
        <v>790.69054899999992</v>
      </c>
      <c r="CX73" s="874">
        <v>790.44131200000004</v>
      </c>
      <c r="CY73" s="874">
        <f>CZ73*2-CX73</f>
        <v>791.540842</v>
      </c>
      <c r="CZ73" s="358">
        <v>790.99107700000002</v>
      </c>
      <c r="DA73" s="1835">
        <v>788.57971899999995</v>
      </c>
      <c r="DB73" s="874">
        <f>DE73*2-DA73</f>
        <v>791.51189299999999</v>
      </c>
      <c r="DC73" s="1835">
        <v>790.85834</v>
      </c>
      <c r="DD73" s="1459">
        <f>DF73*2-DC73</f>
        <v>792.61855999999989</v>
      </c>
      <c r="DE73" s="874">
        <v>790.04580599999997</v>
      </c>
      <c r="DF73" s="874">
        <f>DG73*2-DE73</f>
        <v>791.73844999999994</v>
      </c>
      <c r="DG73" s="1471">
        <v>790.89212799999996</v>
      </c>
      <c r="DH73" s="292">
        <v>788.63381200000003</v>
      </c>
      <c r="DI73" s="874">
        <f>DL73*2-DH73</f>
        <v>791.08644400000003</v>
      </c>
      <c r="DJ73" s="1419">
        <f>AVERAGE(DI72,DJ72)</f>
        <v>789.19567330232553</v>
      </c>
      <c r="DK73" s="1526">
        <f>DM73*2-DJ73</f>
        <v>780.61954790697678</v>
      </c>
      <c r="DL73" s="2056">
        <v>789.86012800000003</v>
      </c>
      <c r="DM73" s="1419">
        <f>DN73*2-DL73</f>
        <v>784.90761060465115</v>
      </c>
      <c r="DN73" s="1500">
        <f>AVERAGE(DG72,DN72)</f>
        <v>787.38386930232559</v>
      </c>
      <c r="DO73" s="1419">
        <f>AVERAGE(DN72,DO72)</f>
        <v>783.1877115672396</v>
      </c>
      <c r="DP73" s="1419">
        <f>DS73*2-DO73</f>
        <v>783.1877115672396</v>
      </c>
      <c r="DQ73" s="1419">
        <f>AVERAGE(DP72,DQ72)</f>
        <v>780.15434452982799</v>
      </c>
      <c r="DR73" s="1526">
        <f>DT73*2-DQ73</f>
        <v>786.22107860465121</v>
      </c>
      <c r="DS73" s="1419">
        <f>AVERAGE(DN72,DS72)</f>
        <v>783.1877115672396</v>
      </c>
      <c r="DT73" s="1419">
        <f>DU73*2-DS73</f>
        <v>783.1877115672396</v>
      </c>
      <c r="DU73" s="1500">
        <f>AVERAGE(DN72,DU72)</f>
        <v>783.1877115672396</v>
      </c>
      <c r="DV73" s="1419">
        <f>AVERAGE(DU72,DV72)</f>
        <v>777.51663406251362</v>
      </c>
      <c r="DW73" s="1419">
        <f>DZ73*2-DV73</f>
        <v>777.51663406251362</v>
      </c>
      <c r="DX73" s="1419">
        <f>AVERAGE(DW72,DX72)</f>
        <v>774.87892359519924</v>
      </c>
      <c r="DY73" s="1526">
        <f>EA73*2-DX73</f>
        <v>780.15434452982799</v>
      </c>
      <c r="DZ73" s="1419">
        <f>AVERAGE(DU72,DZ72)</f>
        <v>777.51663406251362</v>
      </c>
      <c r="EA73" s="1419">
        <f>EB73*2-DZ73</f>
        <v>777.51663406251362</v>
      </c>
      <c r="EB73" s="1500">
        <f>AVERAGE(DU72,EB72)</f>
        <v>777.51663406251362</v>
      </c>
      <c r="EC73" s="1419">
        <f>AVERAGE(EB72,EC72)</f>
        <v>772.58526231927362</v>
      </c>
      <c r="ED73" s="1419">
        <f>EG73*2-EC73</f>
        <v>772.58526231927362</v>
      </c>
      <c r="EE73" s="1419">
        <f>AVERAGE(ED72,EE72)</f>
        <v>770.29160104334812</v>
      </c>
      <c r="EF73" s="1526">
        <f>EH73*2-EE73</f>
        <v>774.87892359519913</v>
      </c>
      <c r="EG73" s="1419">
        <f>AVERAGE(EB72,EG72)</f>
        <v>772.58526231927362</v>
      </c>
      <c r="EH73" s="1419">
        <f>EI73*2-EG73</f>
        <v>772.58526231927362</v>
      </c>
      <c r="EI73" s="1500">
        <f>AVERAGE(EB72,EI72)</f>
        <v>772.58526231927362</v>
      </c>
      <c r="EJ73" s="1419">
        <f>AVERAGE(EI72,EJ72)</f>
        <v>770.29160104334812</v>
      </c>
      <c r="EK73" s="1419">
        <f>EN73*2-EJ73</f>
        <v>770.29160104334812</v>
      </c>
      <c r="EL73" s="1419">
        <f>AVERAGE(EK72,EL72)</f>
        <v>770.29160104334812</v>
      </c>
      <c r="EM73" s="1526">
        <f>EO73*2-EL73</f>
        <v>770.29160104334812</v>
      </c>
      <c r="EN73" s="1419">
        <f>AVERAGE(EI72,EN72)</f>
        <v>770.29160104334812</v>
      </c>
      <c r="EO73" s="1419">
        <f>EP73*2-EN73</f>
        <v>770.29160104334812</v>
      </c>
      <c r="EP73" s="1500">
        <f>AVERAGE(EI72,EP72)</f>
        <v>770.29160104334812</v>
      </c>
      <c r="EQ73" s="43"/>
      <c r="ER73" s="46"/>
    </row>
    <row r="74" spans="1:155" ht="10.199999999999999" customHeight="1">
      <c r="A74" s="43"/>
      <c r="B74" s="108"/>
      <c r="C74" s="828"/>
      <c r="D74" s="828"/>
      <c r="E74" s="828"/>
      <c r="F74" s="828"/>
      <c r="G74" s="226"/>
      <c r="H74" s="828"/>
      <c r="I74" s="224"/>
      <c r="J74" s="244"/>
      <c r="K74" s="134"/>
      <c r="L74" s="134"/>
      <c r="M74" s="134"/>
      <c r="N74" s="134"/>
      <c r="O74" s="134"/>
      <c r="P74" s="134"/>
      <c r="Q74" s="717"/>
      <c r="R74" s="134"/>
      <c r="S74" s="134"/>
      <c r="T74" s="1270"/>
      <c r="U74" s="134"/>
      <c r="V74" s="134"/>
      <c r="W74" s="134"/>
      <c r="X74" s="717"/>
      <c r="Y74" s="134"/>
      <c r="Z74" s="134"/>
      <c r="AA74" s="1270"/>
      <c r="AB74" s="134"/>
      <c r="AC74" s="134"/>
      <c r="AD74" s="134"/>
      <c r="AE74" s="717"/>
      <c r="AF74" s="134"/>
      <c r="AG74" s="134"/>
      <c r="AH74" s="1270"/>
      <c r="AI74" s="134"/>
      <c r="AJ74" s="134"/>
      <c r="AK74" s="134"/>
      <c r="AL74" s="717"/>
      <c r="AM74" s="134"/>
      <c r="AN74" s="134"/>
      <c r="AO74" s="1270"/>
      <c r="AP74" s="134"/>
      <c r="AQ74" s="134"/>
      <c r="AR74" s="134"/>
      <c r="AS74" s="717"/>
      <c r="AT74" s="134"/>
      <c r="AU74" s="134"/>
      <c r="AV74" s="1270"/>
      <c r="AW74" s="134"/>
      <c r="AX74" s="134"/>
      <c r="AY74" s="134"/>
      <c r="AZ74" s="717"/>
      <c r="BA74" s="134"/>
      <c r="BB74" s="134"/>
      <c r="BC74" s="1270"/>
      <c r="BD74" s="134"/>
      <c r="BE74" s="134"/>
      <c r="BF74" s="134"/>
      <c r="BG74" s="717"/>
      <c r="BH74" s="134"/>
      <c r="BI74" s="134"/>
      <c r="BJ74" s="1270"/>
      <c r="BK74" s="134"/>
      <c r="BL74" s="134"/>
      <c r="BM74" s="134"/>
      <c r="BN74" s="717"/>
      <c r="BO74" s="134"/>
      <c r="BP74" s="134"/>
      <c r="BQ74" s="1270"/>
      <c r="BR74" s="134"/>
      <c r="BS74" s="134"/>
      <c r="BT74" s="134"/>
      <c r="BU74" s="717"/>
      <c r="BV74" s="134"/>
      <c r="BW74" s="134"/>
      <c r="BX74" s="1270"/>
      <c r="BY74" s="134"/>
      <c r="BZ74" s="134"/>
      <c r="CA74" s="134"/>
      <c r="CB74" s="717"/>
      <c r="CC74" s="134"/>
      <c r="CD74" s="134"/>
      <c r="CE74" s="1270"/>
      <c r="CF74" s="134"/>
      <c r="CG74" s="134"/>
      <c r="CH74" s="134"/>
      <c r="CI74" s="717"/>
      <c r="CJ74" s="134"/>
      <c r="CK74" s="134"/>
      <c r="CL74" s="1270"/>
      <c r="CM74" s="134"/>
      <c r="CN74" s="134"/>
      <c r="CO74" s="134"/>
      <c r="CP74" s="717"/>
      <c r="CQ74" s="134"/>
      <c r="CR74" s="134"/>
      <c r="CS74" s="1270"/>
      <c r="CT74" s="16"/>
      <c r="CU74" s="16"/>
      <c r="CV74" s="16"/>
      <c r="CW74" s="710"/>
      <c r="CX74" s="16"/>
      <c r="CY74" s="16"/>
      <c r="CZ74" s="1084"/>
      <c r="DA74" s="16"/>
      <c r="DB74" s="16"/>
      <c r="DC74" s="16"/>
      <c r="DD74" s="710"/>
      <c r="DE74" s="16"/>
      <c r="DF74" s="16"/>
      <c r="DG74" s="1084"/>
      <c r="DH74" s="16"/>
      <c r="DI74" s="16"/>
      <c r="DJ74" s="16"/>
      <c r="DK74" s="710"/>
      <c r="DL74" s="1205"/>
      <c r="DM74" s="16"/>
      <c r="DN74" s="1084"/>
      <c r="DO74" s="16"/>
      <c r="DP74" s="16"/>
      <c r="DQ74" s="16"/>
      <c r="DR74" s="710"/>
      <c r="DS74" s="16"/>
      <c r="DT74" s="16"/>
      <c r="DU74" s="1084"/>
      <c r="DV74" s="16"/>
      <c r="DW74" s="16"/>
      <c r="DX74" s="16"/>
      <c r="DY74" s="710"/>
      <c r="DZ74" s="16"/>
      <c r="EA74" s="16"/>
      <c r="EB74" s="1084"/>
      <c r="EC74" s="16"/>
      <c r="ED74" s="16"/>
      <c r="EE74" s="16"/>
      <c r="EF74" s="710"/>
      <c r="EG74" s="16"/>
      <c r="EH74" s="16"/>
      <c r="EI74" s="1084"/>
      <c r="EJ74" s="16"/>
      <c r="EK74" s="16"/>
      <c r="EL74" s="16"/>
      <c r="EM74" s="710"/>
      <c r="EN74" s="16"/>
      <c r="EO74" s="16"/>
      <c r="EP74" s="1084"/>
      <c r="EQ74" s="43"/>
      <c r="ER74" s="46"/>
    </row>
    <row r="75" spans="1:155" ht="10.199999999999999" customHeight="1">
      <c r="A75" s="108" t="s">
        <v>488</v>
      </c>
      <c r="B75" s="108"/>
      <c r="C75" s="108"/>
      <c r="D75" s="108"/>
      <c r="E75" s="244"/>
      <c r="F75" s="244"/>
      <c r="G75" s="244"/>
      <c r="H75" s="244"/>
      <c r="I75" s="244"/>
      <c r="J75" s="134"/>
      <c r="K75" s="134"/>
      <c r="L75" s="108"/>
      <c r="M75" s="108"/>
      <c r="N75" s="108"/>
      <c r="O75" s="108"/>
      <c r="P75" s="108"/>
      <c r="Q75" s="700"/>
      <c r="R75" s="108"/>
      <c r="S75" s="108"/>
      <c r="T75" s="538"/>
      <c r="U75" s="108"/>
      <c r="V75" s="108"/>
      <c r="W75" s="108"/>
      <c r="X75" s="700"/>
      <c r="Y75" s="108"/>
      <c r="Z75" s="108"/>
      <c r="AA75" s="538"/>
      <c r="AB75" s="108"/>
      <c r="AC75" s="108"/>
      <c r="AD75" s="108"/>
      <c r="AE75" s="700"/>
      <c r="AF75" s="108"/>
      <c r="AG75" s="108"/>
      <c r="AH75" s="538"/>
      <c r="AI75" s="108"/>
      <c r="AJ75" s="108"/>
      <c r="AK75" s="108"/>
      <c r="AL75" s="700"/>
      <c r="AM75" s="108"/>
      <c r="AN75" s="108"/>
      <c r="AO75" s="538"/>
      <c r="AP75" s="108"/>
      <c r="AQ75" s="108"/>
      <c r="AR75" s="108"/>
      <c r="AS75" s="700"/>
      <c r="AT75" s="108"/>
      <c r="AU75" s="108"/>
      <c r="AV75" s="538"/>
      <c r="AW75" s="108"/>
      <c r="AX75" s="108"/>
      <c r="AY75" s="108"/>
      <c r="AZ75" s="700"/>
      <c r="BA75" s="108"/>
      <c r="BB75" s="108"/>
      <c r="BC75" s="538"/>
      <c r="BD75" s="108"/>
      <c r="BE75" s="108"/>
      <c r="BF75" s="108"/>
      <c r="BG75" s="700"/>
      <c r="BH75" s="108"/>
      <c r="BI75" s="108"/>
      <c r="BJ75" s="538"/>
      <c r="BK75" s="108"/>
      <c r="BL75" s="108"/>
      <c r="BM75" s="108"/>
      <c r="BN75" s="700"/>
      <c r="BO75" s="108"/>
      <c r="BP75" s="108"/>
      <c r="BQ75" s="538"/>
      <c r="BR75" s="108"/>
      <c r="BS75" s="108"/>
      <c r="BT75" s="108"/>
      <c r="BU75" s="700"/>
      <c r="BV75" s="108"/>
      <c r="BW75" s="108"/>
      <c r="BX75" s="538"/>
      <c r="BY75" s="108"/>
      <c r="BZ75" s="108"/>
      <c r="CA75" s="108"/>
      <c r="CB75" s="700"/>
      <c r="CC75" s="108"/>
      <c r="CD75" s="108"/>
      <c r="CE75" s="538"/>
      <c r="CF75" s="108"/>
      <c r="CG75" s="108"/>
      <c r="CH75" s="108"/>
      <c r="CI75" s="700"/>
      <c r="CJ75" s="108"/>
      <c r="CK75" s="108"/>
      <c r="CL75" s="538"/>
      <c r="CM75" s="108"/>
      <c r="CN75" s="108"/>
      <c r="CO75" s="108"/>
      <c r="CP75" s="700"/>
      <c r="CQ75" s="108"/>
      <c r="CR75" s="108"/>
      <c r="CS75" s="538"/>
      <c r="CT75" s="3"/>
      <c r="CU75" s="3"/>
      <c r="CV75" s="3"/>
      <c r="CW75" s="1509"/>
      <c r="CX75" s="3"/>
      <c r="CY75" s="3"/>
      <c r="CZ75" s="1479"/>
      <c r="DA75" s="3"/>
      <c r="DB75" s="3"/>
      <c r="DC75" s="3"/>
      <c r="DD75" s="1509"/>
      <c r="DE75" s="3"/>
      <c r="DF75" s="3"/>
      <c r="DG75" s="1479"/>
      <c r="DH75" s="3"/>
      <c r="DI75" s="3"/>
      <c r="DJ75" s="3"/>
      <c r="DK75" s="1509"/>
      <c r="DL75" s="1879"/>
      <c r="DM75" s="3"/>
      <c r="DN75" s="1505">
        <v>-500</v>
      </c>
      <c r="DO75" s="3"/>
      <c r="DP75" s="3"/>
      <c r="DQ75" s="3"/>
      <c r="DR75" s="1509"/>
      <c r="DS75" s="3"/>
      <c r="DT75" s="3"/>
      <c r="DU75" s="1505">
        <v>-1500</v>
      </c>
      <c r="DV75" s="3"/>
      <c r="DW75" s="3"/>
      <c r="DX75" s="3"/>
      <c r="DY75" s="1509"/>
      <c r="DZ75" s="3"/>
      <c r="EA75" s="3"/>
      <c r="EB75" s="1505">
        <v>-1500</v>
      </c>
      <c r="EC75" s="3"/>
      <c r="ED75" s="3"/>
      <c r="EE75" s="3"/>
      <c r="EF75" s="1509"/>
      <c r="EG75" s="3"/>
      <c r="EH75" s="3"/>
      <c r="EI75" s="1505">
        <v>-1500</v>
      </c>
      <c r="EJ75" s="3"/>
      <c r="EK75" s="3"/>
      <c r="EL75" s="3"/>
      <c r="EM75" s="1509"/>
      <c r="EN75" s="3"/>
      <c r="EO75" s="3"/>
      <c r="EP75" s="1479"/>
      <c r="EQ75" s="43"/>
      <c r="ER75" s="46"/>
    </row>
    <row r="76" spans="1:155" ht="10.199999999999999" customHeight="1">
      <c r="A76" s="108" t="s">
        <v>486</v>
      </c>
      <c r="B76" s="108"/>
      <c r="C76" s="108"/>
      <c r="D76" s="108"/>
      <c r="E76" s="244"/>
      <c r="F76" s="244"/>
      <c r="G76" s="244"/>
      <c r="H76" s="244"/>
      <c r="I76" s="244"/>
      <c r="J76" s="134"/>
      <c r="K76" s="134"/>
      <c r="L76" s="108"/>
      <c r="M76" s="108"/>
      <c r="N76" s="108"/>
      <c r="O76" s="108"/>
      <c r="P76" s="108"/>
      <c r="Q76" s="700"/>
      <c r="R76" s="108"/>
      <c r="S76" s="108"/>
      <c r="T76" s="538"/>
      <c r="U76" s="108"/>
      <c r="V76" s="108"/>
      <c r="W76" s="108"/>
      <c r="X76" s="700"/>
      <c r="Y76" s="108"/>
      <c r="Z76" s="108"/>
      <c r="AA76" s="538"/>
      <c r="AB76" s="108"/>
      <c r="AC76" s="108"/>
      <c r="AD76" s="108"/>
      <c r="AE76" s="700"/>
      <c r="AF76" s="108"/>
      <c r="AG76" s="108"/>
      <c r="AH76" s="538"/>
      <c r="AI76" s="108"/>
      <c r="AJ76" s="108"/>
      <c r="AK76" s="108"/>
      <c r="AL76" s="700"/>
      <c r="AM76" s="108"/>
      <c r="AN76" s="108"/>
      <c r="AO76" s="538"/>
      <c r="AP76" s="108"/>
      <c r="AQ76" s="108"/>
      <c r="AR76" s="108"/>
      <c r="AS76" s="700"/>
      <c r="AT76" s="108"/>
      <c r="AU76" s="108"/>
      <c r="AV76" s="538"/>
      <c r="AW76" s="108"/>
      <c r="AX76" s="108"/>
      <c r="AY76" s="108"/>
      <c r="AZ76" s="700"/>
      <c r="BA76" s="108"/>
      <c r="BB76" s="108"/>
      <c r="BC76" s="538"/>
      <c r="BD76" s="108"/>
      <c r="BE76" s="108"/>
      <c r="BF76" s="108"/>
      <c r="BG76" s="700"/>
      <c r="BH76" s="108"/>
      <c r="BI76" s="108"/>
      <c r="BJ76" s="538"/>
      <c r="BK76" s="108"/>
      <c r="BL76" s="108"/>
      <c r="BM76" s="108"/>
      <c r="BN76" s="700"/>
      <c r="BO76" s="108"/>
      <c r="BP76" s="108"/>
      <c r="BQ76" s="538"/>
      <c r="BR76" s="108"/>
      <c r="BS76" s="108"/>
      <c r="BT76" s="108"/>
      <c r="BU76" s="700"/>
      <c r="BV76" s="108"/>
      <c r="BW76" s="108"/>
      <c r="BX76" s="538"/>
      <c r="BY76" s="108"/>
      <c r="BZ76" s="108"/>
      <c r="CA76" s="108"/>
      <c r="CB76" s="700"/>
      <c r="CC76" s="108"/>
      <c r="CD76" s="108"/>
      <c r="CE76" s="538"/>
      <c r="CF76" s="108"/>
      <c r="CG76" s="108"/>
      <c r="CH76" s="108"/>
      <c r="CI76" s="700"/>
      <c r="CJ76" s="108"/>
      <c r="CK76" s="108"/>
      <c r="CL76" s="538"/>
      <c r="CM76" s="108"/>
      <c r="CN76" s="108"/>
      <c r="CO76" s="108"/>
      <c r="CP76" s="700"/>
      <c r="CQ76" s="108"/>
      <c r="CR76" s="108"/>
      <c r="CS76" s="538"/>
      <c r="CT76" s="3"/>
      <c r="CU76" s="3"/>
      <c r="CV76" s="3"/>
      <c r="CW76" s="1509"/>
      <c r="CX76" s="3"/>
      <c r="CY76" s="3"/>
      <c r="CZ76" s="1479"/>
      <c r="DA76" s="3"/>
      <c r="DB76" s="3"/>
      <c r="DC76" s="3"/>
      <c r="DD76" s="1509"/>
      <c r="DE76" s="3"/>
      <c r="DF76" s="3"/>
      <c r="DG76" s="1479"/>
      <c r="DH76" s="3"/>
      <c r="DI76" s="3"/>
      <c r="DJ76" s="3"/>
      <c r="DK76" s="1509"/>
      <c r="DL76" s="3"/>
      <c r="DM76" s="3"/>
      <c r="DN76" s="2001">
        <v>215</v>
      </c>
      <c r="DO76" s="13"/>
      <c r="DP76" s="13"/>
      <c r="DQ76" s="13"/>
      <c r="DR76" s="2000"/>
      <c r="DS76" s="13"/>
      <c r="DT76" s="13"/>
      <c r="DU76" s="1999">
        <f>DN76*(1.15)</f>
        <v>247.24999999999997</v>
      </c>
      <c r="DV76" s="3"/>
      <c r="DW76" s="3"/>
      <c r="DX76" s="3"/>
      <c r="DY76" s="1509"/>
      <c r="DZ76" s="3"/>
      <c r="EA76" s="3"/>
      <c r="EB76" s="1999">
        <f>DU76*(1.15)</f>
        <v>284.33749999999992</v>
      </c>
      <c r="EC76" s="3"/>
      <c r="ED76" s="3"/>
      <c r="EE76" s="3"/>
      <c r="EF76" s="1509"/>
      <c r="EG76" s="3"/>
      <c r="EH76" s="3"/>
      <c r="EI76" s="1999">
        <f>EB76*(1.15)</f>
        <v>326.98812499999991</v>
      </c>
      <c r="EJ76" s="3"/>
      <c r="EK76" s="3"/>
      <c r="EL76" s="3"/>
      <c r="EM76" s="1509"/>
      <c r="EN76" s="3"/>
      <c r="EO76" s="3"/>
      <c r="EP76" s="1999">
        <f>EI76*(1.15)</f>
        <v>376.03634374999984</v>
      </c>
      <c r="EQ76" s="43"/>
      <c r="ER76" s="46"/>
    </row>
    <row r="77" spans="1:155" ht="10.199999999999999" customHeight="1">
      <c r="A77" s="130" t="s">
        <v>487</v>
      </c>
      <c r="B77" s="130"/>
      <c r="C77" s="130"/>
      <c r="D77" s="130"/>
      <c r="E77" s="130"/>
      <c r="F77" s="1246"/>
      <c r="G77" s="606"/>
      <c r="H77" s="606"/>
      <c r="I77" s="606"/>
      <c r="J77" s="606"/>
      <c r="K77" s="130"/>
      <c r="L77" s="130"/>
      <c r="M77" s="1246"/>
      <c r="N77" s="1246"/>
      <c r="O77" s="1246"/>
      <c r="P77" s="1246"/>
      <c r="Q77" s="1472"/>
      <c r="R77" s="1246"/>
      <c r="S77" s="1246"/>
      <c r="T77" s="1336"/>
      <c r="U77" s="1246"/>
      <c r="V77" s="1246"/>
      <c r="W77" s="1246"/>
      <c r="X77" s="1472"/>
      <c r="Y77" s="1246"/>
      <c r="Z77" s="1246"/>
      <c r="AA77" s="1336"/>
      <c r="AB77" s="1246"/>
      <c r="AC77" s="1246"/>
      <c r="AD77" s="1246"/>
      <c r="AE77" s="1472"/>
      <c r="AF77" s="1246"/>
      <c r="AG77" s="1246"/>
      <c r="AH77" s="1336"/>
      <c r="AI77" s="1246"/>
      <c r="AJ77" s="1246"/>
      <c r="AK77" s="1246"/>
      <c r="AL77" s="1472"/>
      <c r="AM77" s="1246"/>
      <c r="AN77" s="1246"/>
      <c r="AO77" s="1336"/>
      <c r="AP77" s="1246"/>
      <c r="AQ77" s="1246"/>
      <c r="AR77" s="1246"/>
      <c r="AS77" s="1472"/>
      <c r="AT77" s="1246"/>
      <c r="AU77" s="1246"/>
      <c r="AV77" s="1336"/>
      <c r="AW77" s="1246"/>
      <c r="AX77" s="1246"/>
      <c r="AY77" s="1246"/>
      <c r="AZ77" s="1472"/>
      <c r="BA77" s="1246"/>
      <c r="BB77" s="1246"/>
      <c r="BC77" s="1336"/>
      <c r="BD77" s="1246"/>
      <c r="BE77" s="1246"/>
      <c r="BF77" s="1246"/>
      <c r="BG77" s="1472"/>
      <c r="BH77" s="1246"/>
      <c r="BI77" s="1246"/>
      <c r="BJ77" s="1336"/>
      <c r="BK77" s="1246"/>
      <c r="BL77" s="1246"/>
      <c r="BM77" s="1246"/>
      <c r="BN77" s="1472"/>
      <c r="BO77" s="1246"/>
      <c r="BP77" s="1246"/>
      <c r="BQ77" s="1336"/>
      <c r="BR77" s="1246"/>
      <c r="BS77" s="1246"/>
      <c r="BT77" s="1246"/>
      <c r="BU77" s="1472"/>
      <c r="BV77" s="1246"/>
      <c r="BW77" s="1246"/>
      <c r="BX77" s="1336"/>
      <c r="BY77" s="1246"/>
      <c r="BZ77" s="1246"/>
      <c r="CA77" s="1246"/>
      <c r="CB77" s="1472"/>
      <c r="CC77" s="1246"/>
      <c r="CD77" s="1246"/>
      <c r="CE77" s="1336"/>
      <c r="CF77" s="1246"/>
      <c r="CG77" s="1246"/>
      <c r="CH77" s="1246"/>
      <c r="CI77" s="1472"/>
      <c r="CJ77" s="1246"/>
      <c r="CK77" s="1246"/>
      <c r="CL77" s="1336"/>
      <c r="CM77" s="1246"/>
      <c r="CN77" s="1246"/>
      <c r="CO77" s="1246"/>
      <c r="CP77" s="1472"/>
      <c r="CQ77" s="1246"/>
      <c r="CR77" s="1246"/>
      <c r="CS77" s="1336"/>
      <c r="CT77" s="1247"/>
      <c r="CU77" s="1247"/>
      <c r="CV77" s="1247"/>
      <c r="CW77" s="1527"/>
      <c r="CX77" s="1247"/>
      <c r="CY77" s="1247"/>
      <c r="CZ77" s="1501"/>
      <c r="DA77" s="1247"/>
      <c r="DB77" s="1247"/>
      <c r="DC77" s="1247"/>
      <c r="DD77" s="1527"/>
      <c r="DE77" s="1247"/>
      <c r="DF77" s="1247"/>
      <c r="DG77" s="1501"/>
      <c r="DH77" s="1247"/>
      <c r="DI77" s="1247"/>
      <c r="DJ77" s="1247"/>
      <c r="DK77" s="1527"/>
      <c r="DL77" s="1247"/>
      <c r="DM77" s="1247"/>
      <c r="DN77" s="2002">
        <f>DN75/DN76</f>
        <v>-2.3255813953488373</v>
      </c>
      <c r="DO77" s="1247"/>
      <c r="DP77" s="1247"/>
      <c r="DQ77" s="1247"/>
      <c r="DR77" s="1527"/>
      <c r="DS77" s="1247"/>
      <c r="DT77" s="1247"/>
      <c r="DU77" s="2002">
        <f>DU75/DU76</f>
        <v>-6.0667340748230547</v>
      </c>
      <c r="DV77" s="1247"/>
      <c r="DW77" s="1247"/>
      <c r="DX77" s="1247"/>
      <c r="DY77" s="1527"/>
      <c r="DZ77" s="1247"/>
      <c r="EA77" s="1247"/>
      <c r="EB77" s="2002">
        <f>EB75/EB76</f>
        <v>-5.2754209346287437</v>
      </c>
      <c r="EC77" s="1247"/>
      <c r="ED77" s="1247"/>
      <c r="EE77" s="1247"/>
      <c r="EF77" s="1527"/>
      <c r="EG77" s="1247"/>
      <c r="EH77" s="1247"/>
      <c r="EI77" s="2002">
        <f>EI75/EI76</f>
        <v>-4.5873225518510816</v>
      </c>
      <c r="EJ77" s="1247"/>
      <c r="EK77" s="1247"/>
      <c r="EL77" s="1247"/>
      <c r="EM77" s="1527"/>
      <c r="EN77" s="1247"/>
      <c r="EO77" s="1247"/>
      <c r="EP77" s="2002">
        <f>EP75/EP76</f>
        <v>0</v>
      </c>
      <c r="EQ77" s="60"/>
      <c r="ER77" s="1248"/>
    </row>
    <row r="78" spans="1:155" ht="10.199999999999999" customHeight="1">
      <c r="A78" s="43"/>
      <c r="B78" s="108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1277"/>
      <c r="R78" s="251"/>
      <c r="S78" s="251"/>
      <c r="T78" s="1295"/>
      <c r="U78" s="251"/>
      <c r="V78" s="251"/>
      <c r="W78" s="251"/>
      <c r="X78" s="1277"/>
      <c r="Y78" s="251"/>
      <c r="Z78" s="251"/>
      <c r="AA78" s="1295"/>
      <c r="AB78" s="251"/>
      <c r="AC78" s="251"/>
      <c r="AD78" s="251"/>
      <c r="AE78" s="1277"/>
      <c r="AF78" s="251"/>
      <c r="AG78" s="251"/>
      <c r="AH78" s="1295"/>
      <c r="AI78" s="251"/>
      <c r="AJ78" s="251"/>
      <c r="AK78" s="251"/>
      <c r="AL78" s="1277"/>
      <c r="AM78" s="251"/>
      <c r="AN78" s="251"/>
      <c r="AO78" s="1295"/>
      <c r="AP78" s="251"/>
      <c r="AQ78" s="251"/>
      <c r="AR78" s="251"/>
      <c r="AS78" s="1277"/>
      <c r="AT78" s="251"/>
      <c r="AU78" s="251"/>
      <c r="AV78" s="1295"/>
      <c r="AW78" s="251"/>
      <c r="AX78" s="251"/>
      <c r="AY78" s="251"/>
      <c r="AZ78" s="1277"/>
      <c r="BA78" s="251"/>
      <c r="BB78" s="251"/>
      <c r="BC78" s="1295"/>
      <c r="BD78" s="251"/>
      <c r="BE78" s="251"/>
      <c r="BF78" s="251"/>
      <c r="BG78" s="1277"/>
      <c r="BH78" s="251"/>
      <c r="BI78" s="251"/>
      <c r="BJ78" s="1295"/>
      <c r="BK78" s="251"/>
      <c r="BL78" s="251"/>
      <c r="BM78" s="251"/>
      <c r="BN78" s="1277"/>
      <c r="BO78" s="251"/>
      <c r="BP78" s="251"/>
      <c r="BQ78" s="1295"/>
      <c r="BR78" s="251"/>
      <c r="BS78" s="251"/>
      <c r="BT78" s="251"/>
      <c r="BU78" s="1277"/>
      <c r="BV78" s="251"/>
      <c r="BW78" s="251"/>
      <c r="BX78" s="1295"/>
      <c r="BY78" s="251"/>
      <c r="BZ78" s="251"/>
      <c r="CA78" s="251"/>
      <c r="CB78" s="1277"/>
      <c r="CC78" s="251"/>
      <c r="CD78" s="251"/>
      <c r="CE78" s="1295"/>
      <c r="CF78" s="251"/>
      <c r="CG78" s="251"/>
      <c r="CH78" s="251"/>
      <c r="CI78" s="1277"/>
      <c r="CJ78" s="251"/>
      <c r="CK78" s="251"/>
      <c r="CL78" s="1295"/>
      <c r="CM78" s="251"/>
      <c r="CN78" s="251"/>
      <c r="CO78" s="251"/>
      <c r="CP78" s="1277"/>
      <c r="CQ78" s="251"/>
      <c r="CR78" s="251"/>
      <c r="CS78" s="1295"/>
      <c r="CT78" s="873"/>
      <c r="CU78" s="873"/>
      <c r="CV78" s="873"/>
      <c r="CW78" s="1528"/>
      <c r="CX78" s="873"/>
      <c r="CY78" s="873"/>
      <c r="CZ78" s="1502"/>
      <c r="DA78" s="873"/>
      <c r="DB78" s="873"/>
      <c r="DC78" s="873"/>
      <c r="DD78" s="1528"/>
      <c r="DE78" s="873"/>
      <c r="DF78" s="873"/>
      <c r="DG78" s="1502"/>
      <c r="DH78" s="873"/>
      <c r="DI78" s="873"/>
      <c r="DJ78" s="873"/>
      <c r="DK78" s="1528"/>
      <c r="DL78" s="873"/>
      <c r="DM78" s="873"/>
      <c r="DN78" s="1502"/>
      <c r="DO78" s="873"/>
      <c r="DP78" s="873"/>
      <c r="DQ78" s="873"/>
      <c r="DR78" s="1528"/>
      <c r="DS78" s="873"/>
      <c r="DT78" s="873"/>
      <c r="DU78" s="1502"/>
      <c r="DV78" s="873"/>
      <c r="DW78" s="873"/>
      <c r="DX78" s="873"/>
      <c r="DY78" s="1528"/>
      <c r="DZ78" s="873"/>
      <c r="EA78" s="873"/>
      <c r="EB78" s="1502"/>
      <c r="EC78" s="873"/>
      <c r="ED78" s="873"/>
      <c r="EE78" s="873"/>
      <c r="EF78" s="1528"/>
      <c r="EG78" s="873"/>
      <c r="EH78" s="873"/>
      <c r="EI78" s="1502"/>
      <c r="EJ78" s="873"/>
      <c r="EK78" s="873"/>
      <c r="EL78" s="873"/>
      <c r="EM78" s="1528"/>
      <c r="EN78" s="873"/>
      <c r="EO78" s="873"/>
      <c r="EP78" s="1502"/>
      <c r="EQ78" s="43"/>
      <c r="ER78" s="46"/>
    </row>
    <row r="79" spans="1:155" ht="10.199999999999999" customHeight="1">
      <c r="A79" s="48" t="s">
        <v>503</v>
      </c>
      <c r="B79" s="108"/>
      <c r="C79" s="108"/>
      <c r="D79" s="203"/>
      <c r="E79" s="108"/>
      <c r="F79" s="108"/>
      <c r="G79" s="108"/>
      <c r="H79" s="108"/>
      <c r="I79" s="108"/>
      <c r="J79" s="108"/>
      <c r="K79" s="54"/>
      <c r="L79" s="54"/>
      <c r="M79" s="54"/>
      <c r="N79" s="54"/>
      <c r="O79" s="54"/>
      <c r="P79" s="54"/>
      <c r="Q79" s="684"/>
      <c r="R79" s="54"/>
      <c r="S79" s="54"/>
      <c r="T79" s="555"/>
      <c r="U79" s="54"/>
      <c r="V79" s="54"/>
      <c r="W79" s="54"/>
      <c r="X79" s="684"/>
      <c r="Y79" s="54"/>
      <c r="Z79" s="54"/>
      <c r="AA79" s="555"/>
      <c r="AB79" s="54"/>
      <c r="AC79" s="54"/>
      <c r="AD79" s="54"/>
      <c r="AE79" s="684"/>
      <c r="AF79" s="54"/>
      <c r="AG79" s="54"/>
      <c r="AH79" s="555"/>
      <c r="AI79" s="54"/>
      <c r="AJ79" s="54"/>
      <c r="AK79" s="54"/>
      <c r="AL79" s="684"/>
      <c r="AM79" s="54"/>
      <c r="AN79" s="54"/>
      <c r="AO79" s="555"/>
      <c r="AP79" s="54"/>
      <c r="AQ79" s="54"/>
      <c r="AR79" s="54"/>
      <c r="AS79" s="684"/>
      <c r="AT79" s="54"/>
      <c r="AU79" s="54"/>
      <c r="AV79" s="555"/>
      <c r="AW79" s="54"/>
      <c r="AX79" s="54"/>
      <c r="AY79" s="54"/>
      <c r="AZ79" s="684"/>
      <c r="BA79" s="54"/>
      <c r="BB79" s="54"/>
      <c r="BC79" s="555"/>
      <c r="BD79" s="54"/>
      <c r="BE79" s="54"/>
      <c r="BF79" s="54"/>
      <c r="BG79" s="684"/>
      <c r="BH79" s="54"/>
      <c r="BI79" s="54"/>
      <c r="BJ79" s="555"/>
      <c r="BK79" s="54"/>
      <c r="BL79" s="54"/>
      <c r="BM79" s="54"/>
      <c r="BN79" s="684"/>
      <c r="BO79" s="54"/>
      <c r="BP79" s="54"/>
      <c r="BQ79" s="555"/>
      <c r="BR79" s="54"/>
      <c r="BS79" s="54"/>
      <c r="BT79" s="54"/>
      <c r="BU79" s="684"/>
      <c r="BV79" s="54"/>
      <c r="BW79" s="54"/>
      <c r="BX79" s="555"/>
      <c r="BY79" s="54"/>
      <c r="BZ79" s="54"/>
      <c r="CA79" s="54"/>
      <c r="CB79" s="684"/>
      <c r="CC79" s="54"/>
      <c r="CD79" s="54"/>
      <c r="CE79" s="555"/>
      <c r="CF79" s="54"/>
      <c r="CG79" s="54"/>
      <c r="CH79" s="54"/>
      <c r="CI79" s="684"/>
      <c r="CJ79" s="54"/>
      <c r="CK79" s="54"/>
      <c r="CL79" s="555"/>
      <c r="CM79" s="54"/>
      <c r="CN79" s="54"/>
      <c r="CO79" s="54"/>
      <c r="CP79" s="684"/>
      <c r="CQ79" s="54"/>
      <c r="CR79" s="54"/>
      <c r="CS79" s="555"/>
      <c r="CT79" s="23"/>
      <c r="CU79" s="23"/>
      <c r="CV79" s="23"/>
      <c r="CW79" s="1529"/>
      <c r="CX79" s="23"/>
      <c r="CY79" s="23"/>
      <c r="CZ79" s="1358"/>
      <c r="DA79" s="23"/>
      <c r="DB79" s="23"/>
      <c r="DC79" s="23"/>
      <c r="DD79" s="1529"/>
      <c r="DE79" s="23"/>
      <c r="DF79" s="23"/>
      <c r="DG79" s="1358"/>
      <c r="DH79" s="23"/>
      <c r="DI79" s="23"/>
      <c r="DJ79" s="23"/>
      <c r="DK79" s="1529"/>
      <c r="DL79" s="23"/>
      <c r="DM79" s="23"/>
      <c r="DN79" s="1358"/>
      <c r="DO79" s="23"/>
      <c r="DP79" s="23"/>
      <c r="DQ79" s="23"/>
      <c r="DR79" s="1529"/>
      <c r="DS79" s="23"/>
      <c r="DT79" s="23"/>
      <c r="DU79" s="1358"/>
      <c r="DV79" s="23"/>
      <c r="DW79" s="23"/>
      <c r="DX79" s="23"/>
      <c r="DY79" s="1529"/>
      <c r="DZ79" s="23"/>
      <c r="EA79" s="23"/>
      <c r="EB79" s="1358"/>
      <c r="EC79" s="23"/>
      <c r="ED79" s="23"/>
      <c r="EE79" s="23"/>
      <c r="EF79" s="1529"/>
      <c r="EG79" s="23"/>
      <c r="EH79" s="23"/>
      <c r="EI79" s="1358"/>
      <c r="EJ79" s="23"/>
      <c r="EK79" s="23"/>
      <c r="EL79" s="23"/>
      <c r="EM79" s="1529"/>
      <c r="EN79" s="23"/>
      <c r="EO79" s="23"/>
      <c r="EP79" s="1358"/>
      <c r="EQ79" s="43"/>
      <c r="ER79" s="46"/>
    </row>
    <row r="80" spans="1:155" ht="10.199999999999999" customHeight="1">
      <c r="A80" s="108" t="s">
        <v>502</v>
      </c>
      <c r="B80" s="48"/>
      <c r="C80" s="48"/>
      <c r="D80" s="48"/>
      <c r="E80" s="108"/>
      <c r="F80" s="108"/>
      <c r="G80" s="108"/>
      <c r="H80" s="108"/>
      <c r="I80" s="108"/>
      <c r="J80" s="108"/>
      <c r="K80" s="108"/>
      <c r="L80" s="158"/>
      <c r="M80" s="158"/>
      <c r="N80" s="158"/>
      <c r="O80" s="158"/>
      <c r="P80" s="158"/>
      <c r="Q80" s="695"/>
      <c r="R80" s="158"/>
      <c r="S80" s="158"/>
      <c r="T80" s="1301"/>
      <c r="U80" s="158"/>
      <c r="V80" s="158"/>
      <c r="W80" s="158"/>
      <c r="X80" s="695"/>
      <c r="Y80" s="158"/>
      <c r="Z80" s="158"/>
      <c r="AA80" s="1301">
        <v>-18</v>
      </c>
      <c r="AB80" s="158"/>
      <c r="AC80" s="158"/>
      <c r="AD80" s="158"/>
      <c r="AE80" s="695"/>
      <c r="AF80" s="158"/>
      <c r="AG80" s="158"/>
      <c r="AH80" s="1301">
        <v>-87</v>
      </c>
      <c r="AI80" s="158"/>
      <c r="AJ80" s="158"/>
      <c r="AK80" s="158"/>
      <c r="AL80" s="695"/>
      <c r="AM80" s="158"/>
      <c r="AN80" s="158"/>
      <c r="AO80" s="1301"/>
      <c r="AP80" s="158"/>
      <c r="AQ80" s="158"/>
      <c r="AR80" s="158"/>
      <c r="AS80" s="695"/>
      <c r="AT80" s="158"/>
      <c r="AU80" s="158"/>
      <c r="AV80" s="1301"/>
      <c r="AW80" s="158"/>
      <c r="AX80" s="158"/>
      <c r="AY80" s="158"/>
      <c r="AZ80" s="695"/>
      <c r="BA80" s="158"/>
      <c r="BB80" s="158"/>
      <c r="BC80" s="1301"/>
      <c r="BD80" s="158"/>
      <c r="BE80" s="158"/>
      <c r="BF80" s="158"/>
      <c r="BG80" s="695"/>
      <c r="BH80" s="158"/>
      <c r="BI80" s="158"/>
      <c r="BJ80" s="1301"/>
      <c r="BK80" s="158"/>
      <c r="BL80" s="158"/>
      <c r="BM80" s="158"/>
      <c r="BN80" s="695"/>
      <c r="BO80" s="158"/>
      <c r="BP80" s="158"/>
      <c r="BQ80" s="1301"/>
      <c r="BR80" s="158"/>
      <c r="BS80" s="158"/>
      <c r="BT80" s="158"/>
      <c r="BU80" s="695"/>
      <c r="BV80" s="158"/>
      <c r="BW80" s="158"/>
      <c r="BX80" s="1301"/>
      <c r="BY80" s="158"/>
      <c r="BZ80" s="158"/>
      <c r="CA80" s="158"/>
      <c r="CB80" s="695"/>
      <c r="CC80" s="158"/>
      <c r="CD80" s="158"/>
      <c r="CE80" s="1301"/>
      <c r="CF80" s="158"/>
      <c r="CG80" s="158"/>
      <c r="CH80" s="158"/>
      <c r="CI80" s="695"/>
      <c r="CJ80" s="158"/>
      <c r="CK80" s="158"/>
      <c r="CL80" s="1301"/>
      <c r="CM80" s="158"/>
      <c r="CN80" s="158"/>
      <c r="CO80" s="158"/>
      <c r="CP80" s="695"/>
      <c r="CQ80" s="158"/>
      <c r="CR80" s="158"/>
      <c r="CS80" s="1301"/>
      <c r="CT80" s="18"/>
      <c r="CU80" s="18"/>
      <c r="CV80" s="18"/>
      <c r="CW80" s="1530"/>
      <c r="CX80" s="18"/>
      <c r="CY80" s="18"/>
      <c r="CZ80" s="1503"/>
      <c r="DA80" s="18"/>
      <c r="DB80" s="18"/>
      <c r="DC80" s="18"/>
      <c r="DD80" s="1530"/>
      <c r="DE80" s="18"/>
      <c r="DF80" s="18"/>
      <c r="DG80" s="1503"/>
      <c r="DH80" s="18"/>
      <c r="DI80" s="18"/>
      <c r="DJ80" s="18"/>
      <c r="DK80" s="1530"/>
      <c r="DL80" s="18"/>
      <c r="DM80" s="18"/>
      <c r="DN80" s="1503"/>
      <c r="DO80" s="18"/>
      <c r="DP80" s="18"/>
      <c r="DQ80" s="18"/>
      <c r="DR80" s="1530"/>
      <c r="DS80" s="18"/>
      <c r="DT80" s="18"/>
      <c r="DU80" s="1503"/>
      <c r="DV80" s="18"/>
      <c r="DW80" s="18"/>
      <c r="DX80" s="18"/>
      <c r="DY80" s="1530"/>
      <c r="DZ80" s="18"/>
      <c r="EA80" s="18"/>
      <c r="EB80" s="1503"/>
      <c r="EC80" s="18"/>
      <c r="ED80" s="18"/>
      <c r="EE80" s="18"/>
      <c r="EF80" s="1530"/>
      <c r="EG80" s="18"/>
      <c r="EH80" s="18"/>
      <c r="EI80" s="1503"/>
      <c r="EJ80" s="18"/>
      <c r="EK80" s="18"/>
      <c r="EL80" s="18"/>
      <c r="EM80" s="1530"/>
      <c r="EN80" s="18"/>
      <c r="EO80" s="18"/>
      <c r="EP80" s="1503"/>
      <c r="EQ80" s="43"/>
      <c r="ER80" s="46"/>
    </row>
    <row r="81" spans="1:148" ht="10.199999999999999" customHeight="1">
      <c r="A81" s="108" t="s">
        <v>582</v>
      </c>
      <c r="B81" s="108"/>
      <c r="C81" s="844"/>
      <c r="D81" s="844"/>
      <c r="E81" s="845"/>
      <c r="F81" s="845"/>
      <c r="G81" s="845"/>
      <c r="H81" s="845"/>
      <c r="I81" s="845"/>
      <c r="J81" s="845"/>
      <c r="K81" s="845"/>
      <c r="L81" s="197"/>
      <c r="M81" s="197">
        <f>BS!M7-BS!L7-CFS!M42</f>
        <v>0</v>
      </c>
      <c r="N81" s="197"/>
      <c r="O81" s="197"/>
      <c r="P81" s="197"/>
      <c r="Q81" s="688"/>
      <c r="R81" s="197"/>
      <c r="S81" s="197"/>
      <c r="T81" s="339">
        <f>BS!T7-BS!M7-CFS!T42</f>
        <v>-585</v>
      </c>
      <c r="U81" s="197"/>
      <c r="V81" s="197"/>
      <c r="W81" s="197"/>
      <c r="X81" s="688"/>
      <c r="Y81" s="197"/>
      <c r="Z81" s="197"/>
      <c r="AA81" s="339">
        <f>BS!AA7-BS!T7-CFS!AA42</f>
        <v>0</v>
      </c>
      <c r="AB81" s="197"/>
      <c r="AC81" s="197"/>
      <c r="AD81" s="197"/>
      <c r="AE81" s="688"/>
      <c r="AF81" s="197"/>
      <c r="AG81" s="197"/>
      <c r="AH81" s="339">
        <f>BS!AH7-BS!AA7-CFS!AH42</f>
        <v>0</v>
      </c>
      <c r="AI81" s="197"/>
      <c r="AJ81" s="197"/>
      <c r="AK81" s="197"/>
      <c r="AL81" s="688"/>
      <c r="AM81" s="197"/>
      <c r="AN81" s="197"/>
      <c r="AO81" s="339">
        <f>BS!AO7-BS!AH7-CFS!AO42</f>
        <v>-916</v>
      </c>
      <c r="AP81" s="197"/>
      <c r="AQ81" s="197"/>
      <c r="AR81" s="197"/>
      <c r="AS81" s="688"/>
      <c r="AT81" s="197"/>
      <c r="AU81" s="197"/>
      <c r="AV81" s="339">
        <f>BS!AV7-BS!AO7-CFS!AV42</f>
        <v>12</v>
      </c>
      <c r="AW81" s="197"/>
      <c r="AX81" s="197"/>
      <c r="AY81" s="197"/>
      <c r="AZ81" s="688"/>
      <c r="BA81" s="197"/>
      <c r="BB81" s="197"/>
      <c r="BC81" s="339">
        <f>BS!BC7-BS!AO7-CFS!BC42</f>
        <v>12</v>
      </c>
      <c r="BD81" s="197"/>
      <c r="BE81" s="197"/>
      <c r="BF81" s="197"/>
      <c r="BG81" s="688"/>
      <c r="BH81" s="197"/>
      <c r="BI81" s="197"/>
      <c r="BJ81" s="339">
        <f>BS!BJ7-BS!AV7-CFS!BJ42</f>
        <v>-10</v>
      </c>
      <c r="BK81" s="197"/>
      <c r="BL81" s="197"/>
      <c r="BM81" s="197"/>
      <c r="BN81" s="688"/>
      <c r="BO81" s="197"/>
      <c r="BP81" s="197"/>
      <c r="BQ81" s="339">
        <f>BS!BQ7-BS!BJ7-CFS!BQ42</f>
        <v>15</v>
      </c>
      <c r="BR81" s="197"/>
      <c r="BS81" s="197"/>
      <c r="BT81" s="197"/>
      <c r="BU81" s="688"/>
      <c r="BV81" s="197"/>
      <c r="BW81" s="197"/>
      <c r="BX81" s="339">
        <f>BS!BX7-BS!BQ7-CFS!BX42</f>
        <v>0</v>
      </c>
      <c r="BY81" s="197"/>
      <c r="BZ81" s="197"/>
      <c r="CA81" s="197"/>
      <c r="CB81" s="688"/>
      <c r="CC81" s="197"/>
      <c r="CD81" s="197"/>
      <c r="CE81" s="339">
        <f>BS!CE7-BS!BX7-CFS!CE42</f>
        <v>0</v>
      </c>
      <c r="CF81" s="197"/>
      <c r="CG81" s="197"/>
      <c r="CH81" s="197"/>
      <c r="CI81" s="688"/>
      <c r="CJ81" s="197"/>
      <c r="CK81" s="197"/>
      <c r="CL81" s="339">
        <f>BS!CL7-BS!CE7-CFS!CL42</f>
        <v>0</v>
      </c>
      <c r="CM81" s="197"/>
      <c r="CN81" s="197"/>
      <c r="CO81" s="197"/>
      <c r="CP81" s="688"/>
      <c r="CQ81" s="197"/>
      <c r="CR81" s="197"/>
      <c r="CS81" s="339">
        <f>BS!CS7-BS!CL7-CFS!CS42</f>
        <v>-4</v>
      </c>
      <c r="CT81" s="322"/>
      <c r="CU81" s="322"/>
      <c r="CV81" s="322"/>
      <c r="CW81" s="430"/>
      <c r="CX81" s="322"/>
      <c r="CY81" s="322"/>
      <c r="CZ81" s="339">
        <f>BS!CZ7-BS!CS7-CFS!CZ42</f>
        <v>-3</v>
      </c>
      <c r="DA81" s="322"/>
      <c r="DB81" s="322"/>
      <c r="DC81" s="322"/>
      <c r="DD81" s="430"/>
      <c r="DE81" s="322"/>
      <c r="DF81" s="322"/>
      <c r="DG81" s="339">
        <f>BS!DG7-BS!CZ7-CFS!DG42</f>
        <v>-5</v>
      </c>
      <c r="DH81" s="322"/>
      <c r="DI81" s="322"/>
      <c r="DJ81" s="322"/>
      <c r="DK81" s="430"/>
      <c r="DL81" s="322"/>
      <c r="DM81" s="322"/>
      <c r="DN81" s="385">
        <f>BS!DN7-BS!DG7-CFS!DN42</f>
        <v>0</v>
      </c>
      <c r="DO81" s="322"/>
      <c r="DP81" s="322"/>
      <c r="DQ81" s="322"/>
      <c r="DR81" s="430"/>
      <c r="DS81" s="322"/>
      <c r="DT81" s="322"/>
      <c r="DU81" s="385">
        <f>BS!DU7-BS!DN7-CFS!DU42</f>
        <v>0</v>
      </c>
      <c r="DV81" s="322"/>
      <c r="DW81" s="322"/>
      <c r="DX81" s="322"/>
      <c r="DY81" s="430"/>
      <c r="DZ81" s="322"/>
      <c r="EA81" s="322"/>
      <c r="EB81" s="385">
        <f>BS!EB7-BS!DU7-CFS!EB42</f>
        <v>0</v>
      </c>
      <c r="EC81" s="322"/>
      <c r="ED81" s="322"/>
      <c r="EE81" s="322"/>
      <c r="EF81" s="430"/>
      <c r="EG81" s="322"/>
      <c r="EH81" s="322"/>
      <c r="EI81" s="385">
        <f>BS!EI7-BS!EB7-CFS!EI42</f>
        <v>0</v>
      </c>
      <c r="EJ81" s="322"/>
      <c r="EK81" s="322"/>
      <c r="EL81" s="322"/>
      <c r="EM81" s="430"/>
      <c r="EN81" s="322"/>
      <c r="EO81" s="322"/>
      <c r="EP81" s="385">
        <f>BS!EP7-BS!EI7-CFS!EP42</f>
        <v>0</v>
      </c>
      <c r="EQ81" s="43"/>
      <c r="ER81" s="46"/>
    </row>
    <row r="82" spans="1:148" ht="10.199999999999999" customHeight="1">
      <c r="A82" s="108"/>
      <c r="B82" s="108"/>
      <c r="C82" s="108"/>
      <c r="D82" s="203"/>
      <c r="E82" s="108"/>
      <c r="F82" s="108"/>
      <c r="G82" s="108"/>
      <c r="H82" s="108"/>
      <c r="I82" s="108"/>
      <c r="J82" s="108"/>
      <c r="K82" s="108"/>
      <c r="L82" s="158"/>
      <c r="M82" s="158"/>
      <c r="N82" s="158"/>
      <c r="O82" s="158"/>
      <c r="P82" s="158"/>
      <c r="Q82" s="695"/>
      <c r="R82" s="158"/>
      <c r="S82" s="158"/>
      <c r="T82" s="1301"/>
      <c r="U82" s="158"/>
      <c r="V82" s="158"/>
      <c r="W82" s="158"/>
      <c r="X82" s="695"/>
      <c r="Y82" s="158"/>
      <c r="Z82" s="158"/>
      <c r="AA82" s="1301"/>
      <c r="AB82" s="158"/>
      <c r="AC82" s="158"/>
      <c r="AD82" s="158"/>
      <c r="AE82" s="695"/>
      <c r="AF82" s="158"/>
      <c r="AG82" s="158"/>
      <c r="AH82" s="1301"/>
      <c r="AI82" s="158"/>
      <c r="AJ82" s="158"/>
      <c r="AK82" s="158"/>
      <c r="AL82" s="695"/>
      <c r="AM82" s="158"/>
      <c r="AN82" s="158"/>
      <c r="AO82" s="1301"/>
      <c r="AP82" s="158"/>
      <c r="AQ82" s="158"/>
      <c r="AR82" s="158"/>
      <c r="AS82" s="695"/>
      <c r="AT82" s="158"/>
      <c r="AU82" s="158"/>
      <c r="AV82" s="1301"/>
      <c r="AW82" s="158"/>
      <c r="AX82" s="158"/>
      <c r="AY82" s="158"/>
      <c r="AZ82" s="695"/>
      <c r="BA82" s="158"/>
      <c r="BB82" s="158"/>
      <c r="BC82" s="1301"/>
      <c r="BD82" s="158"/>
      <c r="BE82" s="158"/>
      <c r="BF82" s="158"/>
      <c r="BG82" s="695"/>
      <c r="BH82" s="158"/>
      <c r="BI82" s="158"/>
      <c r="BJ82" s="1301"/>
      <c r="BK82" s="158"/>
      <c r="BL82" s="158"/>
      <c r="BM82" s="158"/>
      <c r="BN82" s="695"/>
      <c r="BO82" s="158"/>
      <c r="BP82" s="158"/>
      <c r="BQ82" s="1301"/>
      <c r="BR82" s="158"/>
      <c r="BS82" s="158"/>
      <c r="BT82" s="158"/>
      <c r="BU82" s="695"/>
      <c r="BV82" s="158"/>
      <c r="BW82" s="158"/>
      <c r="BX82" s="1301"/>
      <c r="BY82" s="158"/>
      <c r="BZ82" s="158"/>
      <c r="CA82" s="158"/>
      <c r="CB82" s="695"/>
      <c r="CC82" s="158"/>
      <c r="CD82" s="158"/>
      <c r="CE82" s="1301"/>
      <c r="CF82" s="158"/>
      <c r="CG82" s="158"/>
      <c r="CH82" s="158"/>
      <c r="CI82" s="695"/>
      <c r="CJ82" s="158"/>
      <c r="CK82" s="158"/>
      <c r="CL82" s="1301"/>
      <c r="CM82" s="158"/>
      <c r="CN82" s="158"/>
      <c r="CO82" s="158"/>
      <c r="CP82" s="695"/>
      <c r="CQ82" s="158"/>
      <c r="CR82" s="158"/>
      <c r="CS82" s="1301"/>
      <c r="CT82" s="18"/>
      <c r="CU82" s="18"/>
      <c r="CV82" s="18"/>
      <c r="CW82" s="1530"/>
      <c r="CX82" s="18"/>
      <c r="CY82" s="18"/>
      <c r="CZ82" s="1503"/>
      <c r="DA82" s="18"/>
      <c r="DB82" s="18"/>
      <c r="DC82" s="18"/>
      <c r="DD82" s="1530"/>
      <c r="DE82" s="18"/>
      <c r="DF82" s="18"/>
      <c r="DG82" s="1503"/>
      <c r="DH82" s="18"/>
      <c r="DI82" s="18"/>
      <c r="DJ82" s="18"/>
      <c r="DK82" s="1530"/>
      <c r="DL82" s="18"/>
      <c r="DM82" s="18"/>
      <c r="DN82" s="1503"/>
      <c r="DO82" s="18"/>
      <c r="DP82" s="18"/>
      <c r="DQ82" s="18"/>
      <c r="DR82" s="1530"/>
      <c r="DS82" s="18"/>
      <c r="DT82" s="18"/>
      <c r="DU82" s="1503"/>
      <c r="DV82" s="18"/>
      <c r="DW82" s="18"/>
      <c r="DX82" s="18"/>
      <c r="DY82" s="1530"/>
      <c r="DZ82" s="18"/>
      <c r="EA82" s="18"/>
      <c r="EB82" s="1503"/>
      <c r="EC82" s="18"/>
      <c r="ED82" s="18"/>
      <c r="EE82" s="18"/>
      <c r="EF82" s="1530"/>
      <c r="EG82" s="18"/>
      <c r="EH82" s="18"/>
      <c r="EI82" s="1503"/>
      <c r="EJ82" s="18"/>
      <c r="EK82" s="18"/>
      <c r="EL82" s="18"/>
      <c r="EM82" s="1530"/>
      <c r="EN82" s="18"/>
      <c r="EO82" s="18"/>
      <c r="EP82" s="1503"/>
      <c r="EQ82" s="43"/>
      <c r="ER82" s="46"/>
    </row>
    <row r="83" spans="1:148" ht="10.199999999999999" customHeight="1">
      <c r="A83" s="48" t="s">
        <v>661</v>
      </c>
      <c r="B83" s="108"/>
      <c r="C83" s="108"/>
      <c r="D83" s="203"/>
      <c r="E83" s="108"/>
      <c r="F83" s="108"/>
      <c r="G83" s="108"/>
      <c r="H83" s="108"/>
      <c r="I83" s="108"/>
      <c r="J83" s="108"/>
      <c r="K83" s="108"/>
      <c r="L83" s="158"/>
      <c r="M83" s="158"/>
      <c r="N83" s="158"/>
      <c r="O83" s="158"/>
      <c r="P83" s="158"/>
      <c r="Q83" s="695"/>
      <c r="R83" s="158"/>
      <c r="S83" s="158"/>
      <c r="T83" s="1301"/>
      <c r="U83" s="158"/>
      <c r="V83" s="158"/>
      <c r="W83" s="158"/>
      <c r="X83" s="695"/>
      <c r="Y83" s="158"/>
      <c r="Z83" s="158"/>
      <c r="AA83" s="1301"/>
      <c r="AB83" s="158"/>
      <c r="AC83" s="158"/>
      <c r="AD83" s="158"/>
      <c r="AE83" s="695"/>
      <c r="AF83" s="158"/>
      <c r="AG83" s="158"/>
      <c r="AH83" s="1301"/>
      <c r="AI83" s="158"/>
      <c r="AJ83" s="158"/>
      <c r="AK83" s="158"/>
      <c r="AL83" s="695"/>
      <c r="AM83" s="158"/>
      <c r="AN83" s="158"/>
      <c r="AO83" s="1301"/>
      <c r="AP83" s="158"/>
      <c r="AQ83" s="158"/>
      <c r="AR83" s="158"/>
      <c r="AS83" s="695"/>
      <c r="AT83" s="158"/>
      <c r="AU83" s="158"/>
      <c r="AV83" s="1301"/>
      <c r="AW83" s="158"/>
      <c r="AX83" s="158"/>
      <c r="AY83" s="158"/>
      <c r="AZ83" s="695"/>
      <c r="BA83" s="158"/>
      <c r="BB83" s="158"/>
      <c r="BC83" s="1301"/>
      <c r="BD83" s="158"/>
      <c r="BE83" s="158"/>
      <c r="BF83" s="158"/>
      <c r="BG83" s="695"/>
      <c r="BH83" s="158"/>
      <c r="BI83" s="158"/>
      <c r="BJ83" s="1301"/>
      <c r="BK83" s="158"/>
      <c r="BL83" s="158"/>
      <c r="BM83" s="158"/>
      <c r="BN83" s="695"/>
      <c r="BO83" s="158"/>
      <c r="BP83" s="158"/>
      <c r="BQ83" s="1301"/>
      <c r="BR83" s="158"/>
      <c r="BS83" s="158"/>
      <c r="BT83" s="158"/>
      <c r="BU83" s="695"/>
      <c r="BV83" s="158"/>
      <c r="BW83" s="158"/>
      <c r="BX83" s="1301"/>
      <c r="BY83" s="158"/>
      <c r="BZ83" s="158"/>
      <c r="CA83" s="158"/>
      <c r="CB83" s="695"/>
      <c r="CC83" s="158"/>
      <c r="CD83" s="158"/>
      <c r="CE83" s="1301"/>
      <c r="CF83" s="158"/>
      <c r="CG83" s="158"/>
      <c r="CH83" s="158"/>
      <c r="CI83" s="695"/>
      <c r="CJ83" s="158"/>
      <c r="CK83" s="158"/>
      <c r="CL83" s="1301"/>
      <c r="CM83" s="158"/>
      <c r="CN83" s="158"/>
      <c r="CO83" s="158"/>
      <c r="CP83" s="695"/>
      <c r="CQ83" s="158"/>
      <c r="CR83" s="158"/>
      <c r="CS83" s="1301"/>
      <c r="CT83" s="18"/>
      <c r="CU83" s="18"/>
      <c r="CV83" s="18"/>
      <c r="CW83" s="1530"/>
      <c r="CX83" s="18"/>
      <c r="CY83" s="18"/>
      <c r="CZ83" s="1503"/>
      <c r="DA83" s="18"/>
      <c r="DB83" s="18"/>
      <c r="DC83" s="18"/>
      <c r="DD83" s="1530"/>
      <c r="DE83" s="18"/>
      <c r="DF83" s="18"/>
      <c r="DG83" s="1503"/>
      <c r="DH83" s="18"/>
      <c r="DI83" s="18"/>
      <c r="DJ83" s="18"/>
      <c r="DK83" s="1530"/>
      <c r="DL83" s="18"/>
      <c r="DM83" s="18"/>
      <c r="DN83" s="1503"/>
      <c r="DO83" s="18"/>
      <c r="DP83" s="18"/>
      <c r="DQ83" s="18"/>
      <c r="DR83" s="1530"/>
      <c r="DS83" s="18"/>
      <c r="DT83" s="18"/>
      <c r="DU83" s="1503"/>
      <c r="DV83" s="18"/>
      <c r="DW83" s="18"/>
      <c r="DX83" s="18"/>
      <c r="DY83" s="1530"/>
      <c r="DZ83" s="18"/>
      <c r="EA83" s="18"/>
      <c r="EB83" s="1503"/>
      <c r="EC83" s="18"/>
      <c r="ED83" s="18"/>
      <c r="EE83" s="18"/>
      <c r="EF83" s="1530"/>
      <c r="EG83" s="18"/>
      <c r="EH83" s="18"/>
      <c r="EI83" s="1503"/>
      <c r="EJ83" s="18"/>
      <c r="EK83" s="18"/>
      <c r="EL83" s="18"/>
      <c r="EM83" s="1530"/>
      <c r="EN83" s="18"/>
      <c r="EO83" s="18"/>
      <c r="EP83" s="1503"/>
      <c r="EQ83" s="43"/>
      <c r="ER83" s="46"/>
    </row>
    <row r="84" spans="1:148" ht="10.199999999999999" customHeight="1">
      <c r="A84" s="108" t="s">
        <v>662</v>
      </c>
      <c r="B84" s="108"/>
      <c r="C84" s="108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1448"/>
      <c r="R84" s="203"/>
      <c r="S84" s="203"/>
      <c r="T84" s="1461"/>
      <c r="U84" s="203"/>
      <c r="V84" s="203"/>
      <c r="W84" s="203"/>
      <c r="X84" s="1448"/>
      <c r="Y84" s="203"/>
      <c r="Z84" s="203"/>
      <c r="AA84" s="1461"/>
      <c r="AB84" s="203"/>
      <c r="AC84" s="203"/>
      <c r="AD84" s="203"/>
      <c r="AE84" s="1448"/>
      <c r="AF84" s="203"/>
      <c r="AG84" s="203"/>
      <c r="AH84" s="1461"/>
      <c r="AI84" s="203"/>
      <c r="AJ84" s="203"/>
      <c r="AK84" s="203"/>
      <c r="AL84" s="1448"/>
      <c r="AM84" s="203"/>
      <c r="AN84" s="203"/>
      <c r="AO84" s="1461"/>
      <c r="AP84" s="203"/>
      <c r="AQ84" s="203"/>
      <c r="AR84" s="203"/>
      <c r="AS84" s="1448"/>
      <c r="AT84" s="203"/>
      <c r="AU84" s="203"/>
      <c r="AV84" s="1461"/>
      <c r="AW84" s="203"/>
      <c r="AX84" s="203"/>
      <c r="AY84" s="203"/>
      <c r="AZ84" s="1448"/>
      <c r="BA84" s="203"/>
      <c r="BB84" s="203"/>
      <c r="BC84" s="1461"/>
      <c r="BD84" s="203"/>
      <c r="BE84" s="203"/>
      <c r="BF84" s="203"/>
      <c r="BG84" s="1448"/>
      <c r="BH84" s="203"/>
      <c r="BI84" s="203"/>
      <c r="BJ84" s="1461">
        <f>Airbus!BK143</f>
        <v>800</v>
      </c>
      <c r="BK84" s="203"/>
      <c r="BL84" s="203"/>
      <c r="BM84" s="203"/>
      <c r="BN84" s="1448"/>
      <c r="BO84" s="203"/>
      <c r="BP84" s="203"/>
      <c r="BQ84" s="1461">
        <f>Airbus!BR143</f>
        <v>863</v>
      </c>
      <c r="BR84" s="203"/>
      <c r="BS84" s="203"/>
      <c r="BT84" s="203"/>
      <c r="BU84" s="1448"/>
      <c r="BV84" s="203"/>
      <c r="BW84" s="203"/>
      <c r="BX84" s="1461">
        <f>Airbus!BY143</f>
        <v>566</v>
      </c>
      <c r="BY84" s="203"/>
      <c r="BZ84" s="203"/>
      <c r="CA84" s="203"/>
      <c r="CB84" s="1448"/>
      <c r="CC84" s="203"/>
      <c r="CD84" s="203"/>
      <c r="CE84" s="1461">
        <f>Airbus!CF143</f>
        <v>611</v>
      </c>
      <c r="CF84" s="203"/>
      <c r="CG84" s="203"/>
      <c r="CH84" s="203"/>
      <c r="CI84" s="1448"/>
      <c r="CJ84" s="203"/>
      <c r="CK84" s="203"/>
      <c r="CL84" s="1461">
        <f>Airbus!CM143</f>
        <v>661</v>
      </c>
      <c r="CM84" s="203"/>
      <c r="CN84" s="203"/>
      <c r="CO84" s="203"/>
      <c r="CP84" s="1448"/>
      <c r="CQ84" s="203"/>
      <c r="CR84" s="203"/>
      <c r="CS84" s="1461">
        <f>Airbus!CT143</f>
        <v>735</v>
      </c>
      <c r="CT84" s="860"/>
      <c r="CU84" s="860"/>
      <c r="CV84" s="860"/>
      <c r="CW84" s="1109"/>
      <c r="CX84" s="860"/>
      <c r="CY84" s="860"/>
      <c r="CZ84" s="1269">
        <f>Airbus!DA143</f>
        <v>766</v>
      </c>
      <c r="DA84" s="860"/>
      <c r="DB84" s="860"/>
      <c r="DC84" s="860"/>
      <c r="DD84" s="1109"/>
      <c r="DE84" s="860"/>
      <c r="DF84" s="860"/>
      <c r="DG84" s="1269">
        <f>Airbus!DH143</f>
        <v>793</v>
      </c>
      <c r="DH84" s="860"/>
      <c r="DI84" s="860"/>
      <c r="DJ84" s="860"/>
      <c r="DK84" s="1109"/>
      <c r="DL84" s="860"/>
      <c r="DM84" s="860"/>
      <c r="DN84" s="1119">
        <f>Airbus!DO143</f>
        <v>870</v>
      </c>
      <c r="DO84" s="860"/>
      <c r="DP84" s="860"/>
      <c r="DQ84" s="860"/>
      <c r="DR84" s="1109"/>
      <c r="DS84" s="860"/>
      <c r="DT84" s="860"/>
      <c r="DU84" s="1119">
        <f>Airbus!DV143</f>
        <v>975</v>
      </c>
      <c r="DV84" s="860"/>
      <c r="DW84" s="860"/>
      <c r="DX84" s="860"/>
      <c r="DY84" s="1109"/>
      <c r="DZ84" s="860"/>
      <c r="EA84" s="860"/>
      <c r="EB84" s="1119">
        <f>Airbus!EC143</f>
        <v>1040.625</v>
      </c>
      <c r="EC84" s="860"/>
      <c r="ED84" s="860"/>
      <c r="EE84" s="860"/>
      <c r="EF84" s="1109"/>
      <c r="EG84" s="860"/>
      <c r="EH84" s="860"/>
      <c r="EI84" s="1119">
        <f>Airbus!EJ143</f>
        <v>1066</v>
      </c>
      <c r="EJ84" s="860"/>
      <c r="EK84" s="860"/>
      <c r="EL84" s="860"/>
      <c r="EM84" s="1109"/>
      <c r="EN84" s="860"/>
      <c r="EO84" s="860"/>
      <c r="EP84" s="1119">
        <f>Airbus!EQ143</f>
        <v>1071.5</v>
      </c>
      <c r="EQ84" s="43"/>
      <c r="ER84" s="47"/>
    </row>
    <row r="85" spans="1:148" ht="10.199999999999999" customHeight="1">
      <c r="A85" s="108" t="s">
        <v>663</v>
      </c>
      <c r="B85" s="108"/>
      <c r="C85" s="108"/>
      <c r="D85" s="203"/>
      <c r="E85" s="203"/>
      <c r="F85" s="203"/>
      <c r="G85" s="203"/>
      <c r="H85" s="203"/>
      <c r="I85" s="203"/>
      <c r="J85" s="203"/>
      <c r="K85" s="203"/>
      <c r="L85" s="203"/>
      <c r="M85" s="251">
        <f>Airbus!N46</f>
        <v>4.4582194191051076E-2</v>
      </c>
      <c r="N85" s="251"/>
      <c r="O85" s="251"/>
      <c r="P85" s="251"/>
      <c r="Q85" s="1277"/>
      <c r="R85" s="251"/>
      <c r="S85" s="251"/>
      <c r="T85" s="1295">
        <f>Airbus!U46</f>
        <v>5.6059148225046845E-2</v>
      </c>
      <c r="U85" s="251"/>
      <c r="V85" s="251"/>
      <c r="W85" s="251"/>
      <c r="X85" s="1277"/>
      <c r="Y85" s="251"/>
      <c r="Z85" s="251"/>
      <c r="AA85" s="1295">
        <f>Airbus!AB46</f>
        <v>5.9815515610217598E-2</v>
      </c>
      <c r="AB85" s="251"/>
      <c r="AC85" s="251"/>
      <c r="AD85" s="251"/>
      <c r="AE85" s="1277"/>
      <c r="AF85" s="251"/>
      <c r="AG85" s="251"/>
      <c r="AH85" s="1295">
        <f>Airbus!AI46</f>
        <v>6.0627208095258865E-2</v>
      </c>
      <c r="AI85" s="251"/>
      <c r="AJ85" s="251"/>
      <c r="AK85" s="251"/>
      <c r="AL85" s="1277"/>
      <c r="AM85" s="251"/>
      <c r="AN85" s="251"/>
      <c r="AO85" s="1295">
        <f>Airbus!AP46</f>
        <v>5.7091211893494732E-2</v>
      </c>
      <c r="AP85" s="251"/>
      <c r="AQ85" s="251"/>
      <c r="AR85" s="251"/>
      <c r="AS85" s="1277"/>
      <c r="AT85" s="251"/>
      <c r="AU85" s="251"/>
      <c r="AV85" s="1295">
        <f>Airbus!AW46</f>
        <v>6.9743710506691786E-2</v>
      </c>
      <c r="AW85" s="251"/>
      <c r="AX85" s="251"/>
      <c r="AY85" s="251"/>
      <c r="AZ85" s="1277"/>
      <c r="BA85" s="251"/>
      <c r="BB85" s="251"/>
      <c r="BC85" s="1295">
        <f>Airbus!BD46</f>
        <v>5.4799245734259303E-2</v>
      </c>
      <c r="BD85" s="251"/>
      <c r="BE85" s="251"/>
      <c r="BF85" s="251"/>
      <c r="BG85" s="1277"/>
      <c r="BH85" s="251"/>
      <c r="BI85" s="251"/>
      <c r="BJ85" s="1295">
        <f>Airbus!BK46</f>
        <v>0.10022930998540755</v>
      </c>
      <c r="BK85" s="251"/>
      <c r="BL85" s="251"/>
      <c r="BM85" s="251"/>
      <c r="BN85" s="1277"/>
      <c r="BO85" s="251"/>
      <c r="BP85" s="251"/>
      <c r="BQ85" s="1295">
        <f>Airbus!BR46</f>
        <v>0.11607485166590598</v>
      </c>
      <c r="BR85" s="251"/>
      <c r="BS85" s="251"/>
      <c r="BT85" s="251"/>
      <c r="BU85" s="1277"/>
      <c r="BV85" s="251"/>
      <c r="BW85" s="251"/>
      <c r="BX85" s="1295">
        <f>Airbus!BY46</f>
        <v>1.8043795620437956E-2</v>
      </c>
      <c r="BY85" s="251"/>
      <c r="BZ85" s="251"/>
      <c r="CA85" s="251"/>
      <c r="CB85" s="1277"/>
      <c r="CC85" s="251"/>
      <c r="CD85" s="251"/>
      <c r="CE85" s="1295">
        <f>Airbus!CF46</f>
        <v>9.871695608892822E-2</v>
      </c>
      <c r="CF85" s="251"/>
      <c r="CG85" s="251"/>
      <c r="CH85" s="251"/>
      <c r="CI85" s="1277"/>
      <c r="CJ85" s="251"/>
      <c r="CK85" s="251"/>
      <c r="CL85" s="1295">
        <f>Airbus!CM46</f>
        <v>0.11103601428985227</v>
      </c>
      <c r="CM85" s="251"/>
      <c r="CN85" s="251"/>
      <c r="CO85" s="251"/>
      <c r="CP85" s="1277"/>
      <c r="CQ85" s="251"/>
      <c r="CR85" s="251"/>
      <c r="CS85" s="1295">
        <f>Airbus!CT46</f>
        <v>0.10087306073739087</v>
      </c>
      <c r="CT85" s="900"/>
      <c r="CU85" s="900"/>
      <c r="CV85" s="900"/>
      <c r="CW85" s="1114"/>
      <c r="CX85" s="900"/>
      <c r="CY85" s="900"/>
      <c r="CZ85" s="1275">
        <f>Airbus!DA46</f>
        <v>0.10056075504482091</v>
      </c>
      <c r="DA85" s="900"/>
      <c r="DB85" s="900"/>
      <c r="DC85" s="900"/>
      <c r="DD85" s="1114"/>
      <c r="DE85" s="900"/>
      <c r="DF85" s="900"/>
      <c r="DG85" s="1275">
        <f>Airbus!DH46</f>
        <v>0.10403788728911882</v>
      </c>
      <c r="DH85" s="900"/>
      <c r="DI85" s="900"/>
      <c r="DJ85" s="900"/>
      <c r="DK85" s="1114"/>
      <c r="DL85" s="900"/>
      <c r="DM85" s="900"/>
      <c r="DN85" s="755">
        <f>Airbus!DO46</f>
        <v>0.1014364738435818</v>
      </c>
      <c r="DO85" s="900"/>
      <c r="DP85" s="900"/>
      <c r="DQ85" s="900"/>
      <c r="DR85" s="1114"/>
      <c r="DS85" s="900"/>
      <c r="DT85" s="900"/>
      <c r="DU85" s="755">
        <f>Airbus!DV46</f>
        <v>0.11040963716122627</v>
      </c>
      <c r="DV85" s="900"/>
      <c r="DW85" s="900"/>
      <c r="DX85" s="900"/>
      <c r="DY85" s="1114"/>
      <c r="DZ85" s="900"/>
      <c r="EA85" s="900"/>
      <c r="EB85" s="755">
        <f>Airbus!EC46</f>
        <v>0.12807573833658487</v>
      </c>
      <c r="EC85" s="900"/>
      <c r="ED85" s="900"/>
      <c r="EE85" s="900"/>
      <c r="EF85" s="1114"/>
      <c r="EG85" s="900"/>
      <c r="EH85" s="900"/>
      <c r="EI85" s="755">
        <f>Airbus!EJ46</f>
        <v>0.13337112037970139</v>
      </c>
      <c r="EJ85" s="900"/>
      <c r="EK85" s="900"/>
      <c r="EL85" s="900"/>
      <c r="EM85" s="1114"/>
      <c r="EN85" s="900"/>
      <c r="EO85" s="900"/>
      <c r="EP85" s="755">
        <f>Airbus!EQ46</f>
        <v>0.13727124954148279</v>
      </c>
      <c r="EQ85" s="43"/>
      <c r="ER85" s="47"/>
    </row>
    <row r="86" spans="1:148" ht="10.199999999999999" customHeight="1">
      <c r="A86" s="108" t="s">
        <v>664</v>
      </c>
      <c r="B86" s="108"/>
      <c r="C86" s="108"/>
      <c r="D86" s="203"/>
      <c r="E86" s="203"/>
      <c r="F86" s="203"/>
      <c r="G86" s="203"/>
      <c r="H86" s="203"/>
      <c r="I86" s="203"/>
      <c r="J86" s="203"/>
      <c r="K86" s="203"/>
      <c r="L86" s="203"/>
      <c r="M86" s="251">
        <f>Divisional!M125</f>
        <v>5.5630311614730879E-2</v>
      </c>
      <c r="N86" s="251"/>
      <c r="O86" s="251"/>
      <c r="P86" s="251"/>
      <c r="Q86" s="1277"/>
      <c r="R86" s="251"/>
      <c r="S86" s="251"/>
      <c r="T86" s="1295">
        <f>Divisional!T125</f>
        <v>5.4162975315719078E-2</v>
      </c>
      <c r="U86" s="251"/>
      <c r="V86" s="251"/>
      <c r="W86" s="251"/>
      <c r="X86" s="1277"/>
      <c r="Y86" s="251"/>
      <c r="Z86" s="251"/>
      <c r="AA86" s="1295">
        <f>Divisional!AA125</f>
        <v>5.5852947474181805E-2</v>
      </c>
      <c r="AB86" s="251"/>
      <c r="AC86" s="251"/>
      <c r="AD86" s="251"/>
      <c r="AE86" s="1277"/>
      <c r="AF86" s="251"/>
      <c r="AG86" s="251"/>
      <c r="AH86" s="1295">
        <f>Divisional!AH125</f>
        <v>5.3685027152831653E-2</v>
      </c>
      <c r="AI86" s="251"/>
      <c r="AJ86" s="251"/>
      <c r="AK86" s="251"/>
      <c r="AL86" s="1277"/>
      <c r="AM86" s="251"/>
      <c r="AN86" s="251"/>
      <c r="AO86" s="1295">
        <f>Divisional!AO125</f>
        <v>4.4607320406722641E-2</v>
      </c>
      <c r="AP86" s="251"/>
      <c r="AQ86" s="251"/>
      <c r="AR86" s="251"/>
      <c r="AS86" s="1277"/>
      <c r="AT86" s="251"/>
      <c r="AU86" s="251"/>
      <c r="AV86" s="1295">
        <f>Divisional!AV125</f>
        <v>4.204172720056315E-2</v>
      </c>
      <c r="AW86" s="251"/>
      <c r="AX86" s="251"/>
      <c r="AY86" s="251"/>
      <c r="AZ86" s="1277"/>
      <c r="BA86" s="251"/>
      <c r="BB86" s="251"/>
      <c r="BC86" s="1295">
        <f>Divisional!BC125</f>
        <v>4.7558537494493576E-2</v>
      </c>
      <c r="BD86" s="251"/>
      <c r="BE86" s="251"/>
      <c r="BF86" s="251"/>
      <c r="BG86" s="1277"/>
      <c r="BH86" s="251"/>
      <c r="BI86" s="251"/>
      <c r="BJ86" s="1295">
        <f>Divisional!BJ125</f>
        <v>5.049680568854286E-2</v>
      </c>
      <c r="BK86" s="251"/>
      <c r="BL86" s="251"/>
      <c r="BM86" s="251"/>
      <c r="BN86" s="1277"/>
      <c r="BO86" s="251"/>
      <c r="BP86" s="251"/>
      <c r="BQ86" s="1295">
        <f>Divisional!BQ125</f>
        <v>4.7646073952155282E-2</v>
      </c>
      <c r="BR86" s="251"/>
      <c r="BS86" s="251"/>
      <c r="BT86" s="251"/>
      <c r="BU86" s="1277"/>
      <c r="BV86" s="251"/>
      <c r="BW86" s="251"/>
      <c r="BX86" s="1295">
        <f>Divisional!CE125</f>
        <v>5.726077897098894E-2</v>
      </c>
      <c r="BY86" s="251"/>
      <c r="BZ86" s="251"/>
      <c r="CA86" s="251"/>
      <c r="CB86" s="1277"/>
      <c r="CC86" s="251"/>
      <c r="CD86" s="251"/>
      <c r="CE86" s="1295">
        <f>Divisional!CL125</f>
        <v>5.2656810293581852E-2</v>
      </c>
      <c r="CF86" s="251"/>
      <c r="CG86" s="251"/>
      <c r="CH86" s="251"/>
      <c r="CI86" s="1277"/>
      <c r="CJ86" s="251"/>
      <c r="CK86" s="251"/>
      <c r="CL86" s="1295">
        <f>Divisional!CS125</f>
        <v>5.2396916427003386E-2</v>
      </c>
      <c r="CM86" s="251"/>
      <c r="CN86" s="251"/>
      <c r="CO86" s="251"/>
      <c r="CP86" s="1277"/>
      <c r="CQ86" s="251"/>
      <c r="CR86" s="251"/>
      <c r="CS86" s="1295">
        <f>Divisional!CZ125</f>
        <v>4.9766219478654158E-2</v>
      </c>
      <c r="CT86" s="900"/>
      <c r="CU86" s="900"/>
      <c r="CV86" s="900"/>
      <c r="CW86" s="1114"/>
      <c r="CX86" s="900"/>
      <c r="CY86" s="900"/>
      <c r="CZ86" s="1275">
        <f>Divisional!DG125</f>
        <v>4.6944966055178394E-2</v>
      </c>
      <c r="DA86" s="900"/>
      <c r="DB86" s="900"/>
      <c r="DC86" s="900"/>
      <c r="DD86" s="1114"/>
      <c r="DE86" s="900"/>
      <c r="DF86" s="900"/>
      <c r="DG86" s="1275">
        <f>Divisional!DN125</f>
        <v>4.2944701716153638E-2</v>
      </c>
      <c r="DH86" s="900"/>
      <c r="DI86" s="900"/>
      <c r="DJ86" s="900"/>
      <c r="DK86" s="1114"/>
      <c r="DL86" s="900"/>
      <c r="DM86" s="900"/>
      <c r="DN86" s="755">
        <f>Divisional!DU125</f>
        <v>4.3561415529174301E-2</v>
      </c>
      <c r="DO86" s="900"/>
      <c r="DP86" s="900"/>
      <c r="DQ86" s="900"/>
      <c r="DR86" s="1114"/>
      <c r="DS86" s="900"/>
      <c r="DT86" s="900"/>
      <c r="DU86" s="755">
        <f>Divisional!EB125</f>
        <v>4.4646540871335266E-2</v>
      </c>
      <c r="DV86" s="900"/>
      <c r="DW86" s="900"/>
      <c r="DX86" s="900"/>
      <c r="DY86" s="1114"/>
      <c r="DZ86" s="900"/>
      <c r="EA86" s="900"/>
      <c r="EB86" s="755">
        <f>Divisional!EI125</f>
        <v>4.5621614468826677E-2</v>
      </c>
      <c r="EC86" s="900"/>
      <c r="ED86" s="900"/>
      <c r="EE86" s="900"/>
      <c r="EF86" s="1114"/>
      <c r="EG86" s="900"/>
      <c r="EH86" s="900"/>
      <c r="EI86" s="755">
        <f>Divisional!EP125</f>
        <v>4.6450222502961748E-2</v>
      </c>
      <c r="EJ86" s="900"/>
      <c r="EK86" s="900"/>
      <c r="EL86" s="900"/>
      <c r="EM86" s="1114"/>
      <c r="EN86" s="900"/>
      <c r="EO86" s="900"/>
      <c r="EP86" s="755">
        <f>Divisional!EW125</f>
        <v>4.7274203909316845E-2</v>
      </c>
      <c r="EQ86" s="43"/>
      <c r="ER86" s="47"/>
    </row>
    <row r="87" spans="1:148" ht="10.199999999999999" customHeight="1">
      <c r="A87" s="108" t="s">
        <v>665</v>
      </c>
      <c r="B87" s="108"/>
      <c r="C87" s="108"/>
      <c r="D87" s="203"/>
      <c r="E87" s="203"/>
      <c r="F87" s="203"/>
      <c r="G87" s="203"/>
      <c r="H87" s="203"/>
      <c r="I87" s="203"/>
      <c r="J87" s="203"/>
      <c r="K87" s="203"/>
      <c r="L87" s="203"/>
      <c r="M87" s="251">
        <f>Divisional!M32</f>
        <v>5.3222379603399435E-2</v>
      </c>
      <c r="N87" s="251"/>
      <c r="O87" s="251"/>
      <c r="P87" s="251"/>
      <c r="Q87" s="1277"/>
      <c r="R87" s="251"/>
      <c r="S87" s="251"/>
      <c r="T87" s="1295">
        <f>Divisional!T32</f>
        <v>6.1441450831205377E-2</v>
      </c>
      <c r="U87" s="251"/>
      <c r="V87" s="251"/>
      <c r="W87" s="251"/>
      <c r="X87" s="1277"/>
      <c r="Y87" s="251"/>
      <c r="Z87" s="251"/>
      <c r="AA87" s="1295">
        <f>Divisional!AA32</f>
        <v>6.6970829970517023E-2</v>
      </c>
      <c r="AB87" s="251"/>
      <c r="AC87" s="251"/>
      <c r="AD87" s="251"/>
      <c r="AE87" s="1277"/>
      <c r="AF87" s="251"/>
      <c r="AG87" s="251"/>
      <c r="AH87" s="1295">
        <f>Divisional!AH32</f>
        <v>6.4111714507370049E-2</v>
      </c>
      <c r="AI87" s="251"/>
      <c r="AJ87" s="251"/>
      <c r="AK87" s="251"/>
      <c r="AL87" s="1277"/>
      <c r="AM87" s="251"/>
      <c r="AN87" s="251"/>
      <c r="AO87" s="1295">
        <f>Divisional!AO32</f>
        <v>5.9401330709962299E-2</v>
      </c>
      <c r="AP87" s="251"/>
      <c r="AQ87" s="251"/>
      <c r="AR87" s="251"/>
      <c r="AS87" s="1277"/>
      <c r="AT87" s="251"/>
      <c r="AU87" s="251"/>
      <c r="AV87" s="1295">
        <f>Divisional!AV32</f>
        <v>6.3699132805128275E-2</v>
      </c>
      <c r="AW87" s="251"/>
      <c r="AX87" s="251"/>
      <c r="AY87" s="251"/>
      <c r="AZ87" s="1277"/>
      <c r="BA87" s="251"/>
      <c r="BB87" s="251"/>
      <c r="BC87" s="1295">
        <f>Divisional!BC32</f>
        <v>5.4047643251668873E-2</v>
      </c>
      <c r="BD87" s="251"/>
      <c r="BE87" s="251"/>
      <c r="BF87" s="251"/>
      <c r="BG87" s="1277"/>
      <c r="BH87" s="251"/>
      <c r="BI87" s="251"/>
      <c r="BJ87" s="1295">
        <f>Divisional!BJ32</f>
        <v>9.1575494058737661E-2</v>
      </c>
      <c r="BK87" s="251"/>
      <c r="BL87" s="251"/>
      <c r="BM87" s="251"/>
      <c r="BN87" s="1277"/>
      <c r="BO87" s="251"/>
      <c r="BP87" s="251"/>
      <c r="BQ87" s="1295">
        <f>Divisional!BQ32</f>
        <v>9.8555577627060922E-2</v>
      </c>
      <c r="BR87" s="251"/>
      <c r="BS87" s="251"/>
      <c r="BT87" s="251"/>
      <c r="BU87" s="1277"/>
      <c r="BV87" s="251"/>
      <c r="BW87" s="251"/>
      <c r="BX87" s="1295">
        <f>Divisional!CE32</f>
        <v>3.4180157076454561E-2</v>
      </c>
      <c r="BY87" s="251"/>
      <c r="BZ87" s="251"/>
      <c r="CA87" s="251"/>
      <c r="CB87" s="1277"/>
      <c r="CC87" s="251"/>
      <c r="CD87" s="251"/>
      <c r="CE87" s="1295">
        <f>Divisional!CL32</f>
        <v>9.3290379489539582E-2</v>
      </c>
      <c r="CF87" s="251"/>
      <c r="CG87" s="251"/>
      <c r="CH87" s="251"/>
      <c r="CI87" s="1277"/>
      <c r="CJ87" s="251"/>
      <c r="CK87" s="251"/>
      <c r="CL87" s="1295">
        <f>Divisional!CS32</f>
        <v>9.5757534503003588E-2</v>
      </c>
      <c r="CM87" s="251"/>
      <c r="CN87" s="251"/>
      <c r="CO87" s="251"/>
      <c r="CP87" s="1277"/>
      <c r="CQ87" s="251"/>
      <c r="CR87" s="251"/>
      <c r="CS87" s="1295">
        <f>Divisional!CZ32</f>
        <v>8.9203312654707698E-2</v>
      </c>
      <c r="CT87" s="251"/>
      <c r="CU87" s="251"/>
      <c r="CV87" s="251"/>
      <c r="CW87" s="1277"/>
      <c r="CX87" s="251"/>
      <c r="CY87" s="251"/>
      <c r="CZ87" s="1275">
        <f>Divisional!DG32</f>
        <v>7.7336414849053875E-2</v>
      </c>
      <c r="DA87" s="900"/>
      <c r="DB87" s="900"/>
      <c r="DC87" s="900"/>
      <c r="DD87" s="1114"/>
      <c r="DE87" s="900"/>
      <c r="DF87" s="251"/>
      <c r="DG87" s="1275">
        <f>Divisional!DN32</f>
        <v>9.7085262871152281E-2</v>
      </c>
      <c r="DH87" s="900"/>
      <c r="DI87" s="900"/>
      <c r="DJ87" s="900"/>
      <c r="DK87" s="1114"/>
      <c r="DL87" s="900"/>
      <c r="DM87" s="900"/>
      <c r="DN87" s="755">
        <f>Divisional!DU32</f>
        <v>9.8209849658074694E-2</v>
      </c>
      <c r="DO87" s="900"/>
      <c r="DP87" s="900"/>
      <c r="DQ87" s="900"/>
      <c r="DR87" s="1114"/>
      <c r="DS87" s="900"/>
      <c r="DT87" s="900"/>
      <c r="DU87" s="755">
        <f>Divisional!EB32</f>
        <v>0.10630963659491333</v>
      </c>
      <c r="DV87" s="900"/>
      <c r="DW87" s="900"/>
      <c r="DX87" s="900"/>
      <c r="DY87" s="1114"/>
      <c r="DZ87" s="900"/>
      <c r="EA87" s="900"/>
      <c r="EB87" s="755">
        <f>Divisional!EI32</f>
        <v>0.12113346045123709</v>
      </c>
      <c r="EC87" s="900"/>
      <c r="ED87" s="900"/>
      <c r="EE87" s="900"/>
      <c r="EF87" s="1114"/>
      <c r="EG87" s="900"/>
      <c r="EH87" s="900"/>
      <c r="EI87" s="755">
        <f>Divisional!EP32</f>
        <v>0.12560885462174012</v>
      </c>
      <c r="EJ87" s="900"/>
      <c r="EK87" s="900"/>
      <c r="EL87" s="900"/>
      <c r="EM87" s="1114"/>
      <c r="EN87" s="900"/>
      <c r="EO87" s="900"/>
      <c r="EP87" s="755">
        <f>Divisional!EW32</f>
        <v>0.12862289675382255</v>
      </c>
      <c r="EQ87" s="43"/>
      <c r="ER87" s="47"/>
    </row>
    <row r="88" spans="1:148" ht="10.199999999999999" customHeight="1">
      <c r="A88" s="108" t="s">
        <v>666</v>
      </c>
      <c r="B88" s="108"/>
      <c r="C88" s="108"/>
      <c r="D88" s="203"/>
      <c r="E88" s="203"/>
      <c r="F88" s="203"/>
      <c r="G88" s="203"/>
      <c r="H88" s="203"/>
      <c r="I88" s="203"/>
      <c r="J88" s="203"/>
      <c r="K88" s="203"/>
      <c r="L88" s="846"/>
      <c r="M88" s="134">
        <v>0.80188157166574436</v>
      </c>
      <c r="N88" s="134"/>
      <c r="O88" s="134"/>
      <c r="P88" s="134"/>
      <c r="Q88" s="717"/>
      <c r="R88" s="134"/>
      <c r="S88" s="134"/>
      <c r="T88" s="1270">
        <v>-0.36583184257602863</v>
      </c>
      <c r="U88" s="134"/>
      <c r="V88" s="134"/>
      <c r="W88" s="134"/>
      <c r="X88" s="717"/>
      <c r="Y88" s="134"/>
      <c r="Z88" s="134"/>
      <c r="AA88" s="1270">
        <v>0.42103264996203493</v>
      </c>
      <c r="AB88" s="134"/>
      <c r="AC88" s="134"/>
      <c r="AD88" s="134"/>
      <c r="AE88" s="717"/>
      <c r="AF88" s="134"/>
      <c r="AG88" s="134"/>
      <c r="AH88" s="1270">
        <v>0.43859649122807015</v>
      </c>
      <c r="AI88" s="134"/>
      <c r="AJ88" s="134"/>
      <c r="AK88" s="134"/>
      <c r="AL88" s="717"/>
      <c r="AM88" s="134"/>
      <c r="AN88" s="134"/>
      <c r="AO88" s="1270">
        <v>0.45120999219359875</v>
      </c>
      <c r="AP88" s="134"/>
      <c r="AQ88" s="134"/>
      <c r="AR88" s="134"/>
      <c r="AS88" s="717"/>
      <c r="AT88" s="134"/>
      <c r="AU88" s="134"/>
      <c r="AV88" s="1270">
        <v>1.0045839210155147</v>
      </c>
      <c r="AW88" s="134"/>
      <c r="AX88" s="134"/>
      <c r="AY88" s="134"/>
      <c r="AZ88" s="717"/>
      <c r="BA88" s="134"/>
      <c r="BB88" s="134"/>
      <c r="BC88" s="1270"/>
      <c r="BD88" s="134"/>
      <c r="BE88" s="134"/>
      <c r="BF88" s="134"/>
      <c r="BG88" s="717"/>
      <c r="BH88" s="134"/>
      <c r="BI88" s="134"/>
      <c r="BJ88" s="1270">
        <v>0.73943139678615577</v>
      </c>
      <c r="BK88" s="134"/>
      <c r="BL88" s="134"/>
      <c r="BM88" s="134"/>
      <c r="BN88" s="717"/>
      <c r="BO88" s="134"/>
      <c r="BP88" s="134"/>
      <c r="BQ88" s="1270">
        <v>0.75652173913043474</v>
      </c>
      <c r="BR88" s="134"/>
      <c r="BS88" s="134"/>
      <c r="BT88" s="134"/>
      <c r="BU88" s="717"/>
      <c r="BV88" s="134"/>
      <c r="BW88" s="134"/>
      <c r="BX88" s="1270">
        <v>-6.3773408239700373</v>
      </c>
      <c r="BY88" s="134"/>
      <c r="BZ88" s="134"/>
      <c r="CA88" s="134"/>
      <c r="CB88" s="717"/>
      <c r="CC88" s="134"/>
      <c r="CD88" s="134"/>
      <c r="CE88" s="1270">
        <v>1.0429790992051811</v>
      </c>
      <c r="CF88" s="134"/>
      <c r="CG88" s="134"/>
      <c r="CH88" s="134"/>
      <c r="CI88" s="717"/>
      <c r="CJ88" s="134"/>
      <c r="CK88" s="134"/>
      <c r="CL88" s="1270">
        <v>1.1181257706535142</v>
      </c>
      <c r="CM88" s="134"/>
      <c r="CN88" s="134"/>
      <c r="CO88" s="134"/>
      <c r="CP88" s="717"/>
      <c r="CQ88" s="134"/>
      <c r="CR88" s="134"/>
      <c r="CS88" s="1270">
        <v>0.89449852841294997</v>
      </c>
      <c r="CT88" s="223"/>
      <c r="CU88" s="223"/>
      <c r="CV88" s="223"/>
      <c r="CW88" s="717"/>
      <c r="CX88" s="223"/>
      <c r="CY88" s="223"/>
      <c r="CZ88" s="1279">
        <v>1.1174849699398797</v>
      </c>
      <c r="DA88" s="901"/>
      <c r="DB88" s="901"/>
      <c r="DC88" s="901"/>
      <c r="DD88" s="1122"/>
      <c r="DE88" s="901"/>
      <c r="DF88" s="223"/>
      <c r="DG88" s="1279">
        <v>0</v>
      </c>
      <c r="DH88" s="901"/>
      <c r="DI88" s="901"/>
      <c r="DJ88" s="901"/>
      <c r="DK88" s="1122"/>
      <c r="DL88" s="901"/>
      <c r="DM88" s="901"/>
      <c r="DN88" s="1115">
        <v>0.84989435634291233</v>
      </c>
      <c r="DO88" s="901"/>
      <c r="DP88" s="901"/>
      <c r="DQ88" s="901"/>
      <c r="DR88" s="1122"/>
      <c r="DS88" s="901"/>
      <c r="DT88" s="901"/>
      <c r="DU88" s="1115">
        <v>0.90737254630001507</v>
      </c>
      <c r="DV88" s="901"/>
      <c r="DW88" s="901"/>
      <c r="DX88" s="901"/>
      <c r="DY88" s="1122"/>
      <c r="DZ88" s="901"/>
      <c r="EA88" s="901"/>
      <c r="EB88" s="1115">
        <v>1.002574004727772</v>
      </c>
      <c r="EC88" s="901"/>
      <c r="ED88" s="901"/>
      <c r="EE88" s="901"/>
      <c r="EF88" s="1122"/>
      <c r="EG88" s="901"/>
      <c r="EH88" s="901"/>
      <c r="EI88" s="1115">
        <v>0.99849767435507386</v>
      </c>
      <c r="EJ88" s="901"/>
      <c r="EK88" s="901"/>
      <c r="EL88" s="901"/>
      <c r="EM88" s="1122"/>
      <c r="EN88" s="901"/>
      <c r="EO88" s="901"/>
      <c r="EP88" s="1115">
        <v>1.0190199839778724</v>
      </c>
      <c r="EQ88" s="43"/>
      <c r="ER88" s="47"/>
    </row>
    <row r="89" spans="1:148" ht="10.199999999999999" customHeight="1">
      <c r="A89" s="108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846"/>
      <c r="M89" s="846"/>
      <c r="N89" s="846"/>
      <c r="O89" s="846"/>
      <c r="P89" s="846"/>
      <c r="Q89" s="1473"/>
      <c r="R89" s="846"/>
      <c r="S89" s="846"/>
      <c r="T89" s="1474"/>
      <c r="U89" s="846"/>
      <c r="V89" s="846"/>
      <c r="W89" s="846"/>
      <c r="X89" s="1473"/>
      <c r="Y89" s="846"/>
      <c r="Z89" s="846"/>
      <c r="AA89" s="1474"/>
      <c r="AB89" s="846"/>
      <c r="AC89" s="846"/>
      <c r="AD89" s="846"/>
      <c r="AE89" s="1473"/>
      <c r="AF89" s="846"/>
      <c r="AG89" s="846"/>
      <c r="AH89" s="1474"/>
      <c r="AI89" s="846"/>
      <c r="AJ89" s="846"/>
      <c r="AK89" s="846"/>
      <c r="AL89" s="1473"/>
      <c r="AM89" s="846"/>
      <c r="AN89" s="846"/>
      <c r="AO89" s="1474"/>
      <c r="AP89" s="846"/>
      <c r="AQ89" s="846"/>
      <c r="AR89" s="846"/>
      <c r="AS89" s="1473"/>
      <c r="AT89" s="846"/>
      <c r="AU89" s="846"/>
      <c r="AV89" s="1474"/>
      <c r="AW89" s="846"/>
      <c r="AX89" s="846"/>
      <c r="AY89" s="846"/>
      <c r="AZ89" s="1473"/>
      <c r="BA89" s="846"/>
      <c r="BB89" s="846"/>
      <c r="BC89" s="1474"/>
      <c r="BD89" s="846"/>
      <c r="BE89" s="846"/>
      <c r="BF89" s="846"/>
      <c r="BG89" s="1473"/>
      <c r="BH89" s="846"/>
      <c r="BI89" s="846"/>
      <c r="BJ89" s="1474"/>
      <c r="BK89" s="846"/>
      <c r="BL89" s="846"/>
      <c r="BM89" s="846"/>
      <c r="BN89" s="1473"/>
      <c r="BO89" s="846"/>
      <c r="BP89" s="846"/>
      <c r="BQ89" s="1474"/>
      <c r="BR89" s="846"/>
      <c r="BS89" s="846"/>
      <c r="BT89" s="846"/>
      <c r="BU89" s="1473"/>
      <c r="BV89" s="846"/>
      <c r="BW89" s="846"/>
      <c r="BX89" s="1474"/>
      <c r="BY89" s="846"/>
      <c r="BZ89" s="846"/>
      <c r="CA89" s="846"/>
      <c r="CB89" s="1473"/>
      <c r="CC89" s="846"/>
      <c r="CD89" s="846"/>
      <c r="CE89" s="1474"/>
      <c r="CF89" s="846"/>
      <c r="CG89" s="846"/>
      <c r="CH89" s="846"/>
      <c r="CI89" s="1473"/>
      <c r="CJ89" s="846"/>
      <c r="CK89" s="846"/>
      <c r="CL89" s="1474"/>
      <c r="CM89" s="846"/>
      <c r="CN89" s="846"/>
      <c r="CO89" s="846"/>
      <c r="CP89" s="1473"/>
      <c r="CQ89" s="846"/>
      <c r="CR89" s="846"/>
      <c r="CS89" s="1474"/>
      <c r="CT89" s="846"/>
      <c r="CU89" s="846"/>
      <c r="CV89" s="846"/>
      <c r="CW89" s="1473"/>
      <c r="CX89" s="846"/>
      <c r="CY89" s="846"/>
      <c r="CZ89" s="1504"/>
      <c r="DA89" s="1420"/>
      <c r="DB89" s="1420"/>
      <c r="DC89" s="1420"/>
      <c r="DD89" s="1531"/>
      <c r="DE89" s="1420"/>
      <c r="DF89" s="1420"/>
      <c r="DG89" s="1504"/>
      <c r="DH89" s="1420"/>
      <c r="DI89" s="1420"/>
      <c r="DJ89" s="1420"/>
      <c r="DK89" s="1531"/>
      <c r="DL89" s="1420"/>
      <c r="DM89" s="1420"/>
      <c r="DN89" s="1504"/>
      <c r="DO89" s="1420"/>
      <c r="DP89" s="1420"/>
      <c r="DQ89" s="1420"/>
      <c r="DR89" s="1531"/>
      <c r="DS89" s="1420"/>
      <c r="DT89" s="1420"/>
      <c r="DU89" s="1504"/>
      <c r="DV89" s="1420"/>
      <c r="DW89" s="1420"/>
      <c r="DX89" s="1420"/>
      <c r="DY89" s="1531"/>
      <c r="DZ89" s="1420"/>
      <c r="EA89" s="1420"/>
      <c r="EB89" s="1504"/>
      <c r="EC89" s="1420"/>
      <c r="ED89" s="1420"/>
      <c r="EE89" s="1420"/>
      <c r="EF89" s="1531"/>
      <c r="EG89" s="1420"/>
      <c r="EH89" s="1420"/>
      <c r="EI89" s="1504"/>
      <c r="EJ89" s="1420"/>
      <c r="EK89" s="1420"/>
      <c r="EL89" s="1420"/>
      <c r="EM89" s="1531"/>
      <c r="EN89" s="1420"/>
      <c r="EO89" s="1420"/>
      <c r="EP89" s="1504"/>
      <c r="EQ89" s="43"/>
      <c r="ER89" s="46"/>
    </row>
    <row r="90" spans="1:148" ht="10.199999999999999" customHeight="1">
      <c r="A90" s="108"/>
      <c r="B90" s="108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1448"/>
      <c r="R90" s="203"/>
      <c r="S90" s="203"/>
      <c r="T90" s="1461"/>
      <c r="U90" s="203"/>
      <c r="V90" s="203"/>
      <c r="W90" s="203"/>
      <c r="X90" s="1448"/>
      <c r="Y90" s="203"/>
      <c r="Z90" s="203"/>
      <c r="AA90" s="1461"/>
      <c r="AB90" s="203"/>
      <c r="AC90" s="203"/>
      <c r="AD90" s="203"/>
      <c r="AE90" s="1448"/>
      <c r="AF90" s="203"/>
      <c r="AG90" s="203"/>
      <c r="AH90" s="1461"/>
      <c r="AI90" s="203"/>
      <c r="AJ90" s="203"/>
      <c r="AK90" s="203"/>
      <c r="AL90" s="1448"/>
      <c r="AM90" s="203"/>
      <c r="AN90" s="203"/>
      <c r="AO90" s="1461"/>
      <c r="AP90" s="203"/>
      <c r="AQ90" s="203"/>
      <c r="AR90" s="203"/>
      <c r="AS90" s="1448"/>
      <c r="AT90" s="203"/>
      <c r="AU90" s="203"/>
      <c r="AV90" s="1461"/>
      <c r="AW90" s="203"/>
      <c r="AX90" s="203"/>
      <c r="AY90" s="203"/>
      <c r="AZ90" s="1448"/>
      <c r="BA90" s="203"/>
      <c r="BB90" s="203"/>
      <c r="BC90" s="1461"/>
      <c r="BD90" s="203"/>
      <c r="BE90" s="203"/>
      <c r="BF90" s="203"/>
      <c r="BG90" s="1448"/>
      <c r="BH90" s="203"/>
      <c r="BI90" s="203"/>
      <c r="BJ90" s="1461"/>
      <c r="BK90" s="203"/>
      <c r="BL90" s="203"/>
      <c r="BM90" s="203"/>
      <c r="BN90" s="1448"/>
      <c r="BO90" s="203"/>
      <c r="BP90" s="203"/>
      <c r="BQ90" s="1461"/>
      <c r="BR90" s="203"/>
      <c r="BS90" s="203"/>
      <c r="BT90" s="203"/>
      <c r="BU90" s="1448"/>
      <c r="BV90" s="203"/>
      <c r="BW90" s="203"/>
      <c r="BX90" s="1461"/>
      <c r="BY90" s="203"/>
      <c r="BZ90" s="203"/>
      <c r="CA90" s="203"/>
      <c r="CB90" s="1448"/>
      <c r="CC90" s="203"/>
      <c r="CD90" s="203"/>
      <c r="CE90" s="1461"/>
      <c r="CF90" s="203"/>
      <c r="CG90" s="203"/>
      <c r="CH90" s="203"/>
      <c r="CI90" s="1448"/>
      <c r="CJ90" s="203"/>
      <c r="CK90" s="203"/>
      <c r="CL90" s="1461"/>
      <c r="CM90" s="203"/>
      <c r="CN90" s="203"/>
      <c r="CO90" s="203"/>
      <c r="CP90" s="1448"/>
      <c r="CQ90" s="203"/>
      <c r="CR90" s="203"/>
      <c r="CS90" s="1461"/>
      <c r="CT90" s="203"/>
      <c r="CU90" s="203"/>
      <c r="CV90" s="203"/>
      <c r="CW90" s="1448"/>
      <c r="CX90" s="203"/>
      <c r="CY90" s="203"/>
      <c r="CZ90" s="1483"/>
      <c r="DA90" s="12"/>
      <c r="DB90" s="12"/>
      <c r="DC90" s="12"/>
      <c r="DD90" s="1513"/>
      <c r="DE90" s="12"/>
      <c r="DF90" s="12"/>
      <c r="DG90" s="1483"/>
      <c r="DH90" s="12"/>
      <c r="DI90" s="12"/>
      <c r="DJ90" s="12"/>
      <c r="DK90" s="1513"/>
      <c r="DL90" s="12"/>
      <c r="DM90" s="12"/>
      <c r="DN90" s="1483"/>
      <c r="DO90" s="12"/>
      <c r="DP90" s="12"/>
      <c r="DQ90" s="12"/>
      <c r="DR90" s="1513"/>
      <c r="DS90" s="12"/>
      <c r="DT90" s="12"/>
      <c r="DU90" s="1483"/>
      <c r="DV90" s="12"/>
      <c r="DW90" s="12"/>
      <c r="DX90" s="12"/>
      <c r="DY90" s="1513"/>
      <c r="DZ90" s="12"/>
      <c r="EA90" s="12"/>
      <c r="EB90" s="1483"/>
      <c r="EC90" s="12"/>
      <c r="ED90" s="12"/>
      <c r="EE90" s="12"/>
      <c r="EF90" s="1513"/>
      <c r="EG90" s="12"/>
      <c r="EH90" s="12"/>
      <c r="EI90" s="1483"/>
      <c r="EJ90" s="12"/>
      <c r="EK90" s="12"/>
      <c r="EL90" s="12"/>
      <c r="EM90" s="1513"/>
      <c r="EN90" s="12"/>
      <c r="EO90" s="12"/>
      <c r="EP90" s="1483"/>
      <c r="EQ90" s="43"/>
      <c r="ER90" s="46"/>
    </row>
    <row r="91" spans="1:148" ht="10.199999999999999" customHeight="1">
      <c r="A91" s="48" t="s">
        <v>242</v>
      </c>
      <c r="B91" s="108"/>
      <c r="C91" s="108"/>
      <c r="D91" s="108"/>
      <c r="E91" s="108"/>
      <c r="F91" s="108"/>
      <c r="G91" s="108"/>
      <c r="H91" s="135"/>
      <c r="I91" s="135"/>
      <c r="J91" s="135"/>
      <c r="K91" s="135"/>
      <c r="L91" s="135"/>
      <c r="M91" s="135"/>
      <c r="N91" s="135"/>
      <c r="O91" s="135"/>
      <c r="P91" s="135"/>
      <c r="Q91" s="961"/>
      <c r="R91" s="135"/>
      <c r="S91" s="135"/>
      <c r="T91" s="538"/>
      <c r="U91" s="135"/>
      <c r="V91" s="135"/>
      <c r="W91" s="135"/>
      <c r="X91" s="961"/>
      <c r="Y91" s="135"/>
      <c r="Z91" s="135"/>
      <c r="AA91" s="538"/>
      <c r="AB91" s="135"/>
      <c r="AC91" s="135"/>
      <c r="AD91" s="135"/>
      <c r="AE91" s="961"/>
      <c r="AF91" s="135"/>
      <c r="AG91" s="135"/>
      <c r="AH91" s="538"/>
      <c r="AI91" s="135"/>
      <c r="AJ91" s="135"/>
      <c r="AK91" s="135"/>
      <c r="AL91" s="961"/>
      <c r="AM91" s="135"/>
      <c r="AN91" s="135"/>
      <c r="AO91" s="538"/>
      <c r="AP91" s="135"/>
      <c r="AQ91" s="135"/>
      <c r="AR91" s="135"/>
      <c r="AS91" s="961"/>
      <c r="AT91" s="135"/>
      <c r="AU91" s="135"/>
      <c r="AV91" s="538"/>
      <c r="AW91" s="135"/>
      <c r="AX91" s="135"/>
      <c r="AY91" s="135"/>
      <c r="AZ91" s="961"/>
      <c r="BA91" s="135"/>
      <c r="BB91" s="135"/>
      <c r="BC91" s="538"/>
      <c r="BD91" s="135"/>
      <c r="BE91" s="135"/>
      <c r="BF91" s="135"/>
      <c r="BG91" s="961"/>
      <c r="BH91" s="135"/>
      <c r="BI91" s="135"/>
      <c r="BJ91" s="538"/>
      <c r="BK91" s="135"/>
      <c r="BL91" s="135"/>
      <c r="BM91" s="135"/>
      <c r="BN91" s="961"/>
      <c r="BO91" s="135"/>
      <c r="BP91" s="135"/>
      <c r="BQ91" s="538"/>
      <c r="BR91" s="135"/>
      <c r="BS91" s="135"/>
      <c r="BT91" s="135"/>
      <c r="BU91" s="961"/>
      <c r="BV91" s="135"/>
      <c r="BW91" s="135"/>
      <c r="BX91" s="538"/>
      <c r="BY91" s="135"/>
      <c r="BZ91" s="135"/>
      <c r="CA91" s="135"/>
      <c r="CB91" s="961"/>
      <c r="CC91" s="135"/>
      <c r="CD91" s="135"/>
      <c r="CE91" s="538"/>
      <c r="CF91" s="135"/>
      <c r="CG91" s="135"/>
      <c r="CH91" s="135"/>
      <c r="CI91" s="961"/>
      <c r="CJ91" s="135"/>
      <c r="CK91" s="135"/>
      <c r="CL91" s="538"/>
      <c r="CM91" s="135"/>
      <c r="CN91" s="135"/>
      <c r="CO91" s="135"/>
      <c r="CP91" s="961"/>
      <c r="CQ91" s="135"/>
      <c r="CR91" s="135"/>
      <c r="CS91" s="538"/>
      <c r="CT91" s="108"/>
      <c r="CU91" s="108"/>
      <c r="CV91" s="108"/>
      <c r="CW91" s="700"/>
      <c r="CX91" s="108"/>
      <c r="CY91" s="108"/>
      <c r="CZ91" s="1479"/>
      <c r="DA91" s="3"/>
      <c r="DB91" s="3"/>
      <c r="DC91" s="3"/>
      <c r="DD91" s="1509"/>
      <c r="DE91" s="3"/>
      <c r="DF91" s="3"/>
      <c r="DG91" s="1479"/>
      <c r="DH91" s="3"/>
      <c r="DI91" s="3"/>
      <c r="DJ91" s="3"/>
      <c r="DK91" s="1509"/>
      <c r="DL91" s="3"/>
      <c r="DM91" s="3"/>
      <c r="DN91" s="1479"/>
      <c r="DO91" s="3"/>
      <c r="DP91" s="3"/>
      <c r="DQ91" s="3"/>
      <c r="DR91" s="1509"/>
      <c r="DS91" s="3"/>
      <c r="DT91" s="3"/>
      <c r="DU91" s="1479"/>
      <c r="DV91" s="3"/>
      <c r="DW91" s="3"/>
      <c r="DX91" s="3"/>
      <c r="DY91" s="1509"/>
      <c r="DZ91" s="3"/>
      <c r="EA91" s="3"/>
      <c r="EB91" s="1479"/>
      <c r="EC91" s="3"/>
      <c r="ED91" s="3"/>
      <c r="EE91" s="3"/>
      <c r="EF91" s="1509"/>
      <c r="EG91" s="3"/>
      <c r="EH91" s="3"/>
      <c r="EI91" s="1479"/>
      <c r="EJ91" s="3"/>
      <c r="EK91" s="3"/>
      <c r="EL91" s="3"/>
      <c r="EM91" s="1509"/>
      <c r="EN91" s="3"/>
      <c r="EO91" s="3"/>
      <c r="EP91" s="1479"/>
      <c r="EQ91" s="43"/>
      <c r="ER91" s="46"/>
    </row>
    <row r="92" spans="1:148" ht="10.199999999999999" hidden="1" customHeight="1" outlineLevel="1">
      <c r="A92" s="43"/>
      <c r="B92" s="108"/>
      <c r="C92" s="108"/>
      <c r="D92" s="108"/>
      <c r="E92" s="108"/>
      <c r="F92" s="108"/>
      <c r="G92" s="108"/>
      <c r="H92" s="135"/>
      <c r="I92" s="135"/>
      <c r="J92" s="135"/>
      <c r="K92" s="135"/>
      <c r="L92" s="135"/>
      <c r="M92" s="135"/>
      <c r="N92" s="135"/>
      <c r="O92" s="135"/>
      <c r="P92" s="135"/>
      <c r="Q92" s="961"/>
      <c r="R92" s="135"/>
      <c r="S92" s="135"/>
      <c r="T92" s="538"/>
      <c r="U92" s="135"/>
      <c r="V92" s="135"/>
      <c r="W92" s="135"/>
      <c r="X92" s="961"/>
      <c r="Y92" s="135"/>
      <c r="Z92" s="135"/>
      <c r="AA92" s="538"/>
      <c r="AB92" s="135"/>
      <c r="AC92" s="135"/>
      <c r="AD92" s="135"/>
      <c r="AE92" s="961"/>
      <c r="AF92" s="135"/>
      <c r="AG92" s="135"/>
      <c r="AH92" s="538"/>
      <c r="AI92" s="135"/>
      <c r="AJ92" s="135"/>
      <c r="AK92" s="135"/>
      <c r="AL92" s="961"/>
      <c r="AM92" s="135"/>
      <c r="AN92" s="135"/>
      <c r="AO92" s="538"/>
      <c r="AP92" s="135"/>
      <c r="AQ92" s="135"/>
      <c r="AR92" s="135"/>
      <c r="AS92" s="961"/>
      <c r="AT92" s="135"/>
      <c r="AU92" s="135"/>
      <c r="AV92" s="538"/>
      <c r="AW92" s="135"/>
      <c r="AX92" s="135"/>
      <c r="AY92" s="135"/>
      <c r="AZ92" s="961"/>
      <c r="BA92" s="135"/>
      <c r="BB92" s="135"/>
      <c r="BC92" s="538"/>
      <c r="BD92" s="135"/>
      <c r="BE92" s="135"/>
      <c r="BF92" s="135"/>
      <c r="BG92" s="961"/>
      <c r="BH92" s="135"/>
      <c r="BI92" s="135"/>
      <c r="BJ92" s="538"/>
      <c r="BK92" s="135"/>
      <c r="BL92" s="135"/>
      <c r="BM92" s="135"/>
      <c r="BN92" s="961"/>
      <c r="BO92" s="135"/>
      <c r="BP92" s="135"/>
      <c r="BQ92" s="538"/>
      <c r="BR92" s="135"/>
      <c r="BS92" s="135"/>
      <c r="BT92" s="135"/>
      <c r="BU92" s="961"/>
      <c r="BV92" s="135"/>
      <c r="BW92" s="135"/>
      <c r="BX92" s="538"/>
      <c r="BY92" s="135"/>
      <c r="BZ92" s="135"/>
      <c r="CA92" s="135"/>
      <c r="CB92" s="961"/>
      <c r="CC92" s="135"/>
      <c r="CD92" s="135"/>
      <c r="CE92" s="538"/>
      <c r="CF92" s="135"/>
      <c r="CG92" s="135"/>
      <c r="CH92" s="135"/>
      <c r="CI92" s="961"/>
      <c r="CJ92" s="135"/>
      <c r="CK92" s="135"/>
      <c r="CL92" s="538"/>
      <c r="CM92" s="135"/>
      <c r="CN92" s="135"/>
      <c r="CO92" s="135"/>
      <c r="CP92" s="961"/>
      <c r="CQ92" s="135"/>
      <c r="CR92" s="135"/>
      <c r="CS92" s="538"/>
      <c r="CT92" s="108"/>
      <c r="CU92" s="108"/>
      <c r="CV92" s="108"/>
      <c r="CW92" s="700"/>
      <c r="CX92" s="108"/>
      <c r="CY92" s="108"/>
      <c r="CZ92" s="1479"/>
      <c r="DA92" s="3"/>
      <c r="DB92" s="3"/>
      <c r="DC92" s="3"/>
      <c r="DD92" s="1509"/>
      <c r="DE92" s="3"/>
      <c r="DF92" s="3"/>
      <c r="DG92" s="1479"/>
      <c r="DH92" s="3"/>
      <c r="DI92" s="3"/>
      <c r="DJ92" s="3"/>
      <c r="DK92" s="1509"/>
      <c r="DL92" s="3"/>
      <c r="DM92" s="3"/>
      <c r="DN92" s="1479"/>
      <c r="DO92" s="3"/>
      <c r="DP92" s="3"/>
      <c r="DQ92" s="3"/>
      <c r="DR92" s="1509"/>
      <c r="DS92" s="3"/>
      <c r="DT92" s="3"/>
      <c r="DU92" s="1479"/>
      <c r="DV92" s="3"/>
      <c r="DW92" s="3"/>
      <c r="DX92" s="3"/>
      <c r="DY92" s="1509"/>
      <c r="DZ92" s="3"/>
      <c r="EA92" s="3"/>
      <c r="EB92" s="1479"/>
      <c r="EC92" s="3"/>
      <c r="ED92" s="3"/>
      <c r="EE92" s="3"/>
      <c r="EF92" s="1509"/>
      <c r="EG92" s="3"/>
      <c r="EH92" s="3"/>
      <c r="EI92" s="1479"/>
      <c r="EJ92" s="3"/>
      <c r="EK92" s="3"/>
      <c r="EL92" s="3"/>
      <c r="EM92" s="1509"/>
      <c r="EN92" s="3"/>
      <c r="EO92" s="3"/>
      <c r="EP92" s="1479"/>
      <c r="EQ92" s="43"/>
      <c r="ER92" s="46"/>
    </row>
    <row r="93" spans="1:148" ht="10.199999999999999" hidden="1" customHeight="1" outlineLevel="1">
      <c r="A93" s="48" t="s">
        <v>464</v>
      </c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700"/>
      <c r="R93" s="108"/>
      <c r="S93" s="108"/>
      <c r="T93" s="538"/>
      <c r="U93" s="108"/>
      <c r="V93" s="108"/>
      <c r="W93" s="108"/>
      <c r="X93" s="700"/>
      <c r="Y93" s="108"/>
      <c r="Z93" s="108"/>
      <c r="AA93" s="538"/>
      <c r="AB93" s="108"/>
      <c r="AC93" s="108"/>
      <c r="AD93" s="108"/>
      <c r="AE93" s="700"/>
      <c r="AF93" s="108"/>
      <c r="AG93" s="108"/>
      <c r="AH93" s="538"/>
      <c r="AI93" s="108"/>
      <c r="AJ93" s="108"/>
      <c r="AK93" s="108"/>
      <c r="AL93" s="700"/>
      <c r="AM93" s="108"/>
      <c r="AN93" s="108"/>
      <c r="AO93" s="538"/>
      <c r="AP93" s="108"/>
      <c r="AQ93" s="108"/>
      <c r="AR93" s="108"/>
      <c r="AS93" s="700"/>
      <c r="AT93" s="108"/>
      <c r="AU93" s="108"/>
      <c r="AV93" s="538"/>
      <c r="AW93" s="108"/>
      <c r="AX93" s="108"/>
      <c r="AY93" s="108"/>
      <c r="AZ93" s="700"/>
      <c r="BA93" s="108"/>
      <c r="BB93" s="108"/>
      <c r="BC93" s="538"/>
      <c r="BD93" s="108"/>
      <c r="BE93" s="108"/>
      <c r="BF93" s="108"/>
      <c r="BG93" s="700"/>
      <c r="BH93" s="108"/>
      <c r="BI93" s="108"/>
      <c r="BJ93" s="538"/>
      <c r="BK93" s="108"/>
      <c r="BL93" s="108"/>
      <c r="BM93" s="108"/>
      <c r="BN93" s="700"/>
      <c r="BO93" s="108"/>
      <c r="BP93" s="108"/>
      <c r="BQ93" s="538"/>
      <c r="BR93" s="108"/>
      <c r="BS93" s="108"/>
      <c r="BT93" s="108"/>
      <c r="BU93" s="700"/>
      <c r="BV93" s="108"/>
      <c r="BW93" s="108"/>
      <c r="BX93" s="538"/>
      <c r="BY93" s="108"/>
      <c r="BZ93" s="108"/>
      <c r="CA93" s="108"/>
      <c r="CB93" s="700"/>
      <c r="CC93" s="108"/>
      <c r="CD93" s="108"/>
      <c r="CE93" s="538"/>
      <c r="CF93" s="108"/>
      <c r="CG93" s="108"/>
      <c r="CH93" s="108"/>
      <c r="CI93" s="700"/>
      <c r="CJ93" s="108"/>
      <c r="CK93" s="108"/>
      <c r="CL93" s="538"/>
      <c r="CM93" s="108"/>
      <c r="CN93" s="108"/>
      <c r="CO93" s="108"/>
      <c r="CP93" s="700"/>
      <c r="CQ93" s="108"/>
      <c r="CR93" s="108"/>
      <c r="CS93" s="538"/>
      <c r="CT93" s="108"/>
      <c r="CU93" s="108"/>
      <c r="CV93" s="108"/>
      <c r="CW93" s="700"/>
      <c r="CX93" s="108"/>
      <c r="CY93" s="108"/>
      <c r="CZ93" s="1479"/>
      <c r="DA93" s="3"/>
      <c r="DB93" s="3"/>
      <c r="DC93" s="3"/>
      <c r="DD93" s="1509"/>
      <c r="DE93" s="3"/>
      <c r="DF93" s="3"/>
      <c r="DG93" s="1479"/>
      <c r="DH93" s="3"/>
      <c r="DI93" s="3"/>
      <c r="DJ93" s="3"/>
      <c r="DK93" s="1509"/>
      <c r="DL93" s="3"/>
      <c r="DM93" s="3"/>
      <c r="DN93" s="1479"/>
      <c r="DO93" s="3"/>
      <c r="DP93" s="3"/>
      <c r="DQ93" s="3"/>
      <c r="DR93" s="1509"/>
      <c r="DS93" s="3"/>
      <c r="DT93" s="3"/>
      <c r="DU93" s="1479"/>
      <c r="DV93" s="3"/>
      <c r="DW93" s="3"/>
      <c r="DX93" s="3"/>
      <c r="DY93" s="1509"/>
      <c r="DZ93" s="3"/>
      <c r="EA93" s="3"/>
      <c r="EB93" s="1479"/>
      <c r="EC93" s="3"/>
      <c r="ED93" s="3"/>
      <c r="EE93" s="3"/>
      <c r="EF93" s="1509"/>
      <c r="EG93" s="3"/>
      <c r="EH93" s="3"/>
      <c r="EI93" s="1479"/>
      <c r="EJ93" s="3"/>
      <c r="EK93" s="3"/>
      <c r="EL93" s="3"/>
      <c r="EM93" s="1509"/>
      <c r="EN93" s="3"/>
      <c r="EO93" s="3"/>
      <c r="EP93" s="1479"/>
      <c r="EQ93" s="43"/>
      <c r="ER93" s="46"/>
    </row>
    <row r="94" spans="1:148" ht="10.199999999999999" hidden="1" customHeight="1" outlineLevel="1">
      <c r="A94" s="108" t="s">
        <v>465</v>
      </c>
      <c r="B94" s="108"/>
      <c r="C94" s="108"/>
      <c r="D94" s="108"/>
      <c r="E94" s="108">
        <v>21.39</v>
      </c>
      <c r="F94" s="108">
        <v>31.9</v>
      </c>
      <c r="G94" s="108">
        <v>26.1</v>
      </c>
      <c r="H94" s="108">
        <v>21.83</v>
      </c>
      <c r="I94" s="108">
        <v>12.03</v>
      </c>
      <c r="J94" s="108">
        <v>14.09</v>
      </c>
      <c r="K94" s="108">
        <v>17.440000000000001</v>
      </c>
      <c r="L94" s="108">
        <v>24.15</v>
      </c>
      <c r="M94" s="108">
        <v>29.5</v>
      </c>
      <c r="N94" s="108"/>
      <c r="O94" s="108"/>
      <c r="P94" s="108"/>
      <c r="Q94" s="700"/>
      <c r="R94" s="108"/>
      <c r="S94" s="108"/>
      <c r="T94" s="538">
        <v>55.81</v>
      </c>
      <c r="U94" s="108"/>
      <c r="V94" s="108"/>
      <c r="W94" s="108"/>
      <c r="X94" s="700"/>
      <c r="Y94" s="108"/>
      <c r="Z94" s="108"/>
      <c r="AA94" s="538">
        <v>41.35</v>
      </c>
      <c r="AB94" s="108"/>
      <c r="AC94" s="108"/>
      <c r="AD94" s="108"/>
      <c r="AE94" s="700"/>
      <c r="AF94" s="108"/>
      <c r="AG94" s="108"/>
      <c r="AH94" s="538">
        <v>60.31</v>
      </c>
      <c r="AI94" s="108"/>
      <c r="AJ94" s="108"/>
      <c r="AK94" s="108"/>
      <c r="AL94" s="700"/>
      <c r="AM94" s="108"/>
      <c r="AN94" s="108"/>
      <c r="AO94" s="538">
        <v>60.31</v>
      </c>
      <c r="AP94" s="108"/>
      <c r="AQ94" s="108"/>
      <c r="AR94" s="108"/>
      <c r="AS94" s="700"/>
      <c r="AT94" s="108"/>
      <c r="AU94" s="108"/>
      <c r="AV94" s="538">
        <v>60.31</v>
      </c>
      <c r="AW94" s="108"/>
      <c r="AX94" s="108"/>
      <c r="AY94" s="108"/>
      <c r="AZ94" s="700"/>
      <c r="BA94" s="108"/>
      <c r="BB94" s="108"/>
      <c r="BC94" s="538"/>
      <c r="BD94" s="108"/>
      <c r="BE94" s="108"/>
      <c r="BF94" s="108"/>
      <c r="BG94" s="700"/>
      <c r="BH94" s="108"/>
      <c r="BI94" s="108"/>
      <c r="BJ94" s="538">
        <v>80</v>
      </c>
      <c r="BK94" s="108"/>
      <c r="BL94" s="108"/>
      <c r="BM94" s="108"/>
      <c r="BN94" s="700"/>
      <c r="BO94" s="108"/>
      <c r="BP94" s="108"/>
      <c r="BQ94" s="538">
        <v>100</v>
      </c>
      <c r="BR94" s="108"/>
      <c r="BS94" s="108"/>
      <c r="BT94" s="108"/>
      <c r="BU94" s="700"/>
      <c r="BV94" s="108"/>
      <c r="BW94" s="108"/>
      <c r="BX94" s="538">
        <v>80</v>
      </c>
      <c r="BY94" s="108"/>
      <c r="BZ94" s="108"/>
      <c r="CA94" s="108"/>
      <c r="CB94" s="700"/>
      <c r="CC94" s="108"/>
      <c r="CD94" s="108"/>
      <c r="CE94" s="538">
        <v>120</v>
      </c>
      <c r="CF94" s="108"/>
      <c r="CG94" s="108"/>
      <c r="CH94" s="108"/>
      <c r="CI94" s="700"/>
      <c r="CJ94" s="108"/>
      <c r="CK94" s="108"/>
      <c r="CL94" s="538">
        <v>120</v>
      </c>
      <c r="CM94" s="108"/>
      <c r="CN94" s="108"/>
      <c r="CO94" s="108"/>
      <c r="CP94" s="700"/>
      <c r="CQ94" s="108"/>
      <c r="CR94" s="108"/>
      <c r="CS94" s="538">
        <f>'Valuation Summary'!U4</f>
        <v>139.78</v>
      </c>
      <c r="CT94" s="1446"/>
      <c r="CU94" s="1446"/>
      <c r="CV94" s="1446"/>
      <c r="CW94" s="1476"/>
      <c r="CX94" s="1446"/>
      <c r="CY94" s="1446"/>
      <c r="CZ94" s="313">
        <f>'Valuation Summary'!V4</f>
        <v>154.78</v>
      </c>
      <c r="DA94" s="1421"/>
      <c r="DB94" s="1421"/>
      <c r="DC94" s="1421"/>
      <c r="DD94" s="1532"/>
      <c r="DE94" s="1421"/>
      <c r="DF94" s="1421"/>
      <c r="DG94" s="1491">
        <f>'Valuation Summary'!W4</f>
        <v>176.88910000000001</v>
      </c>
      <c r="DH94" s="1421"/>
      <c r="DI94" s="1421"/>
      <c r="DJ94" s="1421"/>
      <c r="DK94" s="1532"/>
      <c r="DL94" s="1421"/>
      <c r="DM94" s="1421"/>
      <c r="DN94" s="1491">
        <f>DG94</f>
        <v>176.88910000000001</v>
      </c>
      <c r="DO94" s="1421"/>
      <c r="DP94" s="1421"/>
      <c r="DQ94" s="1421"/>
      <c r="DR94" s="1532"/>
      <c r="DS94" s="1421"/>
      <c r="DT94" s="1421"/>
      <c r="DU94" s="1491">
        <f>DN94</f>
        <v>176.88910000000001</v>
      </c>
      <c r="DV94" s="1421"/>
      <c r="DW94" s="1421"/>
      <c r="DX94" s="1421"/>
      <c r="DY94" s="1532"/>
      <c r="DZ94" s="1421"/>
      <c r="EA94" s="1421"/>
      <c r="EB94" s="1491">
        <f>DU94</f>
        <v>176.88910000000001</v>
      </c>
      <c r="EC94" s="1421"/>
      <c r="ED94" s="1421"/>
      <c r="EE94" s="1421"/>
      <c r="EF94" s="1532"/>
      <c r="EG94" s="1421"/>
      <c r="EH94" s="1421"/>
      <c r="EI94" s="1491">
        <f>EB94</f>
        <v>176.88910000000001</v>
      </c>
      <c r="EJ94" s="1421"/>
      <c r="EK94" s="1421"/>
      <c r="EL94" s="1421"/>
      <c r="EM94" s="1532"/>
      <c r="EN94" s="1421"/>
      <c r="EO94" s="1421"/>
      <c r="EP94" s="1491">
        <f t="shared" ref="EP94" si="701">EI94</f>
        <v>176.88910000000001</v>
      </c>
      <c r="EQ94" s="43"/>
      <c r="ER94" s="46"/>
    </row>
    <row r="95" spans="1:148" ht="10.199999999999999" hidden="1" customHeight="1" outlineLevel="1">
      <c r="A95" s="108" t="s">
        <v>466</v>
      </c>
      <c r="B95" s="108"/>
      <c r="C95" s="108"/>
      <c r="D95" s="108"/>
      <c r="E95" s="130">
        <f t="shared" ref="E95:AV95" si="702">E94*E72</f>
        <v>17199.332632080001</v>
      </c>
      <c r="F95" s="130">
        <f t="shared" si="702"/>
        <v>25520</v>
      </c>
      <c r="G95" s="130">
        <f t="shared" si="702"/>
        <v>20964.4931646</v>
      </c>
      <c r="H95" s="130">
        <f t="shared" si="702"/>
        <v>17593.620654061058</v>
      </c>
      <c r="I95" s="130">
        <f t="shared" si="702"/>
        <v>9740.4552833186517</v>
      </c>
      <c r="J95" s="130">
        <f t="shared" si="702"/>
        <v>11429.667100000001</v>
      </c>
      <c r="K95" s="130">
        <f t="shared" si="702"/>
        <v>14142.723840000002</v>
      </c>
      <c r="L95" s="130">
        <f t="shared" si="702"/>
        <v>19650.879150000001</v>
      </c>
      <c r="M95" s="130">
        <f t="shared" si="702"/>
        <v>24206.281964499998</v>
      </c>
      <c r="N95" s="130"/>
      <c r="O95" s="130"/>
      <c r="P95" s="130"/>
      <c r="Q95" s="698"/>
      <c r="R95" s="130"/>
      <c r="S95" s="130"/>
      <c r="T95" s="619">
        <f t="shared" si="702"/>
        <v>43549.799506340001</v>
      </c>
      <c r="U95" s="130"/>
      <c r="V95" s="130"/>
      <c r="W95" s="130"/>
      <c r="X95" s="698"/>
      <c r="Y95" s="130"/>
      <c r="Z95" s="130"/>
      <c r="AA95" s="619">
        <f t="shared" si="702"/>
        <v>32432.820936550001</v>
      </c>
      <c r="AB95" s="130"/>
      <c r="AC95" s="130"/>
      <c r="AD95" s="130"/>
      <c r="AE95" s="698"/>
      <c r="AF95" s="130"/>
      <c r="AG95" s="130"/>
      <c r="AH95" s="619">
        <f t="shared" si="702"/>
        <v>47448.369063479004</v>
      </c>
      <c r="AI95" s="130"/>
      <c r="AJ95" s="130"/>
      <c r="AK95" s="130"/>
      <c r="AL95" s="698"/>
      <c r="AM95" s="130"/>
      <c r="AN95" s="130"/>
      <c r="AO95" s="619">
        <f t="shared" si="702"/>
        <v>46923.562003760002</v>
      </c>
      <c r="AP95" s="130"/>
      <c r="AQ95" s="130"/>
      <c r="AR95" s="130"/>
      <c r="AS95" s="698"/>
      <c r="AT95" s="130"/>
      <c r="AU95" s="130"/>
      <c r="AV95" s="619">
        <f t="shared" si="702"/>
        <v>46936.693239750006</v>
      </c>
      <c r="AW95" s="130"/>
      <c r="AX95" s="130"/>
      <c r="AY95" s="130"/>
      <c r="AZ95" s="698"/>
      <c r="BA95" s="130"/>
      <c r="BB95" s="130"/>
      <c r="BC95" s="619"/>
      <c r="BD95" s="130"/>
      <c r="BE95" s="130"/>
      <c r="BF95" s="130"/>
      <c r="BG95" s="698"/>
      <c r="BH95" s="130"/>
      <c r="BI95" s="130"/>
      <c r="BJ95" s="619">
        <f t="shared" ref="BJ95:EP95" si="703">BJ94*BJ72</f>
        <v>62520.484319999996</v>
      </c>
      <c r="BK95" s="130"/>
      <c r="BL95" s="130"/>
      <c r="BM95" s="130"/>
      <c r="BN95" s="698"/>
      <c r="BO95" s="130"/>
      <c r="BP95" s="130"/>
      <c r="BQ95" s="619">
        <f t="shared" si="703"/>
        <v>78231</v>
      </c>
      <c r="BR95" s="130"/>
      <c r="BS95" s="130"/>
      <c r="BT95" s="130"/>
      <c r="BU95" s="698"/>
      <c r="BV95" s="130"/>
      <c r="BW95" s="130"/>
      <c r="BX95" s="619">
        <f t="shared" si="703"/>
        <v>62697.311600000001</v>
      </c>
      <c r="BY95" s="130"/>
      <c r="BZ95" s="130"/>
      <c r="CA95" s="130"/>
      <c r="CB95" s="698"/>
      <c r="CC95" s="130"/>
      <c r="CD95" s="130"/>
      <c r="CE95" s="619">
        <f t="shared" si="703"/>
        <v>94344.585720000017</v>
      </c>
      <c r="CF95" s="130"/>
      <c r="CG95" s="130"/>
      <c r="CH95" s="130"/>
      <c r="CI95" s="698"/>
      <c r="CJ95" s="130"/>
      <c r="CK95" s="130"/>
      <c r="CL95" s="619">
        <f t="shared" si="703"/>
        <v>94587.649680000002</v>
      </c>
      <c r="CM95" s="130"/>
      <c r="CN95" s="130"/>
      <c r="CO95" s="130"/>
      <c r="CP95" s="698"/>
      <c r="CQ95" s="130"/>
      <c r="CR95" s="130"/>
      <c r="CS95" s="619">
        <f t="shared" si="703"/>
        <v>110211.18858685999</v>
      </c>
      <c r="CT95" s="130"/>
      <c r="CU95" s="130"/>
      <c r="CV95" s="130"/>
      <c r="CW95" s="698"/>
      <c r="CX95" s="130"/>
      <c r="CY95" s="130"/>
      <c r="CZ95" s="619">
        <f t="shared" ref="CZ95" si="704">CZ94*CZ72</f>
        <v>122119.19999045999</v>
      </c>
      <c r="DA95" s="624"/>
      <c r="DB95" s="624"/>
      <c r="DC95" s="624"/>
      <c r="DD95" s="741"/>
      <c r="DE95" s="624"/>
      <c r="DF95" s="624"/>
      <c r="DG95" s="1113">
        <f t="shared" si="703"/>
        <v>139485.308995406</v>
      </c>
      <c r="DH95" s="624"/>
      <c r="DI95" s="624"/>
      <c r="DJ95" s="624"/>
      <c r="DK95" s="741"/>
      <c r="DL95" s="624"/>
      <c r="DM95" s="624"/>
      <c r="DN95" s="1113">
        <f t="shared" si="703"/>
        <v>139073.938995406</v>
      </c>
      <c r="DO95" s="624"/>
      <c r="DP95" s="624"/>
      <c r="DQ95" s="624"/>
      <c r="DR95" s="741"/>
      <c r="DS95" s="624"/>
      <c r="DT95" s="624"/>
      <c r="DU95" s="1113">
        <f t="shared" si="703"/>
        <v>138000.7998649712</v>
      </c>
      <c r="DV95" s="624"/>
      <c r="DW95" s="624"/>
      <c r="DX95" s="624"/>
      <c r="DY95" s="741"/>
      <c r="DZ95" s="624"/>
      <c r="EA95" s="624"/>
      <c r="EB95" s="1113">
        <f t="shared" si="703"/>
        <v>137067.63540372357</v>
      </c>
      <c r="EC95" s="624"/>
      <c r="ED95" s="624"/>
      <c r="EE95" s="624"/>
      <c r="EF95" s="741"/>
      <c r="EG95" s="624"/>
      <c r="EH95" s="624"/>
      <c r="EI95" s="1113">
        <f t="shared" si="703"/>
        <v>136256.18804611693</v>
      </c>
      <c r="EJ95" s="624"/>
      <c r="EK95" s="624"/>
      <c r="EL95" s="624"/>
      <c r="EM95" s="741"/>
      <c r="EN95" s="624"/>
      <c r="EO95" s="624"/>
      <c r="EP95" s="1113">
        <f t="shared" si="703"/>
        <v>136256.18804611693</v>
      </c>
      <c r="EQ95" s="43"/>
      <c r="ER95" s="46"/>
    </row>
    <row r="96" spans="1:148" ht="10.199999999999999" hidden="1" customHeight="1" outlineLevel="1">
      <c r="A96" s="108" t="s">
        <v>463</v>
      </c>
      <c r="B96" s="108"/>
      <c r="C96" s="108"/>
      <c r="D96" s="108"/>
      <c r="E96" s="130">
        <f>E95+BS!E28+BS!E38+BS!E51-BS!E7-BS!E6-BS!E18</f>
        <v>12916.332632080001</v>
      </c>
      <c r="F96" s="130">
        <f>F95+BS!F28+BS!F38+BS!F51-BS!F7-BS!F6-BS!F18</f>
        <v>20207</v>
      </c>
      <c r="G96" s="130">
        <f>G95+BS!G28+BS!G38+BS!G51-BS!G7-BS!G6-BS!G18</f>
        <v>16872.4931646</v>
      </c>
      <c r="H96" s="130">
        <f>H95+BS!H28+BS!H38+BS!H51-BS!H7-BS!H6-BS!H18</f>
        <v>10654.620654061058</v>
      </c>
      <c r="I96" s="130">
        <f>I95+BS!I28+BS!I38+BS!I51-BS!I7-BS!I6-BS!I18</f>
        <v>651.45528331865171</v>
      </c>
      <c r="J96" s="130">
        <f>J95+BS!J28+BS!J38+BS!J51-BS!J7-BS!J6-BS!J18</f>
        <v>1738.6670999999988</v>
      </c>
      <c r="K96" s="130">
        <f>K95+BS!K28+BS!K38+BS!K51-BS!K7-BS!K6-BS!K18</f>
        <v>2319.7238400000024</v>
      </c>
      <c r="L96" s="130">
        <f>L95+BS!L28+BS!L38+BS!L51-BS!L7-BS!L6-BS!L18</f>
        <v>7984.8791500000007</v>
      </c>
      <c r="M96" s="130">
        <f>M95+BS!M28+BS!M38+BS!M51-BS!M7-BS!M6-BS!M18</f>
        <v>11939.281964499998</v>
      </c>
      <c r="N96" s="130"/>
      <c r="O96" s="130"/>
      <c r="P96" s="130"/>
      <c r="Q96" s="698"/>
      <c r="R96" s="130"/>
      <c r="S96" s="130"/>
      <c r="T96" s="619">
        <f>T95+BS!T28+BS!T38+BS!T51-BS!T7-BS!T6-BS!T18</f>
        <v>35137.799506340001</v>
      </c>
      <c r="U96" s="130"/>
      <c r="V96" s="130"/>
      <c r="W96" s="130"/>
      <c r="X96" s="698"/>
      <c r="Y96" s="130"/>
      <c r="Z96" s="130"/>
      <c r="AA96" s="619">
        <f>AA95+BS!AA28+BS!AA38+BS!AA51-BS!AA7-BS!AA6-BS!AA18</f>
        <v>23340.820936550001</v>
      </c>
      <c r="AB96" s="130"/>
      <c r="AC96" s="130"/>
      <c r="AD96" s="130"/>
      <c r="AE96" s="698"/>
      <c r="AF96" s="130"/>
      <c r="AG96" s="130"/>
      <c r="AH96" s="619">
        <f>AH95+BS!AH28+BS!AH38-BS!AH6-BS!AH18+BS!AH51-BS!AH7</f>
        <v>37365.369063479004</v>
      </c>
      <c r="AI96" s="130"/>
      <c r="AJ96" s="130"/>
      <c r="AK96" s="130"/>
      <c r="AL96" s="698"/>
      <c r="AM96" s="130"/>
      <c r="AN96" s="130"/>
      <c r="AO96" s="619">
        <f>AO95+BS!AO28+BS!AO38-BS!AO6-BS!AO18+BS!AO51-BS!AO7</f>
        <v>35805.562003760002</v>
      </c>
      <c r="AP96" s="130"/>
      <c r="AQ96" s="130"/>
      <c r="AR96" s="130"/>
      <c r="AS96" s="698"/>
      <c r="AT96" s="130"/>
      <c r="AU96" s="130"/>
      <c r="AV96" s="619">
        <f>AV95+BS!AV28+BS!AV38-BS!AV6-BS!AV18+BS!AV51-BS!AV7</f>
        <v>33548.693239750006</v>
      </c>
      <c r="AW96" s="130"/>
      <c r="AX96" s="130"/>
      <c r="AY96" s="130"/>
      <c r="AZ96" s="698"/>
      <c r="BA96" s="130"/>
      <c r="BB96" s="130"/>
      <c r="BC96" s="619"/>
      <c r="BD96" s="130"/>
      <c r="BE96" s="130"/>
      <c r="BF96" s="130"/>
      <c r="BG96" s="698"/>
      <c r="BH96" s="130"/>
      <c r="BI96" s="130"/>
      <c r="BJ96" s="619">
        <f>BJ95+BS!BJ28+BS!BJ38-BS!BJ6-BS!BJ18+BS!BJ51-BS!BJ7</f>
        <v>49234.484319999989</v>
      </c>
      <c r="BK96" s="130"/>
      <c r="BL96" s="130"/>
      <c r="BM96" s="130"/>
      <c r="BN96" s="698"/>
      <c r="BO96" s="130"/>
      <c r="BP96" s="130"/>
      <c r="BQ96" s="619">
        <f>BQ95+BS!BQ28+BS!BQ38-BS!BQ6-BS!BQ18+BS!BQ51-BS!BQ7</f>
        <v>65712</v>
      </c>
      <c r="BR96" s="130"/>
      <c r="BS96" s="130"/>
      <c r="BT96" s="130"/>
      <c r="BU96" s="698"/>
      <c r="BV96" s="130"/>
      <c r="BW96" s="130"/>
      <c r="BX96" s="619">
        <f>BX95+BS!BX28+BS!BX38-BS!BX6-BS!BX18+BS!BX51-BS!BX7</f>
        <v>58396.311600000001</v>
      </c>
      <c r="BY96" s="130"/>
      <c r="BZ96" s="130"/>
      <c r="CA96" s="130"/>
      <c r="CB96" s="698"/>
      <c r="CC96" s="130"/>
      <c r="CD96" s="130"/>
      <c r="CE96" s="619">
        <f>CE95+BS!CE28+BS!CE38-BS!CE6-BS!CE18+BS!CE51-BS!CE7</f>
        <v>86721.585720000017</v>
      </c>
      <c r="CF96" s="130"/>
      <c r="CG96" s="130"/>
      <c r="CH96" s="130"/>
      <c r="CI96" s="698"/>
      <c r="CJ96" s="130"/>
      <c r="CK96" s="130"/>
      <c r="CL96" s="619">
        <f>CL95+BS!CL28+BS!CL38-BS!CL6-BS!CL18+BS!CL51-BS!CL7</f>
        <v>83794.649680000002</v>
      </c>
      <c r="CM96" s="130"/>
      <c r="CN96" s="130"/>
      <c r="CO96" s="130"/>
      <c r="CP96" s="698"/>
      <c r="CQ96" s="130"/>
      <c r="CR96" s="130"/>
      <c r="CS96" s="619">
        <f>CS95+BS!CS28+BS!CS38-BS!CS6-BS!CS18+BS!CS51-BS!CS7</f>
        <v>98559.188586859993</v>
      </c>
      <c r="CT96" s="130"/>
      <c r="CU96" s="130"/>
      <c r="CV96" s="130"/>
      <c r="CW96" s="698"/>
      <c r="CX96" s="130"/>
      <c r="CY96" s="130"/>
      <c r="CZ96" s="619">
        <f>CZ95+BS!CZ28+BS!CZ38-BS!CZ6-BS!CZ18+BS!CZ51-BS!CZ7</f>
        <v>109624.19999046001</v>
      </c>
      <c r="DA96" s="624"/>
      <c r="DB96" s="624"/>
      <c r="DC96" s="624"/>
      <c r="DD96" s="741"/>
      <c r="DE96" s="624"/>
      <c r="DF96" s="624"/>
      <c r="DG96" s="1113">
        <f>DG95+BS!DG28+BS!DG38-BS!DG6-BS!DG18+BS!DG51-BS!DG7</f>
        <v>126596.308995406</v>
      </c>
      <c r="DH96" s="624"/>
      <c r="DI96" s="624"/>
      <c r="DJ96" s="624"/>
      <c r="DK96" s="741"/>
      <c r="DL96" s="624"/>
      <c r="DM96" s="624"/>
      <c r="DN96" s="1113">
        <f>DN95+BS!DN28+BS!DN38-BS!DN6-BS!DN18+BS!DN51-BS!DN7</f>
        <v>124115.62370514138</v>
      </c>
      <c r="DO96" s="624"/>
      <c r="DP96" s="624"/>
      <c r="DQ96" s="624"/>
      <c r="DR96" s="741"/>
      <c r="DS96" s="624"/>
      <c r="DT96" s="624"/>
      <c r="DU96" s="1113">
        <f>DU95+BS!DU28+BS!DU38-BS!DU6-BS!DU18+BS!DU51-BS!DU7</f>
        <v>120389.53542975616</v>
      </c>
      <c r="DV96" s="624"/>
      <c r="DW96" s="624"/>
      <c r="DX96" s="624"/>
      <c r="DY96" s="741"/>
      <c r="DZ96" s="624"/>
      <c r="EA96" s="624"/>
      <c r="EB96" s="1113">
        <f>EB95+BS!EB28+BS!EB38-BS!EB6-BS!EB18+BS!EB51-BS!EB7</f>
        <v>114832.67435339339</v>
      </c>
      <c r="EC96" s="624"/>
      <c r="ED96" s="624"/>
      <c r="EE96" s="624"/>
      <c r="EF96" s="741"/>
      <c r="EG96" s="624"/>
      <c r="EH96" s="624"/>
      <c r="EI96" s="1113">
        <f>EI95+BS!EI28+BS!EI38-BS!EI6-BS!EI18+BS!EI51-BS!EI7</f>
        <v>109314.92455848577</v>
      </c>
      <c r="EJ96" s="624"/>
      <c r="EK96" s="624"/>
      <c r="EL96" s="624"/>
      <c r="EM96" s="741"/>
      <c r="EN96" s="624"/>
      <c r="EO96" s="624"/>
      <c r="EP96" s="1113">
        <f>EP95+BS!EP28+BS!EP38-BS!EP6-BS!EP18+BS!EP51-BS!EP7</f>
        <v>102581.16639375895</v>
      </c>
      <c r="EQ96" s="43"/>
      <c r="ER96" s="46"/>
    </row>
    <row r="97" spans="1:148" ht="10.199999999999999" hidden="1" customHeight="1" outlineLevel="1">
      <c r="A97" s="48" t="s">
        <v>467</v>
      </c>
      <c r="B97" s="48"/>
      <c r="C97" s="48"/>
      <c r="D97" s="48"/>
      <c r="E97" s="92">
        <f>'Valuation Summary'!B9-IS!E96</f>
        <v>5735.9460724719975</v>
      </c>
      <c r="F97" s="92">
        <f>'Valuation Summary'!C9-IS!F96</f>
        <v>1820.4567655380015</v>
      </c>
      <c r="G97" s="92">
        <f>'Valuation Summary'!D9-IS!G96</f>
        <v>4802.3819906207973</v>
      </c>
      <c r="H97" s="92">
        <f>'Valuation Summary'!E9-IS!H96</f>
        <v>3555.2726601638424</v>
      </c>
      <c r="I97" s="92">
        <f>'Valuation Summary'!F9-IS!I96</f>
        <v>3878.5608343813474</v>
      </c>
      <c r="J97" s="92">
        <f>'Valuation Summary'!G9-IS!J96</f>
        <v>1986.3631300140005</v>
      </c>
      <c r="K97" s="92">
        <f>'Valuation Summary'!H9-IS!K96</f>
        <v>1551.4358806539967</v>
      </c>
      <c r="L97" s="92">
        <f>'Valuation Summary'!I9-IS!L96</f>
        <v>162.29197600000043</v>
      </c>
      <c r="M97" s="92">
        <f>'Valuation Summary'!J9-IS!M96</f>
        <v>5182.0402219860007</v>
      </c>
      <c r="N97" s="92"/>
      <c r="O97" s="92"/>
      <c r="P97" s="92"/>
      <c r="Q97" s="699"/>
      <c r="R97" s="92"/>
      <c r="S97" s="92"/>
      <c r="T97" s="1289">
        <f>'Valuation Summary'!K9-IS!T96</f>
        <v>-7555.5350217800005</v>
      </c>
      <c r="U97" s="92"/>
      <c r="V97" s="92"/>
      <c r="W97" s="92"/>
      <c r="X97" s="699"/>
      <c r="Y97" s="92"/>
      <c r="Z97" s="92"/>
      <c r="AA97" s="1289">
        <f>'Valuation Summary'!L9-IS!AA96</f>
        <v>7272.4840476999962</v>
      </c>
      <c r="AB97" s="92"/>
      <c r="AC97" s="92"/>
      <c r="AD97" s="92"/>
      <c r="AE97" s="699"/>
      <c r="AF97" s="92"/>
      <c r="AG97" s="92"/>
      <c r="AH97" s="1289">
        <f>'Valuation Summary'!M9-IS!AH96</f>
        <v>365.57640168099897</v>
      </c>
      <c r="AI97" s="92"/>
      <c r="AJ97" s="92"/>
      <c r="AK97" s="92"/>
      <c r="AL97" s="699"/>
      <c r="AM97" s="92"/>
      <c r="AN97" s="92"/>
      <c r="AO97" s="1289">
        <f>'Valuation Summary'!N9-IS!AO96</f>
        <v>9176.3565862399992</v>
      </c>
      <c r="AP97" s="92"/>
      <c r="AQ97" s="92"/>
      <c r="AR97" s="92"/>
      <c r="AS97" s="699"/>
      <c r="AT97" s="92"/>
      <c r="AU97" s="92"/>
      <c r="AV97" s="1289">
        <f>'Valuation Summary'!O9-IS!AV96</f>
        <v>24259.986430249992</v>
      </c>
      <c r="AW97" s="92"/>
      <c r="AX97" s="92"/>
      <c r="AY97" s="92"/>
      <c r="AZ97" s="699"/>
      <c r="BA97" s="92"/>
      <c r="BB97" s="92"/>
      <c r="BC97" s="1289"/>
      <c r="BD97" s="92"/>
      <c r="BE97" s="92"/>
      <c r="BF97" s="92"/>
      <c r="BG97" s="699"/>
      <c r="BH97" s="92"/>
      <c r="BI97" s="92"/>
      <c r="BJ97" s="1289">
        <f>'Valuation Summary'!P9-IS!BJ96</f>
        <v>18318.309780000011</v>
      </c>
      <c r="BK97" s="92"/>
      <c r="BL97" s="92"/>
      <c r="BM97" s="92"/>
      <c r="BN97" s="699"/>
      <c r="BO97" s="92"/>
      <c r="BP97" s="92"/>
      <c r="BQ97" s="1289">
        <f>'Valuation Summary'!Q9-IS!BQ96</f>
        <v>17612.782959999997</v>
      </c>
      <c r="BR97" s="92"/>
      <c r="BS97" s="92"/>
      <c r="BT97" s="92"/>
      <c r="BU97" s="699"/>
      <c r="BV97" s="92"/>
      <c r="BW97" s="92"/>
      <c r="BX97" s="1289">
        <f>'Valuation Summary'!R9-IS!BX96</f>
        <v>37007.071320000003</v>
      </c>
      <c r="BY97" s="92"/>
      <c r="BZ97" s="92"/>
      <c r="CA97" s="92"/>
      <c r="CB97" s="699"/>
      <c r="CC97" s="92"/>
      <c r="CD97" s="92"/>
      <c r="CE97" s="1289">
        <f>'Valuation Summary'!S9-IS!CE96</f>
        <v>-12302.326172000016</v>
      </c>
      <c r="CF97" s="92"/>
      <c r="CG97" s="92"/>
      <c r="CH97" s="92"/>
      <c r="CI97" s="699"/>
      <c r="CJ97" s="92"/>
      <c r="CK97" s="92"/>
      <c r="CL97" s="1289">
        <f>'Valuation Summary'!T9-IS!CL96</f>
        <v>-22466.994675000009</v>
      </c>
      <c r="CM97" s="92"/>
      <c r="CN97" s="92"/>
      <c r="CO97" s="92"/>
      <c r="CP97" s="699"/>
      <c r="CQ97" s="92"/>
      <c r="CR97" s="92"/>
      <c r="CS97" s="1289">
        <f>'Valuation Summary'!U9-IS!CS96</f>
        <v>-2681.7980982399895</v>
      </c>
      <c r="CT97" s="92"/>
      <c r="CU97" s="92"/>
      <c r="CV97" s="92"/>
      <c r="CW97" s="699"/>
      <c r="CX97" s="92"/>
      <c r="CY97" s="92"/>
      <c r="CZ97" s="1289">
        <f>'Valuation Summary'!V9-IS!CZ96</f>
        <v>-4109.9325530799979</v>
      </c>
      <c r="DA97" s="625"/>
      <c r="DB97" s="625"/>
      <c r="DC97" s="625"/>
      <c r="DD97" s="761"/>
      <c r="DE97" s="625"/>
      <c r="DF97" s="625"/>
      <c r="DG97" s="762">
        <f>'Valuation Summary'!W9-IS!DG96</f>
        <v>-3305.9247546476836</v>
      </c>
      <c r="DH97" s="625"/>
      <c r="DI97" s="625"/>
      <c r="DJ97" s="625"/>
      <c r="DK97" s="761"/>
      <c r="DL97" s="625"/>
      <c r="DM97" s="625"/>
      <c r="DN97" s="762">
        <f>'Valuation Summary'!X9-IS!DN96</f>
        <v>24497.1743473315</v>
      </c>
      <c r="DO97" s="625"/>
      <c r="DP97" s="625"/>
      <c r="DQ97" s="625"/>
      <c r="DR97" s="761"/>
      <c r="DS97" s="625"/>
      <c r="DT97" s="625"/>
      <c r="DU97" s="762">
        <f>'Valuation Summary'!Y9-IS!DU96</f>
        <v>24676.951495966525</v>
      </c>
      <c r="DV97" s="625"/>
      <c r="DW97" s="625"/>
      <c r="DX97" s="625"/>
      <c r="DY97" s="761"/>
      <c r="DZ97" s="625"/>
      <c r="EA97" s="625"/>
      <c r="EB97" s="762">
        <f>'Valuation Summary'!Z9-IS!EB96</f>
        <v>24402.743556458023</v>
      </c>
      <c r="EC97" s="625"/>
      <c r="ED97" s="625"/>
      <c r="EE97" s="625"/>
      <c r="EF97" s="761"/>
      <c r="EG97" s="625"/>
      <c r="EH97" s="625"/>
      <c r="EI97" s="762">
        <f>'Valuation Summary'!AA9-IS!EI96</f>
        <v>24164.301869928866</v>
      </c>
      <c r="EJ97" s="625"/>
      <c r="EK97" s="625"/>
      <c r="EL97" s="625"/>
      <c r="EM97" s="761"/>
      <c r="EN97" s="625"/>
      <c r="EO97" s="625"/>
      <c r="EP97" s="762">
        <f>'Valuation Summary'!AB9-IS!EP96</f>
        <v>23675.981384284329</v>
      </c>
      <c r="EQ97" s="43"/>
      <c r="ER97" s="46"/>
    </row>
    <row r="98" spans="1:148" ht="10.199999999999999" hidden="1" customHeight="1" outlineLevel="1">
      <c r="A98" s="108" t="s">
        <v>837</v>
      </c>
      <c r="B98" s="108"/>
      <c r="C98" s="108"/>
      <c r="D98" s="108"/>
      <c r="E98" s="130">
        <f>'Valuation Summary'!B8+'Valuation Summary'!B64+'Valuation Summary'!B68+'Valuation Summary'!B69</f>
        <v>2699</v>
      </c>
      <c r="F98" s="130">
        <f>'Valuation Summary'!C8+'Valuation Summary'!C64+'Valuation Summary'!C68+'Valuation Summary'!C69</f>
        <v>690</v>
      </c>
      <c r="G98" s="130">
        <f>'Valuation Summary'!D8+'Valuation Summary'!D64+'Valuation Summary'!D68+'Valuation Summary'!D69</f>
        <v>697</v>
      </c>
      <c r="H98" s="130">
        <f>'Valuation Summary'!E8+'Valuation Summary'!E64+'Valuation Summary'!E68+'Valuation Summary'!E69</f>
        <v>-114</v>
      </c>
      <c r="I98" s="130">
        <f>'Valuation Summary'!F8+'Valuation Summary'!F64+'Valuation Summary'!F68+'Valuation Summary'!F69</f>
        <v>-1016</v>
      </c>
      <c r="J98" s="130">
        <f>'Valuation Summary'!G8+'Valuation Summary'!G64+'Valuation Summary'!G68+'Valuation Summary'!G69</f>
        <v>-742</v>
      </c>
      <c r="K98" s="130">
        <f>'Valuation Summary'!H8+'Valuation Summary'!H64+'Valuation Summary'!H68+'Valuation Summary'!H69</f>
        <v>-2146</v>
      </c>
      <c r="L98" s="130">
        <f>'Valuation Summary'!I8+'Valuation Summary'!I64+'Valuation Summary'!I68+'Valuation Summary'!I69</f>
        <v>-2910</v>
      </c>
      <c r="M98" s="130">
        <f>'Valuation Summary'!J8+'Valuation Summary'!J64+'Valuation Summary'!J68+'Valuation Summary'!J69</f>
        <v>-2521</v>
      </c>
      <c r="N98" s="130"/>
      <c r="O98" s="130"/>
      <c r="P98" s="130"/>
      <c r="Q98" s="698"/>
      <c r="R98" s="130"/>
      <c r="S98" s="130"/>
      <c r="T98" s="619">
        <f>'Valuation Summary'!K8+'Valuation Summary'!K64+'Valuation Summary'!K68+'Valuation Summary'!K69</f>
        <v>-1944</v>
      </c>
      <c r="U98" s="130"/>
      <c r="V98" s="130"/>
      <c r="W98" s="130"/>
      <c r="X98" s="698"/>
      <c r="Y98" s="130"/>
      <c r="Z98" s="130"/>
      <c r="AA98" s="619">
        <f>'Valuation Summary'!L8+'Valuation Summary'!L64+'Valuation Summary'!L68+'Valuation Summary'!L69</f>
        <v>-3809</v>
      </c>
      <c r="AB98" s="130"/>
      <c r="AC98" s="130"/>
      <c r="AD98" s="130"/>
      <c r="AE98" s="698"/>
      <c r="AF98" s="130"/>
      <c r="AG98" s="130"/>
      <c r="AH98" s="619">
        <f>'Valuation Summary'!M8+'Valuation Summary'!M64+'Valuation Summary'!M68+'Valuation Summary'!M69</f>
        <v>-3208</v>
      </c>
      <c r="AI98" s="130"/>
      <c r="AJ98" s="130"/>
      <c r="AK98" s="130"/>
      <c r="AL98" s="698"/>
      <c r="AM98" s="130"/>
      <c r="AN98" s="130"/>
      <c r="AO98" s="619">
        <f>'Valuation Summary'!N8+'Valuation Summary'!N64+'Valuation Summary'!N68+'Valuation Summary'!N69</f>
        <v>-3726</v>
      </c>
      <c r="AP98" s="130"/>
      <c r="AQ98" s="130"/>
      <c r="AR98" s="130"/>
      <c r="AS98" s="698"/>
      <c r="AT98" s="130"/>
      <c r="AU98" s="130"/>
      <c r="AV98" s="619">
        <f>'Valuation Summary'!O8+'Valuation Summary'!O64+'Valuation Summary'!O68+'Valuation Summary'!O69</f>
        <v>-2934</v>
      </c>
      <c r="AW98" s="130"/>
      <c r="AX98" s="130"/>
      <c r="AY98" s="130"/>
      <c r="AZ98" s="698"/>
      <c r="BA98" s="130"/>
      <c r="BB98" s="130"/>
      <c r="BC98" s="619"/>
      <c r="BD98" s="130"/>
      <c r="BE98" s="130"/>
      <c r="BF98" s="130"/>
      <c r="BG98" s="698"/>
      <c r="BH98" s="130"/>
      <c r="BI98" s="130"/>
      <c r="BJ98" s="619">
        <f>'Valuation Summary'!P8+'Valuation Summary'!P64+'Valuation Summary'!P68+'Valuation Summary'!P69</f>
        <v>-3750</v>
      </c>
      <c r="BK98" s="130"/>
      <c r="BL98" s="130"/>
      <c r="BM98" s="130"/>
      <c r="BN98" s="698"/>
      <c r="BO98" s="130"/>
      <c r="BP98" s="130"/>
      <c r="BQ98" s="619">
        <f>'Valuation Summary'!Q8+'Valuation Summary'!Q64+'Valuation Summary'!Q68+'Valuation Summary'!Q69</f>
        <v>-5754</v>
      </c>
      <c r="BR98" s="130"/>
      <c r="BS98" s="130"/>
      <c r="BT98" s="130"/>
      <c r="BU98" s="698"/>
      <c r="BV98" s="130"/>
      <c r="BW98" s="130"/>
      <c r="BX98" s="619">
        <f>'Valuation Summary'!R8+'Valuation Summary'!R64+'Valuation Summary'!R68+'Valuation Summary'!R69</f>
        <v>-4257</v>
      </c>
      <c r="BY98" s="130"/>
      <c r="BZ98" s="130"/>
      <c r="CA98" s="130"/>
      <c r="CB98" s="698"/>
      <c r="CC98" s="130"/>
      <c r="CD98" s="130"/>
      <c r="CE98" s="619">
        <f>'Valuation Summary'!S8+'Valuation Summary'!S64+'Valuation Summary'!S68+'Valuation Summary'!S69</f>
        <v>-5133</v>
      </c>
      <c r="CF98" s="130"/>
      <c r="CG98" s="130"/>
      <c r="CH98" s="130"/>
      <c r="CI98" s="698"/>
      <c r="CJ98" s="130"/>
      <c r="CK98" s="130"/>
      <c r="CL98" s="619">
        <f>'Valuation Summary'!T8+'Valuation Summary'!T64+'Valuation Summary'!T68+'Valuation Summary'!T69</f>
        <v>-6161</v>
      </c>
      <c r="CM98" s="130"/>
      <c r="CN98" s="130"/>
      <c r="CO98" s="130"/>
      <c r="CP98" s="698"/>
      <c r="CQ98" s="130"/>
      <c r="CR98" s="130"/>
      <c r="CS98" s="619">
        <f>'Valuation Summary'!U8+'Valuation Summary'!U64+'Valuation Summary'!U68+'Valuation Summary'!U69</f>
        <v>-5433</v>
      </c>
      <c r="CT98" s="130"/>
      <c r="CU98" s="130"/>
      <c r="CV98" s="130"/>
      <c r="CW98" s="698"/>
      <c r="CX98" s="130"/>
      <c r="CY98" s="130"/>
      <c r="CZ98" s="619">
        <f>'Valuation Summary'!V8+'Valuation Summary'!V64+'Valuation Summary'!V68+'Valuation Summary'!V69</f>
        <v>-6082</v>
      </c>
      <c r="DA98" s="624"/>
      <c r="DB98" s="624"/>
      <c r="DC98" s="624"/>
      <c r="DD98" s="741"/>
      <c r="DE98" s="624"/>
      <c r="DF98" s="624"/>
      <c r="DG98" s="1113">
        <f>'Valuation Summary'!W8+'Valuation Summary'!W64+'Valuation Summary'!W68+'Valuation Summary'!W69</f>
        <v>-4742.5107909199996</v>
      </c>
      <c r="DH98" s="624"/>
      <c r="DI98" s="624"/>
      <c r="DJ98" s="624"/>
      <c r="DK98" s="741"/>
      <c r="DL98" s="624"/>
      <c r="DM98" s="624"/>
      <c r="DN98" s="1113">
        <f>'Valuation Summary'!X8+'Valuation Summary'!X64+'Valuation Summary'!X68+'Valuation Summary'!X69</f>
        <v>-5037.1154282275802</v>
      </c>
      <c r="DO98" s="624"/>
      <c r="DP98" s="624"/>
      <c r="DQ98" s="624"/>
      <c r="DR98" s="741"/>
      <c r="DS98" s="624"/>
      <c r="DT98" s="624"/>
      <c r="DU98" s="1113">
        <f>'Valuation Summary'!Y8+'Valuation Summary'!Y64+'Valuation Summary'!Y68+'Valuation Summary'!Y69</f>
        <v>-5037.1154282275802</v>
      </c>
      <c r="DV98" s="624"/>
      <c r="DW98" s="624"/>
      <c r="DX98" s="624"/>
      <c r="DY98" s="741"/>
      <c r="DZ98" s="624"/>
      <c r="EA98" s="624"/>
      <c r="EB98" s="1113">
        <f>'Valuation Summary'!Z8+'Valuation Summary'!Z64+'Valuation Summary'!Z68+'Valuation Summary'!Z69</f>
        <v>-5037.1154282275802</v>
      </c>
      <c r="EC98" s="624"/>
      <c r="ED98" s="624"/>
      <c r="EE98" s="624"/>
      <c r="EF98" s="741"/>
      <c r="EG98" s="624"/>
      <c r="EH98" s="624"/>
      <c r="EI98" s="1113">
        <f>'Valuation Summary'!AA8+'Valuation Summary'!AA64+'Valuation Summary'!AA68+'Valuation Summary'!AA69</f>
        <v>-5037.1154282275802</v>
      </c>
      <c r="EJ98" s="624"/>
      <c r="EK98" s="624"/>
      <c r="EL98" s="624"/>
      <c r="EM98" s="741"/>
      <c r="EN98" s="624"/>
      <c r="EO98" s="624"/>
      <c r="EP98" s="1113">
        <f>'Valuation Summary'!AB8+'Valuation Summary'!AB64+'Valuation Summary'!AB68+'Valuation Summary'!AB69</f>
        <v>-5037.1154282275802</v>
      </c>
      <c r="EQ98" s="43"/>
      <c r="ER98" s="46"/>
    </row>
    <row r="99" spans="1:148" ht="10.199999999999999" hidden="1" customHeight="1" outlineLevel="1">
      <c r="A99" s="47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700"/>
      <c r="R99" s="108"/>
      <c r="S99" s="108"/>
      <c r="T99" s="538"/>
      <c r="U99" s="108"/>
      <c r="V99" s="108"/>
      <c r="W99" s="108"/>
      <c r="X99" s="700"/>
      <c r="Y99" s="108"/>
      <c r="Z99" s="108"/>
      <c r="AA99" s="538"/>
      <c r="AB99" s="108"/>
      <c r="AC99" s="108"/>
      <c r="AD99" s="108"/>
      <c r="AE99" s="700"/>
      <c r="AF99" s="108"/>
      <c r="AG99" s="108"/>
      <c r="AH99" s="538"/>
      <c r="AI99" s="108"/>
      <c r="AJ99" s="108"/>
      <c r="AK99" s="108"/>
      <c r="AL99" s="700"/>
      <c r="AM99" s="108"/>
      <c r="AN99" s="108"/>
      <c r="AO99" s="538"/>
      <c r="AP99" s="108"/>
      <c r="AQ99" s="108"/>
      <c r="AR99" s="108"/>
      <c r="AS99" s="700"/>
      <c r="AT99" s="108"/>
      <c r="AU99" s="108"/>
      <c r="AV99" s="538"/>
      <c r="AW99" s="108"/>
      <c r="AX99" s="108"/>
      <c r="AY99" s="108"/>
      <c r="AZ99" s="700"/>
      <c r="BA99" s="108"/>
      <c r="BB99" s="108"/>
      <c r="BC99" s="538"/>
      <c r="BD99" s="108"/>
      <c r="BE99" s="108"/>
      <c r="BF99" s="108"/>
      <c r="BG99" s="700"/>
      <c r="BH99" s="108"/>
      <c r="BI99" s="108"/>
      <c r="BJ99" s="538"/>
      <c r="BK99" s="108"/>
      <c r="BL99" s="108"/>
      <c r="BM99" s="108"/>
      <c r="BN99" s="700"/>
      <c r="BO99" s="108"/>
      <c r="BP99" s="108"/>
      <c r="BQ99" s="538"/>
      <c r="BR99" s="108"/>
      <c r="BS99" s="108"/>
      <c r="BT99" s="108"/>
      <c r="BU99" s="700"/>
      <c r="BV99" s="108"/>
      <c r="BW99" s="108"/>
      <c r="BX99" s="538"/>
      <c r="BY99" s="108"/>
      <c r="BZ99" s="108"/>
      <c r="CA99" s="108"/>
      <c r="CB99" s="700"/>
      <c r="CC99" s="108"/>
      <c r="CD99" s="108"/>
      <c r="CE99" s="538"/>
      <c r="CF99" s="108"/>
      <c r="CG99" s="108"/>
      <c r="CH99" s="108"/>
      <c r="CI99" s="700"/>
      <c r="CJ99" s="108"/>
      <c r="CK99" s="108"/>
      <c r="CL99" s="538"/>
      <c r="CM99" s="108"/>
      <c r="CN99" s="108"/>
      <c r="CO99" s="108"/>
      <c r="CP99" s="700"/>
      <c r="CQ99" s="108"/>
      <c r="CR99" s="108"/>
      <c r="CS99" s="538"/>
      <c r="CT99" s="108"/>
      <c r="CU99" s="108"/>
      <c r="CV99" s="108"/>
      <c r="CW99" s="700"/>
      <c r="CX99" s="108"/>
      <c r="CY99" s="108"/>
      <c r="CZ99" s="538"/>
      <c r="DA99" s="3"/>
      <c r="DB99" s="3"/>
      <c r="DC99" s="3"/>
      <c r="DD99" s="1509"/>
      <c r="DE99" s="3"/>
      <c r="DF99" s="3"/>
      <c r="DG99" s="1479"/>
      <c r="DH99" s="3"/>
      <c r="DI99" s="3"/>
      <c r="DJ99" s="3"/>
      <c r="DK99" s="1509"/>
      <c r="DL99" s="3"/>
      <c r="DM99" s="3"/>
      <c r="DN99" s="1479"/>
      <c r="DO99" s="3"/>
      <c r="DP99" s="3"/>
      <c r="DQ99" s="3"/>
      <c r="DR99" s="1509"/>
      <c r="DS99" s="3"/>
      <c r="DT99" s="3"/>
      <c r="DU99" s="1479"/>
      <c r="DV99" s="3"/>
      <c r="DW99" s="3"/>
      <c r="DX99" s="3"/>
      <c r="DY99" s="1509"/>
      <c r="DZ99" s="3"/>
      <c r="EA99" s="3"/>
      <c r="EB99" s="1479"/>
      <c r="EC99" s="3"/>
      <c r="ED99" s="3"/>
      <c r="EE99" s="3"/>
      <c r="EF99" s="1509"/>
      <c r="EG99" s="3"/>
      <c r="EH99" s="3"/>
      <c r="EI99" s="1479"/>
      <c r="EJ99" s="3"/>
      <c r="EK99" s="3"/>
      <c r="EL99" s="3"/>
      <c r="EM99" s="1509"/>
      <c r="EN99" s="3"/>
      <c r="EO99" s="3"/>
      <c r="EP99" s="1479"/>
      <c r="EQ99" s="43"/>
      <c r="ER99" s="46"/>
    </row>
    <row r="100" spans="1:148" ht="10.199999999999999" hidden="1" customHeight="1" outlineLevel="1">
      <c r="A100" s="43" t="s">
        <v>247</v>
      </c>
      <c r="B100" s="203"/>
      <c r="C100" s="203">
        <f t="shared" ref="C100:M100" si="705">C13+C54</f>
        <v>-22047</v>
      </c>
      <c r="D100" s="203">
        <f t="shared" si="705"/>
        <v>-21652</v>
      </c>
      <c r="E100" s="203">
        <f t="shared" si="705"/>
        <v>-23901</v>
      </c>
      <c r="F100" s="203">
        <f t="shared" si="705"/>
        <v>-25877</v>
      </c>
      <c r="G100" s="203">
        <f t="shared" si="705"/>
        <v>-32967</v>
      </c>
      <c r="H100" s="203">
        <f t="shared" si="705"/>
        <v>-33018</v>
      </c>
      <c r="I100" s="203">
        <f t="shared" si="705"/>
        <v>-34240</v>
      </c>
      <c r="J100" s="203">
        <f t="shared" si="705"/>
        <v>-34087</v>
      </c>
      <c r="K100" s="203">
        <f t="shared" si="705"/>
        <v>-37833</v>
      </c>
      <c r="L100" s="203">
        <f t="shared" si="705"/>
        <v>-40261</v>
      </c>
      <c r="M100" s="203">
        <f t="shared" si="705"/>
        <v>-45655</v>
      </c>
      <c r="N100" s="203"/>
      <c r="O100" s="203"/>
      <c r="P100" s="203"/>
      <c r="Q100" s="1448"/>
      <c r="R100" s="203"/>
      <c r="S100" s="203"/>
      <c r="T100" s="1461">
        <f>T13+T54</f>
        <v>-46758</v>
      </c>
      <c r="U100" s="203"/>
      <c r="V100" s="203"/>
      <c r="W100" s="203"/>
      <c r="X100" s="1448"/>
      <c r="Y100" s="203"/>
      <c r="Z100" s="203"/>
      <c r="AA100" s="1461">
        <f>AA13+AA54</f>
        <v>-49594</v>
      </c>
      <c r="AB100" s="203"/>
      <c r="AC100" s="203"/>
      <c r="AD100" s="203"/>
      <c r="AE100" s="1448"/>
      <c r="AF100" s="203"/>
      <c r="AG100" s="203"/>
      <c r="AH100" s="1461">
        <f>AH13+AH54</f>
        <v>-53087</v>
      </c>
      <c r="AI100" s="203"/>
      <c r="AJ100" s="203"/>
      <c r="AK100" s="203"/>
      <c r="AL100" s="1448"/>
      <c r="AM100" s="203"/>
      <c r="AN100" s="203"/>
      <c r="AO100" s="1461">
        <f>AO13+AO54</f>
        <v>-57370</v>
      </c>
      <c r="AP100" s="203"/>
      <c r="AQ100" s="203"/>
      <c r="AR100" s="203"/>
      <c r="AS100" s="1448"/>
      <c r="AT100" s="203"/>
      <c r="AU100" s="203"/>
      <c r="AV100" s="1461">
        <f>AV13+AV54</f>
        <v>-56030</v>
      </c>
      <c r="AW100" s="203"/>
      <c r="AX100" s="203"/>
      <c r="AY100" s="203"/>
      <c r="AZ100" s="1448"/>
      <c r="BA100" s="203"/>
      <c r="BB100" s="203"/>
      <c r="BC100" s="1461"/>
      <c r="BD100" s="203"/>
      <c r="BE100" s="203"/>
      <c r="BF100" s="203"/>
      <c r="BG100" s="1448"/>
      <c r="BH100" s="203"/>
      <c r="BI100" s="203"/>
      <c r="BJ100" s="1461">
        <f>BJ13+BJ54</f>
        <v>-51690</v>
      </c>
      <c r="BK100" s="203"/>
      <c r="BL100" s="203"/>
      <c r="BM100" s="203"/>
      <c r="BN100" s="1448"/>
      <c r="BO100" s="203"/>
      <c r="BP100" s="203"/>
      <c r="BQ100" s="1461">
        <f>BQ13+BQ54</f>
        <v>-51439</v>
      </c>
      <c r="BR100" s="203"/>
      <c r="BS100" s="203"/>
      <c r="BT100" s="203"/>
      <c r="BU100" s="1448"/>
      <c r="BV100" s="203"/>
      <c r="BW100" s="203"/>
      <c r="BX100" s="1461">
        <f>BX13+BX54</f>
        <v>-39203</v>
      </c>
      <c r="BY100" s="203"/>
      <c r="BZ100" s="203"/>
      <c r="CA100" s="203"/>
      <c r="CB100" s="1448"/>
      <c r="CC100" s="203"/>
      <c r="CD100" s="203"/>
      <c r="CE100" s="1461">
        <f>CE13+CE54</f>
        <v>-40670</v>
      </c>
      <c r="CF100" s="203"/>
      <c r="CG100" s="203"/>
      <c r="CH100" s="203"/>
      <c r="CI100" s="1448"/>
      <c r="CJ100" s="203"/>
      <c r="CK100" s="203"/>
      <c r="CL100" s="1461">
        <f>CL13+CL54</f>
        <v>-45174</v>
      </c>
      <c r="CM100" s="203"/>
      <c r="CN100" s="203"/>
      <c r="CO100" s="203"/>
      <c r="CP100" s="1448"/>
      <c r="CQ100" s="203"/>
      <c r="CR100" s="203"/>
      <c r="CS100" s="1461">
        <f>CS13+CS54</f>
        <v>-51925</v>
      </c>
      <c r="CT100" s="203"/>
      <c r="CU100" s="203"/>
      <c r="CV100" s="203"/>
      <c r="CW100" s="1448"/>
      <c r="CX100" s="203"/>
      <c r="CY100" s="203"/>
      <c r="CZ100" s="1461">
        <f>CZ13+CZ54</f>
        <v>-55652</v>
      </c>
      <c r="DA100" s="860"/>
      <c r="DB100" s="860"/>
      <c r="DC100" s="860"/>
      <c r="DD100" s="1109"/>
      <c r="DE100" s="860"/>
      <c r="DF100" s="860"/>
      <c r="DG100" s="1119">
        <f>DG13+DG54</f>
        <v>-58232</v>
      </c>
      <c r="DH100" s="860"/>
      <c r="DI100" s="860"/>
      <c r="DJ100" s="860"/>
      <c r="DK100" s="1109"/>
      <c r="DL100" s="860"/>
      <c r="DM100" s="860"/>
      <c r="DN100" s="1119">
        <f>DN13+DN54</f>
        <v>-63556.245858731505</v>
      </c>
      <c r="DO100" s="860"/>
      <c r="DP100" s="860"/>
      <c r="DQ100" s="860"/>
      <c r="DR100" s="1109"/>
      <c r="DS100" s="860"/>
      <c r="DT100" s="860"/>
      <c r="DU100" s="1119">
        <f>DU13+DU54</f>
        <v>-69849.523141209545</v>
      </c>
      <c r="DV100" s="860"/>
      <c r="DW100" s="860"/>
      <c r="DX100" s="860"/>
      <c r="DY100" s="1109"/>
      <c r="DZ100" s="860"/>
      <c r="EA100" s="860"/>
      <c r="EB100" s="1119">
        <f>EB13+EB54</f>
        <v>-74460.094192208315</v>
      </c>
      <c r="EC100" s="860"/>
      <c r="ED100" s="860"/>
      <c r="EE100" s="860"/>
      <c r="EF100" s="1109"/>
      <c r="EG100" s="860"/>
      <c r="EH100" s="860"/>
      <c r="EI100" s="1119">
        <f>EI13+EI54</f>
        <v>-77255.151790328178</v>
      </c>
      <c r="EJ100" s="860"/>
      <c r="EK100" s="860"/>
      <c r="EL100" s="860"/>
      <c r="EM100" s="1109"/>
      <c r="EN100" s="860"/>
      <c r="EO100" s="860"/>
      <c r="EP100" s="1119">
        <f>EP13+EP54</f>
        <v>-79495.96998122416</v>
      </c>
      <c r="EQ100" s="43"/>
      <c r="ER100" s="46"/>
    </row>
    <row r="101" spans="1:148" ht="10.199999999999999" hidden="1" customHeight="1" outlineLevel="1">
      <c r="A101" s="43" t="s">
        <v>248</v>
      </c>
      <c r="B101" s="203"/>
      <c r="C101" s="203">
        <f t="shared" ref="C101:AV101" si="706">C29+C55</f>
        <v>-607</v>
      </c>
      <c r="D101" s="203">
        <f t="shared" si="706"/>
        <v>-203</v>
      </c>
      <c r="E101" s="203">
        <f t="shared" si="706"/>
        <v>-627</v>
      </c>
      <c r="F101" s="203">
        <f t="shared" si="706"/>
        <v>-578</v>
      </c>
      <c r="G101" s="203">
        <f t="shared" si="706"/>
        <v>-575</v>
      </c>
      <c r="H101" s="203">
        <f t="shared" si="706"/>
        <v>-701</v>
      </c>
      <c r="I101" s="203">
        <f t="shared" si="706"/>
        <v>-581</v>
      </c>
      <c r="J101" s="203">
        <f t="shared" si="706"/>
        <v>-410</v>
      </c>
      <c r="K101" s="203">
        <f t="shared" si="706"/>
        <v>-456</v>
      </c>
      <c r="L101" s="203">
        <f t="shared" si="706"/>
        <v>-423</v>
      </c>
      <c r="M101" s="203">
        <f t="shared" si="706"/>
        <v>-534</v>
      </c>
      <c r="N101" s="203"/>
      <c r="O101" s="203"/>
      <c r="P101" s="203"/>
      <c r="Q101" s="1448"/>
      <c r="R101" s="203"/>
      <c r="S101" s="203"/>
      <c r="T101" s="1461">
        <f t="shared" si="706"/>
        <v>-386</v>
      </c>
      <c r="U101" s="203"/>
      <c r="V101" s="203"/>
      <c r="W101" s="203"/>
      <c r="X101" s="1448"/>
      <c r="Y101" s="203"/>
      <c r="Z101" s="203"/>
      <c r="AA101" s="1461">
        <f t="shared" si="706"/>
        <v>-121</v>
      </c>
      <c r="AB101" s="203"/>
      <c r="AC101" s="203"/>
      <c r="AD101" s="203"/>
      <c r="AE101" s="1448"/>
      <c r="AF101" s="203"/>
      <c r="AG101" s="203"/>
      <c r="AH101" s="1461">
        <f t="shared" si="706"/>
        <v>-333</v>
      </c>
      <c r="AI101" s="203"/>
      <c r="AJ101" s="203"/>
      <c r="AK101" s="203"/>
      <c r="AL101" s="1448"/>
      <c r="AM101" s="203"/>
      <c r="AN101" s="203"/>
      <c r="AO101" s="1461">
        <f t="shared" si="706"/>
        <v>105</v>
      </c>
      <c r="AP101" s="203"/>
      <c r="AQ101" s="203"/>
      <c r="AR101" s="203"/>
      <c r="AS101" s="1448"/>
      <c r="AT101" s="203"/>
      <c r="AU101" s="203"/>
      <c r="AV101" s="1461">
        <f t="shared" si="706"/>
        <v>-2055</v>
      </c>
      <c r="AW101" s="203"/>
      <c r="AX101" s="203"/>
      <c r="AY101" s="203"/>
      <c r="AZ101" s="1448"/>
      <c r="BA101" s="203"/>
      <c r="BB101" s="203"/>
      <c r="BC101" s="1461"/>
      <c r="BD101" s="203"/>
      <c r="BE101" s="203"/>
      <c r="BF101" s="203"/>
      <c r="BG101" s="1448"/>
      <c r="BH101" s="203"/>
      <c r="BI101" s="203"/>
      <c r="BJ101" s="1461">
        <f t="shared" ref="BJ101:EP101" si="707">BJ29+BJ55</f>
        <v>47</v>
      </c>
      <c r="BK101" s="203"/>
      <c r="BL101" s="203"/>
      <c r="BM101" s="203"/>
      <c r="BN101" s="1448"/>
      <c r="BO101" s="203"/>
      <c r="BP101" s="203"/>
      <c r="BQ101" s="1461">
        <f t="shared" si="707"/>
        <v>-221</v>
      </c>
      <c r="BR101" s="203"/>
      <c r="BS101" s="203"/>
      <c r="BT101" s="203"/>
      <c r="BU101" s="1448"/>
      <c r="BV101" s="203"/>
      <c r="BW101" s="203"/>
      <c r="BX101" s="1461">
        <f t="shared" si="707"/>
        <v>-87</v>
      </c>
      <c r="BY101" s="203"/>
      <c r="BZ101" s="203"/>
      <c r="CA101" s="203"/>
      <c r="CB101" s="1448"/>
      <c r="CC101" s="203"/>
      <c r="CD101" s="203"/>
      <c r="CE101" s="1461">
        <f t="shared" si="707"/>
        <v>-284</v>
      </c>
      <c r="CF101" s="203"/>
      <c r="CG101" s="203"/>
      <c r="CH101" s="203"/>
      <c r="CI101" s="1448"/>
      <c r="CJ101" s="203"/>
      <c r="CK101" s="203"/>
      <c r="CL101" s="1461">
        <f t="shared" si="707"/>
        <v>-386</v>
      </c>
      <c r="CM101" s="203"/>
      <c r="CN101" s="203"/>
      <c r="CO101" s="203"/>
      <c r="CP101" s="1448"/>
      <c r="CQ101" s="203"/>
      <c r="CR101" s="203"/>
      <c r="CS101" s="1461">
        <f t="shared" si="707"/>
        <v>-947</v>
      </c>
      <c r="CT101" s="203"/>
      <c r="CU101" s="203"/>
      <c r="CV101" s="203"/>
      <c r="CW101" s="1448"/>
      <c r="CX101" s="203"/>
      <c r="CY101" s="203"/>
      <c r="CZ101" s="1461">
        <f t="shared" ref="CZ101" si="708">CZ29+CZ55</f>
        <v>-1036</v>
      </c>
      <c r="DA101" s="860"/>
      <c r="DB101" s="860"/>
      <c r="DC101" s="860"/>
      <c r="DD101" s="1109"/>
      <c r="DE101" s="860"/>
      <c r="DF101" s="860"/>
      <c r="DG101" s="1119">
        <f t="shared" si="707"/>
        <v>-830</v>
      </c>
      <c r="DH101" s="860"/>
      <c r="DI101" s="860"/>
      <c r="DJ101" s="860"/>
      <c r="DK101" s="1109"/>
      <c r="DL101" s="860"/>
      <c r="DM101" s="860"/>
      <c r="DN101" s="1119">
        <f t="shared" si="707"/>
        <v>-1074.45</v>
      </c>
      <c r="DO101" s="860"/>
      <c r="DP101" s="860"/>
      <c r="DQ101" s="860"/>
      <c r="DR101" s="1109"/>
      <c r="DS101" s="860"/>
      <c r="DT101" s="860"/>
      <c r="DU101" s="1119">
        <f t="shared" si="707"/>
        <v>-893.45</v>
      </c>
      <c r="DV101" s="860"/>
      <c r="DW101" s="860"/>
      <c r="DX101" s="860"/>
      <c r="DY101" s="1109"/>
      <c r="DZ101" s="860"/>
      <c r="EA101" s="860"/>
      <c r="EB101" s="1119">
        <f t="shared" si="707"/>
        <v>-893.45</v>
      </c>
      <c r="EC101" s="860"/>
      <c r="ED101" s="860"/>
      <c r="EE101" s="860"/>
      <c r="EF101" s="1109"/>
      <c r="EG101" s="860"/>
      <c r="EH101" s="860"/>
      <c r="EI101" s="1119">
        <f t="shared" si="707"/>
        <v>-893.45</v>
      </c>
      <c r="EJ101" s="860"/>
      <c r="EK101" s="860"/>
      <c r="EL101" s="860"/>
      <c r="EM101" s="1109"/>
      <c r="EN101" s="860"/>
      <c r="EO101" s="860"/>
      <c r="EP101" s="1119">
        <f t="shared" si="707"/>
        <v>-893.45</v>
      </c>
      <c r="EQ101" s="43"/>
      <c r="ER101" s="46"/>
    </row>
    <row r="102" spans="1:148" ht="10.199999999999999" hidden="1" customHeight="1" outlineLevel="1">
      <c r="A102" s="43" t="s">
        <v>249</v>
      </c>
      <c r="B102" s="203"/>
      <c r="C102" s="203">
        <f t="shared" ref="C102:AV102" si="709">C40+C56</f>
        <v>-453</v>
      </c>
      <c r="D102" s="203">
        <f t="shared" si="709"/>
        <v>-474</v>
      </c>
      <c r="E102" s="203">
        <f t="shared" si="709"/>
        <v>-664</v>
      </c>
      <c r="F102" s="203">
        <f t="shared" si="709"/>
        <v>-825</v>
      </c>
      <c r="G102" s="203">
        <f t="shared" si="709"/>
        <v>81</v>
      </c>
      <c r="H102" s="203">
        <f t="shared" si="709"/>
        <v>333</v>
      </c>
      <c r="I102" s="203">
        <f t="shared" si="709"/>
        <v>-703</v>
      </c>
      <c r="J102" s="203">
        <f t="shared" si="709"/>
        <v>-360.10288065843622</v>
      </c>
      <c r="K102" s="203">
        <f t="shared" si="709"/>
        <v>-266</v>
      </c>
      <c r="L102" s="203">
        <f t="shared" si="709"/>
        <v>-367</v>
      </c>
      <c r="M102" s="203">
        <f t="shared" si="709"/>
        <v>-690</v>
      </c>
      <c r="N102" s="203"/>
      <c r="O102" s="203"/>
      <c r="P102" s="203"/>
      <c r="Q102" s="1448"/>
      <c r="R102" s="203"/>
      <c r="S102" s="203"/>
      <c r="T102" s="1461">
        <f t="shared" si="709"/>
        <v>-784</v>
      </c>
      <c r="U102" s="203"/>
      <c r="V102" s="203"/>
      <c r="W102" s="203"/>
      <c r="X102" s="1448"/>
      <c r="Y102" s="203"/>
      <c r="Z102" s="203"/>
      <c r="AA102" s="1461">
        <f t="shared" si="709"/>
        <v>-972</v>
      </c>
      <c r="AB102" s="203"/>
      <c r="AC102" s="203"/>
      <c r="AD102" s="203"/>
      <c r="AE102" s="1448"/>
      <c r="AF102" s="203"/>
      <c r="AG102" s="203"/>
      <c r="AH102" s="1461">
        <f t="shared" si="709"/>
        <v>-975</v>
      </c>
      <c r="AI102" s="203"/>
      <c r="AJ102" s="203"/>
      <c r="AK102" s="203"/>
      <c r="AL102" s="1448"/>
      <c r="AM102" s="203"/>
      <c r="AN102" s="203"/>
      <c r="AO102" s="1461">
        <f t="shared" si="709"/>
        <v>-1048</v>
      </c>
      <c r="AP102" s="203"/>
      <c r="AQ102" s="203"/>
      <c r="AR102" s="203"/>
      <c r="AS102" s="1448"/>
      <c r="AT102" s="203"/>
      <c r="AU102" s="203"/>
      <c r="AV102" s="1461">
        <f t="shared" si="709"/>
        <v>-1024</v>
      </c>
      <c r="AW102" s="203"/>
      <c r="AX102" s="203"/>
      <c r="AY102" s="203"/>
      <c r="AZ102" s="1448"/>
      <c r="BA102" s="203"/>
      <c r="BB102" s="203"/>
      <c r="BC102" s="1461"/>
      <c r="BD102" s="203"/>
      <c r="BE102" s="203"/>
      <c r="BF102" s="203"/>
      <c r="BG102" s="1448"/>
      <c r="BH102" s="203"/>
      <c r="BI102" s="203"/>
      <c r="BJ102" s="1461">
        <f t="shared" ref="BJ102:EP102" si="710">BJ40+BJ56</f>
        <v>-1556</v>
      </c>
      <c r="BK102" s="203"/>
      <c r="BL102" s="203"/>
      <c r="BM102" s="203"/>
      <c r="BN102" s="1448"/>
      <c r="BO102" s="203"/>
      <c r="BP102" s="203"/>
      <c r="BQ102" s="1461">
        <f t="shared" si="710"/>
        <v>-2037</v>
      </c>
      <c r="BR102" s="203"/>
      <c r="BS102" s="203"/>
      <c r="BT102" s="203"/>
      <c r="BU102" s="1448"/>
      <c r="BV102" s="203"/>
      <c r="BW102" s="203"/>
      <c r="BX102" s="1461">
        <f t="shared" si="710"/>
        <v>-378</v>
      </c>
      <c r="BY102" s="203"/>
      <c r="BZ102" s="203"/>
      <c r="CA102" s="203"/>
      <c r="CB102" s="1448"/>
      <c r="CC102" s="203"/>
      <c r="CD102" s="203"/>
      <c r="CE102" s="1461">
        <f t="shared" si="710"/>
        <v>-1242</v>
      </c>
      <c r="CF102" s="203"/>
      <c r="CG102" s="203"/>
      <c r="CH102" s="203"/>
      <c r="CI102" s="1448"/>
      <c r="CJ102" s="203"/>
      <c r="CK102" s="203"/>
      <c r="CL102" s="1461">
        <f t="shared" si="710"/>
        <v>-1459</v>
      </c>
      <c r="CM102" s="203"/>
      <c r="CN102" s="203"/>
      <c r="CO102" s="203"/>
      <c r="CP102" s="1448"/>
      <c r="CQ102" s="203"/>
      <c r="CR102" s="203"/>
      <c r="CS102" s="1461">
        <f t="shared" si="710"/>
        <v>-1569</v>
      </c>
      <c r="CT102" s="203"/>
      <c r="CU102" s="203"/>
      <c r="CV102" s="203"/>
      <c r="CW102" s="1448"/>
      <c r="CX102" s="203"/>
      <c r="CY102" s="203"/>
      <c r="CZ102" s="1461">
        <f t="shared" ref="CZ102" si="711">CZ40+CZ56</f>
        <v>-1501</v>
      </c>
      <c r="DA102" s="860"/>
      <c r="DB102" s="860"/>
      <c r="DC102" s="860"/>
      <c r="DD102" s="1109"/>
      <c r="DE102" s="860"/>
      <c r="DF102" s="860"/>
      <c r="DG102" s="1119">
        <f t="shared" si="710"/>
        <v>-2160</v>
      </c>
      <c r="DH102" s="860"/>
      <c r="DI102" s="860"/>
      <c r="DJ102" s="860"/>
      <c r="DK102" s="1109"/>
      <c r="DL102" s="860"/>
      <c r="DM102" s="860"/>
      <c r="DN102" s="1119">
        <f t="shared" si="710"/>
        <v>-1924.6507985856003</v>
      </c>
      <c r="DO102" s="860"/>
      <c r="DP102" s="860"/>
      <c r="DQ102" s="860"/>
      <c r="DR102" s="1109"/>
      <c r="DS102" s="860"/>
      <c r="DT102" s="860"/>
      <c r="DU102" s="1119">
        <f t="shared" si="710"/>
        <v>-2341.1273980510628</v>
      </c>
      <c r="DV102" s="860"/>
      <c r="DW102" s="860"/>
      <c r="DX102" s="860"/>
      <c r="DY102" s="1109"/>
      <c r="DZ102" s="860"/>
      <c r="EA102" s="860"/>
      <c r="EB102" s="1119">
        <f t="shared" si="710"/>
        <v>-2929.5605552028801</v>
      </c>
      <c r="EC102" s="860"/>
      <c r="ED102" s="860"/>
      <c r="EE102" s="860"/>
      <c r="EF102" s="1109"/>
      <c r="EG102" s="860"/>
      <c r="EH102" s="860"/>
      <c r="EI102" s="1119">
        <f t="shared" si="710"/>
        <v>-3204.5411687518063</v>
      </c>
      <c r="EJ102" s="860"/>
      <c r="EK102" s="860"/>
      <c r="EL102" s="860"/>
      <c r="EM102" s="1109"/>
      <c r="EN102" s="860"/>
      <c r="EO102" s="860"/>
      <c r="EP102" s="1119">
        <f t="shared" si="710"/>
        <v>-3422.4776102614092</v>
      </c>
      <c r="EQ102" s="43"/>
      <c r="ER102" s="46"/>
    </row>
    <row r="103" spans="1:148" ht="10.199999999999999" hidden="1" customHeight="1" outlineLevel="1">
      <c r="A103" s="43" t="s">
        <v>250</v>
      </c>
      <c r="B103" s="108"/>
      <c r="C103" s="108">
        <v>0</v>
      </c>
      <c r="D103" s="108">
        <v>0</v>
      </c>
      <c r="E103" s="108">
        <v>0</v>
      </c>
      <c r="F103" s="108">
        <v>0</v>
      </c>
      <c r="G103" s="108">
        <v>0</v>
      </c>
      <c r="H103" s="108">
        <v>0</v>
      </c>
      <c r="I103" s="108">
        <v>0</v>
      </c>
      <c r="J103" s="108">
        <v>0</v>
      </c>
      <c r="K103" s="108">
        <v>0</v>
      </c>
      <c r="L103" s="108">
        <v>0</v>
      </c>
      <c r="M103" s="108">
        <v>0</v>
      </c>
      <c r="N103" s="108"/>
      <c r="O103" s="108"/>
      <c r="P103" s="108"/>
      <c r="Q103" s="700"/>
      <c r="R103" s="108"/>
      <c r="S103" s="108"/>
      <c r="T103" s="538">
        <v>0</v>
      </c>
      <c r="U103" s="108"/>
      <c r="V103" s="108"/>
      <c r="W103" s="108"/>
      <c r="X103" s="700"/>
      <c r="Y103" s="108"/>
      <c r="Z103" s="108"/>
      <c r="AA103" s="538">
        <v>0</v>
      </c>
      <c r="AB103" s="108"/>
      <c r="AC103" s="108"/>
      <c r="AD103" s="108"/>
      <c r="AE103" s="700"/>
      <c r="AF103" s="108"/>
      <c r="AG103" s="108"/>
      <c r="AH103" s="538">
        <v>0</v>
      </c>
      <c r="AI103" s="108"/>
      <c r="AJ103" s="108"/>
      <c r="AK103" s="108"/>
      <c r="AL103" s="700"/>
      <c r="AM103" s="108"/>
      <c r="AN103" s="108"/>
      <c r="AO103" s="538">
        <v>0</v>
      </c>
      <c r="AP103" s="108"/>
      <c r="AQ103" s="108"/>
      <c r="AR103" s="108"/>
      <c r="AS103" s="700"/>
      <c r="AT103" s="108"/>
      <c r="AU103" s="108"/>
      <c r="AV103" s="538">
        <v>0</v>
      </c>
      <c r="AW103" s="108"/>
      <c r="AX103" s="108"/>
      <c r="AY103" s="108"/>
      <c r="AZ103" s="700"/>
      <c r="BA103" s="108"/>
      <c r="BB103" s="108"/>
      <c r="BC103" s="538"/>
      <c r="BD103" s="108"/>
      <c r="BE103" s="108"/>
      <c r="BF103" s="108"/>
      <c r="BG103" s="700"/>
      <c r="BH103" s="108"/>
      <c r="BI103" s="108"/>
      <c r="BJ103" s="538">
        <v>0</v>
      </c>
      <c r="BK103" s="108"/>
      <c r="BL103" s="108"/>
      <c r="BM103" s="108"/>
      <c r="BN103" s="700"/>
      <c r="BO103" s="108"/>
      <c r="BP103" s="108"/>
      <c r="BQ103" s="538">
        <v>0</v>
      </c>
      <c r="BR103" s="108"/>
      <c r="BS103" s="108"/>
      <c r="BT103" s="108"/>
      <c r="BU103" s="700"/>
      <c r="BV103" s="108"/>
      <c r="BW103" s="108"/>
      <c r="BX103" s="538">
        <v>0</v>
      </c>
      <c r="BY103" s="108"/>
      <c r="BZ103" s="108"/>
      <c r="CA103" s="108"/>
      <c r="CB103" s="700"/>
      <c r="CC103" s="108"/>
      <c r="CD103" s="108"/>
      <c r="CE103" s="538">
        <v>0</v>
      </c>
      <c r="CF103" s="108"/>
      <c r="CG103" s="108"/>
      <c r="CH103" s="108"/>
      <c r="CI103" s="700"/>
      <c r="CJ103" s="108"/>
      <c r="CK103" s="108"/>
      <c r="CL103" s="538">
        <v>0</v>
      </c>
      <c r="CM103" s="108"/>
      <c r="CN103" s="108"/>
      <c r="CO103" s="108"/>
      <c r="CP103" s="700"/>
      <c r="CQ103" s="108"/>
      <c r="CR103" s="108"/>
      <c r="CS103" s="538">
        <v>0</v>
      </c>
      <c r="CT103" s="108"/>
      <c r="CU103" s="108"/>
      <c r="CV103" s="108"/>
      <c r="CW103" s="700"/>
      <c r="CX103" s="108"/>
      <c r="CY103" s="108"/>
      <c r="CZ103" s="538">
        <v>0</v>
      </c>
      <c r="DA103" s="1421"/>
      <c r="DB103" s="1421"/>
      <c r="DC103" s="1421"/>
      <c r="DD103" s="1532"/>
      <c r="DE103" s="1421"/>
      <c r="DF103" s="1421"/>
      <c r="DG103" s="1505">
        <v>0</v>
      </c>
      <c r="DH103" s="1421"/>
      <c r="DI103" s="1421"/>
      <c r="DJ103" s="1421"/>
      <c r="DK103" s="1532"/>
      <c r="DL103" s="1421"/>
      <c r="DM103" s="1421"/>
      <c r="DN103" s="1505">
        <v>0</v>
      </c>
      <c r="DO103" s="1421"/>
      <c r="DP103" s="1421"/>
      <c r="DQ103" s="1421"/>
      <c r="DR103" s="1532"/>
      <c r="DS103" s="1421"/>
      <c r="DT103" s="1421"/>
      <c r="DU103" s="1505">
        <v>0</v>
      </c>
      <c r="DV103" s="1421"/>
      <c r="DW103" s="1421"/>
      <c r="DX103" s="1421"/>
      <c r="DY103" s="1532"/>
      <c r="DZ103" s="1421"/>
      <c r="EA103" s="1421"/>
      <c r="EB103" s="1505">
        <v>0</v>
      </c>
      <c r="EC103" s="1421"/>
      <c r="ED103" s="1421"/>
      <c r="EE103" s="1421"/>
      <c r="EF103" s="1532"/>
      <c r="EG103" s="1421"/>
      <c r="EH103" s="1421"/>
      <c r="EI103" s="1505">
        <v>0</v>
      </c>
      <c r="EJ103" s="1421"/>
      <c r="EK103" s="1421"/>
      <c r="EL103" s="1421"/>
      <c r="EM103" s="1532"/>
      <c r="EN103" s="1421"/>
      <c r="EO103" s="1421"/>
      <c r="EP103" s="1505">
        <v>0</v>
      </c>
      <c r="EQ103" s="43"/>
      <c r="ER103" s="46"/>
    </row>
    <row r="104" spans="1:148" ht="10.199999999999999" hidden="1" customHeight="1" outlineLevel="1">
      <c r="A104" s="43" t="s">
        <v>54</v>
      </c>
      <c r="B104" s="108"/>
      <c r="C104" s="223">
        <v>0.29599999999999999</v>
      </c>
      <c r="D104" s="223">
        <v>0.29599999999999999</v>
      </c>
      <c r="E104" s="223">
        <v>0.29599999999999999</v>
      </c>
      <c r="F104" s="223">
        <v>0.29599999999999999</v>
      </c>
      <c r="G104" s="223">
        <v>0.29599999999999999</v>
      </c>
      <c r="H104" s="223">
        <v>0.255</v>
      </c>
      <c r="I104" s="223">
        <v>0.255</v>
      </c>
      <c r="J104" s="223">
        <v>0.255</v>
      </c>
      <c r="K104" s="223">
        <v>0.255</v>
      </c>
      <c r="L104" s="223">
        <v>0.255</v>
      </c>
      <c r="M104" s="223">
        <v>0.255</v>
      </c>
      <c r="N104" s="223"/>
      <c r="O104" s="223"/>
      <c r="P104" s="223"/>
      <c r="Q104" s="717"/>
      <c r="R104" s="223"/>
      <c r="S104" s="223"/>
      <c r="T104" s="1270">
        <v>0.255</v>
      </c>
      <c r="U104" s="223"/>
      <c r="V104" s="223"/>
      <c r="W104" s="223"/>
      <c r="X104" s="717"/>
      <c r="Y104" s="223"/>
      <c r="Z104" s="223"/>
      <c r="AA104" s="1270">
        <v>0.255</v>
      </c>
      <c r="AB104" s="223"/>
      <c r="AC104" s="223"/>
      <c r="AD104" s="223"/>
      <c r="AE104" s="717"/>
      <c r="AF104" s="223"/>
      <c r="AG104" s="223"/>
      <c r="AH104" s="1270">
        <v>0.255</v>
      </c>
      <c r="AI104" s="223"/>
      <c r="AJ104" s="223"/>
      <c r="AK104" s="223"/>
      <c r="AL104" s="717"/>
      <c r="AM104" s="223"/>
      <c r="AN104" s="223"/>
      <c r="AO104" s="1270">
        <v>0.255</v>
      </c>
      <c r="AP104" s="223"/>
      <c r="AQ104" s="223"/>
      <c r="AR104" s="223"/>
      <c r="AS104" s="717"/>
      <c r="AT104" s="223"/>
      <c r="AU104" s="223"/>
      <c r="AV104" s="1270">
        <v>0.255</v>
      </c>
      <c r="AW104" s="223"/>
      <c r="AX104" s="223"/>
      <c r="AY104" s="223"/>
      <c r="AZ104" s="717"/>
      <c r="BA104" s="223"/>
      <c r="BB104" s="223"/>
      <c r="BC104" s="1270"/>
      <c r="BD104" s="223"/>
      <c r="BE104" s="223"/>
      <c r="BF104" s="223"/>
      <c r="BG104" s="717"/>
      <c r="BH104" s="223"/>
      <c r="BI104" s="223"/>
      <c r="BJ104" s="1270">
        <v>0.255</v>
      </c>
      <c r="BK104" s="223"/>
      <c r="BL104" s="223"/>
      <c r="BM104" s="223"/>
      <c r="BN104" s="717"/>
      <c r="BO104" s="223"/>
      <c r="BP104" s="223"/>
      <c r="BQ104" s="1270">
        <v>0.255</v>
      </c>
      <c r="BR104" s="223"/>
      <c r="BS104" s="223"/>
      <c r="BT104" s="223"/>
      <c r="BU104" s="717"/>
      <c r="BV104" s="223"/>
      <c r="BW104" s="223"/>
      <c r="BX104" s="1270">
        <v>0.255</v>
      </c>
      <c r="BY104" s="223"/>
      <c r="BZ104" s="223"/>
      <c r="CA104" s="223"/>
      <c r="CB104" s="717"/>
      <c r="CC104" s="223"/>
      <c r="CD104" s="223"/>
      <c r="CE104" s="1270">
        <v>0.255</v>
      </c>
      <c r="CF104" s="223"/>
      <c r="CG104" s="223"/>
      <c r="CH104" s="223"/>
      <c r="CI104" s="717"/>
      <c r="CJ104" s="223"/>
      <c r="CK104" s="223"/>
      <c r="CL104" s="1270">
        <v>0.255</v>
      </c>
      <c r="CM104" s="223"/>
      <c r="CN104" s="223"/>
      <c r="CO104" s="223"/>
      <c r="CP104" s="717"/>
      <c r="CQ104" s="223"/>
      <c r="CR104" s="223"/>
      <c r="CS104" s="1270">
        <v>0.255</v>
      </c>
      <c r="CT104" s="223"/>
      <c r="CU104" s="223"/>
      <c r="CV104" s="223"/>
      <c r="CW104" s="717"/>
      <c r="CX104" s="223"/>
      <c r="CY104" s="223"/>
      <c r="CZ104" s="1806">
        <v>0.255</v>
      </c>
      <c r="DA104" s="901"/>
      <c r="DB104" s="901"/>
      <c r="DC104" s="901"/>
      <c r="DD104" s="1122"/>
      <c r="DE104" s="901"/>
      <c r="DF104" s="901"/>
      <c r="DG104" s="1115">
        <v>0.255</v>
      </c>
      <c r="DH104" s="901"/>
      <c r="DI104" s="901"/>
      <c r="DJ104" s="901"/>
      <c r="DK104" s="1122"/>
      <c r="DL104" s="901"/>
      <c r="DM104" s="901"/>
      <c r="DN104" s="1115">
        <v>0.255</v>
      </c>
      <c r="DO104" s="901"/>
      <c r="DP104" s="901"/>
      <c r="DQ104" s="901"/>
      <c r="DR104" s="1122"/>
      <c r="DS104" s="901"/>
      <c r="DT104" s="901"/>
      <c r="DU104" s="1115">
        <v>0.255</v>
      </c>
      <c r="DV104" s="901"/>
      <c r="DW104" s="901"/>
      <c r="DX104" s="901"/>
      <c r="DY104" s="1122"/>
      <c r="DZ104" s="901"/>
      <c r="EA104" s="901"/>
      <c r="EB104" s="1115">
        <v>0.255</v>
      </c>
      <c r="EC104" s="901"/>
      <c r="ED104" s="901"/>
      <c r="EE104" s="901"/>
      <c r="EF104" s="1122"/>
      <c r="EG104" s="901"/>
      <c r="EH104" s="901"/>
      <c r="EI104" s="1115">
        <v>0.255</v>
      </c>
      <c r="EJ104" s="901"/>
      <c r="EK104" s="901"/>
      <c r="EL104" s="901"/>
      <c r="EM104" s="1122"/>
      <c r="EN104" s="901"/>
      <c r="EO104" s="901"/>
      <c r="EP104" s="1115">
        <v>0.255</v>
      </c>
      <c r="EQ104" s="43"/>
      <c r="ER104" s="46"/>
    </row>
    <row r="105" spans="1:148" ht="10.199999999999999" hidden="1" customHeight="1" outlineLevel="1">
      <c r="A105" s="43" t="s">
        <v>103</v>
      </c>
      <c r="B105" s="108"/>
      <c r="C105" s="203">
        <f t="shared" ref="C105:AV105" si="712">C72</f>
        <v>0</v>
      </c>
      <c r="D105" s="203">
        <f t="shared" si="712"/>
        <v>801</v>
      </c>
      <c r="E105" s="203">
        <f t="shared" si="712"/>
        <v>804.08287199999995</v>
      </c>
      <c r="F105" s="203">
        <f t="shared" si="712"/>
        <v>800</v>
      </c>
      <c r="G105" s="203">
        <f t="shared" si="712"/>
        <v>803.23728600000004</v>
      </c>
      <c r="H105" s="203">
        <f t="shared" si="712"/>
        <v>805.93773037384608</v>
      </c>
      <c r="I105" s="203">
        <f t="shared" si="712"/>
        <v>809.68040592839998</v>
      </c>
      <c r="J105" s="203">
        <f t="shared" si="712"/>
        <v>811.19</v>
      </c>
      <c r="K105" s="203">
        <f t="shared" si="712"/>
        <v>810.93600000000004</v>
      </c>
      <c r="L105" s="203">
        <f t="shared" si="712"/>
        <v>813.70100000000002</v>
      </c>
      <c r="M105" s="203">
        <f t="shared" si="712"/>
        <v>820.55193099999997</v>
      </c>
      <c r="N105" s="203"/>
      <c r="O105" s="203"/>
      <c r="P105" s="203"/>
      <c r="Q105" s="1448"/>
      <c r="R105" s="203"/>
      <c r="S105" s="203"/>
      <c r="T105" s="1461">
        <f t="shared" si="712"/>
        <v>780.32251399999996</v>
      </c>
      <c r="U105" s="203"/>
      <c r="V105" s="203"/>
      <c r="W105" s="203"/>
      <c r="X105" s="1448"/>
      <c r="Y105" s="203"/>
      <c r="Z105" s="203"/>
      <c r="AA105" s="1461">
        <f t="shared" si="712"/>
        <v>784.34875299999999</v>
      </c>
      <c r="AB105" s="203"/>
      <c r="AC105" s="203"/>
      <c r="AD105" s="203"/>
      <c r="AE105" s="1448"/>
      <c r="AF105" s="203"/>
      <c r="AG105" s="203"/>
      <c r="AH105" s="1461">
        <f t="shared" si="712"/>
        <v>786.74132090000001</v>
      </c>
      <c r="AI105" s="203"/>
      <c r="AJ105" s="203"/>
      <c r="AK105" s="203"/>
      <c r="AL105" s="1448"/>
      <c r="AM105" s="203"/>
      <c r="AN105" s="203"/>
      <c r="AO105" s="1461">
        <f t="shared" si="712"/>
        <v>778.03949599999999</v>
      </c>
      <c r="AP105" s="203"/>
      <c r="AQ105" s="203"/>
      <c r="AR105" s="203"/>
      <c r="AS105" s="1448"/>
      <c r="AT105" s="203"/>
      <c r="AU105" s="203"/>
      <c r="AV105" s="1461">
        <f t="shared" si="712"/>
        <v>778.25722500000006</v>
      </c>
      <c r="AW105" s="203"/>
      <c r="AX105" s="203"/>
      <c r="AY105" s="203"/>
      <c r="AZ105" s="1448"/>
      <c r="BA105" s="203"/>
      <c r="BB105" s="203"/>
      <c r="BC105" s="1461"/>
      <c r="BD105" s="203"/>
      <c r="BE105" s="203"/>
      <c r="BF105" s="203"/>
      <c r="BG105" s="1448"/>
      <c r="BH105" s="203"/>
      <c r="BI105" s="203"/>
      <c r="BJ105" s="1461">
        <f t="shared" ref="BJ105:EP105" si="713">BJ72</f>
        <v>781.50605399999995</v>
      </c>
      <c r="BK105" s="203"/>
      <c r="BL105" s="203"/>
      <c r="BM105" s="203"/>
      <c r="BN105" s="1448"/>
      <c r="BO105" s="203"/>
      <c r="BP105" s="203"/>
      <c r="BQ105" s="1461">
        <f t="shared" si="713"/>
        <v>782.31</v>
      </c>
      <c r="BR105" s="203"/>
      <c r="BS105" s="203"/>
      <c r="BT105" s="203"/>
      <c r="BU105" s="1448"/>
      <c r="BV105" s="203"/>
      <c r="BW105" s="203"/>
      <c r="BX105" s="1461">
        <f t="shared" si="713"/>
        <v>783.71639500000003</v>
      </c>
      <c r="BY105" s="203"/>
      <c r="BZ105" s="203"/>
      <c r="CA105" s="203"/>
      <c r="CB105" s="1448"/>
      <c r="CC105" s="203"/>
      <c r="CD105" s="203"/>
      <c r="CE105" s="1461">
        <f t="shared" si="713"/>
        <v>786.20488100000011</v>
      </c>
      <c r="CF105" s="203"/>
      <c r="CG105" s="203"/>
      <c r="CH105" s="203"/>
      <c r="CI105" s="1448"/>
      <c r="CJ105" s="203"/>
      <c r="CK105" s="203"/>
      <c r="CL105" s="1461">
        <f t="shared" si="713"/>
        <v>788.230414</v>
      </c>
      <c r="CM105" s="203"/>
      <c r="CN105" s="203"/>
      <c r="CO105" s="203"/>
      <c r="CP105" s="1448"/>
      <c r="CQ105" s="203"/>
      <c r="CR105" s="203"/>
      <c r="CS105" s="1461">
        <f t="shared" si="713"/>
        <v>788.46178699999996</v>
      </c>
      <c r="CT105" s="217"/>
      <c r="CU105" s="217"/>
      <c r="CV105" s="217"/>
      <c r="CW105" s="696"/>
      <c r="CX105" s="217"/>
      <c r="CY105" s="217"/>
      <c r="CZ105" s="1461">
        <f t="shared" ref="CZ105" si="714">CZ72</f>
        <v>788.98565699999995</v>
      </c>
      <c r="DA105" s="1361"/>
      <c r="DB105" s="1361"/>
      <c r="DC105" s="1361"/>
      <c r="DD105" s="1362"/>
      <c r="DE105" s="1361"/>
      <c r="DF105" s="1361"/>
      <c r="DG105" s="1506">
        <f t="shared" si="713"/>
        <v>788.54665999999997</v>
      </c>
      <c r="DH105" s="1361"/>
      <c r="DI105" s="1361"/>
      <c r="DJ105" s="1361"/>
      <c r="DK105" s="1362"/>
      <c r="DL105" s="1361"/>
      <c r="DM105" s="1361"/>
      <c r="DN105" s="1506">
        <f t="shared" si="713"/>
        <v>786.2210786046511</v>
      </c>
      <c r="DO105" s="1361"/>
      <c r="DP105" s="1361"/>
      <c r="DQ105" s="1361"/>
      <c r="DR105" s="1362"/>
      <c r="DS105" s="1361"/>
      <c r="DT105" s="1361"/>
      <c r="DU105" s="1506">
        <f t="shared" si="713"/>
        <v>780.15434452982799</v>
      </c>
      <c r="DV105" s="1361"/>
      <c r="DW105" s="1361"/>
      <c r="DX105" s="1361"/>
      <c r="DY105" s="1362"/>
      <c r="DZ105" s="1361"/>
      <c r="EA105" s="1361"/>
      <c r="EB105" s="1506">
        <f t="shared" si="713"/>
        <v>774.87892359519924</v>
      </c>
      <c r="EC105" s="1361"/>
      <c r="ED105" s="1361"/>
      <c r="EE105" s="1361"/>
      <c r="EF105" s="1362"/>
      <c r="EG105" s="1361"/>
      <c r="EH105" s="1361"/>
      <c r="EI105" s="1506">
        <f t="shared" si="713"/>
        <v>770.29160104334812</v>
      </c>
      <c r="EJ105" s="1361"/>
      <c r="EK105" s="1361"/>
      <c r="EL105" s="1361"/>
      <c r="EM105" s="1362"/>
      <c r="EN105" s="1361"/>
      <c r="EO105" s="1361"/>
      <c r="EP105" s="1506">
        <f t="shared" si="713"/>
        <v>770.29160104334812</v>
      </c>
      <c r="EQ105" s="43"/>
      <c r="ER105" s="46"/>
    </row>
    <row r="106" spans="1:148" ht="10.199999999999999" hidden="1" customHeight="1" outlineLevel="1">
      <c r="A106" s="43" t="s">
        <v>214</v>
      </c>
      <c r="B106" s="108"/>
      <c r="C106" s="203">
        <f t="shared" ref="C106:AV106" si="715">+C24</f>
        <v>-243</v>
      </c>
      <c r="D106" s="203">
        <f t="shared" si="715"/>
        <v>-229</v>
      </c>
      <c r="E106" s="203">
        <f t="shared" si="715"/>
        <v>-217</v>
      </c>
      <c r="F106" s="203">
        <f t="shared" si="715"/>
        <v>-140</v>
      </c>
      <c r="G106" s="203">
        <f t="shared" si="715"/>
        <v>-57</v>
      </c>
      <c r="H106" s="203">
        <f t="shared" si="715"/>
        <v>-73</v>
      </c>
      <c r="I106" s="203">
        <f t="shared" si="715"/>
        <v>-58</v>
      </c>
      <c r="J106" s="203">
        <f t="shared" si="715"/>
        <v>-58</v>
      </c>
      <c r="K106" s="203">
        <f t="shared" si="715"/>
        <v>-44</v>
      </c>
      <c r="L106" s="203">
        <f t="shared" si="715"/>
        <v>-41</v>
      </c>
      <c r="M106" s="203">
        <f t="shared" si="715"/>
        <v>-38</v>
      </c>
      <c r="N106" s="203"/>
      <c r="O106" s="203"/>
      <c r="P106" s="203"/>
      <c r="Q106" s="1448"/>
      <c r="R106" s="203"/>
      <c r="S106" s="203"/>
      <c r="T106" s="1461">
        <f t="shared" si="715"/>
        <v>-39</v>
      </c>
      <c r="U106" s="203"/>
      <c r="V106" s="203"/>
      <c r="W106" s="203"/>
      <c r="X106" s="1448"/>
      <c r="Y106" s="203"/>
      <c r="Z106" s="203"/>
      <c r="AA106" s="1461">
        <f t="shared" si="715"/>
        <v>-43</v>
      </c>
      <c r="AB106" s="203"/>
      <c r="AC106" s="203"/>
      <c r="AD106" s="203"/>
      <c r="AE106" s="1448"/>
      <c r="AF106" s="203"/>
      <c r="AG106" s="203"/>
      <c r="AH106" s="1461">
        <f t="shared" si="715"/>
        <v>-24</v>
      </c>
      <c r="AI106" s="203"/>
      <c r="AJ106" s="203"/>
      <c r="AK106" s="203"/>
      <c r="AL106" s="1448"/>
      <c r="AM106" s="203"/>
      <c r="AN106" s="203"/>
      <c r="AO106" s="1461">
        <f t="shared" si="715"/>
        <v>0</v>
      </c>
      <c r="AP106" s="203"/>
      <c r="AQ106" s="203"/>
      <c r="AR106" s="203"/>
      <c r="AS106" s="1448"/>
      <c r="AT106" s="203"/>
      <c r="AU106" s="203"/>
      <c r="AV106" s="1461">
        <f t="shared" si="715"/>
        <v>0</v>
      </c>
      <c r="AW106" s="203"/>
      <c r="AX106" s="203"/>
      <c r="AY106" s="203"/>
      <c r="AZ106" s="1448"/>
      <c r="BA106" s="203"/>
      <c r="BB106" s="203"/>
      <c r="BC106" s="1461"/>
      <c r="BD106" s="203"/>
      <c r="BE106" s="203"/>
      <c r="BF106" s="203"/>
      <c r="BG106" s="1448"/>
      <c r="BH106" s="203"/>
      <c r="BI106" s="203"/>
      <c r="BJ106" s="1461">
        <f t="shared" ref="BJ106:EP106" si="716">+BJ24</f>
        <v>0</v>
      </c>
      <c r="BK106" s="203"/>
      <c r="BL106" s="203"/>
      <c r="BM106" s="203"/>
      <c r="BN106" s="1448"/>
      <c r="BO106" s="203"/>
      <c r="BP106" s="203"/>
      <c r="BQ106" s="1461">
        <f t="shared" si="716"/>
        <v>0</v>
      </c>
      <c r="BR106" s="203"/>
      <c r="BS106" s="203"/>
      <c r="BT106" s="203"/>
      <c r="BU106" s="1448"/>
      <c r="BV106" s="203"/>
      <c r="BW106" s="203"/>
      <c r="BX106" s="1461">
        <f t="shared" si="716"/>
        <v>0</v>
      </c>
      <c r="BY106" s="203"/>
      <c r="BZ106" s="203"/>
      <c r="CA106" s="203"/>
      <c r="CB106" s="1448"/>
      <c r="CC106" s="203"/>
      <c r="CD106" s="203"/>
      <c r="CE106" s="1461">
        <f t="shared" si="716"/>
        <v>0</v>
      </c>
      <c r="CF106" s="203"/>
      <c r="CG106" s="203"/>
      <c r="CH106" s="203"/>
      <c r="CI106" s="1448"/>
      <c r="CJ106" s="203"/>
      <c r="CK106" s="203"/>
      <c r="CL106" s="1461">
        <f t="shared" si="716"/>
        <v>0</v>
      </c>
      <c r="CM106" s="203"/>
      <c r="CN106" s="203"/>
      <c r="CO106" s="203"/>
      <c r="CP106" s="1448"/>
      <c r="CQ106" s="203"/>
      <c r="CR106" s="203"/>
      <c r="CS106" s="1461">
        <f t="shared" si="716"/>
        <v>0</v>
      </c>
      <c r="CT106" s="203"/>
      <c r="CU106" s="203"/>
      <c r="CV106" s="203"/>
      <c r="CW106" s="1448"/>
      <c r="CX106" s="203"/>
      <c r="CY106" s="203"/>
      <c r="CZ106" s="1461">
        <f t="shared" ref="CZ106" si="717">+CZ24</f>
        <v>0</v>
      </c>
      <c r="DA106" s="860"/>
      <c r="DB106" s="860"/>
      <c r="DC106" s="860"/>
      <c r="DD106" s="1109"/>
      <c r="DE106" s="860"/>
      <c r="DF106" s="860"/>
      <c r="DG106" s="1119">
        <f t="shared" si="716"/>
        <v>0</v>
      </c>
      <c r="DH106" s="860"/>
      <c r="DI106" s="860"/>
      <c r="DJ106" s="860"/>
      <c r="DK106" s="1109"/>
      <c r="DL106" s="860"/>
      <c r="DM106" s="860"/>
      <c r="DN106" s="1119">
        <f t="shared" si="716"/>
        <v>0</v>
      </c>
      <c r="DO106" s="860"/>
      <c r="DP106" s="860"/>
      <c r="DQ106" s="860"/>
      <c r="DR106" s="1109"/>
      <c r="DS106" s="860"/>
      <c r="DT106" s="860"/>
      <c r="DU106" s="1119">
        <f t="shared" si="716"/>
        <v>0</v>
      </c>
      <c r="DV106" s="860"/>
      <c r="DW106" s="860"/>
      <c r="DX106" s="860"/>
      <c r="DY106" s="1109"/>
      <c r="DZ106" s="860"/>
      <c r="EA106" s="860"/>
      <c r="EB106" s="1119">
        <f t="shared" si="716"/>
        <v>0</v>
      </c>
      <c r="EC106" s="860"/>
      <c r="ED106" s="860"/>
      <c r="EE106" s="860"/>
      <c r="EF106" s="1109"/>
      <c r="EG106" s="860"/>
      <c r="EH106" s="860"/>
      <c r="EI106" s="1119">
        <f t="shared" si="716"/>
        <v>0</v>
      </c>
      <c r="EJ106" s="860"/>
      <c r="EK106" s="860"/>
      <c r="EL106" s="860"/>
      <c r="EM106" s="1109"/>
      <c r="EN106" s="860"/>
      <c r="EO106" s="860"/>
      <c r="EP106" s="1119">
        <f t="shared" si="716"/>
        <v>0</v>
      </c>
      <c r="EQ106" s="43"/>
      <c r="ER106" s="46"/>
    </row>
    <row r="107" spans="1:148" ht="10.199999999999999" hidden="1" customHeight="1" outlineLevel="1">
      <c r="A107" s="43"/>
      <c r="B107" s="108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3"/>
      <c r="BJ107" s="203"/>
      <c r="BK107" s="203"/>
      <c r="BL107" s="203"/>
      <c r="BM107" s="203"/>
      <c r="BN107" s="203"/>
      <c r="BO107" s="203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  <c r="CC107" s="203"/>
      <c r="CD107" s="203"/>
      <c r="CE107" s="203"/>
      <c r="CF107" s="203"/>
      <c r="CG107" s="203"/>
      <c r="CH107" s="203"/>
      <c r="CI107" s="203"/>
      <c r="CJ107" s="203"/>
      <c r="CK107" s="203"/>
      <c r="CL107" s="203"/>
      <c r="CM107" s="203"/>
      <c r="CN107" s="203"/>
      <c r="CO107" s="203"/>
      <c r="CP107" s="203"/>
      <c r="CQ107" s="203"/>
      <c r="CR107" s="203"/>
      <c r="CS107" s="203"/>
      <c r="CT107" s="203"/>
      <c r="CU107" s="203"/>
      <c r="CV107" s="203"/>
      <c r="CW107" s="203"/>
      <c r="CX107" s="203"/>
      <c r="CY107" s="203"/>
      <c r="CZ107" s="203"/>
      <c r="DA107" s="203"/>
      <c r="DB107" s="12"/>
      <c r="DC107" s="12"/>
      <c r="DD107" s="12"/>
      <c r="DE107" s="12"/>
      <c r="DF107" s="12"/>
      <c r="DG107" s="12"/>
      <c r="DH107" s="203"/>
      <c r="DI107" s="12"/>
      <c r="DJ107" s="12"/>
      <c r="DK107" s="12"/>
      <c r="DL107" s="12"/>
      <c r="DM107" s="12"/>
      <c r="DN107" s="12"/>
      <c r="DO107" s="203"/>
      <c r="DP107" s="12"/>
      <c r="DQ107" s="12"/>
      <c r="DR107" s="12"/>
      <c r="DS107" s="12"/>
      <c r="DT107" s="12"/>
      <c r="DU107" s="12"/>
      <c r="DV107" s="203"/>
      <c r="DW107" s="12"/>
      <c r="DX107" s="12"/>
      <c r="DY107" s="12"/>
      <c r="DZ107" s="12"/>
      <c r="EA107" s="12"/>
      <c r="EB107" s="12"/>
      <c r="EC107" s="203"/>
      <c r="ED107" s="12"/>
      <c r="EE107" s="12"/>
      <c r="EF107" s="12"/>
      <c r="EG107" s="12"/>
      <c r="EH107" s="12"/>
      <c r="EI107" s="12"/>
      <c r="EJ107" s="203"/>
      <c r="EK107" s="12"/>
      <c r="EL107" s="12"/>
      <c r="EM107" s="12"/>
      <c r="EN107" s="12"/>
      <c r="EO107" s="12"/>
      <c r="EP107" s="12"/>
      <c r="EQ107" s="43"/>
      <c r="ER107" s="46"/>
    </row>
    <row r="108" spans="1:148" ht="10.199999999999999" hidden="1" customHeight="1" outlineLevel="1">
      <c r="A108" s="116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8"/>
      <c r="CV108" s="108"/>
      <c r="CW108" s="108"/>
      <c r="CX108" s="108"/>
      <c r="CY108" s="203"/>
      <c r="CZ108" s="203"/>
      <c r="DA108" s="203"/>
      <c r="DB108" s="3"/>
      <c r="DC108" s="3"/>
      <c r="DD108" s="3"/>
      <c r="DE108" s="3"/>
      <c r="DF108" s="3"/>
      <c r="DG108" s="3"/>
      <c r="DH108" s="203"/>
      <c r="DI108" s="3"/>
      <c r="DJ108" s="3"/>
      <c r="DK108" s="3"/>
      <c r="DL108" s="3"/>
      <c r="DM108" s="3"/>
      <c r="DN108" s="3"/>
      <c r="DO108" s="203"/>
      <c r="DP108" s="3"/>
      <c r="DQ108" s="3"/>
      <c r="DR108" s="3"/>
      <c r="DS108" s="3"/>
      <c r="DT108" s="3"/>
      <c r="DU108" s="3"/>
      <c r="DV108" s="203"/>
      <c r="DW108" s="3"/>
      <c r="DX108" s="3"/>
      <c r="DY108" s="3"/>
      <c r="DZ108" s="3"/>
      <c r="EA108" s="3"/>
      <c r="EB108" s="3"/>
      <c r="EC108" s="203"/>
      <c r="ED108" s="3"/>
      <c r="EE108" s="3"/>
      <c r="EF108" s="3"/>
      <c r="EG108" s="3"/>
      <c r="EH108" s="3"/>
      <c r="EI108" s="3"/>
      <c r="EJ108" s="203"/>
      <c r="EK108" s="3"/>
      <c r="EL108" s="3"/>
      <c r="EM108" s="3"/>
      <c r="EN108" s="3"/>
      <c r="EO108" s="3"/>
      <c r="EP108" s="3"/>
      <c r="EQ108" s="43"/>
      <c r="ER108" s="46"/>
    </row>
    <row r="109" spans="1:148" ht="10.199999999999999" hidden="1" customHeight="1" outlineLevel="1">
      <c r="A109" s="43"/>
      <c r="B109" s="108"/>
      <c r="C109" s="162"/>
      <c r="D109" s="162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62"/>
      <c r="CU109" s="162"/>
      <c r="CV109" s="162"/>
      <c r="CW109" s="162"/>
      <c r="CX109" s="162"/>
      <c r="CY109" s="203"/>
      <c r="CZ109" s="203"/>
      <c r="DA109" s="203"/>
      <c r="DB109" s="8"/>
      <c r="DC109" s="8"/>
      <c r="DD109" s="8"/>
      <c r="DE109" s="8"/>
      <c r="DF109" s="8"/>
      <c r="DG109" s="8"/>
      <c r="DH109" s="203"/>
      <c r="DI109" s="8"/>
      <c r="DJ109" s="8"/>
      <c r="DK109" s="8"/>
      <c r="DL109" s="8"/>
      <c r="DM109" s="8"/>
      <c r="DN109" s="8"/>
      <c r="DO109" s="203"/>
      <c r="DP109" s="8"/>
      <c r="DQ109" s="8"/>
      <c r="DR109" s="8"/>
      <c r="DS109" s="8"/>
      <c r="DT109" s="8"/>
      <c r="DU109" s="8"/>
      <c r="DV109" s="203"/>
      <c r="DW109" s="8"/>
      <c r="DX109" s="8"/>
      <c r="DY109" s="8"/>
      <c r="DZ109" s="8"/>
      <c r="EA109" s="8"/>
      <c r="EB109" s="8"/>
      <c r="EC109" s="203"/>
      <c r="ED109" s="8"/>
      <c r="EE109" s="8"/>
      <c r="EF109" s="8"/>
      <c r="EG109" s="8"/>
      <c r="EH109" s="8"/>
      <c r="EI109" s="8"/>
      <c r="EJ109" s="203"/>
      <c r="EK109" s="8"/>
      <c r="EL109" s="8"/>
      <c r="EM109" s="8"/>
      <c r="EN109" s="8"/>
      <c r="EO109" s="8"/>
      <c r="EP109" s="8"/>
      <c r="EQ109" s="43"/>
      <c r="ER109" s="46"/>
    </row>
    <row r="110" spans="1:148" ht="10.199999999999999" hidden="1" customHeight="1" outlineLevel="1"/>
    <row r="111" spans="1:148" ht="13.2" hidden="1" outlineLevel="1">
      <c r="A111" s="48" t="s">
        <v>937</v>
      </c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  <c r="AA111" s="299"/>
      <c r="AB111" s="299"/>
      <c r="AC111" s="299"/>
      <c r="AD111" s="299"/>
      <c r="AE111" s="299"/>
      <c r="AF111" s="299"/>
      <c r="AG111" s="299"/>
      <c r="AH111" s="299"/>
      <c r="AI111" s="299"/>
      <c r="AJ111" s="299"/>
      <c r="AK111" s="299"/>
      <c r="AL111" s="299"/>
      <c r="AM111" s="299"/>
      <c r="AN111" s="299"/>
      <c r="AO111" s="299"/>
      <c r="AP111" s="299"/>
      <c r="AQ111" s="299"/>
      <c r="AR111" s="299"/>
      <c r="AS111" s="299"/>
      <c r="AT111" s="299"/>
      <c r="AU111" s="299"/>
      <c r="AV111" s="299"/>
      <c r="AW111" s="299"/>
      <c r="AX111" s="299"/>
      <c r="AY111" s="299"/>
      <c r="AZ111" s="299"/>
      <c r="BA111" s="299"/>
      <c r="BB111" s="299"/>
      <c r="BC111" s="299"/>
      <c r="BD111" s="299"/>
      <c r="BE111" s="299"/>
      <c r="BF111" s="299"/>
      <c r="BG111" s="299"/>
      <c r="BH111" s="299"/>
      <c r="BI111" s="299"/>
      <c r="BJ111" s="299"/>
      <c r="BK111" s="299"/>
      <c r="BL111" s="299"/>
      <c r="BM111" s="299"/>
      <c r="BN111" s="299"/>
      <c r="BO111" s="299"/>
      <c r="BP111" s="299"/>
      <c r="BQ111" s="299"/>
      <c r="BR111" s="299"/>
      <c r="BS111" s="299"/>
      <c r="BT111" s="299"/>
      <c r="BU111" s="299"/>
      <c r="BV111" s="299"/>
      <c r="BW111" s="299"/>
      <c r="BX111" s="299"/>
      <c r="BY111" s="299"/>
      <c r="BZ111" s="299"/>
      <c r="CA111" s="299"/>
      <c r="CB111" s="299"/>
      <c r="CC111" s="299"/>
      <c r="CD111" s="299"/>
      <c r="CE111" s="299"/>
      <c r="CF111" s="299"/>
      <c r="CG111" s="299"/>
      <c r="CH111" s="299"/>
      <c r="CI111" s="299"/>
      <c r="CJ111" s="299"/>
      <c r="CK111" s="299"/>
      <c r="CL111" s="299"/>
      <c r="CM111" s="299"/>
      <c r="CN111" s="299"/>
      <c r="CO111" s="299"/>
      <c r="CP111" s="299"/>
      <c r="CQ111" s="299"/>
      <c r="CR111" s="299"/>
      <c r="CS111" s="230" t="s">
        <v>947</v>
      </c>
      <c r="CT111" s="230" t="s">
        <v>940</v>
      </c>
      <c r="CU111" s="230" t="s">
        <v>941</v>
      </c>
      <c r="CV111" s="230" t="s">
        <v>942</v>
      </c>
      <c r="CW111" s="230" t="s">
        <v>943</v>
      </c>
      <c r="CX111" s="230" t="s">
        <v>944</v>
      </c>
      <c r="CY111" s="230" t="s">
        <v>945</v>
      </c>
      <c r="CZ111" s="163" t="s">
        <v>946</v>
      </c>
      <c r="DA111" s="230" t="s">
        <v>934</v>
      </c>
      <c r="DB111" s="230" t="s">
        <v>935</v>
      </c>
      <c r="DC111" s="230" t="s">
        <v>936</v>
      </c>
      <c r="DD111" s="230" t="s">
        <v>933</v>
      </c>
      <c r="DE111" s="230" t="s">
        <v>932</v>
      </c>
      <c r="DF111" s="230" t="s">
        <v>938</v>
      </c>
      <c r="DG111" s="163" t="s">
        <v>939</v>
      </c>
      <c r="DH111" s="299"/>
      <c r="DO111" s="299"/>
      <c r="DV111" s="299"/>
      <c r="EC111" s="299"/>
      <c r="EJ111" s="299"/>
      <c r="EQ111" s="47"/>
      <c r="ER111" s="47"/>
    </row>
    <row r="112" spans="1:148" ht="10.199999999999999" customHeight="1" collapsed="1"/>
  </sheetData>
  <phoneticPr fontId="6" type="noConversion"/>
  <pageMargins left="0.75" right="0.75" top="1" bottom="1" header="0.5" footer="0.5"/>
  <pageSetup paperSize="9" fitToHeight="0" orientation="landscape" horizontalDpi="300" verticalDpi="300" r:id="rId1"/>
  <headerFooter alignWithMargins="0"/>
  <ignoredErrors>
    <ignoredError sqref="L6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DA2E-1B24-4B26-B3A8-2CE1CB8E4197}">
  <sheetPr codeName="Sheet22">
    <tabColor theme="4"/>
  </sheetPr>
  <dimension ref="A1:EY93"/>
  <sheetViews>
    <sheetView showGridLines="0" workbookViewId="0">
      <pane xSplit="1" ySplit="2" topLeftCell="BX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2" customHeight="1" outlineLevelRow="1" outlineLevelCol="3"/>
  <cols>
    <col min="1" max="1" width="48.6640625" customWidth="1"/>
    <col min="2" max="13" width="7.5546875" hidden="1" customWidth="1" outlineLevel="1"/>
    <col min="14" max="17" width="7.5546875" hidden="1" customWidth="1" outlineLevel="3"/>
    <col min="18" max="19" width="7.5546875" hidden="1" customWidth="1" outlineLevel="2"/>
    <col min="20" max="20" width="7.5546875" hidden="1" customWidth="1" outlineLevel="1"/>
    <col min="21" max="24" width="7.5546875" hidden="1" customWidth="1" outlineLevel="3"/>
    <col min="25" max="26" width="7.5546875" hidden="1" customWidth="1" outlineLevel="2"/>
    <col min="27" max="27" width="7.5546875" hidden="1" customWidth="1" outlineLevel="1"/>
    <col min="28" max="31" width="7.5546875" hidden="1" customWidth="1" outlineLevel="3"/>
    <col min="32" max="33" width="7.5546875" hidden="1" customWidth="1" outlineLevel="2"/>
    <col min="34" max="34" width="7.5546875" hidden="1" customWidth="1" outlineLevel="1"/>
    <col min="35" max="38" width="7.5546875" hidden="1" customWidth="1" outlineLevel="3"/>
    <col min="39" max="40" width="7.5546875" hidden="1" customWidth="1" outlineLevel="2"/>
    <col min="41" max="41" width="7.5546875" hidden="1" customWidth="1" outlineLevel="1"/>
    <col min="42" max="45" width="7.5546875" hidden="1" customWidth="1" outlineLevel="3"/>
    <col min="46" max="47" width="7.5546875" hidden="1" customWidth="1" outlineLevel="2"/>
    <col min="48" max="48" width="7.5546875" hidden="1" customWidth="1" outlineLevel="1"/>
    <col min="49" max="52" width="7.5546875" hidden="1" customWidth="1" outlineLevel="3"/>
    <col min="53" max="54" width="7.5546875" hidden="1" customWidth="1" outlineLevel="2"/>
    <col min="55" max="55" width="7.5546875" hidden="1" customWidth="1" outlineLevel="1"/>
    <col min="56" max="59" width="7.5546875" hidden="1" customWidth="1" outlineLevel="3"/>
    <col min="60" max="61" width="7.5546875" hidden="1" customWidth="1" outlineLevel="2"/>
    <col min="62" max="62" width="7.5546875" hidden="1" customWidth="1" outlineLevel="1"/>
    <col min="63" max="66" width="7.5546875" hidden="1" customWidth="1" outlineLevel="3"/>
    <col min="67" max="68" width="7.5546875" hidden="1" customWidth="1" outlineLevel="2"/>
    <col min="69" max="69" width="7.5546875" hidden="1" customWidth="1" outlineLevel="1"/>
    <col min="70" max="73" width="7.5546875" hidden="1" customWidth="1" outlineLevel="2"/>
    <col min="74" max="75" width="7.5546875" hidden="1" customWidth="1" outlineLevel="1"/>
    <col min="76" max="76" width="7.5546875" customWidth="1" collapsed="1"/>
    <col min="77" max="80" width="7.5546875" hidden="1" customWidth="1" outlineLevel="2"/>
    <col min="81" max="82" width="7.5546875" hidden="1" customWidth="1" outlineLevel="1"/>
    <col min="83" max="83" width="7.5546875" customWidth="1" collapsed="1"/>
    <col min="84" max="87" width="7.5546875" hidden="1" customWidth="1" outlineLevel="2"/>
    <col min="88" max="89" width="7.5546875" hidden="1" customWidth="1" outlineLevel="1"/>
    <col min="90" max="90" width="7.5546875" customWidth="1" collapsed="1"/>
    <col min="91" max="94" width="7.5546875" hidden="1" customWidth="1" outlineLevel="2"/>
    <col min="95" max="96" width="7.5546875" hidden="1" customWidth="1" outlineLevel="1"/>
    <col min="97" max="97" width="7.5546875" customWidth="1" collapsed="1"/>
    <col min="98" max="101" width="7.5546875" hidden="1" customWidth="1" outlineLevel="2"/>
    <col min="102" max="103" width="7.5546875" hidden="1" customWidth="1" outlineLevel="1"/>
    <col min="104" max="104" width="7.5546875" customWidth="1" collapsed="1"/>
    <col min="105" max="108" width="7.5546875" hidden="1" customWidth="1" outlineLevel="2"/>
    <col min="109" max="110" width="7.5546875" hidden="1" customWidth="1" outlineLevel="1"/>
    <col min="111" max="111" width="7.5546875" customWidth="1" collapsed="1"/>
    <col min="112" max="115" width="7.5546875" hidden="1" customWidth="1" outlineLevel="2"/>
    <col min="116" max="117" width="7.5546875" hidden="1" customWidth="1" outlineLevel="1"/>
    <col min="118" max="118" width="7.5546875" customWidth="1" collapsed="1"/>
    <col min="119" max="122" width="7.5546875" hidden="1" customWidth="1" outlineLevel="2"/>
    <col min="123" max="124" width="7.5546875" hidden="1" customWidth="1" outlineLevel="1"/>
    <col min="125" max="125" width="7.5546875" customWidth="1" collapsed="1"/>
    <col min="126" max="129" width="7.5546875" hidden="1" customWidth="1" outlineLevel="2"/>
    <col min="130" max="131" width="7.5546875" hidden="1" customWidth="1" outlineLevel="1"/>
    <col min="132" max="132" width="7.5546875" customWidth="1" collapsed="1"/>
    <col min="133" max="136" width="7.5546875" hidden="1" customWidth="1" outlineLevel="2"/>
    <col min="137" max="138" width="7.5546875" hidden="1" customWidth="1" outlineLevel="1"/>
    <col min="139" max="139" width="7.5546875" customWidth="1" collapsed="1"/>
    <col min="140" max="143" width="7.5546875" hidden="1" customWidth="1" outlineLevel="2"/>
    <col min="144" max="145" width="7.5546875" hidden="1" customWidth="1" outlineLevel="1"/>
    <col min="146" max="146" width="7.5546875" customWidth="1" collapsed="1"/>
    <col min="149" max="149" width="60" hidden="1" customWidth="1" outlineLevel="1"/>
    <col min="150" max="154" width="9.109375" hidden="1" customWidth="1" outlineLevel="1"/>
    <col min="155" max="155" width="8.88671875" collapsed="1"/>
  </cols>
  <sheetData>
    <row r="1" spans="1:148" ht="10.199999999999999" customHeight="1">
      <c r="A1" s="43" t="s">
        <v>43</v>
      </c>
      <c r="B1" s="108"/>
      <c r="C1" s="108"/>
      <c r="D1" s="820"/>
      <c r="E1" s="820"/>
      <c r="F1" s="224"/>
      <c r="G1" s="224"/>
      <c r="H1" s="191"/>
      <c r="I1" s="244"/>
      <c r="J1" s="244"/>
      <c r="K1" s="191"/>
      <c r="L1" s="191"/>
      <c r="M1" s="191"/>
      <c r="N1" s="191"/>
      <c r="O1" s="191"/>
      <c r="P1" s="191"/>
      <c r="Q1" s="191"/>
      <c r="R1" s="191"/>
      <c r="S1" s="191"/>
      <c r="T1" s="134"/>
      <c r="U1" s="191"/>
      <c r="V1" s="191"/>
      <c r="W1" s="191"/>
      <c r="X1" s="191"/>
      <c r="Y1" s="191"/>
      <c r="Z1" s="191"/>
      <c r="AA1" s="134"/>
      <c r="AB1" s="191"/>
      <c r="AC1" s="191"/>
      <c r="AD1" s="191"/>
      <c r="AE1" s="191"/>
      <c r="AF1" s="191"/>
      <c r="AG1" s="191"/>
      <c r="AH1" s="134"/>
      <c r="AI1" s="191"/>
      <c r="AJ1" s="191"/>
      <c r="AK1" s="191"/>
      <c r="AL1" s="191"/>
      <c r="AM1" s="191"/>
      <c r="AN1" s="191"/>
      <c r="AO1" s="134"/>
      <c r="AP1" s="191"/>
      <c r="AQ1" s="191"/>
      <c r="AR1" s="191"/>
      <c r="AS1" s="191"/>
      <c r="AT1" s="191"/>
      <c r="AU1" s="191"/>
      <c r="AV1" s="134" t="s">
        <v>643</v>
      </c>
      <c r="AW1" s="191"/>
      <c r="AX1" s="191"/>
      <c r="AY1" s="191"/>
      <c r="AZ1" s="191"/>
      <c r="BA1" s="191"/>
      <c r="BB1" s="191"/>
      <c r="BC1" s="134" t="s">
        <v>639</v>
      </c>
      <c r="BD1" s="191"/>
      <c r="BE1" s="191"/>
      <c r="BF1" s="191"/>
      <c r="BG1" s="191"/>
      <c r="BH1" s="191"/>
      <c r="BI1" s="191"/>
      <c r="BJ1" s="134" t="s">
        <v>639</v>
      </c>
      <c r="BK1" s="191"/>
      <c r="BL1" s="191"/>
      <c r="BM1" s="191"/>
      <c r="BN1" s="191"/>
      <c r="BO1" s="191"/>
      <c r="BP1" s="191"/>
      <c r="BQ1" s="134"/>
      <c r="BR1" s="191"/>
      <c r="BS1" s="191"/>
      <c r="BT1" s="191"/>
      <c r="BU1" s="191"/>
      <c r="BV1" s="191"/>
      <c r="BW1" s="191"/>
      <c r="BX1" s="134"/>
      <c r="BY1" s="191"/>
      <c r="BZ1" s="191"/>
      <c r="CA1" s="191"/>
      <c r="CB1" s="191"/>
      <c r="CC1" s="191"/>
      <c r="CD1" s="191"/>
      <c r="CE1" s="134"/>
      <c r="CF1" s="191"/>
      <c r="CG1" s="191"/>
      <c r="CH1" s="191"/>
      <c r="CI1" s="191"/>
      <c r="CJ1" s="191"/>
      <c r="CK1" s="191"/>
      <c r="CL1" s="134"/>
      <c r="CM1" s="191"/>
      <c r="CN1" s="191"/>
      <c r="CO1" s="191"/>
      <c r="CP1" s="191"/>
      <c r="CQ1" s="191"/>
      <c r="CR1" s="191"/>
      <c r="CS1" s="134"/>
      <c r="CT1" s="821"/>
      <c r="CU1" s="821"/>
      <c r="CV1" s="821"/>
      <c r="CW1" s="821"/>
      <c r="CX1" s="821"/>
      <c r="CY1" s="821"/>
      <c r="CZ1" s="290"/>
      <c r="DA1" s="821"/>
      <c r="DB1" s="821"/>
      <c r="DC1" s="290"/>
      <c r="DD1" s="290"/>
      <c r="DE1" s="821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90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43"/>
      <c r="ER1" s="46"/>
    </row>
    <row r="2" spans="1:148" ht="12.9" customHeight="1">
      <c r="A2" s="287" t="s">
        <v>802</v>
      </c>
      <c r="B2" s="287">
        <v>2001</v>
      </c>
      <c r="C2" s="848">
        <f>IS!C2</f>
        <v>2002</v>
      </c>
      <c r="D2" s="848">
        <f>IS!D2</f>
        <v>2003</v>
      </c>
      <c r="E2" s="848">
        <f>IS!E2</f>
        <v>2004</v>
      </c>
      <c r="F2" s="848">
        <f>IS!F2</f>
        <v>2005</v>
      </c>
      <c r="G2" s="848">
        <f>+IS!G2</f>
        <v>2006</v>
      </c>
      <c r="H2" s="848">
        <f>+IS!H2</f>
        <v>2007</v>
      </c>
      <c r="I2" s="848">
        <f>+IS!I2</f>
        <v>2008</v>
      </c>
      <c r="J2" s="848">
        <f>+IS!J2</f>
        <v>2009</v>
      </c>
      <c r="K2" s="848">
        <f>+IS!K2</f>
        <v>2010</v>
      </c>
      <c r="L2" s="848">
        <f>+IS!L2</f>
        <v>2011</v>
      </c>
      <c r="M2" s="848">
        <f>+IS!M2</f>
        <v>2012</v>
      </c>
      <c r="N2" s="1440" t="str">
        <f>IS!N2</f>
        <v>1Q13</v>
      </c>
      <c r="O2" s="1440" t="str">
        <f>IS!O2</f>
        <v>2Q13</v>
      </c>
      <c r="P2" s="1440" t="str">
        <f>IS!P2</f>
        <v>3Q13</v>
      </c>
      <c r="Q2" s="914" t="str">
        <f>IS!Q2</f>
        <v>4Q13</v>
      </c>
      <c r="R2" s="1440" t="str">
        <f>IS!R2</f>
        <v>1H13</v>
      </c>
      <c r="S2" s="1440" t="str">
        <f>IS!S2</f>
        <v>2H13</v>
      </c>
      <c r="T2" s="1267">
        <f>+IS!T2</f>
        <v>2013</v>
      </c>
      <c r="U2" s="1440" t="str">
        <f>IS!U2</f>
        <v>1Q14</v>
      </c>
      <c r="V2" s="1440" t="str">
        <f>IS!V2</f>
        <v>2Q14</v>
      </c>
      <c r="W2" s="1440" t="str">
        <f>IS!W2</f>
        <v>3Q14</v>
      </c>
      <c r="X2" s="914" t="str">
        <f>IS!X2</f>
        <v>4Q14</v>
      </c>
      <c r="Y2" s="1440" t="str">
        <f>IS!Y2</f>
        <v>1H14</v>
      </c>
      <c r="Z2" s="1440" t="str">
        <f>IS!Z2</f>
        <v>2H14</v>
      </c>
      <c r="AA2" s="1267">
        <f>+IS!AA2</f>
        <v>2014</v>
      </c>
      <c r="AB2" s="1440" t="str">
        <f>IS!AB2</f>
        <v>1Q15</v>
      </c>
      <c r="AC2" s="1440" t="str">
        <f>IS!AC2</f>
        <v>2Q15</v>
      </c>
      <c r="AD2" s="1440" t="str">
        <f>IS!AD2</f>
        <v>3Q15</v>
      </c>
      <c r="AE2" s="914" t="str">
        <f>IS!AE2</f>
        <v>4Q15</v>
      </c>
      <c r="AF2" s="1440" t="str">
        <f>IS!AF2</f>
        <v>1H15</v>
      </c>
      <c r="AG2" s="1440" t="str">
        <f>IS!AG2</f>
        <v>2H15</v>
      </c>
      <c r="AH2" s="1267">
        <f>+IS!AH2</f>
        <v>2015</v>
      </c>
      <c r="AI2" s="1440" t="str">
        <f>IS!AI2</f>
        <v>1Q16</v>
      </c>
      <c r="AJ2" s="1440" t="str">
        <f>IS!AJ2</f>
        <v>2Q16</v>
      </c>
      <c r="AK2" s="1440" t="str">
        <f>IS!AK2</f>
        <v>3Q16</v>
      </c>
      <c r="AL2" s="914" t="str">
        <f>IS!AL2</f>
        <v>4Q16</v>
      </c>
      <c r="AM2" s="1440" t="str">
        <f>IS!AM2</f>
        <v>1H16</v>
      </c>
      <c r="AN2" s="1440" t="str">
        <f>IS!AN2</f>
        <v>2H16</v>
      </c>
      <c r="AO2" s="1267">
        <f>+IS!AO2</f>
        <v>2016</v>
      </c>
      <c r="AP2" s="1440" t="str">
        <f>IS!AP2</f>
        <v>1Q17</v>
      </c>
      <c r="AQ2" s="1440" t="str">
        <f>IS!AQ2</f>
        <v>2Q17</v>
      </c>
      <c r="AR2" s="1440" t="str">
        <f>IS!AR2</f>
        <v>3Q17</v>
      </c>
      <c r="AS2" s="914" t="str">
        <f>IS!AS2</f>
        <v>4Q17</v>
      </c>
      <c r="AT2" s="1440" t="str">
        <f>IS!AT2</f>
        <v>1H17</v>
      </c>
      <c r="AU2" s="1440" t="str">
        <f>IS!AU2</f>
        <v>2H17</v>
      </c>
      <c r="AV2" s="1267">
        <f>+IS!AV2</f>
        <v>2017</v>
      </c>
      <c r="AW2" s="1440" t="s">
        <v>923</v>
      </c>
      <c r="AX2" s="1440" t="s">
        <v>924</v>
      </c>
      <c r="AY2" s="1440" t="s">
        <v>925</v>
      </c>
      <c r="AZ2" s="914" t="s">
        <v>926</v>
      </c>
      <c r="BA2" s="1440" t="s">
        <v>927</v>
      </c>
      <c r="BB2" s="1440" t="s">
        <v>928</v>
      </c>
      <c r="BC2" s="1267" t="s">
        <v>655</v>
      </c>
      <c r="BD2" s="1440" t="str">
        <f>IS!BD2</f>
        <v>1Q18</v>
      </c>
      <c r="BE2" s="1440" t="str">
        <f>IS!BE2</f>
        <v>2Q18</v>
      </c>
      <c r="BF2" s="1440" t="str">
        <f>IS!BF2</f>
        <v>3Q18</v>
      </c>
      <c r="BG2" s="914" t="str">
        <f>IS!BG2</f>
        <v>4Q18</v>
      </c>
      <c r="BH2" s="1440" t="str">
        <f>IS!BH2</f>
        <v>1H18</v>
      </c>
      <c r="BI2" s="1440" t="str">
        <f>IS!BI2</f>
        <v>2H18</v>
      </c>
      <c r="BJ2" s="1267">
        <f>+IS!BJ2</f>
        <v>2018</v>
      </c>
      <c r="BK2" s="1440" t="str">
        <f>IS!BK2</f>
        <v>1Q19</v>
      </c>
      <c r="BL2" s="1440" t="str">
        <f>IS!BL2</f>
        <v>2Q19</v>
      </c>
      <c r="BM2" s="1440" t="str">
        <f>IS!BM2</f>
        <v>3Q19</v>
      </c>
      <c r="BN2" s="914" t="str">
        <f>IS!BN2</f>
        <v>4Q19</v>
      </c>
      <c r="BO2" s="1440" t="str">
        <f>IS!BO2</f>
        <v>1H19</v>
      </c>
      <c r="BP2" s="1440" t="str">
        <f>IS!BP2</f>
        <v>2H19</v>
      </c>
      <c r="BQ2" s="1267">
        <f>+IS!BQ2</f>
        <v>2019</v>
      </c>
      <c r="BR2" s="1440" t="str">
        <f>IS!BR2</f>
        <v>1Q20</v>
      </c>
      <c r="BS2" s="1440" t="str">
        <f>IS!BS2</f>
        <v>2Q20</v>
      </c>
      <c r="BT2" s="1440" t="str">
        <f>IS!BT2</f>
        <v>3Q20</v>
      </c>
      <c r="BU2" s="914" t="str">
        <f>IS!BU2</f>
        <v>4Q20</v>
      </c>
      <c r="BV2" s="1440" t="str">
        <f>IS!BV2</f>
        <v>1H20</v>
      </c>
      <c r="BW2" s="1440" t="str">
        <f>IS!BW2</f>
        <v>2H20</v>
      </c>
      <c r="BX2" s="1267">
        <f>+IS!BX2</f>
        <v>2020</v>
      </c>
      <c r="BY2" s="1440" t="str">
        <f>IS!BY2</f>
        <v>1Q21</v>
      </c>
      <c r="BZ2" s="1440" t="str">
        <f>IS!BZ2</f>
        <v>2Q21</v>
      </c>
      <c r="CA2" s="1440" t="str">
        <f>IS!CA2</f>
        <v>3Q21</v>
      </c>
      <c r="CB2" s="914" t="str">
        <f>IS!CB2</f>
        <v>4Q21</v>
      </c>
      <c r="CC2" s="1440" t="str">
        <f>IS!CC2</f>
        <v>1H21</v>
      </c>
      <c r="CD2" s="1440" t="str">
        <f>IS!CD2</f>
        <v>2H21</v>
      </c>
      <c r="CE2" s="1267">
        <f>+IS!CE2</f>
        <v>2021</v>
      </c>
      <c r="CF2" s="1440" t="str">
        <f>IS!CF2</f>
        <v>1Q22</v>
      </c>
      <c r="CG2" s="1440" t="str">
        <f>IS!CG2</f>
        <v>2Q22</v>
      </c>
      <c r="CH2" s="1440" t="str">
        <f>IS!CH2</f>
        <v>3Q22</v>
      </c>
      <c r="CI2" s="914" t="str">
        <f>IS!CI2</f>
        <v>4Q22</v>
      </c>
      <c r="CJ2" s="1440" t="str">
        <f>IS!CJ2</f>
        <v>1H22</v>
      </c>
      <c r="CK2" s="1440" t="str">
        <f>IS!CK2</f>
        <v>2H22</v>
      </c>
      <c r="CL2" s="1267">
        <f>+IS!CL2</f>
        <v>2022</v>
      </c>
      <c r="CM2" s="1440" t="str">
        <f>IS!CM2</f>
        <v>1Q23</v>
      </c>
      <c r="CN2" s="1440" t="str">
        <f>IS!CN2</f>
        <v>2Q23</v>
      </c>
      <c r="CO2" s="1440" t="str">
        <f>IS!CO2</f>
        <v>3Q23</v>
      </c>
      <c r="CP2" s="914" t="str">
        <f>IS!CP2</f>
        <v>4Q23</v>
      </c>
      <c r="CQ2" s="1440" t="str">
        <f>IS!CQ2</f>
        <v>1H23</v>
      </c>
      <c r="CR2" s="1440" t="str">
        <f>IS!CR2</f>
        <v>2H23</v>
      </c>
      <c r="CS2" s="1267">
        <f>+IS!CS2</f>
        <v>2023</v>
      </c>
      <c r="CT2" s="1440" t="str">
        <f>IS!CT2</f>
        <v>1Q24</v>
      </c>
      <c r="CU2" s="1440" t="str">
        <f>IS!CU2</f>
        <v>2Q24</v>
      </c>
      <c r="CV2" s="1440" t="str">
        <f>IS!CV2</f>
        <v>3Q24</v>
      </c>
      <c r="CW2" s="914" t="str">
        <f>IS!CW2</f>
        <v>4Q24</v>
      </c>
      <c r="CX2" s="1440" t="str">
        <f>IS!CX2</f>
        <v>1H24</v>
      </c>
      <c r="CY2" s="1440" t="str">
        <f>IS!CY2</f>
        <v>2H24</v>
      </c>
      <c r="CZ2" s="1267">
        <f>+IS!CZ2</f>
        <v>2024</v>
      </c>
      <c r="DA2" s="1440" t="str">
        <f>IS!DA2</f>
        <v>1Q25</v>
      </c>
      <c r="DB2" s="1440" t="str">
        <f>IS!DB2</f>
        <v>2Q25</v>
      </c>
      <c r="DC2" s="1440" t="str">
        <f>IS!DC2</f>
        <v>3Q25</v>
      </c>
      <c r="DD2" s="914" t="str">
        <f>IS!DD2</f>
        <v>4Q25</v>
      </c>
      <c r="DE2" s="1440" t="str">
        <f>IS!DE2</f>
        <v>1H25</v>
      </c>
      <c r="DF2" s="1440" t="str">
        <f>IS!DF2</f>
        <v>2H25</v>
      </c>
      <c r="DG2" s="1267">
        <f>+IS!DG2</f>
        <v>2025</v>
      </c>
      <c r="DH2" s="1440" t="str">
        <f>IS!DH2</f>
        <v>1Q26</v>
      </c>
      <c r="DI2" s="1440" t="str">
        <f>IS!DI2</f>
        <v>2Q26</v>
      </c>
      <c r="DJ2" s="1475" t="str">
        <f>IS!DJ2</f>
        <v>3Q26</v>
      </c>
      <c r="DK2" s="915" t="str">
        <f>IS!DK2</f>
        <v>4Q26</v>
      </c>
      <c r="DL2" s="1440" t="str">
        <f>IS!DL2</f>
        <v>1H26</v>
      </c>
      <c r="DM2" s="1475" t="str">
        <f>IS!DM2</f>
        <v>2H26</v>
      </c>
      <c r="DN2" s="916" t="str">
        <f>+IS!DN2</f>
        <v>2026e</v>
      </c>
      <c r="DO2" s="1475" t="str">
        <f>IS!DO2</f>
        <v>1Q27</v>
      </c>
      <c r="DP2" s="1475" t="str">
        <f>IS!DP2</f>
        <v>2Q27</v>
      </c>
      <c r="DQ2" s="1475" t="str">
        <f>IS!DQ2</f>
        <v>3Q27</v>
      </c>
      <c r="DR2" s="915" t="str">
        <f>IS!DR2</f>
        <v>4Q27</v>
      </c>
      <c r="DS2" s="1475" t="str">
        <f>IS!DS2</f>
        <v>1H27</v>
      </c>
      <c r="DT2" s="1475" t="str">
        <f>IS!DT2</f>
        <v>2H27</v>
      </c>
      <c r="DU2" s="916" t="str">
        <f>+IS!DU2</f>
        <v>2027e</v>
      </c>
      <c r="DV2" s="1475" t="str">
        <f>IS!DV2</f>
        <v>1Q28</v>
      </c>
      <c r="DW2" s="1475" t="str">
        <f>IS!DW2</f>
        <v>2Q28</v>
      </c>
      <c r="DX2" s="1475" t="str">
        <f>IS!DX2</f>
        <v>3Q28</v>
      </c>
      <c r="DY2" s="915" t="str">
        <f>IS!DY2</f>
        <v>4Q28</v>
      </c>
      <c r="DZ2" s="1475" t="str">
        <f>IS!DZ2</f>
        <v>1H28</v>
      </c>
      <c r="EA2" s="1475" t="str">
        <f>IS!EA2</f>
        <v>2H28</v>
      </c>
      <c r="EB2" s="916" t="str">
        <f>+IS!EB2</f>
        <v>2028e</v>
      </c>
      <c r="EC2" s="1475" t="str">
        <f>IS!EC2</f>
        <v>1Q29</v>
      </c>
      <c r="ED2" s="1475" t="str">
        <f>IS!ED2</f>
        <v>2Q29</v>
      </c>
      <c r="EE2" s="1475" t="str">
        <f>IS!EE2</f>
        <v>3Q29</v>
      </c>
      <c r="EF2" s="915" t="str">
        <f>IS!EF2</f>
        <v>4Q29</v>
      </c>
      <c r="EG2" s="1475" t="str">
        <f>IS!EG2</f>
        <v>1H29</v>
      </c>
      <c r="EH2" s="1475" t="str">
        <f>IS!EH2</f>
        <v>2H29</v>
      </c>
      <c r="EI2" s="916" t="str">
        <f>+IS!EI2</f>
        <v>2029e</v>
      </c>
      <c r="EJ2" s="1475" t="str">
        <f>IS!EJ2</f>
        <v>1Q30</v>
      </c>
      <c r="EK2" s="1475" t="str">
        <f>IS!EK2</f>
        <v>2Q30</v>
      </c>
      <c r="EL2" s="1475" t="str">
        <f>IS!EL2</f>
        <v>3Q30</v>
      </c>
      <c r="EM2" s="915" t="str">
        <f>IS!EM2</f>
        <v>4Q30</v>
      </c>
      <c r="EN2" s="1475" t="str">
        <f>IS!EN2</f>
        <v>1H30</v>
      </c>
      <c r="EO2" s="1475" t="str">
        <f>IS!EO2</f>
        <v>2H30</v>
      </c>
      <c r="EP2" s="916" t="str">
        <f>+IS!EP2</f>
        <v>2030e</v>
      </c>
      <c r="EQ2" s="303"/>
      <c r="ER2" s="46"/>
    </row>
    <row r="3" spans="1:148" ht="10.199999999999999" customHeight="1">
      <c r="A3" s="43" t="s">
        <v>88</v>
      </c>
      <c r="B3" s="108"/>
      <c r="C3" s="203">
        <v>-299</v>
      </c>
      <c r="D3" s="203">
        <v>152</v>
      </c>
      <c r="E3" s="203">
        <v>1203</v>
      </c>
      <c r="F3" s="203">
        <f>+IS!F46</f>
        <v>1676</v>
      </c>
      <c r="G3" s="203">
        <f>+IS!G46</f>
        <v>99</v>
      </c>
      <c r="H3" s="203">
        <f>+IS!H46</f>
        <v>-446</v>
      </c>
      <c r="I3" s="203">
        <f>+IS!I46</f>
        <v>1572</v>
      </c>
      <c r="J3" s="203">
        <f>+IS!J46</f>
        <v>-763</v>
      </c>
      <c r="K3" s="203">
        <f>+IS!K46</f>
        <v>553</v>
      </c>
      <c r="L3" s="203">
        <f>+IS!L46</f>
        <v>1033</v>
      </c>
      <c r="M3" s="203">
        <f>+IS!M46</f>
        <v>1228</v>
      </c>
      <c r="N3" s="203">
        <f>+IS!N46</f>
        <v>227</v>
      </c>
      <c r="O3" s="203">
        <f>+IS!O46</f>
        <v>531</v>
      </c>
      <c r="P3" s="203">
        <f>+IS!P46</f>
        <v>445</v>
      </c>
      <c r="Q3" s="1448">
        <f>+IS!Q46</f>
        <v>270</v>
      </c>
      <c r="R3" s="203">
        <f>+IS!R46</f>
        <v>758</v>
      </c>
      <c r="S3" s="203">
        <f>+IS!S46</f>
        <v>715</v>
      </c>
      <c r="T3" s="1461">
        <f>+IS!T46</f>
        <v>1473</v>
      </c>
      <c r="U3" s="203">
        <f>+IS!U46</f>
        <v>439</v>
      </c>
      <c r="V3" s="203">
        <f>+IS!V46</f>
        <v>696</v>
      </c>
      <c r="W3" s="203">
        <f>+IS!W46</f>
        <v>264</v>
      </c>
      <c r="X3" s="1448">
        <f>+IS!X46</f>
        <v>944</v>
      </c>
      <c r="Y3" s="203">
        <f>+IS!Y46</f>
        <v>1135</v>
      </c>
      <c r="Z3" s="203">
        <f>+IS!Z46</f>
        <v>1208</v>
      </c>
      <c r="AA3" s="1461">
        <f>+IS!AA46</f>
        <v>2343</v>
      </c>
      <c r="AB3" s="203">
        <f>+IS!AB46</f>
        <v>792</v>
      </c>
      <c r="AC3" s="203">
        <f>+IS!AC46</f>
        <v>732</v>
      </c>
      <c r="AD3" s="203">
        <f>+IS!AD46</f>
        <v>376</v>
      </c>
      <c r="AE3" s="1448">
        <f>+IS!AE46</f>
        <v>796</v>
      </c>
      <c r="AF3" s="203">
        <f>+IS!AF46</f>
        <v>1524</v>
      </c>
      <c r="AG3" s="203">
        <f>+IS!AG46</f>
        <v>1172</v>
      </c>
      <c r="AH3" s="1461">
        <f>+IS!AH46</f>
        <v>2696</v>
      </c>
      <c r="AI3" s="203">
        <f>+IS!AI46</f>
        <v>399</v>
      </c>
      <c r="AJ3" s="203">
        <f>+IS!AJ46</f>
        <v>1362</v>
      </c>
      <c r="AK3" s="203">
        <f>+IS!AK46</f>
        <v>50</v>
      </c>
      <c r="AL3" s="1448">
        <f>+IS!AL46</f>
        <v>-816</v>
      </c>
      <c r="AM3" s="203">
        <f>+IS!AM46</f>
        <v>1761</v>
      </c>
      <c r="AN3" s="203">
        <f>+IS!AN46</f>
        <v>-766</v>
      </c>
      <c r="AO3" s="1461">
        <f>+IS!AO46</f>
        <v>995</v>
      </c>
      <c r="AP3" s="203">
        <f>+IS!AP46</f>
        <v>608</v>
      </c>
      <c r="AQ3" s="203">
        <f>+IS!AQ46</f>
        <v>895</v>
      </c>
      <c r="AR3" s="203">
        <f>+IS!AR46</f>
        <v>348</v>
      </c>
      <c r="AS3" s="1448">
        <f>+IS!AS46</f>
        <v>1022</v>
      </c>
      <c r="AT3" s="203">
        <f>+IS!AT46</f>
        <v>1503</v>
      </c>
      <c r="AU3" s="203">
        <f>+IS!AU46</f>
        <v>1370</v>
      </c>
      <c r="AV3" s="1461">
        <f>+IS!AV46</f>
        <v>2873</v>
      </c>
      <c r="AW3" s="203">
        <f>+IS!AW46</f>
        <v>409</v>
      </c>
      <c r="AX3" s="203">
        <f>+IS!AX46</f>
        <v>682</v>
      </c>
      <c r="AY3" s="203">
        <f>+IS!AY46</f>
        <v>307</v>
      </c>
      <c r="AZ3" s="1448">
        <f>+IS!AZ46</f>
        <v>963</v>
      </c>
      <c r="BA3" s="203">
        <f>+IS!BA46</f>
        <v>1091</v>
      </c>
      <c r="BB3" s="203">
        <f>+IS!BB46</f>
        <v>1270</v>
      </c>
      <c r="BC3" s="1461">
        <f>+IS!BC46</f>
        <v>2361</v>
      </c>
      <c r="BD3" s="203">
        <f>+IS!BD46</f>
        <v>283</v>
      </c>
      <c r="BE3" s="203">
        <f>+IS!BE46</f>
        <v>213</v>
      </c>
      <c r="BF3" s="203">
        <f>+IS!BF46</f>
        <v>957</v>
      </c>
      <c r="BG3" s="1448">
        <f>+IS!BG46</f>
        <v>1601</v>
      </c>
      <c r="BH3" s="203">
        <f>+IS!BH46</f>
        <v>496</v>
      </c>
      <c r="BI3" s="203">
        <f>+IS!BI46</f>
        <v>2558</v>
      </c>
      <c r="BJ3" s="1461">
        <f>+IS!BJ46</f>
        <v>3054</v>
      </c>
      <c r="BK3" s="203">
        <f>+IS!BK46</f>
        <v>40</v>
      </c>
      <c r="BL3" s="203">
        <f>+IS!BL46</f>
        <v>1157</v>
      </c>
      <c r="BM3" s="203">
        <f>+IS!BM46</f>
        <v>989</v>
      </c>
      <c r="BN3" s="1448">
        <f>+IS!BN46</f>
        <v>-3548</v>
      </c>
      <c r="BO3" s="203">
        <f>+IS!BO46</f>
        <v>1197</v>
      </c>
      <c r="BP3" s="203">
        <f>+IS!BP46</f>
        <v>-2559</v>
      </c>
      <c r="BQ3" s="1461">
        <f>+IS!BQ46</f>
        <v>-1362</v>
      </c>
      <c r="BR3" s="203">
        <f>+IS!BR46</f>
        <v>-481</v>
      </c>
      <c r="BS3" s="203">
        <f>+IS!BS46</f>
        <v>-1438</v>
      </c>
      <c r="BT3" s="203">
        <f>+IS!BT46</f>
        <v>-767</v>
      </c>
      <c r="BU3" s="1448">
        <f>+IS!BU46</f>
        <v>1553</v>
      </c>
      <c r="BV3" s="203">
        <f>+IS!BV46</f>
        <v>-1919</v>
      </c>
      <c r="BW3" s="203">
        <f>+IS!BW46</f>
        <v>786</v>
      </c>
      <c r="BX3" s="1461">
        <f>+IS!BX46</f>
        <v>-1133</v>
      </c>
      <c r="BY3" s="203">
        <f>+IS!BY46</f>
        <v>362</v>
      </c>
      <c r="BZ3" s="203">
        <f>+IS!BZ46</f>
        <v>1869</v>
      </c>
      <c r="CA3" s="203">
        <f>+IS!CA46</f>
        <v>404</v>
      </c>
      <c r="CB3" s="1448">
        <f>+IS!CB46</f>
        <v>1578</v>
      </c>
      <c r="CC3" s="203">
        <f>+IS!CC46</f>
        <v>2231</v>
      </c>
      <c r="CD3" s="203">
        <f>+IS!CD46</f>
        <v>1982</v>
      </c>
      <c r="CE3" s="1461">
        <f>+IS!CE46</f>
        <v>4213</v>
      </c>
      <c r="CF3" s="203">
        <f>+IS!CF46</f>
        <v>1219</v>
      </c>
      <c r="CG3" s="203">
        <f>+IS!CG46</f>
        <v>682</v>
      </c>
      <c r="CH3" s="203">
        <f>+IS!CH46</f>
        <v>667</v>
      </c>
      <c r="CI3" s="1448">
        <f>+IS!CI46</f>
        <v>1679</v>
      </c>
      <c r="CJ3" s="203">
        <f>+IS!CJ46</f>
        <v>1901</v>
      </c>
      <c r="CK3" s="203">
        <f>+IS!CK46</f>
        <v>2346</v>
      </c>
      <c r="CL3" s="1461">
        <f>+IS!CL46</f>
        <v>4247</v>
      </c>
      <c r="CM3" s="203">
        <f>+IS!CM46</f>
        <v>466</v>
      </c>
      <c r="CN3" s="203">
        <f>+IS!CN46</f>
        <v>1060</v>
      </c>
      <c r="CO3" s="203">
        <f>+IS!CO46</f>
        <v>806</v>
      </c>
      <c r="CP3" s="1448">
        <f>+IS!CP46</f>
        <v>1457</v>
      </c>
      <c r="CQ3" s="203">
        <f>+IS!CQ46</f>
        <v>1526</v>
      </c>
      <c r="CR3" s="203">
        <f>+IS!CR46</f>
        <v>2263</v>
      </c>
      <c r="CS3" s="1461">
        <f>+IS!CS46</f>
        <v>3789</v>
      </c>
      <c r="CT3" s="203">
        <f>+IS!CT46</f>
        <v>595</v>
      </c>
      <c r="CU3" s="203">
        <f>+IS!CU46</f>
        <v>230</v>
      </c>
      <c r="CV3" s="203">
        <f>+IS!CV46</f>
        <v>983</v>
      </c>
      <c r="CW3" s="1448">
        <f>+IS!CW46</f>
        <v>2424</v>
      </c>
      <c r="CX3" s="203">
        <f>+IS!CX46</f>
        <v>825</v>
      </c>
      <c r="CY3" s="203">
        <f>+IS!CY46</f>
        <v>3407</v>
      </c>
      <c r="CZ3" s="1461">
        <f>+IS!CZ46</f>
        <v>4232</v>
      </c>
      <c r="DA3" s="203">
        <f>+IS!DA46</f>
        <v>793</v>
      </c>
      <c r="DB3" s="203">
        <f>+IS!DB46</f>
        <v>732</v>
      </c>
      <c r="DC3" s="203">
        <f>+IS!DC46</f>
        <v>1116</v>
      </c>
      <c r="DD3" s="1448">
        <f>+IS!DD46</f>
        <v>2580</v>
      </c>
      <c r="DE3" s="203">
        <f>+IS!DE46</f>
        <v>1525</v>
      </c>
      <c r="DF3" s="203">
        <f>+IS!DF46</f>
        <v>3696</v>
      </c>
      <c r="DG3" s="1269">
        <f>+IS!DG46</f>
        <v>5221</v>
      </c>
      <c r="DH3" s="203">
        <f>+IS!DH46</f>
        <v>586</v>
      </c>
      <c r="DI3" s="2013">
        <f>+IS!DI46</f>
        <v>1657</v>
      </c>
      <c r="DJ3" s="860">
        <f>+IS!DJ46</f>
        <v>1541.8519230070176</v>
      </c>
      <c r="DK3" s="1109">
        <f>+IS!DK46</f>
        <v>2275.850472749783</v>
      </c>
      <c r="DL3" s="1892">
        <f>+IS!DL46</f>
        <v>2243</v>
      </c>
      <c r="DM3" s="860">
        <f>+IS!DM46</f>
        <v>3817.7023957568008</v>
      </c>
      <c r="DN3" s="1119">
        <f>+IS!DN46</f>
        <v>6060.7023957568008</v>
      </c>
      <c r="DO3" s="860">
        <f>+IS!DO46</f>
        <v>1623.9620378305744</v>
      </c>
      <c r="DP3" s="1422">
        <f>+IS!DP46</f>
        <v>1823.0111632856515</v>
      </c>
      <c r="DQ3" s="860">
        <f>+IS!DQ46</f>
        <v>1805.8662082716694</v>
      </c>
      <c r="DR3" s="1109">
        <f>+IS!DR46</f>
        <v>2020.5427847652929</v>
      </c>
      <c r="DS3" s="860">
        <f>+IS!DS46</f>
        <v>3446.9732011162268</v>
      </c>
      <c r="DT3" s="860">
        <f>+IS!DT46</f>
        <v>3826.4089930369623</v>
      </c>
      <c r="DU3" s="1119">
        <f>+IS!DU46</f>
        <v>7273.3821941531878</v>
      </c>
      <c r="DV3" s="860">
        <f>+IS!DV46</f>
        <v>2034.3130436506262</v>
      </c>
      <c r="DW3" s="1422">
        <f>+IS!DW46</f>
        <v>2245.7502721643232</v>
      </c>
      <c r="DX3" s="860">
        <f>+IS!DX46</f>
        <v>2232.0540562511269</v>
      </c>
      <c r="DY3" s="1109">
        <f>+IS!DY46</f>
        <v>2526.5642935425626</v>
      </c>
      <c r="DZ3" s="860">
        <f>+IS!DZ46</f>
        <v>4280.0633158149494</v>
      </c>
      <c r="EA3" s="860">
        <f>+IS!EA46</f>
        <v>4758.618349793689</v>
      </c>
      <c r="EB3" s="1119">
        <f>+IS!EB46</f>
        <v>9038.6816656086412</v>
      </c>
      <c r="EC3" s="860">
        <f>+IS!EC46</f>
        <v>2321.5223168024772</v>
      </c>
      <c r="ED3" s="1422">
        <f>+IS!ED46</f>
        <v>2416.6839878017236</v>
      </c>
      <c r="EE3" s="860">
        <f>+IS!EE46</f>
        <v>2402.327080349708</v>
      </c>
      <c r="EF3" s="1109">
        <f>+IS!EF46</f>
        <v>2723.0901213015104</v>
      </c>
      <c r="EG3" s="860">
        <f>+IS!EG46</f>
        <v>4738.2063046042013</v>
      </c>
      <c r="EH3" s="860">
        <f>+IS!EH46</f>
        <v>5125.4172016512193</v>
      </c>
      <c r="EI3" s="1119">
        <f>+IS!EI46</f>
        <v>9863.6235062554188</v>
      </c>
      <c r="EJ3" s="860">
        <f>+IS!EJ46</f>
        <v>2477.5224141397111</v>
      </c>
      <c r="EK3" s="1422">
        <f>+IS!EK46</f>
        <v>2578.1401523498985</v>
      </c>
      <c r="EL3" s="860">
        <f>+IS!EL46</f>
        <v>2571.6848954027728</v>
      </c>
      <c r="EM3" s="1109">
        <f>+IS!EM46</f>
        <v>2890.0853688918451</v>
      </c>
      <c r="EN3" s="860">
        <f>+IS!EN46</f>
        <v>5055.6625664896092</v>
      </c>
      <c r="EO3" s="860">
        <f>+IS!EO46</f>
        <v>5461.7702642946178</v>
      </c>
      <c r="EP3" s="1119">
        <f>+IS!EP46</f>
        <v>10517.432830784228</v>
      </c>
      <c r="EQ3" s="1249"/>
      <c r="ER3" s="46"/>
    </row>
    <row r="4" spans="1:148" ht="10.199999999999999" customHeight="1">
      <c r="A4" s="43" t="s">
        <v>213</v>
      </c>
      <c r="B4" s="108"/>
      <c r="C4" s="203">
        <f>-IS!C44</f>
        <v>33</v>
      </c>
      <c r="D4" s="203">
        <f>-IS!D44</f>
        <v>66</v>
      </c>
      <c r="E4" s="203">
        <f>-IS!E44</f>
        <v>18</v>
      </c>
      <c r="F4" s="203">
        <f>-IS!F44</f>
        <v>34</v>
      </c>
      <c r="G4" s="203">
        <f>-IS!G44</f>
        <v>16</v>
      </c>
      <c r="H4" s="203">
        <f>-IS!H44</f>
        <v>9</v>
      </c>
      <c r="I4" s="203">
        <f>-IS!I44</f>
        <v>25</v>
      </c>
      <c r="J4" s="203">
        <f>-IS!J44</f>
        <v>11</v>
      </c>
      <c r="K4" s="203">
        <f>-IS!K44</f>
        <v>19</v>
      </c>
      <c r="L4" s="203">
        <f>-IS!L44</f>
        <v>4</v>
      </c>
      <c r="M4" s="203">
        <f>-IS!M44</f>
        <v>1</v>
      </c>
      <c r="N4" s="203">
        <f>-IS!N44</f>
        <v>2</v>
      </c>
      <c r="O4" s="203">
        <f>-IS!O44</f>
        <v>-1</v>
      </c>
      <c r="P4" s="203">
        <f>-IS!P44</f>
        <v>1</v>
      </c>
      <c r="Q4" s="1448">
        <f>-IS!Q44</f>
        <v>8</v>
      </c>
      <c r="R4" s="203">
        <f>-IS!R44</f>
        <v>1</v>
      </c>
      <c r="S4" s="203">
        <f>-IS!S44</f>
        <v>9</v>
      </c>
      <c r="T4" s="1461">
        <f>-IS!T44</f>
        <v>10</v>
      </c>
      <c r="U4" s="203">
        <f>-IS!U44</f>
        <v>-3</v>
      </c>
      <c r="V4" s="203">
        <f>-IS!V44</f>
        <v>9</v>
      </c>
      <c r="W4" s="203">
        <f>-IS!W44</f>
        <v>3</v>
      </c>
      <c r="X4" s="1448">
        <f>-IS!X44</f>
        <v>-2</v>
      </c>
      <c r="Y4" s="203">
        <f>-IS!Y44</f>
        <v>6</v>
      </c>
      <c r="Z4" s="203">
        <f>-IS!Z44</f>
        <v>1</v>
      </c>
      <c r="AA4" s="1461">
        <f>-IS!AA44</f>
        <v>7</v>
      </c>
      <c r="AB4" s="203">
        <f>-IS!AB44</f>
        <v>3</v>
      </c>
      <c r="AC4" s="203">
        <f>-IS!AC44</f>
        <v>4</v>
      </c>
      <c r="AD4" s="203">
        <f>-IS!AD44</f>
        <v>-5</v>
      </c>
      <c r="AE4" s="1448">
        <f>-IS!AE44</f>
        <v>0</v>
      </c>
      <c r="AF4" s="203">
        <f>-IS!AF44</f>
        <v>7</v>
      </c>
      <c r="AG4" s="203">
        <f>-IS!AG44</f>
        <v>-5</v>
      </c>
      <c r="AH4" s="1461">
        <f>-IS!AH44</f>
        <v>2</v>
      </c>
      <c r="AI4" s="203">
        <f>-IS!AI44</f>
        <v>-1</v>
      </c>
      <c r="AJ4" s="203">
        <f>-IS!AJ44</f>
        <v>1</v>
      </c>
      <c r="AK4" s="203">
        <f>-IS!AK44</f>
        <v>-1</v>
      </c>
      <c r="AL4" s="1448">
        <f>-IS!AL44</f>
        <v>6</v>
      </c>
      <c r="AM4" s="203">
        <f>-IS!AM44</f>
        <v>0</v>
      </c>
      <c r="AN4" s="203">
        <f>-IS!AN44</f>
        <v>5</v>
      </c>
      <c r="AO4" s="1461">
        <f>-IS!AO44</f>
        <v>5</v>
      </c>
      <c r="AP4" s="203">
        <f>-IS!AP44</f>
        <v>1</v>
      </c>
      <c r="AQ4" s="203">
        <f>-IS!AQ44</f>
        <v>-1</v>
      </c>
      <c r="AR4" s="203">
        <f>-IS!AR44</f>
        <v>0</v>
      </c>
      <c r="AS4" s="1448">
        <f>-IS!AS44</f>
        <v>4</v>
      </c>
      <c r="AT4" s="203">
        <f>-IS!AT44</f>
        <v>0</v>
      </c>
      <c r="AU4" s="203">
        <f>-IS!AU44</f>
        <v>4</v>
      </c>
      <c r="AV4" s="1461">
        <f>-IS!AV44</f>
        <v>4</v>
      </c>
      <c r="AW4" s="203">
        <f>-IS!AW44</f>
        <v>1</v>
      </c>
      <c r="AX4" s="203">
        <f>-IS!AX44</f>
        <v>-1</v>
      </c>
      <c r="AY4" s="203">
        <f>-IS!AY44</f>
        <v>0</v>
      </c>
      <c r="AZ4" s="1448">
        <f>-IS!AZ44</f>
        <v>3</v>
      </c>
      <c r="BA4" s="203">
        <f>-IS!BA44</f>
        <v>0</v>
      </c>
      <c r="BB4" s="203">
        <f>-IS!BB44</f>
        <v>3</v>
      </c>
      <c r="BC4" s="1461">
        <f>-IS!BC44</f>
        <v>3</v>
      </c>
      <c r="BD4" s="203">
        <f>-IS!BD44</f>
        <v>1</v>
      </c>
      <c r="BE4" s="203">
        <f>-IS!BE44</f>
        <v>-4</v>
      </c>
      <c r="BF4" s="203">
        <f>-7-BD4-BE4</f>
        <v>-4</v>
      </c>
      <c r="BG4" s="1448">
        <f>BI4-BF4</f>
        <v>-36</v>
      </c>
      <c r="BH4" s="203">
        <f>-IS!BH44</f>
        <v>-3</v>
      </c>
      <c r="BI4" s="203">
        <f>-IS!BI44</f>
        <v>-40</v>
      </c>
      <c r="BJ4" s="1461">
        <f>-IS!BJ44</f>
        <v>-43</v>
      </c>
      <c r="BK4" s="203">
        <f>-IS!BK44</f>
        <v>4</v>
      </c>
      <c r="BL4" s="203">
        <f>-IS!BL44</f>
        <v>0</v>
      </c>
      <c r="BM4" s="203">
        <f>-IS!BM44</f>
        <v>-16</v>
      </c>
      <c r="BN4" s="1448">
        <f>-IS!BN44</f>
        <v>49</v>
      </c>
      <c r="BO4" s="203">
        <f>-IS!BO44</f>
        <v>4</v>
      </c>
      <c r="BP4" s="203">
        <f>-IS!BP44</f>
        <v>33</v>
      </c>
      <c r="BQ4" s="1461">
        <f>-IS!BQ44</f>
        <v>37</v>
      </c>
      <c r="BR4" s="203">
        <f>-IS!BR44</f>
        <v>-11</v>
      </c>
      <c r="BS4" s="203">
        <f>-IS!BS44</f>
        <v>6</v>
      </c>
      <c r="BT4" s="203">
        <f>-IS!BT44</f>
        <v>-9</v>
      </c>
      <c r="BU4" s="1448">
        <f>-IS!BU44</f>
        <v>-22</v>
      </c>
      <c r="BV4" s="203">
        <f>-IS!BV44</f>
        <v>-5</v>
      </c>
      <c r="BW4" s="203">
        <f>-IS!BW44</f>
        <v>-31</v>
      </c>
      <c r="BX4" s="1461">
        <f>-IS!BX44</f>
        <v>-36</v>
      </c>
      <c r="BY4" s="203">
        <f>-IS!BY44</f>
        <v>-16</v>
      </c>
      <c r="BZ4" s="203">
        <f>-IS!BZ44</f>
        <v>-11</v>
      </c>
      <c r="CA4" s="203">
        <f>-IS!CA44</f>
        <v>-19</v>
      </c>
      <c r="CB4" s="1448">
        <f>-IS!CB44</f>
        <v>7</v>
      </c>
      <c r="CC4" s="203">
        <f>-IS!CC44</f>
        <v>-27</v>
      </c>
      <c r="CD4" s="203">
        <f>-IS!CD44</f>
        <v>-12</v>
      </c>
      <c r="CE4" s="1461">
        <f>-IS!CE44</f>
        <v>-39</v>
      </c>
      <c r="CF4" s="203">
        <f>-IS!CF44</f>
        <v>-26</v>
      </c>
      <c r="CG4" s="203">
        <f>-IS!CG44</f>
        <v>-31</v>
      </c>
      <c r="CH4" s="203">
        <f>-IS!CH44</f>
        <v>-33</v>
      </c>
      <c r="CI4" s="1448">
        <f>-IS!CI44</f>
        <v>-21</v>
      </c>
      <c r="CJ4" s="203">
        <f>-IS!CJ44</f>
        <v>-57</v>
      </c>
      <c r="CK4" s="203">
        <f>-IS!CK44</f>
        <v>-54</v>
      </c>
      <c r="CL4" s="1461">
        <f>-IS!CL44</f>
        <v>-111</v>
      </c>
      <c r="CM4" s="203">
        <f>-IS!CM44</f>
        <v>-28</v>
      </c>
      <c r="CN4" s="203">
        <f>-IS!CN44</f>
        <v>-46</v>
      </c>
      <c r="CO4" s="203">
        <f>-IS!CO44</f>
        <v>-44</v>
      </c>
      <c r="CP4" s="1448">
        <f>-IS!CP44</f>
        <v>-58</v>
      </c>
      <c r="CQ4" s="203">
        <f>-IS!CQ44</f>
        <v>-74</v>
      </c>
      <c r="CR4" s="203">
        <f>-IS!CR44</f>
        <v>-102</v>
      </c>
      <c r="CS4" s="1461">
        <f>-IS!CS44</f>
        <v>-176</v>
      </c>
      <c r="CT4" s="203">
        <f>-IS!CT44</f>
        <v>-43</v>
      </c>
      <c r="CU4" s="203">
        <f>-IS!CU44</f>
        <v>-49</v>
      </c>
      <c r="CV4" s="203">
        <f>-IS!CV44</f>
        <v>-45</v>
      </c>
      <c r="CW4" s="1448">
        <f>-IS!CW44</f>
        <v>-17</v>
      </c>
      <c r="CX4" s="203">
        <f>-IS!CX44</f>
        <v>-92</v>
      </c>
      <c r="CY4" s="203">
        <f>-IS!CY44</f>
        <v>-62</v>
      </c>
      <c r="CZ4" s="1461">
        <f>-IS!CZ44</f>
        <v>-154</v>
      </c>
      <c r="DA4" s="203">
        <f>-IS!DA44</f>
        <v>-48</v>
      </c>
      <c r="DB4" s="203">
        <f>-IS!DB44</f>
        <v>-33</v>
      </c>
      <c r="DC4" s="203">
        <f>-IS!DC44</f>
        <v>-31</v>
      </c>
      <c r="DD4" s="1448">
        <f>-IS!DD44</f>
        <v>-149</v>
      </c>
      <c r="DE4" s="203">
        <f>-IS!DE44</f>
        <v>-81</v>
      </c>
      <c r="DF4" s="203">
        <f>-IS!DF44</f>
        <v>-180</v>
      </c>
      <c r="DG4" s="1269">
        <f>-IS!DG44</f>
        <v>-261</v>
      </c>
      <c r="DH4" s="203">
        <f>-IS!DH44</f>
        <v>-35</v>
      </c>
      <c r="DI4" s="2013">
        <f>-IS!DI44</f>
        <v>-29</v>
      </c>
      <c r="DJ4" s="860">
        <f>-IS!DJ44</f>
        <v>-93</v>
      </c>
      <c r="DK4" s="1109">
        <f>-IS!DK44</f>
        <v>-93</v>
      </c>
      <c r="DL4" s="1892">
        <f>-IS!DL44</f>
        <v>-64</v>
      </c>
      <c r="DM4" s="860">
        <f>-IS!DM44</f>
        <v>-186</v>
      </c>
      <c r="DN4" s="1119">
        <f>-IS!DN44</f>
        <v>-250</v>
      </c>
      <c r="DO4" s="860">
        <f>-IS!DO44</f>
        <v>-62.5</v>
      </c>
      <c r="DP4" s="1422">
        <f>-IS!DP44</f>
        <v>-62.5</v>
      </c>
      <c r="DQ4" s="860">
        <f>-IS!DQ44</f>
        <v>-62.5</v>
      </c>
      <c r="DR4" s="1109">
        <f>-IS!DR44</f>
        <v>-62.5</v>
      </c>
      <c r="DS4" s="860">
        <f>-IS!DS44</f>
        <v>-125</v>
      </c>
      <c r="DT4" s="860">
        <f>-IS!DT44</f>
        <v>-125</v>
      </c>
      <c r="DU4" s="1119">
        <f>-IS!DU44</f>
        <v>-250</v>
      </c>
      <c r="DV4" s="860">
        <f>-IS!DV44</f>
        <v>-62.5</v>
      </c>
      <c r="DW4" s="1422">
        <f>-IS!DW44</f>
        <v>-62.5</v>
      </c>
      <c r="DX4" s="860">
        <f>-IS!DX44</f>
        <v>-62.5</v>
      </c>
      <c r="DY4" s="1109">
        <f>-IS!DY44</f>
        <v>-62.5</v>
      </c>
      <c r="DZ4" s="860">
        <f>-IS!DZ44</f>
        <v>-125</v>
      </c>
      <c r="EA4" s="860">
        <f>-IS!EA44</f>
        <v>-125</v>
      </c>
      <c r="EB4" s="1119">
        <f>-IS!EB44</f>
        <v>-250</v>
      </c>
      <c r="EC4" s="860">
        <f>-IS!EC44</f>
        <v>-62.5</v>
      </c>
      <c r="ED4" s="1422">
        <f>-IS!ED44</f>
        <v>-62.5</v>
      </c>
      <c r="EE4" s="860">
        <f>-IS!EE44</f>
        <v>-62.5</v>
      </c>
      <c r="EF4" s="1109">
        <f>-IS!EF44</f>
        <v>-62.5</v>
      </c>
      <c r="EG4" s="860">
        <f>-IS!EG44</f>
        <v>-125</v>
      </c>
      <c r="EH4" s="860">
        <f>-IS!EH44</f>
        <v>-125</v>
      </c>
      <c r="EI4" s="1119">
        <f>-IS!EI44</f>
        <v>-250</v>
      </c>
      <c r="EJ4" s="860">
        <f>-IS!EJ44</f>
        <v>-62.5</v>
      </c>
      <c r="EK4" s="1422">
        <f>-IS!EK44</f>
        <v>-62.5</v>
      </c>
      <c r="EL4" s="860">
        <f>-IS!EL44</f>
        <v>-62.5</v>
      </c>
      <c r="EM4" s="1109">
        <f>-IS!EM44</f>
        <v>-62.5</v>
      </c>
      <c r="EN4" s="860">
        <f>-IS!EN44</f>
        <v>-125</v>
      </c>
      <c r="EO4" s="860">
        <f>-IS!EO44</f>
        <v>-125</v>
      </c>
      <c r="EP4" s="1119">
        <f>-IS!EP44</f>
        <v>-250</v>
      </c>
      <c r="EQ4" s="1249"/>
      <c r="ER4" s="46"/>
    </row>
    <row r="5" spans="1:148" ht="10.199999999999999" customHeight="1">
      <c r="A5" s="43" t="s">
        <v>281</v>
      </c>
      <c r="B5" s="108"/>
      <c r="C5" s="203">
        <v>2768</v>
      </c>
      <c r="D5" s="203">
        <v>2375</v>
      </c>
      <c r="E5" s="203">
        <f>-IS!E24-IS!E20</f>
        <v>1621</v>
      </c>
      <c r="F5" s="203">
        <f>-IS!F24-IS!F20</f>
        <v>1653</v>
      </c>
      <c r="G5" s="203">
        <f>-IS!G24-IS!G20</f>
        <v>1691</v>
      </c>
      <c r="H5" s="203">
        <f>-IS!H24-IS!H20</f>
        <v>1772</v>
      </c>
      <c r="I5" s="203">
        <f>-IS!I24-IS!I20</f>
        <v>1667</v>
      </c>
      <c r="J5" s="203">
        <f>-IS!J24-IS!J20</f>
        <v>1826</v>
      </c>
      <c r="K5" s="203">
        <f>-IS!K24-IS!K20</f>
        <v>1582</v>
      </c>
      <c r="L5" s="203">
        <f>-IS!L24-IS!L20</f>
        <v>1884</v>
      </c>
      <c r="M5" s="203">
        <f>-IS!M24-IS!M20</f>
        <v>2053</v>
      </c>
      <c r="N5" s="203">
        <v>434</v>
      </c>
      <c r="O5" s="203">
        <f>R5-N5</f>
        <v>442</v>
      </c>
      <c r="P5" s="203">
        <f>1340-N5-O5</f>
        <v>464</v>
      </c>
      <c r="Q5" s="1448">
        <f>S5-P5</f>
        <v>587</v>
      </c>
      <c r="R5" s="203">
        <v>876</v>
      </c>
      <c r="S5" s="203">
        <f>T5-R5</f>
        <v>1051</v>
      </c>
      <c r="T5" s="1461">
        <f>-IS!T24-IS!T20</f>
        <v>1927</v>
      </c>
      <c r="U5" s="203">
        <v>471</v>
      </c>
      <c r="V5" s="203">
        <f>Y5-U5</f>
        <v>483</v>
      </c>
      <c r="W5" s="203">
        <f>1468-U5-V5</f>
        <v>514</v>
      </c>
      <c r="X5" s="1448">
        <f>Z5-W5</f>
        <v>682</v>
      </c>
      <c r="Y5" s="203">
        <v>954</v>
      </c>
      <c r="Z5" s="203">
        <f>AA5-Y5</f>
        <v>1196</v>
      </c>
      <c r="AA5" s="1461">
        <f>-IS!AA24-IS!AA20</f>
        <v>2150</v>
      </c>
      <c r="AB5" s="203">
        <v>525</v>
      </c>
      <c r="AC5" s="203">
        <f>AF5-AB5</f>
        <v>560</v>
      </c>
      <c r="AD5" s="203">
        <f>1652-AB5-AC5</f>
        <v>567</v>
      </c>
      <c r="AE5" s="1448">
        <f>AG5-AD5</f>
        <v>814</v>
      </c>
      <c r="AF5" s="203">
        <v>1085</v>
      </c>
      <c r="AG5" s="203">
        <f>AH5-AF5</f>
        <v>1381</v>
      </c>
      <c r="AH5" s="1461">
        <f>-IS!AH24-IS!AH20</f>
        <v>2466</v>
      </c>
      <c r="AI5" s="203">
        <v>512</v>
      </c>
      <c r="AJ5" s="203">
        <f>AM5-AI5</f>
        <v>561</v>
      </c>
      <c r="AK5" s="203">
        <f>1580-AI5-AJ5</f>
        <v>507</v>
      </c>
      <c r="AL5" s="1448">
        <f>AN5-AK5</f>
        <v>714</v>
      </c>
      <c r="AM5" s="203">
        <v>1073</v>
      </c>
      <c r="AN5" s="203">
        <f>AO5-AM5</f>
        <v>1221</v>
      </c>
      <c r="AO5" s="1461">
        <v>2294</v>
      </c>
      <c r="AP5" s="203">
        <v>551</v>
      </c>
      <c r="AQ5" s="203">
        <f>AT5-AP5</f>
        <v>535</v>
      </c>
      <c r="AR5" s="203">
        <f>1603-AP5-AQ5</f>
        <v>517</v>
      </c>
      <c r="AS5" s="1448">
        <f>AU5-AR5</f>
        <v>695</v>
      </c>
      <c r="AT5" s="203">
        <v>1086</v>
      </c>
      <c r="AU5" s="203">
        <f>AV5-AT5</f>
        <v>1212</v>
      </c>
      <c r="AV5" s="1461">
        <v>2298</v>
      </c>
      <c r="AW5" s="203">
        <v>551</v>
      </c>
      <c r="AX5" s="203">
        <f>BA5-AW5</f>
        <v>535</v>
      </c>
      <c r="AY5" s="203">
        <f>1603-AW5-AX5</f>
        <v>517</v>
      </c>
      <c r="AZ5" s="1448">
        <f>BB5-AY5</f>
        <v>695</v>
      </c>
      <c r="BA5" s="203">
        <v>1086</v>
      </c>
      <c r="BB5" s="203">
        <f>BC5-BA5</f>
        <v>1212</v>
      </c>
      <c r="BC5" s="1461">
        <v>2298</v>
      </c>
      <c r="BD5" s="203">
        <v>564</v>
      </c>
      <c r="BE5" s="203">
        <f>BH5-BD5</f>
        <v>598</v>
      </c>
      <c r="BF5" s="203">
        <f>1684-BD5-BE5</f>
        <v>522</v>
      </c>
      <c r="BG5" s="1448">
        <f>BI5-BF5</f>
        <v>760</v>
      </c>
      <c r="BH5" s="203">
        <v>1162</v>
      </c>
      <c r="BI5" s="203">
        <f>BJ5-BH5</f>
        <v>1282</v>
      </c>
      <c r="BJ5" s="1461">
        <v>2444</v>
      </c>
      <c r="BK5" s="203">
        <v>720</v>
      </c>
      <c r="BL5" s="203">
        <f>BO5-BK5</f>
        <v>542</v>
      </c>
      <c r="BM5" s="203">
        <f>1992-BK5-BL5</f>
        <v>730</v>
      </c>
      <c r="BN5" s="1448">
        <f>BP5-BM5</f>
        <v>935</v>
      </c>
      <c r="BO5" s="203">
        <v>1262</v>
      </c>
      <c r="BP5" s="203">
        <f>BQ5-BO5</f>
        <v>1665</v>
      </c>
      <c r="BQ5" s="1461">
        <v>2927</v>
      </c>
      <c r="BR5" s="203">
        <v>828</v>
      </c>
      <c r="BS5" s="203">
        <f>BV5-BR5</f>
        <v>593</v>
      </c>
      <c r="BT5" s="203">
        <f>2044-BR5-BS5</f>
        <v>623</v>
      </c>
      <c r="BU5" s="1448">
        <f>BW5-BT5</f>
        <v>787</v>
      </c>
      <c r="BV5" s="203">
        <v>1421</v>
      </c>
      <c r="BW5" s="203">
        <f>BX5-BV5</f>
        <v>1410</v>
      </c>
      <c r="BX5" s="1461">
        <v>2831</v>
      </c>
      <c r="BY5" s="203">
        <v>597</v>
      </c>
      <c r="BZ5" s="203">
        <f>CC5-BY5</f>
        <v>454</v>
      </c>
      <c r="CA5" s="203">
        <f>1641-BY5-BZ5</f>
        <v>590</v>
      </c>
      <c r="CB5" s="1448">
        <f>CD5-CA5</f>
        <v>684</v>
      </c>
      <c r="CC5" s="203">
        <v>1051</v>
      </c>
      <c r="CD5" s="203">
        <f>CE5-CC5</f>
        <v>1274</v>
      </c>
      <c r="CE5" s="1461">
        <v>2325</v>
      </c>
      <c r="CF5" s="203">
        <v>585</v>
      </c>
      <c r="CG5" s="203">
        <f>CJ5-CF5</f>
        <v>571</v>
      </c>
      <c r="CH5" s="203">
        <f>1640-CF5-CG5</f>
        <v>484</v>
      </c>
      <c r="CI5" s="1448">
        <f>CK5-CH5</f>
        <v>1076</v>
      </c>
      <c r="CJ5" s="203">
        <v>1156</v>
      </c>
      <c r="CK5" s="203">
        <f>CL5-CJ5</f>
        <v>1560</v>
      </c>
      <c r="CL5" s="1461">
        <v>2716</v>
      </c>
      <c r="CM5" s="203">
        <v>495</v>
      </c>
      <c r="CN5" s="203">
        <f>CQ5-CM5</f>
        <v>547</v>
      </c>
      <c r="CO5" s="203">
        <f>1609-CM5-CN5</f>
        <v>567</v>
      </c>
      <c r="CP5" s="1448">
        <f>CR5-CO5</f>
        <v>633</v>
      </c>
      <c r="CQ5" s="203">
        <v>1042</v>
      </c>
      <c r="CR5" s="203">
        <f>CS5-CQ5</f>
        <v>1200</v>
      </c>
      <c r="CS5" s="1461">
        <v>2242</v>
      </c>
      <c r="CT5" s="203">
        <v>513</v>
      </c>
      <c r="CU5" s="203">
        <f>CX5-CT5</f>
        <v>786</v>
      </c>
      <c r="CV5" s="203">
        <f>1864-CT5-CU5</f>
        <v>565</v>
      </c>
      <c r="CW5" s="1448">
        <f>CY5-CV5</f>
        <v>989</v>
      </c>
      <c r="CX5" s="203">
        <v>1299</v>
      </c>
      <c r="CY5" s="203">
        <f>CZ5-CX5</f>
        <v>1554</v>
      </c>
      <c r="CZ5" s="1461">
        <v>2853</v>
      </c>
      <c r="DA5" s="203">
        <v>626</v>
      </c>
      <c r="DB5" s="203">
        <f>DE5-DA5</f>
        <v>636</v>
      </c>
      <c r="DC5" s="203">
        <v>653</v>
      </c>
      <c r="DD5" s="1448">
        <f>DF5-DC5</f>
        <v>1218</v>
      </c>
      <c r="DE5" s="2081">
        <v>1262</v>
      </c>
      <c r="DF5" s="203">
        <f>DG5-DE5</f>
        <v>1871</v>
      </c>
      <c r="DG5" s="1857">
        <v>3133</v>
      </c>
      <c r="DH5" s="203">
        <v>686</v>
      </c>
      <c r="DI5" s="2013">
        <f>DL5-DH5</f>
        <v>656</v>
      </c>
      <c r="DJ5" s="860">
        <f>-IS!DJ24-IS!DJ20-IS!DJ26</f>
        <v>735.9016206229868</v>
      </c>
      <c r="DK5" s="1109">
        <f>-IS!DK24-IS!DK20-IS!DK26</f>
        <v>1555.0387065134578</v>
      </c>
      <c r="DL5" s="1892">
        <v>1342</v>
      </c>
      <c r="DM5" s="860">
        <f>-IS!DM24-IS!DM20-IS!DM26</f>
        <v>2290.9403271364449</v>
      </c>
      <c r="DN5" s="1119">
        <f>-IS!DN24-IS!DN20-IS!DN26</f>
        <v>3632.9403271364445</v>
      </c>
      <c r="DO5" s="860">
        <f>-IS!DO24-IS!DO20-IS!DO26</f>
        <v>919.04405631801524</v>
      </c>
      <c r="DP5" s="1422">
        <f>DS5-DO5</f>
        <v>1009.2082133299646</v>
      </c>
      <c r="DQ5" s="860">
        <f>-IS!DQ24-IS!DQ20-IS!DQ26</f>
        <v>1003.6430871132917</v>
      </c>
      <c r="DR5" s="1109">
        <f>-IS!DR24-IS!DR20-IS!DR26</f>
        <v>1117.6713777123841</v>
      </c>
      <c r="DS5" s="860">
        <f>-IS!DS24-IS!DS20-IS!DS26</f>
        <v>1928.2522696479798</v>
      </c>
      <c r="DT5" s="860">
        <f>-IS!DT24-IS!DT20-IS!DT26</f>
        <v>2121.3144648256757</v>
      </c>
      <c r="DU5" s="1119">
        <f>-IS!DU24-IS!DU20-IS!DU26</f>
        <v>4049.5667344736557</v>
      </c>
      <c r="DV5" s="860">
        <f>-IS!DV24-IS!DV20-IS!DV26</f>
        <v>998.0189926578596</v>
      </c>
      <c r="DW5" s="1422">
        <f>DZ5-DV5</f>
        <v>1096.7622912713709</v>
      </c>
      <c r="DX5" s="860">
        <f>-IS!DX24-IS!DX20-IS!DX26</f>
        <v>1090.9407759784406</v>
      </c>
      <c r="DY5" s="1109">
        <f>-IS!DY24-IS!DY20-IS!DY26</f>
        <v>1226.767168869641</v>
      </c>
      <c r="DZ5" s="860">
        <f>-IS!DZ24-IS!DZ20-IS!DZ26</f>
        <v>2094.7812839292305</v>
      </c>
      <c r="EA5" s="860">
        <f>-IS!EA24-IS!EA20-IS!EA26</f>
        <v>2317.7079448480818</v>
      </c>
      <c r="EB5" s="1119">
        <f>-IS!EB24-IS!EB20-IS!EB26</f>
        <v>4412.4892287773127</v>
      </c>
      <c r="EC5" s="860">
        <f>-IS!EC24-IS!EC20-IS!EC26</f>
        <v>1070.360711612283</v>
      </c>
      <c r="ED5" s="1422">
        <f>EG5-EC5</f>
        <v>1137.4140276331932</v>
      </c>
      <c r="EE5" s="860">
        <f>-IS!EE24-IS!EE20-IS!EE26</f>
        <v>1131.2893591740267</v>
      </c>
      <c r="EF5" s="1109">
        <f>-IS!EF24-IS!EF20-IS!EF26</f>
        <v>1272.9435271586676</v>
      </c>
      <c r="EG5" s="860">
        <f>-IS!EG24-IS!EG20-IS!EG26</f>
        <v>2207.7747392454762</v>
      </c>
      <c r="EH5" s="860">
        <f>-IS!EH24-IS!EH20-IS!EH26</f>
        <v>2404.2328863326943</v>
      </c>
      <c r="EI5" s="1119">
        <f>-IS!EI24-IS!EI20-IS!EI26</f>
        <v>4612.0076255781696</v>
      </c>
      <c r="EJ5" s="860">
        <f>-IS!EJ24-IS!EJ20-IS!EJ26</f>
        <v>1106.1487659272141</v>
      </c>
      <c r="EK5" s="1422">
        <f>EN5-EJ5</f>
        <v>1176.632893519755</v>
      </c>
      <c r="EL5" s="860">
        <f>-IS!EL24-IS!EL20-IS!EL26</f>
        <v>1170.2275318231084</v>
      </c>
      <c r="EM5" s="1109">
        <f>-IS!EM24-IS!EM20-IS!EM26</f>
        <v>1317.6462150936006</v>
      </c>
      <c r="EN5" s="860">
        <f>-IS!EN24-IS!EN20-IS!EN26</f>
        <v>2282.7816594469691</v>
      </c>
      <c r="EO5" s="860">
        <f>-IS!EO24-IS!EO20-IS!EO26</f>
        <v>2487.873746916709</v>
      </c>
      <c r="EP5" s="1119">
        <f>-IS!EP24-IS!EP20-IS!EP26</f>
        <v>4770.6554063636777</v>
      </c>
      <c r="EQ5" s="1249"/>
      <c r="ER5" s="46"/>
    </row>
    <row r="6" spans="1:148" ht="10.199999999999999" customHeight="1">
      <c r="A6" s="108" t="s">
        <v>406</v>
      </c>
      <c r="B6" s="108"/>
      <c r="C6" s="203">
        <v>0</v>
      </c>
      <c r="D6" s="203">
        <v>0</v>
      </c>
      <c r="E6" s="203">
        <v>0</v>
      </c>
      <c r="F6" s="203">
        <f>-423+578+313-242</f>
        <v>226</v>
      </c>
      <c r="G6" s="203">
        <f>-454+575+380-271</f>
        <v>230</v>
      </c>
      <c r="H6" s="203">
        <f>-502+701+480-370</f>
        <v>309</v>
      </c>
      <c r="I6" s="203">
        <f>-617+581+657-471</f>
        <v>150</v>
      </c>
      <c r="J6" s="203">
        <f>-356+503+382-331</f>
        <v>198</v>
      </c>
      <c r="K6" s="203">
        <f>-316+415+332-278</f>
        <v>153</v>
      </c>
      <c r="L6" s="203">
        <f>-377+364+417-307</f>
        <v>97</v>
      </c>
      <c r="M6" s="203">
        <v>0</v>
      </c>
      <c r="N6" s="203">
        <v>-22</v>
      </c>
      <c r="O6" s="203">
        <f t="shared" ref="O6:O11" si="0">R6-N6</f>
        <v>8</v>
      </c>
      <c r="P6" s="203">
        <f>-121-N6-O6</f>
        <v>-107</v>
      </c>
      <c r="Q6" s="1448">
        <f t="shared" ref="Q6:Q11" si="1">S6-P6</f>
        <v>248</v>
      </c>
      <c r="R6" s="203">
        <v>-14</v>
      </c>
      <c r="S6" s="203">
        <f t="shared" ref="S6:S11" si="2">T6-R6</f>
        <v>141</v>
      </c>
      <c r="T6" s="1461">
        <f>-161+493+99-304</f>
        <v>127</v>
      </c>
      <c r="U6" s="203">
        <v>-9</v>
      </c>
      <c r="V6" s="203">
        <f t="shared" ref="V6:V11" si="3">Y6-U6</f>
        <v>49</v>
      </c>
      <c r="W6" s="203">
        <f>4-U6-V6</f>
        <v>-36</v>
      </c>
      <c r="X6" s="1448">
        <f t="shared" ref="X6:X11" si="4">Z6-W6</f>
        <v>112</v>
      </c>
      <c r="Y6" s="203">
        <v>40</v>
      </c>
      <c r="Z6" s="203">
        <f t="shared" ref="Z6:Z11" si="5">AA6-Y6</f>
        <v>76</v>
      </c>
      <c r="AA6" s="1461">
        <f>-142+462+99-303</f>
        <v>116</v>
      </c>
      <c r="AB6" s="203">
        <v>87</v>
      </c>
      <c r="AC6" s="203">
        <f t="shared" ref="AC6:AC11" si="6">AF6-AB6</f>
        <v>-128</v>
      </c>
      <c r="AD6" s="203">
        <f>-142-AB6-AC6</f>
        <v>-101</v>
      </c>
      <c r="AE6" s="1448">
        <f t="shared" ref="AE6:AE11" si="7">AG6-AD6</f>
        <v>253</v>
      </c>
      <c r="AF6" s="203">
        <v>-41</v>
      </c>
      <c r="AG6" s="203">
        <f t="shared" ref="AG6:AG11" si="8">AH6-AF6</f>
        <v>152</v>
      </c>
      <c r="AH6" s="1461">
        <f>-183+551+131-388</f>
        <v>111</v>
      </c>
      <c r="AI6" s="203">
        <v>32</v>
      </c>
      <c r="AJ6" s="203">
        <f t="shared" ref="AJ6:AJ11" si="9">AM6-AI6</f>
        <v>111</v>
      </c>
      <c r="AK6" s="203">
        <f>343-AI6-AJ6</f>
        <v>200</v>
      </c>
      <c r="AL6" s="1448">
        <f t="shared" ref="AL6:AL11" si="10">AN6-AK6</f>
        <v>-307</v>
      </c>
      <c r="AM6" s="203">
        <v>143</v>
      </c>
      <c r="AN6" s="203">
        <f t="shared" ref="AN6:AN11" si="11">AO6-AM6</f>
        <v>-107</v>
      </c>
      <c r="AO6" s="1461">
        <f>-247+522+139-378</f>
        <v>36</v>
      </c>
      <c r="AP6" s="203">
        <v>-306</v>
      </c>
      <c r="AQ6" s="203">
        <f t="shared" ref="AQ6:AQ11" si="12">AT6-AP6</f>
        <v>456</v>
      </c>
      <c r="AR6" s="203">
        <f>383-AP6-AQ6</f>
        <v>233</v>
      </c>
      <c r="AS6" s="1448">
        <f t="shared" ref="AS6:AS11" si="13">AU6-AR6</f>
        <v>-407</v>
      </c>
      <c r="AT6" s="203">
        <v>150</v>
      </c>
      <c r="AU6" s="203">
        <f t="shared" ref="AU6:AU11" si="14">AV6-AT6</f>
        <v>-174</v>
      </c>
      <c r="AV6" s="1461">
        <f>-189+517+149-501</f>
        <v>-24</v>
      </c>
      <c r="AW6" s="203">
        <v>-306</v>
      </c>
      <c r="AX6" s="203">
        <f t="shared" ref="AX6:AX11" si="15">BA6-AW6</f>
        <v>456</v>
      </c>
      <c r="AY6" s="203">
        <f>383-AW6-AX6</f>
        <v>233</v>
      </c>
      <c r="AZ6" s="1448">
        <f t="shared" ref="AZ6:AZ11" si="16">BB6-AY6</f>
        <v>-407</v>
      </c>
      <c r="BA6" s="203">
        <v>150</v>
      </c>
      <c r="BB6" s="203">
        <f t="shared" ref="BB6:BB11" si="17">BC6-BA6</f>
        <v>-174</v>
      </c>
      <c r="BC6" s="1461">
        <f>-189+517+149-501</f>
        <v>-24</v>
      </c>
      <c r="BD6" s="203">
        <v>-320</v>
      </c>
      <c r="BE6" s="203">
        <f t="shared" ref="BE6:BE11" si="18">BH6-BD6</f>
        <v>-83</v>
      </c>
      <c r="BF6" s="203">
        <f>-54-BD6-BE6</f>
        <v>349</v>
      </c>
      <c r="BG6" s="1448">
        <f t="shared" ref="BG6:BG11" si="19">BI6-BF6</f>
        <v>180</v>
      </c>
      <c r="BH6" s="203">
        <v>-403</v>
      </c>
      <c r="BI6" s="203">
        <f t="shared" ref="BI6:BI11" si="20">BJ6-BH6</f>
        <v>529</v>
      </c>
      <c r="BJ6" s="1461">
        <f>-208+440+186-292</f>
        <v>126</v>
      </c>
      <c r="BK6" s="203">
        <v>27</v>
      </c>
      <c r="BL6" s="203">
        <f t="shared" ref="BL6:BL11" si="21">BO6-BK6</f>
        <v>303</v>
      </c>
      <c r="BM6" s="203">
        <f>158-BK6-BL6</f>
        <v>-172</v>
      </c>
      <c r="BN6" s="1448">
        <f t="shared" ref="BN6:BN11" si="22">BP6-BM6</f>
        <v>-83</v>
      </c>
      <c r="BO6" s="203">
        <v>330</v>
      </c>
      <c r="BP6" s="203">
        <f t="shared" ref="BP6:BP11" si="23">BQ6-BO6</f>
        <v>-255</v>
      </c>
      <c r="BQ6" s="1461">
        <f>-228+339+151-187</f>
        <v>75</v>
      </c>
      <c r="BR6" s="203">
        <v>-11</v>
      </c>
      <c r="BS6" s="203">
        <f t="shared" ref="BS6:BS11" si="24">BV6-BR6</f>
        <v>543</v>
      </c>
      <c r="BT6" s="203">
        <f>393-BR6-BS6</f>
        <v>-139</v>
      </c>
      <c r="BU6" s="1448">
        <f t="shared" ref="BU6:BU11" si="25">BW6-BT6</f>
        <v>-245</v>
      </c>
      <c r="BV6" s="203">
        <v>532</v>
      </c>
      <c r="BW6" s="203">
        <f t="shared" ref="BW6:BW11" si="26">BX6-BV6</f>
        <v>-384</v>
      </c>
      <c r="BX6" s="1461">
        <f>-140+411+82-205</f>
        <v>148</v>
      </c>
      <c r="BY6" s="203">
        <v>227</v>
      </c>
      <c r="BZ6" s="203">
        <f t="shared" ref="BZ6:BZ11" si="27">CC6-BY6</f>
        <v>251</v>
      </c>
      <c r="CA6" s="203">
        <f>649-BY6-BZ6</f>
        <v>171</v>
      </c>
      <c r="CB6" s="1448">
        <f t="shared" ref="CB6:CB11" si="28">CD6-CA6</f>
        <v>-622</v>
      </c>
      <c r="CC6" s="203">
        <v>478</v>
      </c>
      <c r="CD6" s="203">
        <f t="shared" ref="CD6:CD11" si="29">CE6-CC6</f>
        <v>-451</v>
      </c>
      <c r="CE6" s="1461">
        <f>-88+334+111-330</f>
        <v>27</v>
      </c>
      <c r="CF6" s="203">
        <v>279</v>
      </c>
      <c r="CG6" s="203">
        <f t="shared" ref="CG6:CG11" si="30">CJ6-CF6</f>
        <v>385</v>
      </c>
      <c r="CH6" s="203">
        <f>1023-CF6-CG6</f>
        <v>359</v>
      </c>
      <c r="CI6" s="1448">
        <f t="shared" ref="CI6:CI11" si="31">CK6-CH6</f>
        <v>-863</v>
      </c>
      <c r="CJ6" s="203">
        <v>664</v>
      </c>
      <c r="CK6" s="203">
        <f t="shared" ref="CK6:CK11" si="32">CL6-CJ6</f>
        <v>-504</v>
      </c>
      <c r="CL6" s="1461">
        <f>-180+412+250-322</f>
        <v>160</v>
      </c>
      <c r="CM6" s="203">
        <v>-108</v>
      </c>
      <c r="CN6" s="203">
        <f t="shared" ref="CN6:CN11" si="33">CQ6-CM6</f>
        <v>235</v>
      </c>
      <c r="CO6" s="203">
        <f>875-CM6-CN6</f>
        <v>748</v>
      </c>
      <c r="CP6" s="1448">
        <f t="shared" ref="CP6:CP11" si="34">CR6-CO6</f>
        <v>-766</v>
      </c>
      <c r="CQ6" s="203">
        <v>127</v>
      </c>
      <c r="CR6" s="203">
        <f t="shared" ref="CR6:CR11" si="35">CS6-CQ6</f>
        <v>-18</v>
      </c>
      <c r="CS6" s="1461">
        <f>-728+753+690-606</f>
        <v>109</v>
      </c>
      <c r="CT6" s="203">
        <v>-110</v>
      </c>
      <c r="CU6" s="203">
        <f t="shared" ref="CU6:CU11" si="36">CX6-CT6</f>
        <v>671</v>
      </c>
      <c r="CV6" s="203">
        <f>722-CT6-CU6</f>
        <v>161</v>
      </c>
      <c r="CW6" s="1448">
        <f t="shared" ref="CW6:CW11" si="37">CY6-CV6</f>
        <v>-729</v>
      </c>
      <c r="CX6" s="203">
        <v>561</v>
      </c>
      <c r="CY6" s="203">
        <f t="shared" ref="CY6:CY11" si="38">CZ6-CX6</f>
        <v>-568</v>
      </c>
      <c r="CZ6" s="1461">
        <f>-802+900+681-786</f>
        <v>-7</v>
      </c>
      <c r="DA6" s="203">
        <v>190</v>
      </c>
      <c r="DB6" s="203">
        <f t="shared" ref="DB6:DB11" si="39">DE6-DA6</f>
        <v>-342</v>
      </c>
      <c r="DC6" s="203">
        <f>-454-DA6-DB6</f>
        <v>-302</v>
      </c>
      <c r="DD6" s="1448">
        <f t="shared" ref="DD6:DD11" si="40">DF6-DC6</f>
        <v>470</v>
      </c>
      <c r="DE6" s="2091">
        <v>-152</v>
      </c>
      <c r="DF6" s="203">
        <f t="shared" ref="DF6:DF11" si="41">DG6-DE6</f>
        <v>168</v>
      </c>
      <c r="DG6" s="1269">
        <f>-710+770+607-651</f>
        <v>16</v>
      </c>
      <c r="DH6" s="203">
        <v>31</v>
      </c>
      <c r="DI6" s="2013">
        <f t="shared" ref="DI6:DI11" si="42">DL6-DH6</f>
        <v>943</v>
      </c>
      <c r="DJ6" s="860">
        <f>-IS!DJ35</f>
        <v>0</v>
      </c>
      <c r="DK6" s="1109">
        <f t="shared" ref="DK6:DK12" si="43">DM6-DJ6</f>
        <v>-1155</v>
      </c>
      <c r="DL6" s="1892">
        <v>974</v>
      </c>
      <c r="DM6" s="860">
        <f t="shared" ref="DM6:DM12" si="44">DN6-DL6</f>
        <v>-1155</v>
      </c>
      <c r="DN6" s="1119">
        <f>-IS!DN35</f>
        <v>-181</v>
      </c>
      <c r="DO6" s="860">
        <f>-IS!DO35</f>
        <v>0</v>
      </c>
      <c r="DP6" s="1422">
        <f t="shared" ref="DP6:DP16" si="45">DS6-DO6</f>
        <v>0</v>
      </c>
      <c r="DQ6" s="860">
        <f>-IS!DQ35</f>
        <v>0</v>
      </c>
      <c r="DR6" s="1109">
        <f t="shared" ref="DR6:DR16" si="46">DT6-DQ6</f>
        <v>0</v>
      </c>
      <c r="DS6" s="860">
        <f>-IS!DS35</f>
        <v>0</v>
      </c>
      <c r="DT6" s="860">
        <f t="shared" ref="DT6:DT16" si="47">DU6-DS6</f>
        <v>0</v>
      </c>
      <c r="DU6" s="1119">
        <f>-IS!DU35</f>
        <v>0</v>
      </c>
      <c r="DV6" s="860">
        <f>-IS!DV35</f>
        <v>0</v>
      </c>
      <c r="DW6" s="1422">
        <f t="shared" ref="DW6:DW16" si="48">DZ6-DV6</f>
        <v>0</v>
      </c>
      <c r="DX6" s="860">
        <f>-IS!DX35</f>
        <v>0</v>
      </c>
      <c r="DY6" s="1109">
        <f t="shared" ref="DY6:DY16" si="49">EA6-DX6</f>
        <v>0</v>
      </c>
      <c r="DZ6" s="860">
        <f>-IS!DZ35</f>
        <v>0</v>
      </c>
      <c r="EA6" s="860">
        <f t="shared" ref="EA6:EA16" si="50">EB6-DZ6</f>
        <v>0</v>
      </c>
      <c r="EB6" s="1119">
        <f>-IS!EB35</f>
        <v>0</v>
      </c>
      <c r="EC6" s="860">
        <f>-IS!EC35</f>
        <v>0</v>
      </c>
      <c r="ED6" s="1422">
        <f t="shared" ref="ED6:ED16" si="51">EG6-EC6</f>
        <v>0</v>
      </c>
      <c r="EE6" s="860">
        <f>-IS!EE35</f>
        <v>0</v>
      </c>
      <c r="EF6" s="1109">
        <f t="shared" ref="EF6:EF16" si="52">EH6-EE6</f>
        <v>0</v>
      </c>
      <c r="EG6" s="860">
        <f>-IS!EG35</f>
        <v>0</v>
      </c>
      <c r="EH6" s="860">
        <f t="shared" ref="EH6:EH16" si="53">EI6-EG6</f>
        <v>0</v>
      </c>
      <c r="EI6" s="1119">
        <f>-IS!EI35</f>
        <v>0</v>
      </c>
      <c r="EJ6" s="860">
        <f>-IS!EJ35</f>
        <v>0</v>
      </c>
      <c r="EK6" s="1422">
        <f t="shared" ref="EK6:EK16" si="54">EN6-EJ6</f>
        <v>0</v>
      </c>
      <c r="EL6" s="860">
        <f>-IS!EL35</f>
        <v>0</v>
      </c>
      <c r="EM6" s="1109">
        <f t="shared" ref="EM6:EM16" si="55">EO6-EL6</f>
        <v>0</v>
      </c>
      <c r="EN6" s="860">
        <f>-IS!EN35</f>
        <v>0</v>
      </c>
      <c r="EO6" s="860">
        <f t="shared" ref="EO6:EO16" si="56">EP6-EN6</f>
        <v>0</v>
      </c>
      <c r="EP6" s="1119">
        <f>-IS!EP35</f>
        <v>0</v>
      </c>
      <c r="EQ6" s="1249"/>
      <c r="ER6" s="46"/>
    </row>
    <row r="7" spans="1:148" ht="10.199999999999999" customHeight="1">
      <c r="A7" s="43" t="s">
        <v>116</v>
      </c>
      <c r="B7" s="108"/>
      <c r="C7" s="130">
        <v>177</v>
      </c>
      <c r="D7" s="130">
        <v>263</v>
      </c>
      <c r="E7" s="235">
        <v>-188</v>
      </c>
      <c r="F7" s="203">
        <v>-76</v>
      </c>
      <c r="G7" s="203">
        <v>163</v>
      </c>
      <c r="H7" s="203">
        <v>582</v>
      </c>
      <c r="I7" s="203">
        <v>924</v>
      </c>
      <c r="J7" s="203">
        <v>-254</v>
      </c>
      <c r="K7" s="203">
        <v>-366</v>
      </c>
      <c r="L7" s="203">
        <v>-408</v>
      </c>
      <c r="M7" s="203">
        <v>607</v>
      </c>
      <c r="N7" s="203">
        <v>17</v>
      </c>
      <c r="O7" s="203">
        <f t="shared" si="0"/>
        <v>326</v>
      </c>
      <c r="P7" s="203">
        <f>384-N7-O7</f>
        <v>41</v>
      </c>
      <c r="Q7" s="1448">
        <f t="shared" si="1"/>
        <v>-336</v>
      </c>
      <c r="R7" s="203">
        <v>343</v>
      </c>
      <c r="S7" s="203">
        <f t="shared" si="2"/>
        <v>-295</v>
      </c>
      <c r="T7" s="1461">
        <v>48</v>
      </c>
      <c r="U7" s="203">
        <v>42</v>
      </c>
      <c r="V7" s="203">
        <f t="shared" si="3"/>
        <v>328</v>
      </c>
      <c r="W7" s="203">
        <f>345-U7-V7</f>
        <v>-25</v>
      </c>
      <c r="X7" s="1448">
        <f t="shared" si="4"/>
        <v>217</v>
      </c>
      <c r="Y7" s="203">
        <v>370</v>
      </c>
      <c r="Z7" s="203">
        <f t="shared" si="5"/>
        <v>192</v>
      </c>
      <c r="AA7" s="1461">
        <v>562</v>
      </c>
      <c r="AB7" s="203">
        <v>66</v>
      </c>
      <c r="AC7" s="203">
        <f t="shared" si="6"/>
        <v>458</v>
      </c>
      <c r="AD7" s="203">
        <f>548-AB7-AC7</f>
        <v>24</v>
      </c>
      <c r="AE7" s="1448">
        <f t="shared" si="7"/>
        <v>-61</v>
      </c>
      <c r="AF7" s="203">
        <v>524</v>
      </c>
      <c r="AG7" s="203">
        <f t="shared" si="8"/>
        <v>-37</v>
      </c>
      <c r="AH7" s="1461">
        <v>487</v>
      </c>
      <c r="AI7" s="203">
        <v>-406</v>
      </c>
      <c r="AJ7" s="203">
        <f t="shared" si="9"/>
        <v>517</v>
      </c>
      <c r="AK7" s="203">
        <f>263-AI7-AJ7</f>
        <v>152</v>
      </c>
      <c r="AL7" s="1448">
        <f t="shared" si="10"/>
        <v>869</v>
      </c>
      <c r="AM7" s="203">
        <v>111</v>
      </c>
      <c r="AN7" s="203">
        <f t="shared" si="11"/>
        <v>1021</v>
      </c>
      <c r="AO7" s="1461">
        <v>1132</v>
      </c>
      <c r="AP7" s="203">
        <v>76</v>
      </c>
      <c r="AQ7" s="203">
        <f t="shared" si="12"/>
        <v>-233</v>
      </c>
      <c r="AR7" s="203">
        <f>-400-AP7-AQ7</f>
        <v>-243</v>
      </c>
      <c r="AS7" s="1448">
        <f t="shared" si="13"/>
        <v>-1355</v>
      </c>
      <c r="AT7" s="203">
        <v>-157</v>
      </c>
      <c r="AU7" s="203">
        <f t="shared" si="14"/>
        <v>-1598</v>
      </c>
      <c r="AV7" s="1461">
        <v>-1755</v>
      </c>
      <c r="AW7" s="203">
        <v>85</v>
      </c>
      <c r="AX7" s="203">
        <f t="shared" si="15"/>
        <v>-206</v>
      </c>
      <c r="AY7" s="203">
        <f>-260-AW7-AX7</f>
        <v>-139</v>
      </c>
      <c r="AZ7" s="1448">
        <f t="shared" si="16"/>
        <v>-1081</v>
      </c>
      <c r="BA7" s="203">
        <v>-121</v>
      </c>
      <c r="BB7" s="203">
        <f t="shared" si="17"/>
        <v>-1220</v>
      </c>
      <c r="BC7" s="1461">
        <f>-1341</f>
        <v>-1341</v>
      </c>
      <c r="BD7" s="203">
        <v>-94</v>
      </c>
      <c r="BE7" s="203">
        <f t="shared" si="18"/>
        <v>193</v>
      </c>
      <c r="BF7" s="203">
        <f>-7-BD7-BE7</f>
        <v>-106</v>
      </c>
      <c r="BG7" s="1448">
        <f t="shared" si="19"/>
        <v>-1842</v>
      </c>
      <c r="BH7" s="203">
        <v>99</v>
      </c>
      <c r="BI7" s="203">
        <f t="shared" si="20"/>
        <v>-1948</v>
      </c>
      <c r="BJ7" s="1461">
        <v>-1849</v>
      </c>
      <c r="BK7" s="203">
        <v>68</v>
      </c>
      <c r="BL7" s="203">
        <f t="shared" si="21"/>
        <v>49</v>
      </c>
      <c r="BM7" s="203">
        <f>347-BK7-BL7</f>
        <v>230</v>
      </c>
      <c r="BN7" s="1448">
        <f t="shared" si="22"/>
        <v>253</v>
      </c>
      <c r="BO7" s="203">
        <v>117</v>
      </c>
      <c r="BP7" s="203">
        <f t="shared" si="23"/>
        <v>483</v>
      </c>
      <c r="BQ7" s="1461">
        <v>600</v>
      </c>
      <c r="BR7" s="203">
        <v>272</v>
      </c>
      <c r="BS7" s="203">
        <f t="shared" si="24"/>
        <v>336</v>
      </c>
      <c r="BT7" s="203">
        <f>1000-BR7-BS7</f>
        <v>392</v>
      </c>
      <c r="BU7" s="1448">
        <f t="shared" si="25"/>
        <v>-905</v>
      </c>
      <c r="BV7" s="203">
        <v>608</v>
      </c>
      <c r="BW7" s="203">
        <f t="shared" si="26"/>
        <v>-513</v>
      </c>
      <c r="BX7" s="1461">
        <v>95</v>
      </c>
      <c r="BY7" s="203">
        <v>-37</v>
      </c>
      <c r="BZ7" s="203">
        <f t="shared" si="27"/>
        <v>-343</v>
      </c>
      <c r="CA7" s="203">
        <f>-507-BY7-BZ7</f>
        <v>-127</v>
      </c>
      <c r="CB7" s="1448">
        <f t="shared" si="28"/>
        <v>-356</v>
      </c>
      <c r="CC7" s="203">
        <v>-380</v>
      </c>
      <c r="CD7" s="203">
        <f t="shared" si="29"/>
        <v>-483</v>
      </c>
      <c r="CE7" s="1461">
        <v>-863</v>
      </c>
      <c r="CF7" s="203">
        <v>-384</v>
      </c>
      <c r="CG7" s="203">
        <f t="shared" si="30"/>
        <v>-203</v>
      </c>
      <c r="CH7" s="203">
        <f>-127-CF7-CG7</f>
        <v>460</v>
      </c>
      <c r="CI7" s="1448">
        <f t="shared" si="31"/>
        <v>-442</v>
      </c>
      <c r="CJ7" s="203">
        <v>-587</v>
      </c>
      <c r="CK7" s="203">
        <f t="shared" si="32"/>
        <v>18</v>
      </c>
      <c r="CL7" s="1461">
        <v>-569</v>
      </c>
      <c r="CM7" s="203">
        <v>-389</v>
      </c>
      <c r="CN7" s="203">
        <f t="shared" si="33"/>
        <v>-310</v>
      </c>
      <c r="CO7" s="203">
        <f>-707-CM7-CN7</f>
        <v>-8</v>
      </c>
      <c r="CP7" s="1448">
        <f t="shared" si="34"/>
        <v>166</v>
      </c>
      <c r="CQ7" s="203">
        <v>-699</v>
      </c>
      <c r="CR7" s="203">
        <f t="shared" si="35"/>
        <v>158</v>
      </c>
      <c r="CS7" s="1461">
        <v>-541</v>
      </c>
      <c r="CT7" s="203">
        <v>-288</v>
      </c>
      <c r="CU7" s="203">
        <f t="shared" si="36"/>
        <v>-101</v>
      </c>
      <c r="CV7" s="203">
        <f>-504-CT7-CU7</f>
        <v>-115</v>
      </c>
      <c r="CW7" s="1448">
        <f t="shared" si="37"/>
        <v>-136</v>
      </c>
      <c r="CX7" s="203">
        <v>-389</v>
      </c>
      <c r="CY7" s="203">
        <f t="shared" si="38"/>
        <v>-251</v>
      </c>
      <c r="CZ7" s="1461">
        <v>-640</v>
      </c>
      <c r="DA7" s="203">
        <v>-456</v>
      </c>
      <c r="DB7" s="203">
        <f t="shared" si="39"/>
        <v>139</v>
      </c>
      <c r="DC7" s="203">
        <v>279</v>
      </c>
      <c r="DD7" s="1448">
        <f t="shared" si="40"/>
        <v>-355</v>
      </c>
      <c r="DE7" s="2081">
        <v>-317</v>
      </c>
      <c r="DF7" s="203">
        <f t="shared" si="41"/>
        <v>-76</v>
      </c>
      <c r="DG7" s="1857">
        <v>-393</v>
      </c>
      <c r="DH7" s="203">
        <v>-34</v>
      </c>
      <c r="DI7" s="2013">
        <f t="shared" si="42"/>
        <v>705</v>
      </c>
      <c r="DJ7" s="860">
        <f>-Divisional!DQ48</f>
        <v>50</v>
      </c>
      <c r="DK7" s="1109">
        <f t="shared" si="43"/>
        <v>-589</v>
      </c>
      <c r="DL7" s="1892">
        <v>671</v>
      </c>
      <c r="DM7" s="860">
        <f t="shared" si="44"/>
        <v>-539</v>
      </c>
      <c r="DN7" s="1119">
        <f>-Divisional!DU48</f>
        <v>132</v>
      </c>
      <c r="DO7" s="860">
        <f>-Divisional!DV48</f>
        <v>0</v>
      </c>
      <c r="DP7" s="1422">
        <f t="shared" si="45"/>
        <v>0</v>
      </c>
      <c r="DQ7" s="860">
        <f>-Divisional!DX48</f>
        <v>0</v>
      </c>
      <c r="DR7" s="1109">
        <f t="shared" si="46"/>
        <v>0</v>
      </c>
      <c r="DS7" s="860">
        <f>-Divisional!DZ48</f>
        <v>0</v>
      </c>
      <c r="DT7" s="860">
        <f t="shared" si="47"/>
        <v>0</v>
      </c>
      <c r="DU7" s="1119">
        <f>-Divisional!EB48</f>
        <v>0</v>
      </c>
      <c r="DV7" s="860">
        <f>-Divisional!EC48</f>
        <v>0</v>
      </c>
      <c r="DW7" s="1422">
        <f t="shared" si="48"/>
        <v>0</v>
      </c>
      <c r="DX7" s="860">
        <f>-Divisional!EE48</f>
        <v>0</v>
      </c>
      <c r="DY7" s="1109">
        <f t="shared" si="49"/>
        <v>0</v>
      </c>
      <c r="DZ7" s="860">
        <f>-Divisional!EG48</f>
        <v>0</v>
      </c>
      <c r="EA7" s="860">
        <f t="shared" si="50"/>
        <v>0</v>
      </c>
      <c r="EB7" s="1119">
        <f>-Divisional!EI48</f>
        <v>0</v>
      </c>
      <c r="EC7" s="860">
        <f>-Divisional!EJ48</f>
        <v>0</v>
      </c>
      <c r="ED7" s="1422">
        <f t="shared" si="51"/>
        <v>0</v>
      </c>
      <c r="EE7" s="860">
        <f>-Divisional!EL48</f>
        <v>0</v>
      </c>
      <c r="EF7" s="1109">
        <f t="shared" si="52"/>
        <v>0</v>
      </c>
      <c r="EG7" s="860">
        <f>-Divisional!EN48</f>
        <v>0</v>
      </c>
      <c r="EH7" s="860">
        <f t="shared" si="53"/>
        <v>0</v>
      </c>
      <c r="EI7" s="1119">
        <f>-Divisional!EP48</f>
        <v>0</v>
      </c>
      <c r="EJ7" s="860">
        <f>-Divisional!EQ48</f>
        <v>0</v>
      </c>
      <c r="EK7" s="1422">
        <f t="shared" si="54"/>
        <v>0</v>
      </c>
      <c r="EL7" s="860">
        <f>-Divisional!ES48</f>
        <v>0</v>
      </c>
      <c r="EM7" s="1109">
        <f t="shared" si="55"/>
        <v>0</v>
      </c>
      <c r="EN7" s="860">
        <f>-Divisional!EU48</f>
        <v>0</v>
      </c>
      <c r="EO7" s="860">
        <f t="shared" si="56"/>
        <v>0</v>
      </c>
      <c r="EP7" s="1119">
        <f>-Divisional!EW48</f>
        <v>0</v>
      </c>
      <c r="EQ7" s="1249"/>
      <c r="ER7" s="46"/>
    </row>
    <row r="8" spans="1:148" ht="10.199999999999999" customHeight="1">
      <c r="A8" s="43" t="s">
        <v>117</v>
      </c>
      <c r="B8" s="108"/>
      <c r="C8" s="191">
        <v>255</v>
      </c>
      <c r="D8" s="203">
        <v>-138</v>
      </c>
      <c r="E8" s="830">
        <v>537</v>
      </c>
      <c r="F8" s="830">
        <f>825-265</f>
        <v>560</v>
      </c>
      <c r="G8" s="830">
        <f>-81-239</f>
        <v>-320</v>
      </c>
      <c r="H8" s="203">
        <f>-333+36</f>
        <v>-297</v>
      </c>
      <c r="I8" s="191">
        <f>703-252</f>
        <v>451</v>
      </c>
      <c r="J8" s="203">
        <f>-220+4</f>
        <v>-216</v>
      </c>
      <c r="K8" s="191">
        <f>244-140</f>
        <v>104</v>
      </c>
      <c r="L8" s="191">
        <f>356-100</f>
        <v>256</v>
      </c>
      <c r="M8" s="203">
        <v>40</v>
      </c>
      <c r="N8" s="203">
        <v>27</v>
      </c>
      <c r="O8" s="203">
        <f t="shared" si="0"/>
        <v>117</v>
      </c>
      <c r="P8" s="203">
        <f>241-N8-O8</f>
        <v>97</v>
      </c>
      <c r="Q8" s="1448">
        <f t="shared" si="1"/>
        <v>-7</v>
      </c>
      <c r="R8" s="203">
        <v>144</v>
      </c>
      <c r="S8" s="203">
        <f t="shared" si="2"/>
        <v>90</v>
      </c>
      <c r="T8" s="1461">
        <f>477-243</f>
        <v>234</v>
      </c>
      <c r="U8" s="203">
        <v>77</v>
      </c>
      <c r="V8" s="203">
        <f t="shared" si="3"/>
        <v>206</v>
      </c>
      <c r="W8" s="203">
        <f>325-U8-V8</f>
        <v>42</v>
      </c>
      <c r="X8" s="1448">
        <f t="shared" si="4"/>
        <v>423</v>
      </c>
      <c r="Y8" s="203">
        <v>283</v>
      </c>
      <c r="Z8" s="203">
        <f t="shared" si="5"/>
        <v>465</v>
      </c>
      <c r="AA8" s="1461">
        <f>863-115</f>
        <v>748</v>
      </c>
      <c r="AB8" s="203">
        <v>-127</v>
      </c>
      <c r="AC8" s="203">
        <f t="shared" si="6"/>
        <v>296</v>
      </c>
      <c r="AD8" s="203">
        <f>327-AB8-AC8</f>
        <v>158</v>
      </c>
      <c r="AE8" s="1448">
        <f t="shared" si="7"/>
        <v>-245</v>
      </c>
      <c r="AF8" s="203">
        <v>169</v>
      </c>
      <c r="AG8" s="203">
        <f t="shared" si="8"/>
        <v>-87</v>
      </c>
      <c r="AH8" s="1461">
        <f>677-595</f>
        <v>82</v>
      </c>
      <c r="AI8" s="203">
        <v>76</v>
      </c>
      <c r="AJ8" s="203">
        <f t="shared" si="9"/>
        <v>-570</v>
      </c>
      <c r="AK8" s="203">
        <f>-560-AI8-AJ8</f>
        <v>-66</v>
      </c>
      <c r="AL8" s="1448">
        <f t="shared" si="10"/>
        <v>292</v>
      </c>
      <c r="AM8" s="203">
        <v>-494</v>
      </c>
      <c r="AN8" s="203">
        <f t="shared" si="11"/>
        <v>226</v>
      </c>
      <c r="AO8" s="1461">
        <f>291-559</f>
        <v>-268</v>
      </c>
      <c r="AP8" s="203">
        <v>168</v>
      </c>
      <c r="AQ8" s="203">
        <f t="shared" si="12"/>
        <v>2</v>
      </c>
      <c r="AR8" s="203">
        <f>15-AP8-AQ8</f>
        <v>-155</v>
      </c>
      <c r="AS8" s="1448">
        <f t="shared" si="13"/>
        <v>1526</v>
      </c>
      <c r="AT8" s="203">
        <v>170</v>
      </c>
      <c r="AU8" s="203">
        <f t="shared" si="14"/>
        <v>1371</v>
      </c>
      <c r="AV8" s="1461">
        <f>1693-152</f>
        <v>1541</v>
      </c>
      <c r="AW8" s="203">
        <v>256</v>
      </c>
      <c r="AX8" s="203">
        <f t="shared" si="15"/>
        <v>-236</v>
      </c>
      <c r="AY8" s="203">
        <f>-145-AW8-AX8</f>
        <v>-165</v>
      </c>
      <c r="AZ8" s="1448">
        <f t="shared" si="16"/>
        <v>1455</v>
      </c>
      <c r="BA8" s="203">
        <v>20</v>
      </c>
      <c r="BB8" s="203">
        <f t="shared" si="17"/>
        <v>1290</v>
      </c>
      <c r="BC8" s="1461">
        <f>1462-152</f>
        <v>1310</v>
      </c>
      <c r="BD8" s="203">
        <v>192</v>
      </c>
      <c r="BE8" s="203">
        <f t="shared" si="18"/>
        <v>276</v>
      </c>
      <c r="BF8" s="203">
        <f>357-BD8-BE8</f>
        <v>-111</v>
      </c>
      <c r="BG8" s="1448">
        <f t="shared" si="19"/>
        <v>20</v>
      </c>
      <c r="BH8" s="203">
        <v>468</v>
      </c>
      <c r="BI8" s="203">
        <f t="shared" si="20"/>
        <v>-91</v>
      </c>
      <c r="BJ8" s="1461">
        <f>1274-897</f>
        <v>377</v>
      </c>
      <c r="BK8" s="203">
        <v>-74</v>
      </c>
      <c r="BL8" s="203">
        <f t="shared" si="21"/>
        <v>400</v>
      </c>
      <c r="BM8" s="203">
        <f>574-BK8-BL8</f>
        <v>248</v>
      </c>
      <c r="BN8" s="1448">
        <f t="shared" si="22"/>
        <v>339</v>
      </c>
      <c r="BO8" s="203">
        <v>326</v>
      </c>
      <c r="BP8" s="203">
        <f t="shared" si="23"/>
        <v>587</v>
      </c>
      <c r="BQ8" s="1461">
        <f>2389-1476</f>
        <v>913</v>
      </c>
      <c r="BR8" s="203">
        <v>-7</v>
      </c>
      <c r="BS8" s="203">
        <f t="shared" si="24"/>
        <v>-309</v>
      </c>
      <c r="BT8" s="203">
        <f>-373-BR8-BS8</f>
        <v>-57</v>
      </c>
      <c r="BU8" s="1448">
        <f t="shared" si="25"/>
        <v>491</v>
      </c>
      <c r="BV8" s="203">
        <v>-316</v>
      </c>
      <c r="BW8" s="203">
        <f t="shared" si="26"/>
        <v>434</v>
      </c>
      <c r="BX8" s="1461">
        <f>39+79</f>
        <v>118</v>
      </c>
      <c r="BY8" s="203">
        <v>-62</v>
      </c>
      <c r="BZ8" s="203">
        <f t="shared" si="27"/>
        <v>191</v>
      </c>
      <c r="CA8" s="203">
        <f>44-BY8-BZ8</f>
        <v>-85</v>
      </c>
      <c r="CB8" s="1448">
        <f t="shared" si="28"/>
        <v>488</v>
      </c>
      <c r="CC8" s="203">
        <v>129</v>
      </c>
      <c r="CD8" s="203">
        <f t="shared" si="29"/>
        <v>403</v>
      </c>
      <c r="CE8" s="1461">
        <f>853-321</f>
        <v>532</v>
      </c>
      <c r="CF8" s="203">
        <v>58</v>
      </c>
      <c r="CG8" s="203">
        <f t="shared" si="30"/>
        <v>61</v>
      </c>
      <c r="CH8" s="203">
        <f>-480-CF8-CG8</f>
        <v>-599</v>
      </c>
      <c r="CI8" s="1448">
        <f t="shared" si="31"/>
        <v>629</v>
      </c>
      <c r="CJ8" s="203">
        <v>119</v>
      </c>
      <c r="CK8" s="203">
        <f t="shared" si="32"/>
        <v>30</v>
      </c>
      <c r="CL8" s="1461">
        <f>939-790</f>
        <v>149</v>
      </c>
      <c r="CM8" s="203">
        <v>70</v>
      </c>
      <c r="CN8" s="203">
        <f t="shared" si="33"/>
        <v>400</v>
      </c>
      <c r="CO8" s="203">
        <f>-304-CM8-CN8</f>
        <v>-774</v>
      </c>
      <c r="CP8" s="1448">
        <f t="shared" si="34"/>
        <v>916</v>
      </c>
      <c r="CQ8" s="203">
        <v>470</v>
      </c>
      <c r="CR8" s="203">
        <f t="shared" si="35"/>
        <v>142</v>
      </c>
      <c r="CS8" s="1461">
        <f>1156-544</f>
        <v>612</v>
      </c>
      <c r="CT8" s="203">
        <v>194</v>
      </c>
      <c r="CU8" s="203">
        <f t="shared" si="36"/>
        <v>-422</v>
      </c>
      <c r="CV8" s="203">
        <f>-384-CT8-CU8</f>
        <v>-156</v>
      </c>
      <c r="CW8" s="1448">
        <f t="shared" si="37"/>
        <v>784</v>
      </c>
      <c r="CX8" s="203">
        <v>-228</v>
      </c>
      <c r="CY8" s="203">
        <f t="shared" si="38"/>
        <v>628</v>
      </c>
      <c r="CZ8" s="1461">
        <f>1347-947</f>
        <v>400</v>
      </c>
      <c r="DA8" s="203">
        <v>-30</v>
      </c>
      <c r="DB8" s="203">
        <f t="shared" si="39"/>
        <v>337</v>
      </c>
      <c r="DC8" s="203">
        <f>545+0+0</f>
        <v>545</v>
      </c>
      <c r="DD8" s="1448">
        <f t="shared" si="40"/>
        <v>-427</v>
      </c>
      <c r="DE8" s="2091">
        <v>307</v>
      </c>
      <c r="DF8" s="203">
        <f t="shared" si="41"/>
        <v>118</v>
      </c>
      <c r="DG8" s="1269">
        <f>1390-965</f>
        <v>425</v>
      </c>
      <c r="DH8" s="203">
        <v>-76</v>
      </c>
      <c r="DI8" s="2013">
        <f t="shared" si="42"/>
        <v>-137</v>
      </c>
      <c r="DJ8" s="460">
        <f>+BS!DJ195</f>
        <v>0</v>
      </c>
      <c r="DK8" s="461">
        <f t="shared" si="43"/>
        <v>213</v>
      </c>
      <c r="DL8" s="2009">
        <v>-213</v>
      </c>
      <c r="DM8" s="886">
        <f t="shared" si="44"/>
        <v>213</v>
      </c>
      <c r="DN8" s="592">
        <f>+BS!DN195</f>
        <v>0</v>
      </c>
      <c r="DO8" s="460">
        <f>+BS!DO195</f>
        <v>0</v>
      </c>
      <c r="DP8" s="1422">
        <f t="shared" si="45"/>
        <v>0</v>
      </c>
      <c r="DQ8" s="460">
        <f>+BS!DQ195</f>
        <v>0</v>
      </c>
      <c r="DR8" s="461">
        <f t="shared" si="46"/>
        <v>0</v>
      </c>
      <c r="DS8" s="460">
        <f>+BS!DS195</f>
        <v>0</v>
      </c>
      <c r="DT8" s="886">
        <f t="shared" si="47"/>
        <v>0</v>
      </c>
      <c r="DU8" s="592">
        <f>+BS!DU195</f>
        <v>0</v>
      </c>
      <c r="DV8" s="460">
        <f>+BS!DV195</f>
        <v>0</v>
      </c>
      <c r="DW8" s="1422">
        <f t="shared" si="48"/>
        <v>0</v>
      </c>
      <c r="DX8" s="460">
        <f>+BS!DX195</f>
        <v>0</v>
      </c>
      <c r="DY8" s="461">
        <f t="shared" si="49"/>
        <v>0</v>
      </c>
      <c r="DZ8" s="460">
        <f>+BS!DZ195</f>
        <v>0</v>
      </c>
      <c r="EA8" s="886">
        <f t="shared" si="50"/>
        <v>0</v>
      </c>
      <c r="EB8" s="592">
        <f>+BS!EB195</f>
        <v>0</v>
      </c>
      <c r="EC8" s="460">
        <f>+BS!EC195</f>
        <v>0</v>
      </c>
      <c r="ED8" s="1422">
        <f t="shared" si="51"/>
        <v>0</v>
      </c>
      <c r="EE8" s="460">
        <f>+BS!EE195</f>
        <v>0</v>
      </c>
      <c r="EF8" s="461">
        <f t="shared" si="52"/>
        <v>0</v>
      </c>
      <c r="EG8" s="460">
        <f>+BS!EG195</f>
        <v>0</v>
      </c>
      <c r="EH8" s="886">
        <f t="shared" si="53"/>
        <v>0</v>
      </c>
      <c r="EI8" s="592">
        <f>+BS!EI195</f>
        <v>0</v>
      </c>
      <c r="EJ8" s="460">
        <f>+BS!EJ195</f>
        <v>0</v>
      </c>
      <c r="EK8" s="1422">
        <f t="shared" si="54"/>
        <v>0</v>
      </c>
      <c r="EL8" s="460">
        <f>+BS!EL195</f>
        <v>0</v>
      </c>
      <c r="EM8" s="461">
        <f t="shared" si="55"/>
        <v>0</v>
      </c>
      <c r="EN8" s="460">
        <f>+BS!EN195</f>
        <v>0</v>
      </c>
      <c r="EO8" s="886">
        <f t="shared" si="56"/>
        <v>0</v>
      </c>
      <c r="EP8" s="592">
        <f>+BS!EP195</f>
        <v>0</v>
      </c>
      <c r="EQ8" s="1249"/>
      <c r="ER8" s="46"/>
    </row>
    <row r="9" spans="1:148" ht="10.199999999999999" customHeight="1">
      <c r="A9" s="43" t="s">
        <v>148</v>
      </c>
      <c r="B9" s="108"/>
      <c r="C9" s="203">
        <v>-227</v>
      </c>
      <c r="D9" s="203">
        <f>-50-224</f>
        <v>-274</v>
      </c>
      <c r="E9" s="235">
        <f>-8-88</f>
        <v>-96</v>
      </c>
      <c r="F9" s="235">
        <f>-170-210</f>
        <v>-380</v>
      </c>
      <c r="G9" s="235">
        <f>-336-152</f>
        <v>-488</v>
      </c>
      <c r="H9" s="203">
        <f>-125-210</f>
        <v>-335</v>
      </c>
      <c r="I9" s="203">
        <f>-31-188</f>
        <v>-219</v>
      </c>
      <c r="J9" s="203">
        <f>-31-115</f>
        <v>-146</v>
      </c>
      <c r="K9" s="203">
        <f>-75-127</f>
        <v>-202</v>
      </c>
      <c r="L9" s="203">
        <f>-29-164</f>
        <v>-193</v>
      </c>
      <c r="M9" s="203">
        <v>-21</v>
      </c>
      <c r="N9" s="203">
        <v>-109</v>
      </c>
      <c r="O9" s="203">
        <f t="shared" si="0"/>
        <v>-55</v>
      </c>
      <c r="P9" s="203">
        <f>-1-268-N9-O9</f>
        <v>-105</v>
      </c>
      <c r="Q9" s="1448">
        <f t="shared" si="1"/>
        <v>-223</v>
      </c>
      <c r="R9" s="203">
        <f>-1-163</f>
        <v>-164</v>
      </c>
      <c r="S9" s="203">
        <f t="shared" si="2"/>
        <v>-328</v>
      </c>
      <c r="T9" s="1461">
        <f>-58-434</f>
        <v>-492</v>
      </c>
      <c r="U9" s="203">
        <f>-5-46</f>
        <v>-51</v>
      </c>
      <c r="V9" s="203">
        <f t="shared" si="3"/>
        <v>-153</v>
      </c>
      <c r="W9" s="203">
        <f>-97-257-U9-V9</f>
        <v>-150</v>
      </c>
      <c r="X9" s="1448">
        <f t="shared" si="4"/>
        <v>-579</v>
      </c>
      <c r="Y9" s="203">
        <f>-88-116</f>
        <v>-204</v>
      </c>
      <c r="Z9" s="203">
        <f t="shared" si="5"/>
        <v>-729</v>
      </c>
      <c r="AA9" s="1461">
        <f>-93-840</f>
        <v>-933</v>
      </c>
      <c r="AB9" s="203">
        <f>-59-694</f>
        <v>-753</v>
      </c>
      <c r="AC9" s="203">
        <f t="shared" si="6"/>
        <v>-112</v>
      </c>
      <c r="AD9" s="203">
        <f>-130-844-AB9-AC9</f>
        <v>-109</v>
      </c>
      <c r="AE9" s="1448">
        <f t="shared" si="7"/>
        <v>-276</v>
      </c>
      <c r="AF9" s="203">
        <f>-122-743</f>
        <v>-865</v>
      </c>
      <c r="AG9" s="203">
        <f t="shared" si="8"/>
        <v>-385</v>
      </c>
      <c r="AH9" s="1461">
        <f>-1016-234</f>
        <v>-1250</v>
      </c>
      <c r="AI9" s="203">
        <f>-13-20</f>
        <v>-33</v>
      </c>
      <c r="AJ9" s="203">
        <f t="shared" si="9"/>
        <v>-1774</v>
      </c>
      <c r="AK9" s="203">
        <f>-1829-66-AI9-AJ9</f>
        <v>-88</v>
      </c>
      <c r="AL9" s="1448">
        <f t="shared" si="10"/>
        <v>-206</v>
      </c>
      <c r="AM9" s="203">
        <f>-1828+21</f>
        <v>-1807</v>
      </c>
      <c r="AN9" s="203">
        <f t="shared" si="11"/>
        <v>-294</v>
      </c>
      <c r="AO9" s="1461">
        <f>-1870-231</f>
        <v>-2101</v>
      </c>
      <c r="AP9" s="203">
        <f>-696-39</f>
        <v>-735</v>
      </c>
      <c r="AQ9" s="203">
        <f t="shared" si="12"/>
        <v>-175</v>
      </c>
      <c r="AR9" s="203">
        <f>-770-198-AP9-AQ9</f>
        <v>-58</v>
      </c>
      <c r="AS9" s="1448">
        <f t="shared" si="13"/>
        <v>-138</v>
      </c>
      <c r="AT9" s="203">
        <f>-764-146</f>
        <v>-910</v>
      </c>
      <c r="AU9" s="203">
        <f t="shared" si="14"/>
        <v>-196</v>
      </c>
      <c r="AV9" s="1461">
        <f>-773-333</f>
        <v>-1106</v>
      </c>
      <c r="AW9" s="203">
        <f>-696-42</f>
        <v>-738</v>
      </c>
      <c r="AX9" s="203">
        <f t="shared" si="15"/>
        <v>-175</v>
      </c>
      <c r="AY9" s="203">
        <f>-770-197-AW9-AX9</f>
        <v>-54</v>
      </c>
      <c r="AZ9" s="1448">
        <f t="shared" si="16"/>
        <v>-117</v>
      </c>
      <c r="BA9" s="203">
        <f>-764-149</f>
        <v>-913</v>
      </c>
      <c r="BB9" s="203">
        <f t="shared" si="17"/>
        <v>-171</v>
      </c>
      <c r="BC9" s="1461">
        <f>-773-311</f>
        <v>-1084</v>
      </c>
      <c r="BD9" s="203">
        <f>-207-31</f>
        <v>-238</v>
      </c>
      <c r="BE9" s="203">
        <f t="shared" si="18"/>
        <v>-59</v>
      </c>
      <c r="BF9" s="203">
        <f>-228-120-BD9-BE9</f>
        <v>-51</v>
      </c>
      <c r="BG9" s="1448">
        <f t="shared" si="19"/>
        <v>-243</v>
      </c>
      <c r="BH9" s="203">
        <f>-216-81</f>
        <v>-297</v>
      </c>
      <c r="BI9" s="203">
        <f t="shared" si="20"/>
        <v>-294</v>
      </c>
      <c r="BJ9" s="1461">
        <f>-261-330</f>
        <v>-591</v>
      </c>
      <c r="BK9" s="203">
        <f>-44+8</f>
        <v>-36</v>
      </c>
      <c r="BL9" s="203">
        <f t="shared" si="21"/>
        <v>-69</v>
      </c>
      <c r="BM9" s="203">
        <f>-69-76-BK9-BL9</f>
        <v>-40</v>
      </c>
      <c r="BN9" s="1448">
        <f t="shared" si="22"/>
        <v>-231</v>
      </c>
      <c r="BO9" s="203">
        <f>-50-55</f>
        <v>-105</v>
      </c>
      <c r="BP9" s="203">
        <f t="shared" si="23"/>
        <v>-271</v>
      </c>
      <c r="BQ9" s="1461">
        <f>-77-299</f>
        <v>-376</v>
      </c>
      <c r="BR9" s="203">
        <v>15</v>
      </c>
      <c r="BS9" s="203">
        <f t="shared" si="24"/>
        <v>-6</v>
      </c>
      <c r="BT9" s="203">
        <f>-4+45-BR9-BS9</f>
        <v>32</v>
      </c>
      <c r="BU9" s="1448">
        <f t="shared" si="25"/>
        <v>-71</v>
      </c>
      <c r="BV9" s="203">
        <f>-9+18</f>
        <v>9</v>
      </c>
      <c r="BW9" s="203">
        <f t="shared" si="26"/>
        <v>-39</v>
      </c>
      <c r="BX9" s="1461">
        <f>9-39</f>
        <v>-30</v>
      </c>
      <c r="BY9" s="203">
        <v>-9</v>
      </c>
      <c r="BZ9" s="203">
        <f t="shared" si="27"/>
        <v>2</v>
      </c>
      <c r="CA9" s="203">
        <f>-32-BY9-BZ9</f>
        <v>-25</v>
      </c>
      <c r="CB9" s="1448">
        <f t="shared" si="28"/>
        <v>-124</v>
      </c>
      <c r="CC9" s="203">
        <f>-1-6</f>
        <v>-7</v>
      </c>
      <c r="CD9" s="203">
        <f t="shared" si="29"/>
        <v>-149</v>
      </c>
      <c r="CE9" s="1461">
        <f>-40-116</f>
        <v>-156</v>
      </c>
      <c r="CF9" s="203">
        <v>21</v>
      </c>
      <c r="CG9" s="203">
        <f t="shared" si="30"/>
        <v>4</v>
      </c>
      <c r="CH9" s="203">
        <f>13-17-CF9-CG9</f>
        <v>-29</v>
      </c>
      <c r="CI9" s="1448">
        <f t="shared" si="31"/>
        <v>-104</v>
      </c>
      <c r="CJ9" s="203">
        <f>7+18</f>
        <v>25</v>
      </c>
      <c r="CK9" s="203">
        <f t="shared" si="32"/>
        <v>-133</v>
      </c>
      <c r="CL9" s="1461">
        <f>-133+25</f>
        <v>-108</v>
      </c>
      <c r="CM9" s="203">
        <f>8-9</f>
        <v>-1</v>
      </c>
      <c r="CN9" s="203">
        <f t="shared" si="33"/>
        <v>-49</v>
      </c>
      <c r="CO9" s="203">
        <f>45-128-CM9-CN9</f>
        <v>-33</v>
      </c>
      <c r="CP9" s="1448">
        <f t="shared" si="34"/>
        <v>-120</v>
      </c>
      <c r="CQ9" s="203">
        <f>29-79</f>
        <v>-50</v>
      </c>
      <c r="CR9" s="203">
        <f t="shared" si="35"/>
        <v>-153</v>
      </c>
      <c r="CS9" s="1461">
        <f>-267+64</f>
        <v>-203</v>
      </c>
      <c r="CT9" s="203">
        <f>5-22</f>
        <v>-17</v>
      </c>
      <c r="CU9" s="203">
        <f t="shared" si="36"/>
        <v>-49</v>
      </c>
      <c r="CV9" s="203">
        <f>37-159-CT9-CU9</f>
        <v>-56</v>
      </c>
      <c r="CW9" s="1448">
        <f t="shared" si="37"/>
        <v>-158</v>
      </c>
      <c r="CX9" s="203">
        <f>13-79</f>
        <v>-66</v>
      </c>
      <c r="CY9" s="203">
        <f t="shared" si="38"/>
        <v>-214</v>
      </c>
      <c r="CZ9" s="1461">
        <f>70-350</f>
        <v>-280</v>
      </c>
      <c r="DA9" s="203">
        <f>17-29</f>
        <v>-12</v>
      </c>
      <c r="DB9" s="203">
        <f t="shared" si="39"/>
        <v>-90</v>
      </c>
      <c r="DC9" s="203">
        <f>-36-149-DA9-DB9</f>
        <v>-83</v>
      </c>
      <c r="DD9" s="1448">
        <f t="shared" si="40"/>
        <v>-103</v>
      </c>
      <c r="DE9" s="203">
        <f>1-103</f>
        <v>-102</v>
      </c>
      <c r="DF9" s="203">
        <f t="shared" si="41"/>
        <v>-186</v>
      </c>
      <c r="DG9" s="1269">
        <f>17-305</f>
        <v>-288</v>
      </c>
      <c r="DH9" s="203">
        <f>8-17</f>
        <v>-9</v>
      </c>
      <c r="DI9" s="2013">
        <f t="shared" si="42"/>
        <v>-104</v>
      </c>
      <c r="DJ9" s="860">
        <f>+-IS!DJ17</f>
        <v>-102.7571578580993</v>
      </c>
      <c r="DK9" s="1109">
        <f t="shared" si="43"/>
        <v>-173.7571578580993</v>
      </c>
      <c r="DL9" s="1892">
        <f>22-135</f>
        <v>-113</v>
      </c>
      <c r="DM9" s="860">
        <f t="shared" si="44"/>
        <v>-276.51431571619861</v>
      </c>
      <c r="DN9" s="1119">
        <f>+-IS!DN17</f>
        <v>-389.51431571619861</v>
      </c>
      <c r="DO9" s="860">
        <f>+-IS!DO17</f>
        <v>-108.37724869801075</v>
      </c>
      <c r="DP9" s="1422">
        <f t="shared" si="45"/>
        <v>-108.37724869801075</v>
      </c>
      <c r="DQ9" s="860">
        <f>+-IS!DQ17</f>
        <v>-108.37724869801075</v>
      </c>
      <c r="DR9" s="1109">
        <f t="shared" si="46"/>
        <v>-108.37724869801075</v>
      </c>
      <c r="DS9" s="860">
        <f>+-IS!DS17</f>
        <v>-216.75449739602149</v>
      </c>
      <c r="DT9" s="860">
        <f t="shared" si="47"/>
        <v>-216.75449739602149</v>
      </c>
      <c r="DU9" s="1119">
        <f>+-IS!DU17</f>
        <v>-433.50899479204298</v>
      </c>
      <c r="DV9" s="860">
        <f>+-IS!DV17</f>
        <v>-117.99681319307761</v>
      </c>
      <c r="DW9" s="1422">
        <f t="shared" si="48"/>
        <v>-117.99681319307761</v>
      </c>
      <c r="DX9" s="860">
        <f>+-IS!DX17</f>
        <v>-117.99681319307761</v>
      </c>
      <c r="DY9" s="1109">
        <f t="shared" si="49"/>
        <v>-117.99681319307761</v>
      </c>
      <c r="DZ9" s="860">
        <f>+-IS!DZ17</f>
        <v>-235.99362638615523</v>
      </c>
      <c r="EA9" s="860">
        <f t="shared" si="50"/>
        <v>-235.99362638615523</v>
      </c>
      <c r="EB9" s="1119">
        <f>+-IS!EB17</f>
        <v>-471.98725277231046</v>
      </c>
      <c r="EC9" s="860">
        <f>+-IS!EC17</f>
        <v>-123.31948020268234</v>
      </c>
      <c r="ED9" s="1422">
        <f t="shared" si="51"/>
        <v>-123.31948020268234</v>
      </c>
      <c r="EE9" s="860">
        <f>+-IS!EE17</f>
        <v>-123.31948020268234</v>
      </c>
      <c r="EF9" s="1109">
        <f t="shared" si="52"/>
        <v>-123.31948020268234</v>
      </c>
      <c r="EG9" s="860">
        <f>+-IS!EG17</f>
        <v>-246.63896040536468</v>
      </c>
      <c r="EH9" s="860">
        <f t="shared" si="53"/>
        <v>-246.63896040536468</v>
      </c>
      <c r="EI9" s="1119">
        <f>+-IS!EI17</f>
        <v>-493.27792081072937</v>
      </c>
      <c r="EJ9" s="860">
        <f>+-IS!EJ17</f>
        <v>-127.56950281709433</v>
      </c>
      <c r="EK9" s="1422">
        <f t="shared" si="54"/>
        <v>-127.56950281709433</v>
      </c>
      <c r="EL9" s="860">
        <f>+-IS!EL17</f>
        <v>-127.56950281709433</v>
      </c>
      <c r="EM9" s="1109">
        <f t="shared" si="55"/>
        <v>-127.56950281709433</v>
      </c>
      <c r="EN9" s="860">
        <f>+-IS!EN17</f>
        <v>-255.13900563418866</v>
      </c>
      <c r="EO9" s="860">
        <f t="shared" si="56"/>
        <v>-255.13900563418866</v>
      </c>
      <c r="EP9" s="1119">
        <f>+-IS!EP17</f>
        <v>-510.27801126837733</v>
      </c>
      <c r="EQ9" s="1249"/>
      <c r="ER9" s="46"/>
    </row>
    <row r="10" spans="1:148" ht="10.199999999999999" customHeight="1">
      <c r="A10" s="108" t="s">
        <v>135</v>
      </c>
      <c r="B10" s="108"/>
      <c r="C10" s="203">
        <v>-845</v>
      </c>
      <c r="D10" s="203">
        <v>246</v>
      </c>
      <c r="E10" s="235">
        <v>-237</v>
      </c>
      <c r="F10" s="203">
        <v>175</v>
      </c>
      <c r="G10" s="203">
        <v>2150</v>
      </c>
      <c r="H10" s="203">
        <v>2268</v>
      </c>
      <c r="I10" s="203">
        <v>1</v>
      </c>
      <c r="J10" s="203">
        <f>1594-J29</f>
        <v>1767</v>
      </c>
      <c r="K10" s="203">
        <f>-219-K29</f>
        <v>334</v>
      </c>
      <c r="L10" s="203">
        <f>230-L29</f>
        <v>719</v>
      </c>
      <c r="M10" s="203">
        <v>33</v>
      </c>
      <c r="N10" s="203">
        <f>80</f>
        <v>80</v>
      </c>
      <c r="O10" s="203">
        <f t="shared" si="0"/>
        <v>-289</v>
      </c>
      <c r="P10" s="203">
        <f>-240-N10-O10</f>
        <v>-31</v>
      </c>
      <c r="Q10" s="1448">
        <f t="shared" si="1"/>
        <v>1056</v>
      </c>
      <c r="R10" s="203">
        <f>-209</f>
        <v>-209</v>
      </c>
      <c r="S10" s="203">
        <f t="shared" si="2"/>
        <v>1025</v>
      </c>
      <c r="T10" s="1461">
        <f>816</f>
        <v>816</v>
      </c>
      <c r="U10" s="203">
        <f>42</f>
        <v>42</v>
      </c>
      <c r="V10" s="203">
        <f t="shared" si="3"/>
        <v>-62</v>
      </c>
      <c r="W10" s="203">
        <f>85-U10-V10</f>
        <v>105</v>
      </c>
      <c r="X10" s="1448">
        <f t="shared" si="4"/>
        <v>330</v>
      </c>
      <c r="Y10" s="203">
        <f>-20</f>
        <v>-20</v>
      </c>
      <c r="Z10" s="203">
        <f t="shared" si="5"/>
        <v>435</v>
      </c>
      <c r="AA10" s="1461">
        <f>415</f>
        <v>415</v>
      </c>
      <c r="AB10" s="203">
        <f>-60</f>
        <v>-60</v>
      </c>
      <c r="AC10" s="203">
        <f t="shared" si="6"/>
        <v>-301</v>
      </c>
      <c r="AD10" s="203">
        <f>-170-AB10-AC10</f>
        <v>191</v>
      </c>
      <c r="AE10" s="1448">
        <f t="shared" si="7"/>
        <v>116</v>
      </c>
      <c r="AF10" s="203">
        <f>-361</f>
        <v>-361</v>
      </c>
      <c r="AG10" s="203">
        <f t="shared" si="8"/>
        <v>307</v>
      </c>
      <c r="AH10" s="1461">
        <f>-54</f>
        <v>-54</v>
      </c>
      <c r="AI10" s="203">
        <f>-88</f>
        <v>-88</v>
      </c>
      <c r="AJ10" s="203">
        <f t="shared" si="9"/>
        <v>581</v>
      </c>
      <c r="AK10" s="203">
        <f>206-AI10-AJ10</f>
        <v>-287</v>
      </c>
      <c r="AL10" s="1448">
        <f t="shared" si="10"/>
        <v>1115</v>
      </c>
      <c r="AM10" s="203">
        <f>493</f>
        <v>493</v>
      </c>
      <c r="AN10" s="203">
        <f t="shared" si="11"/>
        <v>828</v>
      </c>
      <c r="AO10" s="1461">
        <f>1321</f>
        <v>1321</v>
      </c>
      <c r="AP10" s="203">
        <f>-276</f>
        <v>-276</v>
      </c>
      <c r="AQ10" s="203">
        <f t="shared" si="12"/>
        <v>-201</v>
      </c>
      <c r="AR10" s="203">
        <f>-473-AP10-AQ10</f>
        <v>4</v>
      </c>
      <c r="AS10" s="1448">
        <f t="shared" si="13"/>
        <v>1278</v>
      </c>
      <c r="AT10" s="203">
        <f>-477</f>
        <v>-477</v>
      </c>
      <c r="AU10" s="203">
        <f t="shared" si="14"/>
        <v>1282</v>
      </c>
      <c r="AV10" s="1461">
        <f>805</f>
        <v>805</v>
      </c>
      <c r="AW10" s="203">
        <f>-15</f>
        <v>-15</v>
      </c>
      <c r="AX10" s="203">
        <f t="shared" si="15"/>
        <v>-165</v>
      </c>
      <c r="AY10" s="203">
        <f>-60-AW10-AX10</f>
        <v>120</v>
      </c>
      <c r="AZ10" s="1448">
        <f t="shared" si="16"/>
        <v>1078</v>
      </c>
      <c r="BA10" s="203">
        <f>-180</f>
        <v>-180</v>
      </c>
      <c r="BB10" s="203">
        <f t="shared" si="17"/>
        <v>1198</v>
      </c>
      <c r="BC10" s="1461">
        <f>1018</f>
        <v>1018</v>
      </c>
      <c r="BD10" s="203">
        <f>-128</f>
        <v>-128</v>
      </c>
      <c r="BE10" s="203">
        <f t="shared" si="18"/>
        <v>-257</v>
      </c>
      <c r="BF10" s="203">
        <f>-565-BD10-BE10</f>
        <v>-180</v>
      </c>
      <c r="BG10" s="1448">
        <f t="shared" si="19"/>
        <v>2517</v>
      </c>
      <c r="BH10" s="203">
        <f>-385</f>
        <v>-385</v>
      </c>
      <c r="BI10" s="203">
        <f t="shared" si="20"/>
        <v>2337</v>
      </c>
      <c r="BJ10" s="1461">
        <f>1952</f>
        <v>1952</v>
      </c>
      <c r="BK10" s="203">
        <f>-54</f>
        <v>-54</v>
      </c>
      <c r="BL10" s="203">
        <f t="shared" si="21"/>
        <v>-321</v>
      </c>
      <c r="BM10" s="203">
        <f>-647-BK10-BL10</f>
        <v>-272</v>
      </c>
      <c r="BN10" s="1448">
        <f t="shared" si="22"/>
        <v>1122</v>
      </c>
      <c r="BO10" s="203">
        <f>-375</f>
        <v>-375</v>
      </c>
      <c r="BP10" s="203">
        <f t="shared" si="23"/>
        <v>850</v>
      </c>
      <c r="BQ10" s="1461">
        <f>475</f>
        <v>475</v>
      </c>
      <c r="BR10" s="203">
        <f>-315</f>
        <v>-315</v>
      </c>
      <c r="BS10" s="203">
        <f t="shared" si="24"/>
        <v>415</v>
      </c>
      <c r="BT10" s="203">
        <f>1288-BR10-BS10</f>
        <v>1188</v>
      </c>
      <c r="BU10" s="1448">
        <f t="shared" si="25"/>
        <v>-150</v>
      </c>
      <c r="BV10" s="203">
        <f>100</f>
        <v>100</v>
      </c>
      <c r="BW10" s="203">
        <f t="shared" si="26"/>
        <v>1038</v>
      </c>
      <c r="BX10" s="1461">
        <f>1138</f>
        <v>1138</v>
      </c>
      <c r="BY10" s="203">
        <f>-442</f>
        <v>-442</v>
      </c>
      <c r="BZ10" s="203">
        <f t="shared" si="27"/>
        <v>-886</v>
      </c>
      <c r="CA10" s="203">
        <f>-1621-BY10-BZ10</f>
        <v>-293</v>
      </c>
      <c r="CB10" s="1448">
        <f t="shared" si="28"/>
        <v>-313</v>
      </c>
      <c r="CC10" s="203">
        <f>-1328</f>
        <v>-1328</v>
      </c>
      <c r="CD10" s="203">
        <f t="shared" si="29"/>
        <v>-606</v>
      </c>
      <c r="CE10" s="1461">
        <f>-1934</f>
        <v>-1934</v>
      </c>
      <c r="CF10" s="203">
        <f>-532</f>
        <v>-532</v>
      </c>
      <c r="CG10" s="203">
        <f t="shared" si="30"/>
        <v>-682</v>
      </c>
      <c r="CH10" s="203">
        <f>-785-CF10-CG10</f>
        <v>429</v>
      </c>
      <c r="CI10" s="1448">
        <f t="shared" si="31"/>
        <v>-231</v>
      </c>
      <c r="CJ10" s="203">
        <f>-1214</f>
        <v>-1214</v>
      </c>
      <c r="CK10" s="203">
        <f t="shared" si="32"/>
        <v>198</v>
      </c>
      <c r="CL10" s="1461">
        <f>-1016</f>
        <v>-1016</v>
      </c>
      <c r="CM10" s="203">
        <f>-177</f>
        <v>-177</v>
      </c>
      <c r="CN10" s="203">
        <f t="shared" si="33"/>
        <v>-306</v>
      </c>
      <c r="CO10" s="203">
        <f>-319-CM10-CN10</f>
        <v>164</v>
      </c>
      <c r="CP10" s="1448">
        <f t="shared" si="34"/>
        <v>205</v>
      </c>
      <c r="CQ10" s="203">
        <f>-483</f>
        <v>-483</v>
      </c>
      <c r="CR10" s="203">
        <f t="shared" si="35"/>
        <v>369</v>
      </c>
      <c r="CS10" s="1461">
        <f>-114</f>
        <v>-114</v>
      </c>
      <c r="CT10" s="203">
        <f>115</f>
        <v>115</v>
      </c>
      <c r="CU10" s="203">
        <f t="shared" si="36"/>
        <v>102</v>
      </c>
      <c r="CV10" s="203">
        <f>9-CT10-CU10</f>
        <v>-208</v>
      </c>
      <c r="CW10" s="1448">
        <f t="shared" si="37"/>
        <v>157</v>
      </c>
      <c r="CX10" s="203">
        <f>217</f>
        <v>217</v>
      </c>
      <c r="CY10" s="203">
        <f t="shared" si="38"/>
        <v>-51</v>
      </c>
      <c r="CZ10" s="1461">
        <v>166</v>
      </c>
      <c r="DA10" s="203">
        <v>136</v>
      </c>
      <c r="DB10" s="203">
        <f t="shared" si="39"/>
        <v>-212</v>
      </c>
      <c r="DC10" s="203">
        <v>166</v>
      </c>
      <c r="DD10" s="1448">
        <f t="shared" si="40"/>
        <v>224</v>
      </c>
      <c r="DE10" s="2081">
        <v>-76</v>
      </c>
      <c r="DF10" s="203">
        <f t="shared" si="41"/>
        <v>390</v>
      </c>
      <c r="DG10" s="1857">
        <v>314</v>
      </c>
      <c r="DH10" s="203">
        <v>-69</v>
      </c>
      <c r="DI10" s="2013">
        <f t="shared" si="42"/>
        <v>-233</v>
      </c>
      <c r="DJ10" s="853">
        <v>0</v>
      </c>
      <c r="DK10" s="1557">
        <f t="shared" si="43"/>
        <v>0</v>
      </c>
      <c r="DL10" s="1892">
        <v>-302</v>
      </c>
      <c r="DM10" s="1422">
        <f t="shared" si="44"/>
        <v>0</v>
      </c>
      <c r="DN10" s="1484">
        <v>-302</v>
      </c>
      <c r="DO10" s="853">
        <v>0</v>
      </c>
      <c r="DP10" s="1422">
        <f t="shared" si="45"/>
        <v>0</v>
      </c>
      <c r="DQ10" s="853">
        <v>0</v>
      </c>
      <c r="DR10" s="1557">
        <f t="shared" si="46"/>
        <v>0</v>
      </c>
      <c r="DS10" s="853">
        <v>0</v>
      </c>
      <c r="DT10" s="1422">
        <f t="shared" si="47"/>
        <v>0</v>
      </c>
      <c r="DU10" s="1484">
        <v>0</v>
      </c>
      <c r="DV10" s="853">
        <v>0</v>
      </c>
      <c r="DW10" s="1422">
        <f t="shared" si="48"/>
        <v>0</v>
      </c>
      <c r="DX10" s="853">
        <v>0</v>
      </c>
      <c r="DY10" s="1557">
        <f t="shared" si="49"/>
        <v>0</v>
      </c>
      <c r="DZ10" s="853">
        <v>0</v>
      </c>
      <c r="EA10" s="1422">
        <f t="shared" si="50"/>
        <v>0</v>
      </c>
      <c r="EB10" s="1484">
        <v>0</v>
      </c>
      <c r="EC10" s="853">
        <v>0</v>
      </c>
      <c r="ED10" s="1422">
        <f t="shared" si="51"/>
        <v>0</v>
      </c>
      <c r="EE10" s="853">
        <v>0</v>
      </c>
      <c r="EF10" s="1557">
        <f t="shared" si="52"/>
        <v>0</v>
      </c>
      <c r="EG10" s="853">
        <v>0</v>
      </c>
      <c r="EH10" s="1422">
        <f t="shared" si="53"/>
        <v>0</v>
      </c>
      <c r="EI10" s="1484">
        <v>0</v>
      </c>
      <c r="EJ10" s="853">
        <v>0</v>
      </c>
      <c r="EK10" s="1422">
        <f t="shared" si="54"/>
        <v>0</v>
      </c>
      <c r="EL10" s="853">
        <v>0</v>
      </c>
      <c r="EM10" s="1557">
        <f t="shared" si="55"/>
        <v>0</v>
      </c>
      <c r="EN10" s="853">
        <v>0</v>
      </c>
      <c r="EO10" s="1422">
        <f t="shared" si="56"/>
        <v>0</v>
      </c>
      <c r="EP10" s="1484">
        <v>0</v>
      </c>
      <c r="EQ10" s="1249"/>
      <c r="ER10" s="46"/>
    </row>
    <row r="11" spans="1:148" ht="10.199999999999999" customHeight="1">
      <c r="A11" s="3" t="s">
        <v>67</v>
      </c>
      <c r="B11" s="108"/>
      <c r="C11" s="203"/>
      <c r="D11" s="203"/>
      <c r="E11" s="235"/>
      <c r="F11" s="203"/>
      <c r="G11" s="203"/>
      <c r="H11" s="203"/>
      <c r="I11" s="203"/>
      <c r="J11" s="203"/>
      <c r="K11" s="203"/>
      <c r="L11" s="203"/>
      <c r="M11" s="203"/>
      <c r="N11" s="203">
        <v>-12</v>
      </c>
      <c r="O11" s="203">
        <f t="shared" si="0"/>
        <v>-12</v>
      </c>
      <c r="P11" s="203">
        <f>-35-N11-O11</f>
        <v>-11</v>
      </c>
      <c r="Q11" s="1448">
        <f t="shared" si="1"/>
        <v>-188</v>
      </c>
      <c r="R11" s="203">
        <v>-24</v>
      </c>
      <c r="S11" s="203">
        <f t="shared" si="2"/>
        <v>-199</v>
      </c>
      <c r="T11" s="1461">
        <v>-223</v>
      </c>
      <c r="U11" s="203">
        <v>-13</v>
      </c>
      <c r="V11" s="203">
        <f t="shared" si="3"/>
        <v>-323</v>
      </c>
      <c r="W11" s="203">
        <f>-349-U11-V11</f>
        <v>-13</v>
      </c>
      <c r="X11" s="1448">
        <f t="shared" si="4"/>
        <v>-113</v>
      </c>
      <c r="Y11" s="203">
        <v>-336</v>
      </c>
      <c r="Z11" s="203">
        <f t="shared" si="5"/>
        <v>-126</v>
      </c>
      <c r="AA11" s="1461">
        <v>-462</v>
      </c>
      <c r="AB11" s="203">
        <v>-14</v>
      </c>
      <c r="AC11" s="203">
        <f t="shared" si="6"/>
        <v>-73</v>
      </c>
      <c r="AD11" s="203">
        <f>-99-AB11-AC11</f>
        <v>-12</v>
      </c>
      <c r="AE11" s="1448">
        <f t="shared" si="7"/>
        <v>-118</v>
      </c>
      <c r="AF11" s="203">
        <v>-87</v>
      </c>
      <c r="AG11" s="203">
        <f t="shared" si="8"/>
        <v>-130</v>
      </c>
      <c r="AH11" s="1461">
        <v>-217</v>
      </c>
      <c r="AI11" s="203">
        <v>-57</v>
      </c>
      <c r="AJ11" s="203">
        <f t="shared" si="9"/>
        <v>-117</v>
      </c>
      <c r="AK11" s="203">
        <f>-203-AI11-AJ11</f>
        <v>-29</v>
      </c>
      <c r="AL11" s="1448">
        <f t="shared" si="10"/>
        <v>-87</v>
      </c>
      <c r="AM11" s="203">
        <v>-174</v>
      </c>
      <c r="AN11" s="203">
        <f t="shared" si="11"/>
        <v>-116</v>
      </c>
      <c r="AO11" s="1461">
        <v>-290</v>
      </c>
      <c r="AP11" s="203">
        <v>-106</v>
      </c>
      <c r="AQ11" s="203">
        <f t="shared" si="12"/>
        <v>-40</v>
      </c>
      <c r="AR11" s="203">
        <f>-171-AP11-AQ11</f>
        <v>-25</v>
      </c>
      <c r="AS11" s="1448">
        <f t="shared" si="13"/>
        <v>-287</v>
      </c>
      <c r="AT11" s="203">
        <v>-146</v>
      </c>
      <c r="AU11" s="203">
        <f t="shared" si="14"/>
        <v>-312</v>
      </c>
      <c r="AV11" s="1461">
        <v>-458</v>
      </c>
      <c r="AW11" s="203">
        <v>-106</v>
      </c>
      <c r="AX11" s="203">
        <f t="shared" si="15"/>
        <v>-40</v>
      </c>
      <c r="AY11" s="203">
        <f>-171-AW11-AX11</f>
        <v>-25</v>
      </c>
      <c r="AZ11" s="1448">
        <f t="shared" si="16"/>
        <v>-287</v>
      </c>
      <c r="BA11" s="203">
        <v>-146</v>
      </c>
      <c r="BB11" s="203">
        <f t="shared" si="17"/>
        <v>-312</v>
      </c>
      <c r="BC11" s="1461">
        <v>-458</v>
      </c>
      <c r="BD11" s="203">
        <v>-53</v>
      </c>
      <c r="BE11" s="203">
        <f t="shared" si="18"/>
        <v>-73</v>
      </c>
      <c r="BF11" s="203">
        <f>-1152-BD11-BE11</f>
        <v>-1026</v>
      </c>
      <c r="BG11" s="1448">
        <f t="shared" si="19"/>
        <v>-1367</v>
      </c>
      <c r="BH11" s="203">
        <v>-126</v>
      </c>
      <c r="BI11" s="203">
        <f t="shared" si="20"/>
        <v>-2393</v>
      </c>
      <c r="BJ11" s="1461">
        <v>-2519</v>
      </c>
      <c r="BK11" s="203">
        <v>-42</v>
      </c>
      <c r="BL11" s="203">
        <f t="shared" si="21"/>
        <v>-35</v>
      </c>
      <c r="BM11" s="203">
        <f>-113-BK11-BL11</f>
        <v>-36</v>
      </c>
      <c r="BN11" s="1448">
        <f t="shared" si="22"/>
        <v>-1639</v>
      </c>
      <c r="BO11" s="203">
        <v>-77</v>
      </c>
      <c r="BP11" s="203">
        <f t="shared" si="23"/>
        <v>-1675</v>
      </c>
      <c r="BQ11" s="1461">
        <v>-1752</v>
      </c>
      <c r="BR11" s="203">
        <v>-132</v>
      </c>
      <c r="BS11" s="203">
        <f t="shared" si="24"/>
        <v>-71</v>
      </c>
      <c r="BT11" s="203">
        <f>-261-BR11-BS11</f>
        <v>-58</v>
      </c>
      <c r="BU11" s="1448">
        <f t="shared" si="25"/>
        <v>-53</v>
      </c>
      <c r="BV11" s="203">
        <v>-203</v>
      </c>
      <c r="BW11" s="203">
        <f t="shared" si="26"/>
        <v>-111</v>
      </c>
      <c r="BX11" s="1461">
        <v>-314</v>
      </c>
      <c r="BY11" s="203">
        <v>-175</v>
      </c>
      <c r="BZ11" s="203">
        <f t="shared" si="27"/>
        <v>0</v>
      </c>
      <c r="CA11" s="203">
        <f>-244-BY11-BZ11</f>
        <v>-69</v>
      </c>
      <c r="CB11" s="1448">
        <f t="shared" si="28"/>
        <v>-289</v>
      </c>
      <c r="CC11" s="203">
        <v>-175</v>
      </c>
      <c r="CD11" s="203">
        <f t="shared" si="29"/>
        <v>-358</v>
      </c>
      <c r="CE11" s="1461">
        <v>-533</v>
      </c>
      <c r="CF11" s="203">
        <v>-70</v>
      </c>
      <c r="CG11" s="203">
        <f t="shared" si="30"/>
        <v>-317</v>
      </c>
      <c r="CH11" s="203">
        <f>-458-CF11-CG11</f>
        <v>-71</v>
      </c>
      <c r="CI11" s="1448">
        <f t="shared" si="31"/>
        <v>-143</v>
      </c>
      <c r="CJ11" s="203">
        <v>-387</v>
      </c>
      <c r="CK11" s="203">
        <f t="shared" si="32"/>
        <v>-214</v>
      </c>
      <c r="CL11" s="1461">
        <v>-601</v>
      </c>
      <c r="CM11" s="203">
        <v>-70</v>
      </c>
      <c r="CN11" s="203">
        <f t="shared" si="33"/>
        <v>-131</v>
      </c>
      <c r="CO11" s="203">
        <f>-277-CM11-CN11</f>
        <v>-76</v>
      </c>
      <c r="CP11" s="1448">
        <f t="shared" si="34"/>
        <v>-391</v>
      </c>
      <c r="CQ11" s="203">
        <v>-201</v>
      </c>
      <c r="CR11" s="203">
        <f t="shared" si="35"/>
        <v>-467</v>
      </c>
      <c r="CS11" s="1461">
        <v>-668</v>
      </c>
      <c r="CT11" s="203">
        <v>-74</v>
      </c>
      <c r="CU11" s="203">
        <f t="shared" si="36"/>
        <v>-102</v>
      </c>
      <c r="CV11" s="203">
        <f>-253-CT11-CU11</f>
        <v>-77</v>
      </c>
      <c r="CW11" s="1448">
        <f t="shared" si="37"/>
        <v>-252</v>
      </c>
      <c r="CX11" s="203">
        <v>-176</v>
      </c>
      <c r="CY11" s="203">
        <f t="shared" si="38"/>
        <v>-329</v>
      </c>
      <c r="CZ11" s="1461">
        <v>-505</v>
      </c>
      <c r="DA11" s="203">
        <v>-75</v>
      </c>
      <c r="DB11" s="203">
        <f t="shared" si="39"/>
        <v>-82</v>
      </c>
      <c r="DC11" s="203">
        <v>-81</v>
      </c>
      <c r="DD11" s="1448">
        <f t="shared" si="40"/>
        <v>-34</v>
      </c>
      <c r="DE11" s="2081">
        <v>-157</v>
      </c>
      <c r="DF11" s="203">
        <f t="shared" si="41"/>
        <v>-115</v>
      </c>
      <c r="DG11" s="1857">
        <v>-272</v>
      </c>
      <c r="DH11" s="203">
        <v>-77</v>
      </c>
      <c r="DI11" s="1892">
        <f t="shared" si="42"/>
        <v>-80</v>
      </c>
      <c r="DJ11" s="860">
        <f t="shared" ref="DJ11:EP11" si="57">-DJ47</f>
        <v>-71.5</v>
      </c>
      <c r="DK11" s="1109">
        <f t="shared" si="57"/>
        <v>-71.5</v>
      </c>
      <c r="DL11" s="1892">
        <v>-157</v>
      </c>
      <c r="DM11" s="860">
        <f t="shared" si="57"/>
        <v>-143</v>
      </c>
      <c r="DN11" s="1119">
        <f t="shared" si="57"/>
        <v>-300</v>
      </c>
      <c r="DO11" s="860">
        <f t="shared" si="57"/>
        <v>-75</v>
      </c>
      <c r="DP11" s="860">
        <f t="shared" si="57"/>
        <v>-75</v>
      </c>
      <c r="DQ11" s="860">
        <f t="shared" si="57"/>
        <v>-75</v>
      </c>
      <c r="DR11" s="1109">
        <f t="shared" si="57"/>
        <v>-75</v>
      </c>
      <c r="DS11" s="860">
        <f t="shared" si="57"/>
        <v>-150</v>
      </c>
      <c r="DT11" s="860">
        <f t="shared" si="57"/>
        <v>-150</v>
      </c>
      <c r="DU11" s="1119">
        <f t="shared" si="57"/>
        <v>-300</v>
      </c>
      <c r="DV11" s="860">
        <f t="shared" si="57"/>
        <v>-75</v>
      </c>
      <c r="DW11" s="860">
        <f t="shared" si="57"/>
        <v>-75</v>
      </c>
      <c r="DX11" s="860">
        <f t="shared" si="57"/>
        <v>-75</v>
      </c>
      <c r="DY11" s="1109">
        <f t="shared" si="57"/>
        <v>-75</v>
      </c>
      <c r="DZ11" s="860">
        <f t="shared" si="57"/>
        <v>-150</v>
      </c>
      <c r="EA11" s="860">
        <f t="shared" si="57"/>
        <v>-150</v>
      </c>
      <c r="EB11" s="1119">
        <f t="shared" si="57"/>
        <v>-300</v>
      </c>
      <c r="EC11" s="860">
        <f t="shared" si="57"/>
        <v>-75</v>
      </c>
      <c r="ED11" s="860">
        <f t="shared" si="57"/>
        <v>-75</v>
      </c>
      <c r="EE11" s="860">
        <f t="shared" si="57"/>
        <v>-75</v>
      </c>
      <c r="EF11" s="1109">
        <f t="shared" si="57"/>
        <v>-75</v>
      </c>
      <c r="EG11" s="860">
        <f t="shared" si="57"/>
        <v>-150</v>
      </c>
      <c r="EH11" s="860">
        <f t="shared" si="57"/>
        <v>-150</v>
      </c>
      <c r="EI11" s="1119">
        <f t="shared" si="57"/>
        <v>-300</v>
      </c>
      <c r="EJ11" s="860">
        <f t="shared" si="57"/>
        <v>-75</v>
      </c>
      <c r="EK11" s="860">
        <f t="shared" si="57"/>
        <v>-75</v>
      </c>
      <c r="EL11" s="860">
        <f t="shared" si="57"/>
        <v>-75</v>
      </c>
      <c r="EM11" s="1109">
        <f t="shared" si="57"/>
        <v>-75</v>
      </c>
      <c r="EN11" s="860">
        <f t="shared" si="57"/>
        <v>-150</v>
      </c>
      <c r="EO11" s="860">
        <f t="shared" si="57"/>
        <v>-150</v>
      </c>
      <c r="EP11" s="1119">
        <f t="shared" si="57"/>
        <v>-300</v>
      </c>
      <c r="EQ11" s="1249"/>
      <c r="ER11" s="46"/>
    </row>
    <row r="12" spans="1:148" ht="10.199999999999999" customHeight="1">
      <c r="A12" s="43" t="s">
        <v>808</v>
      </c>
      <c r="B12" s="108"/>
      <c r="C12" s="130"/>
      <c r="D12" s="108"/>
      <c r="E12" s="235"/>
      <c r="F12" s="108"/>
      <c r="G12" s="108"/>
      <c r="H12" s="108"/>
      <c r="I12" s="108"/>
      <c r="J12" s="108"/>
      <c r="K12" s="108"/>
      <c r="L12" s="158"/>
      <c r="M12" s="158"/>
      <c r="N12" s="158"/>
      <c r="O12" s="158"/>
      <c r="P12" s="158"/>
      <c r="Q12" s="695"/>
      <c r="R12" s="158"/>
      <c r="S12" s="158"/>
      <c r="T12" s="1301"/>
      <c r="U12" s="158"/>
      <c r="V12" s="158"/>
      <c r="W12" s="158"/>
      <c r="X12" s="695"/>
      <c r="Y12" s="158"/>
      <c r="Z12" s="158"/>
      <c r="AA12" s="1301"/>
      <c r="AB12" s="158"/>
      <c r="AC12" s="158"/>
      <c r="AD12" s="158"/>
      <c r="AE12" s="695"/>
      <c r="AF12" s="158"/>
      <c r="AG12" s="158"/>
      <c r="AH12" s="1301"/>
      <c r="AI12" s="158"/>
      <c r="AJ12" s="158"/>
      <c r="AK12" s="158"/>
      <c r="AL12" s="695"/>
      <c r="AM12" s="158"/>
      <c r="AN12" s="158"/>
      <c r="AO12" s="1301"/>
      <c r="AP12" s="158"/>
      <c r="AQ12" s="158"/>
      <c r="AR12" s="158"/>
      <c r="AS12" s="695"/>
      <c r="AT12" s="158"/>
      <c r="AU12" s="158"/>
      <c r="AV12" s="1301"/>
      <c r="AW12" s="158"/>
      <c r="AX12" s="158"/>
      <c r="AY12" s="158"/>
      <c r="AZ12" s="695"/>
      <c r="BA12" s="158"/>
      <c r="BB12" s="158"/>
      <c r="BC12" s="1301"/>
      <c r="BD12" s="158"/>
      <c r="BE12" s="158"/>
      <c r="BF12" s="158"/>
      <c r="BG12" s="695"/>
      <c r="BH12" s="158"/>
      <c r="BI12" s="158"/>
      <c r="BJ12" s="1301"/>
      <c r="BK12" s="158"/>
      <c r="BL12" s="158"/>
      <c r="BM12" s="158"/>
      <c r="BN12" s="695"/>
      <c r="BO12" s="158"/>
      <c r="BP12" s="158"/>
      <c r="BQ12" s="1301"/>
      <c r="BR12" s="158"/>
      <c r="BS12" s="158"/>
      <c r="BT12" s="158"/>
      <c r="BU12" s="695"/>
      <c r="BV12" s="158"/>
      <c r="BW12" s="158"/>
      <c r="BX12" s="1301"/>
      <c r="BY12" s="158"/>
      <c r="BZ12" s="158"/>
      <c r="CA12" s="158"/>
      <c r="CB12" s="695"/>
      <c r="CC12" s="158"/>
      <c r="CD12" s="158"/>
      <c r="CE12" s="1301"/>
      <c r="CF12" s="158"/>
      <c r="CG12" s="158"/>
      <c r="CH12" s="158"/>
      <c r="CI12" s="695"/>
      <c r="CJ12" s="158"/>
      <c r="CK12" s="158"/>
      <c r="CL12" s="1301"/>
      <c r="CM12" s="158"/>
      <c r="CN12" s="158"/>
      <c r="CO12" s="158"/>
      <c r="CP12" s="695"/>
      <c r="CQ12" s="158"/>
      <c r="CR12" s="158"/>
      <c r="CS12" s="1301">
        <v>0</v>
      </c>
      <c r="CT12" s="158"/>
      <c r="CU12" s="158"/>
      <c r="CV12" s="158"/>
      <c r="CW12" s="695"/>
      <c r="CX12" s="158"/>
      <c r="CY12" s="158"/>
      <c r="CZ12" s="1301">
        <v>0</v>
      </c>
      <c r="DA12" s="158"/>
      <c r="DB12" s="158"/>
      <c r="DC12" s="158"/>
      <c r="DD12" s="695"/>
      <c r="DE12" s="818">
        <v>0</v>
      </c>
      <c r="DF12" s="158"/>
      <c r="DG12" s="1859">
        <v>0</v>
      </c>
      <c r="DH12" s="158"/>
      <c r="DI12" s="2057"/>
      <c r="DJ12" s="819">
        <f>BS!DJ41-BS!DI41</f>
        <v>12</v>
      </c>
      <c r="DK12" s="1554">
        <f t="shared" si="43"/>
        <v>-12</v>
      </c>
      <c r="DL12" s="2006">
        <v>0</v>
      </c>
      <c r="DM12" s="819">
        <f t="shared" si="44"/>
        <v>0</v>
      </c>
      <c r="DN12" s="1544">
        <f>BS!DN41-BS!DG41</f>
        <v>0</v>
      </c>
      <c r="DO12" s="819">
        <f>BS!DO41-BS!DN41</f>
        <v>0</v>
      </c>
      <c r="DP12" s="327">
        <f t="shared" si="45"/>
        <v>0</v>
      </c>
      <c r="DQ12" s="819">
        <f>BS!DQ41-BS!DP41</f>
        <v>0</v>
      </c>
      <c r="DR12" s="1554">
        <f t="shared" si="46"/>
        <v>0</v>
      </c>
      <c r="DS12" s="819">
        <f>BS!DS41-BS!DN41</f>
        <v>0</v>
      </c>
      <c r="DT12" s="819">
        <f t="shared" si="47"/>
        <v>0</v>
      </c>
      <c r="DU12" s="1544">
        <f>BS!DU41-BS!DN41</f>
        <v>0</v>
      </c>
      <c r="DV12" s="819">
        <f>BS!DV41-BS!DU41</f>
        <v>0</v>
      </c>
      <c r="DW12" s="327">
        <f t="shared" si="48"/>
        <v>0</v>
      </c>
      <c r="DX12" s="819">
        <f>BS!DX41-BS!DW41</f>
        <v>0</v>
      </c>
      <c r="DY12" s="1554">
        <f t="shared" si="49"/>
        <v>0</v>
      </c>
      <c r="DZ12" s="819">
        <f>BS!DZ41-BS!DU41</f>
        <v>0</v>
      </c>
      <c r="EA12" s="819">
        <f t="shared" si="50"/>
        <v>0</v>
      </c>
      <c r="EB12" s="1544">
        <f>BS!EB41-BS!DU41</f>
        <v>0</v>
      </c>
      <c r="EC12" s="819">
        <f>BS!EC41-BS!EB41</f>
        <v>0</v>
      </c>
      <c r="ED12" s="327">
        <f t="shared" si="51"/>
        <v>0</v>
      </c>
      <c r="EE12" s="819">
        <f>BS!EE41-BS!ED41</f>
        <v>0</v>
      </c>
      <c r="EF12" s="1554">
        <f t="shared" si="52"/>
        <v>0</v>
      </c>
      <c r="EG12" s="819">
        <f>BS!EG41-BS!EB41</f>
        <v>0</v>
      </c>
      <c r="EH12" s="819">
        <f t="shared" si="53"/>
        <v>0</v>
      </c>
      <c r="EI12" s="1544">
        <f>BS!EI41-BS!EB41</f>
        <v>0</v>
      </c>
      <c r="EJ12" s="819">
        <f>BS!EJ41-BS!EI41</f>
        <v>0</v>
      </c>
      <c r="EK12" s="327">
        <f t="shared" si="54"/>
        <v>0</v>
      </c>
      <c r="EL12" s="819">
        <f>BS!EL41-BS!EK41</f>
        <v>0</v>
      </c>
      <c r="EM12" s="1554">
        <f t="shared" si="55"/>
        <v>0</v>
      </c>
      <c r="EN12" s="819">
        <f>BS!EN41-BS!EI41</f>
        <v>0</v>
      </c>
      <c r="EO12" s="819">
        <f t="shared" si="56"/>
        <v>0</v>
      </c>
      <c r="EP12" s="1544">
        <f>BS!EP41-BS!EI41</f>
        <v>0</v>
      </c>
      <c r="EQ12" s="2067"/>
      <c r="ER12" s="91"/>
    </row>
    <row r="13" spans="1:148" ht="10.199999999999999" customHeight="1" outlineLevel="1">
      <c r="A13" s="76" t="s">
        <v>230</v>
      </c>
      <c r="B13" s="108"/>
      <c r="C13" s="108">
        <v>274</v>
      </c>
      <c r="D13" s="203">
        <v>-551</v>
      </c>
      <c r="E13" s="235">
        <v>366</v>
      </c>
      <c r="F13" s="203">
        <v>-3264</v>
      </c>
      <c r="G13" s="203">
        <v>-1942</v>
      </c>
      <c r="H13" s="203">
        <v>-2998</v>
      </c>
      <c r="I13" s="203">
        <v>-1210</v>
      </c>
      <c r="J13" s="203">
        <v>-1961</v>
      </c>
      <c r="K13" s="130">
        <v>705</v>
      </c>
      <c r="L13" s="203">
        <v>-1640</v>
      </c>
      <c r="M13" s="203">
        <v>-1526</v>
      </c>
      <c r="N13" s="203"/>
      <c r="O13" s="203"/>
      <c r="P13" s="203"/>
      <c r="Q13" s="1448"/>
      <c r="R13" s="203"/>
      <c r="S13" s="203"/>
      <c r="T13" s="1461">
        <v>-3102</v>
      </c>
      <c r="U13" s="203"/>
      <c r="V13" s="203"/>
      <c r="W13" s="203"/>
      <c r="X13" s="1448"/>
      <c r="Y13" s="203"/>
      <c r="Z13" s="203"/>
      <c r="AA13" s="1461">
        <v>-3252</v>
      </c>
      <c r="AB13" s="203"/>
      <c r="AC13" s="203"/>
      <c r="AD13" s="203"/>
      <c r="AE13" s="1448"/>
      <c r="AF13" s="203"/>
      <c r="AG13" s="203"/>
      <c r="AH13" s="1461">
        <v>-4133</v>
      </c>
      <c r="AI13" s="203"/>
      <c r="AJ13" s="203"/>
      <c r="AK13" s="203"/>
      <c r="AL13" s="1448"/>
      <c r="AM13" s="203"/>
      <c r="AN13" s="203"/>
      <c r="AO13" s="1461">
        <v>-3477</v>
      </c>
      <c r="AP13" s="203"/>
      <c r="AQ13" s="203"/>
      <c r="AR13" s="203"/>
      <c r="AS13" s="1448"/>
      <c r="AT13" s="203"/>
      <c r="AU13" s="203"/>
      <c r="AV13" s="1461">
        <v>-2572</v>
      </c>
      <c r="AW13" s="203"/>
      <c r="AX13" s="203"/>
      <c r="AY13" s="203"/>
      <c r="AZ13" s="1448"/>
      <c r="BA13" s="203"/>
      <c r="BB13" s="203"/>
      <c r="BC13" s="1461">
        <v>-2112</v>
      </c>
      <c r="BD13" s="203"/>
      <c r="BE13" s="203"/>
      <c r="BF13" s="203"/>
      <c r="BG13" s="1448"/>
      <c r="BH13" s="203"/>
      <c r="BI13" s="203"/>
      <c r="BJ13" s="1461">
        <v>-671</v>
      </c>
      <c r="BK13" s="203"/>
      <c r="BL13" s="203"/>
      <c r="BM13" s="203"/>
      <c r="BN13" s="1448"/>
      <c r="BO13" s="203"/>
      <c r="BP13" s="203"/>
      <c r="BQ13" s="1461">
        <v>117</v>
      </c>
      <c r="BR13" s="203"/>
      <c r="BS13" s="203"/>
      <c r="BT13" s="203"/>
      <c r="BU13" s="1448"/>
      <c r="BV13" s="203"/>
      <c r="BW13" s="203"/>
      <c r="BX13" s="1461">
        <v>152</v>
      </c>
      <c r="BY13" s="203"/>
      <c r="BZ13" s="203"/>
      <c r="CA13" s="203"/>
      <c r="CB13" s="1448"/>
      <c r="CC13" s="203"/>
      <c r="CD13" s="203"/>
      <c r="CE13" s="1461">
        <v>2405</v>
      </c>
      <c r="CF13" s="203"/>
      <c r="CG13" s="203"/>
      <c r="CH13" s="203"/>
      <c r="CI13" s="1448"/>
      <c r="CJ13" s="203"/>
      <c r="CK13" s="203"/>
      <c r="CL13" s="1461">
        <v>-3218</v>
      </c>
      <c r="CM13" s="203"/>
      <c r="CN13" s="203"/>
      <c r="CO13" s="203"/>
      <c r="CP13" s="1448"/>
      <c r="CQ13" s="203"/>
      <c r="CR13" s="203"/>
      <c r="CS13" s="1461">
        <v>-1854</v>
      </c>
      <c r="CT13" s="203"/>
      <c r="CU13" s="203"/>
      <c r="CV13" s="203"/>
      <c r="CW13" s="1448"/>
      <c r="CX13" s="203"/>
      <c r="CY13" s="203"/>
      <c r="CZ13" s="2096">
        <v>-3522</v>
      </c>
      <c r="DA13" s="203"/>
      <c r="DB13" s="203"/>
      <c r="DC13" s="203"/>
      <c r="DD13" s="1448"/>
      <c r="DE13" s="460"/>
      <c r="DF13" s="203"/>
      <c r="DG13" s="1860">
        <v>-3989</v>
      </c>
      <c r="DH13" s="203"/>
      <c r="DI13" s="2013"/>
      <c r="DJ13" s="460"/>
      <c r="DK13" s="461"/>
      <c r="DL13" s="2009"/>
      <c r="DM13" s="886"/>
      <c r="DN13" s="592">
        <f>-(BS!DN158-BS!DG158)</f>
        <v>-2630.9791068614577</v>
      </c>
      <c r="DO13" s="460">
        <f>-(BS!DO158-BS!DN158)</f>
        <v>1932.0990616163399</v>
      </c>
      <c r="DP13" s="1422">
        <f t="shared" si="45"/>
        <v>-2194.3856650788148</v>
      </c>
      <c r="DQ13" s="460">
        <f>-(BS!DQ158-BS!DP158)</f>
        <v>-1974.8843412574206</v>
      </c>
      <c r="DR13" s="461">
        <f t="shared" si="46"/>
        <v>-525.76814209948498</v>
      </c>
      <c r="DS13" s="460">
        <f>-(BS!DS158-BS!DN158)</f>
        <v>-262.28660346247489</v>
      </c>
      <c r="DT13" s="886">
        <f t="shared" si="47"/>
        <v>-2500.6524833569056</v>
      </c>
      <c r="DU13" s="592">
        <f>-(BS!DU158-BS!DN158)</f>
        <v>-2762.9390868193805</v>
      </c>
      <c r="DV13" s="460">
        <f>-(BS!DV158-BS!DU158)</f>
        <v>3268.0435704962001</v>
      </c>
      <c r="DW13" s="1422">
        <f t="shared" si="48"/>
        <v>-2283.4714722550998</v>
      </c>
      <c r="DX13" s="460">
        <f>-(BS!DX158-BS!DW158)</f>
        <v>-2064.9282972398869</v>
      </c>
      <c r="DY13" s="461">
        <f t="shared" si="49"/>
        <v>-657.19616864860291</v>
      </c>
      <c r="DZ13" s="460">
        <f>-(BS!DZ158-BS!DU158)</f>
        <v>984.57209824110032</v>
      </c>
      <c r="EA13" s="886">
        <f t="shared" si="50"/>
        <v>-2722.1244658884898</v>
      </c>
      <c r="EB13" s="592">
        <f>-(BS!EB158-BS!DU158)</f>
        <v>-1737.5523676473895</v>
      </c>
      <c r="EC13" s="460">
        <f>-(BS!EC158-BS!EB158)</f>
        <v>1817.7024449620512</v>
      </c>
      <c r="ED13" s="1422">
        <f t="shared" si="51"/>
        <v>-1582.273319703374</v>
      </c>
      <c r="EE13" s="460">
        <f>-(BS!EE158-BS!ED158)</f>
        <v>-1352.2519296245882</v>
      </c>
      <c r="EF13" s="461">
        <f t="shared" si="52"/>
        <v>-1084.8121919449623</v>
      </c>
      <c r="EG13" s="460">
        <f>-(BS!EG158-BS!EB158)</f>
        <v>235.42912525867723</v>
      </c>
      <c r="EH13" s="886">
        <f t="shared" si="53"/>
        <v>-2437.0641215695505</v>
      </c>
      <c r="EI13" s="592">
        <f>-(BS!EI158-BS!EB158)</f>
        <v>-2201.6349963108732</v>
      </c>
      <c r="EJ13" s="460">
        <f>-(BS!EJ158-BS!EI158)</f>
        <v>2446.0299656241186</v>
      </c>
      <c r="EK13" s="1422">
        <f t="shared" si="54"/>
        <v>-1661.6304652048639</v>
      </c>
      <c r="EL13" s="460">
        <f>-(BS!EL158-BS!EK158)</f>
        <v>-1421.2282650383713</v>
      </c>
      <c r="EM13" s="461">
        <f t="shared" si="55"/>
        <v>-1121.1242514379483</v>
      </c>
      <c r="EN13" s="460">
        <f>-(BS!EN158-BS!EI158)</f>
        <v>784.39950041925476</v>
      </c>
      <c r="EO13" s="886">
        <f t="shared" si="56"/>
        <v>-2542.3525164763196</v>
      </c>
      <c r="EP13" s="592">
        <f>-(BS!EP158-BS!EI158)</f>
        <v>-1757.9530160570648</v>
      </c>
      <c r="EQ13" s="2067"/>
      <c r="ER13" s="46"/>
    </row>
    <row r="14" spans="1:148" ht="10.199999999999999" customHeight="1" outlineLevel="1">
      <c r="A14" s="76" t="s">
        <v>194</v>
      </c>
      <c r="B14" s="108"/>
      <c r="C14" s="108">
        <v>895</v>
      </c>
      <c r="D14" s="191">
        <v>168</v>
      </c>
      <c r="E14" s="235">
        <v>-403</v>
      </c>
      <c r="F14" s="203">
        <v>-388</v>
      </c>
      <c r="G14" s="203">
        <v>-7</v>
      </c>
      <c r="H14" s="203">
        <v>-148</v>
      </c>
      <c r="I14" s="203">
        <v>-845</v>
      </c>
      <c r="J14" s="203">
        <v>-478</v>
      </c>
      <c r="K14" s="203">
        <v>-345</v>
      </c>
      <c r="L14" s="203">
        <v>447</v>
      </c>
      <c r="M14" s="203">
        <v>-260</v>
      </c>
      <c r="N14" s="203"/>
      <c r="O14" s="203"/>
      <c r="P14" s="203"/>
      <c r="Q14" s="1448"/>
      <c r="R14" s="203"/>
      <c r="S14" s="203"/>
      <c r="T14" s="1461">
        <v>-83</v>
      </c>
      <c r="U14" s="203"/>
      <c r="V14" s="203"/>
      <c r="W14" s="203"/>
      <c r="X14" s="1448"/>
      <c r="Y14" s="203"/>
      <c r="Z14" s="203"/>
      <c r="AA14" s="1461">
        <v>-700</v>
      </c>
      <c r="AB14" s="203"/>
      <c r="AC14" s="203"/>
      <c r="AD14" s="203"/>
      <c r="AE14" s="1448"/>
      <c r="AF14" s="203"/>
      <c r="AG14" s="203"/>
      <c r="AH14" s="1461">
        <v>-1378</v>
      </c>
      <c r="AI14" s="203"/>
      <c r="AJ14" s="203"/>
      <c r="AK14" s="203"/>
      <c r="AL14" s="1448"/>
      <c r="AM14" s="203"/>
      <c r="AN14" s="203"/>
      <c r="AO14" s="1461">
        <v>-1215</v>
      </c>
      <c r="AP14" s="203"/>
      <c r="AQ14" s="203"/>
      <c r="AR14" s="203"/>
      <c r="AS14" s="1448"/>
      <c r="AT14" s="203"/>
      <c r="AU14" s="203"/>
      <c r="AV14" s="1461">
        <v>621</v>
      </c>
      <c r="AW14" s="203"/>
      <c r="AX14" s="203"/>
      <c r="AY14" s="203"/>
      <c r="AZ14" s="1448"/>
      <c r="BA14" s="203"/>
      <c r="BB14" s="203"/>
      <c r="BC14" s="1461">
        <v>-47</v>
      </c>
      <c r="BD14" s="203"/>
      <c r="BE14" s="203"/>
      <c r="BF14" s="203"/>
      <c r="BG14" s="1448"/>
      <c r="BH14" s="203"/>
      <c r="BI14" s="203"/>
      <c r="BJ14" s="1461">
        <v>-881</v>
      </c>
      <c r="BK14" s="203"/>
      <c r="BL14" s="203"/>
      <c r="BM14" s="203"/>
      <c r="BN14" s="1448"/>
      <c r="BO14" s="203"/>
      <c r="BP14" s="203"/>
      <c r="BQ14" s="1461">
        <v>29</v>
      </c>
      <c r="BR14" s="203"/>
      <c r="BS14" s="203"/>
      <c r="BT14" s="203"/>
      <c r="BU14" s="1448"/>
      <c r="BV14" s="203"/>
      <c r="BW14" s="203"/>
      <c r="BX14" s="1461">
        <v>351</v>
      </c>
      <c r="BY14" s="203"/>
      <c r="BZ14" s="203"/>
      <c r="CA14" s="203"/>
      <c r="CB14" s="1448"/>
      <c r="CC14" s="203"/>
      <c r="CD14" s="203"/>
      <c r="CE14" s="1461">
        <v>379</v>
      </c>
      <c r="CF14" s="203"/>
      <c r="CG14" s="203"/>
      <c r="CH14" s="203"/>
      <c r="CI14" s="1448"/>
      <c r="CJ14" s="203"/>
      <c r="CK14" s="203"/>
      <c r="CL14" s="1461">
        <v>-115</v>
      </c>
      <c r="CM14" s="203"/>
      <c r="CN14" s="203"/>
      <c r="CO14" s="203"/>
      <c r="CP14" s="1448"/>
      <c r="CQ14" s="203"/>
      <c r="CR14" s="203"/>
      <c r="CS14" s="1461">
        <v>258</v>
      </c>
      <c r="CT14" s="203"/>
      <c r="CU14" s="203"/>
      <c r="CV14" s="203"/>
      <c r="CW14" s="1448"/>
      <c r="CX14" s="203"/>
      <c r="CY14" s="203"/>
      <c r="CZ14" s="2096">
        <v>-105</v>
      </c>
      <c r="DA14" s="203"/>
      <c r="DB14" s="203"/>
      <c r="DC14" s="203"/>
      <c r="DD14" s="1448"/>
      <c r="DE14" s="460"/>
      <c r="DF14" s="203"/>
      <c r="DG14" s="1860">
        <v>-707</v>
      </c>
      <c r="DH14" s="203"/>
      <c r="DI14" s="2013"/>
      <c r="DJ14" s="460"/>
      <c r="DK14" s="461"/>
      <c r="DL14" s="2009"/>
      <c r="DM14" s="886"/>
      <c r="DN14" s="592">
        <f>-(BS!DN161-BS!DG161)</f>
        <v>-587.86078729928977</v>
      </c>
      <c r="DO14" s="460">
        <f>-(BS!DO161-BS!DN161)</f>
        <v>-11.693504878583553</v>
      </c>
      <c r="DP14" s="1422">
        <f t="shared" si="45"/>
        <v>-313.48366643983081</v>
      </c>
      <c r="DQ14" s="460">
        <f>-(BS!DQ161-BS!DP161)</f>
        <v>-282.12633446534528</v>
      </c>
      <c r="DR14" s="461">
        <f t="shared" si="46"/>
        <v>-75.109734585640581</v>
      </c>
      <c r="DS14" s="460">
        <f>-(BS!DS161-BS!DN161)</f>
        <v>-325.17717131841437</v>
      </c>
      <c r="DT14" s="886">
        <f t="shared" si="47"/>
        <v>-357.23606905098586</v>
      </c>
      <c r="DU14" s="592">
        <f>-(BS!DU161-BS!DN161)</f>
        <v>-682.41324036940023</v>
      </c>
      <c r="DV14" s="460">
        <f>-(BS!DV161-BS!DU161)</f>
        <v>153.99283419099447</v>
      </c>
      <c r="DW14" s="1422">
        <f t="shared" si="48"/>
        <v>-342.52072083826533</v>
      </c>
      <c r="DX14" s="460">
        <f>-(BS!DX161-BS!DW161)</f>
        <v>-309.73924458598231</v>
      </c>
      <c r="DY14" s="461">
        <f t="shared" si="49"/>
        <v>-98.579425297290982</v>
      </c>
      <c r="DZ14" s="460">
        <f>-(BS!DZ161-BS!DU161)</f>
        <v>-188.52788664727086</v>
      </c>
      <c r="EA14" s="886">
        <f t="shared" si="50"/>
        <v>-408.31866988327329</v>
      </c>
      <c r="EB14" s="592">
        <f>-(BS!EB161-BS!DU161)</f>
        <v>-596.84655653054415</v>
      </c>
      <c r="EC14" s="460">
        <f>-(BS!EC161-BS!EB161)</f>
        <v>272.65536674430768</v>
      </c>
      <c r="ED14" s="1422">
        <f t="shared" si="51"/>
        <v>-237.34099795550628</v>
      </c>
      <c r="EE14" s="460">
        <f>-(BS!EE161-BS!ED161)</f>
        <v>-202.83778944368805</v>
      </c>
      <c r="EF14" s="461">
        <f t="shared" si="52"/>
        <v>-162.72182879174397</v>
      </c>
      <c r="EG14" s="460">
        <f>-(BS!EG161-BS!EB161)</f>
        <v>35.314368788801403</v>
      </c>
      <c r="EH14" s="886">
        <f t="shared" si="53"/>
        <v>-365.55961823543203</v>
      </c>
      <c r="EI14" s="592">
        <f>-(BS!EI161-BS!EB161)</f>
        <v>-330.24524944663062</v>
      </c>
      <c r="EJ14" s="460">
        <f>-(BS!EJ161-BS!EI161)</f>
        <v>366.90449484361761</v>
      </c>
      <c r="EK14" s="1422">
        <f t="shared" si="54"/>
        <v>-249.24456978072976</v>
      </c>
      <c r="EL14" s="460">
        <f>-(BS!EL161-BS!EK161)</f>
        <v>-213.1842397557557</v>
      </c>
      <c r="EM14" s="461">
        <f t="shared" si="55"/>
        <v>-168.16863771569206</v>
      </c>
      <c r="EN14" s="460">
        <f>-(BS!EN161-BS!EI161)</f>
        <v>117.65992506288785</v>
      </c>
      <c r="EO14" s="886">
        <f t="shared" si="56"/>
        <v>-381.35287747144775</v>
      </c>
      <c r="EP14" s="592">
        <f>-(BS!EP161-BS!EI161)</f>
        <v>-263.6929524085599</v>
      </c>
      <c r="EQ14" s="2067"/>
      <c r="ER14" s="46"/>
    </row>
    <row r="15" spans="1:148" ht="10.199999999999999" customHeight="1" outlineLevel="1">
      <c r="A15" s="76" t="s">
        <v>231</v>
      </c>
      <c r="B15" s="108"/>
      <c r="C15" s="197">
        <v>-139</v>
      </c>
      <c r="D15" s="191">
        <v>116</v>
      </c>
      <c r="E15" s="235">
        <v>756</v>
      </c>
      <c r="F15" s="203">
        <v>666</v>
      </c>
      <c r="G15" s="203">
        <v>686</v>
      </c>
      <c r="H15" s="203">
        <v>44</v>
      </c>
      <c r="I15" s="203">
        <v>757</v>
      </c>
      <c r="J15" s="203">
        <v>192</v>
      </c>
      <c r="K15" s="203">
        <v>-40</v>
      </c>
      <c r="L15" s="203">
        <v>806</v>
      </c>
      <c r="M15" s="203">
        <v>754</v>
      </c>
      <c r="N15" s="203"/>
      <c r="O15" s="203"/>
      <c r="P15" s="203"/>
      <c r="Q15" s="1448"/>
      <c r="R15" s="203"/>
      <c r="S15" s="203"/>
      <c r="T15" s="1461">
        <v>522</v>
      </c>
      <c r="U15" s="203"/>
      <c r="V15" s="203"/>
      <c r="W15" s="203"/>
      <c r="X15" s="1448"/>
      <c r="Y15" s="203"/>
      <c r="Z15" s="203"/>
      <c r="AA15" s="1461">
        <v>130</v>
      </c>
      <c r="AB15" s="203"/>
      <c r="AC15" s="203"/>
      <c r="AD15" s="203"/>
      <c r="AE15" s="1448"/>
      <c r="AF15" s="203"/>
      <c r="AG15" s="203"/>
      <c r="AH15" s="1461">
        <v>1603</v>
      </c>
      <c r="AI15" s="203"/>
      <c r="AJ15" s="203"/>
      <c r="AK15" s="203"/>
      <c r="AL15" s="1448"/>
      <c r="AM15" s="203"/>
      <c r="AN15" s="203"/>
      <c r="AO15" s="1461">
        <v>2398</v>
      </c>
      <c r="AP15" s="203"/>
      <c r="AQ15" s="203"/>
      <c r="AR15" s="203"/>
      <c r="AS15" s="1448"/>
      <c r="AT15" s="203"/>
      <c r="AU15" s="203"/>
      <c r="AV15" s="1461">
        <v>1419</v>
      </c>
      <c r="AW15" s="203"/>
      <c r="AX15" s="203"/>
      <c r="AY15" s="203"/>
      <c r="AZ15" s="1448"/>
      <c r="BA15" s="203"/>
      <c r="BB15" s="203"/>
      <c r="BC15" s="1461">
        <v>829</v>
      </c>
      <c r="BD15" s="203"/>
      <c r="BE15" s="203"/>
      <c r="BF15" s="203"/>
      <c r="BG15" s="1448"/>
      <c r="BH15" s="203"/>
      <c r="BI15" s="203"/>
      <c r="BJ15" s="1461">
        <v>2294</v>
      </c>
      <c r="BK15" s="203"/>
      <c r="BL15" s="203"/>
      <c r="BM15" s="203"/>
      <c r="BN15" s="1448"/>
      <c r="BO15" s="203"/>
      <c r="BP15" s="203"/>
      <c r="BQ15" s="1461">
        <v>-1625</v>
      </c>
      <c r="BR15" s="203"/>
      <c r="BS15" s="203"/>
      <c r="BT15" s="203"/>
      <c r="BU15" s="1448"/>
      <c r="BV15" s="203"/>
      <c r="BW15" s="203"/>
      <c r="BX15" s="1461">
        <v>-5523</v>
      </c>
      <c r="BY15" s="203"/>
      <c r="BZ15" s="203"/>
      <c r="CA15" s="203"/>
      <c r="CB15" s="1448"/>
      <c r="CC15" s="203"/>
      <c r="CD15" s="203"/>
      <c r="CE15" s="1461">
        <v>194</v>
      </c>
      <c r="CF15" s="203"/>
      <c r="CG15" s="203"/>
      <c r="CH15" s="203"/>
      <c r="CI15" s="1448"/>
      <c r="CJ15" s="203"/>
      <c r="CK15" s="203"/>
      <c r="CL15" s="1461">
        <v>3309</v>
      </c>
      <c r="CM15" s="203"/>
      <c r="CN15" s="203"/>
      <c r="CO15" s="203"/>
      <c r="CP15" s="1448"/>
      <c r="CQ15" s="203"/>
      <c r="CR15" s="203"/>
      <c r="CS15" s="1461">
        <v>1421</v>
      </c>
      <c r="CT15" s="203"/>
      <c r="CU15" s="203"/>
      <c r="CV15" s="203"/>
      <c r="CW15" s="1448"/>
      <c r="CX15" s="203"/>
      <c r="CY15" s="203"/>
      <c r="CZ15" s="2096">
        <v>-1182</v>
      </c>
      <c r="DA15" s="203"/>
      <c r="DB15" s="203"/>
      <c r="DC15" s="203"/>
      <c r="DD15" s="1448"/>
      <c r="DE15" s="460"/>
      <c r="DF15" s="203"/>
      <c r="DG15" s="1860">
        <v>2791</v>
      </c>
      <c r="DH15" s="203"/>
      <c r="DI15" s="2013"/>
      <c r="DJ15" s="460"/>
      <c r="DK15" s="461"/>
      <c r="DL15" s="2009"/>
      <c r="DM15" s="886"/>
      <c r="DN15" s="592">
        <f>(BS!DN170-BS!DG170)</f>
        <v>1442.0009235912948</v>
      </c>
      <c r="DO15" s="460">
        <f>(BS!DO170-BS!DN170)</f>
        <v>33.521380651942309</v>
      </c>
      <c r="DP15" s="1422">
        <f t="shared" si="45"/>
        <v>898.65317712751494</v>
      </c>
      <c r="DQ15" s="460">
        <f>(BS!DQ170-BS!DP170)</f>
        <v>808.76215880065865</v>
      </c>
      <c r="DR15" s="461">
        <f t="shared" si="46"/>
        <v>215.31457247883372</v>
      </c>
      <c r="DS15" s="460">
        <f>(BS!DS170-BS!DN170)</f>
        <v>932.17455777945725</v>
      </c>
      <c r="DT15" s="886">
        <f t="shared" si="47"/>
        <v>1024.0767312794924</v>
      </c>
      <c r="DU15" s="592">
        <f>(BS!DU170-BS!DN170)</f>
        <v>1956.2512890589496</v>
      </c>
      <c r="DV15" s="460">
        <f>(BS!DV170-BS!DU170)</f>
        <v>-441.44612468084961</v>
      </c>
      <c r="DW15" s="1422">
        <f t="shared" si="48"/>
        <v>981.89273306969335</v>
      </c>
      <c r="DX15" s="460">
        <f>(BS!DX170-BS!DW170)</f>
        <v>887.91916781315012</v>
      </c>
      <c r="DY15" s="461">
        <f t="shared" si="49"/>
        <v>282.59435251889954</v>
      </c>
      <c r="DZ15" s="460">
        <f>(BS!DZ170-BS!DU170)</f>
        <v>540.44660838884374</v>
      </c>
      <c r="EA15" s="886">
        <f t="shared" si="50"/>
        <v>1170.5135203320497</v>
      </c>
      <c r="EB15" s="592">
        <f>(BS!EB170-BS!DU170)</f>
        <v>1710.9601287208934</v>
      </c>
      <c r="EC15" s="460">
        <f>(BS!EC170-BS!EB170)</f>
        <v>-781.61205133368276</v>
      </c>
      <c r="ED15" s="1422">
        <f t="shared" si="51"/>
        <v>680.37752747245031</v>
      </c>
      <c r="EE15" s="460">
        <f>(BS!EE170-BS!ED170)</f>
        <v>581.46832973857454</v>
      </c>
      <c r="EF15" s="461">
        <f t="shared" si="52"/>
        <v>466.46924253633188</v>
      </c>
      <c r="EG15" s="460">
        <f>(BS!EG170-BS!EB170)</f>
        <v>-101.23452386123245</v>
      </c>
      <c r="EH15" s="886">
        <f t="shared" si="53"/>
        <v>1047.9375722749064</v>
      </c>
      <c r="EI15" s="592">
        <f>(BS!EI170-BS!EB170)</f>
        <v>946.70304841367397</v>
      </c>
      <c r="EJ15" s="460">
        <f>(BS!EJ170-BS!EI170)</f>
        <v>-1051.7928852183686</v>
      </c>
      <c r="EK15" s="1422">
        <f t="shared" si="54"/>
        <v>714.50110003809095</v>
      </c>
      <c r="EL15" s="460">
        <f>(BS!EL170-BS!EK170)</f>
        <v>611.12815396649967</v>
      </c>
      <c r="EM15" s="461">
        <f t="shared" si="55"/>
        <v>482.08342811831608</v>
      </c>
      <c r="EN15" s="460">
        <f>(BS!EN170-BS!EI170)</f>
        <v>-337.29178518027766</v>
      </c>
      <c r="EO15" s="886">
        <f t="shared" si="56"/>
        <v>1093.2115820848157</v>
      </c>
      <c r="EP15" s="592">
        <f>(BS!EP170-BS!EI170)</f>
        <v>755.91979690453809</v>
      </c>
      <c r="EQ15" s="2067"/>
      <c r="ER15" s="46"/>
    </row>
    <row r="16" spans="1:148" ht="10.199999999999999" customHeight="1" outlineLevel="1">
      <c r="A16" s="231" t="s">
        <v>282</v>
      </c>
      <c r="B16" s="108"/>
      <c r="C16" s="203">
        <v>0</v>
      </c>
      <c r="D16" s="203">
        <v>0</v>
      </c>
      <c r="E16" s="203">
        <v>0</v>
      </c>
      <c r="F16" s="203">
        <v>4237</v>
      </c>
      <c r="G16" s="203">
        <v>1564</v>
      </c>
      <c r="H16" s="203">
        <v>4817</v>
      </c>
      <c r="I16" s="203">
        <v>2435</v>
      </c>
      <c r="J16" s="203">
        <v>2925</v>
      </c>
      <c r="K16" s="130">
        <v>1698</v>
      </c>
      <c r="L16" s="130">
        <v>1965</v>
      </c>
      <c r="M16" s="130">
        <v>1243</v>
      </c>
      <c r="N16" s="203"/>
      <c r="O16" s="203"/>
      <c r="P16" s="203"/>
      <c r="Q16" s="698"/>
      <c r="R16" s="203"/>
      <c r="S16" s="130"/>
      <c r="T16" s="1461">
        <v>580</v>
      </c>
      <c r="U16" s="203"/>
      <c r="V16" s="203"/>
      <c r="W16" s="203"/>
      <c r="X16" s="698"/>
      <c r="Y16" s="203"/>
      <c r="Z16" s="130"/>
      <c r="AA16" s="1461">
        <v>1715</v>
      </c>
      <c r="AB16" s="203"/>
      <c r="AC16" s="203"/>
      <c r="AD16" s="203"/>
      <c r="AE16" s="698"/>
      <c r="AF16" s="203"/>
      <c r="AG16" s="130"/>
      <c r="AH16" s="1461">
        <v>3752</v>
      </c>
      <c r="AI16" s="203"/>
      <c r="AJ16" s="203"/>
      <c r="AK16" s="203"/>
      <c r="AL16" s="698"/>
      <c r="AM16" s="203"/>
      <c r="AN16" s="130"/>
      <c r="AO16" s="1461">
        <v>4628</v>
      </c>
      <c r="AP16" s="203"/>
      <c r="AQ16" s="203"/>
      <c r="AR16" s="203"/>
      <c r="AS16" s="698"/>
      <c r="AT16" s="203"/>
      <c r="AU16" s="130"/>
      <c r="AV16" s="1461">
        <v>1268</v>
      </c>
      <c r="AW16" s="203"/>
      <c r="AX16" s="203"/>
      <c r="AY16" s="203"/>
      <c r="AZ16" s="698"/>
      <c r="BA16" s="203"/>
      <c r="BB16" s="130"/>
      <c r="BC16" s="1461">
        <v>2572</v>
      </c>
      <c r="BD16" s="203"/>
      <c r="BE16" s="203"/>
      <c r="BF16" s="203"/>
      <c r="BG16" s="698"/>
      <c r="BH16" s="203"/>
      <c r="BI16" s="130"/>
      <c r="BJ16" s="1461">
        <v>-684</v>
      </c>
      <c r="BK16" s="203"/>
      <c r="BL16" s="203"/>
      <c r="BM16" s="203"/>
      <c r="BN16" s="698"/>
      <c r="BO16" s="203"/>
      <c r="BP16" s="130"/>
      <c r="BQ16" s="1461">
        <v>1297</v>
      </c>
      <c r="BR16" s="203"/>
      <c r="BS16" s="203"/>
      <c r="BT16" s="203"/>
      <c r="BU16" s="698"/>
      <c r="BV16" s="203"/>
      <c r="BW16" s="130"/>
      <c r="BX16" s="1461">
        <v>848</v>
      </c>
      <c r="BY16" s="203"/>
      <c r="BZ16" s="203"/>
      <c r="CA16" s="203"/>
      <c r="CB16" s="698"/>
      <c r="CC16" s="203"/>
      <c r="CD16" s="130"/>
      <c r="CE16" s="1461">
        <v>-2326</v>
      </c>
      <c r="CF16" s="203"/>
      <c r="CG16" s="203"/>
      <c r="CH16" s="203"/>
      <c r="CI16" s="698"/>
      <c r="CJ16" s="203"/>
      <c r="CK16" s="130"/>
      <c r="CL16" s="1461">
        <v>3300</v>
      </c>
      <c r="CM16" s="203"/>
      <c r="CN16" s="203"/>
      <c r="CO16" s="203"/>
      <c r="CP16" s="698"/>
      <c r="CQ16" s="203"/>
      <c r="CR16" s="130"/>
      <c r="CS16" s="1461">
        <v>2277</v>
      </c>
      <c r="CT16" s="203"/>
      <c r="CU16" s="203"/>
      <c r="CV16" s="203"/>
      <c r="CW16" s="698"/>
      <c r="CX16" s="203"/>
      <c r="CY16" s="130"/>
      <c r="CZ16" s="2096">
        <v>7135</v>
      </c>
      <c r="DA16" s="203"/>
      <c r="DB16" s="203"/>
      <c r="DC16" s="203"/>
      <c r="DD16" s="698"/>
      <c r="DE16" s="460"/>
      <c r="DF16" s="130"/>
      <c r="DG16" s="1860">
        <v>3250</v>
      </c>
      <c r="DH16" s="203"/>
      <c r="DI16" s="2013"/>
      <c r="DJ16" s="460"/>
      <c r="DK16" s="461"/>
      <c r="DL16" s="2009"/>
      <c r="DM16" s="460"/>
      <c r="DN16" s="592">
        <f>+(BS!DN30-BS!DG30)+(BS!DN40-BS!DG40)</f>
        <v>1822.6078729928995</v>
      </c>
      <c r="DO16" s="460">
        <f>+(BS!DO30-BS!DN30)+(BS!DO40-BS!DN40)</f>
        <v>-4725.9083849564704</v>
      </c>
      <c r="DP16" s="1422">
        <f t="shared" si="45"/>
        <v>2884.0497312464504</v>
      </c>
      <c r="DQ16" s="460">
        <f>+(BS!DQ30-BS!DP30)+(BS!DQ40-BS!DP40)</f>
        <v>2595.5622770811751</v>
      </c>
      <c r="DR16" s="461">
        <f t="shared" si="46"/>
        <v>691.00955818789225</v>
      </c>
      <c r="DS16" s="460">
        <f>+(BS!DS30-BS!DN30)+(BS!DS40-BS!DN40)</f>
        <v>-1841.85865371002</v>
      </c>
      <c r="DT16" s="460">
        <f t="shared" si="47"/>
        <v>3286.5718352690674</v>
      </c>
      <c r="DU16" s="592">
        <f>+(BS!DU30-BS!DN30)+(BS!DU40-BS!DN40)</f>
        <v>1444.7131815590474</v>
      </c>
      <c r="DV16" s="460">
        <f>+(BS!DV30-BS!DU30)+(BS!DV40-BS!DU40)</f>
        <v>-5358.9027906437623</v>
      </c>
      <c r="DW16" s="1422">
        <f t="shared" si="48"/>
        <v>2945.6781992090764</v>
      </c>
      <c r="DX16" s="460">
        <f>+(BS!DX30-BS!DW30)+(BS!DX40-BS!DW40)</f>
        <v>2663.757503439454</v>
      </c>
      <c r="DY16" s="461">
        <f t="shared" si="49"/>
        <v>847.78305755669862</v>
      </c>
      <c r="DZ16" s="460">
        <f>+(BS!DZ30-BS!DU30)+(BS!DZ40-BS!DU40)</f>
        <v>-2413.2245914346859</v>
      </c>
      <c r="EA16" s="460">
        <f t="shared" si="50"/>
        <v>3511.5405609961526</v>
      </c>
      <c r="EB16" s="592">
        <f>+(BS!EB30-BS!DU30)+(BS!EB40-BS!DU40)</f>
        <v>1098.3159695614668</v>
      </c>
      <c r="EC16" s="460">
        <f>+(BS!EC30-BS!EB30)+(BS!EC40-BS!EB40)</f>
        <v>-3284.6315163283653</v>
      </c>
      <c r="ED16" s="1422">
        <f t="shared" si="51"/>
        <v>2009.4871160232797</v>
      </c>
      <c r="EE16" s="460">
        <f>+(BS!EE30-BS!ED30)+(BS!EE40-BS!ED40)</f>
        <v>1717.3599506232276</v>
      </c>
      <c r="EF16" s="461">
        <f t="shared" si="52"/>
        <v>1377.711483770101</v>
      </c>
      <c r="EG16" s="460">
        <f>+(BS!EG30-BS!EB30)+(BS!EG40-BS!EB40)</f>
        <v>-1275.1444003050856</v>
      </c>
      <c r="EH16" s="460">
        <f t="shared" si="53"/>
        <v>3095.0714343933287</v>
      </c>
      <c r="EI16" s="592">
        <f>+(BS!EI30-BS!EB30)+(BS!EI40-BS!EB40)</f>
        <v>1819.9270340882431</v>
      </c>
      <c r="EJ16" s="460">
        <f>+(BS!EJ30-BS!EI30)+(BS!EJ40-BS!EI40)</f>
        <v>-3592.0888122627803</v>
      </c>
      <c r="EK16" s="1422">
        <f t="shared" si="54"/>
        <v>2093.6543861581304</v>
      </c>
      <c r="EL16" s="460">
        <f>+(BS!EL30-BS!EK30)+(BS!EL40-BS!EK40)</f>
        <v>1790.7476139483479</v>
      </c>
      <c r="EM16" s="461">
        <f t="shared" si="55"/>
        <v>1412.6165568118086</v>
      </c>
      <c r="EN16" s="460">
        <f>+(BS!EN30-BS!EI30)+(BS!EN40-BS!EI40)</f>
        <v>-1498.4344261046499</v>
      </c>
      <c r="EO16" s="460">
        <f t="shared" si="56"/>
        <v>3203.3641707601564</v>
      </c>
      <c r="EP16" s="592">
        <f>+(BS!EP30-BS!EI30)+(BS!EP40-BS!EI40)</f>
        <v>1704.9297446555065</v>
      </c>
      <c r="EQ16" s="2067"/>
      <c r="ER16" s="46"/>
    </row>
    <row r="17" spans="1:148" ht="10.199999999999999" customHeight="1" outlineLevel="1">
      <c r="A17" s="76" t="s">
        <v>218</v>
      </c>
      <c r="B17" s="108"/>
      <c r="C17" s="203"/>
      <c r="D17" s="203"/>
      <c r="E17" s="203"/>
      <c r="F17" s="203"/>
      <c r="G17" s="203"/>
      <c r="H17" s="203">
        <f>194</f>
        <v>194</v>
      </c>
      <c r="I17" s="203">
        <f>-208</f>
        <v>-208</v>
      </c>
      <c r="J17" s="203">
        <f>-306</f>
        <v>-306</v>
      </c>
      <c r="K17" s="130">
        <v>169</v>
      </c>
      <c r="L17" s="130">
        <v>246</v>
      </c>
      <c r="M17" s="130">
        <v>30</v>
      </c>
      <c r="N17" s="197"/>
      <c r="O17" s="197"/>
      <c r="P17" s="197"/>
      <c r="Q17" s="698"/>
      <c r="R17" s="197"/>
      <c r="S17" s="130"/>
      <c r="T17" s="1461">
        <v>-327</v>
      </c>
      <c r="U17" s="197"/>
      <c r="V17" s="197"/>
      <c r="W17" s="197"/>
      <c r="X17" s="698"/>
      <c r="Y17" s="197"/>
      <c r="Z17" s="130"/>
      <c r="AA17" s="1461">
        <v>124</v>
      </c>
      <c r="AB17" s="197"/>
      <c r="AC17" s="197"/>
      <c r="AD17" s="197"/>
      <c r="AE17" s="698"/>
      <c r="AF17" s="197"/>
      <c r="AG17" s="130"/>
      <c r="AH17" s="1461">
        <v>-193</v>
      </c>
      <c r="AI17" s="197"/>
      <c r="AJ17" s="197"/>
      <c r="AK17" s="197"/>
      <c r="AL17" s="698"/>
      <c r="AM17" s="197"/>
      <c r="AN17" s="130"/>
      <c r="AO17" s="1461">
        <v>-202</v>
      </c>
      <c r="AP17" s="197"/>
      <c r="AQ17" s="197"/>
      <c r="AR17" s="197"/>
      <c r="AS17" s="698"/>
      <c r="AT17" s="197"/>
      <c r="AU17" s="130"/>
      <c r="AV17" s="1461"/>
      <c r="AW17" s="197"/>
      <c r="AX17" s="197"/>
      <c r="AY17" s="197"/>
      <c r="AZ17" s="698"/>
      <c r="BA17" s="197"/>
      <c r="BB17" s="130"/>
      <c r="BC17" s="1461"/>
      <c r="BD17" s="197"/>
      <c r="BE17" s="197"/>
      <c r="BF17" s="197"/>
      <c r="BG17" s="698"/>
      <c r="BH17" s="197"/>
      <c r="BI17" s="130"/>
      <c r="BJ17" s="1461"/>
      <c r="BK17" s="197"/>
      <c r="BL17" s="197"/>
      <c r="BM17" s="197"/>
      <c r="BN17" s="698"/>
      <c r="BO17" s="197"/>
      <c r="BP17" s="130"/>
      <c r="BQ17" s="1461"/>
      <c r="BR17" s="197"/>
      <c r="BS17" s="197"/>
      <c r="BT17" s="197"/>
      <c r="BU17" s="698"/>
      <c r="BV17" s="197"/>
      <c r="BW17" s="130"/>
      <c r="BX17" s="1461"/>
      <c r="BY17" s="197"/>
      <c r="BZ17" s="197"/>
      <c r="CA17" s="197"/>
      <c r="CB17" s="698"/>
      <c r="CC17" s="197"/>
      <c r="CD17" s="130"/>
      <c r="CE17" s="1461"/>
      <c r="CF17" s="197"/>
      <c r="CG17" s="197"/>
      <c r="CH17" s="197"/>
      <c r="CI17" s="698"/>
      <c r="CJ17" s="197"/>
      <c r="CK17" s="130"/>
      <c r="CL17" s="1461"/>
      <c r="CM17" s="197"/>
      <c r="CN17" s="197"/>
      <c r="CO17" s="197"/>
      <c r="CP17" s="698"/>
      <c r="CQ17" s="197"/>
      <c r="CR17" s="130"/>
      <c r="CS17" s="1461"/>
      <c r="CT17" s="197"/>
      <c r="CU17" s="197"/>
      <c r="CV17" s="197"/>
      <c r="CW17" s="698"/>
      <c r="CX17" s="197"/>
      <c r="CY17" s="130"/>
      <c r="CZ17" s="1461"/>
      <c r="DA17" s="197"/>
      <c r="DB17" s="197"/>
      <c r="DC17" s="197"/>
      <c r="DD17" s="698"/>
      <c r="DE17" s="460"/>
      <c r="DF17" s="130"/>
      <c r="DG17" s="1269"/>
      <c r="DH17" s="197"/>
      <c r="DI17" s="2023"/>
      <c r="DJ17" s="460"/>
      <c r="DK17" s="461"/>
      <c r="DL17" s="2009"/>
      <c r="DM17" s="886"/>
      <c r="DN17" s="592"/>
      <c r="DO17" s="460"/>
      <c r="DP17" s="322"/>
      <c r="DQ17" s="460"/>
      <c r="DR17" s="461"/>
      <c r="DS17" s="460"/>
      <c r="DT17" s="886"/>
      <c r="DU17" s="592"/>
      <c r="DV17" s="460"/>
      <c r="DW17" s="322"/>
      <c r="DX17" s="460"/>
      <c r="DY17" s="461"/>
      <c r="DZ17" s="460"/>
      <c r="EA17" s="886"/>
      <c r="EB17" s="592"/>
      <c r="EC17" s="460"/>
      <c r="ED17" s="322"/>
      <c r="EE17" s="460"/>
      <c r="EF17" s="461"/>
      <c r="EG17" s="460"/>
      <c r="EH17" s="886"/>
      <c r="EI17" s="592"/>
      <c r="EJ17" s="460"/>
      <c r="EK17" s="322"/>
      <c r="EL17" s="460"/>
      <c r="EM17" s="461"/>
      <c r="EN17" s="460"/>
      <c r="EO17" s="886"/>
      <c r="EP17" s="592"/>
      <c r="EQ17" s="2067"/>
      <c r="ER17" s="46"/>
    </row>
    <row r="18" spans="1:148" ht="10.199999999999999" customHeight="1" outlineLevel="1">
      <c r="A18" s="76" t="s">
        <v>219</v>
      </c>
      <c r="B18" s="108"/>
      <c r="C18" s="203"/>
      <c r="D18" s="203"/>
      <c r="E18" s="203"/>
      <c r="F18" s="203"/>
      <c r="G18" s="203"/>
      <c r="H18" s="203">
        <f>-133</f>
        <v>-133</v>
      </c>
      <c r="I18" s="203">
        <v>-119</v>
      </c>
      <c r="J18" s="203">
        <f>-100</f>
        <v>-100</v>
      </c>
      <c r="K18" s="203">
        <v>-106</v>
      </c>
      <c r="L18" s="203">
        <v>-111</v>
      </c>
      <c r="M18" s="203">
        <v>-176</v>
      </c>
      <c r="N18" s="197"/>
      <c r="O18" s="197"/>
      <c r="P18" s="197"/>
      <c r="Q18" s="1448"/>
      <c r="R18" s="197"/>
      <c r="S18" s="203"/>
      <c r="T18" s="1461">
        <v>8</v>
      </c>
      <c r="U18" s="197"/>
      <c r="V18" s="197"/>
      <c r="W18" s="197"/>
      <c r="X18" s="1448"/>
      <c r="Y18" s="197"/>
      <c r="Z18" s="203"/>
      <c r="AA18" s="1461">
        <v>-16</v>
      </c>
      <c r="AB18" s="197"/>
      <c r="AC18" s="197"/>
      <c r="AD18" s="197"/>
      <c r="AE18" s="1448"/>
      <c r="AF18" s="197"/>
      <c r="AG18" s="203"/>
      <c r="AH18" s="1461">
        <v>43</v>
      </c>
      <c r="AI18" s="197"/>
      <c r="AJ18" s="197"/>
      <c r="AK18" s="197"/>
      <c r="AL18" s="1448"/>
      <c r="AM18" s="197"/>
      <c r="AN18" s="203"/>
      <c r="AO18" s="1461">
        <v>-50</v>
      </c>
      <c r="AP18" s="197"/>
      <c r="AQ18" s="197"/>
      <c r="AR18" s="197"/>
      <c r="AS18" s="1448"/>
      <c r="AT18" s="197"/>
      <c r="AU18" s="203"/>
      <c r="AV18" s="1461"/>
      <c r="AW18" s="197"/>
      <c r="AX18" s="197"/>
      <c r="AY18" s="197"/>
      <c r="AZ18" s="1448"/>
      <c r="BA18" s="197"/>
      <c r="BB18" s="203"/>
      <c r="BC18" s="1461"/>
      <c r="BD18" s="197"/>
      <c r="BE18" s="197"/>
      <c r="BF18" s="197"/>
      <c r="BG18" s="1448"/>
      <c r="BH18" s="197"/>
      <c r="BI18" s="203"/>
      <c r="BJ18" s="1461"/>
      <c r="BK18" s="197"/>
      <c r="BL18" s="197"/>
      <c r="BM18" s="197"/>
      <c r="BN18" s="1448"/>
      <c r="BO18" s="197"/>
      <c r="BP18" s="203"/>
      <c r="BQ18" s="1461"/>
      <c r="BR18" s="197"/>
      <c r="BS18" s="197"/>
      <c r="BT18" s="197"/>
      <c r="BU18" s="1448"/>
      <c r="BV18" s="197"/>
      <c r="BW18" s="203"/>
      <c r="BX18" s="1461"/>
      <c r="BY18" s="197"/>
      <c r="BZ18" s="197"/>
      <c r="CA18" s="197"/>
      <c r="CB18" s="1448"/>
      <c r="CC18" s="197"/>
      <c r="CD18" s="203"/>
      <c r="CE18" s="1461"/>
      <c r="CF18" s="197"/>
      <c r="CG18" s="197"/>
      <c r="CH18" s="197"/>
      <c r="CI18" s="1448"/>
      <c r="CJ18" s="197"/>
      <c r="CK18" s="203"/>
      <c r="CL18" s="1461"/>
      <c r="CM18" s="197"/>
      <c r="CN18" s="197"/>
      <c r="CO18" s="197"/>
      <c r="CP18" s="1448"/>
      <c r="CQ18" s="197"/>
      <c r="CR18" s="203"/>
      <c r="CS18" s="1461"/>
      <c r="CT18" s="197"/>
      <c r="CU18" s="197"/>
      <c r="CV18" s="197"/>
      <c r="CW18" s="1448"/>
      <c r="CX18" s="197"/>
      <c r="CY18" s="203"/>
      <c r="CZ18" s="1461"/>
      <c r="DA18" s="197"/>
      <c r="DB18" s="197"/>
      <c r="DC18" s="197"/>
      <c r="DD18" s="1448"/>
      <c r="DE18" s="460"/>
      <c r="DF18" s="203"/>
      <c r="DG18" s="1269"/>
      <c r="DH18" s="197"/>
      <c r="DI18" s="2023"/>
      <c r="DJ18" s="460"/>
      <c r="DK18" s="461"/>
      <c r="DL18" s="2009"/>
      <c r="DM18" s="886"/>
      <c r="DN18" s="592"/>
      <c r="DO18" s="460"/>
      <c r="DP18" s="322"/>
      <c r="DQ18" s="460"/>
      <c r="DR18" s="461"/>
      <c r="DS18" s="460"/>
      <c r="DT18" s="886"/>
      <c r="DU18" s="592"/>
      <c r="DV18" s="460"/>
      <c r="DW18" s="322"/>
      <c r="DX18" s="460"/>
      <c r="DY18" s="461"/>
      <c r="DZ18" s="460"/>
      <c r="EA18" s="886"/>
      <c r="EB18" s="592"/>
      <c r="EC18" s="460"/>
      <c r="ED18" s="322"/>
      <c r="EE18" s="460"/>
      <c r="EF18" s="461"/>
      <c r="EG18" s="460"/>
      <c r="EH18" s="886"/>
      <c r="EI18" s="592"/>
      <c r="EJ18" s="460"/>
      <c r="EK18" s="322"/>
      <c r="EL18" s="460"/>
      <c r="EM18" s="461"/>
      <c r="EN18" s="460"/>
      <c r="EO18" s="886"/>
      <c r="EP18" s="592"/>
      <c r="EQ18" s="2067"/>
      <c r="ER18" s="46"/>
    </row>
    <row r="19" spans="1:148" ht="10.199999999999999" customHeight="1" outlineLevel="1">
      <c r="A19" s="876" t="s">
        <v>129</v>
      </c>
      <c r="B19" s="108"/>
      <c r="C19" s="197">
        <f>-226</f>
        <v>-226</v>
      </c>
      <c r="D19" s="176">
        <v>2286</v>
      </c>
      <c r="E19" s="176">
        <v>1436</v>
      </c>
      <c r="F19" s="203">
        <v>-12</v>
      </c>
      <c r="G19" s="203">
        <v>-444</v>
      </c>
      <c r="H19" s="203">
        <f>-540</f>
        <v>-540</v>
      </c>
      <c r="I19" s="203">
        <f>+-982</f>
        <v>-982</v>
      </c>
      <c r="J19" s="203">
        <f>-257</f>
        <v>-257</v>
      </c>
      <c r="K19" s="108">
        <v>738</v>
      </c>
      <c r="L19" s="203">
        <v>-327</v>
      </c>
      <c r="M19" s="203">
        <v>-141</v>
      </c>
      <c r="N19" s="203"/>
      <c r="O19" s="203"/>
      <c r="P19" s="203"/>
      <c r="Q19" s="1448"/>
      <c r="R19" s="203"/>
      <c r="S19" s="203"/>
      <c r="T19" s="1461">
        <v>311</v>
      </c>
      <c r="U19" s="203"/>
      <c r="V19" s="203"/>
      <c r="W19" s="203"/>
      <c r="X19" s="1448"/>
      <c r="Y19" s="203"/>
      <c r="Z19" s="203"/>
      <c r="AA19" s="1461">
        <v>-387</v>
      </c>
      <c r="AB19" s="203"/>
      <c r="AC19" s="203"/>
      <c r="AD19" s="203"/>
      <c r="AE19" s="1448"/>
      <c r="AF19" s="203"/>
      <c r="AG19" s="203"/>
      <c r="AH19" s="1461">
        <v>-417</v>
      </c>
      <c r="AI19" s="203"/>
      <c r="AJ19" s="203"/>
      <c r="AK19" s="203"/>
      <c r="AL19" s="1448"/>
      <c r="AM19" s="203"/>
      <c r="AN19" s="203"/>
      <c r="AO19" s="1461">
        <v>-837</v>
      </c>
      <c r="AP19" s="203"/>
      <c r="AQ19" s="203"/>
      <c r="AR19" s="203"/>
      <c r="AS19" s="1448"/>
      <c r="AT19" s="203"/>
      <c r="AU19" s="203"/>
      <c r="AV19" s="1461">
        <v>-470</v>
      </c>
      <c r="AW19" s="203"/>
      <c r="AX19" s="203"/>
      <c r="AY19" s="203"/>
      <c r="AZ19" s="1448"/>
      <c r="BA19" s="203"/>
      <c r="BB19" s="203"/>
      <c r="BC19" s="1461">
        <v>-881</v>
      </c>
      <c r="BD19" s="203"/>
      <c r="BE19" s="203"/>
      <c r="BF19" s="203"/>
      <c r="BG19" s="1448"/>
      <c r="BH19" s="203"/>
      <c r="BI19" s="203"/>
      <c r="BJ19" s="1461">
        <f>-691</f>
        <v>-691</v>
      </c>
      <c r="BK19" s="203"/>
      <c r="BL19" s="203"/>
      <c r="BM19" s="203"/>
      <c r="BN19" s="1448"/>
      <c r="BO19" s="203"/>
      <c r="BP19" s="203"/>
      <c r="BQ19" s="1461">
        <v>2398</v>
      </c>
      <c r="BR19" s="203"/>
      <c r="BS19" s="203"/>
      <c r="BT19" s="203"/>
      <c r="BU19" s="1448"/>
      <c r="BV19" s="203"/>
      <c r="BW19" s="203"/>
      <c r="BX19" s="1461">
        <v>-4065</v>
      </c>
      <c r="BY19" s="203"/>
      <c r="BZ19" s="203"/>
      <c r="CA19" s="203"/>
      <c r="CB19" s="1448"/>
      <c r="CC19" s="203"/>
      <c r="CD19" s="203"/>
      <c r="CE19" s="1461">
        <v>415</v>
      </c>
      <c r="CF19" s="203"/>
      <c r="CG19" s="203"/>
      <c r="CH19" s="203"/>
      <c r="CI19" s="1448"/>
      <c r="CJ19" s="203"/>
      <c r="CK19" s="203"/>
      <c r="CL19" s="1461">
        <v>-1855</v>
      </c>
      <c r="CM19" s="203"/>
      <c r="CN19" s="203"/>
      <c r="CO19" s="203"/>
      <c r="CP19" s="1448"/>
      <c r="CQ19" s="203"/>
      <c r="CR19" s="203"/>
      <c r="CS19" s="1461">
        <v>-897</v>
      </c>
      <c r="CT19" s="203"/>
      <c r="CU19" s="203"/>
      <c r="CV19" s="203"/>
      <c r="CW19" s="1448"/>
      <c r="CX19" s="203"/>
      <c r="CY19" s="203"/>
      <c r="CZ19" s="2096">
        <v>-989</v>
      </c>
      <c r="DA19" s="203"/>
      <c r="DB19" s="203"/>
      <c r="DC19" s="203"/>
      <c r="DD19" s="1448"/>
      <c r="DE19" s="460"/>
      <c r="DF19" s="203"/>
      <c r="DG19" s="1860">
        <v>-1245</v>
      </c>
      <c r="DH19" s="203"/>
      <c r="DI19" s="2013"/>
      <c r="DJ19" s="460"/>
      <c r="DK19" s="461"/>
      <c r="DL19" s="2009"/>
      <c r="DM19" s="886"/>
      <c r="DN19" s="592">
        <f>-(BS!DN167-BS!DG167)+(BS!DN178-BS!DG178)+(BS!DN182-BS!DG182)-(BS!DN164-BS!DG164)</f>
        <v>160.41856169342805</v>
      </c>
      <c r="DO19" s="460">
        <f>-(BS!DO167-BS!DN167)+(BS!DO178-BS!DN178)+(BS!DO182-BS!DN182)-(BS!DO164-BS!DN164)</f>
        <v>-1.5591339838111935</v>
      </c>
      <c r="DP19" s="1422">
        <f t="shared" ref="DP19" si="58">DS19-DO19</f>
        <v>-41.797822191977502</v>
      </c>
      <c r="DQ19" s="460">
        <f>-(BS!DQ167-BS!DP167)+(BS!DQ178-BS!DP178)+(BS!DQ182-BS!DP182)-(BS!DQ164-BS!DP164)</f>
        <v>-37.616844595379348</v>
      </c>
      <c r="DR19" s="461">
        <f t="shared" ref="DR19" si="59">DT19-DQ19</f>
        <v>-10.014631278085403</v>
      </c>
      <c r="DS19" s="460">
        <f>-(BS!DS167-BS!DN167)+(BS!DS178-BS!DN178)+(BS!DS182-BS!DN182)-(BS!DS164-BS!DN164)</f>
        <v>-43.356956175788696</v>
      </c>
      <c r="DT19" s="886">
        <f t="shared" ref="DT19" si="60">DU19-DS19</f>
        <v>-47.631475873464751</v>
      </c>
      <c r="DU19" s="592">
        <f>-(BS!DU167-BS!DN167)+(BS!DU178-BS!DN178)+(BS!DU182-BS!DN182)-(BS!DU164-BS!DN164)</f>
        <v>-90.988432049253447</v>
      </c>
      <c r="DV19" s="460">
        <f>-(BS!DV167-BS!DU167)+(BS!DV178-BS!DU178)+(BS!DV182-BS!DU182)-(BS!DV164-BS!DU164)</f>
        <v>20.532377892132672</v>
      </c>
      <c r="DW19" s="1422">
        <f t="shared" ref="DW19" si="61">DZ19-DV19</f>
        <v>-45.669429445102082</v>
      </c>
      <c r="DX19" s="460">
        <f>-(BS!DX167-BS!DW167)+(BS!DX178-BS!DW178)+(BS!DX182-BS!DW182)-(BS!DX164-BS!DW164)</f>
        <v>-41.298565944797701</v>
      </c>
      <c r="DY19" s="461">
        <f t="shared" ref="DY19" si="62">EA19-DX19</f>
        <v>-13.14392337297204</v>
      </c>
      <c r="DZ19" s="460">
        <f>-(BS!DZ167-BS!DU167)+(BS!DZ178-BS!DU178)+(BS!DZ182-BS!DU182)-(BS!DZ164-BS!DU164)</f>
        <v>-25.13705155296941</v>
      </c>
      <c r="EA19" s="886">
        <f t="shared" ref="EA19" si="63">EB19-DZ19</f>
        <v>-54.442489317769741</v>
      </c>
      <c r="EB19" s="592">
        <f>-(BS!EB167-BS!DU167)+(BS!EB178-BS!DU178)+(BS!EB182-BS!DU182)-(BS!EB164-BS!DU164)</f>
        <v>-79.579540870739152</v>
      </c>
      <c r="EC19" s="460">
        <f>-(BS!EC167-BS!EB167)+(BS!EC178-BS!EB178)+(BS!EC182-BS!EB182)-(BS!EC164-BS!EB164)</f>
        <v>36.354048899240979</v>
      </c>
      <c r="ED19" s="1422">
        <f t="shared" ref="ED19" si="64">EG19-EC19</f>
        <v>-31.645466394067398</v>
      </c>
      <c r="EE19" s="460">
        <f>-(BS!EE167-BS!ED167)+(BS!EE178-BS!ED178)+(BS!EE182-BS!ED182)-(BS!EE164-BS!ED164)</f>
        <v>-27.045038592491778</v>
      </c>
      <c r="EF19" s="461">
        <f t="shared" ref="EF19" si="65">EH19-EE19</f>
        <v>-21.69624383889925</v>
      </c>
      <c r="EG19" s="460">
        <f>-(BS!EG167-BS!EB167)+(BS!EG178-BS!EB178)+(BS!EG182-BS!EB182)-(BS!EG164-BS!EB164)</f>
        <v>4.708582505173581</v>
      </c>
      <c r="EH19" s="886">
        <f t="shared" ref="EH19" si="66">EI19-EG19</f>
        <v>-48.741282431391028</v>
      </c>
      <c r="EI19" s="592">
        <f>-(BS!EI167-BS!EB167)+(BS!EI178-BS!EB178)+(BS!EI182-BS!EB182)-(BS!EI164-BS!EB164)</f>
        <v>-44.032699926217447</v>
      </c>
      <c r="EJ19" s="460">
        <f>-(BS!EJ167-BS!EI167)+(BS!EJ178-BS!EI178)+(BS!EJ182-BS!EI182)-(BS!EJ164-BS!EI164)</f>
        <v>48.920599312482295</v>
      </c>
      <c r="EK19" s="1422">
        <f t="shared" ref="EK19" si="67">EN19-EJ19</f>
        <v>-33.232609304097195</v>
      </c>
      <c r="EL19" s="460">
        <f>-(BS!EL167-BS!EK167)+(BS!EL178-BS!EK178)+(BS!EL182-BS!EK182)-(BS!EL164-BS!EK164)</f>
        <v>-28.42456530076754</v>
      </c>
      <c r="EM19" s="461">
        <f t="shared" ref="EM19" si="68">EO19-EL19</f>
        <v>-22.422485028758956</v>
      </c>
      <c r="EN19" s="460">
        <f>-(BS!EN167-BS!EI167)+(BS!EN178-BS!EI178)+(BS!EN182-BS!EI182)-(BS!EN164-BS!EI164)</f>
        <v>15.6879900083851</v>
      </c>
      <c r="EO19" s="886">
        <f t="shared" ref="EO19" si="69">EP19-EN19</f>
        <v>-50.847050329526496</v>
      </c>
      <c r="EP19" s="592">
        <f>-(BS!EP167-BS!EI167)+(BS!EP178-BS!EI178)+(BS!EP182-BS!EI182)-(BS!EP164-BS!EI164)</f>
        <v>-35.159060321141396</v>
      </c>
      <c r="EQ19" s="2070">
        <f>SUM(DN19,DU19,EB19,EI19)</f>
        <v>-54.182111152781999</v>
      </c>
      <c r="ER19" s="46"/>
    </row>
    <row r="20" spans="1:148" ht="10.199999999999999" customHeight="1">
      <c r="A20" s="43" t="s">
        <v>15</v>
      </c>
      <c r="B20" s="108"/>
      <c r="C20" s="831">
        <f t="shared" ref="C20:AO20" si="70">+SUM(C13:C19)</f>
        <v>804</v>
      </c>
      <c r="D20" s="831">
        <f t="shared" si="70"/>
        <v>2019</v>
      </c>
      <c r="E20" s="831">
        <f t="shared" si="70"/>
        <v>2155</v>
      </c>
      <c r="F20" s="207">
        <f t="shared" si="70"/>
        <v>1239</v>
      </c>
      <c r="G20" s="207">
        <f t="shared" si="70"/>
        <v>-143</v>
      </c>
      <c r="H20" s="207">
        <f t="shared" si="70"/>
        <v>1236</v>
      </c>
      <c r="I20" s="207">
        <f t="shared" si="70"/>
        <v>-172</v>
      </c>
      <c r="J20" s="831">
        <f t="shared" si="70"/>
        <v>15</v>
      </c>
      <c r="K20" s="831">
        <f t="shared" si="70"/>
        <v>2819</v>
      </c>
      <c r="L20" s="831">
        <f t="shared" si="70"/>
        <v>1386</v>
      </c>
      <c r="M20" s="207">
        <f t="shared" si="70"/>
        <v>-76</v>
      </c>
      <c r="N20" s="1442">
        <v>-3117</v>
      </c>
      <c r="O20" s="1442">
        <f>R20-N20</f>
        <v>-1246</v>
      </c>
      <c r="P20" s="1442">
        <f>-5431-N20-O20</f>
        <v>-1068</v>
      </c>
      <c r="Q20" s="1450">
        <f t="shared" ref="Q20" si="71">S20-P20</f>
        <v>3340</v>
      </c>
      <c r="R20" s="1442">
        <v>-4363</v>
      </c>
      <c r="S20" s="1442">
        <f t="shared" ref="S20" si="72">T20-R20</f>
        <v>2272</v>
      </c>
      <c r="T20" s="1463">
        <f t="shared" si="70"/>
        <v>-2091</v>
      </c>
      <c r="U20" s="1442">
        <v>-2545</v>
      </c>
      <c r="V20" s="1442">
        <f>Y20-U20</f>
        <v>-1479</v>
      </c>
      <c r="W20" s="1442">
        <f>-4168-U20-V20</f>
        <v>-144</v>
      </c>
      <c r="X20" s="1450">
        <f t="shared" ref="X20" si="73">Z20-W20</f>
        <v>1782</v>
      </c>
      <c r="Y20" s="1442">
        <v>-4024</v>
      </c>
      <c r="Z20" s="1442">
        <f t="shared" ref="Z20" si="74">AA20-Y20</f>
        <v>1638</v>
      </c>
      <c r="AA20" s="1463">
        <f t="shared" si="70"/>
        <v>-2386</v>
      </c>
      <c r="AB20" s="1442">
        <v>-1227</v>
      </c>
      <c r="AC20" s="1442">
        <f>AF20-AB20</f>
        <v>-874</v>
      </c>
      <c r="AD20" s="1442">
        <f>-3302-AB20-AC20</f>
        <v>-1201</v>
      </c>
      <c r="AE20" s="1450">
        <f t="shared" ref="AE20" si="75">AG20-AD20</f>
        <v>2579</v>
      </c>
      <c r="AF20" s="1442">
        <v>-2101</v>
      </c>
      <c r="AG20" s="1442">
        <f t="shared" ref="AG20" si="76">AH20-AF20</f>
        <v>1378</v>
      </c>
      <c r="AH20" s="1463">
        <f t="shared" si="70"/>
        <v>-723</v>
      </c>
      <c r="AI20" s="1442">
        <v>-2814</v>
      </c>
      <c r="AJ20" s="1442">
        <f>AM20-AI20</f>
        <v>317</v>
      </c>
      <c r="AK20" s="1442">
        <f>-3576-AI20-AJ20</f>
        <v>-1079</v>
      </c>
      <c r="AL20" s="1450">
        <f t="shared" ref="AL20" si="77">AN20-AK20</f>
        <v>4821</v>
      </c>
      <c r="AM20" s="1442">
        <v>-2497</v>
      </c>
      <c r="AN20" s="1442">
        <f t="shared" ref="AN20" si="78">AO20-AM20</f>
        <v>3742</v>
      </c>
      <c r="AO20" s="1463">
        <f t="shared" si="70"/>
        <v>1245</v>
      </c>
      <c r="AP20" s="1442">
        <v>-1337</v>
      </c>
      <c r="AQ20" s="1442">
        <f>AT20-AP20</f>
        <v>-1802</v>
      </c>
      <c r="AR20" s="1442">
        <f>-4459-AP20-AQ20</f>
        <v>-1320</v>
      </c>
      <c r="AS20" s="1450">
        <f t="shared" ref="AS20" si="79">AU20-AR20</f>
        <v>4725</v>
      </c>
      <c r="AT20" s="1442">
        <v>-3139</v>
      </c>
      <c r="AU20" s="1442">
        <f t="shared" ref="AU20" si="80">AV20-AT20</f>
        <v>3405</v>
      </c>
      <c r="AV20" s="1463">
        <f t="shared" ref="AV20:EP20" si="81">SUM(AV13:AV19)</f>
        <v>266</v>
      </c>
      <c r="AW20" s="1442">
        <v>-1493</v>
      </c>
      <c r="AX20" s="1442">
        <f>BA20-AW20</f>
        <v>-1414</v>
      </c>
      <c r="AY20" s="1442">
        <f>-4400-AW20-AX20</f>
        <v>-1493</v>
      </c>
      <c r="AZ20" s="1450">
        <f t="shared" ref="AZ20" si="82">BB20-AY20</f>
        <v>4761</v>
      </c>
      <c r="BA20" s="1442">
        <v>-2907</v>
      </c>
      <c r="BB20" s="1442">
        <f t="shared" ref="BB20" si="83">BC20-BA20</f>
        <v>3268</v>
      </c>
      <c r="BC20" s="1463">
        <f t="shared" si="81"/>
        <v>361</v>
      </c>
      <c r="BD20" s="1442">
        <v>-3797</v>
      </c>
      <c r="BE20" s="1442">
        <f>BH20-BD20</f>
        <v>-704</v>
      </c>
      <c r="BF20" s="1442">
        <f>-5687-BD20-BE20</f>
        <v>-1186</v>
      </c>
      <c r="BG20" s="1450">
        <f t="shared" ref="BG20" si="84">BI20-BF20</f>
        <v>5054</v>
      </c>
      <c r="BH20" s="1442">
        <v>-4501</v>
      </c>
      <c r="BI20" s="1442">
        <f t="shared" ref="BI20" si="85">BJ20-BH20</f>
        <v>3868</v>
      </c>
      <c r="BJ20" s="1463">
        <f t="shared" si="81"/>
        <v>-633</v>
      </c>
      <c r="BK20" s="1442">
        <v>-4703</v>
      </c>
      <c r="BL20" s="1442">
        <f>BO20-BK20</f>
        <v>-1385</v>
      </c>
      <c r="BM20" s="1442">
        <f>-8204-BK20-BL20</f>
        <v>-2116</v>
      </c>
      <c r="BN20" s="1450">
        <f t="shared" ref="BN20" si="86">BP20-BM20</f>
        <v>10420</v>
      </c>
      <c r="BO20" s="1442">
        <v>-6088</v>
      </c>
      <c r="BP20" s="1442">
        <f t="shared" ref="BP20" si="87">BQ20-BO20</f>
        <v>8304</v>
      </c>
      <c r="BQ20" s="1463">
        <f t="shared" si="81"/>
        <v>2216</v>
      </c>
      <c r="BR20" s="1442">
        <v>-7772</v>
      </c>
      <c r="BS20" s="1442">
        <f>BV20-BR20</f>
        <v>-4166</v>
      </c>
      <c r="BT20" s="1442">
        <f>-12316-BR20-BS20</f>
        <v>-378</v>
      </c>
      <c r="BU20" s="1450">
        <f t="shared" ref="BU20" si="88">BW20-BT20</f>
        <v>4079</v>
      </c>
      <c r="BV20" s="1442">
        <v>-11938</v>
      </c>
      <c r="BW20" s="1442">
        <f t="shared" ref="BW20" si="89">BX20-BV20</f>
        <v>3701</v>
      </c>
      <c r="BX20" s="1463">
        <f t="shared" si="81"/>
        <v>-8237</v>
      </c>
      <c r="BY20" s="1442">
        <v>1040</v>
      </c>
      <c r="BZ20" s="1442">
        <f>CC20-BY20</f>
        <v>-300</v>
      </c>
      <c r="CA20" s="1442">
        <f>830-BY20-BZ20</f>
        <v>90</v>
      </c>
      <c r="CB20" s="1450">
        <f t="shared" ref="CB20" si="90">CD20-CA20</f>
        <v>237</v>
      </c>
      <c r="CC20" s="1442">
        <v>740</v>
      </c>
      <c r="CD20" s="1442">
        <f t="shared" ref="CD20" si="91">CE20-CC20</f>
        <v>327</v>
      </c>
      <c r="CE20" s="1463">
        <f t="shared" si="81"/>
        <v>1067</v>
      </c>
      <c r="CF20" s="1442">
        <v>-662</v>
      </c>
      <c r="CG20" s="1442">
        <f>CJ20-CF20</f>
        <v>985</v>
      </c>
      <c r="CH20" s="1442">
        <f>78-CF20-CG20</f>
        <v>-245</v>
      </c>
      <c r="CI20" s="1450">
        <f t="shared" ref="CI20" si="92">CK20-CH20</f>
        <v>1343</v>
      </c>
      <c r="CJ20" s="1442">
        <v>323</v>
      </c>
      <c r="CK20" s="1442">
        <f t="shared" ref="CK20" si="93">CL20-CJ20</f>
        <v>1098</v>
      </c>
      <c r="CL20" s="1463">
        <f t="shared" si="81"/>
        <v>1421</v>
      </c>
      <c r="CM20" s="1442">
        <v>-737</v>
      </c>
      <c r="CN20" s="1442">
        <f>CQ20-CM20</f>
        <v>1385</v>
      </c>
      <c r="CO20" s="1442">
        <f>-942-CM20-CN20</f>
        <v>-1590</v>
      </c>
      <c r="CP20" s="1450">
        <f t="shared" ref="CP20" si="94">CR20-CO20</f>
        <v>2147</v>
      </c>
      <c r="CQ20" s="1442">
        <v>648</v>
      </c>
      <c r="CR20" s="1442">
        <f t="shared" ref="CR20" si="95">CS20-CQ20</f>
        <v>557</v>
      </c>
      <c r="CS20" s="1463">
        <f t="shared" si="81"/>
        <v>1205</v>
      </c>
      <c r="CT20" s="1442">
        <v>-2284</v>
      </c>
      <c r="CU20" s="1442">
        <f>CX20-CT20</f>
        <v>740</v>
      </c>
      <c r="CV20" s="1442">
        <f>-2223-CT20-CU20</f>
        <v>-679</v>
      </c>
      <c r="CW20" s="1450">
        <f t="shared" ref="CW20" si="96">CY20-CV20</f>
        <v>3560</v>
      </c>
      <c r="CX20" s="1442">
        <v>-1544</v>
      </c>
      <c r="CY20" s="1442">
        <f t="shared" ref="CY20" si="97">CZ20-CX20</f>
        <v>2881</v>
      </c>
      <c r="CZ20" s="1463">
        <f t="shared" ref="CZ20" si="98">SUM(CZ13:CZ19)</f>
        <v>1337</v>
      </c>
      <c r="DA20" s="1442">
        <v>-900</v>
      </c>
      <c r="DB20" s="1442">
        <f>DE20-DA20</f>
        <v>-2134</v>
      </c>
      <c r="DC20" s="1442">
        <v>-637</v>
      </c>
      <c r="DD20" s="1450">
        <f t="shared" ref="DD20" si="99">DF20-DC20</f>
        <v>3771</v>
      </c>
      <c r="DE20" s="2088">
        <v>-3034</v>
      </c>
      <c r="DF20" s="1442">
        <f t="shared" ref="DF20" si="100">DG20-DE20</f>
        <v>3134</v>
      </c>
      <c r="DG20" s="1598">
        <f t="shared" ref="DG20" si="101">SUM(DG13:DG19)</f>
        <v>100</v>
      </c>
      <c r="DH20" s="1442">
        <v>-2886</v>
      </c>
      <c r="DI20" s="2058">
        <f>DL20-DH20</f>
        <v>-1527</v>
      </c>
      <c r="DJ20" s="1409">
        <v>-500</v>
      </c>
      <c r="DK20" s="1516">
        <f>DM20-DJ20</f>
        <v>5119.1874641168752</v>
      </c>
      <c r="DL20" s="2019">
        <v>-4413</v>
      </c>
      <c r="DM20" s="2066">
        <f t="shared" ref="DM20" si="102">DN20-DL20</f>
        <v>4619.1874641168752</v>
      </c>
      <c r="DN20" s="1487">
        <f t="shared" si="81"/>
        <v>206.18746411687493</v>
      </c>
      <c r="DO20" s="1410">
        <f t="shared" ref="DO20" si="103">SUM(DO13:DO19)</f>
        <v>-2773.5405815505828</v>
      </c>
      <c r="DP20" s="1668">
        <f>DS20-DO20</f>
        <v>1233.0357546633422</v>
      </c>
      <c r="DQ20" s="1410">
        <f t="shared" ref="DQ20:DR20" si="104">SUM(DQ13:DQ19)</f>
        <v>1109.6969155636884</v>
      </c>
      <c r="DR20" s="1516">
        <f t="shared" si="104"/>
        <v>295.43162270351502</v>
      </c>
      <c r="DS20" s="1410">
        <f t="shared" ref="DS20:DT20" si="105">SUM(DS13:DS19)</f>
        <v>-1540.5048268872406</v>
      </c>
      <c r="DT20" s="1410">
        <f t="shared" si="105"/>
        <v>1405.1285382672036</v>
      </c>
      <c r="DU20" s="1487">
        <f t="shared" si="81"/>
        <v>-135.37628862003714</v>
      </c>
      <c r="DV20" s="1410">
        <f t="shared" ref="DV20" si="106">SUM(DV13:DV19)</f>
        <v>-2357.7801327452844</v>
      </c>
      <c r="DW20" s="1668">
        <f>DZ20-DV20</f>
        <v>1255.9093097403024</v>
      </c>
      <c r="DX20" s="1410">
        <f t="shared" ref="DX20:DY20" si="107">SUM(DX13:DX19)</f>
        <v>1135.7105634819372</v>
      </c>
      <c r="DY20" s="1516">
        <f t="shared" si="107"/>
        <v>361.45789275673224</v>
      </c>
      <c r="DZ20" s="1410">
        <f t="shared" ref="DZ20:EA20" si="108">SUM(DZ13:DZ19)</f>
        <v>-1101.870823004982</v>
      </c>
      <c r="EA20" s="1410">
        <f t="shared" si="108"/>
        <v>1497.1684562386695</v>
      </c>
      <c r="EB20" s="1487">
        <f t="shared" si="81"/>
        <v>395.29763323368741</v>
      </c>
      <c r="EC20" s="1410">
        <f t="shared" ref="EC20" si="109">SUM(EC13:EC19)</f>
        <v>-1939.5317070564481</v>
      </c>
      <c r="ED20" s="1668">
        <f>EG20-EC20</f>
        <v>838.6048594427823</v>
      </c>
      <c r="EE20" s="1410">
        <f t="shared" ref="EE20:EF20" si="110">SUM(EE13:EE19)</f>
        <v>716.69352270103411</v>
      </c>
      <c r="EF20" s="1516">
        <f t="shared" si="110"/>
        <v>574.95046173082744</v>
      </c>
      <c r="EG20" s="1410">
        <f t="shared" ref="EG20:EH20" si="111">SUM(EG13:EG19)</f>
        <v>-1100.9268476136658</v>
      </c>
      <c r="EH20" s="1410">
        <f t="shared" si="111"/>
        <v>1291.6439844318616</v>
      </c>
      <c r="EI20" s="1487">
        <f t="shared" si="81"/>
        <v>190.71713681819574</v>
      </c>
      <c r="EJ20" s="1410">
        <f t="shared" ref="EJ20" si="112">SUM(EJ13:EJ19)</f>
        <v>-1782.0266377009302</v>
      </c>
      <c r="EK20" s="1668">
        <f>EN20-EJ20</f>
        <v>864.04784190653038</v>
      </c>
      <c r="EL20" s="1410">
        <f t="shared" ref="EL20:EM20" si="113">SUM(EL13:EL19)</f>
        <v>739.03869781995297</v>
      </c>
      <c r="EM20" s="1516">
        <f t="shared" si="113"/>
        <v>582.98461074772536</v>
      </c>
      <c r="EN20" s="1410">
        <f t="shared" ref="EN20:EO20" si="114">SUM(EN13:EN19)</f>
        <v>-917.97879579439984</v>
      </c>
      <c r="EO20" s="1410">
        <f t="shared" si="114"/>
        <v>1322.0233085676782</v>
      </c>
      <c r="EP20" s="1487">
        <f t="shared" si="81"/>
        <v>404.04451277327848</v>
      </c>
      <c r="EQ20" s="2067"/>
      <c r="ER20" s="46"/>
    </row>
    <row r="21" spans="1:148" ht="10.199999999999999" customHeight="1">
      <c r="A21" s="48" t="s">
        <v>49</v>
      </c>
      <c r="B21" s="108"/>
      <c r="C21" s="92">
        <f t="shared" ref="C21:J21" si="115">SUM(C3:C5)+SUM(C6:C10)+C20</f>
        <v>2666</v>
      </c>
      <c r="D21" s="92">
        <f t="shared" si="115"/>
        <v>4709</v>
      </c>
      <c r="E21" s="92">
        <f t="shared" si="115"/>
        <v>5013</v>
      </c>
      <c r="F21" s="92">
        <f t="shared" si="115"/>
        <v>5107</v>
      </c>
      <c r="G21" s="92">
        <f t="shared" si="115"/>
        <v>3398</v>
      </c>
      <c r="H21" s="92">
        <f t="shared" si="115"/>
        <v>5098</v>
      </c>
      <c r="I21" s="92">
        <f t="shared" si="115"/>
        <v>4399</v>
      </c>
      <c r="J21" s="92">
        <f t="shared" si="115"/>
        <v>2438</v>
      </c>
      <c r="K21" s="92">
        <f>+K20+SUM(K7:K10)+SUM(K3:K5)+K6</f>
        <v>4996</v>
      </c>
      <c r="L21" s="92">
        <f t="shared" ref="L21:EP21" si="116">+L20+SUM(L7:L12)+SUM(L3:L5)+L6</f>
        <v>4778</v>
      </c>
      <c r="M21" s="92">
        <f t="shared" si="116"/>
        <v>3865</v>
      </c>
      <c r="N21" s="1681">
        <f t="shared" ref="N21:Q21" si="117">+N20+SUM(N7:N12)+SUM(N3:N5)+N6</f>
        <v>-2473</v>
      </c>
      <c r="O21" s="1681">
        <f t="shared" si="117"/>
        <v>-179</v>
      </c>
      <c r="P21" s="1681">
        <f t="shared" si="117"/>
        <v>-274</v>
      </c>
      <c r="Q21" s="1724">
        <f t="shared" si="117"/>
        <v>4755</v>
      </c>
      <c r="R21" s="1681">
        <f t="shared" ref="R21:S21" si="118">+R20+SUM(R7:R12)+SUM(R3:R5)+R6</f>
        <v>-2652</v>
      </c>
      <c r="S21" s="1681">
        <f t="shared" si="118"/>
        <v>4481</v>
      </c>
      <c r="T21" s="1289">
        <f t="shared" si="116"/>
        <v>1829</v>
      </c>
      <c r="U21" s="1681">
        <f t="shared" ref="U21:X21" si="119">+U20+SUM(U7:U12)+SUM(U3:U5)+U6</f>
        <v>-1550</v>
      </c>
      <c r="V21" s="1681">
        <f t="shared" si="119"/>
        <v>-246</v>
      </c>
      <c r="W21" s="1681">
        <f t="shared" si="119"/>
        <v>560</v>
      </c>
      <c r="X21" s="1724">
        <f t="shared" si="119"/>
        <v>3796</v>
      </c>
      <c r="Y21" s="1681">
        <f t="shared" ref="Y21:Z21" si="120">+Y20+SUM(Y7:Y12)+SUM(Y3:Y5)+Y6</f>
        <v>-1796</v>
      </c>
      <c r="Z21" s="1681">
        <f t="shared" si="120"/>
        <v>4356</v>
      </c>
      <c r="AA21" s="1289">
        <f t="shared" si="116"/>
        <v>2560</v>
      </c>
      <c r="AB21" s="1681">
        <f t="shared" ref="AB21:AE21" si="121">+AB20+SUM(AB7:AB12)+SUM(AB3:AB5)+AB6</f>
        <v>-708</v>
      </c>
      <c r="AC21" s="1681">
        <f t="shared" si="121"/>
        <v>562</v>
      </c>
      <c r="AD21" s="1681">
        <f t="shared" si="121"/>
        <v>-112</v>
      </c>
      <c r="AE21" s="1724">
        <f t="shared" si="121"/>
        <v>3858</v>
      </c>
      <c r="AF21" s="1681">
        <f t="shared" ref="AF21:AG21" si="122">+AF20+SUM(AF7:AF12)+SUM(AF3:AF5)+AF6</f>
        <v>-146</v>
      </c>
      <c r="AG21" s="1681">
        <f t="shared" si="122"/>
        <v>3746</v>
      </c>
      <c r="AH21" s="1289">
        <f t="shared" si="116"/>
        <v>3600</v>
      </c>
      <c r="AI21" s="1681">
        <f t="shared" ref="AI21:AL21" si="123">+AI20+SUM(AI7:AI12)+SUM(AI3:AI5)+AI6</f>
        <v>-2380</v>
      </c>
      <c r="AJ21" s="1681">
        <f t="shared" si="123"/>
        <v>989</v>
      </c>
      <c r="AK21" s="1681">
        <f t="shared" si="123"/>
        <v>-641</v>
      </c>
      <c r="AL21" s="1724">
        <f t="shared" si="123"/>
        <v>6401</v>
      </c>
      <c r="AM21" s="1681">
        <f t="shared" ref="AM21:AN21" si="124">+AM20+SUM(AM7:AM12)+SUM(AM3:AM5)+AM6</f>
        <v>-1391</v>
      </c>
      <c r="AN21" s="1681">
        <f t="shared" si="124"/>
        <v>5760</v>
      </c>
      <c r="AO21" s="1289">
        <f t="shared" si="116"/>
        <v>4369</v>
      </c>
      <c r="AP21" s="1681">
        <f t="shared" ref="AP21:AS21" si="125">+AP20+SUM(AP7:AP12)+SUM(AP3:AP5)+AP6</f>
        <v>-1356</v>
      </c>
      <c r="AQ21" s="1681">
        <f t="shared" si="125"/>
        <v>-564</v>
      </c>
      <c r="AR21" s="1681">
        <f t="shared" si="125"/>
        <v>-699</v>
      </c>
      <c r="AS21" s="1724">
        <f t="shared" si="125"/>
        <v>7063</v>
      </c>
      <c r="AT21" s="1681">
        <f t="shared" ref="AT21:AU21" si="126">+AT20+SUM(AT7:AT12)+SUM(AT3:AT5)+AT6</f>
        <v>-1920</v>
      </c>
      <c r="AU21" s="1681">
        <f t="shared" si="126"/>
        <v>6364</v>
      </c>
      <c r="AV21" s="1289">
        <f t="shared" si="116"/>
        <v>4444</v>
      </c>
      <c r="AW21" s="1681">
        <f t="shared" ref="AW21:AZ21" si="127">+AW20+SUM(AW7:AW12)+SUM(AW3:AW5)+AW6</f>
        <v>-1356</v>
      </c>
      <c r="AX21" s="1681">
        <f t="shared" si="127"/>
        <v>-564</v>
      </c>
      <c r="AY21" s="1681">
        <f t="shared" si="127"/>
        <v>-699</v>
      </c>
      <c r="AZ21" s="1724">
        <f t="shared" si="127"/>
        <v>7063</v>
      </c>
      <c r="BA21" s="1681">
        <f t="shared" ref="BA21:BB21" si="128">+BA20+SUM(BA7:BA12)+SUM(BA3:BA5)+BA6</f>
        <v>-1920</v>
      </c>
      <c r="BB21" s="1681">
        <f t="shared" si="128"/>
        <v>6364</v>
      </c>
      <c r="BC21" s="1289">
        <f t="shared" si="116"/>
        <v>4444</v>
      </c>
      <c r="BD21" s="1681">
        <f t="shared" ref="BD21:BG21" si="129">+BD20+SUM(BD7:BD12)+SUM(BD3:BD5)+BD6</f>
        <v>-3590</v>
      </c>
      <c r="BE21" s="1681">
        <f t="shared" si="129"/>
        <v>100</v>
      </c>
      <c r="BF21" s="1681">
        <f t="shared" si="129"/>
        <v>-836</v>
      </c>
      <c r="BG21" s="1724">
        <f t="shared" si="129"/>
        <v>6644</v>
      </c>
      <c r="BH21" s="1681">
        <f t="shared" ref="BH21:BI21" si="130">+BH20+SUM(BH7:BH12)+SUM(BH3:BH5)+BH6</f>
        <v>-3490</v>
      </c>
      <c r="BI21" s="1681">
        <f t="shared" si="130"/>
        <v>5808</v>
      </c>
      <c r="BJ21" s="1289">
        <f t="shared" si="116"/>
        <v>2318</v>
      </c>
      <c r="BK21" s="1681">
        <f t="shared" ref="BK21:BN21" si="131">+BK20+SUM(BK7:BK12)+SUM(BK3:BK5)+BK6</f>
        <v>-4050</v>
      </c>
      <c r="BL21" s="1681">
        <f t="shared" si="131"/>
        <v>641</v>
      </c>
      <c r="BM21" s="1681">
        <f t="shared" si="131"/>
        <v>-455</v>
      </c>
      <c r="BN21" s="1724">
        <f t="shared" si="131"/>
        <v>7617</v>
      </c>
      <c r="BO21" s="1681">
        <f t="shared" ref="BO21:BP21" si="132">+BO20+SUM(BO7:BO12)+SUM(BO3:BO5)+BO6</f>
        <v>-3409</v>
      </c>
      <c r="BP21" s="1681">
        <f t="shared" si="132"/>
        <v>7162</v>
      </c>
      <c r="BQ21" s="1289">
        <f t="shared" si="116"/>
        <v>3753</v>
      </c>
      <c r="BR21" s="1681">
        <f t="shared" ref="BR21:BU21" si="133">+BR20+SUM(BR7:BR12)+SUM(BR3:BR5)+BR6</f>
        <v>-7614</v>
      </c>
      <c r="BS21" s="1681">
        <f t="shared" si="133"/>
        <v>-4097</v>
      </c>
      <c r="BT21" s="1681">
        <f t="shared" si="133"/>
        <v>827</v>
      </c>
      <c r="BU21" s="1724">
        <f t="shared" si="133"/>
        <v>5464</v>
      </c>
      <c r="BV21" s="1681">
        <f t="shared" ref="BV21:BW21" si="134">+BV20+SUM(BV7:BV12)+SUM(BV3:BV5)+BV6</f>
        <v>-11711</v>
      </c>
      <c r="BW21" s="1681">
        <f t="shared" si="134"/>
        <v>6291</v>
      </c>
      <c r="BX21" s="1289">
        <f t="shared" si="116"/>
        <v>-5420</v>
      </c>
      <c r="BY21" s="1681">
        <f t="shared" ref="BY21:CB21" si="135">+BY20+SUM(BY7:BY12)+SUM(BY3:BY5)+BY6</f>
        <v>1485</v>
      </c>
      <c r="BZ21" s="1681">
        <f t="shared" si="135"/>
        <v>1227</v>
      </c>
      <c r="CA21" s="1681">
        <f t="shared" si="135"/>
        <v>637</v>
      </c>
      <c r="CB21" s="1724">
        <f t="shared" si="135"/>
        <v>1290</v>
      </c>
      <c r="CC21" s="1681">
        <f t="shared" ref="CC21:CD21" si="136">+CC20+SUM(CC7:CC12)+SUM(CC3:CC5)+CC6</f>
        <v>2712</v>
      </c>
      <c r="CD21" s="1681">
        <f t="shared" si="136"/>
        <v>1927</v>
      </c>
      <c r="CE21" s="1289">
        <f t="shared" si="116"/>
        <v>4639</v>
      </c>
      <c r="CF21" s="1681">
        <f t="shared" ref="CF21:CI21" si="137">+CF20+SUM(CF7:CF12)+SUM(CF3:CF5)+CF6</f>
        <v>488</v>
      </c>
      <c r="CG21" s="1681">
        <f t="shared" si="137"/>
        <v>1455</v>
      </c>
      <c r="CH21" s="1681">
        <f t="shared" si="137"/>
        <v>1422</v>
      </c>
      <c r="CI21" s="1724">
        <f t="shared" si="137"/>
        <v>2923</v>
      </c>
      <c r="CJ21" s="1681">
        <f t="shared" ref="CJ21:CK21" si="138">+CJ20+SUM(CJ7:CJ12)+SUM(CJ3:CJ5)+CJ6</f>
        <v>1943</v>
      </c>
      <c r="CK21" s="1681">
        <f t="shared" si="138"/>
        <v>4345</v>
      </c>
      <c r="CL21" s="1289">
        <f t="shared" si="116"/>
        <v>6288</v>
      </c>
      <c r="CM21" s="1681">
        <f t="shared" ref="CM21" si="139">+CM20+SUM(CM7:CM12)+SUM(CM3:CM5)+CM6</f>
        <v>-479</v>
      </c>
      <c r="CN21" s="1681">
        <f t="shared" ref="CN21:CP21" si="140">+CN20+SUM(CN7:CN12)+SUM(CN3:CN5)+CN6</f>
        <v>2785</v>
      </c>
      <c r="CO21" s="1681">
        <f t="shared" si="140"/>
        <v>-240</v>
      </c>
      <c r="CP21" s="1724">
        <f t="shared" si="140"/>
        <v>4189</v>
      </c>
      <c r="CQ21" s="1681">
        <f t="shared" ref="CQ21:CR21" si="141">+CQ20+SUM(CQ7:CQ12)+SUM(CQ3:CQ5)+CQ6</f>
        <v>2306</v>
      </c>
      <c r="CR21" s="1681">
        <f t="shared" si="141"/>
        <v>3949</v>
      </c>
      <c r="CS21" s="1289">
        <f>+CS20+SUM(CS7:CS12)+SUM(CS3:CS5)+CS6</f>
        <v>6255</v>
      </c>
      <c r="CT21" s="1681">
        <f t="shared" si="116"/>
        <v>-1399</v>
      </c>
      <c r="CU21" s="1681">
        <f t="shared" si="116"/>
        <v>1806</v>
      </c>
      <c r="CV21" s="1681">
        <f t="shared" si="116"/>
        <v>373</v>
      </c>
      <c r="CW21" s="1724">
        <f t="shared" ref="CW21" si="142">+CW20+SUM(CW7:CW12)+SUM(CW3:CW5)+CW6</f>
        <v>6622</v>
      </c>
      <c r="CX21" s="1681">
        <f t="shared" ref="CX21" si="143">+CX20+SUM(CX7:CX12)+SUM(CX3:CX5)+CX6</f>
        <v>407</v>
      </c>
      <c r="CY21" s="1681">
        <f t="shared" ref="CY21" si="144">+CY20+SUM(CY7:CY12)+SUM(CY3:CY5)+CY6</f>
        <v>6995</v>
      </c>
      <c r="CZ21" s="1289">
        <f>+CZ20+SUM(CZ7:CZ12)+SUM(CZ3:CZ5)+CZ6</f>
        <v>7402</v>
      </c>
      <c r="DA21" s="1681">
        <f t="shared" ref="DA21" si="145">+DA20+SUM(DA7:DA12)+SUM(DA3:DA5)+DA6</f>
        <v>224</v>
      </c>
      <c r="DB21" s="1681">
        <f t="shared" ref="DB21" si="146">+DB20+SUM(DB7:DB12)+SUM(DB3:DB5)+DB6</f>
        <v>-1049</v>
      </c>
      <c r="DC21" s="1681">
        <f>+DC20+SUM(DC7:DC12)+SUM(DC3:DC5)+DC6</f>
        <v>1625</v>
      </c>
      <c r="DD21" s="1724">
        <f t="shared" ref="DD21" si="147">+DD20+SUM(DD7:DD12)+SUM(DD3:DD5)+DD6</f>
        <v>7195</v>
      </c>
      <c r="DE21" s="1681">
        <f t="shared" ref="DE21" si="148">+DE20+SUM(DE7:DE12)+SUM(DE3:DE5)+DE6</f>
        <v>-825</v>
      </c>
      <c r="DF21" s="1681">
        <f t="shared" ref="DF21" si="149">+DF20+SUM(DF7:DF12)+SUM(DF3:DF5)+DF6</f>
        <v>8820</v>
      </c>
      <c r="DG21" s="1268">
        <f>+DG20+SUM(DG7:DG12)+SUM(DG3:DG5)+DG6</f>
        <v>7995</v>
      </c>
      <c r="DH21" s="1681">
        <f t="shared" ref="DH21:DI21" si="150">+DH20+SUM(DH7:DH12)+SUM(DH3:DH5)+DH6</f>
        <v>-1883</v>
      </c>
      <c r="DI21" s="2011">
        <f t="shared" si="150"/>
        <v>1851</v>
      </c>
      <c r="DJ21" s="888">
        <f t="shared" ref="DJ21" si="151">+DJ20+SUM(DJ7:DJ12)+SUM(DJ3:DJ5)+DJ6</f>
        <v>1572.4963857719054</v>
      </c>
      <c r="DK21" s="1555">
        <f t="shared" ref="DK21:DL21" si="152">+DK20+SUM(DK7:DK12)+SUM(DK3:DK5)+DK6</f>
        <v>7068.8194855220172</v>
      </c>
      <c r="DL21" s="2011">
        <f t="shared" si="152"/>
        <v>-32</v>
      </c>
      <c r="DM21" s="888">
        <f t="shared" ref="DM21" si="153">+DM20+SUM(DM7:DM12)+SUM(DM3:DM5)+DM6</f>
        <v>8641.3158712939221</v>
      </c>
      <c r="DN21" s="1545">
        <f>+DN20+SUM(DN7:DN12)+SUM(DN3:DN5)+DN6</f>
        <v>8609.3158712939203</v>
      </c>
      <c r="DO21" s="888">
        <f t="shared" ref="DO21:DQ21" si="154">+DO20+SUM(DO7:DO12)+SUM(DO3:DO5)+DO6</f>
        <v>-476.41173610000351</v>
      </c>
      <c r="DP21" s="888">
        <f t="shared" si="154"/>
        <v>3819.3778825809477</v>
      </c>
      <c r="DQ21" s="888">
        <f t="shared" si="154"/>
        <v>3673.3289622506391</v>
      </c>
      <c r="DR21" s="1555">
        <f t="shared" ref="DR21" si="155">+DR20+SUM(DR7:DR12)+SUM(DR3:DR5)+DR6</f>
        <v>3187.7685364831809</v>
      </c>
      <c r="DS21" s="888">
        <f t="shared" ref="DS21" si="156">+DS20+SUM(DS7:DS12)+SUM(DS3:DS5)+DS6</f>
        <v>3342.9661464809446</v>
      </c>
      <c r="DT21" s="888">
        <f t="shared" ref="DT21" si="157">+DT20+SUM(DT7:DT12)+SUM(DT3:DT5)+DT6</f>
        <v>6861.0974987338195</v>
      </c>
      <c r="DU21" s="1545">
        <f t="shared" si="116"/>
        <v>10204.063645214763</v>
      </c>
      <c r="DV21" s="888">
        <f t="shared" ref="DV21:DX21" si="158">+DV20+SUM(DV7:DV12)+SUM(DV3:DV5)+DV6</f>
        <v>419.05509037012371</v>
      </c>
      <c r="DW21" s="888">
        <f t="shared" si="158"/>
        <v>4342.9250599829193</v>
      </c>
      <c r="DX21" s="888">
        <f t="shared" si="158"/>
        <v>4203.2085825184276</v>
      </c>
      <c r="DY21" s="1555">
        <f t="shared" ref="DY21" si="159">+DY20+SUM(DY7:DY12)+SUM(DY3:DY5)+DY6</f>
        <v>3859.2925419758581</v>
      </c>
      <c r="DZ21" s="888">
        <f t="shared" ref="DZ21" si="160">+DZ20+SUM(DZ7:DZ12)+SUM(DZ3:DZ5)+DZ6</f>
        <v>4761.9801503530425</v>
      </c>
      <c r="EA21" s="888">
        <f t="shared" ref="EA21" si="161">+EA20+SUM(EA7:EA12)+SUM(EA3:EA5)+EA6</f>
        <v>8062.5011244942852</v>
      </c>
      <c r="EB21" s="1545">
        <f t="shared" si="116"/>
        <v>12824.48127484733</v>
      </c>
      <c r="EC21" s="888">
        <f t="shared" ref="EC21:EE21" si="162">+EC20+SUM(EC7:EC12)+SUM(EC3:EC5)+EC6</f>
        <v>1191.53184115563</v>
      </c>
      <c r="ED21" s="888">
        <f t="shared" si="162"/>
        <v>4131.8833946750165</v>
      </c>
      <c r="EE21" s="888">
        <f t="shared" si="162"/>
        <v>3989.4904820220863</v>
      </c>
      <c r="EF21" s="1555">
        <f t="shared" ref="EF21" si="163">+EF20+SUM(EF7:EF12)+SUM(EF3:EF5)+EF6</f>
        <v>4310.1646299883232</v>
      </c>
      <c r="EG21" s="888">
        <f t="shared" ref="EG21" si="164">+EG20+SUM(EG7:EG12)+SUM(EG3:EG5)+EG6</f>
        <v>5323.4152358306465</v>
      </c>
      <c r="EH21" s="888">
        <f t="shared" ref="EH21" si="165">+EH20+SUM(EH7:EH12)+SUM(EH3:EH5)+EH6</f>
        <v>8299.6551120104104</v>
      </c>
      <c r="EI21" s="1545">
        <f t="shared" si="116"/>
        <v>13623.070347841054</v>
      </c>
      <c r="EJ21" s="888">
        <f t="shared" ref="EJ21:EL21" si="166">+EJ20+SUM(EJ7:EJ12)+SUM(EJ3:EJ5)+EJ6</f>
        <v>1536.5750395489008</v>
      </c>
      <c r="EK21" s="888">
        <f t="shared" si="166"/>
        <v>4353.7513849590896</v>
      </c>
      <c r="EL21" s="888">
        <f t="shared" si="166"/>
        <v>4215.8816222287405</v>
      </c>
      <c r="EM21" s="1555">
        <f t="shared" ref="EM21" si="167">+EM20+SUM(EM7:EM12)+SUM(EM3:EM5)+EM6</f>
        <v>4525.6466919160766</v>
      </c>
      <c r="EN21" s="888">
        <f t="shared" ref="EN21" si="168">+EN20+SUM(EN7:EN12)+SUM(EN3:EN5)+EN6</f>
        <v>5890.3264245079899</v>
      </c>
      <c r="EO21" s="888">
        <f t="shared" ref="EO21" si="169">+EO20+SUM(EO7:EO12)+SUM(EO3:EO5)+EO6</f>
        <v>8741.5283141448162</v>
      </c>
      <c r="EP21" s="1545">
        <f t="shared" si="116"/>
        <v>14631.854738652806</v>
      </c>
      <c r="EQ21" s="2067"/>
      <c r="ER21" s="46"/>
    </row>
    <row r="22" spans="1:148" ht="10.199999999999999" customHeight="1">
      <c r="A22" s="48"/>
      <c r="B22" s="108"/>
      <c r="C22" s="130"/>
      <c r="D22" s="130"/>
      <c r="E22" s="130"/>
      <c r="F22" s="130"/>
      <c r="G22" s="134"/>
      <c r="H22" s="133"/>
      <c r="I22" s="224"/>
      <c r="J22" s="134"/>
      <c r="K22" s="134"/>
      <c r="L22" s="130"/>
      <c r="M22" s="130"/>
      <c r="N22" s="130"/>
      <c r="O22" s="130"/>
      <c r="P22" s="130"/>
      <c r="Q22" s="698"/>
      <c r="R22" s="130"/>
      <c r="S22" s="130"/>
      <c r="T22" s="619"/>
      <c r="U22" s="130"/>
      <c r="V22" s="130"/>
      <c r="W22" s="130"/>
      <c r="X22" s="698"/>
      <c r="Y22" s="130"/>
      <c r="Z22" s="130"/>
      <c r="AA22" s="619"/>
      <c r="AB22" s="130"/>
      <c r="AC22" s="130"/>
      <c r="AD22" s="130"/>
      <c r="AE22" s="698"/>
      <c r="AF22" s="130"/>
      <c r="AG22" s="130"/>
      <c r="AH22" s="619"/>
      <c r="AI22" s="130"/>
      <c r="AJ22" s="130"/>
      <c r="AK22" s="130"/>
      <c r="AL22" s="698"/>
      <c r="AM22" s="130"/>
      <c r="AN22" s="130"/>
      <c r="AO22" s="619"/>
      <c r="AP22" s="130"/>
      <c r="AQ22" s="130"/>
      <c r="AR22" s="130"/>
      <c r="AS22" s="698"/>
      <c r="AT22" s="130"/>
      <c r="AU22" s="130"/>
      <c r="AV22" s="619"/>
      <c r="AW22" s="130"/>
      <c r="AX22" s="130"/>
      <c r="AY22" s="130"/>
      <c r="AZ22" s="698"/>
      <c r="BA22" s="130"/>
      <c r="BB22" s="130"/>
      <c r="BC22" s="619"/>
      <c r="BD22" s="130"/>
      <c r="BE22" s="130"/>
      <c r="BF22" s="130"/>
      <c r="BG22" s="698"/>
      <c r="BH22" s="130"/>
      <c r="BI22" s="130"/>
      <c r="BJ22" s="619"/>
      <c r="BK22" s="130"/>
      <c r="BL22" s="130"/>
      <c r="BM22" s="130"/>
      <c r="BN22" s="698"/>
      <c r="BO22" s="130"/>
      <c r="BP22" s="130"/>
      <c r="BQ22" s="619"/>
      <c r="BR22" s="130"/>
      <c r="BS22" s="130"/>
      <c r="BT22" s="130"/>
      <c r="BU22" s="698"/>
      <c r="BV22" s="130"/>
      <c r="BW22" s="130"/>
      <c r="BX22" s="619"/>
      <c r="BY22" s="130"/>
      <c r="BZ22" s="130"/>
      <c r="CA22" s="130"/>
      <c r="CB22" s="698"/>
      <c r="CC22" s="130"/>
      <c r="CD22" s="130"/>
      <c r="CE22" s="619"/>
      <c r="CF22" s="130"/>
      <c r="CG22" s="130"/>
      <c r="CH22" s="130"/>
      <c r="CI22" s="698"/>
      <c r="CJ22" s="130"/>
      <c r="CK22" s="130"/>
      <c r="CL22" s="619"/>
      <c r="CM22" s="130"/>
      <c r="CN22" s="130"/>
      <c r="CO22" s="130"/>
      <c r="CP22" s="698"/>
      <c r="CQ22" s="130"/>
      <c r="CR22" s="130"/>
      <c r="CS22" s="619"/>
      <c r="CT22" s="130"/>
      <c r="CU22" s="130"/>
      <c r="CV22" s="130"/>
      <c r="CW22" s="698"/>
      <c r="CX22" s="130"/>
      <c r="CY22" s="130"/>
      <c r="CZ22" s="742"/>
      <c r="DA22" s="130"/>
      <c r="DB22" s="617"/>
      <c r="DC22" s="130"/>
      <c r="DD22" s="698"/>
      <c r="DE22" s="6"/>
      <c r="DF22" s="130"/>
      <c r="DG22" s="742"/>
      <c r="DH22" s="130"/>
      <c r="DI22" s="1878"/>
      <c r="DJ22" s="6"/>
      <c r="DK22" s="740"/>
      <c r="DL22" s="1909"/>
      <c r="DM22" s="6"/>
      <c r="DN22" s="742"/>
      <c r="DO22" s="6"/>
      <c r="DP22" s="617"/>
      <c r="DQ22" s="6"/>
      <c r="DR22" s="740"/>
      <c r="DS22" s="6"/>
      <c r="DT22" s="6"/>
      <c r="DU22" s="742"/>
      <c r="DV22" s="6"/>
      <c r="DW22" s="617"/>
      <c r="DX22" s="6"/>
      <c r="DY22" s="740"/>
      <c r="DZ22" s="6"/>
      <c r="EA22" s="6"/>
      <c r="EB22" s="742"/>
      <c r="EC22" s="6"/>
      <c r="ED22" s="617"/>
      <c r="EE22" s="6"/>
      <c r="EF22" s="740"/>
      <c r="EG22" s="6"/>
      <c r="EH22" s="6"/>
      <c r="EI22" s="742"/>
      <c r="EJ22" s="6"/>
      <c r="EK22" s="617"/>
      <c r="EL22" s="6"/>
      <c r="EM22" s="740"/>
      <c r="EN22" s="6"/>
      <c r="EO22" s="6"/>
      <c r="EP22" s="742"/>
      <c r="EQ22" s="851"/>
      <c r="ER22" s="46"/>
    </row>
    <row r="23" spans="1:148" ht="10.199999999999999" customHeight="1">
      <c r="A23" s="43" t="s">
        <v>63</v>
      </c>
      <c r="B23" s="108"/>
      <c r="C23" s="203">
        <f>-2314+240</f>
        <v>-2074</v>
      </c>
      <c r="D23" s="203">
        <f>-2672+47</f>
        <v>-2625</v>
      </c>
      <c r="E23" s="235">
        <f>-3017+36</f>
        <v>-2981</v>
      </c>
      <c r="F23" s="235">
        <f>-2818+101</f>
        <v>-2717</v>
      </c>
      <c r="G23" s="203">
        <f>-2708+76</f>
        <v>-2632</v>
      </c>
      <c r="H23" s="203">
        <f>-2028+162</f>
        <v>-1866</v>
      </c>
      <c r="I23" s="203">
        <f>-1837+35</f>
        <v>-1802</v>
      </c>
      <c r="J23" s="203">
        <f>-1957+75</f>
        <v>-1882</v>
      </c>
      <c r="K23" s="203">
        <f>-2250+45</f>
        <v>-2205</v>
      </c>
      <c r="L23" s="203">
        <f>-2197+79</f>
        <v>-2118</v>
      </c>
      <c r="M23" s="203">
        <f>-3270+73</f>
        <v>-3197</v>
      </c>
      <c r="N23" s="203">
        <f>-664+15</f>
        <v>-649</v>
      </c>
      <c r="O23" s="203">
        <f t="shared" ref="O23:O30" si="170">R23-N23</f>
        <v>-721</v>
      </c>
      <c r="P23" s="203">
        <f>-2059+4-N23-O23</f>
        <v>-685</v>
      </c>
      <c r="Q23" s="1448">
        <f t="shared" ref="Q23:Q30" si="171">S23-P23</f>
        <v>-815</v>
      </c>
      <c r="R23" s="203">
        <f>-1394+24</f>
        <v>-1370</v>
      </c>
      <c r="S23" s="203">
        <f t="shared" ref="S23:S30" si="172">T23-R23</f>
        <v>-1500</v>
      </c>
      <c r="T23" s="1461">
        <f>-2918+48</f>
        <v>-2870</v>
      </c>
      <c r="U23" s="203">
        <f>-553+23</f>
        <v>-530</v>
      </c>
      <c r="V23" s="203">
        <f t="shared" ref="V23:V30" si="173">Y23-U23</f>
        <v>-401</v>
      </c>
      <c r="W23" s="203">
        <f>-1639+168-U23-V23</f>
        <v>-540</v>
      </c>
      <c r="X23" s="1448">
        <f t="shared" ref="X23:X30" si="174">Z23-W23</f>
        <v>-845</v>
      </c>
      <c r="Y23" s="203">
        <f>-1056+125</f>
        <v>-931</v>
      </c>
      <c r="Z23" s="203">
        <f t="shared" ref="Z23:Z30" si="175">AA23-Y23</f>
        <v>-1385</v>
      </c>
      <c r="AA23" s="1461">
        <f>-2548+232</f>
        <v>-2316</v>
      </c>
      <c r="AB23" s="203">
        <f>-505+2</f>
        <v>-503</v>
      </c>
      <c r="AC23" s="203">
        <f t="shared" ref="AC23:AC30" si="176">AF23-AB23</f>
        <v>-485</v>
      </c>
      <c r="AD23" s="203">
        <f>-1663+28-AB23-AC23</f>
        <v>-647</v>
      </c>
      <c r="AE23" s="1448">
        <f t="shared" ref="AE23:AE30" si="177">AG23-AD23</f>
        <v>-1211</v>
      </c>
      <c r="AF23" s="203">
        <f>-1000+12</f>
        <v>-988</v>
      </c>
      <c r="AG23" s="203">
        <f t="shared" ref="AG23:AG30" si="178">AH23-AF23</f>
        <v>-1858</v>
      </c>
      <c r="AH23" s="1461">
        <f>-2924+78</f>
        <v>-2846</v>
      </c>
      <c r="AI23" s="203">
        <f>-563+8</f>
        <v>-555</v>
      </c>
      <c r="AJ23" s="203">
        <f t="shared" ref="AJ23:AJ30" si="179">AM23-AI23</f>
        <v>-685</v>
      </c>
      <c r="AK23" s="203">
        <f>-1990+36-AI23-AJ23</f>
        <v>-714</v>
      </c>
      <c r="AL23" s="1448">
        <f t="shared" ref="AL23:AL30" si="180">AN23-AK23</f>
        <v>-1034</v>
      </c>
      <c r="AM23" s="203">
        <f>-1259+19</f>
        <v>-1240</v>
      </c>
      <c r="AN23" s="203">
        <f t="shared" ref="AN23:AN30" si="181">AO23-AM23</f>
        <v>-1748</v>
      </c>
      <c r="AO23" s="1461">
        <f>-3060+72</f>
        <v>-2988</v>
      </c>
      <c r="AP23" s="203">
        <f>-482+2</f>
        <v>-480</v>
      </c>
      <c r="AQ23" s="203">
        <f t="shared" ref="AQ23:AQ30" si="182">AT23-AP23</f>
        <v>-494</v>
      </c>
      <c r="AR23" s="203">
        <f>-1655+113-AP23-AQ23</f>
        <v>-568</v>
      </c>
      <c r="AS23" s="1448">
        <f t="shared" ref="AS23:AS30" si="183">AU23-AR23</f>
        <v>-839</v>
      </c>
      <c r="AT23" s="203">
        <f>-1060+86</f>
        <v>-974</v>
      </c>
      <c r="AU23" s="203">
        <f t="shared" ref="AU23:AU30" si="184">AV23-AT23</f>
        <v>-1407</v>
      </c>
      <c r="AV23" s="1461">
        <f>-2558+177</f>
        <v>-2381</v>
      </c>
      <c r="AW23" s="203">
        <f>-482+2</f>
        <v>-480</v>
      </c>
      <c r="AX23" s="203">
        <f t="shared" ref="AX23:AX30" si="185">BA23-AW23</f>
        <v>-494</v>
      </c>
      <c r="AY23" s="203">
        <f>-1655+113-AW23-AX23</f>
        <v>-568</v>
      </c>
      <c r="AZ23" s="1448">
        <f t="shared" ref="AZ23:AZ30" si="186">BB23-AY23</f>
        <v>-839</v>
      </c>
      <c r="BA23" s="203">
        <f>-1060+86</f>
        <v>-974</v>
      </c>
      <c r="BB23" s="203">
        <f t="shared" ref="BB23:BB30" si="187">BC23-BA23</f>
        <v>-1407</v>
      </c>
      <c r="BC23" s="1461">
        <f>-2558+177</f>
        <v>-2381</v>
      </c>
      <c r="BD23" s="203">
        <f>-393+156</f>
        <v>-237</v>
      </c>
      <c r="BE23" s="203">
        <f t="shared" ref="BE23:BE30" si="188">BH23-BD23</f>
        <v>-521</v>
      </c>
      <c r="BF23" s="203">
        <f>-1378+171-BD23-BE23</f>
        <v>-449</v>
      </c>
      <c r="BG23" s="1448">
        <f t="shared" ref="BG23:BG30" si="189">BI23-BF23</f>
        <v>-865</v>
      </c>
      <c r="BH23" s="203">
        <f>-916+158</f>
        <v>-758</v>
      </c>
      <c r="BI23" s="203">
        <f t="shared" ref="BI23:BI30" si="190">BJ23-BH23</f>
        <v>-1314</v>
      </c>
      <c r="BJ23" s="1461">
        <f>-2285+213</f>
        <v>-2072</v>
      </c>
      <c r="BK23" s="203">
        <f>-455+22</f>
        <v>-433</v>
      </c>
      <c r="BL23" s="203">
        <f t="shared" ref="BL23:BL30" si="191">BO23-BK23</f>
        <v>-390</v>
      </c>
      <c r="BM23" s="203">
        <f>-1457+109-BK23-BL23</f>
        <v>-525</v>
      </c>
      <c r="BN23" s="1448">
        <f t="shared" ref="BN23:BN30" si="192">BP23-BM23</f>
        <v>-880</v>
      </c>
      <c r="BO23" s="203">
        <f>-914+91</f>
        <v>-823</v>
      </c>
      <c r="BP23" s="203">
        <f t="shared" ref="BP23:BP30" si="193">BQ23-BO23</f>
        <v>-1405</v>
      </c>
      <c r="BQ23" s="1461">
        <f>-2340+112</f>
        <v>-2228</v>
      </c>
      <c r="BR23" s="203">
        <f>-453+12</f>
        <v>-441</v>
      </c>
      <c r="BS23" s="203">
        <f t="shared" ref="BS23:BS30" si="194">BV23-BR23</f>
        <v>-327</v>
      </c>
      <c r="BT23" s="203">
        <f>-1191+150-BR23-BS23</f>
        <v>-273</v>
      </c>
      <c r="BU23" s="1448">
        <f t="shared" ref="BU23:BU30" si="195">BW23-BT23</f>
        <v>-490</v>
      </c>
      <c r="BV23" s="203">
        <f>-933+165</f>
        <v>-768</v>
      </c>
      <c r="BW23" s="203">
        <f t="shared" ref="BW23:BW30" si="196">BX23-BV23</f>
        <v>-763</v>
      </c>
      <c r="BX23" s="1461">
        <f>-1759+228</f>
        <v>-1531</v>
      </c>
      <c r="BY23" s="203">
        <f>-460+32</f>
        <v>-428</v>
      </c>
      <c r="BZ23" s="203">
        <f t="shared" ref="BZ23:BZ30" si="197">CC23-BY23</f>
        <v>-331</v>
      </c>
      <c r="CA23" s="203">
        <f>-1199+73-BY23-BZ23</f>
        <v>-367</v>
      </c>
      <c r="CB23" s="1448">
        <f t="shared" ref="CB23:CB30" si="198">CD23-CA23</f>
        <v>-590</v>
      </c>
      <c r="CC23" s="203">
        <f>-802+43</f>
        <v>-759</v>
      </c>
      <c r="CD23" s="203">
        <f t="shared" ref="CD23:CD30" si="199">CE23-CC23</f>
        <v>-957</v>
      </c>
      <c r="CE23" s="1461">
        <f>-1928+212</f>
        <v>-1716</v>
      </c>
      <c r="CF23" s="203">
        <f>-337+25</f>
        <v>-312</v>
      </c>
      <c r="CG23" s="203">
        <f t="shared" ref="CG23:CG30" si="200">CJ23-CF23</f>
        <v>-398</v>
      </c>
      <c r="CH23" s="203">
        <f>-1307+82-CF23-CG23</f>
        <v>-515</v>
      </c>
      <c r="CI23" s="1448">
        <f t="shared" ref="CI23:CI30" si="201">CK23-CH23</f>
        <v>-1138</v>
      </c>
      <c r="CJ23" s="203">
        <f>-749+39</f>
        <v>-710</v>
      </c>
      <c r="CK23" s="203">
        <f t="shared" ref="CK23:CK30" si="202">CL23-CJ23</f>
        <v>-1653</v>
      </c>
      <c r="CL23" s="1461">
        <f>-2464+101</f>
        <v>-2363</v>
      </c>
      <c r="CM23" s="203">
        <f>-497+6</f>
        <v>-491</v>
      </c>
      <c r="CN23" s="203">
        <f t="shared" ref="CN23:CN30" si="203">CQ23-CM23</f>
        <v>-572</v>
      </c>
      <c r="CO23" s="203">
        <f>-1684+34-CM23-CN23</f>
        <v>-587</v>
      </c>
      <c r="CP23" s="1448">
        <f t="shared" ref="CP23:CP30" si="204">CR23-CO23</f>
        <v>-1326</v>
      </c>
      <c r="CQ23" s="203">
        <f>-1090+27</f>
        <v>-1063</v>
      </c>
      <c r="CR23" s="203">
        <f t="shared" ref="CR23:CR30" si="205">CS23-CQ23</f>
        <v>-1913</v>
      </c>
      <c r="CS23" s="1461">
        <f>-3051+75</f>
        <v>-2976</v>
      </c>
      <c r="CT23" s="203">
        <f>-498+24</f>
        <v>-474</v>
      </c>
      <c r="CU23" s="203">
        <f t="shared" ref="CU23:CU30" si="206">CX23-CT23</f>
        <v>-787</v>
      </c>
      <c r="CV23" s="203">
        <f>-2078+48-CT23-CU23</f>
        <v>-769</v>
      </c>
      <c r="CW23" s="1448">
        <f t="shared" ref="CW23:CW30" si="207">CY23-CV23</f>
        <v>-1541</v>
      </c>
      <c r="CX23" s="203">
        <f>-1315+54</f>
        <v>-1261</v>
      </c>
      <c r="CY23" s="203">
        <f t="shared" ref="CY23:CY30" si="208">CZ23-CX23</f>
        <v>-2310</v>
      </c>
      <c r="CZ23" s="1461">
        <f>-3669+98</f>
        <v>-3571</v>
      </c>
      <c r="DA23" s="203">
        <f>-597+8</f>
        <v>-589</v>
      </c>
      <c r="DB23" s="203">
        <f t="shared" ref="DB23:DB30" si="209">DE23-DA23</f>
        <v>-693</v>
      </c>
      <c r="DC23" s="203">
        <f>-921+18</f>
        <v>-903</v>
      </c>
      <c r="DD23" s="1448">
        <f t="shared" ref="DD23:DD30" si="210">DF23-DC23</f>
        <v>-1710</v>
      </c>
      <c r="DE23" s="2091">
        <f>-1340+58</f>
        <v>-1282</v>
      </c>
      <c r="DF23" s="203">
        <f t="shared" ref="DF23:DF30" si="211">DG23-DE23</f>
        <v>-2613</v>
      </c>
      <c r="DG23" s="1269">
        <f>-3964+69</f>
        <v>-3895</v>
      </c>
      <c r="DH23" s="203">
        <f>-615+5</f>
        <v>-610</v>
      </c>
      <c r="DI23" s="2013">
        <f t="shared" ref="DI23:DI30" si="212">DL23-DH23</f>
        <v>-816</v>
      </c>
      <c r="DJ23" s="860">
        <f>-BS!DJ108-BS!DJ89</f>
        <v>-900.27735755988283</v>
      </c>
      <c r="DK23" s="1557">
        <f t="shared" ref="DK23:DK30" si="213">DM23-DJ23</f>
        <v>-1887.9408350038505</v>
      </c>
      <c r="DL23" s="1892">
        <f>-1466+40</f>
        <v>-1426</v>
      </c>
      <c r="DM23" s="1422">
        <f t="shared" ref="DM23:DM30" si="214">DN23-DL23</f>
        <v>-2788.2181925637333</v>
      </c>
      <c r="DN23" s="1119">
        <f>-BS!DN108-BS!DN89</f>
        <v>-4214.2181925637333</v>
      </c>
      <c r="DO23" s="860">
        <f>-BS!DO108-BS!DO89</f>
        <v>-995.84328194981686</v>
      </c>
      <c r="DP23" s="1422">
        <f t="shared" ref="DP23:DP30" si="215">DS23-DO23</f>
        <v>-1091.530459662961</v>
      </c>
      <c r="DQ23" s="860">
        <f>-BS!DQ108-BS!DQ89</f>
        <v>-1086.1772899496209</v>
      </c>
      <c r="DR23" s="1557">
        <f t="shared" ref="DR23:DR30" si="216">DT23-DQ23</f>
        <v>-1203.4311538586226</v>
      </c>
      <c r="DS23" s="860">
        <f>-BS!DS108-BS!DS89</f>
        <v>-2087.3737416127778</v>
      </c>
      <c r="DT23" s="1422">
        <f t="shared" ref="DT23:DT30" si="217">DU23-DS23</f>
        <v>-2289.6084438082435</v>
      </c>
      <c r="DU23" s="1119">
        <f>-BS!DU108-BS!DU89</f>
        <v>-4376.9821854210213</v>
      </c>
      <c r="DV23" s="860">
        <f>-BS!DV108-BS!DV89</f>
        <v>-1037.356903912199</v>
      </c>
      <c r="DW23" s="1422">
        <f t="shared" ref="DW23:DW30" si="218">DZ23-DV23</f>
        <v>-1138.4352368425893</v>
      </c>
      <c r="DX23" s="860">
        <f>-BS!DX108-BS!DX89</f>
        <v>-1132.7163519482535</v>
      </c>
      <c r="DY23" s="1557">
        <f t="shared" ref="DY23:DY30" si="219">EA23-DX23</f>
        <v>-1268.558089795217</v>
      </c>
      <c r="DZ23" s="860">
        <f>-BS!DZ108-BS!DZ89</f>
        <v>-2175.7921407547883</v>
      </c>
      <c r="EA23" s="1422">
        <f t="shared" ref="EA23:EA30" si="220">EB23-DZ23</f>
        <v>-2401.2744417434706</v>
      </c>
      <c r="EB23" s="1119">
        <f>-BS!EB108-BS!EB89</f>
        <v>-4577.0665824982589</v>
      </c>
      <c r="EC23" s="860">
        <f>-BS!EC108-BS!EC89</f>
        <v>-1070.360711612283</v>
      </c>
      <c r="ED23" s="1422">
        <f t="shared" ref="ED23:ED30" si="221">EG23-EC23</f>
        <v>-1137.4140276331932</v>
      </c>
      <c r="EE23" s="860">
        <f>-BS!EE108-BS!EE89</f>
        <v>-1131.2893591740267</v>
      </c>
      <c r="EF23" s="1557">
        <f t="shared" ref="EF23:EF30" si="222">EH23-EE23</f>
        <v>-1272.9435271586667</v>
      </c>
      <c r="EG23" s="860">
        <f>-BS!EG108-BS!EG89</f>
        <v>-2207.7747392454762</v>
      </c>
      <c r="EH23" s="1422">
        <f t="shared" ref="EH23:EH30" si="223">EI23-EG23</f>
        <v>-2404.2328863326934</v>
      </c>
      <c r="EI23" s="1119">
        <f>-BS!EI108-BS!EI89</f>
        <v>-4612.0076255781696</v>
      </c>
      <c r="EJ23" s="860">
        <f>-BS!EJ108-BS!EJ89</f>
        <v>-1106.1487659272141</v>
      </c>
      <c r="EK23" s="1422">
        <f t="shared" ref="EK23:EK30" si="224">EN23-EJ23</f>
        <v>-1176.632893519755</v>
      </c>
      <c r="EL23" s="860">
        <f>-BS!EL108-BS!EL89</f>
        <v>-1170.2275318231084</v>
      </c>
      <c r="EM23" s="1557">
        <f t="shared" ref="EM23:EM30" si="225">EO23-EL23</f>
        <v>-1317.6462150936002</v>
      </c>
      <c r="EN23" s="860">
        <f>-BS!EN108-BS!EN89</f>
        <v>-2282.7816594469691</v>
      </c>
      <c r="EO23" s="1422">
        <f t="shared" ref="EO23:EO30" si="226">EP23-EN23</f>
        <v>-2487.8737469167086</v>
      </c>
      <c r="EP23" s="1119">
        <f>-BS!EP108-BS!EP89</f>
        <v>-4770.6554063636777</v>
      </c>
      <c r="EQ23" s="303"/>
      <c r="ER23" s="46"/>
    </row>
    <row r="24" spans="1:148" ht="10.199999999999999" customHeight="1">
      <c r="A24" s="43" t="s">
        <v>197</v>
      </c>
      <c r="B24" s="108"/>
      <c r="C24" s="203">
        <f>-1134+849</f>
        <v>-285</v>
      </c>
      <c r="D24" s="203">
        <f>-92+32</f>
        <v>-60</v>
      </c>
      <c r="E24" s="235">
        <v>-100</v>
      </c>
      <c r="F24" s="235">
        <f>-131+89</f>
        <v>-42</v>
      </c>
      <c r="G24" s="203">
        <f>-82+86</f>
        <v>4</v>
      </c>
      <c r="H24" s="203">
        <v>29</v>
      </c>
      <c r="I24" s="203">
        <f>-265+2</f>
        <v>-263</v>
      </c>
      <c r="J24" s="203">
        <f>-21+13</f>
        <v>-8</v>
      </c>
      <c r="K24" s="203">
        <f>-38+12</f>
        <v>-26</v>
      </c>
      <c r="L24" s="203">
        <f>-1535+18</f>
        <v>-1517</v>
      </c>
      <c r="M24" s="203">
        <v>-201</v>
      </c>
      <c r="N24" s="203">
        <v>0</v>
      </c>
      <c r="O24" s="203">
        <f t="shared" si="170"/>
        <v>-13</v>
      </c>
      <c r="P24" s="203">
        <f>-15-N24-O24</f>
        <v>-2</v>
      </c>
      <c r="Q24" s="1448">
        <f t="shared" si="171"/>
        <v>-1</v>
      </c>
      <c r="R24" s="203">
        <v>-13</v>
      </c>
      <c r="S24" s="203">
        <f t="shared" si="172"/>
        <v>-3</v>
      </c>
      <c r="T24" s="1461">
        <v>-16</v>
      </c>
      <c r="U24" s="203">
        <v>-24</v>
      </c>
      <c r="V24" s="203">
        <f t="shared" si="173"/>
        <v>-1</v>
      </c>
      <c r="W24" s="203">
        <f>-47-34-U24-V24</f>
        <v>-56</v>
      </c>
      <c r="X24" s="1448">
        <f t="shared" si="174"/>
        <v>0</v>
      </c>
      <c r="Y24" s="203">
        <v>-25</v>
      </c>
      <c r="Z24" s="203">
        <f t="shared" si="175"/>
        <v>-56</v>
      </c>
      <c r="AA24" s="1461">
        <f>-47-34</f>
        <v>-81</v>
      </c>
      <c r="AB24" s="203">
        <f>-6-3</f>
        <v>-9</v>
      </c>
      <c r="AC24" s="203">
        <f t="shared" si="176"/>
        <v>0</v>
      </c>
      <c r="AD24" s="203">
        <f>-13-3-AB24-AC24</f>
        <v>-7</v>
      </c>
      <c r="AE24" s="1448">
        <f t="shared" si="177"/>
        <v>130</v>
      </c>
      <c r="AF24" s="203">
        <f>-6-3</f>
        <v>-9</v>
      </c>
      <c r="AG24" s="203">
        <f t="shared" si="178"/>
        <v>123</v>
      </c>
      <c r="AH24" s="1461">
        <f>-13+127</f>
        <v>114</v>
      </c>
      <c r="AI24" s="203">
        <f>-118-9</f>
        <v>-127</v>
      </c>
      <c r="AJ24" s="203">
        <f t="shared" si="179"/>
        <v>742</v>
      </c>
      <c r="AK24" s="203">
        <f>-120+731-AI24-AJ24</f>
        <v>-4</v>
      </c>
      <c r="AL24" s="1448">
        <f t="shared" si="180"/>
        <v>0</v>
      </c>
      <c r="AM24" s="203">
        <f>-117+732</f>
        <v>615</v>
      </c>
      <c r="AN24" s="203">
        <f t="shared" si="181"/>
        <v>-4</v>
      </c>
      <c r="AO24" s="1461">
        <f>-120+731</f>
        <v>611</v>
      </c>
      <c r="AP24" s="203">
        <v>738</v>
      </c>
      <c r="AQ24" s="203">
        <f t="shared" si="182"/>
        <v>2</v>
      </c>
      <c r="AR24" s="203">
        <f>740-AP24-AQ24</f>
        <v>0</v>
      </c>
      <c r="AS24" s="1448">
        <f t="shared" si="183"/>
        <v>-386</v>
      </c>
      <c r="AT24" s="203">
        <v>740</v>
      </c>
      <c r="AU24" s="203">
        <f t="shared" si="184"/>
        <v>-386</v>
      </c>
      <c r="AV24" s="1461">
        <f>-23+377</f>
        <v>354</v>
      </c>
      <c r="AW24" s="203">
        <v>738</v>
      </c>
      <c r="AX24" s="203">
        <f t="shared" si="185"/>
        <v>2</v>
      </c>
      <c r="AY24" s="203">
        <f>740-AW24-AX24</f>
        <v>0</v>
      </c>
      <c r="AZ24" s="1448">
        <f t="shared" si="186"/>
        <v>-386</v>
      </c>
      <c r="BA24" s="203">
        <v>740</v>
      </c>
      <c r="BB24" s="203">
        <f t="shared" si="187"/>
        <v>-386</v>
      </c>
      <c r="BC24" s="1461">
        <f>-23+377</f>
        <v>354</v>
      </c>
      <c r="BD24" s="203">
        <v>0</v>
      </c>
      <c r="BE24" s="203">
        <f t="shared" si="188"/>
        <v>0</v>
      </c>
      <c r="BF24" s="203">
        <f>107-BD24-BE24</f>
        <v>107</v>
      </c>
      <c r="BG24" s="1448">
        <f t="shared" si="189"/>
        <v>22</v>
      </c>
      <c r="BH24" s="203">
        <v>0</v>
      </c>
      <c r="BI24" s="203">
        <f t="shared" si="190"/>
        <v>129</v>
      </c>
      <c r="BJ24" s="1461">
        <v>129</v>
      </c>
      <c r="BK24" s="203">
        <v>8</v>
      </c>
      <c r="BL24" s="203">
        <f t="shared" si="191"/>
        <v>0</v>
      </c>
      <c r="BM24" s="203">
        <f>8-BK24-BL24</f>
        <v>0</v>
      </c>
      <c r="BN24" s="1448">
        <f t="shared" si="192"/>
        <v>0</v>
      </c>
      <c r="BO24" s="203">
        <v>8</v>
      </c>
      <c r="BP24" s="203">
        <f t="shared" si="193"/>
        <v>0</v>
      </c>
      <c r="BQ24" s="1461">
        <v>8</v>
      </c>
      <c r="BR24" s="203">
        <v>-479</v>
      </c>
      <c r="BS24" s="203">
        <f t="shared" si="194"/>
        <v>-2</v>
      </c>
      <c r="BT24" s="203">
        <f>-481-BR24-BS24</f>
        <v>0</v>
      </c>
      <c r="BU24" s="1448">
        <f t="shared" si="195"/>
        <v>0</v>
      </c>
      <c r="BV24" s="203">
        <v>-481</v>
      </c>
      <c r="BW24" s="203">
        <f t="shared" si="196"/>
        <v>0</v>
      </c>
      <c r="BX24" s="1461">
        <v>-481</v>
      </c>
      <c r="BY24" s="203">
        <v>-7</v>
      </c>
      <c r="BZ24" s="203">
        <f t="shared" si="197"/>
        <v>0</v>
      </c>
      <c r="CA24" s="203">
        <f>-14-BY24-BZ24</f>
        <v>-7</v>
      </c>
      <c r="CB24" s="1448">
        <f t="shared" si="198"/>
        <v>-11</v>
      </c>
      <c r="CC24" s="203">
        <v>-7</v>
      </c>
      <c r="CD24" s="203">
        <f t="shared" si="199"/>
        <v>-18</v>
      </c>
      <c r="CE24" s="1461">
        <v>-25</v>
      </c>
      <c r="CF24" s="203">
        <v>-6</v>
      </c>
      <c r="CG24" s="203">
        <f t="shared" si="200"/>
        <v>-1</v>
      </c>
      <c r="CH24" s="203">
        <f>-88-CF24-CG24</f>
        <v>-81</v>
      </c>
      <c r="CI24" s="1448">
        <f t="shared" si="201"/>
        <v>-100</v>
      </c>
      <c r="CJ24" s="203">
        <v>-7</v>
      </c>
      <c r="CK24" s="203">
        <f t="shared" si="202"/>
        <v>-181</v>
      </c>
      <c r="CL24" s="1461">
        <v>-188</v>
      </c>
      <c r="CM24" s="203">
        <v>0</v>
      </c>
      <c r="CN24" s="203">
        <f t="shared" si="203"/>
        <v>0</v>
      </c>
      <c r="CO24" s="203">
        <f>-58-CM24-CN24</f>
        <v>-58</v>
      </c>
      <c r="CP24" s="1448">
        <f t="shared" si="204"/>
        <v>-7</v>
      </c>
      <c r="CQ24" s="203">
        <v>0</v>
      </c>
      <c r="CR24" s="203">
        <f t="shared" si="205"/>
        <v>-65</v>
      </c>
      <c r="CS24" s="1461">
        <v>-65</v>
      </c>
      <c r="CT24" s="203">
        <v>-23</v>
      </c>
      <c r="CU24" s="203">
        <f t="shared" si="206"/>
        <v>-56</v>
      </c>
      <c r="CV24" s="203">
        <f>-229-CT24-CU24</f>
        <v>-150</v>
      </c>
      <c r="CW24" s="1448">
        <f t="shared" si="207"/>
        <v>-17</v>
      </c>
      <c r="CX24" s="203">
        <v>-79</v>
      </c>
      <c r="CY24" s="203">
        <f t="shared" si="208"/>
        <v>-167</v>
      </c>
      <c r="CZ24" s="2096">
        <v>-246</v>
      </c>
      <c r="DA24" s="203">
        <v>0</v>
      </c>
      <c r="DB24" s="203">
        <f t="shared" si="209"/>
        <v>0</v>
      </c>
      <c r="DC24" s="203">
        <f>28-DA24-DB24</f>
        <v>28</v>
      </c>
      <c r="DD24" s="1448">
        <f t="shared" si="210"/>
        <v>121</v>
      </c>
      <c r="DE24" s="203">
        <v>0</v>
      </c>
      <c r="DF24" s="203">
        <f t="shared" si="211"/>
        <v>149</v>
      </c>
      <c r="DG24" s="1860">
        <f>122+27</f>
        <v>149</v>
      </c>
      <c r="DH24" s="203">
        <v>-1</v>
      </c>
      <c r="DI24" s="2013">
        <f t="shared" si="212"/>
        <v>-517</v>
      </c>
      <c r="DJ24" s="853">
        <v>0</v>
      </c>
      <c r="DK24" s="1557">
        <f t="shared" si="213"/>
        <v>0</v>
      </c>
      <c r="DL24" s="1892">
        <v>-518</v>
      </c>
      <c r="DM24" s="1422">
        <f t="shared" si="214"/>
        <v>0</v>
      </c>
      <c r="DN24" s="1484">
        <v>-518</v>
      </c>
      <c r="DO24" s="853">
        <v>0</v>
      </c>
      <c r="DP24" s="1422">
        <f t="shared" si="215"/>
        <v>0</v>
      </c>
      <c r="DQ24" s="853">
        <v>0</v>
      </c>
      <c r="DR24" s="1557">
        <f t="shared" si="216"/>
        <v>0</v>
      </c>
      <c r="DS24" s="853">
        <v>0</v>
      </c>
      <c r="DT24" s="1422">
        <f t="shared" si="217"/>
        <v>0</v>
      </c>
      <c r="DU24" s="1484">
        <v>0</v>
      </c>
      <c r="DV24" s="853">
        <v>0</v>
      </c>
      <c r="DW24" s="1422">
        <f t="shared" si="218"/>
        <v>0</v>
      </c>
      <c r="DX24" s="853">
        <v>0</v>
      </c>
      <c r="DY24" s="1557">
        <f t="shared" si="219"/>
        <v>0</v>
      </c>
      <c r="DZ24" s="853">
        <v>0</v>
      </c>
      <c r="EA24" s="1422">
        <f t="shared" si="220"/>
        <v>0</v>
      </c>
      <c r="EB24" s="1484">
        <v>0</v>
      </c>
      <c r="EC24" s="853">
        <v>0</v>
      </c>
      <c r="ED24" s="1422">
        <f t="shared" si="221"/>
        <v>0</v>
      </c>
      <c r="EE24" s="853">
        <v>0</v>
      </c>
      <c r="EF24" s="1557">
        <f t="shared" si="222"/>
        <v>0</v>
      </c>
      <c r="EG24" s="853">
        <v>0</v>
      </c>
      <c r="EH24" s="1422">
        <f t="shared" si="223"/>
        <v>0</v>
      </c>
      <c r="EI24" s="1484">
        <v>0</v>
      </c>
      <c r="EJ24" s="853">
        <v>0</v>
      </c>
      <c r="EK24" s="1422">
        <f t="shared" si="224"/>
        <v>0</v>
      </c>
      <c r="EL24" s="853">
        <v>0</v>
      </c>
      <c r="EM24" s="1557">
        <f t="shared" si="225"/>
        <v>0</v>
      </c>
      <c r="EN24" s="853">
        <v>0</v>
      </c>
      <c r="EO24" s="1422">
        <f t="shared" si="226"/>
        <v>0</v>
      </c>
      <c r="EP24" s="1484">
        <v>0</v>
      </c>
      <c r="EQ24" s="303"/>
      <c r="ER24" s="46"/>
    </row>
    <row r="25" spans="1:148" ht="10.199999999999999" customHeight="1">
      <c r="A25" s="43" t="s">
        <v>183</v>
      </c>
      <c r="B25" s="108"/>
      <c r="C25" s="203">
        <v>-599</v>
      </c>
      <c r="D25" s="203">
        <f>-728+346-279+8-443+84</f>
        <v>-1012</v>
      </c>
      <c r="E25" s="235">
        <f>-482+492-656+74-261+110</f>
        <v>-723</v>
      </c>
      <c r="F25" s="235">
        <f>-659+485-40+256-219+85</f>
        <v>-92</v>
      </c>
      <c r="G25" s="203">
        <f>-421+813-147+215-16+79</f>
        <v>523</v>
      </c>
      <c r="H25" s="203">
        <f>-132+186</f>
        <v>54</v>
      </c>
      <c r="I25" s="203">
        <f>-122+180</f>
        <v>58</v>
      </c>
      <c r="J25" s="203">
        <f>-136+43</f>
        <v>-93</v>
      </c>
      <c r="K25" s="203">
        <f>-190+91</f>
        <v>-99</v>
      </c>
      <c r="L25" s="203">
        <f>-312+77</f>
        <v>-235</v>
      </c>
      <c r="M25" s="203">
        <f>-328+232</f>
        <v>-96</v>
      </c>
      <c r="N25" s="203">
        <f>-88+36</f>
        <v>-52</v>
      </c>
      <c r="O25" s="203">
        <f t="shared" si="170"/>
        <v>-64</v>
      </c>
      <c r="P25" s="203">
        <f>-257+354-N25-O25</f>
        <v>213</v>
      </c>
      <c r="Q25" s="1448">
        <f t="shared" si="171"/>
        <v>-236</v>
      </c>
      <c r="R25" s="203">
        <f>-205+89</f>
        <v>-116</v>
      </c>
      <c r="S25" s="203">
        <f t="shared" si="172"/>
        <v>-23</v>
      </c>
      <c r="T25" s="1461">
        <f>-293+154</f>
        <v>-139</v>
      </c>
      <c r="U25" s="203">
        <f>-27+84</f>
        <v>57</v>
      </c>
      <c r="V25" s="203">
        <f t="shared" si="173"/>
        <v>6</v>
      </c>
      <c r="W25" s="203">
        <f>-30+117-U25-V25</f>
        <v>24</v>
      </c>
      <c r="X25" s="1448">
        <f t="shared" si="174"/>
        <v>960</v>
      </c>
      <c r="Y25" s="203">
        <f>-72+135</f>
        <v>63</v>
      </c>
      <c r="Z25" s="203">
        <f t="shared" si="175"/>
        <v>984</v>
      </c>
      <c r="AA25" s="1461">
        <f>-36+1083</f>
        <v>1047</v>
      </c>
      <c r="AB25" s="203">
        <f>-32+1613</f>
        <v>1581</v>
      </c>
      <c r="AC25" s="203">
        <f t="shared" si="176"/>
        <v>-106</v>
      </c>
      <c r="AD25" s="203">
        <f>-166+1734-AB25-AC25</f>
        <v>93</v>
      </c>
      <c r="AE25" s="1448">
        <f t="shared" si="177"/>
        <v>-95</v>
      </c>
      <c r="AF25" s="203">
        <f>-155+1630</f>
        <v>1475</v>
      </c>
      <c r="AG25" s="203">
        <f t="shared" si="178"/>
        <v>-2</v>
      </c>
      <c r="AH25" s="1461">
        <f>-258+1731</f>
        <v>1473</v>
      </c>
      <c r="AI25" s="203">
        <f>-115+24</f>
        <v>-91</v>
      </c>
      <c r="AJ25" s="203">
        <f t="shared" si="179"/>
        <v>-133</v>
      </c>
      <c r="AK25" s="203">
        <f>-502+102-AI25-AJ25</f>
        <v>-176</v>
      </c>
      <c r="AL25" s="1448">
        <f t="shared" si="180"/>
        <v>-109</v>
      </c>
      <c r="AM25" s="203">
        <f>-261+37</f>
        <v>-224</v>
      </c>
      <c r="AN25" s="203">
        <f t="shared" si="181"/>
        <v>-285</v>
      </c>
      <c r="AO25" s="1461">
        <f>-691+182</f>
        <v>-509</v>
      </c>
      <c r="AP25" s="203">
        <f>-450+168</f>
        <v>-282</v>
      </c>
      <c r="AQ25" s="203">
        <f t="shared" si="182"/>
        <v>160</v>
      </c>
      <c r="AR25" s="203">
        <f>-633+479-AP25-AQ25</f>
        <v>-32</v>
      </c>
      <c r="AS25" s="1448">
        <f t="shared" si="183"/>
        <v>-227</v>
      </c>
      <c r="AT25" s="203">
        <f>-501+379</f>
        <v>-122</v>
      </c>
      <c r="AU25" s="203">
        <f t="shared" si="184"/>
        <v>-259</v>
      </c>
      <c r="AV25" s="1461">
        <f>-913+532</f>
        <v>-381</v>
      </c>
      <c r="AW25" s="203">
        <f>-450+168</f>
        <v>-282</v>
      </c>
      <c r="AX25" s="203">
        <f t="shared" si="185"/>
        <v>160</v>
      </c>
      <c r="AY25" s="203">
        <f>-633+479-AW25-AX25</f>
        <v>-32</v>
      </c>
      <c r="AZ25" s="1448">
        <f t="shared" si="186"/>
        <v>-227</v>
      </c>
      <c r="BA25" s="203">
        <f>-501+379</f>
        <v>-122</v>
      </c>
      <c r="BB25" s="203">
        <f t="shared" si="187"/>
        <v>-259</v>
      </c>
      <c r="BC25" s="1461">
        <f>-913+532</f>
        <v>-381</v>
      </c>
      <c r="BD25" s="203">
        <f>-188+103</f>
        <v>-85</v>
      </c>
      <c r="BE25" s="203">
        <f t="shared" si="188"/>
        <v>67</v>
      </c>
      <c r="BF25" s="203">
        <f>-444+353-BD25-BE25</f>
        <v>-73</v>
      </c>
      <c r="BG25" s="1448">
        <f t="shared" si="189"/>
        <v>-19</v>
      </c>
      <c r="BH25" s="203">
        <f>-238+220</f>
        <v>-18</v>
      </c>
      <c r="BI25" s="203">
        <f t="shared" si="190"/>
        <v>-92</v>
      </c>
      <c r="BJ25" s="1461">
        <f>-707+597</f>
        <v>-110</v>
      </c>
      <c r="BK25" s="203">
        <f>1-136+94+5</f>
        <v>-36</v>
      </c>
      <c r="BL25" s="203">
        <f t="shared" si="191"/>
        <v>-107</v>
      </c>
      <c r="BM25" s="203">
        <f>-11-700+422-BK25-BL25</f>
        <v>-146</v>
      </c>
      <c r="BN25" s="1448">
        <f t="shared" si="192"/>
        <v>-305</v>
      </c>
      <c r="BO25" s="203">
        <f>-401+258</f>
        <v>-143</v>
      </c>
      <c r="BP25" s="203">
        <f t="shared" si="193"/>
        <v>-451</v>
      </c>
      <c r="BQ25" s="1461">
        <f>-952+358</f>
        <v>-594</v>
      </c>
      <c r="BR25" s="203">
        <f>-147+99</f>
        <v>-48</v>
      </c>
      <c r="BS25" s="203">
        <f t="shared" si="194"/>
        <v>-13</v>
      </c>
      <c r="BT25" s="203">
        <f>-407+335-BR25-BS25</f>
        <v>-11</v>
      </c>
      <c r="BU25" s="1448">
        <f t="shared" si="195"/>
        <v>-85</v>
      </c>
      <c r="BV25" s="203">
        <f>-250+189</f>
        <v>-61</v>
      </c>
      <c r="BW25" s="203">
        <f t="shared" si="196"/>
        <v>-96</v>
      </c>
      <c r="BX25" s="1461">
        <f>-565+408</f>
        <v>-157</v>
      </c>
      <c r="BY25" s="203">
        <f>-84+70</f>
        <v>-14</v>
      </c>
      <c r="BZ25" s="203">
        <f t="shared" si="197"/>
        <v>-9</v>
      </c>
      <c r="CA25" s="203">
        <f>-321+238-BY25-BZ25</f>
        <v>-60</v>
      </c>
      <c r="CB25" s="1448">
        <f t="shared" si="198"/>
        <v>-98</v>
      </c>
      <c r="CC25" s="203">
        <f>-194+171</f>
        <v>-23</v>
      </c>
      <c r="CD25" s="203">
        <f t="shared" si="199"/>
        <v>-158</v>
      </c>
      <c r="CE25" s="1461">
        <f>-577+396</f>
        <v>-181</v>
      </c>
      <c r="CF25" s="203">
        <f>-231+96</f>
        <v>-135</v>
      </c>
      <c r="CG25" s="203">
        <f t="shared" si="200"/>
        <v>-145</v>
      </c>
      <c r="CH25" s="203">
        <f>-653+277-CF25-CG25</f>
        <v>-96</v>
      </c>
      <c r="CI25" s="1448">
        <f t="shared" si="201"/>
        <v>58</v>
      </c>
      <c r="CJ25" s="203">
        <f>-468+188</f>
        <v>-280</v>
      </c>
      <c r="CK25" s="203">
        <f t="shared" si="202"/>
        <v>-38</v>
      </c>
      <c r="CL25" s="1461">
        <f>-777+459</f>
        <v>-318</v>
      </c>
      <c r="CM25" s="203">
        <f>-218+86</f>
        <v>-132</v>
      </c>
      <c r="CN25" s="203">
        <f t="shared" si="203"/>
        <v>-227</v>
      </c>
      <c r="CO25" s="203">
        <f>-685+379-CM25-CN25</f>
        <v>53</v>
      </c>
      <c r="CP25" s="1448">
        <f t="shared" si="204"/>
        <v>-145</v>
      </c>
      <c r="CQ25" s="203">
        <f>-578+219</f>
        <v>-359</v>
      </c>
      <c r="CR25" s="203">
        <f t="shared" si="205"/>
        <v>-92</v>
      </c>
      <c r="CS25" s="1461">
        <f>-960+509</f>
        <v>-451</v>
      </c>
      <c r="CT25" s="203">
        <f>-149+60</f>
        <v>-89</v>
      </c>
      <c r="CU25" s="203">
        <f t="shared" si="206"/>
        <v>-13</v>
      </c>
      <c r="CV25" s="203">
        <f>-465+329-CT25-CU25</f>
        <v>-34</v>
      </c>
      <c r="CW25" s="1448">
        <f t="shared" si="207"/>
        <v>-205</v>
      </c>
      <c r="CX25" s="203">
        <f>-294+192</f>
        <v>-102</v>
      </c>
      <c r="CY25" s="203">
        <f t="shared" si="208"/>
        <v>-239</v>
      </c>
      <c r="CZ25" s="1461">
        <f>-871+530</f>
        <v>-341</v>
      </c>
      <c r="DA25" s="203">
        <f>-228+276</f>
        <v>48</v>
      </c>
      <c r="DB25" s="203">
        <f t="shared" si="209"/>
        <v>-56</v>
      </c>
      <c r="DC25" s="203">
        <f>-128+171</f>
        <v>43</v>
      </c>
      <c r="DD25" s="1448">
        <f t="shared" si="210"/>
        <v>169</v>
      </c>
      <c r="DE25" s="2091">
        <f>-779+771</f>
        <v>-8</v>
      </c>
      <c r="DF25" s="203">
        <f t="shared" si="211"/>
        <v>212</v>
      </c>
      <c r="DG25" s="1269">
        <f>-879+1083</f>
        <v>204</v>
      </c>
      <c r="DH25" s="203">
        <f>-274+422</f>
        <v>148</v>
      </c>
      <c r="DI25" s="2013">
        <f t="shared" si="212"/>
        <v>-62</v>
      </c>
      <c r="DJ25" s="860">
        <f>(BS!DI9-BS!DJ9+BS!DI20-BS!DJ20)+(BS!DJ33-BS!DI33+BS!DJ44-BS!DI44)</f>
        <v>0</v>
      </c>
      <c r="DK25" s="1557">
        <f t="shared" si="213"/>
        <v>-86</v>
      </c>
      <c r="DL25" s="1892">
        <f>-241+327</f>
        <v>86</v>
      </c>
      <c r="DM25" s="1422">
        <f t="shared" si="214"/>
        <v>-86</v>
      </c>
      <c r="DN25" s="1119">
        <f>(BS!DG9-BS!DN9+BS!DG20-BS!DN20)+(BS!DN33-BS!DG33+BS!DN44-BS!DG44)</f>
        <v>0</v>
      </c>
      <c r="DO25" s="860">
        <f>(BS!DN9-BS!DO9+BS!DN20-BS!DO20)+(BS!DO33-BS!DN33+BS!DO44-BS!DN44)</f>
        <v>0</v>
      </c>
      <c r="DP25" s="1422">
        <f t="shared" si="215"/>
        <v>0</v>
      </c>
      <c r="DQ25" s="860">
        <f>(BS!DP9-BS!DQ9+BS!DP20-BS!DQ20)+(BS!DQ33-BS!DP33+BS!DQ44-BS!DP44)</f>
        <v>0</v>
      </c>
      <c r="DR25" s="1557">
        <f t="shared" si="216"/>
        <v>0</v>
      </c>
      <c r="DS25" s="860">
        <f>(BS!DN9-BS!DS9+BS!DN20-BS!DS20)+(BS!DS33-BS!DN33+BS!DS44-BS!DN44)</f>
        <v>0</v>
      </c>
      <c r="DT25" s="1422">
        <f t="shared" si="217"/>
        <v>0</v>
      </c>
      <c r="DU25" s="1119">
        <f>(BS!DN9-BS!DU9+BS!DN20-BS!DU20)+(BS!DU33-BS!DN33+BS!DU44-BS!DN44)</f>
        <v>0</v>
      </c>
      <c r="DV25" s="860">
        <f>(BS!DU9-BS!DV9+BS!DU20-BS!DV20)+(BS!DV33-BS!DU33+BS!DV44-BS!DU44)</f>
        <v>0</v>
      </c>
      <c r="DW25" s="1422">
        <f t="shared" si="218"/>
        <v>0</v>
      </c>
      <c r="DX25" s="860">
        <f>(BS!DW9-BS!DX9+BS!DW20-BS!DX20)+(BS!DX33-BS!DW33+BS!DX44-BS!DW44)</f>
        <v>0</v>
      </c>
      <c r="DY25" s="1557">
        <f t="shared" si="219"/>
        <v>0</v>
      </c>
      <c r="DZ25" s="860">
        <f>(BS!DU9-BS!DZ9+BS!DU20-BS!DZ20)+(BS!DZ33-BS!DU33+BS!DZ44-BS!DU44)</f>
        <v>0</v>
      </c>
      <c r="EA25" s="1422">
        <f t="shared" si="220"/>
        <v>0</v>
      </c>
      <c r="EB25" s="1119">
        <f>(BS!DU9-BS!EB9+BS!DU20-BS!EB20)+(BS!EB33-BS!DU33+BS!EB44-BS!DU44)</f>
        <v>0</v>
      </c>
      <c r="EC25" s="860">
        <f>(BS!EB9-BS!EC9+BS!EB20-BS!EC20)+(BS!EC33-BS!EB33+BS!EC44-BS!EB44)</f>
        <v>0</v>
      </c>
      <c r="ED25" s="1422">
        <f t="shared" si="221"/>
        <v>0</v>
      </c>
      <c r="EE25" s="860">
        <f>(BS!ED9-BS!EE9+BS!ED20-BS!EE20)+(BS!EE33-BS!ED33+BS!EE44-BS!ED44)</f>
        <v>0</v>
      </c>
      <c r="EF25" s="1557">
        <f t="shared" si="222"/>
        <v>0</v>
      </c>
      <c r="EG25" s="860">
        <f>(BS!EB9-BS!EG9+BS!EB20-BS!EG20)+(BS!EG33-BS!EB33+BS!EG44-BS!EB44)</f>
        <v>0</v>
      </c>
      <c r="EH25" s="1422">
        <f t="shared" si="223"/>
        <v>0</v>
      </c>
      <c r="EI25" s="1119">
        <f>(BS!EB9-BS!EI9+BS!EB20-BS!EI20)+(BS!EI33-BS!EB33+BS!EI44-BS!EB44)</f>
        <v>0</v>
      </c>
      <c r="EJ25" s="860">
        <f>(BS!EI9-BS!EJ9+BS!EI20-BS!EJ20)+(BS!EJ33-BS!EI33+BS!EJ44-BS!EI44)</f>
        <v>0</v>
      </c>
      <c r="EK25" s="1422">
        <f t="shared" si="224"/>
        <v>0</v>
      </c>
      <c r="EL25" s="860">
        <f>(BS!EK9-BS!EL9+BS!EK20-BS!EL20)+(BS!EL33-BS!EK33+BS!EL44-BS!EK44)</f>
        <v>0</v>
      </c>
      <c r="EM25" s="1557">
        <f t="shared" si="225"/>
        <v>0</v>
      </c>
      <c r="EN25" s="860">
        <f>(BS!EI9-BS!EN9+BS!EI20-BS!EN20)+(BS!EN33-BS!EI33+BS!EN44-BS!EI44)</f>
        <v>0</v>
      </c>
      <c r="EO25" s="1422">
        <f t="shared" si="226"/>
        <v>0</v>
      </c>
      <c r="EP25" s="1119">
        <f>(BS!EI9-BS!EP9+BS!EI20-BS!EP20)+(BS!EP33-BS!EI33+BS!EP44-BS!EI44)</f>
        <v>0</v>
      </c>
      <c r="EQ25" s="303"/>
      <c r="ER25" s="46"/>
    </row>
    <row r="26" spans="1:148" ht="10.199999999999999" customHeight="1">
      <c r="A26" s="43" t="s">
        <v>64</v>
      </c>
      <c r="B26" s="108"/>
      <c r="C26" s="203">
        <v>0</v>
      </c>
      <c r="D26" s="203">
        <v>38</v>
      </c>
      <c r="E26" s="235">
        <v>36</v>
      </c>
      <c r="F26" s="235">
        <v>36</v>
      </c>
      <c r="G26" s="203">
        <v>46</v>
      </c>
      <c r="H26" s="203">
        <v>39</v>
      </c>
      <c r="I26" s="203">
        <v>50</v>
      </c>
      <c r="J26" s="203">
        <v>27</v>
      </c>
      <c r="K26" s="203">
        <v>41</v>
      </c>
      <c r="L26" s="203">
        <v>50</v>
      </c>
      <c r="M26" s="203">
        <v>46</v>
      </c>
      <c r="N26" s="203">
        <v>0</v>
      </c>
      <c r="O26" s="203">
        <f t="shared" si="170"/>
        <v>54</v>
      </c>
      <c r="P26" s="203">
        <f>100-N26-O26</f>
        <v>46</v>
      </c>
      <c r="Q26" s="1448">
        <f t="shared" si="171"/>
        <v>46</v>
      </c>
      <c r="R26" s="203">
        <v>54</v>
      </c>
      <c r="S26" s="203">
        <f t="shared" si="172"/>
        <v>92</v>
      </c>
      <c r="T26" s="1461">
        <v>146</v>
      </c>
      <c r="U26" s="203">
        <v>0</v>
      </c>
      <c r="V26" s="203">
        <f t="shared" si="173"/>
        <v>78</v>
      </c>
      <c r="W26" s="203">
        <f>136-U26-V26</f>
        <v>58</v>
      </c>
      <c r="X26" s="1448">
        <f t="shared" si="174"/>
        <v>7</v>
      </c>
      <c r="Y26" s="203">
        <v>78</v>
      </c>
      <c r="Z26" s="203">
        <f t="shared" si="175"/>
        <v>65</v>
      </c>
      <c r="AA26" s="1461">
        <v>143</v>
      </c>
      <c r="AB26" s="203">
        <v>0</v>
      </c>
      <c r="AC26" s="203">
        <f t="shared" si="176"/>
        <v>24</v>
      </c>
      <c r="AD26" s="203">
        <f>27-AB26-AC26</f>
        <v>3</v>
      </c>
      <c r="AE26" s="1448">
        <f t="shared" si="177"/>
        <v>7</v>
      </c>
      <c r="AF26" s="203">
        <v>24</v>
      </c>
      <c r="AG26" s="203">
        <f t="shared" si="178"/>
        <v>10</v>
      </c>
      <c r="AH26" s="1461">
        <v>34</v>
      </c>
      <c r="AI26" s="203">
        <v>0</v>
      </c>
      <c r="AJ26" s="203">
        <f t="shared" si="179"/>
        <v>17</v>
      </c>
      <c r="AK26" s="203">
        <f>19-AI26-AJ26</f>
        <v>2</v>
      </c>
      <c r="AL26" s="1448">
        <f t="shared" si="180"/>
        <v>173</v>
      </c>
      <c r="AM26" s="203">
        <v>17</v>
      </c>
      <c r="AN26" s="203">
        <f t="shared" si="181"/>
        <v>175</v>
      </c>
      <c r="AO26" s="1461">
        <v>192</v>
      </c>
      <c r="AP26" s="203">
        <v>0</v>
      </c>
      <c r="AQ26" s="203">
        <f t="shared" si="182"/>
        <v>19</v>
      </c>
      <c r="AR26" s="203">
        <f>20-AP26-AQ26</f>
        <v>1</v>
      </c>
      <c r="AS26" s="1448">
        <f t="shared" si="183"/>
        <v>198</v>
      </c>
      <c r="AT26" s="203">
        <v>19</v>
      </c>
      <c r="AU26" s="203">
        <f t="shared" si="184"/>
        <v>199</v>
      </c>
      <c r="AV26" s="1461">
        <v>218</v>
      </c>
      <c r="AW26" s="203">
        <v>0</v>
      </c>
      <c r="AX26" s="203">
        <f t="shared" si="185"/>
        <v>19</v>
      </c>
      <c r="AY26" s="203">
        <f>20-AW26-AX26</f>
        <v>1</v>
      </c>
      <c r="AZ26" s="1448">
        <f t="shared" si="186"/>
        <v>198</v>
      </c>
      <c r="BA26" s="203">
        <v>19</v>
      </c>
      <c r="BB26" s="203">
        <f t="shared" si="187"/>
        <v>199</v>
      </c>
      <c r="BC26" s="1461">
        <v>218</v>
      </c>
      <c r="BD26" s="203">
        <v>0</v>
      </c>
      <c r="BE26" s="203">
        <f t="shared" si="188"/>
        <v>0</v>
      </c>
      <c r="BF26" s="203">
        <f>50-BD26-BE26</f>
        <v>50</v>
      </c>
      <c r="BG26" s="1448">
        <f t="shared" si="189"/>
        <v>141</v>
      </c>
      <c r="BH26" s="203">
        <v>0</v>
      </c>
      <c r="BI26" s="203">
        <f t="shared" si="190"/>
        <v>191</v>
      </c>
      <c r="BJ26" s="1461">
        <v>191</v>
      </c>
      <c r="BK26" s="203">
        <v>0</v>
      </c>
      <c r="BL26" s="203">
        <f t="shared" si="191"/>
        <v>48</v>
      </c>
      <c r="BM26" s="203">
        <f>53-BK26-BL26</f>
        <v>5</v>
      </c>
      <c r="BN26" s="1448">
        <f t="shared" si="192"/>
        <v>157</v>
      </c>
      <c r="BO26" s="203">
        <v>48</v>
      </c>
      <c r="BP26" s="203">
        <f t="shared" si="193"/>
        <v>162</v>
      </c>
      <c r="BQ26" s="1461">
        <v>210</v>
      </c>
      <c r="BR26" s="203">
        <v>0</v>
      </c>
      <c r="BS26" s="203">
        <f t="shared" si="194"/>
        <v>12</v>
      </c>
      <c r="BT26" s="203">
        <f>14-BR26-BS26</f>
        <v>2</v>
      </c>
      <c r="BU26" s="1448">
        <f t="shared" si="195"/>
        <v>-22</v>
      </c>
      <c r="BV26" s="203">
        <v>12</v>
      </c>
      <c r="BW26" s="203">
        <f t="shared" si="196"/>
        <v>-20</v>
      </c>
      <c r="BX26" s="1461">
        <v>-8</v>
      </c>
      <c r="BY26" s="203">
        <v>0</v>
      </c>
      <c r="BZ26" s="203">
        <f t="shared" si="197"/>
        <v>15</v>
      </c>
      <c r="CA26" s="203">
        <f>15-BY26-BZ26</f>
        <v>0</v>
      </c>
      <c r="CB26" s="1448">
        <f t="shared" si="198"/>
        <v>64</v>
      </c>
      <c r="CC26" s="203">
        <v>15</v>
      </c>
      <c r="CD26" s="203">
        <f t="shared" si="199"/>
        <v>64</v>
      </c>
      <c r="CE26" s="1461">
        <v>79</v>
      </c>
      <c r="CF26" s="203">
        <v>0</v>
      </c>
      <c r="CG26" s="203">
        <f t="shared" si="200"/>
        <v>97</v>
      </c>
      <c r="CH26" s="203">
        <f>97-CF26-CG26</f>
        <v>0</v>
      </c>
      <c r="CI26" s="1448">
        <f t="shared" si="201"/>
        <v>3</v>
      </c>
      <c r="CJ26" s="203">
        <v>97</v>
      </c>
      <c r="CK26" s="203">
        <f t="shared" si="202"/>
        <v>3</v>
      </c>
      <c r="CL26" s="1461">
        <v>100</v>
      </c>
      <c r="CM26" s="203">
        <v>0</v>
      </c>
      <c r="CN26" s="203">
        <f t="shared" si="203"/>
        <v>150</v>
      </c>
      <c r="CO26" s="203">
        <f>150-CM26-CN26</f>
        <v>0</v>
      </c>
      <c r="CP26" s="1448">
        <f t="shared" si="204"/>
        <v>0</v>
      </c>
      <c r="CQ26" s="203">
        <v>150</v>
      </c>
      <c r="CR26" s="203">
        <f t="shared" si="205"/>
        <v>0</v>
      </c>
      <c r="CS26" s="1461">
        <v>150</v>
      </c>
      <c r="CT26" s="203">
        <v>0</v>
      </c>
      <c r="CU26" s="203">
        <f t="shared" si="206"/>
        <v>190</v>
      </c>
      <c r="CV26" s="203">
        <f>191-CT26-CU26</f>
        <v>1</v>
      </c>
      <c r="CW26" s="1448">
        <f t="shared" si="207"/>
        <v>5</v>
      </c>
      <c r="CX26" s="203">
        <v>190</v>
      </c>
      <c r="CY26" s="203">
        <f t="shared" si="208"/>
        <v>6</v>
      </c>
      <c r="CZ26" s="1461">
        <v>196</v>
      </c>
      <c r="DA26" s="203">
        <v>0</v>
      </c>
      <c r="DB26" s="203">
        <f t="shared" si="209"/>
        <v>372</v>
      </c>
      <c r="DC26" s="203">
        <v>3</v>
      </c>
      <c r="DD26" s="1448">
        <f t="shared" si="210"/>
        <v>12</v>
      </c>
      <c r="DE26" s="2081">
        <v>372</v>
      </c>
      <c r="DF26" s="203">
        <f t="shared" si="211"/>
        <v>15</v>
      </c>
      <c r="DG26" s="1857">
        <v>387</v>
      </c>
      <c r="DH26" s="203">
        <v>4</v>
      </c>
      <c r="DI26" s="2013">
        <f t="shared" si="212"/>
        <v>264</v>
      </c>
      <c r="DJ26" s="860">
        <f>DC26/IS!DC17*IS!DJ17</f>
        <v>3.6698984949321178</v>
      </c>
      <c r="DK26" s="1557">
        <f t="shared" si="213"/>
        <v>152.95556680695205</v>
      </c>
      <c r="DL26" s="1892">
        <v>268</v>
      </c>
      <c r="DM26" s="1422">
        <f t="shared" si="214"/>
        <v>156.62546530188416</v>
      </c>
      <c r="DN26" s="1119">
        <f>DG26/IS!DG17*IS!DN17</f>
        <v>424.62546530188416</v>
      </c>
      <c r="DO26" s="860">
        <f>DH26/IS!DH17*IS!DO17</f>
        <v>20.643285466287761</v>
      </c>
      <c r="DP26" s="1422">
        <f t="shared" si="215"/>
        <v>295.06435204530879</v>
      </c>
      <c r="DQ26" s="860">
        <f>DJ26/IS!DJ17*IS!DQ17</f>
        <v>3.870616024928955</v>
      </c>
      <c r="DR26" s="1557">
        <f t="shared" si="216"/>
        <v>153.00760839170169</v>
      </c>
      <c r="DS26" s="860">
        <f>DL26/IS!DL17*IS!DS17</f>
        <v>315.70763751159654</v>
      </c>
      <c r="DT26" s="1422">
        <f t="shared" si="217"/>
        <v>156.87822441663064</v>
      </c>
      <c r="DU26" s="1119">
        <f>DN26/IS!DN17*IS!DU17</f>
        <v>472.58586192822719</v>
      </c>
      <c r="DV26" s="860">
        <f>DO26/IS!DO17*IS!DV17</f>
        <v>22.475583465348116</v>
      </c>
      <c r="DW26" s="1422">
        <f t="shared" si="218"/>
        <v>321.25426366231278</v>
      </c>
      <c r="DX26" s="860">
        <f>DQ26/IS!DQ17*IS!DX17</f>
        <v>4.2141718997527713</v>
      </c>
      <c r="DY26" s="1557">
        <f t="shared" si="219"/>
        <v>166.58856357226</v>
      </c>
      <c r="DZ26" s="860">
        <f>DS26/IS!DS17*IS!DZ17</f>
        <v>343.72984712766089</v>
      </c>
      <c r="EA26" s="1422">
        <f t="shared" si="220"/>
        <v>170.80273547201278</v>
      </c>
      <c r="EB26" s="1119">
        <f>DU26/IS!DU17*IS!EB17</f>
        <v>514.53258259967367</v>
      </c>
      <c r="EC26" s="860">
        <f>DV26/IS!DV17*IS!EC17</f>
        <v>23.489424800510921</v>
      </c>
      <c r="ED26" s="1422">
        <f t="shared" si="221"/>
        <v>335.74558274643334</v>
      </c>
      <c r="EE26" s="860">
        <f>DX26/IS!DX17*IS!EE17</f>
        <v>4.4042671500957979</v>
      </c>
      <c r="EF26" s="1557">
        <f t="shared" si="222"/>
        <v>174.10313475014948</v>
      </c>
      <c r="EG26" s="860">
        <f>DZ26/IS!DZ17*IS!EG17</f>
        <v>359.23500754694425</v>
      </c>
      <c r="EH26" s="1422">
        <f t="shared" si="223"/>
        <v>178.50740190024527</v>
      </c>
      <c r="EI26" s="1119">
        <f>EB26/IS!EB17*IS!EI17</f>
        <v>537.74240944718952</v>
      </c>
      <c r="EJ26" s="860">
        <f>EC26/IS!EC17*IS!EJ17</f>
        <v>24.298952917541776</v>
      </c>
      <c r="EK26" s="1422">
        <f t="shared" si="224"/>
        <v>347.3165552887765</v>
      </c>
      <c r="EL26" s="860">
        <f>EE26/IS!EE17*IS!EL17</f>
        <v>4.5560536720390834</v>
      </c>
      <c r="EM26" s="1557">
        <f t="shared" si="225"/>
        <v>180.1033405466062</v>
      </c>
      <c r="EN26" s="860">
        <f>EG26/IS!EG17*IS!EN17</f>
        <v>371.61550820631828</v>
      </c>
      <c r="EO26" s="1422">
        <f t="shared" si="226"/>
        <v>184.65939421864528</v>
      </c>
      <c r="EP26" s="1119">
        <f>EI26/IS!EI17*IS!EP17</f>
        <v>556.27490242496356</v>
      </c>
      <c r="EQ26" s="303"/>
      <c r="ER26" s="46"/>
    </row>
    <row r="27" spans="1:148" ht="10.199999999999999" customHeight="1">
      <c r="A27" s="43" t="s">
        <v>68</v>
      </c>
      <c r="B27" s="108"/>
      <c r="C27" s="203">
        <v>0</v>
      </c>
      <c r="D27" s="203">
        <v>0</v>
      </c>
      <c r="E27" s="203">
        <v>0</v>
      </c>
      <c r="F27" s="203">
        <v>0</v>
      </c>
      <c r="G27" s="203">
        <v>690</v>
      </c>
      <c r="H27" s="203">
        <v>0</v>
      </c>
      <c r="I27" s="203">
        <v>117</v>
      </c>
      <c r="J27" s="203">
        <v>103</v>
      </c>
      <c r="K27" s="203">
        <v>0</v>
      </c>
      <c r="L27" s="203">
        <v>0</v>
      </c>
      <c r="M27" s="203">
        <v>0</v>
      </c>
      <c r="N27" s="203">
        <v>0</v>
      </c>
      <c r="O27" s="203">
        <f t="shared" si="170"/>
        <v>0</v>
      </c>
      <c r="P27" s="203">
        <f>0-N27-O27</f>
        <v>0</v>
      </c>
      <c r="Q27" s="1448">
        <f t="shared" si="171"/>
        <v>0</v>
      </c>
      <c r="R27" s="203">
        <v>0</v>
      </c>
      <c r="S27" s="203">
        <f t="shared" si="172"/>
        <v>0</v>
      </c>
      <c r="T27" s="1461">
        <v>0</v>
      </c>
      <c r="U27" s="203">
        <v>0</v>
      </c>
      <c r="V27" s="203">
        <f t="shared" si="173"/>
        <v>0</v>
      </c>
      <c r="W27" s="203">
        <f>0-U27-V27</f>
        <v>0</v>
      </c>
      <c r="X27" s="1448">
        <f t="shared" si="174"/>
        <v>0</v>
      </c>
      <c r="Y27" s="203">
        <v>0</v>
      </c>
      <c r="Z27" s="203">
        <f t="shared" si="175"/>
        <v>0</v>
      </c>
      <c r="AA27" s="1461">
        <v>0</v>
      </c>
      <c r="AB27" s="203">
        <v>0</v>
      </c>
      <c r="AC27" s="203">
        <f t="shared" si="176"/>
        <v>116</v>
      </c>
      <c r="AD27" s="203">
        <f>116-AB27-AC27</f>
        <v>0</v>
      </c>
      <c r="AE27" s="1448">
        <f t="shared" si="177"/>
        <v>11</v>
      </c>
      <c r="AF27" s="203">
        <v>116</v>
      </c>
      <c r="AG27" s="203">
        <f t="shared" si="178"/>
        <v>11</v>
      </c>
      <c r="AH27" s="1461">
        <v>127</v>
      </c>
      <c r="AI27" s="203">
        <v>-6</v>
      </c>
      <c r="AJ27" s="203">
        <f t="shared" si="179"/>
        <v>1533</v>
      </c>
      <c r="AK27" s="203">
        <f>1527-AI27-AJ27</f>
        <v>0</v>
      </c>
      <c r="AL27" s="1448">
        <f t="shared" si="180"/>
        <v>0</v>
      </c>
      <c r="AM27" s="203">
        <v>1527</v>
      </c>
      <c r="AN27" s="203">
        <f t="shared" si="181"/>
        <v>0</v>
      </c>
      <c r="AO27" s="1461">
        <v>1527</v>
      </c>
      <c r="AP27" s="203">
        <v>0</v>
      </c>
      <c r="AQ27" s="203">
        <f t="shared" si="182"/>
        <v>0</v>
      </c>
      <c r="AR27" s="203">
        <f>0-AP27-AQ27</f>
        <v>0</v>
      </c>
      <c r="AS27" s="1448">
        <f t="shared" si="183"/>
        <v>893</v>
      </c>
      <c r="AT27" s="203">
        <v>0</v>
      </c>
      <c r="AU27" s="203">
        <f t="shared" si="184"/>
        <v>893</v>
      </c>
      <c r="AV27" s="1461">
        <v>893</v>
      </c>
      <c r="AW27" s="203">
        <v>0</v>
      </c>
      <c r="AX27" s="203">
        <f t="shared" si="185"/>
        <v>0</v>
      </c>
      <c r="AY27" s="203">
        <f>0-AW27-AX27</f>
        <v>0</v>
      </c>
      <c r="AZ27" s="1448">
        <f t="shared" si="186"/>
        <v>893</v>
      </c>
      <c r="BA27" s="203">
        <v>0</v>
      </c>
      <c r="BB27" s="203">
        <f t="shared" si="187"/>
        <v>893</v>
      </c>
      <c r="BC27" s="1461">
        <v>893</v>
      </c>
      <c r="BD27" s="203">
        <v>193</v>
      </c>
      <c r="BE27" s="203">
        <f t="shared" si="188"/>
        <v>14</v>
      </c>
      <c r="BF27" s="203">
        <f>207-BD27-BE27</f>
        <v>0</v>
      </c>
      <c r="BG27" s="1448">
        <f t="shared" si="189"/>
        <v>113</v>
      </c>
      <c r="BH27" s="203">
        <v>207</v>
      </c>
      <c r="BI27" s="203">
        <f t="shared" si="190"/>
        <v>113</v>
      </c>
      <c r="BJ27" s="1461">
        <v>320</v>
      </c>
      <c r="BK27" s="203">
        <v>0</v>
      </c>
      <c r="BL27" s="203">
        <f t="shared" si="191"/>
        <v>0</v>
      </c>
      <c r="BM27" s="203">
        <f>0-BK27-BL27</f>
        <v>0</v>
      </c>
      <c r="BN27" s="1448">
        <f t="shared" si="192"/>
        <v>137</v>
      </c>
      <c r="BO27" s="203">
        <v>0</v>
      </c>
      <c r="BP27" s="203">
        <f t="shared" si="193"/>
        <v>137</v>
      </c>
      <c r="BQ27" s="1461">
        <v>137</v>
      </c>
      <c r="BR27" s="203">
        <v>0</v>
      </c>
      <c r="BS27" s="203">
        <f t="shared" si="194"/>
        <v>0</v>
      </c>
      <c r="BT27" s="203">
        <f>0-BR27-BS27</f>
        <v>0</v>
      </c>
      <c r="BU27" s="1448">
        <f t="shared" si="195"/>
        <v>0</v>
      </c>
      <c r="BV27" s="203">
        <v>0</v>
      </c>
      <c r="BW27" s="203">
        <f t="shared" si="196"/>
        <v>0</v>
      </c>
      <c r="BX27" s="1461">
        <v>0</v>
      </c>
      <c r="BY27" s="203">
        <v>0</v>
      </c>
      <c r="BZ27" s="203">
        <f t="shared" si="197"/>
        <v>0</v>
      </c>
      <c r="CA27" s="203">
        <f>0-BY27-BZ27</f>
        <v>0</v>
      </c>
      <c r="CB27" s="1448">
        <f t="shared" si="198"/>
        <v>310</v>
      </c>
      <c r="CC27" s="203">
        <v>0</v>
      </c>
      <c r="CD27" s="203">
        <f t="shared" si="199"/>
        <v>310</v>
      </c>
      <c r="CE27" s="1461">
        <v>310</v>
      </c>
      <c r="CF27" s="203">
        <v>0</v>
      </c>
      <c r="CG27" s="203">
        <f t="shared" si="200"/>
        <v>0</v>
      </c>
      <c r="CH27" s="203">
        <f>0-CF27-CG27</f>
        <v>0</v>
      </c>
      <c r="CI27" s="1448">
        <f t="shared" si="201"/>
        <v>0</v>
      </c>
      <c r="CJ27" s="203">
        <v>0</v>
      </c>
      <c r="CK27" s="203">
        <f t="shared" si="202"/>
        <v>0</v>
      </c>
      <c r="CL27" s="1461">
        <v>0</v>
      </c>
      <c r="CM27" s="203">
        <v>0</v>
      </c>
      <c r="CN27" s="203">
        <f t="shared" si="203"/>
        <v>0</v>
      </c>
      <c r="CO27" s="203">
        <f>0-CM27-CN27</f>
        <v>0</v>
      </c>
      <c r="CP27" s="1448">
        <f t="shared" si="204"/>
        <v>0</v>
      </c>
      <c r="CQ27" s="203">
        <v>0</v>
      </c>
      <c r="CR27" s="203">
        <f t="shared" si="205"/>
        <v>0</v>
      </c>
      <c r="CS27" s="1461">
        <v>0</v>
      </c>
      <c r="CT27" s="203">
        <v>0</v>
      </c>
      <c r="CU27" s="203">
        <f t="shared" si="206"/>
        <v>0</v>
      </c>
      <c r="CV27" s="203">
        <f>0-CT27-CU27</f>
        <v>0</v>
      </c>
      <c r="CW27" s="1448">
        <f t="shared" si="207"/>
        <v>0</v>
      </c>
      <c r="CX27" s="203">
        <v>0</v>
      </c>
      <c r="CY27" s="203">
        <f t="shared" si="208"/>
        <v>0</v>
      </c>
      <c r="CZ27" s="1461">
        <v>0</v>
      </c>
      <c r="DA27" s="203">
        <v>0</v>
      </c>
      <c r="DB27" s="203">
        <f t="shared" si="209"/>
        <v>0</v>
      </c>
      <c r="DC27" s="203">
        <v>0</v>
      </c>
      <c r="DD27" s="1448">
        <f t="shared" si="210"/>
        <v>0</v>
      </c>
      <c r="DE27" s="203">
        <v>0</v>
      </c>
      <c r="DF27" s="203">
        <f t="shared" si="211"/>
        <v>0</v>
      </c>
      <c r="DG27" s="1857">
        <v>0</v>
      </c>
      <c r="DH27" s="203">
        <v>0</v>
      </c>
      <c r="DI27" s="2013">
        <f t="shared" si="212"/>
        <v>0</v>
      </c>
      <c r="DJ27" s="853">
        <v>0</v>
      </c>
      <c r="DK27" s="1557">
        <f t="shared" si="213"/>
        <v>0</v>
      </c>
      <c r="DL27" s="1892">
        <v>0</v>
      </c>
      <c r="DM27" s="1422">
        <f t="shared" si="214"/>
        <v>0</v>
      </c>
      <c r="DN27" s="1484">
        <v>0</v>
      </c>
      <c r="DO27" s="853">
        <v>0</v>
      </c>
      <c r="DP27" s="1422">
        <f t="shared" si="215"/>
        <v>0</v>
      </c>
      <c r="DQ27" s="853">
        <v>0</v>
      </c>
      <c r="DR27" s="1557">
        <f t="shared" si="216"/>
        <v>0</v>
      </c>
      <c r="DS27" s="853">
        <v>0</v>
      </c>
      <c r="DT27" s="1422">
        <f t="shared" si="217"/>
        <v>0</v>
      </c>
      <c r="DU27" s="1484">
        <v>0</v>
      </c>
      <c r="DV27" s="853">
        <v>0</v>
      </c>
      <c r="DW27" s="1422">
        <f t="shared" si="218"/>
        <v>0</v>
      </c>
      <c r="DX27" s="853">
        <v>0</v>
      </c>
      <c r="DY27" s="1557">
        <f t="shared" si="219"/>
        <v>0</v>
      </c>
      <c r="DZ27" s="853">
        <v>0</v>
      </c>
      <c r="EA27" s="1422">
        <f t="shared" si="220"/>
        <v>0</v>
      </c>
      <c r="EB27" s="1484">
        <v>0</v>
      </c>
      <c r="EC27" s="853">
        <v>0</v>
      </c>
      <c r="ED27" s="1422">
        <f t="shared" si="221"/>
        <v>0</v>
      </c>
      <c r="EE27" s="853">
        <v>0</v>
      </c>
      <c r="EF27" s="1557">
        <f t="shared" si="222"/>
        <v>0</v>
      </c>
      <c r="EG27" s="853">
        <v>0</v>
      </c>
      <c r="EH27" s="1422">
        <f t="shared" si="223"/>
        <v>0</v>
      </c>
      <c r="EI27" s="1484">
        <v>0</v>
      </c>
      <c r="EJ27" s="853">
        <v>0</v>
      </c>
      <c r="EK27" s="1422">
        <f t="shared" si="224"/>
        <v>0</v>
      </c>
      <c r="EL27" s="853">
        <v>0</v>
      </c>
      <c r="EM27" s="1557">
        <f t="shared" si="225"/>
        <v>0</v>
      </c>
      <c r="EN27" s="853">
        <v>0</v>
      </c>
      <c r="EO27" s="1422">
        <f t="shared" si="226"/>
        <v>0</v>
      </c>
      <c r="EP27" s="1484">
        <v>0</v>
      </c>
      <c r="EQ27" s="303"/>
      <c r="ER27" s="46"/>
    </row>
    <row r="28" spans="1:148" ht="10.199999999999999" customHeight="1">
      <c r="A28" s="43" t="s">
        <v>65</v>
      </c>
      <c r="B28" s="108"/>
      <c r="C28" s="235">
        <v>-264</v>
      </c>
      <c r="D28" s="130">
        <v>336</v>
      </c>
      <c r="E28" s="235">
        <v>10</v>
      </c>
      <c r="F28" s="235">
        <v>1008</v>
      </c>
      <c r="G28" s="130">
        <v>3357</v>
      </c>
      <c r="H28" s="203">
        <v>-2641</v>
      </c>
      <c r="I28" s="203">
        <v>-2676</v>
      </c>
      <c r="J28" s="203">
        <v>-821</v>
      </c>
      <c r="K28" s="203">
        <v>-3147</v>
      </c>
      <c r="L28" s="203">
        <v>-378</v>
      </c>
      <c r="M28" s="203">
        <v>3422</v>
      </c>
      <c r="N28" s="203">
        <v>-243</v>
      </c>
      <c r="O28" s="203">
        <f t="shared" si="170"/>
        <v>1013</v>
      </c>
      <c r="P28" s="203">
        <f>793-N28-O28</f>
        <v>23</v>
      </c>
      <c r="Q28" s="1448">
        <f t="shared" si="171"/>
        <v>474</v>
      </c>
      <c r="R28" s="203">
        <v>770</v>
      </c>
      <c r="S28" s="203">
        <f t="shared" si="172"/>
        <v>497</v>
      </c>
      <c r="T28" s="1461">
        <f>-1398+2665</f>
        <v>1267</v>
      </c>
      <c r="U28" s="203">
        <v>-402</v>
      </c>
      <c r="V28" s="203">
        <f t="shared" si="173"/>
        <v>6</v>
      </c>
      <c r="W28" s="203">
        <f>-160-U28-V28</f>
        <v>236</v>
      </c>
      <c r="X28" s="1448">
        <f t="shared" si="174"/>
        <v>-1856</v>
      </c>
      <c r="Y28" s="203">
        <v>-396</v>
      </c>
      <c r="Z28" s="203">
        <f t="shared" si="175"/>
        <v>-1620</v>
      </c>
      <c r="AA28" s="1461">
        <f>-5526+3510</f>
        <v>-2016</v>
      </c>
      <c r="AB28" s="203">
        <v>-508</v>
      </c>
      <c r="AC28" s="203">
        <f t="shared" si="176"/>
        <v>-1544</v>
      </c>
      <c r="AD28" s="203">
        <f>-2209-AB28-AC28</f>
        <v>-157</v>
      </c>
      <c r="AE28" s="1448">
        <f t="shared" si="177"/>
        <v>-152</v>
      </c>
      <c r="AF28" s="203">
        <v>-2052</v>
      </c>
      <c r="AG28" s="203">
        <f t="shared" si="178"/>
        <v>-309</v>
      </c>
      <c r="AH28" s="1461">
        <v>-2361</v>
      </c>
      <c r="AI28" s="203">
        <v>384</v>
      </c>
      <c r="AJ28" s="203">
        <f t="shared" si="179"/>
        <v>-78</v>
      </c>
      <c r="AK28" s="203">
        <f>589-AI28-AJ28</f>
        <v>283</v>
      </c>
      <c r="AL28" s="1448">
        <f t="shared" si="180"/>
        <v>-252</v>
      </c>
      <c r="AM28" s="203">
        <v>306</v>
      </c>
      <c r="AN28" s="203">
        <f t="shared" si="181"/>
        <v>31</v>
      </c>
      <c r="AO28" s="1461">
        <v>337</v>
      </c>
      <c r="AP28" s="203">
        <v>285</v>
      </c>
      <c r="AQ28" s="203">
        <f t="shared" si="182"/>
        <v>-434</v>
      </c>
      <c r="AR28" s="203">
        <f>-39-AP28-AQ28</f>
        <v>110</v>
      </c>
      <c r="AS28" s="1448">
        <f t="shared" si="183"/>
        <v>-1194</v>
      </c>
      <c r="AT28" s="203">
        <v>-149</v>
      </c>
      <c r="AU28" s="203">
        <f t="shared" si="184"/>
        <v>-1084</v>
      </c>
      <c r="AV28" s="1461">
        <f>2534-3767</f>
        <v>-1233</v>
      </c>
      <c r="AW28" s="203">
        <v>285</v>
      </c>
      <c r="AX28" s="203">
        <f t="shared" si="185"/>
        <v>-434</v>
      </c>
      <c r="AY28" s="203">
        <f>-39-AW28-AX28</f>
        <v>110</v>
      </c>
      <c r="AZ28" s="1448">
        <f t="shared" si="186"/>
        <v>-1194</v>
      </c>
      <c r="BA28" s="203">
        <v>-149</v>
      </c>
      <c r="BB28" s="203">
        <f t="shared" si="187"/>
        <v>-1084</v>
      </c>
      <c r="BC28" s="1461">
        <f>-3767+2534</f>
        <v>-1233</v>
      </c>
      <c r="BD28" s="203">
        <v>5</v>
      </c>
      <c r="BE28" s="203">
        <f t="shared" si="188"/>
        <v>6</v>
      </c>
      <c r="BF28" s="203">
        <f>-17-BD28-BE28</f>
        <v>-28</v>
      </c>
      <c r="BG28" s="1448">
        <f t="shared" si="189"/>
        <v>-76</v>
      </c>
      <c r="BH28" s="203">
        <v>11</v>
      </c>
      <c r="BI28" s="203">
        <f t="shared" si="190"/>
        <v>-104</v>
      </c>
      <c r="BJ28" s="1461">
        <f>-2010+1917</f>
        <v>-93</v>
      </c>
      <c r="BK28" s="203">
        <v>459</v>
      </c>
      <c r="BL28" s="203">
        <f t="shared" si="191"/>
        <v>-60</v>
      </c>
      <c r="BM28" s="203">
        <f>-18-BK28-BL28</f>
        <v>-417</v>
      </c>
      <c r="BN28" s="1448">
        <f t="shared" si="192"/>
        <v>-379</v>
      </c>
      <c r="BO28" s="203">
        <v>399</v>
      </c>
      <c r="BP28" s="203">
        <f t="shared" si="193"/>
        <v>-796</v>
      </c>
      <c r="BQ28" s="1461">
        <f>-2861+2464</f>
        <v>-397</v>
      </c>
      <c r="BR28" s="203">
        <v>1150</v>
      </c>
      <c r="BS28" s="203">
        <f t="shared" si="194"/>
        <v>4582</v>
      </c>
      <c r="BT28" s="203">
        <f>6141-BR28-BS28</f>
        <v>409</v>
      </c>
      <c r="BU28" s="1448">
        <f t="shared" si="195"/>
        <v>162</v>
      </c>
      <c r="BV28" s="203">
        <v>5732</v>
      </c>
      <c r="BW28" s="203">
        <f t="shared" si="196"/>
        <v>571</v>
      </c>
      <c r="BX28" s="1461">
        <f>-337+6640</f>
        <v>6303</v>
      </c>
      <c r="BY28" s="203">
        <v>421</v>
      </c>
      <c r="BZ28" s="203">
        <f t="shared" si="197"/>
        <v>-239</v>
      </c>
      <c r="CA28" s="203">
        <f>151-BY28-BZ28</f>
        <v>-31</v>
      </c>
      <c r="CB28" s="1448">
        <f t="shared" si="198"/>
        <v>-1337</v>
      </c>
      <c r="CC28" s="203">
        <v>182</v>
      </c>
      <c r="CD28" s="203">
        <f t="shared" si="199"/>
        <v>-1368</v>
      </c>
      <c r="CE28" s="1461">
        <f>-3049+1863</f>
        <v>-1186</v>
      </c>
      <c r="CF28" s="203">
        <v>92</v>
      </c>
      <c r="CG28" s="203">
        <f t="shared" si="200"/>
        <v>204</v>
      </c>
      <c r="CH28" s="203">
        <f>-343-CF28-CG28</f>
        <v>-639</v>
      </c>
      <c r="CI28" s="1448">
        <f t="shared" si="201"/>
        <v>-1</v>
      </c>
      <c r="CJ28" s="203">
        <v>296</v>
      </c>
      <c r="CK28" s="203">
        <f t="shared" si="202"/>
        <v>-640</v>
      </c>
      <c r="CL28" s="1461">
        <f>-1851+1507</f>
        <v>-344</v>
      </c>
      <c r="CM28" s="203">
        <v>-88</v>
      </c>
      <c r="CN28" s="203">
        <f t="shared" si="203"/>
        <v>-494</v>
      </c>
      <c r="CO28" s="203">
        <f>-897-CM28-CN28</f>
        <v>-315</v>
      </c>
      <c r="CP28" s="1448">
        <f t="shared" si="204"/>
        <v>111</v>
      </c>
      <c r="CQ28" s="203">
        <v>-582</v>
      </c>
      <c r="CR28" s="203">
        <f t="shared" si="205"/>
        <v>-204</v>
      </c>
      <c r="CS28" s="1461">
        <f>-2700+1914</f>
        <v>-786</v>
      </c>
      <c r="CT28" s="203">
        <v>-979</v>
      </c>
      <c r="CU28" s="203">
        <f t="shared" si="206"/>
        <v>-1098</v>
      </c>
      <c r="CV28" s="203">
        <f>-2962-CT28-CU28</f>
        <v>-885</v>
      </c>
      <c r="CW28" s="1448">
        <f t="shared" si="207"/>
        <v>271</v>
      </c>
      <c r="CX28" s="203">
        <v>-2077</v>
      </c>
      <c r="CY28" s="203">
        <f t="shared" si="208"/>
        <v>-614</v>
      </c>
      <c r="CZ28" s="1461">
        <f>-4460+1769</f>
        <v>-2691</v>
      </c>
      <c r="DA28" s="203">
        <v>-657</v>
      </c>
      <c r="DB28" s="203">
        <f t="shared" si="209"/>
        <v>-665</v>
      </c>
      <c r="DC28" s="203">
        <f>-93+0+0</f>
        <v>-93</v>
      </c>
      <c r="DD28" s="1448">
        <f t="shared" si="210"/>
        <v>-112</v>
      </c>
      <c r="DE28" s="2091">
        <v>-1322</v>
      </c>
      <c r="DF28" s="203">
        <f t="shared" si="211"/>
        <v>-205</v>
      </c>
      <c r="DG28" s="1269">
        <f>-5205+3678</f>
        <v>-1527</v>
      </c>
      <c r="DH28" s="203">
        <v>-319</v>
      </c>
      <c r="DI28" s="2013">
        <f t="shared" si="212"/>
        <v>-402</v>
      </c>
      <c r="DJ28" s="853">
        <v>0</v>
      </c>
      <c r="DK28" s="1557">
        <f t="shared" si="213"/>
        <v>0</v>
      </c>
      <c r="DL28" s="1892">
        <v>-721</v>
      </c>
      <c r="DM28" s="1422">
        <f t="shared" si="214"/>
        <v>0</v>
      </c>
      <c r="DN28" s="1484">
        <v>-721</v>
      </c>
      <c r="DO28" s="853">
        <v>0</v>
      </c>
      <c r="DP28" s="1422">
        <f t="shared" si="215"/>
        <v>0</v>
      </c>
      <c r="DQ28" s="853">
        <v>0</v>
      </c>
      <c r="DR28" s="1557">
        <f t="shared" si="216"/>
        <v>0</v>
      </c>
      <c r="DS28" s="853">
        <v>0</v>
      </c>
      <c r="DT28" s="1422">
        <f t="shared" si="217"/>
        <v>0</v>
      </c>
      <c r="DU28" s="1484">
        <v>0</v>
      </c>
      <c r="DV28" s="853">
        <v>0</v>
      </c>
      <c r="DW28" s="1422">
        <f t="shared" si="218"/>
        <v>0</v>
      </c>
      <c r="DX28" s="853">
        <v>0</v>
      </c>
      <c r="DY28" s="1557">
        <f t="shared" si="219"/>
        <v>0</v>
      </c>
      <c r="DZ28" s="853">
        <v>0</v>
      </c>
      <c r="EA28" s="1422">
        <f t="shared" si="220"/>
        <v>0</v>
      </c>
      <c r="EB28" s="1484">
        <v>0</v>
      </c>
      <c r="EC28" s="853">
        <v>0</v>
      </c>
      <c r="ED28" s="1422">
        <f t="shared" si="221"/>
        <v>0</v>
      </c>
      <c r="EE28" s="853">
        <v>0</v>
      </c>
      <c r="EF28" s="1557">
        <f t="shared" si="222"/>
        <v>0</v>
      </c>
      <c r="EG28" s="853">
        <v>0</v>
      </c>
      <c r="EH28" s="1422">
        <f t="shared" si="223"/>
        <v>0</v>
      </c>
      <c r="EI28" s="1484">
        <v>0</v>
      </c>
      <c r="EJ28" s="853">
        <v>0</v>
      </c>
      <c r="EK28" s="1422">
        <f t="shared" si="224"/>
        <v>0</v>
      </c>
      <c r="EL28" s="853">
        <v>0</v>
      </c>
      <c r="EM28" s="1557">
        <f t="shared" si="225"/>
        <v>0</v>
      </c>
      <c r="EN28" s="853">
        <v>0</v>
      </c>
      <c r="EO28" s="1422">
        <f t="shared" si="226"/>
        <v>0</v>
      </c>
      <c r="EP28" s="1484">
        <v>0</v>
      </c>
      <c r="EQ28" s="303"/>
      <c r="ER28" s="46"/>
    </row>
    <row r="29" spans="1:148" ht="10.199999999999999" customHeight="1">
      <c r="A29" s="3" t="s">
        <v>67</v>
      </c>
      <c r="B29" s="108"/>
      <c r="C29" s="203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-303</v>
      </c>
      <c r="I29" s="203">
        <v>-436</v>
      </c>
      <c r="J29" s="203">
        <v>-173</v>
      </c>
      <c r="K29" s="203">
        <v>-553</v>
      </c>
      <c r="L29" s="203">
        <v>-489</v>
      </c>
      <c r="M29" s="203">
        <f>-241+216</f>
        <v>-25</v>
      </c>
      <c r="N29" s="203">
        <v>0</v>
      </c>
      <c r="O29" s="203">
        <f t="shared" si="170"/>
        <v>0</v>
      </c>
      <c r="P29" s="203">
        <f t="shared" ref="P29:P30" si="227">0-N29-O29</f>
        <v>0</v>
      </c>
      <c r="Q29" s="1448">
        <f t="shared" si="171"/>
        <v>0</v>
      </c>
      <c r="R29" s="203">
        <v>0</v>
      </c>
      <c r="S29" s="203">
        <f t="shared" si="172"/>
        <v>0</v>
      </c>
      <c r="T29" s="1461">
        <v>0</v>
      </c>
      <c r="U29" s="203">
        <v>0</v>
      </c>
      <c r="V29" s="203">
        <f t="shared" si="173"/>
        <v>0</v>
      </c>
      <c r="W29" s="203">
        <f t="shared" ref="W29:W30" si="228">0-U29-V29</f>
        <v>0</v>
      </c>
      <c r="X29" s="1448">
        <f t="shared" si="174"/>
        <v>0</v>
      </c>
      <c r="Y29" s="203">
        <v>0</v>
      </c>
      <c r="Z29" s="203">
        <f t="shared" si="175"/>
        <v>0</v>
      </c>
      <c r="AA29" s="1461">
        <v>0</v>
      </c>
      <c r="AB29" s="203">
        <v>0</v>
      </c>
      <c r="AC29" s="203">
        <f t="shared" si="176"/>
        <v>0</v>
      </c>
      <c r="AD29" s="203">
        <f t="shared" ref="AD29:AD30" si="229">0-AB29-AC29</f>
        <v>0</v>
      </c>
      <c r="AE29" s="1448">
        <f t="shared" si="177"/>
        <v>0</v>
      </c>
      <c r="AF29" s="203">
        <v>0</v>
      </c>
      <c r="AG29" s="203">
        <f t="shared" si="178"/>
        <v>0</v>
      </c>
      <c r="AH29" s="1461">
        <v>0</v>
      </c>
      <c r="AI29" s="203">
        <v>0</v>
      </c>
      <c r="AJ29" s="203">
        <f t="shared" si="179"/>
        <v>0</v>
      </c>
      <c r="AK29" s="203">
        <f t="shared" ref="AK29:AK30" si="230">0-AI29-AJ29</f>
        <v>0</v>
      </c>
      <c r="AL29" s="1448">
        <f t="shared" si="180"/>
        <v>0</v>
      </c>
      <c r="AM29" s="203">
        <v>0</v>
      </c>
      <c r="AN29" s="203">
        <f t="shared" si="181"/>
        <v>0</v>
      </c>
      <c r="AO29" s="1461"/>
      <c r="AP29" s="203">
        <v>0</v>
      </c>
      <c r="AQ29" s="203">
        <f t="shared" si="182"/>
        <v>0</v>
      </c>
      <c r="AR29" s="203">
        <f t="shared" ref="AR29:AR30" si="231">0-AP29-AQ29</f>
        <v>0</v>
      </c>
      <c r="AS29" s="1448">
        <f t="shared" si="183"/>
        <v>0</v>
      </c>
      <c r="AT29" s="203">
        <v>0</v>
      </c>
      <c r="AU29" s="203">
        <f t="shared" si="184"/>
        <v>0</v>
      </c>
      <c r="AV29" s="1461"/>
      <c r="AW29" s="203">
        <v>0</v>
      </c>
      <c r="AX29" s="203">
        <f t="shared" si="185"/>
        <v>0</v>
      </c>
      <c r="AY29" s="203">
        <f t="shared" ref="AY29:AY30" si="232">0-AW29-AX29</f>
        <v>0</v>
      </c>
      <c r="AZ29" s="1448">
        <f t="shared" si="186"/>
        <v>0</v>
      </c>
      <c r="BA29" s="203">
        <v>0</v>
      </c>
      <c r="BB29" s="203">
        <f t="shared" si="187"/>
        <v>0</v>
      </c>
      <c r="BC29" s="1461">
        <v>0</v>
      </c>
      <c r="BD29" s="203">
        <v>0</v>
      </c>
      <c r="BE29" s="203">
        <f t="shared" si="188"/>
        <v>0</v>
      </c>
      <c r="BF29" s="203">
        <f t="shared" ref="BF29:BF30" si="233">0-BD29-BE29</f>
        <v>0</v>
      </c>
      <c r="BG29" s="1448">
        <f t="shared" si="189"/>
        <v>0</v>
      </c>
      <c r="BH29" s="203">
        <v>0</v>
      </c>
      <c r="BI29" s="203">
        <f t="shared" si="190"/>
        <v>0</v>
      </c>
      <c r="BJ29" s="1461">
        <v>0</v>
      </c>
      <c r="BK29" s="203">
        <v>0</v>
      </c>
      <c r="BL29" s="203">
        <f t="shared" si="191"/>
        <v>0</v>
      </c>
      <c r="BM29" s="203">
        <f t="shared" ref="BM29:BM30" si="234">0-BK29-BL29</f>
        <v>0</v>
      </c>
      <c r="BN29" s="1448">
        <f t="shared" si="192"/>
        <v>0</v>
      </c>
      <c r="BO29" s="203">
        <v>0</v>
      </c>
      <c r="BP29" s="203">
        <f t="shared" si="193"/>
        <v>0</v>
      </c>
      <c r="BQ29" s="1461">
        <v>0</v>
      </c>
      <c r="BR29" s="203">
        <v>0</v>
      </c>
      <c r="BS29" s="203">
        <f t="shared" si="194"/>
        <v>0</v>
      </c>
      <c r="BT29" s="203">
        <f t="shared" ref="BT29:BT30" si="235">0-BR29-BS29</f>
        <v>0</v>
      </c>
      <c r="BU29" s="1448">
        <f t="shared" si="195"/>
        <v>0</v>
      </c>
      <c r="BV29" s="203">
        <v>0</v>
      </c>
      <c r="BW29" s="203">
        <f t="shared" si="196"/>
        <v>0</v>
      </c>
      <c r="BX29" s="1461">
        <v>0</v>
      </c>
      <c r="BY29" s="203">
        <v>0</v>
      </c>
      <c r="BZ29" s="203">
        <f t="shared" si="197"/>
        <v>0</v>
      </c>
      <c r="CA29" s="203">
        <f t="shared" ref="CA29:CA30" si="236">0-BY29-BZ29</f>
        <v>0</v>
      </c>
      <c r="CB29" s="1448">
        <f t="shared" si="198"/>
        <v>0</v>
      </c>
      <c r="CC29" s="203">
        <v>0</v>
      </c>
      <c r="CD29" s="203">
        <f t="shared" si="199"/>
        <v>0</v>
      </c>
      <c r="CE29" s="1461">
        <v>0</v>
      </c>
      <c r="CF29" s="203">
        <v>0</v>
      </c>
      <c r="CG29" s="203">
        <f t="shared" si="200"/>
        <v>0</v>
      </c>
      <c r="CH29" s="203">
        <f t="shared" ref="CH29:CH30" si="237">0-CF29-CG29</f>
        <v>0</v>
      </c>
      <c r="CI29" s="1448">
        <f t="shared" si="201"/>
        <v>0</v>
      </c>
      <c r="CJ29" s="203">
        <v>0</v>
      </c>
      <c r="CK29" s="203">
        <f t="shared" si="202"/>
        <v>0</v>
      </c>
      <c r="CL29" s="1461">
        <v>0</v>
      </c>
      <c r="CM29" s="203">
        <v>0</v>
      </c>
      <c r="CN29" s="203">
        <f t="shared" si="203"/>
        <v>0</v>
      </c>
      <c r="CO29" s="203">
        <f t="shared" ref="CO29:CO30" si="238">0-CM29-CN29</f>
        <v>0</v>
      </c>
      <c r="CP29" s="1448">
        <f t="shared" si="204"/>
        <v>0</v>
      </c>
      <c r="CQ29" s="203">
        <v>0</v>
      </c>
      <c r="CR29" s="203">
        <f t="shared" si="205"/>
        <v>0</v>
      </c>
      <c r="CS29" s="1461">
        <v>0</v>
      </c>
      <c r="CT29" s="203">
        <v>0</v>
      </c>
      <c r="CU29" s="203">
        <f t="shared" si="206"/>
        <v>0</v>
      </c>
      <c r="CV29" s="203">
        <f t="shared" ref="CV29:CV30" si="239">0-CT29-CU29</f>
        <v>0</v>
      </c>
      <c r="CW29" s="1448">
        <f t="shared" si="207"/>
        <v>0</v>
      </c>
      <c r="CX29" s="203">
        <v>0</v>
      </c>
      <c r="CY29" s="203">
        <f t="shared" si="208"/>
        <v>0</v>
      </c>
      <c r="CZ29" s="1461">
        <v>0</v>
      </c>
      <c r="DA29" s="203">
        <v>0</v>
      </c>
      <c r="DB29" s="203">
        <f t="shared" si="209"/>
        <v>0</v>
      </c>
      <c r="DC29" s="203">
        <v>0</v>
      </c>
      <c r="DD29" s="1448">
        <f t="shared" si="210"/>
        <v>0</v>
      </c>
      <c r="DE29" s="203">
        <v>0</v>
      </c>
      <c r="DF29" s="203">
        <f t="shared" si="211"/>
        <v>0</v>
      </c>
      <c r="DG29" s="1857">
        <v>0</v>
      </c>
      <c r="DH29" s="203">
        <v>0</v>
      </c>
      <c r="DI29" s="2013">
        <f t="shared" si="212"/>
        <v>0</v>
      </c>
      <c r="DJ29" s="853">
        <v>0</v>
      </c>
      <c r="DK29" s="1557">
        <f t="shared" si="213"/>
        <v>0</v>
      </c>
      <c r="DL29" s="1892"/>
      <c r="DM29" s="1422">
        <f t="shared" si="214"/>
        <v>0</v>
      </c>
      <c r="DN29" s="1484">
        <v>0</v>
      </c>
      <c r="DO29" s="853">
        <v>0</v>
      </c>
      <c r="DP29" s="1422">
        <f t="shared" si="215"/>
        <v>0</v>
      </c>
      <c r="DQ29" s="853">
        <v>0</v>
      </c>
      <c r="DR29" s="1557">
        <f t="shared" si="216"/>
        <v>0</v>
      </c>
      <c r="DS29" s="853">
        <v>0</v>
      </c>
      <c r="DT29" s="1422">
        <f t="shared" si="217"/>
        <v>0</v>
      </c>
      <c r="DU29" s="1484">
        <v>0</v>
      </c>
      <c r="DV29" s="853">
        <v>0</v>
      </c>
      <c r="DW29" s="1422">
        <f t="shared" si="218"/>
        <v>0</v>
      </c>
      <c r="DX29" s="853">
        <v>0</v>
      </c>
      <c r="DY29" s="1557">
        <f t="shared" si="219"/>
        <v>0</v>
      </c>
      <c r="DZ29" s="853">
        <v>0</v>
      </c>
      <c r="EA29" s="1422">
        <f t="shared" si="220"/>
        <v>0</v>
      </c>
      <c r="EB29" s="1484">
        <v>0</v>
      </c>
      <c r="EC29" s="853">
        <v>0</v>
      </c>
      <c r="ED29" s="1422">
        <f t="shared" si="221"/>
        <v>0</v>
      </c>
      <c r="EE29" s="853">
        <v>0</v>
      </c>
      <c r="EF29" s="1557">
        <f t="shared" si="222"/>
        <v>0</v>
      </c>
      <c r="EG29" s="853">
        <v>0</v>
      </c>
      <c r="EH29" s="1422">
        <f t="shared" si="223"/>
        <v>0</v>
      </c>
      <c r="EI29" s="1484">
        <v>0</v>
      </c>
      <c r="EJ29" s="853">
        <v>0</v>
      </c>
      <c r="EK29" s="1422">
        <f t="shared" si="224"/>
        <v>0</v>
      </c>
      <c r="EL29" s="853">
        <v>0</v>
      </c>
      <c r="EM29" s="1557">
        <f t="shared" si="225"/>
        <v>0</v>
      </c>
      <c r="EN29" s="853">
        <v>0</v>
      </c>
      <c r="EO29" s="1422">
        <f t="shared" si="226"/>
        <v>0</v>
      </c>
      <c r="EP29" s="1484">
        <v>0</v>
      </c>
      <c r="EQ29" s="303"/>
      <c r="ER29" s="46"/>
    </row>
    <row r="30" spans="1:148" ht="10.199999999999999" customHeight="1">
      <c r="A30" s="43" t="s">
        <v>66</v>
      </c>
      <c r="B30" s="108"/>
      <c r="C30" s="832">
        <v>5</v>
      </c>
      <c r="D30" s="832">
        <v>-152</v>
      </c>
      <c r="E30" s="832">
        <v>9</v>
      </c>
      <c r="F30" s="832">
        <v>12</v>
      </c>
      <c r="G30" s="207">
        <v>0</v>
      </c>
      <c r="H30" s="207">
        <v>-249</v>
      </c>
      <c r="I30" s="207">
        <v>0</v>
      </c>
      <c r="J30" s="207">
        <v>0</v>
      </c>
      <c r="K30" s="207">
        <v>0</v>
      </c>
      <c r="L30" s="207">
        <v>0</v>
      </c>
      <c r="M30" s="207">
        <v>0</v>
      </c>
      <c r="N30" s="1442">
        <v>0</v>
      </c>
      <c r="O30" s="1442">
        <f t="shared" si="170"/>
        <v>0</v>
      </c>
      <c r="P30" s="1442">
        <f t="shared" si="227"/>
        <v>0</v>
      </c>
      <c r="Q30" s="1450">
        <f t="shared" si="171"/>
        <v>0</v>
      </c>
      <c r="R30" s="1442">
        <v>0</v>
      </c>
      <c r="S30" s="1442">
        <f t="shared" si="172"/>
        <v>0</v>
      </c>
      <c r="T30" s="1463"/>
      <c r="U30" s="1442">
        <v>0</v>
      </c>
      <c r="V30" s="1442">
        <f t="shared" si="173"/>
        <v>0</v>
      </c>
      <c r="W30" s="1442">
        <f t="shared" si="228"/>
        <v>0</v>
      </c>
      <c r="X30" s="1450">
        <f t="shared" si="174"/>
        <v>0</v>
      </c>
      <c r="Y30" s="1442">
        <v>0</v>
      </c>
      <c r="Z30" s="1442">
        <f t="shared" si="175"/>
        <v>0</v>
      </c>
      <c r="AA30" s="1463">
        <v>0</v>
      </c>
      <c r="AB30" s="1442">
        <v>-11</v>
      </c>
      <c r="AC30" s="1442">
        <f t="shared" si="176"/>
        <v>11</v>
      </c>
      <c r="AD30" s="1442">
        <f t="shared" si="229"/>
        <v>0</v>
      </c>
      <c r="AE30" s="1450">
        <f t="shared" si="177"/>
        <v>0</v>
      </c>
      <c r="AF30" s="1442">
        <v>0</v>
      </c>
      <c r="AG30" s="1442">
        <f t="shared" si="178"/>
        <v>0</v>
      </c>
      <c r="AH30" s="1463">
        <v>0</v>
      </c>
      <c r="AI30" s="1442">
        <v>0</v>
      </c>
      <c r="AJ30" s="1442">
        <f t="shared" si="179"/>
        <v>0</v>
      </c>
      <c r="AK30" s="1442">
        <f t="shared" si="230"/>
        <v>0</v>
      </c>
      <c r="AL30" s="1450">
        <f t="shared" si="180"/>
        <v>0</v>
      </c>
      <c r="AM30" s="1442">
        <v>0</v>
      </c>
      <c r="AN30" s="1442">
        <f t="shared" si="181"/>
        <v>0</v>
      </c>
      <c r="AO30" s="1463">
        <v>0</v>
      </c>
      <c r="AP30" s="1442">
        <v>0</v>
      </c>
      <c r="AQ30" s="1442">
        <f t="shared" si="182"/>
        <v>0</v>
      </c>
      <c r="AR30" s="1442">
        <f t="shared" si="231"/>
        <v>0</v>
      </c>
      <c r="AS30" s="1450">
        <f t="shared" si="183"/>
        <v>0</v>
      </c>
      <c r="AT30" s="1442">
        <v>0</v>
      </c>
      <c r="AU30" s="1442">
        <f t="shared" si="184"/>
        <v>0</v>
      </c>
      <c r="AV30" s="1463">
        <v>0</v>
      </c>
      <c r="AW30" s="1442">
        <v>0</v>
      </c>
      <c r="AX30" s="1442">
        <f t="shared" si="185"/>
        <v>0</v>
      </c>
      <c r="AY30" s="1442">
        <f t="shared" si="232"/>
        <v>0</v>
      </c>
      <c r="AZ30" s="1450">
        <f t="shared" si="186"/>
        <v>0</v>
      </c>
      <c r="BA30" s="1442">
        <v>0</v>
      </c>
      <c r="BB30" s="1442">
        <f t="shared" si="187"/>
        <v>0</v>
      </c>
      <c r="BC30" s="1463">
        <v>0</v>
      </c>
      <c r="BD30" s="1442">
        <v>0</v>
      </c>
      <c r="BE30" s="1442">
        <f t="shared" si="188"/>
        <v>0</v>
      </c>
      <c r="BF30" s="1442">
        <f t="shared" si="233"/>
        <v>0</v>
      </c>
      <c r="BG30" s="1450">
        <f t="shared" si="189"/>
        <v>0</v>
      </c>
      <c r="BH30" s="1442">
        <v>0</v>
      </c>
      <c r="BI30" s="1442">
        <f t="shared" si="190"/>
        <v>0</v>
      </c>
      <c r="BJ30" s="1463">
        <v>0</v>
      </c>
      <c r="BK30" s="1442">
        <v>0</v>
      </c>
      <c r="BL30" s="1442">
        <f t="shared" si="191"/>
        <v>0</v>
      </c>
      <c r="BM30" s="1442">
        <f t="shared" si="234"/>
        <v>0</v>
      </c>
      <c r="BN30" s="1450">
        <f t="shared" si="192"/>
        <v>0</v>
      </c>
      <c r="BO30" s="1442">
        <v>0</v>
      </c>
      <c r="BP30" s="1442">
        <f t="shared" si="193"/>
        <v>0</v>
      </c>
      <c r="BQ30" s="1463">
        <v>0</v>
      </c>
      <c r="BR30" s="1442">
        <v>0</v>
      </c>
      <c r="BS30" s="1442">
        <f t="shared" si="194"/>
        <v>0</v>
      </c>
      <c r="BT30" s="1442">
        <f t="shared" si="235"/>
        <v>0</v>
      </c>
      <c r="BU30" s="1450">
        <f t="shared" si="195"/>
        <v>0</v>
      </c>
      <c r="BV30" s="1442">
        <v>0</v>
      </c>
      <c r="BW30" s="1442">
        <f t="shared" si="196"/>
        <v>0</v>
      </c>
      <c r="BX30" s="1463">
        <v>0</v>
      </c>
      <c r="BY30" s="1442">
        <v>0</v>
      </c>
      <c r="BZ30" s="1442">
        <f t="shared" si="197"/>
        <v>0</v>
      </c>
      <c r="CA30" s="1442">
        <f t="shared" si="236"/>
        <v>0</v>
      </c>
      <c r="CB30" s="1450">
        <f t="shared" si="198"/>
        <v>0</v>
      </c>
      <c r="CC30" s="1442">
        <v>0</v>
      </c>
      <c r="CD30" s="1442">
        <f t="shared" si="199"/>
        <v>0</v>
      </c>
      <c r="CE30" s="1463">
        <v>0</v>
      </c>
      <c r="CF30" s="1442">
        <v>0</v>
      </c>
      <c r="CG30" s="1442">
        <f t="shared" si="200"/>
        <v>0</v>
      </c>
      <c r="CH30" s="1442">
        <f t="shared" si="237"/>
        <v>0</v>
      </c>
      <c r="CI30" s="1450">
        <f t="shared" si="201"/>
        <v>0</v>
      </c>
      <c r="CJ30" s="1442">
        <v>0</v>
      </c>
      <c r="CK30" s="1442">
        <f t="shared" si="202"/>
        <v>0</v>
      </c>
      <c r="CL30" s="1463">
        <v>0</v>
      </c>
      <c r="CM30" s="1442">
        <v>0</v>
      </c>
      <c r="CN30" s="1442">
        <f t="shared" si="203"/>
        <v>0</v>
      </c>
      <c r="CO30" s="1442">
        <f t="shared" si="238"/>
        <v>0</v>
      </c>
      <c r="CP30" s="1450">
        <f t="shared" si="204"/>
        <v>0</v>
      </c>
      <c r="CQ30" s="1442">
        <v>0</v>
      </c>
      <c r="CR30" s="1442">
        <f t="shared" si="205"/>
        <v>0</v>
      </c>
      <c r="CS30" s="1463">
        <v>0</v>
      </c>
      <c r="CT30" s="1442">
        <v>0</v>
      </c>
      <c r="CU30" s="1442">
        <f t="shared" si="206"/>
        <v>0</v>
      </c>
      <c r="CV30" s="1442">
        <f t="shared" si="239"/>
        <v>0</v>
      </c>
      <c r="CW30" s="1450">
        <f t="shared" si="207"/>
        <v>0</v>
      </c>
      <c r="CX30" s="1442">
        <v>0</v>
      </c>
      <c r="CY30" s="1442">
        <f t="shared" si="208"/>
        <v>0</v>
      </c>
      <c r="CZ30" s="1463">
        <v>0</v>
      </c>
      <c r="DA30" s="1442">
        <v>0</v>
      </c>
      <c r="DB30" s="1442">
        <f t="shared" si="209"/>
        <v>0</v>
      </c>
      <c r="DC30" s="1442">
        <v>0</v>
      </c>
      <c r="DD30" s="1450">
        <f t="shared" si="210"/>
        <v>0</v>
      </c>
      <c r="DE30" s="1442">
        <v>0</v>
      </c>
      <c r="DF30" s="1442">
        <f t="shared" si="211"/>
        <v>0</v>
      </c>
      <c r="DG30" s="1858">
        <v>0</v>
      </c>
      <c r="DH30" s="1442">
        <v>0</v>
      </c>
      <c r="DI30" s="2058">
        <f t="shared" si="212"/>
        <v>0</v>
      </c>
      <c r="DJ30" s="1409">
        <v>0</v>
      </c>
      <c r="DK30" s="1669">
        <f t="shared" si="213"/>
        <v>0</v>
      </c>
      <c r="DL30" s="2019"/>
      <c r="DM30" s="1668">
        <f t="shared" si="214"/>
        <v>0</v>
      </c>
      <c r="DN30" s="1485">
        <v>0</v>
      </c>
      <c r="DO30" s="1409">
        <v>0</v>
      </c>
      <c r="DP30" s="1668">
        <f t="shared" si="215"/>
        <v>0</v>
      </c>
      <c r="DQ30" s="1409">
        <v>0</v>
      </c>
      <c r="DR30" s="1669">
        <f t="shared" si="216"/>
        <v>0</v>
      </c>
      <c r="DS30" s="1409">
        <v>0</v>
      </c>
      <c r="DT30" s="1668">
        <f t="shared" si="217"/>
        <v>0</v>
      </c>
      <c r="DU30" s="1485">
        <v>0</v>
      </c>
      <c r="DV30" s="1409">
        <v>0</v>
      </c>
      <c r="DW30" s="1668">
        <f t="shared" si="218"/>
        <v>0</v>
      </c>
      <c r="DX30" s="1409">
        <v>0</v>
      </c>
      <c r="DY30" s="1669">
        <f t="shared" si="219"/>
        <v>0</v>
      </c>
      <c r="DZ30" s="1409">
        <v>0</v>
      </c>
      <c r="EA30" s="1668">
        <f t="shared" si="220"/>
        <v>0</v>
      </c>
      <c r="EB30" s="1485">
        <v>0</v>
      </c>
      <c r="EC30" s="1409">
        <v>0</v>
      </c>
      <c r="ED30" s="1668">
        <f t="shared" si="221"/>
        <v>0</v>
      </c>
      <c r="EE30" s="1409">
        <v>0</v>
      </c>
      <c r="EF30" s="1669">
        <f t="shared" si="222"/>
        <v>0</v>
      </c>
      <c r="EG30" s="1409">
        <v>0</v>
      </c>
      <c r="EH30" s="1668">
        <f t="shared" si="223"/>
        <v>0</v>
      </c>
      <c r="EI30" s="1485">
        <v>0</v>
      </c>
      <c r="EJ30" s="1409">
        <v>0</v>
      </c>
      <c r="EK30" s="1668">
        <f t="shared" si="224"/>
        <v>0</v>
      </c>
      <c r="EL30" s="1409">
        <v>0</v>
      </c>
      <c r="EM30" s="1669">
        <f t="shared" si="225"/>
        <v>0</v>
      </c>
      <c r="EN30" s="1409">
        <v>0</v>
      </c>
      <c r="EO30" s="1668">
        <f t="shared" si="226"/>
        <v>0</v>
      </c>
      <c r="EP30" s="1485">
        <v>0</v>
      </c>
      <c r="EQ30" s="303"/>
      <c r="ER30" s="46"/>
    </row>
    <row r="31" spans="1:148" ht="10.199999999999999" customHeight="1">
      <c r="A31" s="48" t="s">
        <v>104</v>
      </c>
      <c r="B31" s="108"/>
      <c r="C31" s="211">
        <f t="shared" ref="C31:EP31" si="240">SUM(C23:C30)</f>
        <v>-3217</v>
      </c>
      <c r="D31" s="211">
        <f t="shared" si="240"/>
        <v>-3475</v>
      </c>
      <c r="E31" s="211">
        <f t="shared" si="240"/>
        <v>-3749</v>
      </c>
      <c r="F31" s="211">
        <f t="shared" si="240"/>
        <v>-1795</v>
      </c>
      <c r="G31" s="211">
        <f t="shared" si="240"/>
        <v>1988</v>
      </c>
      <c r="H31" s="211">
        <f t="shared" si="240"/>
        <v>-4937</v>
      </c>
      <c r="I31" s="211">
        <f t="shared" si="240"/>
        <v>-4952</v>
      </c>
      <c r="J31" s="211">
        <f t="shared" si="240"/>
        <v>-2847</v>
      </c>
      <c r="K31" s="211">
        <f t="shared" si="240"/>
        <v>-5989</v>
      </c>
      <c r="L31" s="211">
        <f t="shared" si="240"/>
        <v>-4687</v>
      </c>
      <c r="M31" s="211">
        <f t="shared" si="240"/>
        <v>-51</v>
      </c>
      <c r="N31" s="211">
        <f t="shared" si="240"/>
        <v>-944</v>
      </c>
      <c r="O31" s="211">
        <f t="shared" si="240"/>
        <v>269</v>
      </c>
      <c r="P31" s="211">
        <f t="shared" si="240"/>
        <v>-405</v>
      </c>
      <c r="Q31" s="1535">
        <f t="shared" si="240"/>
        <v>-532</v>
      </c>
      <c r="R31" s="211">
        <f t="shared" ref="R31:S31" si="241">SUM(R23:R30)</f>
        <v>-675</v>
      </c>
      <c r="S31" s="211">
        <f t="shared" si="241"/>
        <v>-937</v>
      </c>
      <c r="T31" s="1539">
        <f t="shared" si="240"/>
        <v>-1612</v>
      </c>
      <c r="U31" s="211">
        <f t="shared" ref="U31:X31" si="242">SUM(U23:U30)</f>
        <v>-899</v>
      </c>
      <c r="V31" s="211">
        <f t="shared" si="242"/>
        <v>-312</v>
      </c>
      <c r="W31" s="211">
        <f t="shared" si="242"/>
        <v>-278</v>
      </c>
      <c r="X31" s="1535">
        <f t="shared" si="242"/>
        <v>-1734</v>
      </c>
      <c r="Y31" s="211">
        <f t="shared" ref="Y31:Z31" si="243">SUM(Y23:Y30)</f>
        <v>-1211</v>
      </c>
      <c r="Z31" s="211">
        <f t="shared" si="243"/>
        <v>-2012</v>
      </c>
      <c r="AA31" s="1539">
        <f t="shared" si="240"/>
        <v>-3223</v>
      </c>
      <c r="AB31" s="211">
        <f t="shared" si="240"/>
        <v>550</v>
      </c>
      <c r="AC31" s="211">
        <f t="shared" si="240"/>
        <v>-1984</v>
      </c>
      <c r="AD31" s="211">
        <f t="shared" si="240"/>
        <v>-715</v>
      </c>
      <c r="AE31" s="1535">
        <f t="shared" si="240"/>
        <v>-1310</v>
      </c>
      <c r="AF31" s="211">
        <f t="shared" ref="AF31:AG31" si="244">SUM(AF23:AF30)</f>
        <v>-1434</v>
      </c>
      <c r="AG31" s="211">
        <f t="shared" si="244"/>
        <v>-2025</v>
      </c>
      <c r="AH31" s="1539">
        <f t="shared" si="240"/>
        <v>-3459</v>
      </c>
      <c r="AI31" s="211">
        <f t="shared" ref="AI31:AL31" si="245">SUM(AI23:AI30)</f>
        <v>-395</v>
      </c>
      <c r="AJ31" s="211">
        <f t="shared" si="245"/>
        <v>1396</v>
      </c>
      <c r="AK31" s="211">
        <f t="shared" si="245"/>
        <v>-609</v>
      </c>
      <c r="AL31" s="1535">
        <f t="shared" si="245"/>
        <v>-1222</v>
      </c>
      <c r="AM31" s="211">
        <f t="shared" ref="AM31:AN31" si="246">SUM(AM23:AM30)</f>
        <v>1001</v>
      </c>
      <c r="AN31" s="211">
        <f t="shared" si="246"/>
        <v>-1831</v>
      </c>
      <c r="AO31" s="1539">
        <f t="shared" si="240"/>
        <v>-830</v>
      </c>
      <c r="AP31" s="211">
        <f t="shared" si="240"/>
        <v>261</v>
      </c>
      <c r="AQ31" s="211">
        <f t="shared" si="240"/>
        <v>-747</v>
      </c>
      <c r="AR31" s="211">
        <f t="shared" si="240"/>
        <v>-489</v>
      </c>
      <c r="AS31" s="1535">
        <f t="shared" si="240"/>
        <v>-1555</v>
      </c>
      <c r="AT31" s="211">
        <f t="shared" ref="AT31:AU31" si="247">SUM(AT23:AT30)</f>
        <v>-486</v>
      </c>
      <c r="AU31" s="211">
        <f t="shared" si="247"/>
        <v>-2044</v>
      </c>
      <c r="AV31" s="1539">
        <f t="shared" si="240"/>
        <v>-2530</v>
      </c>
      <c r="AW31" s="211">
        <f t="shared" ref="AW31:AZ31" si="248">SUM(AW23:AW30)</f>
        <v>261</v>
      </c>
      <c r="AX31" s="211">
        <f t="shared" si="248"/>
        <v>-747</v>
      </c>
      <c r="AY31" s="211">
        <f t="shared" si="248"/>
        <v>-489</v>
      </c>
      <c r="AZ31" s="1535">
        <f t="shared" si="248"/>
        <v>-1555</v>
      </c>
      <c r="BA31" s="211">
        <f t="shared" ref="BA31:BB31" si="249">SUM(BA23:BA30)</f>
        <v>-486</v>
      </c>
      <c r="BB31" s="211">
        <f t="shared" si="249"/>
        <v>-2044</v>
      </c>
      <c r="BC31" s="1539">
        <f t="shared" si="240"/>
        <v>-2530</v>
      </c>
      <c r="BD31" s="211">
        <f t="shared" si="240"/>
        <v>-124</v>
      </c>
      <c r="BE31" s="211">
        <f t="shared" si="240"/>
        <v>-434</v>
      </c>
      <c r="BF31" s="211">
        <f t="shared" si="240"/>
        <v>-393</v>
      </c>
      <c r="BG31" s="1535">
        <f t="shared" si="240"/>
        <v>-684</v>
      </c>
      <c r="BH31" s="211">
        <f t="shared" ref="BH31:BI31" si="250">SUM(BH23:BH30)</f>
        <v>-558</v>
      </c>
      <c r="BI31" s="211">
        <f t="shared" si="250"/>
        <v>-1077</v>
      </c>
      <c r="BJ31" s="1539">
        <f t="shared" si="240"/>
        <v>-1635</v>
      </c>
      <c r="BK31" s="211">
        <f t="shared" ref="BK31:BN31" si="251">SUM(BK23:BK30)</f>
        <v>-2</v>
      </c>
      <c r="BL31" s="211">
        <f t="shared" si="251"/>
        <v>-509</v>
      </c>
      <c r="BM31" s="211">
        <f t="shared" si="251"/>
        <v>-1083</v>
      </c>
      <c r="BN31" s="1535">
        <f t="shared" si="251"/>
        <v>-1270</v>
      </c>
      <c r="BO31" s="211">
        <f t="shared" ref="BO31:BP31" si="252">SUM(BO23:BO30)</f>
        <v>-511</v>
      </c>
      <c r="BP31" s="211">
        <f t="shared" si="252"/>
        <v>-2353</v>
      </c>
      <c r="BQ31" s="1539">
        <f t="shared" si="240"/>
        <v>-2864</v>
      </c>
      <c r="BR31" s="211">
        <f t="shared" si="240"/>
        <v>182</v>
      </c>
      <c r="BS31" s="211">
        <f t="shared" si="240"/>
        <v>4252</v>
      </c>
      <c r="BT31" s="211">
        <f t="shared" si="240"/>
        <v>127</v>
      </c>
      <c r="BU31" s="1535">
        <f t="shared" si="240"/>
        <v>-435</v>
      </c>
      <c r="BV31" s="211">
        <f t="shared" ref="BV31:BW31" si="253">SUM(BV23:BV30)</f>
        <v>4434</v>
      </c>
      <c r="BW31" s="211">
        <f t="shared" si="253"/>
        <v>-308</v>
      </c>
      <c r="BX31" s="1539">
        <f t="shared" si="240"/>
        <v>4126</v>
      </c>
      <c r="BY31" s="211">
        <f t="shared" ref="BY31:CB31" si="254">SUM(BY23:BY30)</f>
        <v>-28</v>
      </c>
      <c r="BZ31" s="211">
        <f t="shared" si="254"/>
        <v>-564</v>
      </c>
      <c r="CA31" s="211">
        <f t="shared" si="254"/>
        <v>-465</v>
      </c>
      <c r="CB31" s="1535">
        <f t="shared" si="254"/>
        <v>-1662</v>
      </c>
      <c r="CC31" s="211">
        <f t="shared" ref="CC31:CD31" si="255">SUM(CC23:CC30)</f>
        <v>-592</v>
      </c>
      <c r="CD31" s="211">
        <f t="shared" si="255"/>
        <v>-2127</v>
      </c>
      <c r="CE31" s="1539">
        <f t="shared" si="240"/>
        <v>-2719</v>
      </c>
      <c r="CF31" s="211">
        <f t="shared" si="240"/>
        <v>-361</v>
      </c>
      <c r="CG31" s="211">
        <f t="shared" si="240"/>
        <v>-243</v>
      </c>
      <c r="CH31" s="211">
        <f t="shared" si="240"/>
        <v>-1331</v>
      </c>
      <c r="CI31" s="1535">
        <f t="shared" si="240"/>
        <v>-1178</v>
      </c>
      <c r="CJ31" s="211">
        <f t="shared" ref="CJ31:CK31" si="256">SUM(CJ23:CJ30)</f>
        <v>-604</v>
      </c>
      <c r="CK31" s="211">
        <f t="shared" si="256"/>
        <v>-2509</v>
      </c>
      <c r="CL31" s="1539">
        <f t="shared" si="240"/>
        <v>-3113</v>
      </c>
      <c r="CM31" s="211">
        <f t="shared" ref="CM31:CP31" si="257">SUM(CM23:CM30)</f>
        <v>-711</v>
      </c>
      <c r="CN31" s="211">
        <f t="shared" si="257"/>
        <v>-1143</v>
      </c>
      <c r="CO31" s="211">
        <f t="shared" si="257"/>
        <v>-907</v>
      </c>
      <c r="CP31" s="1535">
        <f t="shared" si="257"/>
        <v>-1367</v>
      </c>
      <c r="CQ31" s="211">
        <f t="shared" ref="CQ31" si="258">SUM(CQ23:CQ30)</f>
        <v>-1854</v>
      </c>
      <c r="CR31" s="211">
        <f t="shared" si="240"/>
        <v>-2274</v>
      </c>
      <c r="CS31" s="1539">
        <f t="shared" si="240"/>
        <v>-4128</v>
      </c>
      <c r="CT31" s="211">
        <f t="shared" si="240"/>
        <v>-1565</v>
      </c>
      <c r="CU31" s="211">
        <f t="shared" si="240"/>
        <v>-1764</v>
      </c>
      <c r="CV31" s="211">
        <f t="shared" si="240"/>
        <v>-1837</v>
      </c>
      <c r="CW31" s="1535">
        <f t="shared" si="240"/>
        <v>-1487</v>
      </c>
      <c r="CX31" s="211">
        <f t="shared" ref="CX31:CY31" si="259">SUM(CX23:CX30)</f>
        <v>-3329</v>
      </c>
      <c r="CY31" s="211">
        <f t="shared" si="259"/>
        <v>-3324</v>
      </c>
      <c r="CZ31" s="1539">
        <f t="shared" ref="CZ31:DA31" si="260">SUM(CZ23:CZ30)</f>
        <v>-6653</v>
      </c>
      <c r="DA31" s="211">
        <f t="shared" si="260"/>
        <v>-1198</v>
      </c>
      <c r="DB31" s="211">
        <f>SUM(DB23:DB30)</f>
        <v>-1042</v>
      </c>
      <c r="DC31" s="211">
        <f t="shared" ref="DC31:DF31" si="261">SUM(DC23:DC30)</f>
        <v>-922</v>
      </c>
      <c r="DD31" s="1535">
        <f t="shared" si="261"/>
        <v>-1520</v>
      </c>
      <c r="DE31" s="211">
        <f t="shared" si="261"/>
        <v>-2240</v>
      </c>
      <c r="DF31" s="211">
        <f t="shared" si="261"/>
        <v>-2442</v>
      </c>
      <c r="DG31" s="1861">
        <f t="shared" ref="DG31:DH31" si="262">SUM(DG23:DG30)</f>
        <v>-4682</v>
      </c>
      <c r="DH31" s="211">
        <f t="shared" si="262"/>
        <v>-778</v>
      </c>
      <c r="DI31" s="2059">
        <f>SUM(DI23:DI30)</f>
        <v>-1533</v>
      </c>
      <c r="DJ31" s="888">
        <f t="shared" si="240"/>
        <v>-896.60745906495072</v>
      </c>
      <c r="DK31" s="1555">
        <f t="shared" si="240"/>
        <v>-1820.9852681968985</v>
      </c>
      <c r="DL31" s="2011">
        <f t="shared" si="240"/>
        <v>-2311</v>
      </c>
      <c r="DM31" s="888">
        <f t="shared" si="240"/>
        <v>-2717.5927272618492</v>
      </c>
      <c r="DN31" s="1545">
        <f t="shared" si="240"/>
        <v>-5028.5927272618492</v>
      </c>
      <c r="DO31" s="888">
        <f t="shared" si="240"/>
        <v>-975.19999648352905</v>
      </c>
      <c r="DP31" s="1712">
        <f t="shared" si="240"/>
        <v>-796.46610761765214</v>
      </c>
      <c r="DQ31" s="888">
        <f t="shared" si="240"/>
        <v>-1082.3066739246919</v>
      </c>
      <c r="DR31" s="1555">
        <f t="shared" si="240"/>
        <v>-1050.4235454669208</v>
      </c>
      <c r="DS31" s="888">
        <f t="shared" si="240"/>
        <v>-1771.6661041011812</v>
      </c>
      <c r="DT31" s="888">
        <f t="shared" si="240"/>
        <v>-2132.730219391613</v>
      </c>
      <c r="DU31" s="1545">
        <f t="shared" si="240"/>
        <v>-3904.3963234927942</v>
      </c>
      <c r="DV31" s="888">
        <f t="shared" ref="DV31:EA31" si="263">SUM(DV23:DV30)</f>
        <v>-1014.8813204468509</v>
      </c>
      <c r="DW31" s="1712">
        <f t="shared" si="263"/>
        <v>-817.18097318027662</v>
      </c>
      <c r="DX31" s="888">
        <f t="shared" si="263"/>
        <v>-1128.5021800485008</v>
      </c>
      <c r="DY31" s="1555">
        <f t="shared" si="263"/>
        <v>-1101.969526222957</v>
      </c>
      <c r="DZ31" s="888">
        <f t="shared" si="263"/>
        <v>-1832.0622936271275</v>
      </c>
      <c r="EA31" s="888">
        <f t="shared" si="263"/>
        <v>-2230.4717062714576</v>
      </c>
      <c r="EB31" s="1545">
        <f t="shared" si="240"/>
        <v>-4062.5339998985851</v>
      </c>
      <c r="EC31" s="888">
        <f t="shared" ref="EC31:EH31" si="264">SUM(EC23:EC30)</f>
        <v>-1046.8712868117721</v>
      </c>
      <c r="ED31" s="1712">
        <f t="shared" si="264"/>
        <v>-801.66844488675986</v>
      </c>
      <c r="EE31" s="888">
        <f t="shared" si="264"/>
        <v>-1126.8850920239308</v>
      </c>
      <c r="EF31" s="1555">
        <f t="shared" si="264"/>
        <v>-1098.8403924085173</v>
      </c>
      <c r="EG31" s="888">
        <f t="shared" si="264"/>
        <v>-1848.539731698532</v>
      </c>
      <c r="EH31" s="888">
        <f t="shared" si="264"/>
        <v>-2225.725484432448</v>
      </c>
      <c r="EI31" s="1545">
        <f t="shared" si="240"/>
        <v>-4074.2652161309802</v>
      </c>
      <c r="EJ31" s="888">
        <f t="shared" ref="EJ31:EO31" si="265">SUM(EJ23:EJ30)</f>
        <v>-1081.8498130096723</v>
      </c>
      <c r="EK31" s="1712">
        <f t="shared" si="265"/>
        <v>-829.31633823097854</v>
      </c>
      <c r="EL31" s="888">
        <f t="shared" si="265"/>
        <v>-1165.6714781510693</v>
      </c>
      <c r="EM31" s="1555">
        <f t="shared" si="265"/>
        <v>-1137.542874546994</v>
      </c>
      <c r="EN31" s="888">
        <f t="shared" si="265"/>
        <v>-1911.1661512406508</v>
      </c>
      <c r="EO31" s="888">
        <f t="shared" si="265"/>
        <v>-2303.2143526980635</v>
      </c>
      <c r="EP31" s="1545">
        <f t="shared" si="240"/>
        <v>-4214.3805039387144</v>
      </c>
      <c r="EQ31" s="303"/>
      <c r="ER31" s="46"/>
    </row>
    <row r="32" spans="1:148" ht="10.199999999999999" customHeight="1">
      <c r="A32" s="43"/>
      <c r="B32" s="108"/>
      <c r="C32" s="235"/>
      <c r="D32" s="130"/>
      <c r="E32" s="235"/>
      <c r="F32" s="235"/>
      <c r="G32" s="130"/>
      <c r="H32" s="203"/>
      <c r="I32" s="203"/>
      <c r="J32" s="203"/>
      <c r="K32" s="203"/>
      <c r="L32" s="203"/>
      <c r="M32" s="203"/>
      <c r="N32" s="203"/>
      <c r="O32" s="203"/>
      <c r="P32" s="203"/>
      <c r="Q32" s="1448"/>
      <c r="R32" s="203"/>
      <c r="S32" s="203"/>
      <c r="T32" s="1461"/>
      <c r="U32" s="203"/>
      <c r="V32" s="203"/>
      <c r="W32" s="203"/>
      <c r="X32" s="1448"/>
      <c r="Y32" s="203"/>
      <c r="Z32" s="203"/>
      <c r="AA32" s="1461"/>
      <c r="AB32" s="203"/>
      <c r="AC32" s="203"/>
      <c r="AD32" s="203"/>
      <c r="AE32" s="1448"/>
      <c r="AF32" s="203"/>
      <c r="AG32" s="203"/>
      <c r="AH32" s="1461"/>
      <c r="AI32" s="203"/>
      <c r="AJ32" s="203"/>
      <c r="AK32" s="203"/>
      <c r="AL32" s="1448"/>
      <c r="AM32" s="203"/>
      <c r="AN32" s="203"/>
      <c r="AO32" s="1461"/>
      <c r="AP32" s="203"/>
      <c r="AQ32" s="203"/>
      <c r="AR32" s="203"/>
      <c r="AS32" s="1448"/>
      <c r="AT32" s="203"/>
      <c r="AU32" s="203"/>
      <c r="AV32" s="1461"/>
      <c r="AW32" s="203"/>
      <c r="AX32" s="203"/>
      <c r="AY32" s="203"/>
      <c r="AZ32" s="1448"/>
      <c r="BA32" s="203"/>
      <c r="BB32" s="203"/>
      <c r="BC32" s="1461"/>
      <c r="BD32" s="203"/>
      <c r="BE32" s="203"/>
      <c r="BF32" s="203"/>
      <c r="BG32" s="1448"/>
      <c r="BH32" s="203"/>
      <c r="BI32" s="203"/>
      <c r="BJ32" s="1461"/>
      <c r="BK32" s="203"/>
      <c r="BL32" s="203"/>
      <c r="BM32" s="203"/>
      <c r="BN32" s="1448"/>
      <c r="BO32" s="203"/>
      <c r="BP32" s="203"/>
      <c r="BQ32" s="1461"/>
      <c r="BR32" s="203"/>
      <c r="BS32" s="203"/>
      <c r="BT32" s="203"/>
      <c r="BU32" s="1448"/>
      <c r="BV32" s="203"/>
      <c r="BW32" s="203"/>
      <c r="BX32" s="1461"/>
      <c r="BY32" s="203"/>
      <c r="BZ32" s="203"/>
      <c r="CA32" s="203"/>
      <c r="CB32" s="1448"/>
      <c r="CC32" s="203"/>
      <c r="CD32" s="203"/>
      <c r="CE32" s="1461"/>
      <c r="CF32" s="203"/>
      <c r="CG32" s="203"/>
      <c r="CH32" s="203"/>
      <c r="CI32" s="1448"/>
      <c r="CJ32" s="203"/>
      <c r="CK32" s="203"/>
      <c r="CL32" s="1461"/>
      <c r="CM32" s="203"/>
      <c r="CN32" s="203"/>
      <c r="CO32" s="203"/>
      <c r="CP32" s="1448"/>
      <c r="CQ32" s="203"/>
      <c r="CR32" s="203"/>
      <c r="CS32" s="1461"/>
      <c r="CT32" s="203"/>
      <c r="CU32" s="203"/>
      <c r="CV32" s="203"/>
      <c r="CW32" s="1448"/>
      <c r="CX32" s="203"/>
      <c r="CY32" s="203"/>
      <c r="CZ32" s="1483"/>
      <c r="DA32" s="203"/>
      <c r="DB32" s="203"/>
      <c r="DC32" s="203"/>
      <c r="DD32" s="1448"/>
      <c r="DE32" s="12"/>
      <c r="DF32" s="203"/>
      <c r="DG32" s="1483"/>
      <c r="DH32" s="203"/>
      <c r="DI32" s="2013"/>
      <c r="DJ32" s="12"/>
      <c r="DK32" s="1513"/>
      <c r="DL32" s="1892"/>
      <c r="DM32" s="12"/>
      <c r="DN32" s="1483"/>
      <c r="DO32" s="12"/>
      <c r="DP32" s="1422"/>
      <c r="DQ32" s="12"/>
      <c r="DR32" s="1513"/>
      <c r="DS32" s="12"/>
      <c r="DT32" s="12"/>
      <c r="DU32" s="1483"/>
      <c r="DV32" s="12"/>
      <c r="DW32" s="1422"/>
      <c r="DX32" s="12"/>
      <c r="DY32" s="1513"/>
      <c r="DZ32" s="12"/>
      <c r="EA32" s="12"/>
      <c r="EB32" s="1483"/>
      <c r="EC32" s="12"/>
      <c r="ED32" s="1422"/>
      <c r="EE32" s="12"/>
      <c r="EF32" s="1513"/>
      <c r="EG32" s="12"/>
      <c r="EH32" s="12"/>
      <c r="EI32" s="1483"/>
      <c r="EJ32" s="12"/>
      <c r="EK32" s="1422"/>
      <c r="EL32" s="12"/>
      <c r="EM32" s="1513"/>
      <c r="EN32" s="12"/>
      <c r="EO32" s="12"/>
      <c r="EP32" s="1483"/>
      <c r="EQ32" s="303"/>
      <c r="ER32" s="46"/>
    </row>
    <row r="33" spans="1:148" ht="10.199999999999999" customHeight="1">
      <c r="A33" s="43" t="s">
        <v>105</v>
      </c>
      <c r="B33" s="108"/>
      <c r="C33" s="203">
        <v>-774</v>
      </c>
      <c r="D33" s="203">
        <v>1132</v>
      </c>
      <c r="E33" s="235">
        <v>474</v>
      </c>
      <c r="F33" s="235">
        <f>456-800</f>
        <v>-344</v>
      </c>
      <c r="G33" s="203">
        <f>1252-468</f>
        <v>784</v>
      </c>
      <c r="H33" s="203">
        <f>206-792</f>
        <v>-586</v>
      </c>
      <c r="I33" s="203">
        <v>-157</v>
      </c>
      <c r="J33" s="203">
        <f>1114-208</f>
        <v>906</v>
      </c>
      <c r="K33" s="203">
        <f>99-1160</f>
        <v>-1061</v>
      </c>
      <c r="L33" s="203">
        <f>813-399</f>
        <v>414</v>
      </c>
      <c r="M33" s="203">
        <v>-125</v>
      </c>
      <c r="N33" s="203">
        <v>407</v>
      </c>
      <c r="O33" s="203">
        <f t="shared" ref="O33:O37" si="266">R33-N33</f>
        <v>1571</v>
      </c>
      <c r="P33" s="203">
        <f>2578-N33-O33</f>
        <v>600</v>
      </c>
      <c r="Q33" s="1448">
        <f t="shared" ref="Q33:Q37" si="267">S33-P33</f>
        <v>-1445</v>
      </c>
      <c r="R33" s="203">
        <v>1978</v>
      </c>
      <c r="S33" s="203">
        <f t="shared" ref="S33:S37" si="268">T33-R33</f>
        <v>-845</v>
      </c>
      <c r="T33" s="1461">
        <f>1667-534</f>
        <v>1133</v>
      </c>
      <c r="U33" s="203">
        <v>962</v>
      </c>
      <c r="V33" s="203">
        <f t="shared" ref="V33:V37" si="269">Y33-U33</f>
        <v>1442</v>
      </c>
      <c r="W33" s="203">
        <f>900-U33-V33</f>
        <v>-1504</v>
      </c>
      <c r="X33" s="1448">
        <f t="shared" ref="X33:X37" si="270">Z33-W33</f>
        <v>30</v>
      </c>
      <c r="Y33" s="203">
        <v>2404</v>
      </c>
      <c r="Z33" s="203">
        <f t="shared" ref="Z33:Z37" si="271">AA33-Y33</f>
        <v>-1474</v>
      </c>
      <c r="AA33" s="1461">
        <f>2038-1108</f>
        <v>930</v>
      </c>
      <c r="AB33" s="203">
        <v>-27</v>
      </c>
      <c r="AC33" s="203">
        <f t="shared" ref="AC33:AC37" si="272">AF33-AB33</f>
        <v>601</v>
      </c>
      <c r="AD33" s="203">
        <f>1649-AB33-AC33</f>
        <v>1075</v>
      </c>
      <c r="AE33" s="1448">
        <f t="shared" ref="AE33:AE37" si="273">AG33-AD33</f>
        <v>-657</v>
      </c>
      <c r="AF33" s="203">
        <v>574</v>
      </c>
      <c r="AG33" s="203">
        <f t="shared" ref="AG33:AG37" si="274">AH33-AF33</f>
        <v>418</v>
      </c>
      <c r="AH33" s="1461">
        <v>992</v>
      </c>
      <c r="AI33" s="203">
        <v>2479</v>
      </c>
      <c r="AJ33" s="203">
        <f t="shared" ref="AJ33:AJ37" si="275">AM33-AI33</f>
        <v>947</v>
      </c>
      <c r="AK33" s="203">
        <f>2422-AI33-AJ33</f>
        <v>-1004</v>
      </c>
      <c r="AL33" s="1448">
        <f t="shared" ref="AL33:AL37" si="276">AN33-AK33</f>
        <v>-850</v>
      </c>
      <c r="AM33" s="203">
        <v>3426</v>
      </c>
      <c r="AN33" s="203">
        <f t="shared" ref="AN33:AN37" si="277">AO33-AM33</f>
        <v>-1854</v>
      </c>
      <c r="AO33" s="1461">
        <v>1572</v>
      </c>
      <c r="AP33" s="203">
        <v>159</v>
      </c>
      <c r="AQ33" s="203">
        <f t="shared" ref="AQ33:AQ37" si="278">AT33-AP33</f>
        <v>1353</v>
      </c>
      <c r="AR33" s="203">
        <f>1549-AP33-AQ33</f>
        <v>37</v>
      </c>
      <c r="AS33" s="1448">
        <f t="shared" ref="AS33:AS37" si="279">AU33-AR33</f>
        <v>-265</v>
      </c>
      <c r="AT33" s="203">
        <v>1512</v>
      </c>
      <c r="AU33" s="203">
        <f t="shared" ref="AU33:AU37" si="280">AV33-AT33</f>
        <v>-228</v>
      </c>
      <c r="AV33" s="1461">
        <f>1703-419</f>
        <v>1284</v>
      </c>
      <c r="AW33" s="203">
        <v>159</v>
      </c>
      <c r="AX33" s="203">
        <f t="shared" ref="AX33:AX37" si="281">BA33-AW33</f>
        <v>1353</v>
      </c>
      <c r="AY33" s="203">
        <f>1549-AW33-AX33</f>
        <v>37</v>
      </c>
      <c r="AZ33" s="1448">
        <f t="shared" ref="AZ33:AZ37" si="282">BB33-AY33</f>
        <v>-265</v>
      </c>
      <c r="BA33" s="203">
        <v>1512</v>
      </c>
      <c r="BB33" s="203">
        <f t="shared" ref="BB33:BB37" si="283">BC33-BA33</f>
        <v>-228</v>
      </c>
      <c r="BC33" s="1461">
        <f>1703-419</f>
        <v>1284</v>
      </c>
      <c r="BD33" s="203">
        <v>156</v>
      </c>
      <c r="BE33" s="203">
        <f t="shared" ref="BE33:BE37" si="284">BH33-BD33</f>
        <v>-1736</v>
      </c>
      <c r="BF33" s="203">
        <f>-35-BD33-BE33</f>
        <v>1545</v>
      </c>
      <c r="BG33" s="1448">
        <f t="shared" ref="BG33:BG37" si="285">BI33-BF33</f>
        <v>-2273</v>
      </c>
      <c r="BH33" s="203">
        <v>-1580</v>
      </c>
      <c r="BI33" s="203">
        <f t="shared" ref="BI33:BI37" si="286">BJ33-BH33</f>
        <v>-728</v>
      </c>
      <c r="BJ33" s="1461">
        <f>103-2411</f>
        <v>-2308</v>
      </c>
      <c r="BK33" s="203">
        <v>448</v>
      </c>
      <c r="BL33" s="203">
        <f t="shared" ref="BL33:BL37" si="287">BO33-BK33</f>
        <v>196</v>
      </c>
      <c r="BM33" s="203">
        <f>1243-BK33-BL33</f>
        <v>599</v>
      </c>
      <c r="BN33" s="1448">
        <f t="shared" ref="BN33:BN37" si="288">BP33-BM33</f>
        <v>-1403</v>
      </c>
      <c r="BO33" s="203">
        <v>644</v>
      </c>
      <c r="BP33" s="203">
        <f t="shared" ref="BP33:BP37" si="289">BQ33-BO33</f>
        <v>-804</v>
      </c>
      <c r="BQ33" s="1461">
        <f>402-562</f>
        <v>-160</v>
      </c>
      <c r="BR33" s="203">
        <v>4254</v>
      </c>
      <c r="BS33" s="203">
        <f t="shared" ref="BS33:BS37" si="290">BV33-BR33</f>
        <v>3346</v>
      </c>
      <c r="BT33" s="203">
        <f>7992-BR33-BS33</f>
        <v>392</v>
      </c>
      <c r="BU33" s="1448">
        <f t="shared" ref="BU33:BU37" si="291">BW33-BT33</f>
        <v>-1335</v>
      </c>
      <c r="BV33" s="203">
        <v>7600</v>
      </c>
      <c r="BW33" s="203">
        <f t="shared" ref="BW33:BW37" si="292">BX33-BV33</f>
        <v>-943</v>
      </c>
      <c r="BX33" s="1461">
        <f>7102-445</f>
        <v>6657</v>
      </c>
      <c r="BY33" s="203">
        <v>-341</v>
      </c>
      <c r="BZ33" s="203">
        <f t="shared" ref="BZ33:BZ37" si="293">CC33-BY33</f>
        <v>-1869</v>
      </c>
      <c r="CA33" s="203">
        <f>-2380-BY33-BZ33</f>
        <v>-170</v>
      </c>
      <c r="CB33" s="1448">
        <f t="shared" ref="CB33:CB37" si="294">CD33-CA33</f>
        <v>85</v>
      </c>
      <c r="CC33" s="203">
        <v>-2210</v>
      </c>
      <c r="CD33" s="203">
        <f t="shared" ref="CD33:CD37" si="295">CE33-CC33</f>
        <v>-85</v>
      </c>
      <c r="CE33" s="1461">
        <v>-2295</v>
      </c>
      <c r="CF33" s="203">
        <v>28</v>
      </c>
      <c r="CG33" s="203">
        <f t="shared" ref="CG33:CG37" si="296">CJ33-CF33</f>
        <v>-1268</v>
      </c>
      <c r="CH33" s="203">
        <f>-1252-CF33-CG33</f>
        <v>-12</v>
      </c>
      <c r="CI33" s="1448">
        <f t="shared" ref="CI33:CI37" si="297">CK33-CH33</f>
        <v>75</v>
      </c>
      <c r="CJ33" s="203">
        <v>-1240</v>
      </c>
      <c r="CK33" s="203">
        <f t="shared" ref="CK33:CK37" si="298">CL33-CJ33</f>
        <v>63</v>
      </c>
      <c r="CL33" s="1461">
        <f>171-1348</f>
        <v>-1177</v>
      </c>
      <c r="CM33" s="203">
        <v>-153</v>
      </c>
      <c r="CN33" s="203">
        <f t="shared" ref="CN33:CN37" si="299">CQ33-CM33</f>
        <v>-195</v>
      </c>
      <c r="CO33" s="203">
        <f>-309-CM33-CN33</f>
        <v>39</v>
      </c>
      <c r="CP33" s="1448">
        <f t="shared" ref="CP33:CP37" si="300">CR33-CO33</f>
        <v>504</v>
      </c>
      <c r="CQ33" s="203">
        <v>-348</v>
      </c>
      <c r="CR33" s="203">
        <f t="shared" ref="CR33:CR37" si="301">CS33-CQ33</f>
        <v>543</v>
      </c>
      <c r="CS33" s="1461">
        <f>247-52</f>
        <v>195</v>
      </c>
      <c r="CT33" s="203">
        <v>-66</v>
      </c>
      <c r="CU33" s="203">
        <f t="shared" ref="CU33:CU37" si="302">CX33-CT33</f>
        <v>-884</v>
      </c>
      <c r="CV33" s="203">
        <f>-1023-CT33-CU33</f>
        <v>-73</v>
      </c>
      <c r="CW33" s="1448">
        <f t="shared" ref="CW33:CW37" si="303">CY33-CV33</f>
        <v>591</v>
      </c>
      <c r="CX33" s="203">
        <v>-950</v>
      </c>
      <c r="CY33" s="203">
        <f t="shared" ref="CY33:CY37" si="304">CZ33-CX33</f>
        <v>518</v>
      </c>
      <c r="CZ33" s="1461">
        <f>851-1283</f>
        <v>-432</v>
      </c>
      <c r="DA33" s="203">
        <v>-41</v>
      </c>
      <c r="DB33" s="203">
        <f>DE33-DA33</f>
        <v>-970</v>
      </c>
      <c r="DC33" s="203">
        <f>-117+0</f>
        <v>-117</v>
      </c>
      <c r="DD33" s="1448">
        <f t="shared" ref="DD33:DD37" si="305">DF33-DC33</f>
        <v>514</v>
      </c>
      <c r="DE33" s="2091">
        <v>-1011</v>
      </c>
      <c r="DF33" s="203">
        <f t="shared" ref="DF33:DF37" si="306">DG33-DE33</f>
        <v>397</v>
      </c>
      <c r="DG33" s="1269">
        <f>244-858</f>
        <v>-614</v>
      </c>
      <c r="DH33" s="203">
        <v>227</v>
      </c>
      <c r="DI33" s="2013">
        <f>DL33-DH33</f>
        <v>-519</v>
      </c>
      <c r="DJ33" s="860">
        <f>(BS!DJ28+BS!DJ38)-(BS!DI28+BS!DI38)</f>
        <v>0</v>
      </c>
      <c r="DK33" s="1557">
        <f>DM33-DJ33</f>
        <v>292</v>
      </c>
      <c r="DL33" s="1892">
        <v>-292</v>
      </c>
      <c r="DM33" s="1422">
        <f t="shared" ref="DM33:DM37" si="307">DN33-DL33</f>
        <v>292</v>
      </c>
      <c r="DN33" s="1119">
        <f>(BS!DN28+BS!DN38)-(BS!DG28+BS!DG38)</f>
        <v>0</v>
      </c>
      <c r="DO33" s="860">
        <f>(BS!DO28+BS!DO38)-(BS!DN28+BS!DN38)</f>
        <v>0</v>
      </c>
      <c r="DP33" s="1422">
        <f t="shared" ref="DP33:DP37" si="308">DS33-DO33</f>
        <v>0</v>
      </c>
      <c r="DQ33" s="860">
        <f>(BS!DQ28+BS!DQ38)-(BS!DP28+BS!DP38)</f>
        <v>0</v>
      </c>
      <c r="DR33" s="1557">
        <f>DT33-DQ33</f>
        <v>0</v>
      </c>
      <c r="DS33" s="860">
        <f>(BS!DS28+BS!DS38)-(BS!DN28+BS!DN38)</f>
        <v>0</v>
      </c>
      <c r="DT33" s="1422">
        <f t="shared" ref="DT33:DT37" si="309">DU33-DS33</f>
        <v>0</v>
      </c>
      <c r="DU33" s="1119">
        <f>(BS!DU28+BS!DU38)-(BS!DN28+BS!DN38)</f>
        <v>0</v>
      </c>
      <c r="DV33" s="860">
        <f>(BS!DV28+BS!DV38)-(BS!DU28+BS!DU38)</f>
        <v>0</v>
      </c>
      <c r="DW33" s="1422">
        <f t="shared" ref="DW33:DW37" si="310">DZ33-DV33</f>
        <v>0</v>
      </c>
      <c r="DX33" s="860">
        <f>(BS!DX28+BS!DX38)-(BS!DW28+BS!DW38)</f>
        <v>0</v>
      </c>
      <c r="DY33" s="1557">
        <f>EA33-DX33</f>
        <v>0</v>
      </c>
      <c r="DZ33" s="860">
        <f>(BS!DZ28+BS!DZ38)-(BS!DU28+BS!DU38)</f>
        <v>0</v>
      </c>
      <c r="EA33" s="1422">
        <f t="shared" ref="EA33:EA37" si="311">EB33-DZ33</f>
        <v>0</v>
      </c>
      <c r="EB33" s="1119">
        <f>(BS!EB28+BS!EB38)-(BS!DU28+BS!DU38)</f>
        <v>0</v>
      </c>
      <c r="EC33" s="860">
        <f>(BS!EC28+BS!EC38)-(BS!EB28+BS!EB38)</f>
        <v>0</v>
      </c>
      <c r="ED33" s="1422">
        <f t="shared" ref="ED33:ED37" si="312">EG33-EC33</f>
        <v>0</v>
      </c>
      <c r="EE33" s="860">
        <f>(BS!EE28+BS!EE38)-(BS!ED28+BS!ED38)</f>
        <v>0</v>
      </c>
      <c r="EF33" s="1557">
        <f>EH33-EE33</f>
        <v>0</v>
      </c>
      <c r="EG33" s="860">
        <f>(BS!EG28+BS!EG38)-(BS!EB28+BS!EB38)</f>
        <v>0</v>
      </c>
      <c r="EH33" s="1422">
        <f t="shared" ref="EH33:EH37" si="313">EI33-EG33</f>
        <v>0</v>
      </c>
      <c r="EI33" s="1119">
        <f>(BS!EI28+BS!EI38)-(BS!EB28+BS!EB38)</f>
        <v>0</v>
      </c>
      <c r="EJ33" s="860">
        <f>(BS!EJ28+BS!EJ38)-(BS!EI28+BS!EI38)</f>
        <v>0</v>
      </c>
      <c r="EK33" s="1422">
        <f t="shared" ref="EK33:EK37" si="314">EN33-EJ33</f>
        <v>0</v>
      </c>
      <c r="EL33" s="860">
        <f>(BS!EL28+BS!EL38)-(BS!EK28+BS!EK38)</f>
        <v>0</v>
      </c>
      <c r="EM33" s="1557">
        <f>EO33-EL33</f>
        <v>0</v>
      </c>
      <c r="EN33" s="860">
        <f>(BS!EN28+BS!EN38)-(BS!EI28+BS!EI38)</f>
        <v>0</v>
      </c>
      <c r="EO33" s="1422">
        <f t="shared" ref="EO33:EO37" si="315">EP33-EN33</f>
        <v>0</v>
      </c>
      <c r="EP33" s="1119">
        <f>(BS!EP28+BS!EP38)-(BS!EI28+BS!EI38)</f>
        <v>0</v>
      </c>
      <c r="EQ33" s="303"/>
      <c r="ER33" s="46"/>
    </row>
    <row r="34" spans="1:148" ht="10.199999999999999" customHeight="1">
      <c r="A34" s="43" t="s">
        <v>809</v>
      </c>
      <c r="B34" s="108"/>
      <c r="C34" s="203">
        <v>-403</v>
      </c>
      <c r="D34" s="203">
        <v>-240</v>
      </c>
      <c r="E34" s="235">
        <v>-320</v>
      </c>
      <c r="F34" s="235">
        <v>-396</v>
      </c>
      <c r="G34" s="203">
        <v>-520</v>
      </c>
      <c r="H34" s="203">
        <v>-97</v>
      </c>
      <c r="I34" s="203">
        <v>-97</v>
      </c>
      <c r="J34" s="203">
        <v>-162</v>
      </c>
      <c r="K34" s="203">
        <v>0</v>
      </c>
      <c r="L34" s="203">
        <v>-178</v>
      </c>
      <c r="M34" s="203">
        <v>-369</v>
      </c>
      <c r="N34" s="203">
        <v>0</v>
      </c>
      <c r="O34" s="203">
        <f t="shared" si="266"/>
        <v>-467</v>
      </c>
      <c r="P34" s="203">
        <f>-467-N34-O34</f>
        <v>0</v>
      </c>
      <c r="Q34" s="1448">
        <f t="shared" si="267"/>
        <v>0</v>
      </c>
      <c r="R34" s="203">
        <v>-467</v>
      </c>
      <c r="S34" s="203">
        <f t="shared" si="268"/>
        <v>0</v>
      </c>
      <c r="T34" s="1461">
        <v>-467</v>
      </c>
      <c r="U34" s="203">
        <v>0</v>
      </c>
      <c r="V34" s="203">
        <f t="shared" si="269"/>
        <v>-587</v>
      </c>
      <c r="W34" s="203">
        <f>-587-U34-V34</f>
        <v>0</v>
      </c>
      <c r="X34" s="1448">
        <f t="shared" si="270"/>
        <v>0</v>
      </c>
      <c r="Y34" s="203">
        <v>-587</v>
      </c>
      <c r="Z34" s="203">
        <f t="shared" si="271"/>
        <v>0</v>
      </c>
      <c r="AA34" s="1461">
        <v>-587</v>
      </c>
      <c r="AB34" s="203">
        <v>0</v>
      </c>
      <c r="AC34" s="203">
        <f t="shared" si="272"/>
        <v>-945</v>
      </c>
      <c r="AD34" s="203">
        <f>-945-AB34-AC34</f>
        <v>0</v>
      </c>
      <c r="AE34" s="1448">
        <f t="shared" si="273"/>
        <v>0</v>
      </c>
      <c r="AF34" s="203">
        <v>-945</v>
      </c>
      <c r="AG34" s="203">
        <f t="shared" si="274"/>
        <v>0</v>
      </c>
      <c r="AH34" s="1461">
        <v>-945</v>
      </c>
      <c r="AI34" s="203">
        <v>0</v>
      </c>
      <c r="AJ34" s="203">
        <f t="shared" si="275"/>
        <v>-1008</v>
      </c>
      <c r="AK34" s="203">
        <f>-1008-AI34-AJ34</f>
        <v>0</v>
      </c>
      <c r="AL34" s="1448">
        <f t="shared" si="276"/>
        <v>0</v>
      </c>
      <c r="AM34" s="203">
        <v>-1008</v>
      </c>
      <c r="AN34" s="203">
        <f t="shared" si="277"/>
        <v>0</v>
      </c>
      <c r="AO34" s="1461">
        <v>-1008</v>
      </c>
      <c r="AP34" s="203">
        <v>0</v>
      </c>
      <c r="AQ34" s="203">
        <f t="shared" si="278"/>
        <v>-1043</v>
      </c>
      <c r="AR34" s="203">
        <f>-1043-AP34-AQ34</f>
        <v>0</v>
      </c>
      <c r="AS34" s="1448">
        <f t="shared" si="279"/>
        <v>0</v>
      </c>
      <c r="AT34" s="203">
        <v>-1043</v>
      </c>
      <c r="AU34" s="203">
        <f t="shared" si="280"/>
        <v>0</v>
      </c>
      <c r="AV34" s="1461">
        <v>-1043</v>
      </c>
      <c r="AW34" s="203">
        <v>0</v>
      </c>
      <c r="AX34" s="203">
        <f t="shared" si="281"/>
        <v>-1043</v>
      </c>
      <c r="AY34" s="203">
        <f>-1043-AW34-AX34</f>
        <v>0</v>
      </c>
      <c r="AZ34" s="1448">
        <f t="shared" si="282"/>
        <v>0</v>
      </c>
      <c r="BA34" s="203">
        <v>-1043</v>
      </c>
      <c r="BB34" s="203">
        <f t="shared" si="283"/>
        <v>0</v>
      </c>
      <c r="BC34" s="1461">
        <f>-1043</f>
        <v>-1043</v>
      </c>
      <c r="BD34" s="203">
        <v>0</v>
      </c>
      <c r="BE34" s="203">
        <f t="shared" si="284"/>
        <v>-1161</v>
      </c>
      <c r="BF34" s="203">
        <f>-1161-BD34-BE34</f>
        <v>0</v>
      </c>
      <c r="BG34" s="1448">
        <f t="shared" si="285"/>
        <v>0</v>
      </c>
      <c r="BH34" s="203">
        <v>-1161</v>
      </c>
      <c r="BI34" s="203">
        <f t="shared" si="286"/>
        <v>0</v>
      </c>
      <c r="BJ34" s="1461">
        <v>-1161</v>
      </c>
      <c r="BK34" s="203">
        <v>0</v>
      </c>
      <c r="BL34" s="203">
        <f t="shared" si="287"/>
        <v>-1280</v>
      </c>
      <c r="BM34" s="203">
        <f>-1280-BK34-BL34</f>
        <v>0</v>
      </c>
      <c r="BN34" s="1448">
        <f t="shared" si="288"/>
        <v>0</v>
      </c>
      <c r="BO34" s="203">
        <v>-1280</v>
      </c>
      <c r="BP34" s="203">
        <f t="shared" si="289"/>
        <v>0</v>
      </c>
      <c r="BQ34" s="1461">
        <v>-1280</v>
      </c>
      <c r="BR34" s="203">
        <v>0</v>
      </c>
      <c r="BS34" s="203">
        <f t="shared" si="290"/>
        <v>0</v>
      </c>
      <c r="BT34" s="203">
        <f>0-BR34-BS34</f>
        <v>0</v>
      </c>
      <c r="BU34" s="1448">
        <f t="shared" si="291"/>
        <v>0</v>
      </c>
      <c r="BV34" s="203">
        <v>0</v>
      </c>
      <c r="BW34" s="203">
        <f t="shared" si="292"/>
        <v>0</v>
      </c>
      <c r="BX34" s="1461">
        <v>0</v>
      </c>
      <c r="BY34" s="203">
        <v>0</v>
      </c>
      <c r="BZ34" s="203">
        <f t="shared" si="293"/>
        <v>0</v>
      </c>
      <c r="CA34" s="203">
        <f>0-BY34-BZ34</f>
        <v>0</v>
      </c>
      <c r="CB34" s="1448">
        <f t="shared" si="294"/>
        <v>0</v>
      </c>
      <c r="CC34" s="203">
        <v>0</v>
      </c>
      <c r="CD34" s="203">
        <f t="shared" si="295"/>
        <v>0</v>
      </c>
      <c r="CE34" s="1461">
        <v>0</v>
      </c>
      <c r="CF34" s="203">
        <v>0</v>
      </c>
      <c r="CG34" s="203">
        <f t="shared" si="296"/>
        <v>-1181</v>
      </c>
      <c r="CH34" s="203">
        <f>-1181-CF34-CG34</f>
        <v>0</v>
      </c>
      <c r="CI34" s="1448">
        <f t="shared" si="297"/>
        <v>0</v>
      </c>
      <c r="CJ34" s="203">
        <v>-1181</v>
      </c>
      <c r="CK34" s="203">
        <f t="shared" si="298"/>
        <v>0</v>
      </c>
      <c r="CL34" s="1461">
        <v>-1181</v>
      </c>
      <c r="CM34" s="203">
        <v>0</v>
      </c>
      <c r="CN34" s="203">
        <f t="shared" si="299"/>
        <v>-1421</v>
      </c>
      <c r="CO34" s="203">
        <f>-1421-CM34-CN34</f>
        <v>0</v>
      </c>
      <c r="CP34" s="1448">
        <f t="shared" si="300"/>
        <v>0</v>
      </c>
      <c r="CQ34" s="203">
        <v>-1421</v>
      </c>
      <c r="CR34" s="203">
        <f t="shared" si="301"/>
        <v>0</v>
      </c>
      <c r="CS34" s="1461">
        <v>-1421</v>
      </c>
      <c r="CT34" s="203">
        <v>0</v>
      </c>
      <c r="CU34" s="203">
        <f t="shared" si="302"/>
        <v>-2215</v>
      </c>
      <c r="CV34" s="203">
        <f>-2215-CT34-CU34</f>
        <v>0</v>
      </c>
      <c r="CW34" s="1448">
        <f t="shared" si="303"/>
        <v>0</v>
      </c>
      <c r="CX34" s="203">
        <v>-2215</v>
      </c>
      <c r="CY34" s="203">
        <f t="shared" si="304"/>
        <v>0</v>
      </c>
      <c r="CZ34" s="1461">
        <v>-2215</v>
      </c>
      <c r="DA34" s="203">
        <v>0</v>
      </c>
      <c r="DB34" s="203">
        <f>DE34-DA34</f>
        <v>-2290</v>
      </c>
      <c r="DC34" s="203">
        <v>-82</v>
      </c>
      <c r="DD34" s="1448">
        <f t="shared" si="305"/>
        <v>0</v>
      </c>
      <c r="DE34" s="2081">
        <v>-2290</v>
      </c>
      <c r="DF34" s="203">
        <f t="shared" si="306"/>
        <v>-82</v>
      </c>
      <c r="DG34" s="1857">
        <v>-2372</v>
      </c>
      <c r="DH34" s="203">
        <v>0</v>
      </c>
      <c r="DI34" s="2013">
        <f>DL34-DH34</f>
        <v>-2530</v>
      </c>
      <c r="DJ34" s="853">
        <v>0</v>
      </c>
      <c r="DK34" s="1557">
        <f t="shared" ref="DK34:DK37" si="316">DM34-DJ34</f>
        <v>-485.40785376744179</v>
      </c>
      <c r="DL34" s="1892">
        <v>-2530</v>
      </c>
      <c r="DM34" s="1422">
        <f t="shared" si="307"/>
        <v>-485.40785376744179</v>
      </c>
      <c r="DN34" s="1119">
        <f>-BS!DN260+IS!DN75</f>
        <v>-3015.4078537674418</v>
      </c>
      <c r="DO34" s="853">
        <v>0</v>
      </c>
      <c r="DP34" s="1422">
        <f t="shared" si="308"/>
        <v>-3896.7181767715533</v>
      </c>
      <c r="DQ34" s="853">
        <v>0</v>
      </c>
      <c r="DR34" s="1557">
        <f t="shared" ref="DR34:DR37" si="317">DT34-DQ34</f>
        <v>0</v>
      </c>
      <c r="DS34" s="860">
        <f>DU34</f>
        <v>-3896.7181767715533</v>
      </c>
      <c r="DT34" s="1422">
        <f t="shared" si="309"/>
        <v>0</v>
      </c>
      <c r="DU34" s="1119">
        <f>-BS!DU260+IS!DU75</f>
        <v>-3896.7181767715533</v>
      </c>
      <c r="DV34" s="853">
        <v>0</v>
      </c>
      <c r="DW34" s="1422">
        <f t="shared" si="310"/>
        <v>-4388.2506598336122</v>
      </c>
      <c r="DX34" s="853">
        <v>0</v>
      </c>
      <c r="DY34" s="1557">
        <f t="shared" ref="DY34:DY37" si="318">EA34-DX34</f>
        <v>0</v>
      </c>
      <c r="DZ34" s="860">
        <f>EB34</f>
        <v>-4388.2506598336122</v>
      </c>
      <c r="EA34" s="1422">
        <f t="shared" si="311"/>
        <v>0</v>
      </c>
      <c r="EB34" s="1119">
        <f>-BS!EB260+IS!EB75</f>
        <v>-4388.2506598336122</v>
      </c>
      <c r="EC34" s="853">
        <v>0</v>
      </c>
      <c r="ED34" s="1422">
        <f t="shared" si="312"/>
        <v>-5092.5026944090851</v>
      </c>
      <c r="EE34" s="853">
        <v>0</v>
      </c>
      <c r="EF34" s="1557">
        <f t="shared" ref="EF34:EF37" si="319">EH34-EE34</f>
        <v>0</v>
      </c>
      <c r="EG34" s="860">
        <f>EI34</f>
        <v>-5092.5026944090851</v>
      </c>
      <c r="EH34" s="1422">
        <f t="shared" si="313"/>
        <v>0</v>
      </c>
      <c r="EI34" s="1119">
        <f>-BS!EI260+IS!EI75</f>
        <v>-5092.5026944090851</v>
      </c>
      <c r="EJ34" s="853">
        <v>0</v>
      </c>
      <c r="EK34" s="1422">
        <f t="shared" si="314"/>
        <v>-3933.7160699872757</v>
      </c>
      <c r="EL34" s="853">
        <v>0</v>
      </c>
      <c r="EM34" s="1557">
        <f t="shared" ref="EM34:EM37" si="320">EO34-EL34</f>
        <v>0</v>
      </c>
      <c r="EN34" s="860">
        <f>EP34</f>
        <v>-3933.7160699872757</v>
      </c>
      <c r="EO34" s="1422">
        <f t="shared" si="315"/>
        <v>0</v>
      </c>
      <c r="EP34" s="1119">
        <f>-BS!EP260+IS!EP75</f>
        <v>-3933.7160699872757</v>
      </c>
      <c r="EQ34" s="2071">
        <f>-(DN34+DU34+EB34+EI34)/EQ60</f>
        <v>0.5373456129058064</v>
      </c>
      <c r="ER34" s="46"/>
    </row>
    <row r="35" spans="1:148" ht="10.199999999999999" customHeight="1">
      <c r="A35" s="43" t="s">
        <v>125</v>
      </c>
      <c r="B35" s="108"/>
      <c r="C35" s="203">
        <v>-127</v>
      </c>
      <c r="D35" s="203">
        <v>-38</v>
      </c>
      <c r="E35" s="235">
        <v>-64</v>
      </c>
      <c r="F35" s="235">
        <v>-93</v>
      </c>
      <c r="G35" s="203">
        <f>-16-2879</f>
        <v>-2895</v>
      </c>
      <c r="H35" s="203">
        <v>-1</v>
      </c>
      <c r="I35" s="203">
        <v>-10</v>
      </c>
      <c r="J35" s="203">
        <v>-4</v>
      </c>
      <c r="K35" s="203">
        <v>-7</v>
      </c>
      <c r="L35" s="203">
        <v>-5</v>
      </c>
      <c r="M35" s="203">
        <v>-10</v>
      </c>
      <c r="N35" s="203">
        <v>0</v>
      </c>
      <c r="O35" s="203">
        <f t="shared" si="266"/>
        <v>-1</v>
      </c>
      <c r="P35" s="203">
        <f>-1-N35-O35</f>
        <v>0</v>
      </c>
      <c r="Q35" s="1448">
        <f t="shared" si="267"/>
        <v>-1</v>
      </c>
      <c r="R35" s="203">
        <v>-1</v>
      </c>
      <c r="S35" s="203">
        <f t="shared" si="268"/>
        <v>-1</v>
      </c>
      <c r="T35" s="1461">
        <v>-2</v>
      </c>
      <c r="U35" s="203">
        <v>0</v>
      </c>
      <c r="V35" s="203">
        <f t="shared" si="269"/>
        <v>-1</v>
      </c>
      <c r="W35" s="203">
        <f>-1-U35-V35</f>
        <v>0</v>
      </c>
      <c r="X35" s="1448">
        <f t="shared" si="270"/>
        <v>-1</v>
      </c>
      <c r="Y35" s="203">
        <v>-1</v>
      </c>
      <c r="Z35" s="203">
        <f t="shared" si="271"/>
        <v>-1</v>
      </c>
      <c r="AA35" s="1461">
        <v>-2</v>
      </c>
      <c r="AB35" s="203">
        <v>0</v>
      </c>
      <c r="AC35" s="203">
        <f t="shared" si="272"/>
        <v>0</v>
      </c>
      <c r="AD35" s="203">
        <f>-2-AB35-AC35</f>
        <v>-2</v>
      </c>
      <c r="AE35" s="1448">
        <f t="shared" si="273"/>
        <v>-1</v>
      </c>
      <c r="AF35" s="203">
        <v>0</v>
      </c>
      <c r="AG35" s="203">
        <f t="shared" si="274"/>
        <v>-3</v>
      </c>
      <c r="AH35" s="1461">
        <v>-3</v>
      </c>
      <c r="AI35" s="203">
        <v>0</v>
      </c>
      <c r="AJ35" s="203">
        <f t="shared" si="275"/>
        <v>-1</v>
      </c>
      <c r="AK35" s="203">
        <f>-2-AI35-AJ35</f>
        <v>-1</v>
      </c>
      <c r="AL35" s="1448">
        <f t="shared" si="276"/>
        <v>-2</v>
      </c>
      <c r="AM35" s="203">
        <v>-1</v>
      </c>
      <c r="AN35" s="203">
        <f t="shared" si="277"/>
        <v>-3</v>
      </c>
      <c r="AO35" s="1461">
        <v>-4</v>
      </c>
      <c r="AP35" s="203">
        <v>0</v>
      </c>
      <c r="AQ35" s="203">
        <f t="shared" si="278"/>
        <v>-2</v>
      </c>
      <c r="AR35" s="203">
        <f>-4-AP35-AQ35</f>
        <v>-2</v>
      </c>
      <c r="AS35" s="1448">
        <f t="shared" si="279"/>
        <v>1</v>
      </c>
      <c r="AT35" s="203">
        <v>-2</v>
      </c>
      <c r="AU35" s="203">
        <f t="shared" si="280"/>
        <v>-1</v>
      </c>
      <c r="AV35" s="1461">
        <v>-3</v>
      </c>
      <c r="AW35" s="203">
        <v>0</v>
      </c>
      <c r="AX35" s="203">
        <f t="shared" si="281"/>
        <v>-2</v>
      </c>
      <c r="AY35" s="203">
        <f>-4-AW35-AX35</f>
        <v>-2</v>
      </c>
      <c r="AZ35" s="1448">
        <f t="shared" si="282"/>
        <v>1</v>
      </c>
      <c r="BA35" s="203">
        <v>-2</v>
      </c>
      <c r="BB35" s="203">
        <f t="shared" si="283"/>
        <v>-1</v>
      </c>
      <c r="BC35" s="1461">
        <f>-3</f>
        <v>-3</v>
      </c>
      <c r="BD35" s="203">
        <v>0</v>
      </c>
      <c r="BE35" s="203">
        <f t="shared" si="284"/>
        <v>0</v>
      </c>
      <c r="BF35" s="203">
        <f>0-BD35-BE35</f>
        <v>0</v>
      </c>
      <c r="BG35" s="1448">
        <f t="shared" si="285"/>
        <v>179</v>
      </c>
      <c r="BH35" s="203">
        <v>0</v>
      </c>
      <c r="BI35" s="203">
        <f t="shared" si="286"/>
        <v>179</v>
      </c>
      <c r="BJ35" s="1461">
        <v>179</v>
      </c>
      <c r="BK35" s="203">
        <v>83</v>
      </c>
      <c r="BL35" s="203">
        <f t="shared" si="287"/>
        <v>96</v>
      </c>
      <c r="BM35" s="203">
        <f>243-BK35-BL35</f>
        <v>64</v>
      </c>
      <c r="BN35" s="1448">
        <f t="shared" si="288"/>
        <v>76</v>
      </c>
      <c r="BO35" s="203">
        <v>179</v>
      </c>
      <c r="BP35" s="203">
        <f t="shared" si="289"/>
        <v>140</v>
      </c>
      <c r="BQ35" s="1461">
        <v>319</v>
      </c>
      <c r="BR35" s="203">
        <v>81</v>
      </c>
      <c r="BS35" s="203">
        <f t="shared" si="290"/>
        <v>-3</v>
      </c>
      <c r="BT35" s="203">
        <f>85-BR35-BS35</f>
        <v>7</v>
      </c>
      <c r="BU35" s="1448">
        <f t="shared" si="291"/>
        <v>6</v>
      </c>
      <c r="BV35" s="203">
        <v>78</v>
      </c>
      <c r="BW35" s="203">
        <f t="shared" si="292"/>
        <v>13</v>
      </c>
      <c r="BX35" s="1461">
        <v>91</v>
      </c>
      <c r="BY35" s="203">
        <v>0</v>
      </c>
      <c r="BZ35" s="203">
        <f t="shared" si="293"/>
        <v>0</v>
      </c>
      <c r="CA35" s="203">
        <f>0-BY35-BZ35</f>
        <v>0</v>
      </c>
      <c r="CB35" s="1448">
        <f t="shared" si="294"/>
        <v>0</v>
      </c>
      <c r="CC35" s="203">
        <v>0</v>
      </c>
      <c r="CD35" s="203">
        <f t="shared" si="295"/>
        <v>0</v>
      </c>
      <c r="CE35" s="1461">
        <v>0</v>
      </c>
      <c r="CF35" s="203">
        <v>134</v>
      </c>
      <c r="CG35" s="203">
        <f t="shared" si="296"/>
        <v>1</v>
      </c>
      <c r="CH35" s="203">
        <f>135-CF35-CG35</f>
        <v>0</v>
      </c>
      <c r="CI35" s="1448">
        <f t="shared" si="297"/>
        <v>-1</v>
      </c>
      <c r="CJ35" s="203">
        <v>135</v>
      </c>
      <c r="CK35" s="203">
        <f t="shared" si="298"/>
        <v>-1</v>
      </c>
      <c r="CL35" s="1461">
        <f>135-1</f>
        <v>134</v>
      </c>
      <c r="CM35" s="203">
        <v>138</v>
      </c>
      <c r="CN35" s="203">
        <f t="shared" si="299"/>
        <v>0</v>
      </c>
      <c r="CO35" s="203">
        <f>138-CM35-CN35</f>
        <v>0</v>
      </c>
      <c r="CP35" s="1448">
        <f t="shared" si="300"/>
        <v>0</v>
      </c>
      <c r="CQ35" s="203">
        <v>138</v>
      </c>
      <c r="CR35" s="203">
        <f t="shared" si="301"/>
        <v>0</v>
      </c>
      <c r="CS35" s="1461">
        <v>138</v>
      </c>
      <c r="CT35" s="203">
        <v>0</v>
      </c>
      <c r="CU35" s="203">
        <f t="shared" si="302"/>
        <v>0</v>
      </c>
      <c r="CV35" s="203">
        <f>171-CT35-CU35</f>
        <v>171</v>
      </c>
      <c r="CW35" s="1448">
        <f t="shared" si="303"/>
        <v>57</v>
      </c>
      <c r="CX35" s="203">
        <v>0</v>
      </c>
      <c r="CY35" s="203">
        <f t="shared" si="304"/>
        <v>228</v>
      </c>
      <c r="CZ35" s="1461">
        <v>228</v>
      </c>
      <c r="DA35" s="203">
        <v>48</v>
      </c>
      <c r="DB35" s="203">
        <f>DE35-DA35</f>
        <v>0</v>
      </c>
      <c r="DC35" s="203">
        <v>0</v>
      </c>
      <c r="DD35" s="1448">
        <f t="shared" si="305"/>
        <v>-50</v>
      </c>
      <c r="DE35" s="2081">
        <v>48</v>
      </c>
      <c r="DF35" s="203">
        <f t="shared" si="306"/>
        <v>-50</v>
      </c>
      <c r="DG35" s="1857">
        <v>-2</v>
      </c>
      <c r="DH35" s="203">
        <v>0</v>
      </c>
      <c r="DI35" s="2013">
        <f>DL35-DH35</f>
        <v>0</v>
      </c>
      <c r="DJ35" s="853">
        <v>0</v>
      </c>
      <c r="DK35" s="1557">
        <f t="shared" si="316"/>
        <v>0</v>
      </c>
      <c r="DL35" s="1892">
        <v>0</v>
      </c>
      <c r="DM35" s="1422">
        <f t="shared" si="307"/>
        <v>0</v>
      </c>
      <c r="DN35" s="1484">
        <v>0</v>
      </c>
      <c r="DO35" s="853">
        <v>0</v>
      </c>
      <c r="DP35" s="1422">
        <f t="shared" si="308"/>
        <v>0</v>
      </c>
      <c r="DQ35" s="853">
        <v>0</v>
      </c>
      <c r="DR35" s="1557">
        <f t="shared" si="317"/>
        <v>0</v>
      </c>
      <c r="DS35" s="853">
        <v>0</v>
      </c>
      <c r="DT35" s="1422">
        <f t="shared" si="309"/>
        <v>0</v>
      </c>
      <c r="DU35" s="1484">
        <v>0</v>
      </c>
      <c r="DV35" s="853">
        <v>0</v>
      </c>
      <c r="DW35" s="1422">
        <f t="shared" si="310"/>
        <v>0</v>
      </c>
      <c r="DX35" s="853">
        <v>0</v>
      </c>
      <c r="DY35" s="1557">
        <f t="shared" si="318"/>
        <v>0</v>
      </c>
      <c r="DZ35" s="853">
        <v>0</v>
      </c>
      <c r="EA35" s="1422">
        <f t="shared" si="311"/>
        <v>0</v>
      </c>
      <c r="EB35" s="1484">
        <v>0</v>
      </c>
      <c r="EC35" s="853">
        <v>0</v>
      </c>
      <c r="ED35" s="1422">
        <f t="shared" si="312"/>
        <v>0</v>
      </c>
      <c r="EE35" s="853">
        <v>0</v>
      </c>
      <c r="EF35" s="1557">
        <f t="shared" si="319"/>
        <v>0</v>
      </c>
      <c r="EG35" s="853">
        <v>0</v>
      </c>
      <c r="EH35" s="1422">
        <f t="shared" si="313"/>
        <v>0</v>
      </c>
      <c r="EI35" s="1484">
        <v>0</v>
      </c>
      <c r="EJ35" s="853">
        <v>0</v>
      </c>
      <c r="EK35" s="1422">
        <f t="shared" si="314"/>
        <v>0</v>
      </c>
      <c r="EL35" s="853">
        <v>0</v>
      </c>
      <c r="EM35" s="1557">
        <f t="shared" si="320"/>
        <v>0</v>
      </c>
      <c r="EN35" s="853">
        <v>0</v>
      </c>
      <c r="EO35" s="1422">
        <f t="shared" si="315"/>
        <v>0</v>
      </c>
      <c r="EP35" s="1484">
        <v>0</v>
      </c>
      <c r="EQ35" s="236"/>
      <c r="ER35" s="46"/>
    </row>
    <row r="36" spans="1:148" ht="10.199999999999999" customHeight="1">
      <c r="A36" s="43" t="s">
        <v>316</v>
      </c>
      <c r="B36" s="108"/>
      <c r="C36" s="130">
        <v>16</v>
      </c>
      <c r="D36" s="130">
        <v>21</v>
      </c>
      <c r="E36" s="235">
        <v>43</v>
      </c>
      <c r="F36" s="235">
        <v>187</v>
      </c>
      <c r="G36" s="203">
        <v>94</v>
      </c>
      <c r="H36" s="203">
        <v>0</v>
      </c>
      <c r="I36" s="203">
        <v>24</v>
      </c>
      <c r="J36" s="203">
        <v>17</v>
      </c>
      <c r="K36" s="203">
        <v>-48</v>
      </c>
      <c r="L36" s="203">
        <v>-65</v>
      </c>
      <c r="M36" s="203">
        <v>144</v>
      </c>
      <c r="N36" s="203">
        <v>101</v>
      </c>
      <c r="O36" s="203">
        <f t="shared" si="266"/>
        <v>29</v>
      </c>
      <c r="P36" s="203">
        <f>219-N36-O36</f>
        <v>89</v>
      </c>
      <c r="Q36" s="1448">
        <f t="shared" si="267"/>
        <v>-48</v>
      </c>
      <c r="R36" s="203">
        <v>130</v>
      </c>
      <c r="S36" s="203">
        <f t="shared" si="268"/>
        <v>41</v>
      </c>
      <c r="T36" s="1461">
        <v>171</v>
      </c>
      <c r="U36" s="203">
        <v>16</v>
      </c>
      <c r="V36" s="203">
        <f t="shared" si="269"/>
        <v>13</v>
      </c>
      <c r="W36" s="203">
        <f>47-U36-V36</f>
        <v>18</v>
      </c>
      <c r="X36" s="1448">
        <f t="shared" si="270"/>
        <v>5</v>
      </c>
      <c r="Y36" s="203">
        <v>29</v>
      </c>
      <c r="Z36" s="203">
        <f t="shared" si="271"/>
        <v>23</v>
      </c>
      <c r="AA36" s="1461">
        <v>52</v>
      </c>
      <c r="AB36" s="203">
        <v>37</v>
      </c>
      <c r="AC36" s="203">
        <f t="shared" si="272"/>
        <v>59</v>
      </c>
      <c r="AD36" s="203">
        <f>153-AB36-AC36</f>
        <v>57</v>
      </c>
      <c r="AE36" s="1448">
        <f t="shared" si="273"/>
        <v>42</v>
      </c>
      <c r="AF36" s="203">
        <v>96</v>
      </c>
      <c r="AG36" s="203">
        <f t="shared" si="274"/>
        <v>99</v>
      </c>
      <c r="AH36" s="1461">
        <v>195</v>
      </c>
      <c r="AI36" s="203">
        <v>2</v>
      </c>
      <c r="AJ36" s="203">
        <f t="shared" si="275"/>
        <v>51</v>
      </c>
      <c r="AK36" s="203">
        <f>54-AI36-AJ36</f>
        <v>1</v>
      </c>
      <c r="AL36" s="1448">
        <f t="shared" si="276"/>
        <v>6</v>
      </c>
      <c r="AM36" s="203">
        <v>53</v>
      </c>
      <c r="AN36" s="203">
        <f t="shared" si="277"/>
        <v>7</v>
      </c>
      <c r="AO36" s="1461">
        <v>60</v>
      </c>
      <c r="AP36" s="203">
        <v>0</v>
      </c>
      <c r="AQ36" s="203">
        <f t="shared" si="278"/>
        <v>79</v>
      </c>
      <c r="AR36" s="203">
        <f>79-AP36-AQ36</f>
        <v>0</v>
      </c>
      <c r="AS36" s="1448">
        <f t="shared" si="279"/>
        <v>4</v>
      </c>
      <c r="AT36" s="203">
        <v>79</v>
      </c>
      <c r="AU36" s="203">
        <f t="shared" si="280"/>
        <v>4</v>
      </c>
      <c r="AV36" s="1461">
        <v>83</v>
      </c>
      <c r="AW36" s="203">
        <v>0</v>
      </c>
      <c r="AX36" s="203">
        <f t="shared" si="281"/>
        <v>79</v>
      </c>
      <c r="AY36" s="203">
        <f>79-AW36-AX36</f>
        <v>0</v>
      </c>
      <c r="AZ36" s="1448">
        <f t="shared" si="282"/>
        <v>4</v>
      </c>
      <c r="BA36" s="203">
        <v>79</v>
      </c>
      <c r="BB36" s="203">
        <f t="shared" si="283"/>
        <v>4</v>
      </c>
      <c r="BC36" s="1461">
        <f>83</f>
        <v>83</v>
      </c>
      <c r="BD36" s="203">
        <v>0</v>
      </c>
      <c r="BE36" s="203">
        <f t="shared" si="284"/>
        <v>112</v>
      </c>
      <c r="BF36" s="203">
        <f>112-BD36-BE36</f>
        <v>0</v>
      </c>
      <c r="BG36" s="1448">
        <f t="shared" si="285"/>
        <v>5</v>
      </c>
      <c r="BH36" s="203">
        <v>112</v>
      </c>
      <c r="BI36" s="203">
        <f t="shared" si="286"/>
        <v>5</v>
      </c>
      <c r="BJ36" s="1461">
        <v>117</v>
      </c>
      <c r="BK36" s="203">
        <v>0</v>
      </c>
      <c r="BL36" s="203">
        <f t="shared" si="287"/>
        <v>133</v>
      </c>
      <c r="BM36" s="203">
        <f>133-BK36-BL36</f>
        <v>0</v>
      </c>
      <c r="BN36" s="1448">
        <f t="shared" si="288"/>
        <v>61</v>
      </c>
      <c r="BO36" s="203">
        <v>133</v>
      </c>
      <c r="BP36" s="203">
        <f t="shared" si="289"/>
        <v>61</v>
      </c>
      <c r="BQ36" s="1461">
        <v>194</v>
      </c>
      <c r="BR36" s="203">
        <v>0</v>
      </c>
      <c r="BS36" s="203">
        <f t="shared" si="290"/>
        <v>83</v>
      </c>
      <c r="BT36" s="203">
        <f>83-BR36-BS36</f>
        <v>0</v>
      </c>
      <c r="BU36" s="1448">
        <f t="shared" si="291"/>
        <v>6</v>
      </c>
      <c r="BV36" s="203">
        <v>83</v>
      </c>
      <c r="BW36" s="203">
        <f t="shared" si="292"/>
        <v>6</v>
      </c>
      <c r="BX36" s="1461">
        <v>89</v>
      </c>
      <c r="BY36" s="203">
        <v>133</v>
      </c>
      <c r="BZ36" s="203">
        <f t="shared" si="293"/>
        <v>0</v>
      </c>
      <c r="CA36" s="203">
        <f>133-BY36-BZ36</f>
        <v>0</v>
      </c>
      <c r="CB36" s="1448">
        <f t="shared" si="294"/>
        <v>5</v>
      </c>
      <c r="CC36" s="203">
        <v>133</v>
      </c>
      <c r="CD36" s="203">
        <f t="shared" si="295"/>
        <v>5</v>
      </c>
      <c r="CE36" s="1461">
        <v>138</v>
      </c>
      <c r="CF36" s="203">
        <v>139</v>
      </c>
      <c r="CG36" s="203">
        <f t="shared" si="296"/>
        <v>1</v>
      </c>
      <c r="CH36" s="203">
        <f>140-CF36-CG36</f>
        <v>0</v>
      </c>
      <c r="CI36" s="1448">
        <f t="shared" si="297"/>
        <v>5</v>
      </c>
      <c r="CJ36" s="203">
        <v>140</v>
      </c>
      <c r="CK36" s="203">
        <f t="shared" si="298"/>
        <v>5</v>
      </c>
      <c r="CL36" s="1461">
        <v>145</v>
      </c>
      <c r="CM36" s="203">
        <v>140</v>
      </c>
      <c r="CN36" s="203">
        <f t="shared" si="299"/>
        <v>0</v>
      </c>
      <c r="CO36" s="203">
        <f>140-CM36-CN36</f>
        <v>0</v>
      </c>
      <c r="CP36" s="1448">
        <f t="shared" si="300"/>
        <v>6</v>
      </c>
      <c r="CQ36" s="203">
        <v>140</v>
      </c>
      <c r="CR36" s="203">
        <f t="shared" si="301"/>
        <v>6</v>
      </c>
      <c r="CS36" s="1461">
        <v>146</v>
      </c>
      <c r="CT36" s="203">
        <v>1</v>
      </c>
      <c r="CU36" s="203">
        <f t="shared" si="302"/>
        <v>117</v>
      </c>
      <c r="CV36" s="203">
        <f>128-CT36-CU36</f>
        <v>10</v>
      </c>
      <c r="CW36" s="1448">
        <f t="shared" si="303"/>
        <v>-3</v>
      </c>
      <c r="CX36" s="203">
        <v>118</v>
      </c>
      <c r="CY36" s="203">
        <f t="shared" si="304"/>
        <v>7</v>
      </c>
      <c r="CZ36" s="1461">
        <f>126-1</f>
        <v>125</v>
      </c>
      <c r="DA36" s="203">
        <v>19</v>
      </c>
      <c r="DB36" s="203">
        <f>DE36-DA36</f>
        <v>2</v>
      </c>
      <c r="DC36" s="203">
        <f>4+-1</f>
        <v>3</v>
      </c>
      <c r="DD36" s="1448">
        <f t="shared" si="305"/>
        <v>58</v>
      </c>
      <c r="DE36" s="2091">
        <v>21</v>
      </c>
      <c r="DF36" s="203">
        <f t="shared" si="306"/>
        <v>61</v>
      </c>
      <c r="DG36" s="1269">
        <v>82</v>
      </c>
      <c r="DH36" s="203">
        <v>1</v>
      </c>
      <c r="DI36" s="2013">
        <f>DL36-DH36</f>
        <v>0</v>
      </c>
      <c r="DJ36" s="853">
        <v>0</v>
      </c>
      <c r="DK36" s="1557">
        <f t="shared" si="316"/>
        <v>24</v>
      </c>
      <c r="DL36" s="1892">
        <v>1</v>
      </c>
      <c r="DM36" s="1422">
        <f t="shared" si="307"/>
        <v>24</v>
      </c>
      <c r="DN36" s="1484">
        <v>25</v>
      </c>
      <c r="DO36" s="853">
        <v>0</v>
      </c>
      <c r="DP36" s="1422">
        <f t="shared" si="308"/>
        <v>0</v>
      </c>
      <c r="DQ36" s="853">
        <v>0</v>
      </c>
      <c r="DR36" s="1557">
        <f t="shared" si="317"/>
        <v>25</v>
      </c>
      <c r="DS36" s="853">
        <v>0</v>
      </c>
      <c r="DT36" s="1422">
        <f t="shared" si="309"/>
        <v>25</v>
      </c>
      <c r="DU36" s="1119">
        <f>DN36</f>
        <v>25</v>
      </c>
      <c r="DV36" s="853">
        <v>0</v>
      </c>
      <c r="DW36" s="1422">
        <f t="shared" si="310"/>
        <v>0</v>
      </c>
      <c r="DX36" s="853">
        <v>0</v>
      </c>
      <c r="DY36" s="1557">
        <f t="shared" si="318"/>
        <v>25</v>
      </c>
      <c r="DZ36" s="853">
        <v>0</v>
      </c>
      <c r="EA36" s="1422">
        <f t="shared" si="311"/>
        <v>25</v>
      </c>
      <c r="EB36" s="1119">
        <f>DU36</f>
        <v>25</v>
      </c>
      <c r="EC36" s="853">
        <v>0</v>
      </c>
      <c r="ED36" s="1422">
        <f t="shared" si="312"/>
        <v>0</v>
      </c>
      <c r="EE36" s="853">
        <v>0</v>
      </c>
      <c r="EF36" s="1557">
        <f t="shared" si="319"/>
        <v>25</v>
      </c>
      <c r="EG36" s="853">
        <v>0</v>
      </c>
      <c r="EH36" s="1422">
        <f t="shared" si="313"/>
        <v>25</v>
      </c>
      <c r="EI36" s="1119">
        <f>EB36</f>
        <v>25</v>
      </c>
      <c r="EJ36" s="853">
        <v>0</v>
      </c>
      <c r="EK36" s="1422">
        <f t="shared" si="314"/>
        <v>0</v>
      </c>
      <c r="EL36" s="853">
        <v>0</v>
      </c>
      <c r="EM36" s="1557">
        <f t="shared" si="320"/>
        <v>25</v>
      </c>
      <c r="EN36" s="853">
        <v>0</v>
      </c>
      <c r="EO36" s="1422">
        <f t="shared" si="315"/>
        <v>25</v>
      </c>
      <c r="EP36" s="1119">
        <f>EI36</f>
        <v>25</v>
      </c>
      <c r="EQ36" s="236"/>
      <c r="ER36" s="46"/>
    </row>
    <row r="37" spans="1:148" ht="10.199999999999999" customHeight="1">
      <c r="A37" s="43" t="s">
        <v>317</v>
      </c>
      <c r="B37" s="108"/>
      <c r="C37" s="203">
        <f>-156-3</f>
        <v>-159</v>
      </c>
      <c r="D37" s="203">
        <f>-31+8</f>
        <v>-23</v>
      </c>
      <c r="E37" s="235">
        <v>-81</v>
      </c>
      <c r="F37" s="203">
        <v>-288</v>
      </c>
      <c r="G37" s="203">
        <v>-35</v>
      </c>
      <c r="H37" s="203">
        <v>46</v>
      </c>
      <c r="I37" s="203">
        <v>39</v>
      </c>
      <c r="J37" s="203">
        <v>-5</v>
      </c>
      <c r="K37" s="203">
        <v>-3</v>
      </c>
      <c r="L37" s="203">
        <v>-1</v>
      </c>
      <c r="M37" s="203">
        <v>-5</v>
      </c>
      <c r="N37" s="203">
        <v>0</v>
      </c>
      <c r="O37" s="203">
        <f t="shared" si="266"/>
        <v>-1828</v>
      </c>
      <c r="P37" s="203">
        <f>-1913-N37-O37</f>
        <v>-85</v>
      </c>
      <c r="Q37" s="1448">
        <f t="shared" si="267"/>
        <v>-2</v>
      </c>
      <c r="R37" s="203">
        <v>-1828</v>
      </c>
      <c r="S37" s="203">
        <f t="shared" si="268"/>
        <v>-87</v>
      </c>
      <c r="T37" s="1461">
        <v>-1915</v>
      </c>
      <c r="U37" s="203">
        <v>111</v>
      </c>
      <c r="V37" s="203">
        <f t="shared" si="269"/>
        <v>-2</v>
      </c>
      <c r="W37" s="203">
        <f>102-U37-V37</f>
        <v>-7</v>
      </c>
      <c r="X37" s="1448">
        <f t="shared" si="270"/>
        <v>0</v>
      </c>
      <c r="Y37" s="203">
        <v>109</v>
      </c>
      <c r="Z37" s="203">
        <f t="shared" si="271"/>
        <v>-7</v>
      </c>
      <c r="AA37" s="1461">
        <v>102</v>
      </c>
      <c r="AB37" s="203">
        <v>0</v>
      </c>
      <c r="AC37" s="203">
        <f t="shared" si="272"/>
        <v>0</v>
      </c>
      <c r="AD37" s="203">
        <f>0-AB37-AC37</f>
        <v>0</v>
      </c>
      <c r="AE37" s="1448">
        <f t="shared" si="273"/>
        <v>-264</v>
      </c>
      <c r="AF37" s="203">
        <v>0</v>
      </c>
      <c r="AG37" s="203">
        <f t="shared" si="274"/>
        <v>-264</v>
      </c>
      <c r="AH37" s="1461">
        <v>-264</v>
      </c>
      <c r="AI37" s="203">
        <v>-378</v>
      </c>
      <c r="AJ37" s="203">
        <f t="shared" si="275"/>
        <v>-358</v>
      </c>
      <c r="AK37" s="203">
        <f>-736-AI37-AJ37</f>
        <v>0</v>
      </c>
      <c r="AL37" s="1448">
        <f t="shared" si="276"/>
        <v>0</v>
      </c>
      <c r="AM37" s="203">
        <v>-736</v>
      </c>
      <c r="AN37" s="203">
        <f t="shared" si="277"/>
        <v>0</v>
      </c>
      <c r="AO37" s="1461">
        <v>-736</v>
      </c>
      <c r="AP37" s="203">
        <v>0</v>
      </c>
      <c r="AQ37" s="203">
        <f t="shared" si="278"/>
        <v>0</v>
      </c>
      <c r="AR37" s="203">
        <f>0-AP37-AQ37</f>
        <v>0</v>
      </c>
      <c r="AS37" s="1448">
        <f t="shared" si="279"/>
        <v>0</v>
      </c>
      <c r="AT37" s="203">
        <v>0</v>
      </c>
      <c r="AU37" s="203">
        <f t="shared" si="280"/>
        <v>0</v>
      </c>
      <c r="AV37" s="1461">
        <v>0</v>
      </c>
      <c r="AW37" s="203">
        <v>0</v>
      </c>
      <c r="AX37" s="203">
        <f t="shared" si="281"/>
        <v>0</v>
      </c>
      <c r="AY37" s="203">
        <f>0-AW37-AX37</f>
        <v>0</v>
      </c>
      <c r="AZ37" s="1448">
        <f t="shared" si="282"/>
        <v>0</v>
      </c>
      <c r="BA37" s="203">
        <v>0</v>
      </c>
      <c r="BB37" s="203">
        <f t="shared" si="283"/>
        <v>0</v>
      </c>
      <c r="BC37" s="1461">
        <v>0</v>
      </c>
      <c r="BD37" s="203">
        <v>-37</v>
      </c>
      <c r="BE37" s="203">
        <f t="shared" si="284"/>
        <v>-15</v>
      </c>
      <c r="BF37" s="203">
        <f>-52-BD37-BE37</f>
        <v>0</v>
      </c>
      <c r="BG37" s="1448">
        <f t="shared" si="285"/>
        <v>3</v>
      </c>
      <c r="BH37" s="203">
        <v>-52</v>
      </c>
      <c r="BI37" s="203">
        <f t="shared" si="286"/>
        <v>3</v>
      </c>
      <c r="BJ37" s="1461">
        <v>-49</v>
      </c>
      <c r="BK37" s="203">
        <v>0</v>
      </c>
      <c r="BL37" s="203">
        <f t="shared" si="287"/>
        <v>4</v>
      </c>
      <c r="BM37" s="203">
        <f>4-BK37-BL37</f>
        <v>0</v>
      </c>
      <c r="BN37" s="1448">
        <f t="shared" si="288"/>
        <v>-35</v>
      </c>
      <c r="BO37" s="203">
        <v>4</v>
      </c>
      <c r="BP37" s="203">
        <f t="shared" si="289"/>
        <v>-35</v>
      </c>
      <c r="BQ37" s="1461">
        <v>-31</v>
      </c>
      <c r="BR37" s="203">
        <v>-4</v>
      </c>
      <c r="BS37" s="203">
        <f t="shared" si="290"/>
        <v>0</v>
      </c>
      <c r="BT37" s="203">
        <f>-4-BR37-BS37</f>
        <v>0</v>
      </c>
      <c r="BU37" s="1448">
        <f t="shared" si="291"/>
        <v>0</v>
      </c>
      <c r="BV37" s="203">
        <v>-4</v>
      </c>
      <c r="BW37" s="203">
        <f t="shared" si="292"/>
        <v>0</v>
      </c>
      <c r="BX37" s="1461">
        <v>-4</v>
      </c>
      <c r="BY37" s="203">
        <v>0</v>
      </c>
      <c r="BZ37" s="203">
        <f t="shared" si="293"/>
        <v>0</v>
      </c>
      <c r="CA37" s="203">
        <f>0-BY37-BZ37</f>
        <v>0</v>
      </c>
      <c r="CB37" s="1448">
        <f t="shared" si="294"/>
        <v>-22</v>
      </c>
      <c r="CC37" s="203">
        <v>0</v>
      </c>
      <c r="CD37" s="203">
        <f t="shared" si="295"/>
        <v>-22</v>
      </c>
      <c r="CE37" s="1461">
        <v>-22</v>
      </c>
      <c r="CF37" s="203">
        <v>-36</v>
      </c>
      <c r="CG37" s="203">
        <f t="shared" si="296"/>
        <v>0</v>
      </c>
      <c r="CH37" s="203">
        <f>-36-CF37-CG37</f>
        <v>0</v>
      </c>
      <c r="CI37" s="1448">
        <f t="shared" si="297"/>
        <v>0</v>
      </c>
      <c r="CJ37" s="203">
        <v>-36</v>
      </c>
      <c r="CK37" s="203">
        <f t="shared" si="298"/>
        <v>0</v>
      </c>
      <c r="CL37" s="1461">
        <v>-36</v>
      </c>
      <c r="CM37" s="203">
        <v>-83</v>
      </c>
      <c r="CN37" s="203">
        <f t="shared" si="299"/>
        <v>0</v>
      </c>
      <c r="CO37" s="203">
        <f>-83-CM37-CN37</f>
        <v>0</v>
      </c>
      <c r="CP37" s="1448">
        <f t="shared" si="300"/>
        <v>-251</v>
      </c>
      <c r="CQ37" s="203">
        <v>-83</v>
      </c>
      <c r="CR37" s="203">
        <f t="shared" si="301"/>
        <v>-251</v>
      </c>
      <c r="CS37" s="1461">
        <v>-334</v>
      </c>
      <c r="CT37" s="203">
        <v>0</v>
      </c>
      <c r="CU37" s="203">
        <f t="shared" si="302"/>
        <v>215</v>
      </c>
      <c r="CV37" s="203">
        <f>83-CT37-CU37</f>
        <v>-132</v>
      </c>
      <c r="CW37" s="1448">
        <f t="shared" si="303"/>
        <v>-359</v>
      </c>
      <c r="CX37" s="203">
        <v>215</v>
      </c>
      <c r="CY37" s="203">
        <f t="shared" si="304"/>
        <v>-491</v>
      </c>
      <c r="CZ37" s="1461">
        <v>-276</v>
      </c>
      <c r="DA37" s="203">
        <v>-102</v>
      </c>
      <c r="DB37" s="203">
        <f>DE37-DA37</f>
        <v>344</v>
      </c>
      <c r="DC37" s="203">
        <v>-367</v>
      </c>
      <c r="DD37" s="1448">
        <f t="shared" si="305"/>
        <v>-440</v>
      </c>
      <c r="DE37" s="2081">
        <v>242</v>
      </c>
      <c r="DF37" s="203">
        <f t="shared" si="306"/>
        <v>-807</v>
      </c>
      <c r="DG37" s="1857">
        <v>-565</v>
      </c>
      <c r="DH37" s="203">
        <v>0</v>
      </c>
      <c r="DI37" s="2013">
        <f>DL37-DH37</f>
        <v>369</v>
      </c>
      <c r="DJ37" s="853">
        <v>0</v>
      </c>
      <c r="DK37" s="1557">
        <f t="shared" si="316"/>
        <v>0</v>
      </c>
      <c r="DL37" s="1892">
        <v>369</v>
      </c>
      <c r="DM37" s="1422">
        <f t="shared" si="307"/>
        <v>0</v>
      </c>
      <c r="DN37" s="1484">
        <v>369</v>
      </c>
      <c r="DO37" s="853">
        <v>0</v>
      </c>
      <c r="DP37" s="1422">
        <f t="shared" si="308"/>
        <v>0</v>
      </c>
      <c r="DQ37" s="853">
        <v>0</v>
      </c>
      <c r="DR37" s="1557">
        <f t="shared" si="317"/>
        <v>0</v>
      </c>
      <c r="DS37" s="853">
        <v>0</v>
      </c>
      <c r="DT37" s="1422">
        <f t="shared" si="309"/>
        <v>0</v>
      </c>
      <c r="DU37" s="1484">
        <v>0</v>
      </c>
      <c r="DV37" s="853">
        <v>0</v>
      </c>
      <c r="DW37" s="1422">
        <f t="shared" si="310"/>
        <v>0</v>
      </c>
      <c r="DX37" s="853">
        <v>0</v>
      </c>
      <c r="DY37" s="1557">
        <f t="shared" si="318"/>
        <v>0</v>
      </c>
      <c r="DZ37" s="853">
        <v>0</v>
      </c>
      <c r="EA37" s="1422">
        <f t="shared" si="311"/>
        <v>0</v>
      </c>
      <c r="EB37" s="1484">
        <v>0</v>
      </c>
      <c r="EC37" s="853">
        <v>0</v>
      </c>
      <c r="ED37" s="1422">
        <f t="shared" si="312"/>
        <v>0</v>
      </c>
      <c r="EE37" s="853">
        <v>0</v>
      </c>
      <c r="EF37" s="1557">
        <f t="shared" si="319"/>
        <v>0</v>
      </c>
      <c r="EG37" s="853">
        <v>0</v>
      </c>
      <c r="EH37" s="1422">
        <f t="shared" si="313"/>
        <v>0</v>
      </c>
      <c r="EI37" s="1484">
        <v>0</v>
      </c>
      <c r="EJ37" s="853">
        <v>0</v>
      </c>
      <c r="EK37" s="1422">
        <f t="shared" si="314"/>
        <v>0</v>
      </c>
      <c r="EL37" s="853">
        <v>0</v>
      </c>
      <c r="EM37" s="1557">
        <f t="shared" si="320"/>
        <v>0</v>
      </c>
      <c r="EN37" s="853">
        <v>0</v>
      </c>
      <c r="EO37" s="1422">
        <f t="shared" si="315"/>
        <v>0</v>
      </c>
      <c r="EP37" s="1484">
        <v>0</v>
      </c>
      <c r="EQ37" s="303"/>
      <c r="ER37" s="46"/>
    </row>
    <row r="38" spans="1:148" ht="10.199999999999999" customHeight="1">
      <c r="A38" s="48" t="s">
        <v>113</v>
      </c>
      <c r="B38" s="108"/>
      <c r="C38" s="232">
        <f t="shared" ref="C38:EP38" si="321">+SUM(C33:C37)</f>
        <v>-1447</v>
      </c>
      <c r="D38" s="232">
        <f t="shared" si="321"/>
        <v>852</v>
      </c>
      <c r="E38" s="233">
        <f t="shared" si="321"/>
        <v>52</v>
      </c>
      <c r="F38" s="232">
        <f t="shared" si="321"/>
        <v>-934</v>
      </c>
      <c r="G38" s="232">
        <f t="shared" si="321"/>
        <v>-2572</v>
      </c>
      <c r="H38" s="232">
        <f t="shared" si="321"/>
        <v>-638</v>
      </c>
      <c r="I38" s="232">
        <f t="shared" si="321"/>
        <v>-201</v>
      </c>
      <c r="J38" s="232">
        <f t="shared" si="321"/>
        <v>752</v>
      </c>
      <c r="K38" s="232">
        <f t="shared" si="321"/>
        <v>-1119</v>
      </c>
      <c r="L38" s="232">
        <f t="shared" si="321"/>
        <v>165</v>
      </c>
      <c r="M38" s="232">
        <f t="shared" si="321"/>
        <v>-365</v>
      </c>
      <c r="N38" s="232">
        <f t="shared" ref="N38" si="322">+SUM(N33:N37)</f>
        <v>508</v>
      </c>
      <c r="O38" s="232">
        <f t="shared" ref="O38:Q38" si="323">+SUM(O33:O37)</f>
        <v>-696</v>
      </c>
      <c r="P38" s="232">
        <f t="shared" si="323"/>
        <v>604</v>
      </c>
      <c r="Q38" s="1536">
        <f t="shared" si="323"/>
        <v>-1496</v>
      </c>
      <c r="R38" s="232">
        <f t="shared" ref="R38:S38" si="324">+SUM(R33:R37)</f>
        <v>-188</v>
      </c>
      <c r="S38" s="232">
        <f t="shared" si="324"/>
        <v>-892</v>
      </c>
      <c r="T38" s="1540">
        <f t="shared" si="321"/>
        <v>-1080</v>
      </c>
      <c r="U38" s="232">
        <f t="shared" ref="U38" si="325">+SUM(U33:U37)</f>
        <v>1089</v>
      </c>
      <c r="V38" s="232">
        <f t="shared" ref="V38:X38" si="326">+SUM(V33:V37)</f>
        <v>865</v>
      </c>
      <c r="W38" s="232">
        <f t="shared" si="326"/>
        <v>-1493</v>
      </c>
      <c r="X38" s="1536">
        <f t="shared" si="326"/>
        <v>34</v>
      </c>
      <c r="Y38" s="232">
        <f t="shared" ref="Y38:Z38" si="327">+SUM(Y33:Y37)</f>
        <v>1954</v>
      </c>
      <c r="Z38" s="232">
        <f t="shared" si="327"/>
        <v>-1459</v>
      </c>
      <c r="AA38" s="1540">
        <f t="shared" si="321"/>
        <v>495</v>
      </c>
      <c r="AB38" s="232">
        <f t="shared" ref="AB38" si="328">+SUM(AB33:AB37)</f>
        <v>10</v>
      </c>
      <c r="AC38" s="232">
        <f t="shared" ref="AC38:AE38" si="329">+SUM(AC33:AC37)</f>
        <v>-285</v>
      </c>
      <c r="AD38" s="232">
        <f t="shared" si="329"/>
        <v>1130</v>
      </c>
      <c r="AE38" s="1536">
        <f t="shared" si="329"/>
        <v>-880</v>
      </c>
      <c r="AF38" s="232">
        <f t="shared" ref="AF38:AG38" si="330">+SUM(AF33:AF37)</f>
        <v>-275</v>
      </c>
      <c r="AG38" s="232">
        <f t="shared" si="330"/>
        <v>250</v>
      </c>
      <c r="AH38" s="1540">
        <f t="shared" si="321"/>
        <v>-25</v>
      </c>
      <c r="AI38" s="232">
        <f t="shared" ref="AI38" si="331">+SUM(AI33:AI37)</f>
        <v>2103</v>
      </c>
      <c r="AJ38" s="232">
        <f t="shared" ref="AJ38:AL38" si="332">+SUM(AJ33:AJ37)</f>
        <v>-369</v>
      </c>
      <c r="AK38" s="232">
        <f t="shared" si="332"/>
        <v>-1004</v>
      </c>
      <c r="AL38" s="1536">
        <f t="shared" si="332"/>
        <v>-846</v>
      </c>
      <c r="AM38" s="232">
        <f t="shared" ref="AM38:AN38" si="333">+SUM(AM33:AM37)</f>
        <v>1734</v>
      </c>
      <c r="AN38" s="232">
        <f t="shared" si="333"/>
        <v>-1850</v>
      </c>
      <c r="AO38" s="1540">
        <f t="shared" si="321"/>
        <v>-116</v>
      </c>
      <c r="AP38" s="232">
        <f t="shared" ref="AP38" si="334">+SUM(AP33:AP37)</f>
        <v>159</v>
      </c>
      <c r="AQ38" s="232">
        <f t="shared" ref="AQ38:AS38" si="335">+SUM(AQ33:AQ37)</f>
        <v>387</v>
      </c>
      <c r="AR38" s="232">
        <f t="shared" si="335"/>
        <v>35</v>
      </c>
      <c r="AS38" s="1536">
        <f t="shared" si="335"/>
        <v>-260</v>
      </c>
      <c r="AT38" s="232">
        <f t="shared" ref="AT38:AU38" si="336">+SUM(AT33:AT37)</f>
        <v>546</v>
      </c>
      <c r="AU38" s="232">
        <f t="shared" si="336"/>
        <v>-225</v>
      </c>
      <c r="AV38" s="1540">
        <f t="shared" si="321"/>
        <v>321</v>
      </c>
      <c r="AW38" s="232">
        <f t="shared" ref="AW38" si="337">+SUM(AW33:AW37)</f>
        <v>159</v>
      </c>
      <c r="AX38" s="232">
        <f t="shared" ref="AX38:AZ38" si="338">+SUM(AX33:AX37)</f>
        <v>387</v>
      </c>
      <c r="AY38" s="232">
        <f t="shared" si="338"/>
        <v>35</v>
      </c>
      <c r="AZ38" s="1536">
        <f t="shared" si="338"/>
        <v>-260</v>
      </c>
      <c r="BA38" s="232">
        <f t="shared" ref="BA38:BB38" si="339">+SUM(BA33:BA37)</f>
        <v>546</v>
      </c>
      <c r="BB38" s="232">
        <f t="shared" si="339"/>
        <v>-225</v>
      </c>
      <c r="BC38" s="1540">
        <f t="shared" si="321"/>
        <v>321</v>
      </c>
      <c r="BD38" s="232">
        <f t="shared" ref="BD38" si="340">+SUM(BD33:BD37)</f>
        <v>119</v>
      </c>
      <c r="BE38" s="232">
        <f t="shared" ref="BE38:BG38" si="341">+SUM(BE33:BE37)</f>
        <v>-2800</v>
      </c>
      <c r="BF38" s="232">
        <f t="shared" si="341"/>
        <v>1545</v>
      </c>
      <c r="BG38" s="1536">
        <f t="shared" si="341"/>
        <v>-2086</v>
      </c>
      <c r="BH38" s="232">
        <f t="shared" ref="BH38:BI38" si="342">+SUM(BH33:BH37)</f>
        <v>-2681</v>
      </c>
      <c r="BI38" s="232">
        <f t="shared" si="342"/>
        <v>-541</v>
      </c>
      <c r="BJ38" s="1540">
        <f t="shared" si="321"/>
        <v>-3222</v>
      </c>
      <c r="BK38" s="232">
        <f t="shared" ref="BK38" si="343">+SUM(BK33:BK37)</f>
        <v>531</v>
      </c>
      <c r="BL38" s="232">
        <f t="shared" ref="BL38:BN38" si="344">+SUM(BL33:BL37)</f>
        <v>-851</v>
      </c>
      <c r="BM38" s="232">
        <f t="shared" si="344"/>
        <v>663</v>
      </c>
      <c r="BN38" s="1536">
        <f t="shared" si="344"/>
        <v>-1301</v>
      </c>
      <c r="BO38" s="232">
        <f t="shared" ref="BO38:BP38" si="345">+SUM(BO33:BO37)</f>
        <v>-320</v>
      </c>
      <c r="BP38" s="232">
        <f t="shared" si="345"/>
        <v>-638</v>
      </c>
      <c r="BQ38" s="1540">
        <f t="shared" si="321"/>
        <v>-958</v>
      </c>
      <c r="BR38" s="232">
        <f t="shared" ref="BR38" si="346">+SUM(BR33:BR37)</f>
        <v>4331</v>
      </c>
      <c r="BS38" s="232">
        <f t="shared" ref="BS38:BU38" si="347">+SUM(BS33:BS37)</f>
        <v>3426</v>
      </c>
      <c r="BT38" s="232">
        <f t="shared" si="347"/>
        <v>399</v>
      </c>
      <c r="BU38" s="1536">
        <f t="shared" si="347"/>
        <v>-1323</v>
      </c>
      <c r="BV38" s="232">
        <f t="shared" ref="BV38" si="348">+SUM(BV33:BV37)</f>
        <v>7757</v>
      </c>
      <c r="BW38" s="232">
        <f t="shared" ref="BW38" si="349">+SUM(BW33:BW37)</f>
        <v>-924</v>
      </c>
      <c r="BX38" s="1540">
        <f t="shared" si="321"/>
        <v>6833</v>
      </c>
      <c r="BY38" s="232">
        <f t="shared" ref="BY38" si="350">+SUM(BY33:BY37)</f>
        <v>-208</v>
      </c>
      <c r="BZ38" s="232">
        <f t="shared" ref="BZ38:CB38" si="351">+SUM(BZ33:BZ37)</f>
        <v>-1869</v>
      </c>
      <c r="CA38" s="232">
        <f t="shared" si="351"/>
        <v>-170</v>
      </c>
      <c r="CB38" s="1536">
        <f t="shared" si="351"/>
        <v>68</v>
      </c>
      <c r="CC38" s="232">
        <f t="shared" ref="CC38" si="352">+SUM(CC33:CC37)</f>
        <v>-2077</v>
      </c>
      <c r="CD38" s="232">
        <f t="shared" ref="CD38" si="353">+SUM(CD33:CD37)</f>
        <v>-102</v>
      </c>
      <c r="CE38" s="1540">
        <f t="shared" si="321"/>
        <v>-2179</v>
      </c>
      <c r="CF38" s="232">
        <f t="shared" ref="CF38" si="354">+SUM(CF33:CF37)</f>
        <v>265</v>
      </c>
      <c r="CG38" s="232">
        <f t="shared" ref="CG38:CI38" si="355">+SUM(CG33:CG37)</f>
        <v>-2447</v>
      </c>
      <c r="CH38" s="232">
        <f t="shared" si="355"/>
        <v>-12</v>
      </c>
      <c r="CI38" s="1536">
        <f t="shared" si="355"/>
        <v>79</v>
      </c>
      <c r="CJ38" s="232">
        <f t="shared" ref="CJ38" si="356">+SUM(CJ33:CJ37)</f>
        <v>-2182</v>
      </c>
      <c r="CK38" s="232">
        <f t="shared" ref="CK38" si="357">+SUM(CK33:CK37)</f>
        <v>67</v>
      </c>
      <c r="CL38" s="1540">
        <f t="shared" si="321"/>
        <v>-2115</v>
      </c>
      <c r="CM38" s="232">
        <f t="shared" ref="CM38" si="358">+SUM(CM33:CM37)</f>
        <v>42</v>
      </c>
      <c r="CN38" s="232">
        <f t="shared" ref="CN38:CP38" si="359">+SUM(CN33:CN37)</f>
        <v>-1616</v>
      </c>
      <c r="CO38" s="232">
        <f t="shared" si="359"/>
        <v>39</v>
      </c>
      <c r="CP38" s="1536">
        <f t="shared" si="359"/>
        <v>259</v>
      </c>
      <c r="CQ38" s="232">
        <f t="shared" ref="CQ38" si="360">+SUM(CQ33:CQ37)</f>
        <v>-1574</v>
      </c>
      <c r="CR38" s="232">
        <f t="shared" si="321"/>
        <v>298</v>
      </c>
      <c r="CS38" s="1540">
        <f t="shared" si="321"/>
        <v>-1276</v>
      </c>
      <c r="CT38" s="232">
        <f t="shared" si="321"/>
        <v>-65</v>
      </c>
      <c r="CU38" s="232">
        <f t="shared" si="321"/>
        <v>-2767</v>
      </c>
      <c r="CV38" s="232">
        <f t="shared" si="321"/>
        <v>-24</v>
      </c>
      <c r="CW38" s="1536">
        <f t="shared" ref="CW38" si="361">+SUM(CW33:CW37)</f>
        <v>286</v>
      </c>
      <c r="CX38" s="232">
        <f t="shared" ref="CX38" si="362">+SUM(CX33:CX37)</f>
        <v>-2832</v>
      </c>
      <c r="CY38" s="232">
        <f t="shared" ref="CY38:CZ38" si="363">+SUM(CY33:CY37)</f>
        <v>262</v>
      </c>
      <c r="CZ38" s="1540">
        <f t="shared" si="363"/>
        <v>-2570</v>
      </c>
      <c r="DA38" s="232">
        <f t="shared" ref="DA38" si="364">+SUM(DA33:DA37)</f>
        <v>-76</v>
      </c>
      <c r="DB38" s="232">
        <f>+SUM(DB33:DB37)</f>
        <v>-2914</v>
      </c>
      <c r="DC38" s="232">
        <f t="shared" ref="DC38:DD38" si="365">+SUM(DC33:DC37)</f>
        <v>-563</v>
      </c>
      <c r="DD38" s="1536">
        <f t="shared" si="365"/>
        <v>82</v>
      </c>
      <c r="DE38" s="232">
        <f t="shared" ref="DE38:DF38" si="366">+SUM(DE33:DE37)</f>
        <v>-2990</v>
      </c>
      <c r="DF38" s="232">
        <f t="shared" si="366"/>
        <v>-481</v>
      </c>
      <c r="DG38" s="1862">
        <f t="shared" ref="DG38:DH38" si="367">+SUM(DG33:DG37)</f>
        <v>-3471</v>
      </c>
      <c r="DH38" s="232">
        <f t="shared" si="367"/>
        <v>228</v>
      </c>
      <c r="DI38" s="2060">
        <f>+SUM(DI33:DI37)</f>
        <v>-2680</v>
      </c>
      <c r="DJ38" s="889">
        <f t="shared" ref="DJ38" si="368">+SUM(DJ33:DJ37)</f>
        <v>0</v>
      </c>
      <c r="DK38" s="1556">
        <f t="shared" ref="DK38:DL38" si="369">+SUM(DK33:DK37)</f>
        <v>-169.40785376744179</v>
      </c>
      <c r="DL38" s="2020">
        <f t="shared" si="369"/>
        <v>-2452</v>
      </c>
      <c r="DM38" s="889">
        <f t="shared" ref="DM38" si="370">+SUM(DM33:DM37)</f>
        <v>-169.40785376744179</v>
      </c>
      <c r="DN38" s="1546">
        <f t="shared" si="321"/>
        <v>-2621.4078537674418</v>
      </c>
      <c r="DO38" s="889">
        <f t="shared" ref="DO38:DQ38" si="371">+SUM(DO33:DO37)</f>
        <v>0</v>
      </c>
      <c r="DP38" s="1713">
        <f t="shared" si="371"/>
        <v>-3896.7181767715533</v>
      </c>
      <c r="DQ38" s="889">
        <f t="shared" si="371"/>
        <v>0</v>
      </c>
      <c r="DR38" s="1556">
        <f t="shared" ref="DR38" si="372">+SUM(DR33:DR37)</f>
        <v>25</v>
      </c>
      <c r="DS38" s="889">
        <f t="shared" ref="DS38" si="373">+SUM(DS33:DS37)</f>
        <v>-3896.7181767715533</v>
      </c>
      <c r="DT38" s="889">
        <f t="shared" ref="DT38" si="374">+SUM(DT33:DT37)</f>
        <v>25</v>
      </c>
      <c r="DU38" s="1546">
        <f t="shared" si="321"/>
        <v>-3871.7181767715533</v>
      </c>
      <c r="DV38" s="889">
        <f t="shared" ref="DV38:DX38" si="375">+SUM(DV33:DV37)</f>
        <v>0</v>
      </c>
      <c r="DW38" s="1713">
        <f t="shared" si="375"/>
        <v>-4388.2506598336122</v>
      </c>
      <c r="DX38" s="889">
        <f t="shared" si="375"/>
        <v>0</v>
      </c>
      <c r="DY38" s="1556">
        <f t="shared" ref="DY38" si="376">+SUM(DY33:DY37)</f>
        <v>25</v>
      </c>
      <c r="DZ38" s="889">
        <f t="shared" ref="DZ38" si="377">+SUM(DZ33:DZ37)</f>
        <v>-4388.2506598336122</v>
      </c>
      <c r="EA38" s="889">
        <f t="shared" ref="EA38" si="378">+SUM(EA33:EA37)</f>
        <v>25</v>
      </c>
      <c r="EB38" s="1546">
        <f t="shared" si="321"/>
        <v>-4363.2506598336122</v>
      </c>
      <c r="EC38" s="889">
        <f t="shared" ref="EC38:EE38" si="379">+SUM(EC33:EC37)</f>
        <v>0</v>
      </c>
      <c r="ED38" s="1713">
        <f t="shared" si="379"/>
        <v>-5092.5026944090851</v>
      </c>
      <c r="EE38" s="889">
        <f t="shared" si="379"/>
        <v>0</v>
      </c>
      <c r="EF38" s="1556">
        <f t="shared" ref="EF38" si="380">+SUM(EF33:EF37)</f>
        <v>25</v>
      </c>
      <c r="EG38" s="889">
        <f t="shared" ref="EG38" si="381">+SUM(EG33:EG37)</f>
        <v>-5092.5026944090851</v>
      </c>
      <c r="EH38" s="889">
        <f t="shared" ref="EH38" si="382">+SUM(EH33:EH37)</f>
        <v>25</v>
      </c>
      <c r="EI38" s="1546">
        <f t="shared" si="321"/>
        <v>-5067.5026944090851</v>
      </c>
      <c r="EJ38" s="889">
        <f t="shared" ref="EJ38:EL38" si="383">+SUM(EJ33:EJ37)</f>
        <v>0</v>
      </c>
      <c r="EK38" s="1713">
        <f t="shared" si="383"/>
        <v>-3933.7160699872757</v>
      </c>
      <c r="EL38" s="889">
        <f t="shared" si="383"/>
        <v>0</v>
      </c>
      <c r="EM38" s="1556">
        <f t="shared" ref="EM38" si="384">+SUM(EM33:EM37)</f>
        <v>25</v>
      </c>
      <c r="EN38" s="889">
        <f t="shared" ref="EN38" si="385">+SUM(EN33:EN37)</f>
        <v>-3933.7160699872757</v>
      </c>
      <c r="EO38" s="889">
        <f t="shared" ref="EO38" si="386">+SUM(EO33:EO37)</f>
        <v>25</v>
      </c>
      <c r="EP38" s="1546">
        <f t="shared" si="321"/>
        <v>-3908.7160699872757</v>
      </c>
      <c r="EQ38" s="303"/>
      <c r="ER38" s="46"/>
    </row>
    <row r="39" spans="1:148" ht="10.199999999999999" customHeight="1">
      <c r="A39" s="43"/>
      <c r="B39" s="108"/>
      <c r="C39" s="130"/>
      <c r="D39" s="108"/>
      <c r="E39" s="135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700"/>
      <c r="R39" s="108"/>
      <c r="S39" s="108"/>
      <c r="T39" s="538"/>
      <c r="U39" s="108"/>
      <c r="V39" s="108"/>
      <c r="W39" s="108"/>
      <c r="X39" s="700"/>
      <c r="Y39" s="108"/>
      <c r="Z39" s="108"/>
      <c r="AA39" s="538"/>
      <c r="AB39" s="108"/>
      <c r="AC39" s="108"/>
      <c r="AD39" s="108"/>
      <c r="AE39" s="700"/>
      <c r="AF39" s="108"/>
      <c r="AG39" s="108"/>
      <c r="AH39" s="538"/>
      <c r="AI39" s="108"/>
      <c r="AJ39" s="108"/>
      <c r="AK39" s="108"/>
      <c r="AL39" s="700"/>
      <c r="AM39" s="108"/>
      <c r="AN39" s="108"/>
      <c r="AO39" s="538"/>
      <c r="AP39" s="108"/>
      <c r="AQ39" s="108"/>
      <c r="AR39" s="108"/>
      <c r="AS39" s="700"/>
      <c r="AT39" s="108"/>
      <c r="AU39" s="108"/>
      <c r="AV39" s="538"/>
      <c r="AW39" s="108"/>
      <c r="AX39" s="108"/>
      <c r="AY39" s="108"/>
      <c r="AZ39" s="700"/>
      <c r="BA39" s="108"/>
      <c r="BB39" s="108"/>
      <c r="BC39" s="538"/>
      <c r="BD39" s="108"/>
      <c r="BE39" s="108"/>
      <c r="BF39" s="108"/>
      <c r="BG39" s="700"/>
      <c r="BH39" s="108"/>
      <c r="BI39" s="108"/>
      <c r="BJ39" s="538"/>
      <c r="BK39" s="108"/>
      <c r="BL39" s="108"/>
      <c r="BM39" s="108"/>
      <c r="BN39" s="700"/>
      <c r="BO39" s="108"/>
      <c r="BP39" s="108"/>
      <c r="BQ39" s="538"/>
      <c r="BR39" s="108"/>
      <c r="BS39" s="108"/>
      <c r="BT39" s="108"/>
      <c r="BU39" s="700"/>
      <c r="BV39" s="108"/>
      <c r="BW39" s="108"/>
      <c r="BX39" s="538"/>
      <c r="BY39" s="108"/>
      <c r="BZ39" s="108"/>
      <c r="CA39" s="108"/>
      <c r="CB39" s="700"/>
      <c r="CC39" s="108"/>
      <c r="CD39" s="108"/>
      <c r="CE39" s="538"/>
      <c r="CF39" s="108"/>
      <c r="CG39" s="108"/>
      <c r="CH39" s="108"/>
      <c r="CI39" s="700"/>
      <c r="CJ39" s="108"/>
      <c r="CK39" s="108"/>
      <c r="CL39" s="538"/>
      <c r="CM39" s="108"/>
      <c r="CN39" s="108"/>
      <c r="CO39" s="108"/>
      <c r="CP39" s="700"/>
      <c r="CQ39" s="108"/>
      <c r="CR39" s="108"/>
      <c r="CS39" s="538"/>
      <c r="CT39" s="108"/>
      <c r="CU39" s="108"/>
      <c r="CV39" s="108"/>
      <c r="CW39" s="700"/>
      <c r="CX39" s="108"/>
      <c r="CY39" s="108"/>
      <c r="CZ39" s="1479"/>
      <c r="DA39" s="108"/>
      <c r="DB39" s="108"/>
      <c r="DC39" s="108"/>
      <c r="DD39" s="700"/>
      <c r="DE39" s="3"/>
      <c r="DF39" s="108"/>
      <c r="DG39" s="1479"/>
      <c r="DH39" s="108"/>
      <c r="DI39" s="266"/>
      <c r="DJ39" s="3"/>
      <c r="DK39" s="700"/>
      <c r="DL39" s="1879"/>
      <c r="DM39" s="108"/>
      <c r="DN39" s="1479"/>
      <c r="DO39" s="3"/>
      <c r="DP39" s="456"/>
      <c r="DQ39" s="3"/>
      <c r="DR39" s="700"/>
      <c r="DS39" s="3"/>
      <c r="DT39" s="108"/>
      <c r="DU39" s="1479"/>
      <c r="DV39" s="3"/>
      <c r="DW39" s="456"/>
      <c r="DX39" s="3"/>
      <c r="DY39" s="700"/>
      <c r="DZ39" s="3"/>
      <c r="EA39" s="108"/>
      <c r="EB39" s="1479"/>
      <c r="EC39" s="3"/>
      <c r="ED39" s="456"/>
      <c r="EE39" s="3"/>
      <c r="EF39" s="700"/>
      <c r="EG39" s="3"/>
      <c r="EH39" s="108"/>
      <c r="EI39" s="1479"/>
      <c r="EJ39" s="3"/>
      <c r="EK39" s="456"/>
      <c r="EL39" s="3"/>
      <c r="EM39" s="700"/>
      <c r="EN39" s="3"/>
      <c r="EO39" s="108"/>
      <c r="EP39" s="1479"/>
      <c r="EQ39" s="303"/>
      <c r="ER39" s="46"/>
    </row>
    <row r="40" spans="1:148" ht="10.199999999999999" customHeight="1">
      <c r="A40" s="43" t="s">
        <v>799</v>
      </c>
      <c r="B40" s="108"/>
      <c r="C40" s="203">
        <v>-82</v>
      </c>
      <c r="D40" s="203">
        <v>-83</v>
      </c>
      <c r="E40" s="235">
        <v>-2</v>
      </c>
      <c r="F40" s="203">
        <v>17</v>
      </c>
      <c r="G40" s="203">
        <v>-57</v>
      </c>
      <c r="H40" s="203">
        <v>-117</v>
      </c>
      <c r="I40" s="203">
        <v>-50</v>
      </c>
      <c r="J40" s="203">
        <v>-50</v>
      </c>
      <c r="K40" s="108">
        <v>104</v>
      </c>
      <c r="L40" s="108">
        <v>-2</v>
      </c>
      <c r="M40" s="108">
        <v>23</v>
      </c>
      <c r="N40" s="203">
        <v>49</v>
      </c>
      <c r="O40" s="203">
        <f t="shared" ref="O40" si="387">R40-N40</f>
        <v>-74</v>
      </c>
      <c r="P40" s="203">
        <f>-63-N40-O40</f>
        <v>-38</v>
      </c>
      <c r="Q40" s="1448">
        <f t="shared" ref="Q40" si="388">S40-P40</f>
        <v>-44</v>
      </c>
      <c r="R40" s="203">
        <v>-25</v>
      </c>
      <c r="S40" s="203">
        <f t="shared" ref="S40" si="389">T40-R40</f>
        <v>-82</v>
      </c>
      <c r="T40" s="538">
        <v>-107</v>
      </c>
      <c r="U40" s="203">
        <v>23</v>
      </c>
      <c r="V40" s="203">
        <f t="shared" ref="V40" si="390">Y40-U40</f>
        <v>12</v>
      </c>
      <c r="W40" s="203">
        <f>219-U40-V40</f>
        <v>184</v>
      </c>
      <c r="X40" s="1448">
        <f t="shared" ref="X40" si="391">Z40-W40</f>
        <v>37</v>
      </c>
      <c r="Y40" s="203">
        <v>35</v>
      </c>
      <c r="Z40" s="203">
        <f t="shared" ref="Z40" si="392">AA40-Y40</f>
        <v>221</v>
      </c>
      <c r="AA40" s="538">
        <v>256</v>
      </c>
      <c r="AB40" s="203">
        <v>298</v>
      </c>
      <c r="AC40" s="203">
        <f t="shared" ref="AC40" si="393">AF40-AB40</f>
        <v>-119</v>
      </c>
      <c r="AD40" s="203">
        <f>113-AB40-AC40</f>
        <v>-66</v>
      </c>
      <c r="AE40" s="1448">
        <f t="shared" ref="AE40" si="394">AG40-AD40</f>
        <v>58</v>
      </c>
      <c r="AF40" s="203">
        <v>179</v>
      </c>
      <c r="AG40" s="203">
        <f t="shared" ref="AG40" si="395">AH40-AF40</f>
        <v>-8</v>
      </c>
      <c r="AH40" s="538">
        <v>171</v>
      </c>
      <c r="AI40" s="203">
        <v>-110</v>
      </c>
      <c r="AJ40" s="203">
        <f t="shared" ref="AJ40" si="396">AM40-AI40</f>
        <v>75</v>
      </c>
      <c r="AK40" s="203">
        <f>-52-AI40-AJ40</f>
        <v>-17</v>
      </c>
      <c r="AL40" s="1448">
        <f t="shared" ref="AL40" si="397">AN40-AK40</f>
        <v>112</v>
      </c>
      <c r="AM40" s="203">
        <v>-35</v>
      </c>
      <c r="AN40" s="203">
        <f t="shared" ref="AN40" si="398">AO40-AM40</f>
        <v>95</v>
      </c>
      <c r="AO40" s="538">
        <v>60</v>
      </c>
      <c r="AP40" s="203">
        <v>-38</v>
      </c>
      <c r="AQ40" s="203">
        <f t="shared" ref="AQ40" si="399">AT40-AP40</f>
        <v>-132</v>
      </c>
      <c r="AR40" s="203">
        <f>-305-AP40-AQ40</f>
        <v>-135</v>
      </c>
      <c r="AS40" s="1448">
        <f t="shared" ref="AS40" si="400">AU40-AR40</f>
        <v>-69</v>
      </c>
      <c r="AT40" s="203">
        <v>-170</v>
      </c>
      <c r="AU40" s="203">
        <f t="shared" ref="AU40" si="401">AV40-AT40</f>
        <v>-204</v>
      </c>
      <c r="AV40" s="538">
        <v>-374</v>
      </c>
      <c r="AW40" s="203">
        <v>-38</v>
      </c>
      <c r="AX40" s="203">
        <f t="shared" ref="AX40" si="402">BA40-AW40</f>
        <v>-132</v>
      </c>
      <c r="AY40" s="203">
        <f>-305-AW40-AX40</f>
        <v>-135</v>
      </c>
      <c r="AZ40" s="1448">
        <f t="shared" ref="AZ40" si="403">BB40-AY40</f>
        <v>-69</v>
      </c>
      <c r="BA40" s="203">
        <v>-170</v>
      </c>
      <c r="BB40" s="203">
        <f t="shared" ref="BB40" si="404">BC40-BA40</f>
        <v>-204</v>
      </c>
      <c r="BC40" s="538">
        <v>-374</v>
      </c>
      <c r="BD40" s="203">
        <v>-72</v>
      </c>
      <c r="BE40" s="203">
        <f t="shared" ref="BE40" si="405">BH40-BD40</f>
        <v>-82</v>
      </c>
      <c r="BF40" s="203">
        <f>-5-BD40-BE40</f>
        <v>149</v>
      </c>
      <c r="BG40" s="1448">
        <f t="shared" ref="BG40" si="406">BI40-BF40</f>
        <v>-49</v>
      </c>
      <c r="BH40" s="203">
        <v>-154</v>
      </c>
      <c r="BI40" s="203">
        <f t="shared" ref="BI40" si="407">BJ40-BH40</f>
        <v>100</v>
      </c>
      <c r="BJ40" s="538">
        <v>-54</v>
      </c>
      <c r="BK40" s="203">
        <v>108</v>
      </c>
      <c r="BL40" s="203">
        <f t="shared" ref="BL40" si="408">BO40-BK40</f>
        <v>-56</v>
      </c>
      <c r="BM40" s="203">
        <f>300-BK40-BL40</f>
        <v>248</v>
      </c>
      <c r="BN40" s="1448">
        <f t="shared" ref="BN40" si="409">BP40-BM40</f>
        <v>-345</v>
      </c>
      <c r="BO40" s="203">
        <v>52</v>
      </c>
      <c r="BP40" s="203">
        <f t="shared" ref="BP40" si="410">BQ40-BO40</f>
        <v>-97</v>
      </c>
      <c r="BQ40" s="538">
        <v>-45</v>
      </c>
      <c r="BR40" s="203">
        <v>135</v>
      </c>
      <c r="BS40" s="203">
        <f t="shared" ref="BS40" si="411">BV40-BR40</f>
        <v>-5</v>
      </c>
      <c r="BT40" s="203">
        <f>-220-BR40-BS40</f>
        <v>-350</v>
      </c>
      <c r="BU40" s="1448">
        <f t="shared" ref="BU40" si="412">BW40-BT40</f>
        <v>-194</v>
      </c>
      <c r="BV40" s="203">
        <v>130</v>
      </c>
      <c r="BW40" s="203">
        <f t="shared" ref="BW40" si="413">BX40-BV40</f>
        <v>-544</v>
      </c>
      <c r="BX40" s="538">
        <v>-414</v>
      </c>
      <c r="BY40" s="203">
        <v>285</v>
      </c>
      <c r="BZ40" s="203">
        <f t="shared" ref="BZ40" si="414">CC40-BY40</f>
        <v>-106</v>
      </c>
      <c r="CA40" s="203">
        <f>370-BY40-BZ40</f>
        <v>191</v>
      </c>
      <c r="CB40" s="1448">
        <f t="shared" ref="CB40" si="415">CD40-CA40</f>
        <v>22</v>
      </c>
      <c r="CC40" s="203">
        <v>179</v>
      </c>
      <c r="CD40" s="203">
        <f t="shared" ref="CD40" si="416">CE40-CC40</f>
        <v>213</v>
      </c>
      <c r="CE40" s="538">
        <v>392</v>
      </c>
      <c r="CF40" s="203">
        <v>81</v>
      </c>
      <c r="CG40" s="203">
        <f t="shared" ref="CG40" si="417">CJ40-CF40</f>
        <v>335</v>
      </c>
      <c r="CH40" s="203">
        <f>707-CF40-CG40</f>
        <v>291</v>
      </c>
      <c r="CI40" s="1448">
        <f t="shared" ref="CI40" si="418">CK40-CH40</f>
        <v>-516</v>
      </c>
      <c r="CJ40" s="203">
        <v>416</v>
      </c>
      <c r="CK40" s="203">
        <f t="shared" ref="CK40" si="419">CL40-CJ40</f>
        <v>-225</v>
      </c>
      <c r="CL40" s="538">
        <v>191</v>
      </c>
      <c r="CM40" s="203">
        <v>-155</v>
      </c>
      <c r="CN40" s="203">
        <f t="shared" ref="CN40" si="420">CQ40-CM40</f>
        <v>-5</v>
      </c>
      <c r="CO40" s="203">
        <f>56-CM40-CN40</f>
        <v>216</v>
      </c>
      <c r="CP40" s="1448">
        <f t="shared" ref="CP40" si="421">CR40-CO40</f>
        <v>-257</v>
      </c>
      <c r="CQ40" s="203">
        <v>-160</v>
      </c>
      <c r="CR40" s="203">
        <f t="shared" ref="CR40" si="422">CS40-CQ40</f>
        <v>-41</v>
      </c>
      <c r="CS40" s="538">
        <v>-201</v>
      </c>
      <c r="CT40" s="203">
        <v>175</v>
      </c>
      <c r="CU40" s="203">
        <f t="shared" ref="CU40" si="423">CX40-CT40</f>
        <v>43</v>
      </c>
      <c r="CV40" s="203">
        <f>-43-CT40-CU40</f>
        <v>-261</v>
      </c>
      <c r="CW40" s="1448">
        <f t="shared" ref="CW40" si="424">CY40-CV40</f>
        <v>401</v>
      </c>
      <c r="CX40" s="203">
        <v>218</v>
      </c>
      <c r="CY40" s="203">
        <f t="shared" ref="CY40" si="425">CZ40-CX40</f>
        <v>140</v>
      </c>
      <c r="CZ40" s="538">
        <v>358</v>
      </c>
      <c r="DA40" s="203">
        <v>-278</v>
      </c>
      <c r="DB40" s="203">
        <f>DE40-DA40</f>
        <v>-483</v>
      </c>
      <c r="DC40" s="203">
        <v>19</v>
      </c>
      <c r="DD40" s="1448">
        <f t="shared" ref="DD40" si="426">DF40-DC40</f>
        <v>30</v>
      </c>
      <c r="DE40" s="2081">
        <v>-761</v>
      </c>
      <c r="DF40" s="203">
        <f t="shared" ref="DF40" si="427">DG40-DE40</f>
        <v>49</v>
      </c>
      <c r="DG40" s="1855">
        <v>-712</v>
      </c>
      <c r="DH40" s="203">
        <v>179</v>
      </c>
      <c r="DI40" s="2013">
        <f>DL40-DH40</f>
        <v>-15</v>
      </c>
      <c r="DJ40" s="853">
        <v>0</v>
      </c>
      <c r="DK40" s="1557">
        <f t="shared" ref="DK40" si="428">DM40-DJ40</f>
        <v>0</v>
      </c>
      <c r="DL40" s="1892">
        <v>164</v>
      </c>
      <c r="DM40" s="1422">
        <f t="shared" ref="DM40" si="429">DN40-DL40</f>
        <v>0</v>
      </c>
      <c r="DN40" s="1484">
        <v>164</v>
      </c>
      <c r="DO40" s="853">
        <v>0</v>
      </c>
      <c r="DP40" s="1422">
        <f t="shared" ref="DP40" si="430">DS40-DO40</f>
        <v>0</v>
      </c>
      <c r="DQ40" s="853">
        <v>0</v>
      </c>
      <c r="DR40" s="1557">
        <f t="shared" ref="DR40" si="431">DT40-DQ40</f>
        <v>0</v>
      </c>
      <c r="DS40" s="853">
        <v>0</v>
      </c>
      <c r="DT40" s="1422">
        <f t="shared" ref="DT40" si="432">DU40-DS40</f>
        <v>0</v>
      </c>
      <c r="DU40" s="1484">
        <v>0</v>
      </c>
      <c r="DV40" s="853">
        <v>0</v>
      </c>
      <c r="DW40" s="1422">
        <f t="shared" ref="DW40" si="433">DZ40-DV40</f>
        <v>0</v>
      </c>
      <c r="DX40" s="853">
        <v>0</v>
      </c>
      <c r="DY40" s="1557">
        <f t="shared" ref="DY40" si="434">EA40-DX40</f>
        <v>0</v>
      </c>
      <c r="DZ40" s="853">
        <v>0</v>
      </c>
      <c r="EA40" s="1422">
        <f t="shared" ref="EA40" si="435">EB40-DZ40</f>
        <v>0</v>
      </c>
      <c r="EB40" s="1484">
        <v>0</v>
      </c>
      <c r="EC40" s="853">
        <v>0</v>
      </c>
      <c r="ED40" s="1422">
        <f t="shared" ref="ED40" si="436">EG40-EC40</f>
        <v>0</v>
      </c>
      <c r="EE40" s="853">
        <v>0</v>
      </c>
      <c r="EF40" s="1557">
        <f t="shared" ref="EF40" si="437">EH40-EE40</f>
        <v>0</v>
      </c>
      <c r="EG40" s="853">
        <v>0</v>
      </c>
      <c r="EH40" s="1422">
        <f t="shared" ref="EH40" si="438">EI40-EG40</f>
        <v>0</v>
      </c>
      <c r="EI40" s="1484">
        <v>0</v>
      </c>
      <c r="EJ40" s="853">
        <v>0</v>
      </c>
      <c r="EK40" s="1422">
        <f t="shared" ref="EK40" si="439">EN40-EJ40</f>
        <v>0</v>
      </c>
      <c r="EL40" s="853">
        <v>0</v>
      </c>
      <c r="EM40" s="1557">
        <f t="shared" ref="EM40" si="440">EO40-EL40</f>
        <v>0</v>
      </c>
      <c r="EN40" s="853">
        <v>0</v>
      </c>
      <c r="EO40" s="1422">
        <f t="shared" ref="EO40" si="441">EP40-EN40</f>
        <v>0</v>
      </c>
      <c r="EP40" s="1484">
        <v>0</v>
      </c>
      <c r="EQ40" s="303"/>
      <c r="ER40" s="46"/>
    </row>
    <row r="41" spans="1:148" ht="10.199999999999999" customHeight="1">
      <c r="A41" s="43" t="s">
        <v>200</v>
      </c>
      <c r="B41" s="108"/>
      <c r="C41" s="203"/>
      <c r="D41" s="203"/>
      <c r="E41" s="203"/>
      <c r="F41" s="203">
        <f>+BS!F7-F42-BS!E7</f>
        <v>-1567</v>
      </c>
      <c r="G41" s="203">
        <f>+BS!G7-G42-BS!F7</f>
        <v>-4160</v>
      </c>
      <c r="H41" s="203"/>
      <c r="I41" s="203"/>
      <c r="J41" s="203"/>
      <c r="K41" s="108"/>
      <c r="L41" s="108"/>
      <c r="M41" s="108"/>
      <c r="N41" s="108"/>
      <c r="O41" s="108"/>
      <c r="P41" s="108"/>
      <c r="Q41" s="700"/>
      <c r="R41" s="108"/>
      <c r="S41" s="108"/>
      <c r="T41" s="538"/>
      <c r="U41" s="108"/>
      <c r="V41" s="108"/>
      <c r="W41" s="108"/>
      <c r="X41" s="700"/>
      <c r="Y41" s="108"/>
      <c r="Z41" s="108"/>
      <c r="AA41" s="538"/>
      <c r="AB41" s="108"/>
      <c r="AC41" s="108"/>
      <c r="AD41" s="108"/>
      <c r="AE41" s="700"/>
      <c r="AF41" s="108"/>
      <c r="AG41" s="108"/>
      <c r="AH41" s="538"/>
      <c r="AI41" s="108"/>
      <c r="AJ41" s="108"/>
      <c r="AK41" s="108"/>
      <c r="AL41" s="700"/>
      <c r="AM41" s="108"/>
      <c r="AN41" s="108"/>
      <c r="AO41" s="538"/>
      <c r="AP41" s="108"/>
      <c r="AQ41" s="108"/>
      <c r="AR41" s="108"/>
      <c r="AS41" s="700"/>
      <c r="AT41" s="108"/>
      <c r="AU41" s="108"/>
      <c r="AV41" s="538"/>
      <c r="AW41" s="108"/>
      <c r="AX41" s="108"/>
      <c r="AY41" s="108"/>
      <c r="AZ41" s="700"/>
      <c r="BA41" s="108"/>
      <c r="BB41" s="108"/>
      <c r="BC41" s="538"/>
      <c r="BD41" s="108"/>
      <c r="BE41" s="108"/>
      <c r="BF41" s="108"/>
      <c r="BG41" s="700"/>
      <c r="BH41" s="108"/>
      <c r="BI41" s="108"/>
      <c r="BJ41" s="538"/>
      <c r="BK41" s="108"/>
      <c r="BL41" s="108"/>
      <c r="BM41" s="108"/>
      <c r="BN41" s="700"/>
      <c r="BO41" s="108"/>
      <c r="BP41" s="108"/>
      <c r="BQ41" s="538"/>
      <c r="BR41" s="108"/>
      <c r="BS41" s="108"/>
      <c r="BT41" s="108"/>
      <c r="BU41" s="700"/>
      <c r="BV41" s="108"/>
      <c r="BW41" s="108"/>
      <c r="BX41" s="538"/>
      <c r="BY41" s="108"/>
      <c r="BZ41" s="108"/>
      <c r="CA41" s="108"/>
      <c r="CB41" s="700"/>
      <c r="CC41" s="108"/>
      <c r="CD41" s="108"/>
      <c r="CE41" s="538"/>
      <c r="CF41" s="108"/>
      <c r="CG41" s="108"/>
      <c r="CH41" s="108"/>
      <c r="CI41" s="700"/>
      <c r="CJ41" s="108"/>
      <c r="CK41" s="108"/>
      <c r="CL41" s="538"/>
      <c r="CM41" s="108"/>
      <c r="CN41" s="108"/>
      <c r="CO41" s="108"/>
      <c r="CP41" s="700"/>
      <c r="CQ41" s="108"/>
      <c r="CR41" s="108"/>
      <c r="CS41" s="538"/>
      <c r="CT41" s="108"/>
      <c r="CU41" s="108"/>
      <c r="CV41" s="108"/>
      <c r="CW41" s="700"/>
      <c r="CX41" s="108"/>
      <c r="CY41" s="108"/>
      <c r="CZ41" s="538"/>
      <c r="DA41" s="108"/>
      <c r="DB41" s="108"/>
      <c r="DC41" s="108"/>
      <c r="DD41" s="700"/>
      <c r="DE41" s="108"/>
      <c r="DF41" s="108"/>
      <c r="DG41" s="313"/>
      <c r="DH41" s="108"/>
      <c r="DI41" s="266"/>
      <c r="DJ41" s="9"/>
      <c r="DK41" s="700"/>
      <c r="DL41" s="1879"/>
      <c r="DM41" s="108"/>
      <c r="DN41" s="1547"/>
      <c r="DO41" s="9"/>
      <c r="DP41" s="456"/>
      <c r="DQ41" s="9"/>
      <c r="DR41" s="700"/>
      <c r="DS41" s="9"/>
      <c r="DT41" s="108"/>
      <c r="DU41" s="1547"/>
      <c r="DV41" s="9"/>
      <c r="DW41" s="456"/>
      <c r="DX41" s="9"/>
      <c r="DY41" s="700"/>
      <c r="DZ41" s="9"/>
      <c r="EA41" s="108"/>
      <c r="EB41" s="1547"/>
      <c r="EC41" s="9"/>
      <c r="ED41" s="456"/>
      <c r="EE41" s="9"/>
      <c r="EF41" s="700"/>
      <c r="EG41" s="9"/>
      <c r="EH41" s="108"/>
      <c r="EI41" s="1547"/>
      <c r="EJ41" s="9"/>
      <c r="EK41" s="456"/>
      <c r="EL41" s="9"/>
      <c r="EM41" s="700"/>
      <c r="EN41" s="9"/>
      <c r="EO41" s="108"/>
      <c r="EP41" s="1547"/>
      <c r="EQ41" s="236"/>
      <c r="ER41" s="46"/>
    </row>
    <row r="42" spans="1:148" ht="10.199999999999999" customHeight="1">
      <c r="A42" s="48" t="s">
        <v>114</v>
      </c>
      <c r="B42" s="108"/>
      <c r="C42" s="126">
        <f t="shared" ref="C42:EP42" si="442">+C21+C31+C38+C40</f>
        <v>-2080</v>
      </c>
      <c r="D42" s="126">
        <f t="shared" si="442"/>
        <v>2003</v>
      </c>
      <c r="E42" s="126">
        <f t="shared" si="442"/>
        <v>1314</v>
      </c>
      <c r="F42" s="126">
        <f t="shared" si="442"/>
        <v>2395</v>
      </c>
      <c r="G42" s="126">
        <f t="shared" si="442"/>
        <v>2757</v>
      </c>
      <c r="H42" s="126">
        <f t="shared" si="442"/>
        <v>-594</v>
      </c>
      <c r="I42" s="126">
        <f t="shared" si="442"/>
        <v>-804</v>
      </c>
      <c r="J42" s="126">
        <f t="shared" si="442"/>
        <v>293</v>
      </c>
      <c r="K42" s="126">
        <f t="shared" si="442"/>
        <v>-2008</v>
      </c>
      <c r="L42" s="126">
        <f t="shared" si="442"/>
        <v>254</v>
      </c>
      <c r="M42" s="126">
        <f t="shared" si="442"/>
        <v>3472</v>
      </c>
      <c r="N42" s="126">
        <f t="shared" si="442"/>
        <v>-2860</v>
      </c>
      <c r="O42" s="126">
        <f t="shared" si="442"/>
        <v>-680</v>
      </c>
      <c r="P42" s="126">
        <f t="shared" si="442"/>
        <v>-113</v>
      </c>
      <c r="Q42" s="1276">
        <f t="shared" si="442"/>
        <v>2683</v>
      </c>
      <c r="R42" s="126">
        <f t="shared" ref="R42:S42" si="443">+R21+R31+R38+R40</f>
        <v>-3540</v>
      </c>
      <c r="S42" s="126">
        <f t="shared" si="443"/>
        <v>2570</v>
      </c>
      <c r="T42" s="1082">
        <f t="shared" si="442"/>
        <v>-970</v>
      </c>
      <c r="U42" s="126">
        <f t="shared" ref="U42:X42" si="444">+U21+U31+U38+U40</f>
        <v>-1337</v>
      </c>
      <c r="V42" s="126">
        <f t="shared" si="444"/>
        <v>319</v>
      </c>
      <c r="W42" s="126">
        <f t="shared" si="444"/>
        <v>-1027</v>
      </c>
      <c r="X42" s="1276">
        <f t="shared" si="444"/>
        <v>2133</v>
      </c>
      <c r="Y42" s="126">
        <f t="shared" ref="Y42:Z42" si="445">+Y21+Y31+Y38+Y40</f>
        <v>-1018</v>
      </c>
      <c r="Z42" s="126">
        <f t="shared" si="445"/>
        <v>1106</v>
      </c>
      <c r="AA42" s="1082">
        <f t="shared" si="442"/>
        <v>88</v>
      </c>
      <c r="AB42" s="126">
        <f t="shared" si="442"/>
        <v>150</v>
      </c>
      <c r="AC42" s="126">
        <f t="shared" si="442"/>
        <v>-1826</v>
      </c>
      <c r="AD42" s="126">
        <f t="shared" si="442"/>
        <v>237</v>
      </c>
      <c r="AE42" s="1276">
        <f t="shared" si="442"/>
        <v>1726</v>
      </c>
      <c r="AF42" s="126">
        <f t="shared" ref="AF42:AG42" si="446">+AF21+AF31+AF38+AF40</f>
        <v>-1676</v>
      </c>
      <c r="AG42" s="126">
        <f t="shared" si="446"/>
        <v>1963</v>
      </c>
      <c r="AH42" s="1082">
        <f t="shared" si="442"/>
        <v>287</v>
      </c>
      <c r="AI42" s="126">
        <f t="shared" ref="AI42:AL42" si="447">+AI21+AI31+AI38+AI40</f>
        <v>-782</v>
      </c>
      <c r="AJ42" s="126">
        <f t="shared" si="447"/>
        <v>2091</v>
      </c>
      <c r="AK42" s="126">
        <f t="shared" si="447"/>
        <v>-2271</v>
      </c>
      <c r="AL42" s="1276">
        <f t="shared" si="447"/>
        <v>4445</v>
      </c>
      <c r="AM42" s="126">
        <f t="shared" ref="AM42:AN42" si="448">+AM21+AM31+AM38+AM40</f>
        <v>1309</v>
      </c>
      <c r="AN42" s="126">
        <f t="shared" si="448"/>
        <v>2174</v>
      </c>
      <c r="AO42" s="1082">
        <f t="shared" si="442"/>
        <v>3483</v>
      </c>
      <c r="AP42" s="126">
        <f t="shared" si="442"/>
        <v>-974</v>
      </c>
      <c r="AQ42" s="126">
        <f t="shared" si="442"/>
        <v>-1056</v>
      </c>
      <c r="AR42" s="126">
        <f t="shared" si="442"/>
        <v>-1288</v>
      </c>
      <c r="AS42" s="1276">
        <f t="shared" si="442"/>
        <v>5179</v>
      </c>
      <c r="AT42" s="126">
        <f t="shared" ref="AT42:AU42" si="449">+AT21+AT31+AT38+AT40</f>
        <v>-2030</v>
      </c>
      <c r="AU42" s="126">
        <f t="shared" si="449"/>
        <v>3891</v>
      </c>
      <c r="AV42" s="1082">
        <f t="shared" si="442"/>
        <v>1861</v>
      </c>
      <c r="AW42" s="126">
        <f t="shared" ref="AW42:AZ42" si="450">+AW21+AW31+AW38+AW40</f>
        <v>-974</v>
      </c>
      <c r="AX42" s="126">
        <f t="shared" si="450"/>
        <v>-1056</v>
      </c>
      <c r="AY42" s="126">
        <f t="shared" si="450"/>
        <v>-1288</v>
      </c>
      <c r="AZ42" s="1276">
        <f t="shared" si="450"/>
        <v>5179</v>
      </c>
      <c r="BA42" s="126">
        <f t="shared" ref="BA42:BB42" si="451">+BA21+BA31+BA38+BA40</f>
        <v>-2030</v>
      </c>
      <c r="BB42" s="126">
        <f t="shared" si="451"/>
        <v>3891</v>
      </c>
      <c r="BC42" s="1082">
        <f t="shared" si="442"/>
        <v>1861</v>
      </c>
      <c r="BD42" s="126">
        <f t="shared" si="442"/>
        <v>-3667</v>
      </c>
      <c r="BE42" s="126">
        <f t="shared" si="442"/>
        <v>-3216</v>
      </c>
      <c r="BF42" s="126">
        <f t="shared" si="442"/>
        <v>465</v>
      </c>
      <c r="BG42" s="1276">
        <f t="shared" si="442"/>
        <v>3825</v>
      </c>
      <c r="BH42" s="126">
        <f t="shared" ref="BH42:BI42" si="452">+BH21+BH31+BH38+BH40</f>
        <v>-6883</v>
      </c>
      <c r="BI42" s="126">
        <f t="shared" si="452"/>
        <v>4290</v>
      </c>
      <c r="BJ42" s="1082">
        <f t="shared" si="442"/>
        <v>-2593</v>
      </c>
      <c r="BK42" s="126">
        <f t="shared" ref="BK42:BN42" si="453">+BK21+BK31+BK38+BK40</f>
        <v>-3413</v>
      </c>
      <c r="BL42" s="126">
        <f t="shared" si="453"/>
        <v>-775</v>
      </c>
      <c r="BM42" s="126">
        <f t="shared" si="453"/>
        <v>-627</v>
      </c>
      <c r="BN42" s="1276">
        <f t="shared" si="453"/>
        <v>4701</v>
      </c>
      <c r="BO42" s="126">
        <f t="shared" ref="BO42:BP42" si="454">+BO21+BO31+BO38+BO40</f>
        <v>-4188</v>
      </c>
      <c r="BP42" s="126">
        <f t="shared" si="454"/>
        <v>4074</v>
      </c>
      <c r="BQ42" s="1082">
        <f t="shared" si="442"/>
        <v>-114</v>
      </c>
      <c r="BR42" s="126">
        <f t="shared" si="442"/>
        <v>-2966</v>
      </c>
      <c r="BS42" s="126">
        <f t="shared" si="442"/>
        <v>3576</v>
      </c>
      <c r="BT42" s="126">
        <f t="shared" si="442"/>
        <v>1003</v>
      </c>
      <c r="BU42" s="1276">
        <f t="shared" si="442"/>
        <v>3512</v>
      </c>
      <c r="BV42" s="126">
        <f t="shared" ref="BV42:BW42" si="455">+BV21+BV31+BV38+BV40</f>
        <v>610</v>
      </c>
      <c r="BW42" s="126">
        <f t="shared" si="455"/>
        <v>4515</v>
      </c>
      <c r="BX42" s="1082">
        <f t="shared" si="442"/>
        <v>5125</v>
      </c>
      <c r="BY42" s="126">
        <f t="shared" ref="BY42:CB42" si="456">+BY21+BY31+BY38+BY40</f>
        <v>1534</v>
      </c>
      <c r="BZ42" s="126">
        <f t="shared" si="456"/>
        <v>-1312</v>
      </c>
      <c r="CA42" s="126">
        <f t="shared" si="456"/>
        <v>193</v>
      </c>
      <c r="CB42" s="1276">
        <f t="shared" si="456"/>
        <v>-282</v>
      </c>
      <c r="CC42" s="126">
        <f t="shared" ref="CC42:CD42" si="457">+CC21+CC31+CC38+CC40</f>
        <v>222</v>
      </c>
      <c r="CD42" s="126">
        <f t="shared" si="457"/>
        <v>-89</v>
      </c>
      <c r="CE42" s="1082">
        <f t="shared" si="442"/>
        <v>133</v>
      </c>
      <c r="CF42" s="126">
        <f t="shared" si="442"/>
        <v>473</v>
      </c>
      <c r="CG42" s="126">
        <f t="shared" si="442"/>
        <v>-900</v>
      </c>
      <c r="CH42" s="126">
        <f t="shared" si="442"/>
        <v>370</v>
      </c>
      <c r="CI42" s="1276">
        <f t="shared" si="442"/>
        <v>1308</v>
      </c>
      <c r="CJ42" s="126">
        <f t="shared" ref="CJ42:CK42" si="458">+CJ21+CJ31+CJ38+CJ40</f>
        <v>-427</v>
      </c>
      <c r="CK42" s="126">
        <f t="shared" si="458"/>
        <v>1678</v>
      </c>
      <c r="CL42" s="1082">
        <f t="shared" si="442"/>
        <v>1251</v>
      </c>
      <c r="CM42" s="126">
        <f t="shared" ref="CM42:CP42" si="459">+CM21+CM31+CM38+CM40</f>
        <v>-1303</v>
      </c>
      <c r="CN42" s="126">
        <f t="shared" si="459"/>
        <v>21</v>
      </c>
      <c r="CO42" s="126">
        <f t="shared" si="459"/>
        <v>-892</v>
      </c>
      <c r="CP42" s="1276">
        <f t="shared" si="459"/>
        <v>2824</v>
      </c>
      <c r="CQ42" s="126">
        <f t="shared" ref="CQ42" si="460">+CQ21+CQ31+CQ38+CQ40</f>
        <v>-1282</v>
      </c>
      <c r="CR42" s="126">
        <f t="shared" si="442"/>
        <v>1932</v>
      </c>
      <c r="CS42" s="1082">
        <f t="shared" si="442"/>
        <v>650</v>
      </c>
      <c r="CT42" s="126">
        <f t="shared" si="442"/>
        <v>-2854</v>
      </c>
      <c r="CU42" s="126">
        <f t="shared" si="442"/>
        <v>-2682</v>
      </c>
      <c r="CV42" s="126">
        <f t="shared" si="442"/>
        <v>-1749</v>
      </c>
      <c r="CW42" s="1276">
        <f t="shared" si="442"/>
        <v>5822</v>
      </c>
      <c r="CX42" s="126">
        <f t="shared" ref="CX42:CY42" si="461">+CX21+CX31+CX38+CX40</f>
        <v>-5536</v>
      </c>
      <c r="CY42" s="126">
        <f t="shared" si="461"/>
        <v>4073</v>
      </c>
      <c r="CZ42" s="1082">
        <f t="shared" ref="CZ42:DA42" si="462">+CZ21+CZ31+CZ38+CZ40</f>
        <v>-1463</v>
      </c>
      <c r="DA42" s="126">
        <f t="shared" si="462"/>
        <v>-1328</v>
      </c>
      <c r="DB42" s="126">
        <f>+DB21+DB31+DB38+DB40</f>
        <v>-5488</v>
      </c>
      <c r="DC42" s="126">
        <f>+DC21+DC31+DC38+DC40</f>
        <v>159</v>
      </c>
      <c r="DD42" s="1276">
        <f t="shared" ref="DD42" si="463">+DD21+DD31+DD38+DD40</f>
        <v>5787</v>
      </c>
      <c r="DE42" s="126">
        <f t="shared" ref="DE42:DF42" si="464">+DE21+DE31+DE38+DE40</f>
        <v>-6816</v>
      </c>
      <c r="DF42" s="126">
        <f t="shared" si="464"/>
        <v>5946</v>
      </c>
      <c r="DG42" s="1274">
        <f t="shared" ref="DG42:DH42" si="465">+DG21+DG31+DG38+DG40</f>
        <v>-870</v>
      </c>
      <c r="DH42" s="126">
        <f t="shared" si="465"/>
        <v>-2254</v>
      </c>
      <c r="DI42" s="1920">
        <f>+DI21+DI31+DI38+DI40</f>
        <v>-2377</v>
      </c>
      <c r="DJ42" s="884">
        <f>+DJ21+DJ31+DJ38+DJ40</f>
        <v>675.88892670695463</v>
      </c>
      <c r="DK42" s="1515">
        <f t="shared" ref="DK42:DL42" si="466">+DK21+DK31+DK38+DK40</f>
        <v>5078.4263635576772</v>
      </c>
      <c r="DL42" s="2012">
        <f t="shared" si="466"/>
        <v>-4631</v>
      </c>
      <c r="DM42" s="884">
        <f t="shared" ref="DM42" si="467">+DM21+DM31+DM38+DM40</f>
        <v>5754.3152902646307</v>
      </c>
      <c r="DN42" s="1486">
        <f t="shared" si="442"/>
        <v>1123.3152902646293</v>
      </c>
      <c r="DO42" s="884">
        <f>+DO21+DO31+DO38+DO40</f>
        <v>-1451.6117325835326</v>
      </c>
      <c r="DP42" s="1110">
        <f t="shared" ref="DP42" si="468">+DP21+DP31+DP38+DP40</f>
        <v>-873.80640180825776</v>
      </c>
      <c r="DQ42" s="884">
        <f>+DQ21+DQ31+DQ38+DQ40</f>
        <v>2591.0222883259471</v>
      </c>
      <c r="DR42" s="1515">
        <f t="shared" ref="DR42" si="469">+DR21+DR31+DR38+DR40</f>
        <v>2162.3449910162599</v>
      </c>
      <c r="DS42" s="884">
        <f>+DS21+DS31+DS38+DS40</f>
        <v>-2325.4181343917899</v>
      </c>
      <c r="DT42" s="884">
        <f t="shared" ref="DT42" si="470">+DT21+DT31+DT38+DT40</f>
        <v>4753.3672793422065</v>
      </c>
      <c r="DU42" s="1486">
        <f t="shared" si="442"/>
        <v>2427.9491449504153</v>
      </c>
      <c r="DV42" s="884">
        <f>+DV21+DV31+DV38+DV40</f>
        <v>-595.82623007672714</v>
      </c>
      <c r="DW42" s="1110">
        <f t="shared" ref="DW42" si="471">+DW21+DW31+DW38+DW40</f>
        <v>-862.50657303096978</v>
      </c>
      <c r="DX42" s="884">
        <f>+DX21+DX31+DX38+DX40</f>
        <v>3074.7064024699266</v>
      </c>
      <c r="DY42" s="1515">
        <f t="shared" ref="DY42" si="472">+DY21+DY31+DY38+DY40</f>
        <v>2782.323015752901</v>
      </c>
      <c r="DZ42" s="884">
        <f>+DZ21+DZ31+DZ38+DZ40</f>
        <v>-1458.3328031076971</v>
      </c>
      <c r="EA42" s="884">
        <f t="shared" ref="EA42" si="473">+EA21+EA31+EA38+EA40</f>
        <v>5857.0294182228281</v>
      </c>
      <c r="EB42" s="1486">
        <f t="shared" si="442"/>
        <v>4398.6966151151328</v>
      </c>
      <c r="EC42" s="884">
        <f>+EC21+EC31+EC38+EC40</f>
        <v>144.66055434385794</v>
      </c>
      <c r="ED42" s="1110">
        <f t="shared" ref="ED42" si="474">+ED21+ED31+ED38+ED40</f>
        <v>-1762.2877446208286</v>
      </c>
      <c r="EE42" s="884">
        <f>+EE21+EE31+EE38+EE40</f>
        <v>2862.6053899981553</v>
      </c>
      <c r="EF42" s="1515">
        <f t="shared" ref="EF42" si="475">+EF21+EF31+EF38+EF40</f>
        <v>3236.3242375798059</v>
      </c>
      <c r="EG42" s="884">
        <f>+EG21+EG31+EG38+EG40</f>
        <v>-1617.6271902769704</v>
      </c>
      <c r="EH42" s="884">
        <f t="shared" ref="EH42" si="476">+EH21+EH31+EH38+EH40</f>
        <v>6098.9296275779625</v>
      </c>
      <c r="EI42" s="1486">
        <f t="shared" si="442"/>
        <v>4481.3024373009894</v>
      </c>
      <c r="EJ42" s="884">
        <f>+EJ21+EJ31+EJ38+EJ40</f>
        <v>454.72522653922852</v>
      </c>
      <c r="EK42" s="1110">
        <f t="shared" ref="EK42" si="477">+EK21+EK31+EK38+EK40</f>
        <v>-409.28102325916461</v>
      </c>
      <c r="EL42" s="884">
        <f>+EL21+EL31+EL38+EL40</f>
        <v>3050.2101440776714</v>
      </c>
      <c r="EM42" s="1515">
        <f t="shared" ref="EM42" si="478">+EM21+EM31+EM38+EM40</f>
        <v>3413.1038173690827</v>
      </c>
      <c r="EN42" s="884">
        <f>+EN21+EN31+EN38+EN40</f>
        <v>45.444203280063448</v>
      </c>
      <c r="EO42" s="884">
        <f t="shared" ref="EO42" si="479">+EO21+EO31+EO38+EO40</f>
        <v>6463.3139614467527</v>
      </c>
      <c r="EP42" s="1486">
        <f t="shared" si="442"/>
        <v>6508.7581647268171</v>
      </c>
      <c r="EQ42" s="236"/>
      <c r="ER42" s="46"/>
    </row>
    <row r="43" spans="1:148" ht="10.199999999999999" customHeight="1">
      <c r="A43" s="48"/>
      <c r="B43" s="108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76"/>
      <c r="R43" s="126"/>
      <c r="S43" s="126"/>
      <c r="T43" s="1082"/>
      <c r="U43" s="126"/>
      <c r="V43" s="126"/>
      <c r="W43" s="126"/>
      <c r="X43" s="1276"/>
      <c r="Y43" s="126"/>
      <c r="Z43" s="126"/>
      <c r="AA43" s="1082"/>
      <c r="AB43" s="126"/>
      <c r="AC43" s="126"/>
      <c r="AD43" s="126"/>
      <c r="AE43" s="1276"/>
      <c r="AF43" s="126"/>
      <c r="AG43" s="126"/>
      <c r="AH43" s="1082"/>
      <c r="AI43" s="126"/>
      <c r="AJ43" s="126"/>
      <c r="AK43" s="126"/>
      <c r="AL43" s="1276"/>
      <c r="AM43" s="126"/>
      <c r="AN43" s="126"/>
      <c r="AO43" s="1082"/>
      <c r="AP43" s="126"/>
      <c r="AQ43" s="126"/>
      <c r="AR43" s="126"/>
      <c r="AS43" s="1276"/>
      <c r="AT43" s="126"/>
      <c r="AU43" s="126"/>
      <c r="AV43" s="1082"/>
      <c r="AW43" s="126"/>
      <c r="AX43" s="126"/>
      <c r="AY43" s="126"/>
      <c r="AZ43" s="1276"/>
      <c r="BA43" s="126"/>
      <c r="BB43" s="126"/>
      <c r="BC43" s="1082"/>
      <c r="BD43" s="126"/>
      <c r="BE43" s="126"/>
      <c r="BF43" s="126"/>
      <c r="BG43" s="1276"/>
      <c r="BH43" s="126"/>
      <c r="BI43" s="126"/>
      <c r="BJ43" s="1082"/>
      <c r="BK43" s="126"/>
      <c r="BL43" s="126"/>
      <c r="BM43" s="126"/>
      <c r="BN43" s="1276"/>
      <c r="BO43" s="126"/>
      <c r="BP43" s="126"/>
      <c r="BQ43" s="1082"/>
      <c r="BR43" s="126"/>
      <c r="BS43" s="126"/>
      <c r="BT43" s="126"/>
      <c r="BU43" s="1276"/>
      <c r="BV43" s="126"/>
      <c r="BW43" s="126"/>
      <c r="BX43" s="1082"/>
      <c r="BY43" s="126"/>
      <c r="BZ43" s="126"/>
      <c r="CA43" s="126"/>
      <c r="CB43" s="1276"/>
      <c r="CC43" s="126"/>
      <c r="CD43" s="126"/>
      <c r="CE43" s="1082"/>
      <c r="CF43" s="126"/>
      <c r="CG43" s="126"/>
      <c r="CH43" s="126"/>
      <c r="CI43" s="1276"/>
      <c r="CJ43" s="126"/>
      <c r="CK43" s="126"/>
      <c r="CL43" s="1082"/>
      <c r="CM43" s="126"/>
      <c r="CN43" s="126"/>
      <c r="CO43" s="126"/>
      <c r="CP43" s="1276"/>
      <c r="CQ43" s="126"/>
      <c r="CR43" s="126"/>
      <c r="CS43" s="1082"/>
      <c r="CT43" s="126"/>
      <c r="CU43" s="126"/>
      <c r="CV43" s="126"/>
      <c r="CW43" s="1276"/>
      <c r="CX43" s="126"/>
      <c r="CY43" s="126"/>
      <c r="CZ43" s="1486"/>
      <c r="DA43" s="126"/>
      <c r="DB43" s="884"/>
      <c r="DC43" s="884"/>
      <c r="DD43" s="1276"/>
      <c r="DE43" s="884"/>
      <c r="DF43" s="126"/>
      <c r="DG43" s="1486"/>
      <c r="DH43" s="126"/>
      <c r="DI43" s="2012"/>
      <c r="DJ43" s="884"/>
      <c r="DK43" s="1276"/>
      <c r="DL43" s="2012"/>
      <c r="DM43" s="126"/>
      <c r="DN43" s="1486"/>
      <c r="DO43" s="884"/>
      <c r="DP43" s="884"/>
      <c r="DQ43" s="884"/>
      <c r="DR43" s="1276"/>
      <c r="DS43" s="884"/>
      <c r="DT43" s="126"/>
      <c r="DU43" s="1486"/>
      <c r="DV43" s="884"/>
      <c r="DW43" s="884"/>
      <c r="DX43" s="884"/>
      <c r="DY43" s="1276"/>
      <c r="DZ43" s="884"/>
      <c r="EA43" s="126"/>
      <c r="EB43" s="1486"/>
      <c r="EC43" s="884"/>
      <c r="ED43" s="884"/>
      <c r="EE43" s="884"/>
      <c r="EF43" s="1276"/>
      <c r="EG43" s="884"/>
      <c r="EH43" s="126"/>
      <c r="EI43" s="1486"/>
      <c r="EJ43" s="884"/>
      <c r="EK43" s="884"/>
      <c r="EL43" s="884"/>
      <c r="EM43" s="1276"/>
      <c r="EN43" s="884"/>
      <c r="EO43" s="126"/>
      <c r="EP43" s="1486"/>
      <c r="EQ43" s="236"/>
      <c r="ER43" s="46"/>
    </row>
    <row r="44" spans="1:148" ht="10.199999999999999" customHeight="1">
      <c r="A44" s="48" t="s">
        <v>868</v>
      </c>
      <c r="B44" s="108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76"/>
      <c r="R44" s="126"/>
      <c r="S44" s="126"/>
      <c r="T44" s="1082"/>
      <c r="U44" s="126"/>
      <c r="V44" s="126"/>
      <c r="W44" s="126"/>
      <c r="X44" s="1276"/>
      <c r="Y44" s="126"/>
      <c r="Z44" s="126"/>
      <c r="AA44" s="1082"/>
      <c r="AB44" s="126"/>
      <c r="AC44" s="126"/>
      <c r="AD44" s="126"/>
      <c r="AE44" s="1276"/>
      <c r="AF44" s="126"/>
      <c r="AG44" s="126"/>
      <c r="AH44" s="1082"/>
      <c r="AI44" s="126"/>
      <c r="AJ44" s="126"/>
      <c r="AK44" s="126"/>
      <c r="AL44" s="1276"/>
      <c r="AM44" s="126"/>
      <c r="AN44" s="126"/>
      <c r="AO44" s="1082"/>
      <c r="AP44" s="126"/>
      <c r="AQ44" s="126"/>
      <c r="AR44" s="126"/>
      <c r="AS44" s="1276"/>
      <c r="AT44" s="126"/>
      <c r="AU44" s="126"/>
      <c r="AV44" s="1082"/>
      <c r="AW44" s="126"/>
      <c r="AX44" s="126"/>
      <c r="AY44" s="126"/>
      <c r="AZ44" s="1276"/>
      <c r="BA44" s="126"/>
      <c r="BB44" s="126"/>
      <c r="BC44" s="1082"/>
      <c r="BD44" s="126"/>
      <c r="BE44" s="126"/>
      <c r="BF44" s="126"/>
      <c r="BG44" s="1276"/>
      <c r="BH44" s="126"/>
      <c r="BI44" s="126"/>
      <c r="BJ44" s="1082"/>
      <c r="BK44" s="126"/>
      <c r="BL44" s="126"/>
      <c r="BM44" s="126"/>
      <c r="BN44" s="1276"/>
      <c r="BO44" s="126"/>
      <c r="BP44" s="126"/>
      <c r="BQ44" s="1082"/>
      <c r="BR44" s="126"/>
      <c r="BS44" s="126"/>
      <c r="BT44" s="126"/>
      <c r="BU44" s="1276"/>
      <c r="BV44" s="126"/>
      <c r="BW44" s="126"/>
      <c r="BX44" s="1082"/>
      <c r="BY44" s="126"/>
      <c r="BZ44" s="126"/>
      <c r="CA44" s="126"/>
      <c r="CB44" s="1276"/>
      <c r="CC44" s="126"/>
      <c r="CD44" s="126"/>
      <c r="CE44" s="1082"/>
      <c r="CF44" s="126"/>
      <c r="CG44" s="126"/>
      <c r="CH44" s="126"/>
      <c r="CI44" s="1276"/>
      <c r="CJ44" s="126"/>
      <c r="CK44" s="126"/>
      <c r="CL44" s="1082"/>
      <c r="CM44" s="126"/>
      <c r="CN44" s="126"/>
      <c r="CO44" s="126"/>
      <c r="CP44" s="1276"/>
      <c r="CQ44" s="126"/>
      <c r="CR44" s="126"/>
      <c r="CS44" s="1082"/>
      <c r="CT44" s="126"/>
      <c r="CU44" s="126"/>
      <c r="CV44" s="126"/>
      <c r="CW44" s="1276"/>
      <c r="CX44" s="126"/>
      <c r="CY44" s="126"/>
      <c r="CZ44" s="1486"/>
      <c r="DA44" s="126"/>
      <c r="DB44" s="884"/>
      <c r="DC44" s="884"/>
      <c r="DD44" s="1276"/>
      <c r="DE44" s="884"/>
      <c r="DF44" s="126"/>
      <c r="DG44" s="1486"/>
      <c r="DH44" s="126"/>
      <c r="DI44" s="2012"/>
      <c r="DJ44" s="884"/>
      <c r="DK44" s="1276"/>
      <c r="DL44" s="2012"/>
      <c r="DM44" s="126"/>
      <c r="DN44" s="1486"/>
      <c r="DO44" s="884"/>
      <c r="DP44" s="884"/>
      <c r="DQ44" s="884"/>
      <c r="DR44" s="1276"/>
      <c r="DS44" s="884"/>
      <c r="DT44" s="126"/>
      <c r="DU44" s="1486"/>
      <c r="DV44" s="884"/>
      <c r="DW44" s="884"/>
      <c r="DX44" s="884"/>
      <c r="DY44" s="1276"/>
      <c r="DZ44" s="884"/>
      <c r="EA44" s="126"/>
      <c r="EB44" s="1486"/>
      <c r="EC44" s="884"/>
      <c r="ED44" s="884"/>
      <c r="EE44" s="884"/>
      <c r="EF44" s="1276"/>
      <c r="EG44" s="884"/>
      <c r="EH44" s="126"/>
      <c r="EI44" s="1486"/>
      <c r="EJ44" s="884"/>
      <c r="EK44" s="884"/>
      <c r="EL44" s="884"/>
      <c r="EM44" s="1276"/>
      <c r="EN44" s="884"/>
      <c r="EO44" s="126"/>
      <c r="EP44" s="1486"/>
      <c r="EQ44" s="236"/>
      <c r="ER44" s="46"/>
    </row>
    <row r="45" spans="1:148" ht="10.199999999999999" customHeight="1">
      <c r="A45" s="108" t="s">
        <v>49</v>
      </c>
      <c r="B45" s="108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203">
        <f t="shared" ref="N45:Q45" si="480">N21</f>
        <v>-2473</v>
      </c>
      <c r="O45" s="203">
        <f t="shared" si="480"/>
        <v>-179</v>
      </c>
      <c r="P45" s="203">
        <f t="shared" si="480"/>
        <v>-274</v>
      </c>
      <c r="Q45" s="1448">
        <f t="shared" si="480"/>
        <v>4755</v>
      </c>
      <c r="R45" s="203">
        <f t="shared" ref="R45:S45" si="481">R21</f>
        <v>-2652</v>
      </c>
      <c r="S45" s="203">
        <f t="shared" si="481"/>
        <v>4481</v>
      </c>
      <c r="T45" s="1461">
        <f>T21</f>
        <v>1829</v>
      </c>
      <c r="U45" s="203">
        <f t="shared" ref="U45:X45" si="482">U21</f>
        <v>-1550</v>
      </c>
      <c r="V45" s="203">
        <f t="shared" si="482"/>
        <v>-246</v>
      </c>
      <c r="W45" s="203">
        <f t="shared" si="482"/>
        <v>560</v>
      </c>
      <c r="X45" s="1448">
        <f t="shared" si="482"/>
        <v>3796</v>
      </c>
      <c r="Y45" s="203">
        <f t="shared" ref="Y45:Z45" si="483">Y21</f>
        <v>-1796</v>
      </c>
      <c r="Z45" s="203">
        <f t="shared" si="483"/>
        <v>4356</v>
      </c>
      <c r="AA45" s="1461">
        <f>AA21</f>
        <v>2560</v>
      </c>
      <c r="AB45" s="203">
        <f t="shared" ref="AB45:AE45" si="484">AB21</f>
        <v>-708</v>
      </c>
      <c r="AC45" s="203">
        <f t="shared" si="484"/>
        <v>562</v>
      </c>
      <c r="AD45" s="203">
        <f t="shared" si="484"/>
        <v>-112</v>
      </c>
      <c r="AE45" s="1448">
        <f t="shared" si="484"/>
        <v>3858</v>
      </c>
      <c r="AF45" s="203">
        <f t="shared" ref="AF45:AG45" si="485">AF21</f>
        <v>-146</v>
      </c>
      <c r="AG45" s="203">
        <f t="shared" si="485"/>
        <v>3746</v>
      </c>
      <c r="AH45" s="1461">
        <f>AH21</f>
        <v>3600</v>
      </c>
      <c r="AI45" s="203">
        <f t="shared" ref="AI45:AL45" si="486">AI21</f>
        <v>-2380</v>
      </c>
      <c r="AJ45" s="203">
        <f t="shared" si="486"/>
        <v>989</v>
      </c>
      <c r="AK45" s="203">
        <f t="shared" si="486"/>
        <v>-641</v>
      </c>
      <c r="AL45" s="1448">
        <f t="shared" si="486"/>
        <v>6401</v>
      </c>
      <c r="AM45" s="203">
        <f t="shared" ref="AM45:AN45" si="487">AM21</f>
        <v>-1391</v>
      </c>
      <c r="AN45" s="203">
        <f t="shared" si="487"/>
        <v>5760</v>
      </c>
      <c r="AO45" s="1461">
        <f>AO21</f>
        <v>4369</v>
      </c>
      <c r="AP45" s="203">
        <f t="shared" ref="AP45:AS45" si="488">AP21</f>
        <v>-1356</v>
      </c>
      <c r="AQ45" s="203">
        <f t="shared" si="488"/>
        <v>-564</v>
      </c>
      <c r="AR45" s="203">
        <f t="shared" si="488"/>
        <v>-699</v>
      </c>
      <c r="AS45" s="1448">
        <f t="shared" si="488"/>
        <v>7063</v>
      </c>
      <c r="AT45" s="203">
        <f t="shared" ref="AT45:AU45" si="489">AT21</f>
        <v>-1920</v>
      </c>
      <c r="AU45" s="203">
        <f t="shared" si="489"/>
        <v>6364</v>
      </c>
      <c r="AV45" s="1461">
        <f>AV21</f>
        <v>4444</v>
      </c>
      <c r="AW45" s="203">
        <f t="shared" ref="AW45:AZ45" si="490">AW21</f>
        <v>-1356</v>
      </c>
      <c r="AX45" s="203">
        <f t="shared" si="490"/>
        <v>-564</v>
      </c>
      <c r="AY45" s="203">
        <f t="shared" si="490"/>
        <v>-699</v>
      </c>
      <c r="AZ45" s="1448">
        <f t="shared" si="490"/>
        <v>7063</v>
      </c>
      <c r="BA45" s="203">
        <f t="shared" ref="BA45:BB45" si="491">BA21</f>
        <v>-1920</v>
      </c>
      <c r="BB45" s="203">
        <f t="shared" si="491"/>
        <v>6364</v>
      </c>
      <c r="BC45" s="1461">
        <f>BC21</f>
        <v>4444</v>
      </c>
      <c r="BD45" s="203">
        <f t="shared" ref="BD45:BG45" si="492">BD21</f>
        <v>-3590</v>
      </c>
      <c r="BE45" s="203">
        <f t="shared" si="492"/>
        <v>100</v>
      </c>
      <c r="BF45" s="203">
        <f t="shared" si="492"/>
        <v>-836</v>
      </c>
      <c r="BG45" s="1448">
        <f t="shared" si="492"/>
        <v>6644</v>
      </c>
      <c r="BH45" s="203">
        <f t="shared" ref="BH45:BI45" si="493">BH21</f>
        <v>-3490</v>
      </c>
      <c r="BI45" s="203">
        <f t="shared" si="493"/>
        <v>5808</v>
      </c>
      <c r="BJ45" s="1461">
        <f>BJ21</f>
        <v>2318</v>
      </c>
      <c r="BK45" s="203">
        <f t="shared" ref="BK45:BN45" si="494">BK21</f>
        <v>-4050</v>
      </c>
      <c r="BL45" s="203">
        <f t="shared" si="494"/>
        <v>641</v>
      </c>
      <c r="BM45" s="203">
        <f t="shared" si="494"/>
        <v>-455</v>
      </c>
      <c r="BN45" s="1448">
        <f t="shared" si="494"/>
        <v>7617</v>
      </c>
      <c r="BO45" s="203">
        <f t="shared" ref="BO45:BP45" si="495">BO21</f>
        <v>-3409</v>
      </c>
      <c r="BP45" s="203">
        <f t="shared" si="495"/>
        <v>7162</v>
      </c>
      <c r="BQ45" s="1461">
        <f>BQ21</f>
        <v>3753</v>
      </c>
      <c r="BR45" s="203">
        <f t="shared" ref="BR45:BU45" si="496">BR21</f>
        <v>-7614</v>
      </c>
      <c r="BS45" s="203">
        <f t="shared" si="496"/>
        <v>-4097</v>
      </c>
      <c r="BT45" s="203">
        <f t="shared" si="496"/>
        <v>827</v>
      </c>
      <c r="BU45" s="1448">
        <f t="shared" si="496"/>
        <v>5464</v>
      </c>
      <c r="BV45" s="203">
        <f t="shared" ref="BV45:BW45" si="497">BV21</f>
        <v>-11711</v>
      </c>
      <c r="BW45" s="203">
        <f t="shared" si="497"/>
        <v>6291</v>
      </c>
      <c r="BX45" s="1461">
        <f>BX21</f>
        <v>-5420</v>
      </c>
      <c r="BY45" s="203">
        <f t="shared" ref="BY45:CB45" si="498">BY21</f>
        <v>1485</v>
      </c>
      <c r="BZ45" s="203">
        <f t="shared" si="498"/>
        <v>1227</v>
      </c>
      <c r="CA45" s="203">
        <f t="shared" si="498"/>
        <v>637</v>
      </c>
      <c r="CB45" s="1448">
        <f t="shared" si="498"/>
        <v>1290</v>
      </c>
      <c r="CC45" s="203">
        <f t="shared" ref="CC45:CD45" si="499">CC21</f>
        <v>2712</v>
      </c>
      <c r="CD45" s="203">
        <f t="shared" si="499"/>
        <v>1927</v>
      </c>
      <c r="CE45" s="1461">
        <f>CE21</f>
        <v>4639</v>
      </c>
      <c r="CF45" s="203">
        <f t="shared" ref="CF45:CI45" si="500">CF21</f>
        <v>488</v>
      </c>
      <c r="CG45" s="203">
        <f t="shared" si="500"/>
        <v>1455</v>
      </c>
      <c r="CH45" s="203">
        <f t="shared" si="500"/>
        <v>1422</v>
      </c>
      <c r="CI45" s="1448">
        <f t="shared" si="500"/>
        <v>2923</v>
      </c>
      <c r="CJ45" s="203">
        <f t="shared" ref="CJ45:CK45" si="501">CJ21</f>
        <v>1943</v>
      </c>
      <c r="CK45" s="203">
        <f t="shared" si="501"/>
        <v>4345</v>
      </c>
      <c r="CL45" s="1461">
        <f>CL21</f>
        <v>6288</v>
      </c>
      <c r="CM45" s="203">
        <f t="shared" ref="CM45:CP45" si="502">CM21</f>
        <v>-479</v>
      </c>
      <c r="CN45" s="203">
        <f t="shared" si="502"/>
        <v>2785</v>
      </c>
      <c r="CO45" s="203">
        <f t="shared" si="502"/>
        <v>-240</v>
      </c>
      <c r="CP45" s="1448">
        <f t="shared" si="502"/>
        <v>4189</v>
      </c>
      <c r="CQ45" s="203">
        <f t="shared" ref="CQ45:CR45" si="503">CQ21</f>
        <v>2306</v>
      </c>
      <c r="CR45" s="203">
        <f t="shared" si="503"/>
        <v>3949</v>
      </c>
      <c r="CS45" s="1461">
        <f t="shared" ref="CS45:CY45" si="504">CS21</f>
        <v>6255</v>
      </c>
      <c r="CT45" s="203">
        <f t="shared" si="504"/>
        <v>-1399</v>
      </c>
      <c r="CU45" s="203">
        <f t="shared" si="504"/>
        <v>1806</v>
      </c>
      <c r="CV45" s="203">
        <f t="shared" si="504"/>
        <v>373</v>
      </c>
      <c r="CW45" s="1448">
        <f t="shared" si="504"/>
        <v>6622</v>
      </c>
      <c r="CX45" s="203">
        <f t="shared" si="504"/>
        <v>407</v>
      </c>
      <c r="CY45" s="203">
        <f t="shared" si="504"/>
        <v>6995</v>
      </c>
      <c r="CZ45" s="1461">
        <f t="shared" ref="CZ45:DB45" si="505">CZ21</f>
        <v>7402</v>
      </c>
      <c r="DA45" s="203">
        <f t="shared" si="505"/>
        <v>224</v>
      </c>
      <c r="DB45" s="203">
        <f t="shared" si="505"/>
        <v>-1049</v>
      </c>
      <c r="DC45" s="203">
        <f t="shared" ref="DC45:DF45" si="506">DC21</f>
        <v>1625</v>
      </c>
      <c r="DD45" s="1448">
        <f t="shared" si="506"/>
        <v>7195</v>
      </c>
      <c r="DE45" s="203">
        <f t="shared" si="506"/>
        <v>-825</v>
      </c>
      <c r="DF45" s="203">
        <f t="shared" si="506"/>
        <v>8820</v>
      </c>
      <c r="DG45" s="1269">
        <f t="shared" ref="DG45:DI45" si="507">DG21</f>
        <v>7995</v>
      </c>
      <c r="DH45" s="203">
        <f t="shared" si="507"/>
        <v>-1883</v>
      </c>
      <c r="DI45" s="2013">
        <f t="shared" si="507"/>
        <v>1851</v>
      </c>
      <c r="DJ45" s="1422">
        <f t="shared" ref="DJ45:EP45" si="508">DJ21</f>
        <v>1572.4963857719054</v>
      </c>
      <c r="DK45" s="1557">
        <f t="shared" si="508"/>
        <v>7068.8194855220172</v>
      </c>
      <c r="DL45" s="1892">
        <f t="shared" si="508"/>
        <v>-32</v>
      </c>
      <c r="DM45" s="1422">
        <f t="shared" ref="DM45" si="509">DM21</f>
        <v>8641.3158712939221</v>
      </c>
      <c r="DN45" s="1548">
        <f t="shared" si="508"/>
        <v>8609.3158712939203</v>
      </c>
      <c r="DO45" s="1422">
        <f t="shared" si="508"/>
        <v>-476.41173610000351</v>
      </c>
      <c r="DP45" s="1422">
        <f t="shared" si="508"/>
        <v>3819.3778825809477</v>
      </c>
      <c r="DQ45" s="1422">
        <f t="shared" si="508"/>
        <v>3673.3289622506391</v>
      </c>
      <c r="DR45" s="1557">
        <f t="shared" si="508"/>
        <v>3187.7685364831809</v>
      </c>
      <c r="DS45" s="1422">
        <f>DS21</f>
        <v>3342.9661464809446</v>
      </c>
      <c r="DT45" s="1422">
        <f t="shared" ref="DT45" si="510">DT21</f>
        <v>6861.0974987338195</v>
      </c>
      <c r="DU45" s="1548">
        <f t="shared" si="508"/>
        <v>10204.063645214763</v>
      </c>
      <c r="DV45" s="1422">
        <f t="shared" ref="DV45:DY45" si="511">DV21</f>
        <v>419.05509037012371</v>
      </c>
      <c r="DW45" s="1422">
        <f t="shared" si="511"/>
        <v>4342.9250599829193</v>
      </c>
      <c r="DX45" s="1422">
        <f t="shared" si="511"/>
        <v>4203.2085825184276</v>
      </c>
      <c r="DY45" s="1557">
        <f t="shared" si="511"/>
        <v>3859.2925419758581</v>
      </c>
      <c r="DZ45" s="1422">
        <f>DZ21</f>
        <v>4761.9801503530425</v>
      </c>
      <c r="EA45" s="1422">
        <f t="shared" ref="EA45" si="512">EA21</f>
        <v>8062.5011244942852</v>
      </c>
      <c r="EB45" s="1548">
        <f t="shared" si="508"/>
        <v>12824.48127484733</v>
      </c>
      <c r="EC45" s="1422">
        <f t="shared" ref="EC45:EF45" si="513">EC21</f>
        <v>1191.53184115563</v>
      </c>
      <c r="ED45" s="1422">
        <f t="shared" si="513"/>
        <v>4131.8833946750165</v>
      </c>
      <c r="EE45" s="1422">
        <f t="shared" si="513"/>
        <v>3989.4904820220863</v>
      </c>
      <c r="EF45" s="1557">
        <f t="shared" si="513"/>
        <v>4310.1646299883232</v>
      </c>
      <c r="EG45" s="1422">
        <f>EG21</f>
        <v>5323.4152358306465</v>
      </c>
      <c r="EH45" s="1422">
        <f t="shared" ref="EH45" si="514">EH21</f>
        <v>8299.6551120104104</v>
      </c>
      <c r="EI45" s="1548">
        <f t="shared" si="508"/>
        <v>13623.070347841054</v>
      </c>
      <c r="EJ45" s="1422">
        <f t="shared" ref="EJ45:EM45" si="515">EJ21</f>
        <v>1536.5750395489008</v>
      </c>
      <c r="EK45" s="1422">
        <f t="shared" si="515"/>
        <v>4353.7513849590896</v>
      </c>
      <c r="EL45" s="1422">
        <f t="shared" si="515"/>
        <v>4215.8816222287405</v>
      </c>
      <c r="EM45" s="1557">
        <f t="shared" si="515"/>
        <v>4525.6466919160766</v>
      </c>
      <c r="EN45" s="1422">
        <f>EN21</f>
        <v>5890.3264245079899</v>
      </c>
      <c r="EO45" s="1422">
        <f t="shared" ref="EO45" si="516">EO21</f>
        <v>8741.5283141448162</v>
      </c>
      <c r="EP45" s="1548">
        <f t="shared" si="508"/>
        <v>14631.854738652806</v>
      </c>
      <c r="EQ45" s="236"/>
      <c r="ER45" s="46"/>
    </row>
    <row r="46" spans="1:148" ht="10.199999999999999" customHeight="1">
      <c r="A46" s="108" t="s">
        <v>869</v>
      </c>
      <c r="B46" s="108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203">
        <f t="shared" ref="N46:Q46" si="517">-N20</f>
        <v>3117</v>
      </c>
      <c r="O46" s="203">
        <f t="shared" si="517"/>
        <v>1246</v>
      </c>
      <c r="P46" s="203">
        <f t="shared" si="517"/>
        <v>1068</v>
      </c>
      <c r="Q46" s="1448">
        <f t="shared" si="517"/>
        <v>-3340</v>
      </c>
      <c r="R46" s="203">
        <f t="shared" ref="R46:S46" si="518">-R20</f>
        <v>4363</v>
      </c>
      <c r="S46" s="203">
        <f t="shared" si="518"/>
        <v>-2272</v>
      </c>
      <c r="T46" s="1461">
        <f>-T20</f>
        <v>2091</v>
      </c>
      <c r="U46" s="203">
        <f t="shared" ref="U46:X46" si="519">-U20</f>
        <v>2545</v>
      </c>
      <c r="V46" s="203">
        <f t="shared" si="519"/>
        <v>1479</v>
      </c>
      <c r="W46" s="203">
        <f t="shared" si="519"/>
        <v>144</v>
      </c>
      <c r="X46" s="1448">
        <f t="shared" si="519"/>
        <v>-1782</v>
      </c>
      <c r="Y46" s="203">
        <f t="shared" ref="Y46:Z46" si="520">-Y20</f>
        <v>4024</v>
      </c>
      <c r="Z46" s="203">
        <f t="shared" si="520"/>
        <v>-1638</v>
      </c>
      <c r="AA46" s="1461">
        <f>-AA20</f>
        <v>2386</v>
      </c>
      <c r="AB46" s="203">
        <f t="shared" ref="AB46:AE46" si="521">-AB20</f>
        <v>1227</v>
      </c>
      <c r="AC46" s="203">
        <f t="shared" si="521"/>
        <v>874</v>
      </c>
      <c r="AD46" s="203">
        <f t="shared" si="521"/>
        <v>1201</v>
      </c>
      <c r="AE46" s="1448">
        <f t="shared" si="521"/>
        <v>-2579</v>
      </c>
      <c r="AF46" s="203">
        <f t="shared" ref="AF46:AG46" si="522">-AF20</f>
        <v>2101</v>
      </c>
      <c r="AG46" s="203">
        <f t="shared" si="522"/>
        <v>-1378</v>
      </c>
      <c r="AH46" s="1461">
        <f>-AH20</f>
        <v>723</v>
      </c>
      <c r="AI46" s="203">
        <f t="shared" ref="AI46:AL46" si="523">-AI20</f>
        <v>2814</v>
      </c>
      <c r="AJ46" s="203">
        <f t="shared" si="523"/>
        <v>-317</v>
      </c>
      <c r="AK46" s="203">
        <f t="shared" si="523"/>
        <v>1079</v>
      </c>
      <c r="AL46" s="1448">
        <f t="shared" si="523"/>
        <v>-4821</v>
      </c>
      <c r="AM46" s="203">
        <f t="shared" ref="AM46:AN46" si="524">-AM20</f>
        <v>2497</v>
      </c>
      <c r="AN46" s="203">
        <f t="shared" si="524"/>
        <v>-3742</v>
      </c>
      <c r="AO46" s="1461">
        <f>-AO20</f>
        <v>-1245</v>
      </c>
      <c r="AP46" s="203">
        <f t="shared" ref="AP46:AS46" si="525">-AP20</f>
        <v>1337</v>
      </c>
      <c r="AQ46" s="203">
        <f t="shared" si="525"/>
        <v>1802</v>
      </c>
      <c r="AR46" s="203">
        <f t="shared" si="525"/>
        <v>1320</v>
      </c>
      <c r="AS46" s="1448">
        <f t="shared" si="525"/>
        <v>-4725</v>
      </c>
      <c r="AT46" s="203">
        <f t="shared" ref="AT46:AU46" si="526">-AT20</f>
        <v>3139</v>
      </c>
      <c r="AU46" s="203">
        <f t="shared" si="526"/>
        <v>-3405</v>
      </c>
      <c r="AV46" s="1461">
        <f>-AV20</f>
        <v>-266</v>
      </c>
      <c r="AW46" s="203">
        <f t="shared" ref="AW46:AZ46" si="527">-AW20</f>
        <v>1493</v>
      </c>
      <c r="AX46" s="203">
        <f t="shared" si="527"/>
        <v>1414</v>
      </c>
      <c r="AY46" s="203">
        <f t="shared" si="527"/>
        <v>1493</v>
      </c>
      <c r="AZ46" s="1448">
        <f t="shared" si="527"/>
        <v>-4761</v>
      </c>
      <c r="BA46" s="203">
        <f t="shared" ref="BA46:BB46" si="528">-BA20</f>
        <v>2907</v>
      </c>
      <c r="BB46" s="203">
        <f t="shared" si="528"/>
        <v>-3268</v>
      </c>
      <c r="BC46" s="1461">
        <f>-BC20</f>
        <v>-361</v>
      </c>
      <c r="BD46" s="203">
        <f t="shared" ref="BD46:BG46" si="529">-BD20</f>
        <v>3797</v>
      </c>
      <c r="BE46" s="203">
        <f t="shared" si="529"/>
        <v>704</v>
      </c>
      <c r="BF46" s="203">
        <f t="shared" si="529"/>
        <v>1186</v>
      </c>
      <c r="BG46" s="1448">
        <f t="shared" si="529"/>
        <v>-5054</v>
      </c>
      <c r="BH46" s="203">
        <f t="shared" ref="BH46:BI46" si="530">-BH20</f>
        <v>4501</v>
      </c>
      <c r="BI46" s="203">
        <f t="shared" si="530"/>
        <v>-3868</v>
      </c>
      <c r="BJ46" s="1461">
        <f>-BJ20</f>
        <v>633</v>
      </c>
      <c r="BK46" s="203">
        <f t="shared" ref="BK46:BN46" si="531">-BK20</f>
        <v>4703</v>
      </c>
      <c r="BL46" s="203">
        <f t="shared" si="531"/>
        <v>1385</v>
      </c>
      <c r="BM46" s="203">
        <f t="shared" si="531"/>
        <v>2116</v>
      </c>
      <c r="BN46" s="1448">
        <f t="shared" si="531"/>
        <v>-10420</v>
      </c>
      <c r="BO46" s="203">
        <f t="shared" ref="BO46:BP46" si="532">-BO20</f>
        <v>6088</v>
      </c>
      <c r="BP46" s="203">
        <f t="shared" si="532"/>
        <v>-8304</v>
      </c>
      <c r="BQ46" s="1461">
        <f>-BQ20</f>
        <v>-2216</v>
      </c>
      <c r="BR46" s="203">
        <f t="shared" ref="BR46:BU46" si="533">-BR20</f>
        <v>7772</v>
      </c>
      <c r="BS46" s="203">
        <f t="shared" si="533"/>
        <v>4166</v>
      </c>
      <c r="BT46" s="203">
        <f t="shared" si="533"/>
        <v>378</v>
      </c>
      <c r="BU46" s="1448">
        <f t="shared" si="533"/>
        <v>-4079</v>
      </c>
      <c r="BV46" s="203">
        <f t="shared" ref="BV46:BW46" si="534">-BV20</f>
        <v>11938</v>
      </c>
      <c r="BW46" s="203">
        <f t="shared" si="534"/>
        <v>-3701</v>
      </c>
      <c r="BX46" s="1461">
        <f>-BX20</f>
        <v>8237</v>
      </c>
      <c r="BY46" s="203">
        <f t="shared" ref="BY46:CB46" si="535">-BY20</f>
        <v>-1040</v>
      </c>
      <c r="BZ46" s="203">
        <f t="shared" si="535"/>
        <v>300</v>
      </c>
      <c r="CA46" s="203">
        <f t="shared" si="535"/>
        <v>-90</v>
      </c>
      <c r="CB46" s="1448">
        <f t="shared" si="535"/>
        <v>-237</v>
      </c>
      <c r="CC46" s="203">
        <f t="shared" ref="CC46:CD46" si="536">-CC20</f>
        <v>-740</v>
      </c>
      <c r="CD46" s="203">
        <f t="shared" si="536"/>
        <v>-327</v>
      </c>
      <c r="CE46" s="1461">
        <f>-CE20</f>
        <v>-1067</v>
      </c>
      <c r="CF46" s="203">
        <f t="shared" ref="CF46:CI46" si="537">-CF20</f>
        <v>662</v>
      </c>
      <c r="CG46" s="203">
        <f t="shared" si="537"/>
        <v>-985</v>
      </c>
      <c r="CH46" s="203">
        <f t="shared" si="537"/>
        <v>245</v>
      </c>
      <c r="CI46" s="1448">
        <f t="shared" si="537"/>
        <v>-1343</v>
      </c>
      <c r="CJ46" s="203">
        <f t="shared" ref="CJ46:CK46" si="538">-CJ20</f>
        <v>-323</v>
      </c>
      <c r="CK46" s="203">
        <f t="shared" si="538"/>
        <v>-1098</v>
      </c>
      <c r="CL46" s="1461">
        <f>-CL20</f>
        <v>-1421</v>
      </c>
      <c r="CM46" s="203">
        <f t="shared" ref="CM46:CP46" si="539">-CM20</f>
        <v>737</v>
      </c>
      <c r="CN46" s="203">
        <f t="shared" si="539"/>
        <v>-1385</v>
      </c>
      <c r="CO46" s="203">
        <f t="shared" si="539"/>
        <v>1590</v>
      </c>
      <c r="CP46" s="1448">
        <f t="shared" si="539"/>
        <v>-2147</v>
      </c>
      <c r="CQ46" s="203">
        <f t="shared" ref="CQ46:CR46" si="540">-CQ20</f>
        <v>-648</v>
      </c>
      <c r="CR46" s="203">
        <f t="shared" si="540"/>
        <v>-557</v>
      </c>
      <c r="CS46" s="1461">
        <f t="shared" ref="CS46:CY46" si="541">-CS20</f>
        <v>-1205</v>
      </c>
      <c r="CT46" s="203">
        <f t="shared" si="541"/>
        <v>2284</v>
      </c>
      <c r="CU46" s="203">
        <f t="shared" si="541"/>
        <v>-740</v>
      </c>
      <c r="CV46" s="203">
        <f t="shared" si="541"/>
        <v>679</v>
      </c>
      <c r="CW46" s="1448">
        <f t="shared" si="541"/>
        <v>-3560</v>
      </c>
      <c r="CX46" s="203">
        <f t="shared" si="541"/>
        <v>1544</v>
      </c>
      <c r="CY46" s="203">
        <f t="shared" si="541"/>
        <v>-2881</v>
      </c>
      <c r="CZ46" s="1461">
        <f t="shared" ref="CZ46:DB46" si="542">-CZ20</f>
        <v>-1337</v>
      </c>
      <c r="DA46" s="203">
        <f t="shared" si="542"/>
        <v>900</v>
      </c>
      <c r="DB46" s="203">
        <f t="shared" si="542"/>
        <v>2134</v>
      </c>
      <c r="DC46" s="203">
        <f t="shared" ref="DC46:DF46" si="543">-DC20</f>
        <v>637</v>
      </c>
      <c r="DD46" s="1448">
        <f t="shared" si="543"/>
        <v>-3771</v>
      </c>
      <c r="DE46" s="203">
        <f t="shared" si="543"/>
        <v>3034</v>
      </c>
      <c r="DF46" s="203">
        <f t="shared" si="543"/>
        <v>-3134</v>
      </c>
      <c r="DG46" s="1269">
        <f t="shared" ref="DG46:DI46" si="544">-DG20</f>
        <v>-100</v>
      </c>
      <c r="DH46" s="203">
        <f t="shared" si="544"/>
        <v>2886</v>
      </c>
      <c r="DI46" s="2013">
        <f t="shared" si="544"/>
        <v>1527</v>
      </c>
      <c r="DJ46" s="1422">
        <f>-DJ20</f>
        <v>500</v>
      </c>
      <c r="DK46" s="1557">
        <f t="shared" ref="DK46:EP46" si="545">-DK20</f>
        <v>-5119.1874641168752</v>
      </c>
      <c r="DL46" s="1892">
        <f t="shared" si="545"/>
        <v>4413</v>
      </c>
      <c r="DM46" s="1422">
        <f t="shared" ref="DM46" si="546">-DM20</f>
        <v>-4619.1874641168752</v>
      </c>
      <c r="DN46" s="1548">
        <f t="shared" si="545"/>
        <v>-206.18746411687493</v>
      </c>
      <c r="DO46" s="1422">
        <f t="shared" si="545"/>
        <v>2773.5405815505828</v>
      </c>
      <c r="DP46" s="1422">
        <f t="shared" si="545"/>
        <v>-1233.0357546633422</v>
      </c>
      <c r="DQ46" s="1422">
        <f t="shared" si="545"/>
        <v>-1109.6969155636884</v>
      </c>
      <c r="DR46" s="1557">
        <f t="shared" si="545"/>
        <v>-295.43162270351502</v>
      </c>
      <c r="DS46" s="1422">
        <f>-DS20</f>
        <v>1540.5048268872406</v>
      </c>
      <c r="DT46" s="1422">
        <f t="shared" ref="DT46" si="547">-DT20</f>
        <v>-1405.1285382672036</v>
      </c>
      <c r="DU46" s="1548">
        <f t="shared" si="545"/>
        <v>135.37628862003714</v>
      </c>
      <c r="DV46" s="1422">
        <f t="shared" ref="DV46:DY46" si="548">-DV20</f>
        <v>2357.7801327452844</v>
      </c>
      <c r="DW46" s="1422">
        <f t="shared" si="548"/>
        <v>-1255.9093097403024</v>
      </c>
      <c r="DX46" s="1422">
        <f t="shared" si="548"/>
        <v>-1135.7105634819372</v>
      </c>
      <c r="DY46" s="1557">
        <f t="shared" si="548"/>
        <v>-361.45789275673224</v>
      </c>
      <c r="DZ46" s="1422">
        <f>-DZ20</f>
        <v>1101.870823004982</v>
      </c>
      <c r="EA46" s="1422">
        <f t="shared" ref="EA46" si="549">-EA20</f>
        <v>-1497.1684562386695</v>
      </c>
      <c r="EB46" s="1548">
        <f t="shared" si="545"/>
        <v>-395.29763323368741</v>
      </c>
      <c r="EC46" s="1422">
        <f t="shared" ref="EC46:EF46" si="550">-EC20</f>
        <v>1939.5317070564481</v>
      </c>
      <c r="ED46" s="1422">
        <f t="shared" si="550"/>
        <v>-838.6048594427823</v>
      </c>
      <c r="EE46" s="1422">
        <f t="shared" si="550"/>
        <v>-716.69352270103411</v>
      </c>
      <c r="EF46" s="1557">
        <f t="shared" si="550"/>
        <v>-574.95046173082744</v>
      </c>
      <c r="EG46" s="1422">
        <f>-EG20</f>
        <v>1100.9268476136658</v>
      </c>
      <c r="EH46" s="1422">
        <f t="shared" ref="EH46" si="551">-EH20</f>
        <v>-1291.6439844318616</v>
      </c>
      <c r="EI46" s="1548">
        <f t="shared" si="545"/>
        <v>-190.71713681819574</v>
      </c>
      <c r="EJ46" s="1422">
        <f t="shared" ref="EJ46:EM46" si="552">-EJ20</f>
        <v>1782.0266377009302</v>
      </c>
      <c r="EK46" s="1422">
        <f t="shared" si="552"/>
        <v>-864.04784190653038</v>
      </c>
      <c r="EL46" s="1422">
        <f t="shared" si="552"/>
        <v>-739.03869781995297</v>
      </c>
      <c r="EM46" s="1557">
        <f t="shared" si="552"/>
        <v>-582.98461074772536</v>
      </c>
      <c r="EN46" s="1422">
        <f>-EN20</f>
        <v>917.97879579439984</v>
      </c>
      <c r="EO46" s="1422">
        <f t="shared" ref="EO46" si="553">-EO20</f>
        <v>-1322.0233085676782</v>
      </c>
      <c r="EP46" s="1548">
        <f t="shared" si="545"/>
        <v>-404.04451277327848</v>
      </c>
      <c r="EQ46" s="236"/>
      <c r="ER46" s="46"/>
    </row>
    <row r="47" spans="1:148" ht="10.199999999999999" customHeight="1">
      <c r="A47" s="108" t="s">
        <v>876</v>
      </c>
      <c r="B47" s="108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203">
        <f t="shared" ref="N47:T47" si="554">-N11</f>
        <v>12</v>
      </c>
      <c r="O47" s="203">
        <f t="shared" si="554"/>
        <v>12</v>
      </c>
      <c r="P47" s="203">
        <f t="shared" si="554"/>
        <v>11</v>
      </c>
      <c r="Q47" s="1448">
        <f t="shared" si="554"/>
        <v>188</v>
      </c>
      <c r="R47" s="203">
        <f t="shared" si="554"/>
        <v>24</v>
      </c>
      <c r="S47" s="203">
        <f t="shared" si="554"/>
        <v>199</v>
      </c>
      <c r="T47" s="1461">
        <f t="shared" si="554"/>
        <v>223</v>
      </c>
      <c r="U47" s="203">
        <f t="shared" ref="U47:AA47" si="555">-U11</f>
        <v>13</v>
      </c>
      <c r="V47" s="203">
        <f t="shared" si="555"/>
        <v>323</v>
      </c>
      <c r="W47" s="203">
        <f t="shared" si="555"/>
        <v>13</v>
      </c>
      <c r="X47" s="1448">
        <f t="shared" si="555"/>
        <v>113</v>
      </c>
      <c r="Y47" s="203">
        <f t="shared" si="555"/>
        <v>336</v>
      </c>
      <c r="Z47" s="203">
        <f t="shared" si="555"/>
        <v>126</v>
      </c>
      <c r="AA47" s="1461">
        <f t="shared" si="555"/>
        <v>462</v>
      </c>
      <c r="AB47" s="203">
        <f t="shared" ref="AB47:AH47" si="556">-AB11</f>
        <v>14</v>
      </c>
      <c r="AC47" s="203">
        <f t="shared" si="556"/>
        <v>73</v>
      </c>
      <c r="AD47" s="203">
        <f t="shared" si="556"/>
        <v>12</v>
      </c>
      <c r="AE47" s="1448">
        <f t="shared" si="556"/>
        <v>118</v>
      </c>
      <c r="AF47" s="203">
        <f t="shared" si="556"/>
        <v>87</v>
      </c>
      <c r="AG47" s="203">
        <f t="shared" si="556"/>
        <v>130</v>
      </c>
      <c r="AH47" s="1461">
        <f t="shared" si="556"/>
        <v>217</v>
      </c>
      <c r="AI47" s="203">
        <f t="shared" ref="AI47:AO47" si="557">-AI11</f>
        <v>57</v>
      </c>
      <c r="AJ47" s="203">
        <f t="shared" si="557"/>
        <v>117</v>
      </c>
      <c r="AK47" s="203">
        <f t="shared" si="557"/>
        <v>29</v>
      </c>
      <c r="AL47" s="1448">
        <f t="shared" si="557"/>
        <v>87</v>
      </c>
      <c r="AM47" s="203">
        <f t="shared" si="557"/>
        <v>174</v>
      </c>
      <c r="AN47" s="203">
        <f t="shared" si="557"/>
        <v>116</v>
      </c>
      <c r="AO47" s="1461">
        <f t="shared" si="557"/>
        <v>290</v>
      </c>
      <c r="AP47" s="203">
        <f t="shared" ref="AP47:AV47" si="558">-AP11</f>
        <v>106</v>
      </c>
      <c r="AQ47" s="203">
        <f t="shared" si="558"/>
        <v>40</v>
      </c>
      <c r="AR47" s="203">
        <f t="shared" si="558"/>
        <v>25</v>
      </c>
      <c r="AS47" s="1448">
        <f t="shared" si="558"/>
        <v>287</v>
      </c>
      <c r="AT47" s="203">
        <f t="shared" si="558"/>
        <v>146</v>
      </c>
      <c r="AU47" s="203">
        <f t="shared" si="558"/>
        <v>312</v>
      </c>
      <c r="AV47" s="1461">
        <f t="shared" si="558"/>
        <v>458</v>
      </c>
      <c r="AW47" s="203">
        <f t="shared" ref="AW47:BC47" si="559">-AW11</f>
        <v>106</v>
      </c>
      <c r="AX47" s="203">
        <f t="shared" si="559"/>
        <v>40</v>
      </c>
      <c r="AY47" s="203">
        <f t="shared" si="559"/>
        <v>25</v>
      </c>
      <c r="AZ47" s="1448">
        <f t="shared" si="559"/>
        <v>287</v>
      </c>
      <c r="BA47" s="203">
        <f t="shared" si="559"/>
        <v>146</v>
      </c>
      <c r="BB47" s="203">
        <f t="shared" si="559"/>
        <v>312</v>
      </c>
      <c r="BC47" s="1461">
        <f t="shared" si="559"/>
        <v>458</v>
      </c>
      <c r="BD47" s="203">
        <f t="shared" ref="BD47:BJ47" si="560">-BD11</f>
        <v>53</v>
      </c>
      <c r="BE47" s="203">
        <f t="shared" si="560"/>
        <v>73</v>
      </c>
      <c r="BF47" s="203">
        <f t="shared" si="560"/>
        <v>1026</v>
      </c>
      <c r="BG47" s="1448">
        <f t="shared" si="560"/>
        <v>1367</v>
      </c>
      <c r="BH47" s="203">
        <f t="shared" si="560"/>
        <v>126</v>
      </c>
      <c r="BI47" s="203">
        <f t="shared" si="560"/>
        <v>2393</v>
      </c>
      <c r="BJ47" s="1461">
        <f t="shared" si="560"/>
        <v>2519</v>
      </c>
      <c r="BK47" s="203">
        <f t="shared" ref="BK47:BQ47" si="561">-BK11</f>
        <v>42</v>
      </c>
      <c r="BL47" s="203">
        <f t="shared" si="561"/>
        <v>35</v>
      </c>
      <c r="BM47" s="203">
        <f t="shared" si="561"/>
        <v>36</v>
      </c>
      <c r="BN47" s="1448">
        <f t="shared" si="561"/>
        <v>1639</v>
      </c>
      <c r="BO47" s="203">
        <f t="shared" si="561"/>
        <v>77</v>
      </c>
      <c r="BP47" s="203">
        <f t="shared" si="561"/>
        <v>1675</v>
      </c>
      <c r="BQ47" s="1461">
        <f t="shared" si="561"/>
        <v>1752</v>
      </c>
      <c r="BR47" s="203">
        <f t="shared" ref="BR47:BX47" si="562">-BR11</f>
        <v>132</v>
      </c>
      <c r="BS47" s="203">
        <f t="shared" si="562"/>
        <v>71</v>
      </c>
      <c r="BT47" s="203">
        <f t="shared" si="562"/>
        <v>58</v>
      </c>
      <c r="BU47" s="1448">
        <f t="shared" si="562"/>
        <v>53</v>
      </c>
      <c r="BV47" s="203">
        <f t="shared" si="562"/>
        <v>203</v>
      </c>
      <c r="BW47" s="203">
        <f t="shared" si="562"/>
        <v>111</v>
      </c>
      <c r="BX47" s="1461">
        <f t="shared" si="562"/>
        <v>314</v>
      </c>
      <c r="BY47" s="203">
        <f t="shared" ref="BY47:CE47" si="563">-BY11</f>
        <v>175</v>
      </c>
      <c r="BZ47" s="203">
        <f t="shared" si="563"/>
        <v>0</v>
      </c>
      <c r="CA47" s="203">
        <f t="shared" si="563"/>
        <v>69</v>
      </c>
      <c r="CB47" s="1448">
        <f t="shared" si="563"/>
        <v>289</v>
      </c>
      <c r="CC47" s="203">
        <f t="shared" si="563"/>
        <v>175</v>
      </c>
      <c r="CD47" s="203">
        <f t="shared" si="563"/>
        <v>358</v>
      </c>
      <c r="CE47" s="1461">
        <f t="shared" si="563"/>
        <v>533</v>
      </c>
      <c r="CF47" s="203">
        <f t="shared" ref="CF47:CL47" si="564">-CF11</f>
        <v>70</v>
      </c>
      <c r="CG47" s="203">
        <f t="shared" si="564"/>
        <v>317</v>
      </c>
      <c r="CH47" s="203">
        <f t="shared" si="564"/>
        <v>71</v>
      </c>
      <c r="CI47" s="1448">
        <f t="shared" si="564"/>
        <v>143</v>
      </c>
      <c r="CJ47" s="203">
        <f t="shared" si="564"/>
        <v>387</v>
      </c>
      <c r="CK47" s="203">
        <f t="shared" si="564"/>
        <v>214</v>
      </c>
      <c r="CL47" s="1461">
        <f t="shared" si="564"/>
        <v>601</v>
      </c>
      <c r="CM47" s="203">
        <f t="shared" ref="CM47:CS47" si="565">-CM11</f>
        <v>70</v>
      </c>
      <c r="CN47" s="203">
        <f t="shared" si="565"/>
        <v>131</v>
      </c>
      <c r="CO47" s="203">
        <f t="shared" si="565"/>
        <v>76</v>
      </c>
      <c r="CP47" s="1448">
        <f t="shared" si="565"/>
        <v>391</v>
      </c>
      <c r="CQ47" s="203">
        <f t="shared" si="565"/>
        <v>201</v>
      </c>
      <c r="CR47" s="203">
        <f t="shared" si="565"/>
        <v>467</v>
      </c>
      <c r="CS47" s="1461">
        <f t="shared" si="565"/>
        <v>668</v>
      </c>
      <c r="CT47" s="203">
        <f>-CT11</f>
        <v>74</v>
      </c>
      <c r="CU47" s="203">
        <f t="shared" ref="CU47:CZ47" si="566">-CU11</f>
        <v>102</v>
      </c>
      <c r="CV47" s="203">
        <f t="shared" si="566"/>
        <v>77</v>
      </c>
      <c r="CW47" s="1448">
        <f t="shared" si="566"/>
        <v>252</v>
      </c>
      <c r="CX47" s="203">
        <f t="shared" si="566"/>
        <v>176</v>
      </c>
      <c r="CY47" s="203">
        <f t="shared" si="566"/>
        <v>329</v>
      </c>
      <c r="CZ47" s="1461">
        <f t="shared" si="566"/>
        <v>505</v>
      </c>
      <c r="DA47" s="203">
        <f>-DA11</f>
        <v>75</v>
      </c>
      <c r="DB47" s="203">
        <f t="shared" ref="DB47:DD47" si="567">-DB11</f>
        <v>82</v>
      </c>
      <c r="DC47" s="203">
        <f t="shared" si="567"/>
        <v>81</v>
      </c>
      <c r="DD47" s="1448">
        <f t="shared" si="567"/>
        <v>34</v>
      </c>
      <c r="DE47" s="203">
        <f t="shared" ref="DE47:DF47" si="568">-DE11</f>
        <v>157</v>
      </c>
      <c r="DF47" s="203">
        <f t="shared" si="568"/>
        <v>115</v>
      </c>
      <c r="DG47" s="1269">
        <f t="shared" ref="DG47" si="569">-DG11</f>
        <v>272</v>
      </c>
      <c r="DH47" s="203">
        <f>-DH11</f>
        <v>77</v>
      </c>
      <c r="DI47" s="1892">
        <f t="shared" ref="DI47" si="570">-DI11</f>
        <v>80</v>
      </c>
      <c r="DJ47" s="860">
        <f>DM47/2</f>
        <v>71.5</v>
      </c>
      <c r="DK47" s="1557">
        <f>DM47-DJ47</f>
        <v>71.5</v>
      </c>
      <c r="DL47" s="1892">
        <f t="shared" ref="DL47" si="571">-DL11</f>
        <v>157</v>
      </c>
      <c r="DM47" s="1422">
        <f>DN47-DL47</f>
        <v>143</v>
      </c>
      <c r="DN47" s="1484">
        <v>300</v>
      </c>
      <c r="DO47" s="860">
        <f>DS47/2</f>
        <v>75</v>
      </c>
      <c r="DP47" s="860">
        <f>DS47-DO47</f>
        <v>75</v>
      </c>
      <c r="DQ47" s="860">
        <f>DT47/2</f>
        <v>75</v>
      </c>
      <c r="DR47" s="1557">
        <f>DT47-DQ47</f>
        <v>75</v>
      </c>
      <c r="DS47" s="860">
        <f>DU47/2</f>
        <v>150</v>
      </c>
      <c r="DT47" s="1422">
        <f>DU47-DS47</f>
        <v>150</v>
      </c>
      <c r="DU47" s="1119">
        <f t="shared" ref="DU47" si="572">DN47</f>
        <v>300</v>
      </c>
      <c r="DV47" s="860">
        <f>DZ47/2</f>
        <v>75</v>
      </c>
      <c r="DW47" s="860">
        <f>DZ47-DV47</f>
        <v>75</v>
      </c>
      <c r="DX47" s="860">
        <f>EA47/2</f>
        <v>75</v>
      </c>
      <c r="DY47" s="1557">
        <f>EA47-DX47</f>
        <v>75</v>
      </c>
      <c r="DZ47" s="860">
        <f>EB47/2</f>
        <v>150</v>
      </c>
      <c r="EA47" s="1422">
        <f>EB47-DZ47</f>
        <v>150</v>
      </c>
      <c r="EB47" s="1119">
        <f t="shared" ref="EB47" si="573">DU47</f>
        <v>300</v>
      </c>
      <c r="EC47" s="860">
        <f>EG47/2</f>
        <v>75</v>
      </c>
      <c r="ED47" s="860">
        <f>EG47-EC47</f>
        <v>75</v>
      </c>
      <c r="EE47" s="860">
        <f>EH47/2</f>
        <v>75</v>
      </c>
      <c r="EF47" s="1557">
        <f>EH47-EE47</f>
        <v>75</v>
      </c>
      <c r="EG47" s="860">
        <f>EI47/2</f>
        <v>150</v>
      </c>
      <c r="EH47" s="1422">
        <f>EI47-EG47</f>
        <v>150</v>
      </c>
      <c r="EI47" s="1119">
        <f t="shared" ref="EI47" si="574">EB47</f>
        <v>300</v>
      </c>
      <c r="EJ47" s="860">
        <f>EN47/2</f>
        <v>75</v>
      </c>
      <c r="EK47" s="860">
        <f>EN47-EJ47</f>
        <v>75</v>
      </c>
      <c r="EL47" s="860">
        <f>EO47/2</f>
        <v>75</v>
      </c>
      <c r="EM47" s="1557">
        <f>EO47-EL47</f>
        <v>75</v>
      </c>
      <c r="EN47" s="860">
        <f>EP47/2</f>
        <v>150</v>
      </c>
      <c r="EO47" s="1422">
        <f>EP47-EN47</f>
        <v>150</v>
      </c>
      <c r="EP47" s="1119">
        <f t="shared" ref="EP47" si="575">EI47</f>
        <v>300</v>
      </c>
      <c r="EQ47" s="236"/>
      <c r="ER47" s="46"/>
    </row>
    <row r="48" spans="1:148" ht="10.199999999999999" customHeight="1">
      <c r="A48" s="108" t="s">
        <v>877</v>
      </c>
      <c r="B48" s="108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203">
        <f>656-SUM(N45:N47)</f>
        <v>0</v>
      </c>
      <c r="O48" s="203">
        <f>R48-N48</f>
        <v>0</v>
      </c>
      <c r="P48" s="203">
        <f>2540-1735-SUM(P45:P47)</f>
        <v>0</v>
      </c>
      <c r="Q48" s="1448">
        <f>S48-P48</f>
        <v>0</v>
      </c>
      <c r="R48" s="203">
        <f>1735-SUM(R45:R47)</f>
        <v>0</v>
      </c>
      <c r="S48" s="203">
        <f>T48-R48</f>
        <v>0</v>
      </c>
      <c r="T48" s="1461">
        <v>0</v>
      </c>
      <c r="U48" s="203">
        <f>1008-SUM(U45:U47)</f>
        <v>0</v>
      </c>
      <c r="V48" s="203">
        <f>Y48-U48</f>
        <v>31</v>
      </c>
      <c r="W48" s="203">
        <f>3377-2595-SUM(W45:W47)</f>
        <v>65</v>
      </c>
      <c r="X48" s="1448">
        <f>Z48-W48</f>
        <v>91</v>
      </c>
      <c r="Y48" s="203">
        <f>2595-SUM(Y45:Y47)</f>
        <v>31</v>
      </c>
      <c r="Z48" s="203">
        <f>AA48-Y48</f>
        <v>156</v>
      </c>
      <c r="AA48" s="1461">
        <v>187</v>
      </c>
      <c r="AB48" s="203">
        <f>610-SUM(AB45:AB47)</f>
        <v>77</v>
      </c>
      <c r="AC48" s="203">
        <f>AF48-AB48</f>
        <v>-70</v>
      </c>
      <c r="AD48" s="203">
        <f>3146-2049-SUM(AD45:AD47)</f>
        <v>-4</v>
      </c>
      <c r="AE48" s="1448">
        <f>AG48-AD48</f>
        <v>71</v>
      </c>
      <c r="AF48" s="203">
        <f>2049-SUM(AF45:AF47)</f>
        <v>7</v>
      </c>
      <c r="AG48" s="203">
        <f>AH48-AF48</f>
        <v>67</v>
      </c>
      <c r="AH48" s="1461">
        <v>74</v>
      </c>
      <c r="AI48" s="203">
        <f>396-SUM(AI45:AI47)</f>
        <v>-95</v>
      </c>
      <c r="AJ48" s="203">
        <f>AM48-AI48</f>
        <v>66</v>
      </c>
      <c r="AK48" s="203">
        <f>1675-1251-SUM(AK45:AK47)</f>
        <v>-43</v>
      </c>
      <c r="AL48" s="1448">
        <f>AN48-AK48</f>
        <v>223</v>
      </c>
      <c r="AM48" s="203">
        <f>1251-SUM(AM45:AM47)</f>
        <v>-29</v>
      </c>
      <c r="AN48" s="203">
        <f>AO48-AM48</f>
        <v>180</v>
      </c>
      <c r="AO48" s="1461">
        <v>151</v>
      </c>
      <c r="AP48" s="203">
        <f>74-SUM(AP45:AP47)</f>
        <v>-13</v>
      </c>
      <c r="AQ48" s="203">
        <f>AT48-AP48</f>
        <v>-70</v>
      </c>
      <c r="AR48" s="203">
        <f>1915-1282-SUM(AR45:AR47)</f>
        <v>-13</v>
      </c>
      <c r="AS48" s="1448">
        <f>AU48-AR48</f>
        <v>-89</v>
      </c>
      <c r="AT48" s="203">
        <f>1282-SUM(AT45:AT47)</f>
        <v>-83</v>
      </c>
      <c r="AU48" s="203">
        <f>AV48-AT48</f>
        <v>-102</v>
      </c>
      <c r="AV48" s="1461">
        <v>-185</v>
      </c>
      <c r="AW48" s="203">
        <f>230-SUM(AW45:AW47)</f>
        <v>-13</v>
      </c>
      <c r="AX48" s="203">
        <f>BA48-AW48</f>
        <v>-70</v>
      </c>
      <c r="AY48" s="203">
        <f>1856-1050-SUM(AY45:AY47)</f>
        <v>-13</v>
      </c>
      <c r="AZ48" s="1448">
        <f>BB48-AY48</f>
        <v>-89</v>
      </c>
      <c r="BA48" s="203">
        <f>1050-SUM(BA45:BA47)</f>
        <v>-83</v>
      </c>
      <c r="BB48" s="203">
        <f>BC48-BA48</f>
        <v>-102</v>
      </c>
      <c r="BC48" s="1461">
        <v>-185</v>
      </c>
      <c r="BD48" s="203">
        <f>206-SUM(BD45:BD47)</f>
        <v>-54</v>
      </c>
      <c r="BE48" s="203">
        <f>BH48-BD48</f>
        <v>102</v>
      </c>
      <c r="BF48" s="203">
        <f>2517-1185-SUM(BF45:BF47)</f>
        <v>-44</v>
      </c>
      <c r="BG48" s="1448">
        <f>BI48-BF48</f>
        <v>41</v>
      </c>
      <c r="BH48" s="203">
        <f>1185-SUM(BH45:BH47)</f>
        <v>48</v>
      </c>
      <c r="BI48" s="203">
        <f>BJ48-BH48</f>
        <v>-3</v>
      </c>
      <c r="BJ48" s="1461">
        <v>45</v>
      </c>
      <c r="BK48" s="203">
        <f>725-SUM(BK45:BK47)</f>
        <v>30</v>
      </c>
      <c r="BL48" s="203">
        <f>BO48-BK48</f>
        <v>-5</v>
      </c>
      <c r="BM48" s="203">
        <f>4538-2781-SUM(BM45:BM47)</f>
        <v>60</v>
      </c>
      <c r="BN48" s="1448">
        <f>BP48-BM48</f>
        <v>17</v>
      </c>
      <c r="BO48" s="203">
        <f>2781-SUM(BO45:BO47)</f>
        <v>25</v>
      </c>
      <c r="BP48" s="203">
        <f>BQ48-BO48</f>
        <v>77</v>
      </c>
      <c r="BQ48" s="1461">
        <v>102</v>
      </c>
      <c r="BR48" s="203">
        <f>256-SUM(BR45:BR47)</f>
        <v>-34</v>
      </c>
      <c r="BS48" s="203">
        <f>BV48-BR48</f>
        <v>-67</v>
      </c>
      <c r="BT48" s="203">
        <f>1612-329-SUM(BT45:BT47)</f>
        <v>20</v>
      </c>
      <c r="BU48" s="1448">
        <f>BW48-BT48</f>
        <v>11</v>
      </c>
      <c r="BV48" s="203">
        <f>329-SUM(BV45:BV47)</f>
        <v>-101</v>
      </c>
      <c r="BW48" s="203">
        <f>BX48-BV48</f>
        <v>31</v>
      </c>
      <c r="BX48" s="1461">
        <v>-70</v>
      </c>
      <c r="BY48" s="203">
        <f>585-SUM(BY45:BY47)</f>
        <v>-35</v>
      </c>
      <c r="BZ48" s="203">
        <f>CC48-BY48</f>
        <v>18</v>
      </c>
      <c r="CA48" s="203">
        <f>2733-2130-SUM(CA45:CA47)</f>
        <v>-13</v>
      </c>
      <c r="CB48" s="1448">
        <f>CD48-CA48</f>
        <v>3</v>
      </c>
      <c r="CC48" s="203">
        <f>2130-SUM(CC45:CC47)</f>
        <v>-17</v>
      </c>
      <c r="CD48" s="203">
        <f>CE48-CC48</f>
        <v>-10</v>
      </c>
      <c r="CE48" s="1461">
        <v>-27</v>
      </c>
      <c r="CF48" s="203">
        <f>1214-SUM(CF45:CF47)</f>
        <v>-6</v>
      </c>
      <c r="CG48" s="203">
        <f>CJ48-CF48</f>
        <v>1</v>
      </c>
      <c r="CH48" s="203">
        <f>3745-2002-SUM(CH45:CH47)</f>
        <v>5</v>
      </c>
      <c r="CI48" s="1448">
        <f>CK48-CH48</f>
        <v>44</v>
      </c>
      <c r="CJ48" s="203">
        <f>2002-SUM(CJ45:CJ47)</f>
        <v>-5</v>
      </c>
      <c r="CK48" s="203">
        <f>CL48-CJ48</f>
        <v>49</v>
      </c>
      <c r="CL48" s="1461">
        <v>44</v>
      </c>
      <c r="CM48" s="203">
        <f>356-SUM(CM45:CM47)</f>
        <v>28</v>
      </c>
      <c r="CN48" s="203">
        <f>CQ48-CM48</f>
        <v>-28</v>
      </c>
      <c r="CO48" s="203">
        <v>0</v>
      </c>
      <c r="CP48" s="1448">
        <f>CR48-CO48</f>
        <v>0</v>
      </c>
      <c r="CQ48" s="203">
        <v>0</v>
      </c>
      <c r="CR48" s="203">
        <f>CS48-CQ48</f>
        <v>0</v>
      </c>
      <c r="CS48" s="1461">
        <v>0</v>
      </c>
      <c r="CT48" s="203">
        <v>0</v>
      </c>
      <c r="CU48" s="203">
        <f>CX48-CT48</f>
        <v>0</v>
      </c>
      <c r="CV48" s="203">
        <v>0</v>
      </c>
      <c r="CW48" s="1448">
        <f>CY48-CV48</f>
        <v>0</v>
      </c>
      <c r="CX48" s="203">
        <v>0</v>
      </c>
      <c r="CY48" s="203">
        <f>CZ48-CX48</f>
        <v>0</v>
      </c>
      <c r="CZ48" s="1461">
        <v>0</v>
      </c>
      <c r="DA48" s="203">
        <v>0</v>
      </c>
      <c r="DB48" s="203">
        <f>DE48-DA48</f>
        <v>0</v>
      </c>
      <c r="DC48" s="203">
        <f>DF48/2</f>
        <v>0</v>
      </c>
      <c r="DD48" s="1448">
        <f>DF48-DC48</f>
        <v>0</v>
      </c>
      <c r="DE48" s="203">
        <v>0</v>
      </c>
      <c r="DF48" s="203">
        <f>DG48-DE48</f>
        <v>0</v>
      </c>
      <c r="DG48" s="1269">
        <v>0</v>
      </c>
      <c r="DH48" s="203">
        <v>0</v>
      </c>
      <c r="DI48" s="1892">
        <f>DL48-DH48</f>
        <v>0</v>
      </c>
      <c r="DJ48" s="860">
        <f>DM48/2</f>
        <v>0</v>
      </c>
      <c r="DK48" s="1557">
        <f>DM48-DJ48</f>
        <v>0</v>
      </c>
      <c r="DL48" s="1892">
        <v>0</v>
      </c>
      <c r="DM48" s="1422">
        <f>DN48-DL48</f>
        <v>0</v>
      </c>
      <c r="DN48" s="1484">
        <v>0</v>
      </c>
      <c r="DO48" s="860">
        <f>DS48/2</f>
        <v>0</v>
      </c>
      <c r="DP48" s="860">
        <f>DS48-DO48</f>
        <v>0</v>
      </c>
      <c r="DQ48" s="860">
        <f>DT48/2</f>
        <v>0</v>
      </c>
      <c r="DR48" s="1557">
        <f>DT48-DQ48</f>
        <v>0</v>
      </c>
      <c r="DS48" s="860">
        <f>DU48/2</f>
        <v>0</v>
      </c>
      <c r="DT48" s="1422">
        <f>DU48-DS48</f>
        <v>0</v>
      </c>
      <c r="DU48" s="1484">
        <v>0</v>
      </c>
      <c r="DV48" s="860">
        <f>DZ48/2</f>
        <v>0</v>
      </c>
      <c r="DW48" s="860">
        <f>DZ48-DV48</f>
        <v>0</v>
      </c>
      <c r="DX48" s="860">
        <f>EA48/2</f>
        <v>0</v>
      </c>
      <c r="DY48" s="1557">
        <f>EA48-DX48</f>
        <v>0</v>
      </c>
      <c r="DZ48" s="860">
        <f>EB48/2</f>
        <v>0</v>
      </c>
      <c r="EA48" s="1422">
        <f>EB48-DZ48</f>
        <v>0</v>
      </c>
      <c r="EB48" s="1484">
        <v>0</v>
      </c>
      <c r="EC48" s="860">
        <f>EG48/2</f>
        <v>0</v>
      </c>
      <c r="ED48" s="860">
        <f>EG48-EC48</f>
        <v>0</v>
      </c>
      <c r="EE48" s="860">
        <f>EH48/2</f>
        <v>0</v>
      </c>
      <c r="EF48" s="1557">
        <f>EH48-EE48</f>
        <v>0</v>
      </c>
      <c r="EG48" s="860">
        <f>EI48/2</f>
        <v>0</v>
      </c>
      <c r="EH48" s="1422">
        <f>EI48-EG48</f>
        <v>0</v>
      </c>
      <c r="EI48" s="1484">
        <v>0</v>
      </c>
      <c r="EJ48" s="860">
        <f>EN48/2</f>
        <v>0</v>
      </c>
      <c r="EK48" s="860">
        <f>EN48-EJ48</f>
        <v>0</v>
      </c>
      <c r="EL48" s="860">
        <f>EO48/2</f>
        <v>0</v>
      </c>
      <c r="EM48" s="1557">
        <f>EO48-EL48</f>
        <v>0</v>
      </c>
      <c r="EN48" s="860">
        <f>EP48/2</f>
        <v>0</v>
      </c>
      <c r="EO48" s="1422">
        <f>EP48-EN48</f>
        <v>0</v>
      </c>
      <c r="EP48" s="1484">
        <v>0</v>
      </c>
      <c r="EQ48" s="236"/>
      <c r="ER48" s="46"/>
    </row>
    <row r="49" spans="1:148" ht="10.199999999999999" customHeight="1">
      <c r="A49" s="48" t="s">
        <v>870</v>
      </c>
      <c r="B49" s="108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>
        <f t="shared" ref="N49:Q49" si="576">SUM(N45:N48)</f>
        <v>656</v>
      </c>
      <c r="O49" s="126">
        <f t="shared" si="576"/>
        <v>1079</v>
      </c>
      <c r="P49" s="126">
        <f t="shared" si="576"/>
        <v>805</v>
      </c>
      <c r="Q49" s="1276">
        <f t="shared" si="576"/>
        <v>1603</v>
      </c>
      <c r="R49" s="126">
        <f t="shared" ref="R49:S49" si="577">SUM(R45:R48)</f>
        <v>1735</v>
      </c>
      <c r="S49" s="126">
        <f t="shared" si="577"/>
        <v>2408</v>
      </c>
      <c r="T49" s="1082">
        <f t="shared" ref="T49" si="578">SUM(T45:T48)</f>
        <v>4143</v>
      </c>
      <c r="U49" s="126">
        <f t="shared" ref="U49:X49" si="579">SUM(U45:U48)</f>
        <v>1008</v>
      </c>
      <c r="V49" s="126">
        <f t="shared" si="579"/>
        <v>1587</v>
      </c>
      <c r="W49" s="126">
        <f t="shared" si="579"/>
        <v>782</v>
      </c>
      <c r="X49" s="1276">
        <f t="shared" si="579"/>
        <v>2218</v>
      </c>
      <c r="Y49" s="126">
        <f t="shared" ref="Y49:Z49" si="580">SUM(Y45:Y48)</f>
        <v>2595</v>
      </c>
      <c r="Z49" s="126">
        <f t="shared" si="580"/>
        <v>3000</v>
      </c>
      <c r="AA49" s="1082">
        <f t="shared" ref="AA49" si="581">SUM(AA45:AA48)</f>
        <v>5595</v>
      </c>
      <c r="AB49" s="126">
        <f t="shared" ref="AB49:AE49" si="582">SUM(AB45:AB48)</f>
        <v>610</v>
      </c>
      <c r="AC49" s="126">
        <f t="shared" si="582"/>
        <v>1439</v>
      </c>
      <c r="AD49" s="126">
        <f t="shared" si="582"/>
        <v>1097</v>
      </c>
      <c r="AE49" s="1276">
        <f t="shared" si="582"/>
        <v>1468</v>
      </c>
      <c r="AF49" s="126">
        <f t="shared" ref="AF49:AG49" si="583">SUM(AF45:AF48)</f>
        <v>2049</v>
      </c>
      <c r="AG49" s="126">
        <f t="shared" si="583"/>
        <v>2565</v>
      </c>
      <c r="AH49" s="1082">
        <f t="shared" ref="AH49" si="584">SUM(AH45:AH48)</f>
        <v>4614</v>
      </c>
      <c r="AI49" s="126">
        <f t="shared" ref="AI49:AL49" si="585">SUM(AI45:AI48)</f>
        <v>396</v>
      </c>
      <c r="AJ49" s="126">
        <f t="shared" si="585"/>
        <v>855</v>
      </c>
      <c r="AK49" s="126">
        <f t="shared" si="585"/>
        <v>424</v>
      </c>
      <c r="AL49" s="1276">
        <f t="shared" si="585"/>
        <v>1890</v>
      </c>
      <c r="AM49" s="126">
        <f t="shared" ref="AM49:AN49" si="586">SUM(AM45:AM48)</f>
        <v>1251</v>
      </c>
      <c r="AN49" s="126">
        <f t="shared" si="586"/>
        <v>2314</v>
      </c>
      <c r="AO49" s="1082">
        <f t="shared" ref="AO49" si="587">SUM(AO45:AO48)</f>
        <v>3565</v>
      </c>
      <c r="AP49" s="126">
        <f t="shared" ref="AP49:AS49" si="588">SUM(AP45:AP48)</f>
        <v>74</v>
      </c>
      <c r="AQ49" s="126">
        <f t="shared" si="588"/>
        <v>1208</v>
      </c>
      <c r="AR49" s="126">
        <f t="shared" si="588"/>
        <v>633</v>
      </c>
      <c r="AS49" s="1276">
        <f t="shared" si="588"/>
        <v>2536</v>
      </c>
      <c r="AT49" s="126">
        <f t="shared" ref="AT49:AU49" si="589">SUM(AT45:AT48)</f>
        <v>1282</v>
      </c>
      <c r="AU49" s="126">
        <f t="shared" si="589"/>
        <v>3169</v>
      </c>
      <c r="AV49" s="1082">
        <f t="shared" ref="AV49:AZ49" si="590">SUM(AV45:AV48)</f>
        <v>4451</v>
      </c>
      <c r="AW49" s="126">
        <f t="shared" si="590"/>
        <v>230</v>
      </c>
      <c r="AX49" s="126">
        <f t="shared" si="590"/>
        <v>820</v>
      </c>
      <c r="AY49" s="126">
        <f t="shared" si="590"/>
        <v>806</v>
      </c>
      <c r="AZ49" s="1276">
        <f t="shared" si="590"/>
        <v>2500</v>
      </c>
      <c r="BA49" s="126">
        <f t="shared" ref="BA49:BB49" si="591">SUM(BA45:BA48)</f>
        <v>1050</v>
      </c>
      <c r="BB49" s="126">
        <f t="shared" si="591"/>
        <v>3306</v>
      </c>
      <c r="BC49" s="1082">
        <f t="shared" ref="BC49:BG49" si="592">SUM(BC45:BC48)</f>
        <v>4356</v>
      </c>
      <c r="BD49" s="126">
        <f t="shared" si="592"/>
        <v>206</v>
      </c>
      <c r="BE49" s="126">
        <f t="shared" si="592"/>
        <v>979</v>
      </c>
      <c r="BF49" s="126">
        <f t="shared" si="592"/>
        <v>1332</v>
      </c>
      <c r="BG49" s="1276">
        <f t="shared" si="592"/>
        <v>2998</v>
      </c>
      <c r="BH49" s="126">
        <f t="shared" ref="BH49:BI49" si="593">SUM(BH45:BH48)</f>
        <v>1185</v>
      </c>
      <c r="BI49" s="126">
        <f t="shared" si="593"/>
        <v>4330</v>
      </c>
      <c r="BJ49" s="1082">
        <f t="shared" ref="BJ49" si="594">SUM(BJ45:BJ48)</f>
        <v>5515</v>
      </c>
      <c r="BK49" s="126">
        <f t="shared" ref="BK49:BM49" si="595">SUM(BK45:BK48)</f>
        <v>725</v>
      </c>
      <c r="BL49" s="126">
        <f t="shared" si="595"/>
        <v>2056</v>
      </c>
      <c r="BM49" s="126">
        <f t="shared" si="595"/>
        <v>1757</v>
      </c>
      <c r="BN49" s="1276">
        <f t="shared" ref="BN49" si="596">SUM(BN45:BN48)</f>
        <v>-1147</v>
      </c>
      <c r="BO49" s="126">
        <f t="shared" ref="BO49:BP49" si="597">SUM(BO45:BO48)</f>
        <v>2781</v>
      </c>
      <c r="BP49" s="126">
        <f t="shared" si="597"/>
        <v>610</v>
      </c>
      <c r="BQ49" s="1082">
        <f t="shared" ref="BQ49" si="598">SUM(BQ45:BQ48)</f>
        <v>3391</v>
      </c>
      <c r="BR49" s="126">
        <f t="shared" ref="BR49:BU49" si="599">SUM(BR45:BR48)</f>
        <v>256</v>
      </c>
      <c r="BS49" s="126">
        <f t="shared" si="599"/>
        <v>73</v>
      </c>
      <c r="BT49" s="126">
        <f t="shared" si="599"/>
        <v>1283</v>
      </c>
      <c r="BU49" s="1276">
        <f t="shared" si="599"/>
        <v>1449</v>
      </c>
      <c r="BV49" s="126">
        <f t="shared" ref="BV49:BW49" si="600">SUM(BV45:BV48)</f>
        <v>329</v>
      </c>
      <c r="BW49" s="126">
        <f t="shared" si="600"/>
        <v>2732</v>
      </c>
      <c r="BX49" s="1082">
        <f t="shared" ref="BX49" si="601">SUM(BX45:BX48)</f>
        <v>3061</v>
      </c>
      <c r="BY49" s="126">
        <f t="shared" ref="BY49:CB49" si="602">SUM(BY45:BY48)</f>
        <v>585</v>
      </c>
      <c r="BZ49" s="126">
        <f t="shared" si="602"/>
        <v>1545</v>
      </c>
      <c r="CA49" s="126">
        <f t="shared" si="602"/>
        <v>603</v>
      </c>
      <c r="CB49" s="1276">
        <f t="shared" si="602"/>
        <v>1345</v>
      </c>
      <c r="CC49" s="126">
        <f t="shared" ref="CC49:CD49" si="603">SUM(CC45:CC48)</f>
        <v>2130</v>
      </c>
      <c r="CD49" s="126">
        <f t="shared" si="603"/>
        <v>1948</v>
      </c>
      <c r="CE49" s="1082">
        <f t="shared" ref="CE49:EP49" si="604">SUM(CE45:CE48)</f>
        <v>4078</v>
      </c>
      <c r="CF49" s="126">
        <f t="shared" ref="CF49:CI49" si="605">SUM(CF45:CF48)</f>
        <v>1214</v>
      </c>
      <c r="CG49" s="126">
        <f t="shared" si="605"/>
        <v>788</v>
      </c>
      <c r="CH49" s="126">
        <f t="shared" si="605"/>
        <v>1743</v>
      </c>
      <c r="CI49" s="1276">
        <f t="shared" si="605"/>
        <v>1767</v>
      </c>
      <c r="CJ49" s="126">
        <f t="shared" ref="CJ49:CK49" si="606">SUM(CJ45:CJ48)</f>
        <v>2002</v>
      </c>
      <c r="CK49" s="126">
        <f t="shared" si="606"/>
        <v>3510</v>
      </c>
      <c r="CL49" s="1082">
        <f t="shared" si="604"/>
        <v>5512</v>
      </c>
      <c r="CM49" s="126">
        <f t="shared" ref="CM49:CP49" si="607">SUM(CM45:CM48)</f>
        <v>356</v>
      </c>
      <c r="CN49" s="126">
        <f t="shared" si="607"/>
        <v>1503</v>
      </c>
      <c r="CO49" s="126">
        <f t="shared" si="607"/>
        <v>1426</v>
      </c>
      <c r="CP49" s="1276">
        <f t="shared" si="607"/>
        <v>2433</v>
      </c>
      <c r="CQ49" s="126">
        <f t="shared" ref="CQ49" si="608">SUM(CQ45:CQ48)</f>
        <v>1859</v>
      </c>
      <c r="CR49" s="126">
        <f t="shared" ref="CR49" si="609">SUM(CR45:CR48)</f>
        <v>3859</v>
      </c>
      <c r="CS49" s="1082">
        <f t="shared" si="604"/>
        <v>5718</v>
      </c>
      <c r="CT49" s="126">
        <f t="shared" ref="CT49:CU49" si="610">SUM(CT45:CT48)</f>
        <v>959</v>
      </c>
      <c r="CU49" s="126">
        <f t="shared" si="610"/>
        <v>1168</v>
      </c>
      <c r="CV49" s="126">
        <f t="shared" ref="CV49:CW49" si="611">SUM(CV45:CV48)</f>
        <v>1129</v>
      </c>
      <c r="CW49" s="1276">
        <f t="shared" si="611"/>
        <v>3314</v>
      </c>
      <c r="CX49" s="126">
        <f t="shared" ref="CX49:DB49" si="612">SUM(CX45:CX48)</f>
        <v>2127</v>
      </c>
      <c r="CY49" s="126">
        <f t="shared" si="612"/>
        <v>4443</v>
      </c>
      <c r="CZ49" s="1082">
        <f t="shared" si="612"/>
        <v>6570</v>
      </c>
      <c r="DA49" s="126">
        <f t="shared" si="612"/>
        <v>1199</v>
      </c>
      <c r="DB49" s="126">
        <f t="shared" si="612"/>
        <v>1167</v>
      </c>
      <c r="DC49" s="126">
        <f t="shared" ref="DC49:DF49" si="613">SUM(DC45:DC48)</f>
        <v>2343</v>
      </c>
      <c r="DD49" s="1276">
        <f t="shared" si="613"/>
        <v>3458</v>
      </c>
      <c r="DE49" s="126">
        <f t="shared" si="613"/>
        <v>2366</v>
      </c>
      <c r="DF49" s="126">
        <f t="shared" si="613"/>
        <v>5801</v>
      </c>
      <c r="DG49" s="1274">
        <f t="shared" ref="DG49:DI49" si="614">SUM(DG45:DG48)</f>
        <v>8167</v>
      </c>
      <c r="DH49" s="126">
        <f t="shared" si="614"/>
        <v>1080</v>
      </c>
      <c r="DI49" s="1920">
        <f t="shared" si="614"/>
        <v>3458</v>
      </c>
      <c r="DJ49" s="1110">
        <f t="shared" ref="DJ49:DL49" si="615">SUM(DJ45:DJ48)</f>
        <v>2143.9963857719054</v>
      </c>
      <c r="DK49" s="1111">
        <f t="shared" si="615"/>
        <v>2021.132021405142</v>
      </c>
      <c r="DL49" s="2012">
        <f t="shared" si="615"/>
        <v>4538</v>
      </c>
      <c r="DM49" s="1110">
        <f t="shared" ref="DM49" si="616">SUM(DM45:DM48)</f>
        <v>4165.1284071770469</v>
      </c>
      <c r="DN49" s="1107">
        <f t="shared" si="604"/>
        <v>8703.128407177046</v>
      </c>
      <c r="DO49" s="1110">
        <f t="shared" ref="DO49:DS49" si="617">SUM(DO45:DO48)</f>
        <v>2372.1288454505793</v>
      </c>
      <c r="DP49" s="1110">
        <f t="shared" si="617"/>
        <v>2661.3421279176055</v>
      </c>
      <c r="DQ49" s="1110">
        <f t="shared" si="617"/>
        <v>2638.6320466869506</v>
      </c>
      <c r="DR49" s="1111">
        <f t="shared" si="617"/>
        <v>2967.3369137796658</v>
      </c>
      <c r="DS49" s="1110">
        <f t="shared" si="617"/>
        <v>5033.4709733681848</v>
      </c>
      <c r="DT49" s="1110">
        <f t="shared" ref="DT49" si="618">SUM(DT45:DT48)</f>
        <v>5605.9689604666164</v>
      </c>
      <c r="DU49" s="1107">
        <f t="shared" si="604"/>
        <v>10639.439933834799</v>
      </c>
      <c r="DV49" s="1110">
        <f t="shared" ref="DV49:DZ49" si="619">SUM(DV45:DV48)</f>
        <v>2851.8352231154081</v>
      </c>
      <c r="DW49" s="1110">
        <f t="shared" si="619"/>
        <v>3162.0157502426168</v>
      </c>
      <c r="DX49" s="1110">
        <f t="shared" si="619"/>
        <v>3142.4980190364904</v>
      </c>
      <c r="DY49" s="1111">
        <f t="shared" si="619"/>
        <v>3572.8346492191258</v>
      </c>
      <c r="DZ49" s="1110">
        <f t="shared" si="619"/>
        <v>6013.8509733580249</v>
      </c>
      <c r="EA49" s="1110">
        <f t="shared" ref="EA49" si="620">SUM(EA45:EA48)</f>
        <v>6715.3326682556162</v>
      </c>
      <c r="EB49" s="1107">
        <f t="shared" si="604"/>
        <v>12729.183641613643</v>
      </c>
      <c r="EC49" s="1110">
        <f t="shared" ref="EC49:EG49" si="621">SUM(EC45:EC48)</f>
        <v>3206.0635482120779</v>
      </c>
      <c r="ED49" s="1110">
        <f t="shared" si="621"/>
        <v>3368.2785352322344</v>
      </c>
      <c r="EE49" s="1110">
        <f t="shared" si="621"/>
        <v>3347.7969593210523</v>
      </c>
      <c r="EF49" s="1111">
        <f t="shared" si="621"/>
        <v>3810.2141682574957</v>
      </c>
      <c r="EG49" s="1110">
        <f t="shared" si="621"/>
        <v>6574.3420834443123</v>
      </c>
      <c r="EH49" s="1110">
        <f t="shared" ref="EH49" si="622">SUM(EH45:EH48)</f>
        <v>7158.0111275785493</v>
      </c>
      <c r="EI49" s="1107">
        <f t="shared" si="604"/>
        <v>13732.353211022859</v>
      </c>
      <c r="EJ49" s="1110">
        <f t="shared" ref="EJ49:EN49" si="623">SUM(EJ45:EJ48)</f>
        <v>3393.601677249831</v>
      </c>
      <c r="EK49" s="1110">
        <f t="shared" si="623"/>
        <v>3564.7035430525593</v>
      </c>
      <c r="EL49" s="1110">
        <f t="shared" si="623"/>
        <v>3551.8429244087874</v>
      </c>
      <c r="EM49" s="1111">
        <f t="shared" si="623"/>
        <v>4017.6620811683515</v>
      </c>
      <c r="EN49" s="1110">
        <f t="shared" si="623"/>
        <v>6958.3052203023899</v>
      </c>
      <c r="EO49" s="1110">
        <f t="shared" ref="EO49" si="624">SUM(EO45:EO48)</f>
        <v>7569.505005577138</v>
      </c>
      <c r="EP49" s="1107">
        <f t="shared" si="604"/>
        <v>14527.810225879528</v>
      </c>
      <c r="EQ49" s="236"/>
      <c r="ER49" s="46"/>
    </row>
    <row r="50" spans="1:148" ht="10.199999999999999" customHeight="1">
      <c r="A50" s="48" t="s">
        <v>869</v>
      </c>
      <c r="B50" s="48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>
        <f>-N46</f>
        <v>-3117</v>
      </c>
      <c r="O50" s="126">
        <f>R50-N50</f>
        <v>-1246</v>
      </c>
      <c r="P50" s="126">
        <f>-P46</f>
        <v>-1068</v>
      </c>
      <c r="Q50" s="1276">
        <f>S50-P50</f>
        <v>3340</v>
      </c>
      <c r="R50" s="126">
        <f>-R46</f>
        <v>-4363</v>
      </c>
      <c r="S50" s="126">
        <f>T50-R50</f>
        <v>2272</v>
      </c>
      <c r="T50" s="1082">
        <f>-T46</f>
        <v>-2091</v>
      </c>
      <c r="U50" s="126">
        <f>-U46</f>
        <v>-2545</v>
      </c>
      <c r="V50" s="126">
        <f>Y50-U50</f>
        <v>-1479</v>
      </c>
      <c r="W50" s="126">
        <f>-W46</f>
        <v>-144</v>
      </c>
      <c r="X50" s="1276">
        <f>Z50-W50</f>
        <v>1782</v>
      </c>
      <c r="Y50" s="126">
        <f>-Y46</f>
        <v>-4024</v>
      </c>
      <c r="Z50" s="126">
        <f>AA50-Y50</f>
        <v>1638</v>
      </c>
      <c r="AA50" s="1082">
        <f>-AA46</f>
        <v>-2386</v>
      </c>
      <c r="AB50" s="126">
        <f>-AB46</f>
        <v>-1227</v>
      </c>
      <c r="AC50" s="126">
        <f>AF50-AB50</f>
        <v>-874</v>
      </c>
      <c r="AD50" s="126">
        <f>-AD46</f>
        <v>-1201</v>
      </c>
      <c r="AE50" s="1276">
        <f>AG50-AD50</f>
        <v>2579</v>
      </c>
      <c r="AF50" s="126">
        <f>-AF46</f>
        <v>-2101</v>
      </c>
      <c r="AG50" s="126">
        <f>AH50-AF50</f>
        <v>1378</v>
      </c>
      <c r="AH50" s="1082">
        <f>-AH46</f>
        <v>-723</v>
      </c>
      <c r="AI50" s="126">
        <f>-AI46</f>
        <v>-2814</v>
      </c>
      <c r="AJ50" s="126">
        <f>AM50-AI50</f>
        <v>-460</v>
      </c>
      <c r="AK50" s="126">
        <f>-4475-AI50-AJ50</f>
        <v>-1201</v>
      </c>
      <c r="AL50" s="1276">
        <f>AN50-AK50</f>
        <v>4821</v>
      </c>
      <c r="AM50" s="126">
        <v>-3274</v>
      </c>
      <c r="AN50" s="126">
        <f>AO50-AM50</f>
        <v>3620</v>
      </c>
      <c r="AO50" s="1082">
        <v>346</v>
      </c>
      <c r="AP50" s="126">
        <f>-AP46</f>
        <v>-1337</v>
      </c>
      <c r="AQ50" s="126">
        <f>AT50-AP50</f>
        <v>-1802</v>
      </c>
      <c r="AR50" s="126">
        <f>-AR46</f>
        <v>-1320</v>
      </c>
      <c r="AS50" s="1276">
        <f>AU50-AR50</f>
        <v>4725</v>
      </c>
      <c r="AT50" s="126">
        <f>-AT46</f>
        <v>-3139</v>
      </c>
      <c r="AU50" s="126">
        <f>AV50-AT50</f>
        <v>3405</v>
      </c>
      <c r="AV50" s="1082">
        <f>-AV46</f>
        <v>266</v>
      </c>
      <c r="AW50" s="126">
        <f>-AW46</f>
        <v>-1493</v>
      </c>
      <c r="AX50" s="126">
        <f>BA50-AW50</f>
        <v>-1414</v>
      </c>
      <c r="AY50" s="126">
        <f>-AY46</f>
        <v>-1493</v>
      </c>
      <c r="AZ50" s="1276">
        <f>BB50-AY50</f>
        <v>4761</v>
      </c>
      <c r="BA50" s="126">
        <f>-BA46</f>
        <v>-2907</v>
      </c>
      <c r="BB50" s="126">
        <f>BC50-BA50</f>
        <v>3268</v>
      </c>
      <c r="BC50" s="1082">
        <f>-BC46</f>
        <v>361</v>
      </c>
      <c r="BD50" s="126">
        <f>-BD46</f>
        <v>-3797</v>
      </c>
      <c r="BE50" s="126">
        <f>BH50-BD50</f>
        <v>-704</v>
      </c>
      <c r="BF50" s="126">
        <f>-BF46</f>
        <v>-1186</v>
      </c>
      <c r="BG50" s="1276">
        <f>BI50-BF50</f>
        <v>5054</v>
      </c>
      <c r="BH50" s="126">
        <f>-BH46</f>
        <v>-4501</v>
      </c>
      <c r="BI50" s="126">
        <f>BJ50-BH50</f>
        <v>3868</v>
      </c>
      <c r="BJ50" s="1082">
        <f>-BJ46</f>
        <v>-633</v>
      </c>
      <c r="BK50" s="126">
        <f>-BK46</f>
        <v>-4703</v>
      </c>
      <c r="BL50" s="126">
        <f>BO50-BK50</f>
        <v>-1385</v>
      </c>
      <c r="BM50" s="126">
        <f>-8244-BK50-BL50</f>
        <v>-2156</v>
      </c>
      <c r="BN50" s="1276">
        <f>BP50-BM50</f>
        <v>10420</v>
      </c>
      <c r="BO50" s="126">
        <f>-BO46</f>
        <v>-6088</v>
      </c>
      <c r="BP50" s="126">
        <f>BQ50-BO50</f>
        <v>8264</v>
      </c>
      <c r="BQ50" s="1082">
        <v>2176</v>
      </c>
      <c r="BR50" s="126">
        <v>-7778</v>
      </c>
      <c r="BS50" s="126">
        <f>BV50-BR50</f>
        <v>-4120</v>
      </c>
      <c r="BT50" s="126">
        <f>-12276-BR50-BS50</f>
        <v>-378</v>
      </c>
      <c r="BU50" s="1276">
        <f>BW50-BT50</f>
        <v>4079</v>
      </c>
      <c r="BV50" s="126">
        <v>-11898</v>
      </c>
      <c r="BW50" s="126">
        <f>BX50-BV50</f>
        <v>3701</v>
      </c>
      <c r="BX50" s="1082">
        <v>-8197</v>
      </c>
      <c r="BY50" s="126">
        <v>1022</v>
      </c>
      <c r="BZ50" s="126">
        <f>CC50-BY50</f>
        <v>-312</v>
      </c>
      <c r="CA50" s="126">
        <f>800-BY50-BZ50</f>
        <v>90</v>
      </c>
      <c r="CB50" s="1276">
        <f>CD50-CA50</f>
        <v>184</v>
      </c>
      <c r="CC50" s="126">
        <v>710</v>
      </c>
      <c r="CD50" s="126">
        <f>CE50-CC50</f>
        <v>274</v>
      </c>
      <c r="CE50" s="1082">
        <v>984</v>
      </c>
      <c r="CF50" s="126">
        <f t="shared" ref="CF50" si="625">-CF46</f>
        <v>-662</v>
      </c>
      <c r="CG50" s="126">
        <f>CJ50-CF50</f>
        <v>985</v>
      </c>
      <c r="CH50" s="126">
        <f t="shared" ref="CH50" si="626">-CH46</f>
        <v>-245</v>
      </c>
      <c r="CI50" s="1276">
        <f>CK50-CH50</f>
        <v>1343</v>
      </c>
      <c r="CJ50" s="126">
        <f t="shared" ref="CJ50" si="627">-CJ46</f>
        <v>323</v>
      </c>
      <c r="CK50" s="126">
        <f>CL50-CJ50</f>
        <v>1098</v>
      </c>
      <c r="CL50" s="1082">
        <f t="shared" ref="CL50:EP50" si="628">-CL46</f>
        <v>1421</v>
      </c>
      <c r="CM50" s="126">
        <f t="shared" si="628"/>
        <v>-737</v>
      </c>
      <c r="CN50" s="126">
        <f>CQ50-CM50</f>
        <v>1385</v>
      </c>
      <c r="CO50" s="126">
        <f t="shared" ref="CO50" si="629">-CO46</f>
        <v>-1590</v>
      </c>
      <c r="CP50" s="1276">
        <f>CR50-CO50</f>
        <v>2147</v>
      </c>
      <c r="CQ50" s="126">
        <f t="shared" si="628"/>
        <v>648</v>
      </c>
      <c r="CR50" s="126">
        <f>CS50-CQ50</f>
        <v>557</v>
      </c>
      <c r="CS50" s="1082">
        <f t="shared" si="628"/>
        <v>1205</v>
      </c>
      <c r="CT50" s="126">
        <f t="shared" ref="CT50:CV50" si="630">-CT46</f>
        <v>-2284</v>
      </c>
      <c r="CU50" s="126">
        <f>CX50-CT50</f>
        <v>669</v>
      </c>
      <c r="CV50" s="126">
        <f t="shared" si="630"/>
        <v>-679</v>
      </c>
      <c r="CW50" s="1276">
        <f>CY50-CV50</f>
        <v>3560</v>
      </c>
      <c r="CX50" s="126">
        <v>-1615</v>
      </c>
      <c r="CY50" s="126">
        <f>CZ50-CX50</f>
        <v>2881</v>
      </c>
      <c r="CZ50" s="1082">
        <v>1266</v>
      </c>
      <c r="DA50" s="126">
        <v>-906</v>
      </c>
      <c r="DB50" s="126">
        <f>DE50-DA50</f>
        <v>-2134</v>
      </c>
      <c r="DC50" s="126">
        <v>-637</v>
      </c>
      <c r="DD50" s="1276">
        <f>DF50-DC50</f>
        <v>3771</v>
      </c>
      <c r="DE50" s="2095">
        <v>-3040</v>
      </c>
      <c r="DF50" s="126">
        <f>DG50-DE50</f>
        <v>3134</v>
      </c>
      <c r="DG50" s="1082">
        <v>94</v>
      </c>
      <c r="DH50" s="126">
        <v>-2896</v>
      </c>
      <c r="DI50" s="1920">
        <f>DL50-DH50</f>
        <v>-1527</v>
      </c>
      <c r="DJ50" s="1110">
        <f t="shared" ref="DJ50" si="631">-DJ46</f>
        <v>-500</v>
      </c>
      <c r="DK50" s="1111">
        <f>DM50-DJ50</f>
        <v>5129.1874641168752</v>
      </c>
      <c r="DL50" s="2012">
        <v>-4423</v>
      </c>
      <c r="DM50" s="1110">
        <f>DN50-DL50</f>
        <v>4629.1874641168752</v>
      </c>
      <c r="DN50" s="1107">
        <f t="shared" si="628"/>
        <v>206.18746411687493</v>
      </c>
      <c r="DO50" s="1110">
        <f t="shared" si="628"/>
        <v>-2773.5405815505828</v>
      </c>
      <c r="DP50" s="1110">
        <f>DS50-DO50</f>
        <v>1233.0357546633422</v>
      </c>
      <c r="DQ50" s="1110">
        <f t="shared" ref="DQ50" si="632">-DQ46</f>
        <v>1109.6969155636884</v>
      </c>
      <c r="DR50" s="1111">
        <f>DT50-DQ50</f>
        <v>295.43162270351513</v>
      </c>
      <c r="DS50" s="1110">
        <f t="shared" ref="DS50" si="633">-DS46</f>
        <v>-1540.5048268872406</v>
      </c>
      <c r="DT50" s="1110">
        <f>DU50-DS50</f>
        <v>1405.1285382672036</v>
      </c>
      <c r="DU50" s="1107">
        <f t="shared" si="628"/>
        <v>-135.37628862003714</v>
      </c>
      <c r="DV50" s="1110">
        <f t="shared" ref="DV50" si="634">-DV46</f>
        <v>-2357.7801327452844</v>
      </c>
      <c r="DW50" s="1110">
        <f>DZ50-DV50</f>
        <v>1255.9093097403024</v>
      </c>
      <c r="DX50" s="1110">
        <f t="shared" ref="DX50" si="635">-DX46</f>
        <v>1135.7105634819372</v>
      </c>
      <c r="DY50" s="1111">
        <f>EA50-DX50</f>
        <v>361.45789275673224</v>
      </c>
      <c r="DZ50" s="1110">
        <f t="shared" ref="DZ50" si="636">-DZ46</f>
        <v>-1101.870823004982</v>
      </c>
      <c r="EA50" s="1110">
        <f>EB50-DZ50</f>
        <v>1497.1684562386695</v>
      </c>
      <c r="EB50" s="1107">
        <f t="shared" si="628"/>
        <v>395.29763323368741</v>
      </c>
      <c r="EC50" s="1110">
        <f t="shared" ref="EC50" si="637">-EC46</f>
        <v>-1939.5317070564481</v>
      </c>
      <c r="ED50" s="1110">
        <f>EG50-EC50</f>
        <v>838.6048594427823</v>
      </c>
      <c r="EE50" s="1110">
        <f t="shared" ref="EE50" si="638">-EE46</f>
        <v>716.69352270103411</v>
      </c>
      <c r="EF50" s="1111">
        <f>EH50-EE50</f>
        <v>574.95046173082744</v>
      </c>
      <c r="EG50" s="1110">
        <f t="shared" ref="EG50" si="639">-EG46</f>
        <v>-1100.9268476136658</v>
      </c>
      <c r="EH50" s="1110">
        <f>EI50-EG50</f>
        <v>1291.6439844318616</v>
      </c>
      <c r="EI50" s="1107">
        <f t="shared" si="628"/>
        <v>190.71713681819574</v>
      </c>
      <c r="EJ50" s="1110">
        <f t="shared" ref="EJ50" si="640">-EJ46</f>
        <v>-1782.0266377009302</v>
      </c>
      <c r="EK50" s="1110">
        <f>EN50-EJ50</f>
        <v>864.04784190653038</v>
      </c>
      <c r="EL50" s="1110">
        <f t="shared" ref="EL50" si="641">-EL46</f>
        <v>739.03869781995297</v>
      </c>
      <c r="EM50" s="1111">
        <f>EO50-EL50</f>
        <v>582.98461074772524</v>
      </c>
      <c r="EN50" s="1110">
        <f t="shared" ref="EN50" si="642">-EN46</f>
        <v>-917.97879579439984</v>
      </c>
      <c r="EO50" s="1110">
        <f>EP50-EN50</f>
        <v>1322.0233085676782</v>
      </c>
      <c r="EP50" s="1107">
        <f t="shared" si="628"/>
        <v>404.04451277327848</v>
      </c>
      <c r="EQ50" s="906"/>
      <c r="ER50" s="97"/>
    </row>
    <row r="51" spans="1:148" ht="10.199999999999999" customHeight="1">
      <c r="A51" s="108" t="s">
        <v>871</v>
      </c>
      <c r="B51" s="108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>
        <f t="shared" ref="N51:Q51" si="643">N53+N54+N55</f>
        <v>-701</v>
      </c>
      <c r="O51" s="203">
        <f t="shared" si="643"/>
        <v>-744</v>
      </c>
      <c r="P51" s="203">
        <f t="shared" si="643"/>
        <v>-428</v>
      </c>
      <c r="Q51" s="1448">
        <f t="shared" si="643"/>
        <v>-1006</v>
      </c>
      <c r="R51" s="203">
        <f t="shared" ref="R51:S51" si="644">R53+R54+R55</f>
        <v>-1445</v>
      </c>
      <c r="S51" s="203">
        <f t="shared" si="644"/>
        <v>-1434</v>
      </c>
      <c r="T51" s="1461">
        <f>T53+T54+T55</f>
        <v>-2879</v>
      </c>
      <c r="U51" s="203">
        <f t="shared" ref="U51:X51" si="645">U53+U54+U55</f>
        <v>-497</v>
      </c>
      <c r="V51" s="203">
        <f t="shared" si="645"/>
        <v>-318</v>
      </c>
      <c r="W51" s="203">
        <f t="shared" si="645"/>
        <v>-514</v>
      </c>
      <c r="X51" s="1448">
        <f t="shared" si="645"/>
        <v>122</v>
      </c>
      <c r="Y51" s="203">
        <f t="shared" ref="Y51:Z51" si="646">Y53+Y54+Y55</f>
        <v>-815</v>
      </c>
      <c r="Z51" s="203">
        <f t="shared" si="646"/>
        <v>-392</v>
      </c>
      <c r="AA51" s="1461">
        <f>AA53+AA54+AA55</f>
        <v>-1207</v>
      </c>
      <c r="AB51" s="203">
        <f t="shared" ref="AB51:AE51" si="647">AB53+AB54+AB55</f>
        <v>1069</v>
      </c>
      <c r="AC51" s="203">
        <f t="shared" si="647"/>
        <v>-468</v>
      </c>
      <c r="AD51" s="203">
        <f t="shared" si="647"/>
        <v>-557</v>
      </c>
      <c r="AE51" s="1448">
        <f t="shared" si="647"/>
        <v>-1110</v>
      </c>
      <c r="AF51" s="203">
        <f t="shared" ref="AF51:AG51" si="648">AF53+AF54+AF55</f>
        <v>601</v>
      </c>
      <c r="AG51" s="203">
        <f t="shared" si="648"/>
        <v>-1667</v>
      </c>
      <c r="AH51" s="1461">
        <f>AH53+AH54+AH55</f>
        <v>-1066</v>
      </c>
      <c r="AI51" s="203">
        <f t="shared" ref="AI51:AL51" si="649">AI53+AI54+AI55</f>
        <v>-713</v>
      </c>
      <c r="AJ51" s="203">
        <f t="shared" si="649"/>
        <v>1617</v>
      </c>
      <c r="AK51" s="203">
        <f t="shared" si="649"/>
        <v>-753</v>
      </c>
      <c r="AL51" s="1448">
        <f t="shared" si="649"/>
        <v>-881</v>
      </c>
      <c r="AM51" s="203">
        <f t="shared" ref="AM51:AN51" si="650">AM53+AM54+AM55</f>
        <v>904</v>
      </c>
      <c r="AN51" s="203">
        <f t="shared" si="650"/>
        <v>-1634</v>
      </c>
      <c r="AO51" s="1461">
        <f>AO53+AO54+AO55</f>
        <v>-730</v>
      </c>
      <c r="AP51" s="203">
        <f t="shared" ref="AP51:AS51" si="651">AP53+AP54+AP55</f>
        <v>147</v>
      </c>
      <c r="AQ51" s="203">
        <f t="shared" si="651"/>
        <v>-246</v>
      </c>
      <c r="AR51" s="203">
        <f t="shared" si="651"/>
        <v>-565</v>
      </c>
      <c r="AS51" s="1448">
        <f t="shared" si="651"/>
        <v>-318</v>
      </c>
      <c r="AT51" s="203">
        <f t="shared" ref="AT51:AU51" si="652">AT53+AT54+AT55</f>
        <v>-99</v>
      </c>
      <c r="AU51" s="203">
        <f t="shared" si="652"/>
        <v>-883</v>
      </c>
      <c r="AV51" s="1461">
        <f>AV53+AV54+AV55</f>
        <v>-982</v>
      </c>
      <c r="AW51" s="203">
        <f t="shared" ref="AW51:AZ51" si="653">AW53+AW54+AW55</f>
        <v>147</v>
      </c>
      <c r="AX51" s="203">
        <f t="shared" si="653"/>
        <v>-246</v>
      </c>
      <c r="AY51" s="203">
        <f t="shared" si="653"/>
        <v>-565</v>
      </c>
      <c r="AZ51" s="1448">
        <f t="shared" si="653"/>
        <v>-318</v>
      </c>
      <c r="BA51" s="203">
        <f t="shared" ref="BA51:BB51" si="654">BA53+BA54+BA55</f>
        <v>-99</v>
      </c>
      <c r="BB51" s="203">
        <f t="shared" si="654"/>
        <v>-883</v>
      </c>
      <c r="BC51" s="1461">
        <f>BC53+BC54+BC55</f>
        <v>-982</v>
      </c>
      <c r="BD51" s="203">
        <f t="shared" ref="BD51:BG51" si="655">BD53+BD54+BD55</f>
        <v>-65</v>
      </c>
      <c r="BE51" s="203">
        <f t="shared" si="655"/>
        <v>-416</v>
      </c>
      <c r="BF51" s="203">
        <f t="shared" si="655"/>
        <v>-277</v>
      </c>
      <c r="BG51" s="1448">
        <f t="shared" si="655"/>
        <v>-619</v>
      </c>
      <c r="BH51" s="203">
        <f t="shared" ref="BH51:BI51" si="656">BH53+BH54+BH55</f>
        <v>-481</v>
      </c>
      <c r="BI51" s="203">
        <f t="shared" si="656"/>
        <v>-896</v>
      </c>
      <c r="BJ51" s="1461">
        <f>BJ53+BJ54+BJ55</f>
        <v>-1377</v>
      </c>
      <c r="BK51" s="203">
        <f t="shared" ref="BK51:BN51" si="657">BK53+BK54+BK55</f>
        <v>-470</v>
      </c>
      <c r="BL51" s="203">
        <f t="shared" si="657"/>
        <v>-339</v>
      </c>
      <c r="BM51" s="203">
        <f t="shared" si="657"/>
        <v>-612</v>
      </c>
      <c r="BN51" s="1448">
        <f t="shared" si="657"/>
        <v>-671</v>
      </c>
      <c r="BO51" s="203">
        <f t="shared" ref="BO51:BP51" si="658">BO53+BO54+BO55</f>
        <v>-809</v>
      </c>
      <c r="BP51" s="203">
        <f t="shared" si="658"/>
        <v>-1283</v>
      </c>
      <c r="BQ51" s="1461">
        <f>BQ53+BQ54+BQ55</f>
        <v>-2092</v>
      </c>
      <c r="BR51" s="203">
        <f t="shared" ref="BR51:BU51" si="659">BR53+BR54+BR55</f>
        <v>-979</v>
      </c>
      <c r="BS51" s="203">
        <f t="shared" si="659"/>
        <v>-328</v>
      </c>
      <c r="BT51" s="203">
        <f t="shared" si="659"/>
        <v>-305</v>
      </c>
      <c r="BU51" s="1448">
        <f t="shared" si="659"/>
        <v>-614</v>
      </c>
      <c r="BV51" s="203">
        <f t="shared" ref="BV51:BW51" si="660">BV53+BV54+BV55</f>
        <v>-1307</v>
      </c>
      <c r="BW51" s="203">
        <f t="shared" si="660"/>
        <v>-919</v>
      </c>
      <c r="BX51" s="1461">
        <f>BX53+BX54+BX55</f>
        <v>-2226</v>
      </c>
      <c r="BY51" s="203">
        <f t="shared" ref="BY51:CB51" si="661">BY53+BY54+BY55</f>
        <v>-443</v>
      </c>
      <c r="BZ51" s="203">
        <f t="shared" si="661"/>
        <v>-385</v>
      </c>
      <c r="CA51" s="203">
        <f t="shared" si="661"/>
        <v>-397</v>
      </c>
      <c r="CB51" s="1448">
        <f t="shared" si="661"/>
        <v>-326</v>
      </c>
      <c r="CC51" s="203">
        <f t="shared" ref="CC51:CD51" si="662">CC53+CC54+CC55</f>
        <v>-828</v>
      </c>
      <c r="CD51" s="203">
        <f t="shared" si="662"/>
        <v>-723</v>
      </c>
      <c r="CE51" s="1461">
        <f>CE53+CE54+CE55</f>
        <v>-1551</v>
      </c>
      <c r="CF51" s="203">
        <f t="shared" ref="CF51:CI51" si="663">CF53+CF54+CF55</f>
        <v>-391</v>
      </c>
      <c r="CG51" s="203">
        <f t="shared" si="663"/>
        <v>-288</v>
      </c>
      <c r="CH51" s="203">
        <f t="shared" si="663"/>
        <v>-642</v>
      </c>
      <c r="CI51" s="1448">
        <f t="shared" si="663"/>
        <v>-1288</v>
      </c>
      <c r="CJ51" s="203">
        <f t="shared" ref="CJ51:CK51" si="664">CJ53+CJ54+CJ55</f>
        <v>-679</v>
      </c>
      <c r="CK51" s="203">
        <f t="shared" si="664"/>
        <v>-1930</v>
      </c>
      <c r="CL51" s="1461">
        <f>CL53+CL54+CL55</f>
        <v>-2609</v>
      </c>
      <c r="CM51" s="203">
        <f t="shared" ref="CM51:CP51" si="665">CM53+CM54+CM55</f>
        <v>-504</v>
      </c>
      <c r="CN51" s="203">
        <f t="shared" si="665"/>
        <v>-528</v>
      </c>
      <c r="CO51" s="203">
        <f t="shared" si="665"/>
        <v>-593</v>
      </c>
      <c r="CP51" s="1448">
        <f t="shared" si="665"/>
        <v>-1412</v>
      </c>
      <c r="CQ51" s="203">
        <f t="shared" ref="CQ51:CR51" si="666">CQ53+CQ54+CQ55</f>
        <v>-1032</v>
      </c>
      <c r="CR51" s="203">
        <f t="shared" si="666"/>
        <v>-2005</v>
      </c>
      <c r="CS51" s="1461">
        <f t="shared" ref="CS51:CY51" si="667">CS53+CS54+CS55</f>
        <v>-3037</v>
      </c>
      <c r="CT51" s="203">
        <f t="shared" si="667"/>
        <v>-474</v>
      </c>
      <c r="CU51" s="203">
        <f t="shared" si="667"/>
        <v>-597</v>
      </c>
      <c r="CV51" s="203">
        <f t="shared" si="667"/>
        <v>-768</v>
      </c>
      <c r="CW51" s="1448">
        <f t="shared" si="667"/>
        <v>-1536</v>
      </c>
      <c r="CX51" s="203">
        <f t="shared" si="667"/>
        <v>-1071</v>
      </c>
      <c r="CY51" s="203">
        <f t="shared" si="667"/>
        <v>-2304</v>
      </c>
      <c r="CZ51" s="1461">
        <f t="shared" ref="CZ51:DB51" si="668">CZ53+CZ54+CZ55</f>
        <v>-3375</v>
      </c>
      <c r="DA51" s="203">
        <f t="shared" si="668"/>
        <v>-589</v>
      </c>
      <c r="DB51" s="203">
        <f t="shared" si="668"/>
        <v>-321</v>
      </c>
      <c r="DC51" s="203">
        <f t="shared" ref="DC51:DF51" si="669">DC53+DC54+DC55</f>
        <v>-900</v>
      </c>
      <c r="DD51" s="1448">
        <f t="shared" si="669"/>
        <v>-1698</v>
      </c>
      <c r="DE51" s="203">
        <f t="shared" si="669"/>
        <v>-910</v>
      </c>
      <c r="DF51" s="203">
        <f t="shared" si="669"/>
        <v>-2598</v>
      </c>
      <c r="DG51" s="1269">
        <f t="shared" ref="DG51:DI51" si="670">DG53+DG54+DG55</f>
        <v>-3508</v>
      </c>
      <c r="DH51" s="203">
        <f t="shared" si="670"/>
        <v>-606</v>
      </c>
      <c r="DI51" s="2013">
        <f t="shared" si="670"/>
        <v>-552</v>
      </c>
      <c r="DJ51" s="1422">
        <f t="shared" ref="DJ51:EP51" si="671">DJ53+DJ54+DJ55</f>
        <v>-896.60745906495072</v>
      </c>
      <c r="DK51" s="1557">
        <f t="shared" si="671"/>
        <v>-1734.9852681968985</v>
      </c>
      <c r="DL51" s="1892">
        <f t="shared" si="671"/>
        <v>-1158</v>
      </c>
      <c r="DM51" s="1422">
        <f t="shared" ref="DM51" si="672">DM53+DM54+DM55</f>
        <v>-2631.5927272618492</v>
      </c>
      <c r="DN51" s="1548">
        <f t="shared" si="671"/>
        <v>-3789.5927272618492</v>
      </c>
      <c r="DO51" s="1422">
        <f t="shared" si="671"/>
        <v>-975.19999648352905</v>
      </c>
      <c r="DP51" s="1422">
        <f t="shared" si="671"/>
        <v>-796.46610761765214</v>
      </c>
      <c r="DQ51" s="1422">
        <f t="shared" si="671"/>
        <v>-1082.3066739246919</v>
      </c>
      <c r="DR51" s="1557">
        <f t="shared" si="671"/>
        <v>-1050.4235454669208</v>
      </c>
      <c r="DS51" s="1422">
        <f>DS53+DS54+DS55</f>
        <v>-1771.6661041011812</v>
      </c>
      <c r="DT51" s="1422">
        <f t="shared" ref="DT51" si="673">DT53+DT54+DT55</f>
        <v>-2132.730219391613</v>
      </c>
      <c r="DU51" s="1548">
        <f t="shared" si="671"/>
        <v>-3904.3963234927942</v>
      </c>
      <c r="DV51" s="1422">
        <f t="shared" ref="DV51:DY51" si="674">DV53+DV54+DV55</f>
        <v>-1014.8813204468509</v>
      </c>
      <c r="DW51" s="1422">
        <f t="shared" si="674"/>
        <v>-817.18097318027662</v>
      </c>
      <c r="DX51" s="1422">
        <f t="shared" si="674"/>
        <v>-1128.5021800485008</v>
      </c>
      <c r="DY51" s="1557">
        <f t="shared" si="674"/>
        <v>-1101.969526222957</v>
      </c>
      <c r="DZ51" s="1422">
        <f>DZ53+DZ54+DZ55</f>
        <v>-1832.0622936271275</v>
      </c>
      <c r="EA51" s="1422">
        <f t="shared" ref="EA51" si="675">EA53+EA54+EA55</f>
        <v>-2230.4717062714576</v>
      </c>
      <c r="EB51" s="1548">
        <f t="shared" si="671"/>
        <v>-4062.5339998985851</v>
      </c>
      <c r="EC51" s="1422">
        <f t="shared" ref="EC51:EF51" si="676">EC53+EC54+EC55</f>
        <v>-1046.8712868117721</v>
      </c>
      <c r="ED51" s="1422">
        <f t="shared" si="676"/>
        <v>-801.66844488675986</v>
      </c>
      <c r="EE51" s="1422">
        <f t="shared" si="676"/>
        <v>-1126.8850920239308</v>
      </c>
      <c r="EF51" s="1557">
        <f t="shared" si="676"/>
        <v>-1098.8403924085173</v>
      </c>
      <c r="EG51" s="1422">
        <f>EG53+EG54+EG55</f>
        <v>-1848.539731698532</v>
      </c>
      <c r="EH51" s="1422">
        <f t="shared" ref="EH51" si="677">EH53+EH54+EH55</f>
        <v>-2225.725484432448</v>
      </c>
      <c r="EI51" s="1548">
        <f t="shared" si="671"/>
        <v>-4074.2652161309802</v>
      </c>
      <c r="EJ51" s="1422">
        <f t="shared" ref="EJ51:EM51" si="678">EJ53+EJ54+EJ55</f>
        <v>-1081.8498130096723</v>
      </c>
      <c r="EK51" s="1422">
        <f t="shared" si="678"/>
        <v>-829.31633823097854</v>
      </c>
      <c r="EL51" s="1422">
        <f t="shared" si="678"/>
        <v>-1165.6714781510693</v>
      </c>
      <c r="EM51" s="1557">
        <f t="shared" si="678"/>
        <v>-1137.542874546994</v>
      </c>
      <c r="EN51" s="1422">
        <f>EN53+EN54+EN55</f>
        <v>-1911.1661512406508</v>
      </c>
      <c r="EO51" s="1422">
        <f t="shared" ref="EO51" si="679">EO53+EO54+EO55</f>
        <v>-2303.2143526980635</v>
      </c>
      <c r="EP51" s="1548">
        <f t="shared" si="671"/>
        <v>-4214.3805039387144</v>
      </c>
      <c r="EQ51" s="302"/>
      <c r="ER51" s="46"/>
    </row>
    <row r="52" spans="1:148" ht="10.199999999999999" customHeight="1">
      <c r="A52" s="48" t="s">
        <v>881</v>
      </c>
      <c r="B52" s="48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>
        <f t="shared" ref="N52:Q52" si="680">N53+N54</f>
        <v>-649</v>
      </c>
      <c r="O52" s="126">
        <f t="shared" si="680"/>
        <v>-667</v>
      </c>
      <c r="P52" s="126">
        <f t="shared" si="680"/>
        <v>-639</v>
      </c>
      <c r="Q52" s="1276">
        <f t="shared" si="680"/>
        <v>-769</v>
      </c>
      <c r="R52" s="126">
        <f t="shared" ref="R52:S52" si="681">R53+R54</f>
        <v>-1316</v>
      </c>
      <c r="S52" s="126">
        <f t="shared" si="681"/>
        <v>-1408</v>
      </c>
      <c r="T52" s="1082">
        <f>T53+T54</f>
        <v>-2724</v>
      </c>
      <c r="U52" s="126">
        <f t="shared" ref="U52:X52" si="682">U53+U54</f>
        <v>-530</v>
      </c>
      <c r="V52" s="126">
        <f t="shared" si="682"/>
        <v>-323</v>
      </c>
      <c r="W52" s="126">
        <f t="shared" si="682"/>
        <v>-482</v>
      </c>
      <c r="X52" s="1276">
        <f t="shared" si="682"/>
        <v>-838</v>
      </c>
      <c r="Y52" s="126">
        <f t="shared" ref="Y52:Z52" si="683">Y53+Y54</f>
        <v>-853</v>
      </c>
      <c r="Z52" s="126">
        <f t="shared" si="683"/>
        <v>-1320</v>
      </c>
      <c r="AA52" s="1082">
        <f>AA53+AA54</f>
        <v>-2173</v>
      </c>
      <c r="AB52" s="126">
        <f t="shared" ref="AB52:AE52" si="684">AB53+AB54</f>
        <v>-503</v>
      </c>
      <c r="AC52" s="126">
        <f t="shared" si="684"/>
        <v>-461</v>
      </c>
      <c r="AD52" s="126">
        <f t="shared" si="684"/>
        <v>-644</v>
      </c>
      <c r="AE52" s="1276">
        <f t="shared" si="684"/>
        <v>-1204</v>
      </c>
      <c r="AF52" s="126">
        <f t="shared" ref="AF52:AG52" si="685">AF53+AF54</f>
        <v>-964</v>
      </c>
      <c r="AG52" s="126">
        <f t="shared" si="685"/>
        <v>-1848</v>
      </c>
      <c r="AH52" s="1082">
        <f>AH53+AH54</f>
        <v>-2812</v>
      </c>
      <c r="AI52" s="126">
        <f t="shared" ref="AI52:AL52" si="686">AI53+AI54</f>
        <v>-555</v>
      </c>
      <c r="AJ52" s="126">
        <f t="shared" si="686"/>
        <v>-668</v>
      </c>
      <c r="AK52" s="126">
        <f t="shared" si="686"/>
        <v>-712</v>
      </c>
      <c r="AL52" s="1276">
        <f t="shared" si="686"/>
        <v>-861</v>
      </c>
      <c r="AM52" s="126">
        <f t="shared" ref="AM52:AN52" si="687">AM53+AM54</f>
        <v>-1223</v>
      </c>
      <c r="AN52" s="126">
        <f t="shared" si="687"/>
        <v>-1573</v>
      </c>
      <c r="AO52" s="1082">
        <f>AO53+AO54</f>
        <v>-2796</v>
      </c>
      <c r="AP52" s="126">
        <f t="shared" ref="AP52:AS52" si="688">AP53+AP54</f>
        <v>-480</v>
      </c>
      <c r="AQ52" s="126">
        <f t="shared" si="688"/>
        <v>-475</v>
      </c>
      <c r="AR52" s="126">
        <f t="shared" si="688"/>
        <v>-567</v>
      </c>
      <c r="AS52" s="1276">
        <f t="shared" si="688"/>
        <v>-641</v>
      </c>
      <c r="AT52" s="126">
        <f t="shared" ref="AT52:AU52" si="689">AT53+AT54</f>
        <v>-955</v>
      </c>
      <c r="AU52" s="126">
        <f t="shared" si="689"/>
        <v>-1208</v>
      </c>
      <c r="AV52" s="1082">
        <f>AV53+AV54</f>
        <v>-2163</v>
      </c>
      <c r="AW52" s="126">
        <f t="shared" ref="AW52:AZ52" si="690">AW53+AW54</f>
        <v>-480</v>
      </c>
      <c r="AX52" s="126">
        <f t="shared" si="690"/>
        <v>-475</v>
      </c>
      <c r="AY52" s="126">
        <f t="shared" si="690"/>
        <v>-567</v>
      </c>
      <c r="AZ52" s="1276">
        <f t="shared" si="690"/>
        <v>-641</v>
      </c>
      <c r="BA52" s="126">
        <f t="shared" ref="BA52:BB52" si="691">BA53+BA54</f>
        <v>-955</v>
      </c>
      <c r="BB52" s="126">
        <f t="shared" si="691"/>
        <v>-1208</v>
      </c>
      <c r="BC52" s="1082">
        <f>BC53+BC54</f>
        <v>-2163</v>
      </c>
      <c r="BD52" s="126">
        <f t="shared" ref="BD52:BG52" si="692">BD53+BD54</f>
        <v>-237</v>
      </c>
      <c r="BE52" s="126">
        <f t="shared" si="692"/>
        <v>-521</v>
      </c>
      <c r="BF52" s="126">
        <f t="shared" si="692"/>
        <v>-399</v>
      </c>
      <c r="BG52" s="1276">
        <f t="shared" si="692"/>
        <v>-724</v>
      </c>
      <c r="BH52" s="126">
        <f t="shared" ref="BH52:BI52" si="693">BH53+BH54</f>
        <v>-758</v>
      </c>
      <c r="BI52" s="126">
        <f t="shared" si="693"/>
        <v>-1123</v>
      </c>
      <c r="BJ52" s="1082">
        <f>BJ53+BJ54</f>
        <v>-1881</v>
      </c>
      <c r="BK52" s="126">
        <f t="shared" ref="BK52:BN52" si="694">BK53+BK54</f>
        <v>-433</v>
      </c>
      <c r="BL52" s="126">
        <f t="shared" si="694"/>
        <v>-342</v>
      </c>
      <c r="BM52" s="126">
        <f t="shared" si="694"/>
        <v>-520</v>
      </c>
      <c r="BN52" s="1276">
        <f t="shared" si="694"/>
        <v>-723</v>
      </c>
      <c r="BO52" s="126">
        <f t="shared" ref="BO52:BP52" si="695">BO53+BO54</f>
        <v>-775</v>
      </c>
      <c r="BP52" s="126">
        <f t="shared" si="695"/>
        <v>-1243</v>
      </c>
      <c r="BQ52" s="1082">
        <f>BQ53+BQ54</f>
        <v>-2018</v>
      </c>
      <c r="BR52" s="126">
        <f t="shared" ref="BR52:BU52" si="696">BR53+BR54</f>
        <v>-441</v>
      </c>
      <c r="BS52" s="126">
        <f t="shared" si="696"/>
        <v>-315</v>
      </c>
      <c r="BT52" s="126">
        <f t="shared" si="696"/>
        <v>-271</v>
      </c>
      <c r="BU52" s="1276">
        <f t="shared" si="696"/>
        <v>-512</v>
      </c>
      <c r="BV52" s="126">
        <f t="shared" ref="BV52:BW52" si="697">BV53+BV54</f>
        <v>-756</v>
      </c>
      <c r="BW52" s="126">
        <f t="shared" si="697"/>
        <v>-783</v>
      </c>
      <c r="BX52" s="1082">
        <f>BX53+BX54</f>
        <v>-1539</v>
      </c>
      <c r="BY52" s="126">
        <f t="shared" ref="BY52:CB52" si="698">BY53+BY54</f>
        <v>-428</v>
      </c>
      <c r="BZ52" s="126">
        <f t="shared" si="698"/>
        <v>-316</v>
      </c>
      <c r="CA52" s="126">
        <f t="shared" si="698"/>
        <v>-367</v>
      </c>
      <c r="CB52" s="1276">
        <f t="shared" si="698"/>
        <v>-526</v>
      </c>
      <c r="CC52" s="126">
        <f t="shared" ref="CC52:CD52" si="699">CC53+CC54</f>
        <v>-744</v>
      </c>
      <c r="CD52" s="126">
        <f t="shared" si="699"/>
        <v>-893</v>
      </c>
      <c r="CE52" s="1082">
        <f>CE53+CE54</f>
        <v>-1637</v>
      </c>
      <c r="CF52" s="126">
        <f t="shared" ref="CF52:CI52" si="700">CF53+CF54</f>
        <v>-312</v>
      </c>
      <c r="CG52" s="126">
        <f t="shared" si="700"/>
        <v>-301</v>
      </c>
      <c r="CH52" s="126">
        <f t="shared" si="700"/>
        <v>-515</v>
      </c>
      <c r="CI52" s="1276">
        <f t="shared" si="700"/>
        <v>-1135</v>
      </c>
      <c r="CJ52" s="126">
        <f t="shared" ref="CJ52:CK52" si="701">CJ53+CJ54</f>
        <v>-613</v>
      </c>
      <c r="CK52" s="126">
        <f t="shared" si="701"/>
        <v>-1650</v>
      </c>
      <c r="CL52" s="1082">
        <f>CL53+CL54</f>
        <v>-2263</v>
      </c>
      <c r="CM52" s="126">
        <f t="shared" ref="CM52:CP52" si="702">CM53+CM54</f>
        <v>-491</v>
      </c>
      <c r="CN52" s="126">
        <f t="shared" si="702"/>
        <v>-422</v>
      </c>
      <c r="CO52" s="126">
        <f t="shared" si="702"/>
        <v>-587</v>
      </c>
      <c r="CP52" s="1276">
        <f t="shared" si="702"/>
        <v>-1326</v>
      </c>
      <c r="CQ52" s="126">
        <f t="shared" ref="CQ52:CR52" si="703">CQ53+CQ54</f>
        <v>-913</v>
      </c>
      <c r="CR52" s="126">
        <f t="shared" si="703"/>
        <v>-1913</v>
      </c>
      <c r="CS52" s="1082">
        <f t="shared" ref="CS52:DC52" si="704">CS53+CS54</f>
        <v>-2826</v>
      </c>
      <c r="CT52" s="126">
        <f t="shared" si="704"/>
        <v>-474</v>
      </c>
      <c r="CU52" s="126">
        <f t="shared" si="704"/>
        <v>-597</v>
      </c>
      <c r="CV52" s="126">
        <f t="shared" si="704"/>
        <v>-768</v>
      </c>
      <c r="CW52" s="1276">
        <f t="shared" si="704"/>
        <v>-1536</v>
      </c>
      <c r="CX52" s="126">
        <f t="shared" si="704"/>
        <v>-1071</v>
      </c>
      <c r="CY52" s="126">
        <f t="shared" si="704"/>
        <v>-2304</v>
      </c>
      <c r="CZ52" s="1082">
        <f t="shared" ref="CZ52:DB52" si="705">CZ53+CZ54</f>
        <v>-3375</v>
      </c>
      <c r="DA52" s="126">
        <f t="shared" si="705"/>
        <v>-589</v>
      </c>
      <c r="DB52" s="126">
        <f t="shared" si="705"/>
        <v>-321</v>
      </c>
      <c r="DC52" s="126">
        <f t="shared" si="704"/>
        <v>-900</v>
      </c>
      <c r="DD52" s="1276">
        <f t="shared" ref="DD52" si="706">DD53+DD54</f>
        <v>-1698</v>
      </c>
      <c r="DE52" s="126">
        <f t="shared" ref="DE52:DF52" si="707">DE53+DE54</f>
        <v>-910</v>
      </c>
      <c r="DF52" s="126">
        <f t="shared" si="707"/>
        <v>-2598</v>
      </c>
      <c r="DG52" s="1274">
        <f t="shared" ref="DG52:DI52" si="708">DG53+DG54</f>
        <v>-3508</v>
      </c>
      <c r="DH52" s="126">
        <f t="shared" si="708"/>
        <v>-606</v>
      </c>
      <c r="DI52" s="1920">
        <f t="shared" si="708"/>
        <v>-552</v>
      </c>
      <c r="DJ52" s="1110">
        <f t="shared" ref="DJ52" si="709">DJ53+DJ54</f>
        <v>-896.60745906495072</v>
      </c>
      <c r="DK52" s="1111">
        <f t="shared" ref="DK52:DL52" si="710">DK53+DK54</f>
        <v>-1734.9852681968985</v>
      </c>
      <c r="DL52" s="2012">
        <f t="shared" si="710"/>
        <v>-1158</v>
      </c>
      <c r="DM52" s="1110">
        <f t="shared" ref="DM52" si="711">DM53+DM54</f>
        <v>-2631.5927272618492</v>
      </c>
      <c r="DN52" s="1107">
        <f t="shared" ref="DN52:EP52" si="712">DN53+DN54</f>
        <v>-3789.5927272618492</v>
      </c>
      <c r="DO52" s="1110">
        <f t="shared" ref="DO52" si="713">DO53+DO54</f>
        <v>-975.19999648352905</v>
      </c>
      <c r="DP52" s="1110">
        <f t="shared" ref="DP52" si="714">DP53+DP54</f>
        <v>-796.46610761765214</v>
      </c>
      <c r="DQ52" s="1110">
        <f t="shared" ref="DQ52" si="715">DQ53+DQ54</f>
        <v>-1082.3066739246919</v>
      </c>
      <c r="DR52" s="1111">
        <f t="shared" ref="DR52" si="716">DR53+DR54</f>
        <v>-1050.4235454669208</v>
      </c>
      <c r="DS52" s="1110">
        <f>DS53+DS54</f>
        <v>-1771.6661041011812</v>
      </c>
      <c r="DT52" s="1110">
        <f t="shared" ref="DT52" si="717">DT53+DT54</f>
        <v>-2132.730219391613</v>
      </c>
      <c r="DU52" s="1107">
        <f t="shared" si="712"/>
        <v>-3904.3963234927942</v>
      </c>
      <c r="DV52" s="1110">
        <f t="shared" ref="DV52" si="718">DV53+DV54</f>
        <v>-1014.8813204468509</v>
      </c>
      <c r="DW52" s="1110">
        <f t="shared" ref="DW52" si="719">DW53+DW54</f>
        <v>-817.18097318027662</v>
      </c>
      <c r="DX52" s="1110">
        <f t="shared" ref="DX52" si="720">DX53+DX54</f>
        <v>-1128.5021800485008</v>
      </c>
      <c r="DY52" s="1111">
        <f t="shared" ref="DY52" si="721">DY53+DY54</f>
        <v>-1101.969526222957</v>
      </c>
      <c r="DZ52" s="1110">
        <f>DZ53+DZ54</f>
        <v>-1832.0622936271275</v>
      </c>
      <c r="EA52" s="1110">
        <f t="shared" ref="EA52" si="722">EA53+EA54</f>
        <v>-2230.4717062714576</v>
      </c>
      <c r="EB52" s="1107">
        <f t="shared" si="712"/>
        <v>-4062.5339998985851</v>
      </c>
      <c r="EC52" s="1110">
        <f t="shared" ref="EC52" si="723">EC53+EC54</f>
        <v>-1046.8712868117721</v>
      </c>
      <c r="ED52" s="1110">
        <f t="shared" ref="ED52" si="724">ED53+ED54</f>
        <v>-801.66844488675986</v>
      </c>
      <c r="EE52" s="1110">
        <f t="shared" ref="EE52" si="725">EE53+EE54</f>
        <v>-1126.8850920239308</v>
      </c>
      <c r="EF52" s="1111">
        <f t="shared" ref="EF52" si="726">EF53+EF54</f>
        <v>-1098.8403924085173</v>
      </c>
      <c r="EG52" s="1110">
        <f>EG53+EG54</f>
        <v>-1848.539731698532</v>
      </c>
      <c r="EH52" s="1110">
        <f t="shared" ref="EH52" si="727">EH53+EH54</f>
        <v>-2225.725484432448</v>
      </c>
      <c r="EI52" s="1107">
        <f t="shared" si="712"/>
        <v>-4074.2652161309802</v>
      </c>
      <c r="EJ52" s="1110">
        <f t="shared" ref="EJ52" si="728">EJ53+EJ54</f>
        <v>-1081.8498130096723</v>
      </c>
      <c r="EK52" s="1110">
        <f t="shared" ref="EK52" si="729">EK53+EK54</f>
        <v>-829.31633823097854</v>
      </c>
      <c r="EL52" s="1110">
        <f t="shared" ref="EL52" si="730">EL53+EL54</f>
        <v>-1165.6714781510693</v>
      </c>
      <c r="EM52" s="1111">
        <f t="shared" ref="EM52" si="731">EM53+EM54</f>
        <v>-1137.542874546994</v>
      </c>
      <c r="EN52" s="1110">
        <f>EN53+EN54</f>
        <v>-1911.1661512406508</v>
      </c>
      <c r="EO52" s="1110">
        <f t="shared" ref="EO52" si="732">EO53+EO54</f>
        <v>-2303.2143526980635</v>
      </c>
      <c r="EP52" s="1107">
        <f t="shared" si="712"/>
        <v>-4214.3805039387144</v>
      </c>
      <c r="EQ52" s="906"/>
      <c r="ER52" s="97"/>
    </row>
    <row r="53" spans="1:148" ht="10.199999999999999" customHeight="1">
      <c r="A53" s="231" t="s">
        <v>879</v>
      </c>
      <c r="B53" s="108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>
        <f t="shared" ref="N53:Q53" si="733">N23</f>
        <v>-649</v>
      </c>
      <c r="O53" s="203">
        <f t="shared" si="733"/>
        <v>-721</v>
      </c>
      <c r="P53" s="203">
        <f t="shared" si="733"/>
        <v>-685</v>
      </c>
      <c r="Q53" s="1448">
        <f t="shared" si="733"/>
        <v>-815</v>
      </c>
      <c r="R53" s="203">
        <f t="shared" ref="R53:S53" si="734">R23</f>
        <v>-1370</v>
      </c>
      <c r="S53" s="203">
        <f t="shared" si="734"/>
        <v>-1500</v>
      </c>
      <c r="T53" s="1461">
        <f>T23</f>
        <v>-2870</v>
      </c>
      <c r="U53" s="203">
        <f t="shared" ref="U53:X53" si="735">U23</f>
        <v>-530</v>
      </c>
      <c r="V53" s="203">
        <f t="shared" si="735"/>
        <v>-401</v>
      </c>
      <c r="W53" s="203">
        <f t="shared" si="735"/>
        <v>-540</v>
      </c>
      <c r="X53" s="1448">
        <f t="shared" si="735"/>
        <v>-845</v>
      </c>
      <c r="Y53" s="203">
        <f t="shared" ref="Y53:Z53" si="736">Y23</f>
        <v>-931</v>
      </c>
      <c r="Z53" s="203">
        <f t="shared" si="736"/>
        <v>-1385</v>
      </c>
      <c r="AA53" s="1461">
        <f>AA23</f>
        <v>-2316</v>
      </c>
      <c r="AB53" s="203">
        <f t="shared" ref="AB53:AE53" si="737">AB23</f>
        <v>-503</v>
      </c>
      <c r="AC53" s="203">
        <f t="shared" si="737"/>
        <v>-485</v>
      </c>
      <c r="AD53" s="203">
        <f t="shared" si="737"/>
        <v>-647</v>
      </c>
      <c r="AE53" s="1448">
        <f t="shared" si="737"/>
        <v>-1211</v>
      </c>
      <c r="AF53" s="203">
        <f t="shared" ref="AF53:AG53" si="738">AF23</f>
        <v>-988</v>
      </c>
      <c r="AG53" s="203">
        <f t="shared" si="738"/>
        <v>-1858</v>
      </c>
      <c r="AH53" s="1461">
        <f>AH23</f>
        <v>-2846</v>
      </c>
      <c r="AI53" s="203">
        <f t="shared" ref="AI53:AL53" si="739">AI23</f>
        <v>-555</v>
      </c>
      <c r="AJ53" s="203">
        <f t="shared" si="739"/>
        <v>-685</v>
      </c>
      <c r="AK53" s="203">
        <f t="shared" si="739"/>
        <v>-714</v>
      </c>
      <c r="AL53" s="1448">
        <f t="shared" si="739"/>
        <v>-1034</v>
      </c>
      <c r="AM53" s="203">
        <f t="shared" ref="AM53:AN53" si="740">AM23</f>
        <v>-1240</v>
      </c>
      <c r="AN53" s="203">
        <f t="shared" si="740"/>
        <v>-1748</v>
      </c>
      <c r="AO53" s="1461">
        <f>AO23</f>
        <v>-2988</v>
      </c>
      <c r="AP53" s="203">
        <f t="shared" ref="AP53:AS53" si="741">AP23</f>
        <v>-480</v>
      </c>
      <c r="AQ53" s="203">
        <f t="shared" si="741"/>
        <v>-494</v>
      </c>
      <c r="AR53" s="203">
        <f t="shared" si="741"/>
        <v>-568</v>
      </c>
      <c r="AS53" s="1448">
        <f t="shared" si="741"/>
        <v>-839</v>
      </c>
      <c r="AT53" s="203">
        <f t="shared" ref="AT53:AU53" si="742">AT23</f>
        <v>-974</v>
      </c>
      <c r="AU53" s="203">
        <f t="shared" si="742"/>
        <v>-1407</v>
      </c>
      <c r="AV53" s="1461">
        <f>AV23</f>
        <v>-2381</v>
      </c>
      <c r="AW53" s="203">
        <f t="shared" ref="AW53:AZ53" si="743">AW23</f>
        <v>-480</v>
      </c>
      <c r="AX53" s="203">
        <f t="shared" si="743"/>
        <v>-494</v>
      </c>
      <c r="AY53" s="203">
        <f t="shared" si="743"/>
        <v>-568</v>
      </c>
      <c r="AZ53" s="1448">
        <f t="shared" si="743"/>
        <v>-839</v>
      </c>
      <c r="BA53" s="203">
        <f t="shared" ref="BA53:BB53" si="744">BA23</f>
        <v>-974</v>
      </c>
      <c r="BB53" s="203">
        <f t="shared" si="744"/>
        <v>-1407</v>
      </c>
      <c r="BC53" s="1461">
        <f>BC23</f>
        <v>-2381</v>
      </c>
      <c r="BD53" s="203">
        <f t="shared" ref="BD53:BG53" si="745">BD23</f>
        <v>-237</v>
      </c>
      <c r="BE53" s="203">
        <f t="shared" si="745"/>
        <v>-521</v>
      </c>
      <c r="BF53" s="203">
        <f t="shared" si="745"/>
        <v>-449</v>
      </c>
      <c r="BG53" s="1448">
        <f t="shared" si="745"/>
        <v>-865</v>
      </c>
      <c r="BH53" s="203">
        <f t="shared" ref="BH53:BI53" si="746">BH23</f>
        <v>-758</v>
      </c>
      <c r="BI53" s="203">
        <f t="shared" si="746"/>
        <v>-1314</v>
      </c>
      <c r="BJ53" s="1461">
        <f>BJ23</f>
        <v>-2072</v>
      </c>
      <c r="BK53" s="203">
        <f t="shared" ref="BK53:BN53" si="747">BK23</f>
        <v>-433</v>
      </c>
      <c r="BL53" s="203">
        <f t="shared" si="747"/>
        <v>-390</v>
      </c>
      <c r="BM53" s="203">
        <f t="shared" si="747"/>
        <v>-525</v>
      </c>
      <c r="BN53" s="1448">
        <f t="shared" si="747"/>
        <v>-880</v>
      </c>
      <c r="BO53" s="203">
        <f t="shared" ref="BO53:BP53" si="748">BO23</f>
        <v>-823</v>
      </c>
      <c r="BP53" s="203">
        <f t="shared" si="748"/>
        <v>-1405</v>
      </c>
      <c r="BQ53" s="1461">
        <f>BQ23</f>
        <v>-2228</v>
      </c>
      <c r="BR53" s="203">
        <f t="shared" ref="BR53:BU53" si="749">BR23</f>
        <v>-441</v>
      </c>
      <c r="BS53" s="203">
        <f t="shared" si="749"/>
        <v>-327</v>
      </c>
      <c r="BT53" s="203">
        <f t="shared" si="749"/>
        <v>-273</v>
      </c>
      <c r="BU53" s="1448">
        <f t="shared" si="749"/>
        <v>-490</v>
      </c>
      <c r="BV53" s="203">
        <f t="shared" ref="BV53:BW53" si="750">BV23</f>
        <v>-768</v>
      </c>
      <c r="BW53" s="203">
        <f t="shared" si="750"/>
        <v>-763</v>
      </c>
      <c r="BX53" s="1461">
        <f>BX23</f>
        <v>-1531</v>
      </c>
      <c r="BY53" s="203">
        <f t="shared" ref="BY53:CB53" si="751">BY23</f>
        <v>-428</v>
      </c>
      <c r="BZ53" s="203">
        <f t="shared" si="751"/>
        <v>-331</v>
      </c>
      <c r="CA53" s="203">
        <f t="shared" si="751"/>
        <v>-367</v>
      </c>
      <c r="CB53" s="1448">
        <f t="shared" si="751"/>
        <v>-590</v>
      </c>
      <c r="CC53" s="203">
        <f t="shared" ref="CC53:CD53" si="752">CC23</f>
        <v>-759</v>
      </c>
      <c r="CD53" s="203">
        <f t="shared" si="752"/>
        <v>-957</v>
      </c>
      <c r="CE53" s="1461">
        <f>CE23</f>
        <v>-1716</v>
      </c>
      <c r="CF53" s="203">
        <f t="shared" ref="CF53:CI53" si="753">CF23</f>
        <v>-312</v>
      </c>
      <c r="CG53" s="203">
        <f t="shared" si="753"/>
        <v>-398</v>
      </c>
      <c r="CH53" s="203">
        <f t="shared" si="753"/>
        <v>-515</v>
      </c>
      <c r="CI53" s="1448">
        <f t="shared" si="753"/>
        <v>-1138</v>
      </c>
      <c r="CJ53" s="203">
        <f t="shared" ref="CJ53:CK53" si="754">CJ23</f>
        <v>-710</v>
      </c>
      <c r="CK53" s="203">
        <f t="shared" si="754"/>
        <v>-1653</v>
      </c>
      <c r="CL53" s="1461">
        <f>CL23</f>
        <v>-2363</v>
      </c>
      <c r="CM53" s="203">
        <f t="shared" ref="CM53:CP53" si="755">CM23</f>
        <v>-491</v>
      </c>
      <c r="CN53" s="203">
        <f t="shared" si="755"/>
        <v>-572</v>
      </c>
      <c r="CO53" s="203">
        <f t="shared" si="755"/>
        <v>-587</v>
      </c>
      <c r="CP53" s="1448">
        <f t="shared" si="755"/>
        <v>-1326</v>
      </c>
      <c r="CQ53" s="203">
        <f t="shared" ref="CQ53:CR53" si="756">CQ23</f>
        <v>-1063</v>
      </c>
      <c r="CR53" s="203">
        <f t="shared" si="756"/>
        <v>-1913</v>
      </c>
      <c r="CS53" s="1461">
        <f t="shared" ref="CS53:CY53" si="757">CS23</f>
        <v>-2976</v>
      </c>
      <c r="CT53" s="203">
        <f t="shared" si="757"/>
        <v>-474</v>
      </c>
      <c r="CU53" s="203">
        <f t="shared" si="757"/>
        <v>-787</v>
      </c>
      <c r="CV53" s="203">
        <f t="shared" si="757"/>
        <v>-769</v>
      </c>
      <c r="CW53" s="1448">
        <f t="shared" si="757"/>
        <v>-1541</v>
      </c>
      <c r="CX53" s="203">
        <f t="shared" si="757"/>
        <v>-1261</v>
      </c>
      <c r="CY53" s="203">
        <f t="shared" si="757"/>
        <v>-2310</v>
      </c>
      <c r="CZ53" s="1461">
        <f t="shared" ref="CZ53:DB53" si="758">CZ23</f>
        <v>-3571</v>
      </c>
      <c r="DA53" s="203">
        <f t="shared" si="758"/>
        <v>-589</v>
      </c>
      <c r="DB53" s="203">
        <f t="shared" si="758"/>
        <v>-693</v>
      </c>
      <c r="DC53" s="203">
        <f t="shared" ref="DC53:DF53" si="759">DC23</f>
        <v>-903</v>
      </c>
      <c r="DD53" s="1448">
        <f t="shared" si="759"/>
        <v>-1710</v>
      </c>
      <c r="DE53" s="203">
        <f t="shared" si="759"/>
        <v>-1282</v>
      </c>
      <c r="DF53" s="203">
        <f t="shared" si="759"/>
        <v>-2613</v>
      </c>
      <c r="DG53" s="1269">
        <f t="shared" ref="DG53:DI53" si="760">DG23</f>
        <v>-3895</v>
      </c>
      <c r="DH53" s="203">
        <f t="shared" si="760"/>
        <v>-610</v>
      </c>
      <c r="DI53" s="2013">
        <f t="shared" si="760"/>
        <v>-816</v>
      </c>
      <c r="DJ53" s="1422">
        <f t="shared" ref="DJ53:EP53" si="761">DJ23</f>
        <v>-900.27735755988283</v>
      </c>
      <c r="DK53" s="1557">
        <f t="shared" si="761"/>
        <v>-1887.9408350038505</v>
      </c>
      <c r="DL53" s="1892">
        <f t="shared" si="761"/>
        <v>-1426</v>
      </c>
      <c r="DM53" s="1422">
        <f t="shared" ref="DM53" si="762">DM23</f>
        <v>-2788.2181925637333</v>
      </c>
      <c r="DN53" s="1548">
        <f t="shared" si="761"/>
        <v>-4214.2181925637333</v>
      </c>
      <c r="DO53" s="1422">
        <f t="shared" si="761"/>
        <v>-995.84328194981686</v>
      </c>
      <c r="DP53" s="1422">
        <f t="shared" si="761"/>
        <v>-1091.530459662961</v>
      </c>
      <c r="DQ53" s="1422">
        <f t="shared" si="761"/>
        <v>-1086.1772899496209</v>
      </c>
      <c r="DR53" s="1557">
        <f t="shared" si="761"/>
        <v>-1203.4311538586226</v>
      </c>
      <c r="DS53" s="1422">
        <f>DS23</f>
        <v>-2087.3737416127778</v>
      </c>
      <c r="DT53" s="1422">
        <f t="shared" ref="DT53" si="763">DT23</f>
        <v>-2289.6084438082435</v>
      </c>
      <c r="DU53" s="1548">
        <f t="shared" si="761"/>
        <v>-4376.9821854210213</v>
      </c>
      <c r="DV53" s="1422">
        <f t="shared" ref="DV53:DY53" si="764">DV23</f>
        <v>-1037.356903912199</v>
      </c>
      <c r="DW53" s="1422">
        <f t="shared" si="764"/>
        <v>-1138.4352368425893</v>
      </c>
      <c r="DX53" s="1422">
        <f t="shared" si="764"/>
        <v>-1132.7163519482535</v>
      </c>
      <c r="DY53" s="1557">
        <f t="shared" si="764"/>
        <v>-1268.558089795217</v>
      </c>
      <c r="DZ53" s="1422">
        <f>DZ23</f>
        <v>-2175.7921407547883</v>
      </c>
      <c r="EA53" s="1422">
        <f t="shared" ref="EA53" si="765">EA23</f>
        <v>-2401.2744417434706</v>
      </c>
      <c r="EB53" s="1548">
        <f t="shared" si="761"/>
        <v>-4577.0665824982589</v>
      </c>
      <c r="EC53" s="1422">
        <f t="shared" ref="EC53:EF53" si="766">EC23</f>
        <v>-1070.360711612283</v>
      </c>
      <c r="ED53" s="1422">
        <f t="shared" si="766"/>
        <v>-1137.4140276331932</v>
      </c>
      <c r="EE53" s="1422">
        <f t="shared" si="766"/>
        <v>-1131.2893591740267</v>
      </c>
      <c r="EF53" s="1557">
        <f t="shared" si="766"/>
        <v>-1272.9435271586667</v>
      </c>
      <c r="EG53" s="1422">
        <f>EG23</f>
        <v>-2207.7747392454762</v>
      </c>
      <c r="EH53" s="1422">
        <f t="shared" ref="EH53" si="767">EH23</f>
        <v>-2404.2328863326934</v>
      </c>
      <c r="EI53" s="1548">
        <f t="shared" si="761"/>
        <v>-4612.0076255781696</v>
      </c>
      <c r="EJ53" s="1422">
        <f t="shared" ref="EJ53:EM53" si="768">EJ23</f>
        <v>-1106.1487659272141</v>
      </c>
      <c r="EK53" s="1422">
        <f t="shared" si="768"/>
        <v>-1176.632893519755</v>
      </c>
      <c r="EL53" s="1422">
        <f t="shared" si="768"/>
        <v>-1170.2275318231084</v>
      </c>
      <c r="EM53" s="1557">
        <f t="shared" si="768"/>
        <v>-1317.6462150936002</v>
      </c>
      <c r="EN53" s="1422">
        <f>EN23</f>
        <v>-2282.7816594469691</v>
      </c>
      <c r="EO53" s="1422">
        <f t="shared" ref="EO53" si="769">EO23</f>
        <v>-2487.8737469167086</v>
      </c>
      <c r="EP53" s="1548">
        <f t="shared" si="761"/>
        <v>-4770.6554063636777</v>
      </c>
      <c r="EQ53" s="302"/>
      <c r="ER53" s="46"/>
    </row>
    <row r="54" spans="1:148" ht="10.199999999999999" customHeight="1">
      <c r="A54" s="231" t="s">
        <v>64</v>
      </c>
      <c r="B54" s="108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>
        <f>N26</f>
        <v>0</v>
      </c>
      <c r="O54" s="203">
        <f>O26</f>
        <v>54</v>
      </c>
      <c r="P54" s="203">
        <f>P26</f>
        <v>46</v>
      </c>
      <c r="Q54" s="1448">
        <f t="shared" ref="Q54" si="770">Q26</f>
        <v>46</v>
      </c>
      <c r="R54" s="203">
        <f>R26</f>
        <v>54</v>
      </c>
      <c r="S54" s="203">
        <f t="shared" ref="S54" si="771">S26</f>
        <v>92</v>
      </c>
      <c r="T54" s="1461">
        <f>T26</f>
        <v>146</v>
      </c>
      <c r="U54" s="203">
        <f>U26</f>
        <v>0</v>
      </c>
      <c r="V54" s="203">
        <f>V26</f>
        <v>78</v>
      </c>
      <c r="W54" s="203">
        <f>W26</f>
        <v>58</v>
      </c>
      <c r="X54" s="1448">
        <f t="shared" ref="X54" si="772">X26</f>
        <v>7</v>
      </c>
      <c r="Y54" s="203">
        <f>Y26</f>
        <v>78</v>
      </c>
      <c r="Z54" s="203">
        <f t="shared" ref="Z54" si="773">Z26</f>
        <v>65</v>
      </c>
      <c r="AA54" s="1461">
        <f>AA26</f>
        <v>143</v>
      </c>
      <c r="AB54" s="203">
        <f>AB26</f>
        <v>0</v>
      </c>
      <c r="AC54" s="203">
        <f>AC26</f>
        <v>24</v>
      </c>
      <c r="AD54" s="203">
        <f>AD26</f>
        <v>3</v>
      </c>
      <c r="AE54" s="1448">
        <f t="shared" ref="AE54" si="774">AE26</f>
        <v>7</v>
      </c>
      <c r="AF54" s="203">
        <f>AF26</f>
        <v>24</v>
      </c>
      <c r="AG54" s="203">
        <f t="shared" ref="AG54" si="775">AG26</f>
        <v>10</v>
      </c>
      <c r="AH54" s="1461">
        <f>AH26</f>
        <v>34</v>
      </c>
      <c r="AI54" s="203">
        <f>AI26</f>
        <v>0</v>
      </c>
      <c r="AJ54" s="203">
        <f>AJ26</f>
        <v>17</v>
      </c>
      <c r="AK54" s="203">
        <f>AK26</f>
        <v>2</v>
      </c>
      <c r="AL54" s="1448">
        <f t="shared" ref="AL54" si="776">AL26</f>
        <v>173</v>
      </c>
      <c r="AM54" s="203">
        <f>AM26</f>
        <v>17</v>
      </c>
      <c r="AN54" s="203">
        <f t="shared" ref="AN54" si="777">AN26</f>
        <v>175</v>
      </c>
      <c r="AO54" s="1461">
        <f>AO26</f>
        <v>192</v>
      </c>
      <c r="AP54" s="203">
        <f>AP26</f>
        <v>0</v>
      </c>
      <c r="AQ54" s="203">
        <f>AQ26</f>
        <v>19</v>
      </c>
      <c r="AR54" s="203">
        <f>AR26</f>
        <v>1</v>
      </c>
      <c r="AS54" s="1448">
        <f t="shared" ref="AS54" si="778">AS26</f>
        <v>198</v>
      </c>
      <c r="AT54" s="203">
        <f>AT26</f>
        <v>19</v>
      </c>
      <c r="AU54" s="203">
        <f t="shared" ref="AU54" si="779">AU26</f>
        <v>199</v>
      </c>
      <c r="AV54" s="1461">
        <f>AV26</f>
        <v>218</v>
      </c>
      <c r="AW54" s="203">
        <f>AW26</f>
        <v>0</v>
      </c>
      <c r="AX54" s="203">
        <f>AX26</f>
        <v>19</v>
      </c>
      <c r="AY54" s="203">
        <f>AY26</f>
        <v>1</v>
      </c>
      <c r="AZ54" s="1448">
        <f t="shared" ref="AZ54" si="780">AZ26</f>
        <v>198</v>
      </c>
      <c r="BA54" s="203">
        <f>BA26</f>
        <v>19</v>
      </c>
      <c r="BB54" s="203">
        <f t="shared" ref="BB54" si="781">BB26</f>
        <v>199</v>
      </c>
      <c r="BC54" s="1461">
        <f>BC26</f>
        <v>218</v>
      </c>
      <c r="BD54" s="203">
        <f>BD26</f>
        <v>0</v>
      </c>
      <c r="BE54" s="203">
        <f>BE26</f>
        <v>0</v>
      </c>
      <c r="BF54" s="203">
        <f>BF26</f>
        <v>50</v>
      </c>
      <c r="BG54" s="1448">
        <f t="shared" ref="BG54" si="782">BG26</f>
        <v>141</v>
      </c>
      <c r="BH54" s="203">
        <f>BH26</f>
        <v>0</v>
      </c>
      <c r="BI54" s="203">
        <f t="shared" ref="BI54" si="783">BI26</f>
        <v>191</v>
      </c>
      <c r="BJ54" s="1461">
        <f>BJ26</f>
        <v>191</v>
      </c>
      <c r="BK54" s="203">
        <f>BK26</f>
        <v>0</v>
      </c>
      <c r="BL54" s="203">
        <f>BL26</f>
        <v>48</v>
      </c>
      <c r="BM54" s="203">
        <f>BM26</f>
        <v>5</v>
      </c>
      <c r="BN54" s="1448">
        <f t="shared" ref="BN54" si="784">BN26</f>
        <v>157</v>
      </c>
      <c r="BO54" s="203">
        <f>BO26</f>
        <v>48</v>
      </c>
      <c r="BP54" s="203">
        <f t="shared" ref="BP54" si="785">BP26</f>
        <v>162</v>
      </c>
      <c r="BQ54" s="1461">
        <f>BQ26</f>
        <v>210</v>
      </c>
      <c r="BR54" s="203">
        <f>BR26</f>
        <v>0</v>
      </c>
      <c r="BS54" s="203">
        <f>BS26</f>
        <v>12</v>
      </c>
      <c r="BT54" s="203">
        <f>BT26</f>
        <v>2</v>
      </c>
      <c r="BU54" s="1448">
        <f t="shared" ref="BU54" si="786">BU26</f>
        <v>-22</v>
      </c>
      <c r="BV54" s="203">
        <f>BV26</f>
        <v>12</v>
      </c>
      <c r="BW54" s="203">
        <f t="shared" ref="BW54" si="787">BW26</f>
        <v>-20</v>
      </c>
      <c r="BX54" s="1461">
        <f>BX26</f>
        <v>-8</v>
      </c>
      <c r="BY54" s="203">
        <f>BY26</f>
        <v>0</v>
      </c>
      <c r="BZ54" s="203">
        <f>BZ26</f>
        <v>15</v>
      </c>
      <c r="CA54" s="203">
        <f>CA26</f>
        <v>0</v>
      </c>
      <c r="CB54" s="1448">
        <f t="shared" ref="CB54" si="788">CB26</f>
        <v>64</v>
      </c>
      <c r="CC54" s="203">
        <f>CC26</f>
        <v>15</v>
      </c>
      <c r="CD54" s="203">
        <f t="shared" ref="CD54" si="789">CD26</f>
        <v>64</v>
      </c>
      <c r="CE54" s="1461">
        <f>CE26</f>
        <v>79</v>
      </c>
      <c r="CF54" s="203">
        <f>CF26</f>
        <v>0</v>
      </c>
      <c r="CG54" s="203">
        <f>CG26</f>
        <v>97</v>
      </c>
      <c r="CH54" s="203">
        <f>CH26</f>
        <v>0</v>
      </c>
      <c r="CI54" s="1448">
        <f t="shared" ref="CI54" si="790">CI26</f>
        <v>3</v>
      </c>
      <c r="CJ54" s="203">
        <f>CJ26</f>
        <v>97</v>
      </c>
      <c r="CK54" s="203">
        <f t="shared" ref="CK54" si="791">CK26</f>
        <v>3</v>
      </c>
      <c r="CL54" s="1461">
        <f>CL26</f>
        <v>100</v>
      </c>
      <c r="CM54" s="203">
        <f>CM26</f>
        <v>0</v>
      </c>
      <c r="CN54" s="203">
        <f>CN26</f>
        <v>150</v>
      </c>
      <c r="CO54" s="203">
        <f>CO26</f>
        <v>0</v>
      </c>
      <c r="CP54" s="1448">
        <f t="shared" ref="CP54" si="792">CP26</f>
        <v>0</v>
      </c>
      <c r="CQ54" s="203">
        <f>CQ26</f>
        <v>150</v>
      </c>
      <c r="CR54" s="203">
        <f t="shared" ref="CR54" si="793">CR26</f>
        <v>0</v>
      </c>
      <c r="CS54" s="1461">
        <f>CS26</f>
        <v>150</v>
      </c>
      <c r="CT54" s="203">
        <f>CT26</f>
        <v>0</v>
      </c>
      <c r="CU54" s="203">
        <f>CU26</f>
        <v>190</v>
      </c>
      <c r="CV54" s="203">
        <f>CV26</f>
        <v>1</v>
      </c>
      <c r="CW54" s="1448">
        <f t="shared" ref="CW54" si="794">CW26</f>
        <v>5</v>
      </c>
      <c r="CX54" s="203">
        <f>CX26</f>
        <v>190</v>
      </c>
      <c r="CY54" s="203">
        <f t="shared" ref="CY54" si="795">CY26</f>
        <v>6</v>
      </c>
      <c r="CZ54" s="1461">
        <f>CZ26</f>
        <v>196</v>
      </c>
      <c r="DA54" s="203">
        <f>DA26</f>
        <v>0</v>
      </c>
      <c r="DB54" s="203">
        <f>DB26</f>
        <v>372</v>
      </c>
      <c r="DC54" s="203">
        <f t="shared" ref="DC54:DD54" si="796">DC26</f>
        <v>3</v>
      </c>
      <c r="DD54" s="1448">
        <f t="shared" si="796"/>
        <v>12</v>
      </c>
      <c r="DE54" s="203">
        <f>DE26</f>
        <v>372</v>
      </c>
      <c r="DF54" s="203">
        <f t="shared" ref="DF54" si="797">DF26</f>
        <v>15</v>
      </c>
      <c r="DG54" s="1269">
        <f>DG26</f>
        <v>387</v>
      </c>
      <c r="DH54" s="203">
        <f>DH26</f>
        <v>4</v>
      </c>
      <c r="DI54" s="2013">
        <f>DI26</f>
        <v>264</v>
      </c>
      <c r="DJ54" s="1422">
        <f t="shared" ref="DJ54:DM54" si="798">DJ26</f>
        <v>3.6698984949321178</v>
      </c>
      <c r="DK54" s="1557">
        <f t="shared" si="798"/>
        <v>152.95556680695205</v>
      </c>
      <c r="DL54" s="1892">
        <f>DL26</f>
        <v>268</v>
      </c>
      <c r="DM54" s="1422">
        <f t="shared" si="798"/>
        <v>156.62546530188416</v>
      </c>
      <c r="DN54" s="1548">
        <f t="shared" ref="DN54:EP54" si="799">DN26</f>
        <v>424.62546530188416</v>
      </c>
      <c r="DO54" s="1422">
        <f t="shared" si="799"/>
        <v>20.643285466287761</v>
      </c>
      <c r="DP54" s="1422">
        <f>DP26</f>
        <v>295.06435204530879</v>
      </c>
      <c r="DQ54" s="1422">
        <f t="shared" ref="DQ54:DT54" si="800">DQ26</f>
        <v>3.870616024928955</v>
      </c>
      <c r="DR54" s="1557">
        <f t="shared" si="800"/>
        <v>153.00760839170169</v>
      </c>
      <c r="DS54" s="1422">
        <f t="shared" si="800"/>
        <v>315.70763751159654</v>
      </c>
      <c r="DT54" s="1422">
        <f t="shared" si="800"/>
        <v>156.87822441663064</v>
      </c>
      <c r="DU54" s="1548">
        <f t="shared" si="799"/>
        <v>472.58586192822719</v>
      </c>
      <c r="DV54" s="1422">
        <f t="shared" ref="DV54" si="801">DV26</f>
        <v>22.475583465348116</v>
      </c>
      <c r="DW54" s="1422">
        <f>DW26</f>
        <v>321.25426366231278</v>
      </c>
      <c r="DX54" s="1422">
        <f t="shared" ref="DX54:EA54" si="802">DX26</f>
        <v>4.2141718997527713</v>
      </c>
      <c r="DY54" s="1557">
        <f t="shared" si="802"/>
        <v>166.58856357226</v>
      </c>
      <c r="DZ54" s="1422">
        <f t="shared" si="802"/>
        <v>343.72984712766089</v>
      </c>
      <c r="EA54" s="1422">
        <f t="shared" si="802"/>
        <v>170.80273547201278</v>
      </c>
      <c r="EB54" s="1548">
        <f t="shared" si="799"/>
        <v>514.53258259967367</v>
      </c>
      <c r="EC54" s="1422">
        <f t="shared" ref="EC54" si="803">EC26</f>
        <v>23.489424800510921</v>
      </c>
      <c r="ED54" s="1422">
        <f>ED26</f>
        <v>335.74558274643334</v>
      </c>
      <c r="EE54" s="1422">
        <f t="shared" ref="EE54:EH54" si="804">EE26</f>
        <v>4.4042671500957979</v>
      </c>
      <c r="EF54" s="1557">
        <f t="shared" si="804"/>
        <v>174.10313475014948</v>
      </c>
      <c r="EG54" s="1422">
        <f t="shared" si="804"/>
        <v>359.23500754694425</v>
      </c>
      <c r="EH54" s="1422">
        <f t="shared" si="804"/>
        <v>178.50740190024527</v>
      </c>
      <c r="EI54" s="1548">
        <f t="shared" si="799"/>
        <v>537.74240944718952</v>
      </c>
      <c r="EJ54" s="1422">
        <f t="shared" ref="EJ54" si="805">EJ26</f>
        <v>24.298952917541776</v>
      </c>
      <c r="EK54" s="1422">
        <f>EK26</f>
        <v>347.3165552887765</v>
      </c>
      <c r="EL54" s="1422">
        <f t="shared" ref="EL54:EO54" si="806">EL26</f>
        <v>4.5560536720390834</v>
      </c>
      <c r="EM54" s="1557">
        <f t="shared" si="806"/>
        <v>180.1033405466062</v>
      </c>
      <c r="EN54" s="1422">
        <f t="shared" si="806"/>
        <v>371.61550820631828</v>
      </c>
      <c r="EO54" s="1422">
        <f t="shared" si="806"/>
        <v>184.65939421864528</v>
      </c>
      <c r="EP54" s="1548">
        <f t="shared" si="799"/>
        <v>556.27490242496356</v>
      </c>
      <c r="EQ54" s="302"/>
      <c r="ER54" s="46"/>
    </row>
    <row r="55" spans="1:148" ht="10.199999999999999" customHeight="1">
      <c r="A55" s="231" t="s">
        <v>880</v>
      </c>
      <c r="B55" s="108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>
        <f>-701-N52</f>
        <v>-52</v>
      </c>
      <c r="O55" s="203">
        <f>R55-N55</f>
        <v>-77</v>
      </c>
      <c r="P55" s="203">
        <f>-1873+1445-P52</f>
        <v>211</v>
      </c>
      <c r="Q55" s="1448">
        <f>S55-P55</f>
        <v>-237</v>
      </c>
      <c r="R55" s="203">
        <f>-1445-R52</f>
        <v>-129</v>
      </c>
      <c r="S55" s="203">
        <f>T55-R55</f>
        <v>-26</v>
      </c>
      <c r="T55" s="1461">
        <f>-2879-T52</f>
        <v>-155</v>
      </c>
      <c r="U55" s="203">
        <f>-497-U52</f>
        <v>33</v>
      </c>
      <c r="V55" s="203">
        <f>Y55-U55</f>
        <v>5</v>
      </c>
      <c r="W55" s="203">
        <f>-1329+815-W52</f>
        <v>-32</v>
      </c>
      <c r="X55" s="1448">
        <f>Z55-W55</f>
        <v>960</v>
      </c>
      <c r="Y55" s="203">
        <f>-815-Y52</f>
        <v>38</v>
      </c>
      <c r="Z55" s="203">
        <f>AA55-Y55</f>
        <v>928</v>
      </c>
      <c r="AA55" s="1461">
        <f>-1207-AA52</f>
        <v>966</v>
      </c>
      <c r="AB55" s="203">
        <f>1069-AB52</f>
        <v>1572</v>
      </c>
      <c r="AC55" s="203">
        <f>AF55-AB55</f>
        <v>-7</v>
      </c>
      <c r="AD55" s="203">
        <f>44-601-AD52</f>
        <v>87</v>
      </c>
      <c r="AE55" s="1448">
        <f>AG55-AD55</f>
        <v>94</v>
      </c>
      <c r="AF55" s="203">
        <f>601-AF52</f>
        <v>1565</v>
      </c>
      <c r="AG55" s="203">
        <f>AH55-AF55</f>
        <v>181</v>
      </c>
      <c r="AH55" s="1461">
        <f>-1066-AH52</f>
        <v>1746</v>
      </c>
      <c r="AI55" s="203">
        <f>-713-AI52</f>
        <v>-158</v>
      </c>
      <c r="AJ55" s="203">
        <f>AM55-AI55</f>
        <v>2285</v>
      </c>
      <c r="AK55" s="203">
        <f>151-904-AK52</f>
        <v>-41</v>
      </c>
      <c r="AL55" s="1448">
        <f>AN55-AK55</f>
        <v>-20</v>
      </c>
      <c r="AM55" s="203">
        <f>904-AM52</f>
        <v>2127</v>
      </c>
      <c r="AN55" s="203">
        <f>AO55-AM55</f>
        <v>-61</v>
      </c>
      <c r="AO55" s="1461">
        <f>-730-AO52</f>
        <v>2066</v>
      </c>
      <c r="AP55" s="203">
        <f>147-AP52</f>
        <v>627</v>
      </c>
      <c r="AQ55" s="203">
        <f>AT55-AP55</f>
        <v>229</v>
      </c>
      <c r="AR55" s="203">
        <f>-664+99-AR52</f>
        <v>2</v>
      </c>
      <c r="AS55" s="1448">
        <f>AU55-AR55</f>
        <v>323</v>
      </c>
      <c r="AT55" s="203">
        <f>-99-AT52</f>
        <v>856</v>
      </c>
      <c r="AU55" s="203">
        <f>AV55-AT55</f>
        <v>325</v>
      </c>
      <c r="AV55" s="1461">
        <f>-982-AV52</f>
        <v>1181</v>
      </c>
      <c r="AW55" s="203">
        <f>147-AW52</f>
        <v>627</v>
      </c>
      <c r="AX55" s="203">
        <f>BA55-AW55</f>
        <v>229</v>
      </c>
      <c r="AY55" s="203">
        <f>-664+99-AY52</f>
        <v>2</v>
      </c>
      <c r="AZ55" s="1448">
        <f>BB55-AY55</f>
        <v>323</v>
      </c>
      <c r="BA55" s="203">
        <f>-99-BA52</f>
        <v>856</v>
      </c>
      <c r="BB55" s="203">
        <f>BC55-BA55</f>
        <v>325</v>
      </c>
      <c r="BC55" s="1461">
        <f>-982-BC52</f>
        <v>1181</v>
      </c>
      <c r="BD55" s="203">
        <f>-65-BD52</f>
        <v>172</v>
      </c>
      <c r="BE55" s="203">
        <f>BH55-BD55</f>
        <v>105</v>
      </c>
      <c r="BF55" s="203">
        <f>-758+481-BF52</f>
        <v>122</v>
      </c>
      <c r="BG55" s="1448">
        <f>BI55-BF55</f>
        <v>105</v>
      </c>
      <c r="BH55" s="203">
        <f>-481-BH52</f>
        <v>277</v>
      </c>
      <c r="BI55" s="203">
        <f>BJ55-BH55</f>
        <v>227</v>
      </c>
      <c r="BJ55" s="1461">
        <f>-1377-BJ52</f>
        <v>504</v>
      </c>
      <c r="BK55" s="203">
        <f>-470-BK52</f>
        <v>-37</v>
      </c>
      <c r="BL55" s="203">
        <f>BO55-BK55</f>
        <v>3</v>
      </c>
      <c r="BM55" s="203">
        <f>-1421+809-BM52</f>
        <v>-92</v>
      </c>
      <c r="BN55" s="1448">
        <f>BP55-BM55</f>
        <v>52</v>
      </c>
      <c r="BO55" s="203">
        <f>-809-BO52</f>
        <v>-34</v>
      </c>
      <c r="BP55" s="203">
        <f>BQ55-BO55</f>
        <v>-40</v>
      </c>
      <c r="BQ55" s="1461">
        <f>-2092-BQ52</f>
        <v>-74</v>
      </c>
      <c r="BR55" s="203">
        <f>-979-BR52</f>
        <v>-538</v>
      </c>
      <c r="BS55" s="203">
        <f>BV55-BR55</f>
        <v>-13</v>
      </c>
      <c r="BT55" s="203">
        <f>-1612+1307-BT52</f>
        <v>-34</v>
      </c>
      <c r="BU55" s="1448">
        <f>BW55-BT55</f>
        <v>-102</v>
      </c>
      <c r="BV55" s="203">
        <f>-1307-BV52</f>
        <v>-551</v>
      </c>
      <c r="BW55" s="203">
        <f>BX55-BV55</f>
        <v>-136</v>
      </c>
      <c r="BX55" s="1461">
        <f>-2226-BX52</f>
        <v>-687</v>
      </c>
      <c r="BY55" s="203">
        <f>-443-BY52</f>
        <v>-15</v>
      </c>
      <c r="BZ55" s="203">
        <f>CC55-BY55</f>
        <v>-69</v>
      </c>
      <c r="CA55" s="203">
        <f>-1225+828-CA52</f>
        <v>-30</v>
      </c>
      <c r="CB55" s="1448">
        <f>CD55-CA55</f>
        <v>200</v>
      </c>
      <c r="CC55" s="203">
        <f>-828-CC52</f>
        <v>-84</v>
      </c>
      <c r="CD55" s="203">
        <f>CE55-CC55</f>
        <v>170</v>
      </c>
      <c r="CE55" s="1461">
        <f>-1551-CE52</f>
        <v>86</v>
      </c>
      <c r="CF55" s="203">
        <f>-391-CF52</f>
        <v>-79</v>
      </c>
      <c r="CG55" s="203">
        <f>CJ55-CF55</f>
        <v>13</v>
      </c>
      <c r="CH55" s="203">
        <f>-1321+679-CH52</f>
        <v>-127</v>
      </c>
      <c r="CI55" s="1448">
        <f>CK55-CH55</f>
        <v>-153</v>
      </c>
      <c r="CJ55" s="203">
        <f>-679-CJ52</f>
        <v>-66</v>
      </c>
      <c r="CK55" s="203">
        <f>CL55-CJ55</f>
        <v>-280</v>
      </c>
      <c r="CL55" s="1461">
        <v>-346</v>
      </c>
      <c r="CM55" s="203">
        <f>-504-CM52</f>
        <v>-13</v>
      </c>
      <c r="CN55" s="203">
        <f>CQ55-CM55</f>
        <v>-106</v>
      </c>
      <c r="CO55" s="203">
        <f>-1625+1032-CO52</f>
        <v>-6</v>
      </c>
      <c r="CP55" s="1448">
        <f>CR55-CO55</f>
        <v>-86</v>
      </c>
      <c r="CQ55" s="203">
        <f>-1032-CQ52</f>
        <v>-119</v>
      </c>
      <c r="CR55" s="203">
        <f>CS55-CQ55</f>
        <v>-92</v>
      </c>
      <c r="CS55" s="1461">
        <v>-211</v>
      </c>
      <c r="CT55" s="203">
        <v>0</v>
      </c>
      <c r="CU55" s="203">
        <f>CX55-CT55</f>
        <v>0</v>
      </c>
      <c r="CV55" s="203">
        <v>0</v>
      </c>
      <c r="CW55" s="1448">
        <f>CY55-CV55</f>
        <v>0</v>
      </c>
      <c r="CX55" s="203">
        <v>0</v>
      </c>
      <c r="CY55" s="203">
        <f>CZ55-CX55</f>
        <v>0</v>
      </c>
      <c r="CZ55" s="1461">
        <v>0</v>
      </c>
      <c r="DA55" s="203">
        <v>0</v>
      </c>
      <c r="DB55" s="203">
        <f>DE55-DA55</f>
        <v>0</v>
      </c>
      <c r="DC55" s="203">
        <v>0</v>
      </c>
      <c r="DD55" s="1448">
        <f>DF55-DC55</f>
        <v>0</v>
      </c>
      <c r="DE55" s="203">
        <v>0</v>
      </c>
      <c r="DF55" s="203">
        <f>DG55-DE55</f>
        <v>0</v>
      </c>
      <c r="DG55" s="1461">
        <v>0</v>
      </c>
      <c r="DH55" s="203">
        <v>0</v>
      </c>
      <c r="DI55" s="2013">
        <f>DL55-DH55</f>
        <v>0</v>
      </c>
      <c r="DJ55" s="860">
        <f>DM55/2</f>
        <v>0</v>
      </c>
      <c r="DK55" s="1557">
        <f>DM55-DJ55</f>
        <v>0</v>
      </c>
      <c r="DL55" s="1892">
        <v>0</v>
      </c>
      <c r="DM55" s="1422">
        <f>DN55-DL55</f>
        <v>0</v>
      </c>
      <c r="DN55" s="1549">
        <v>0</v>
      </c>
      <c r="DO55" s="860">
        <f>DS55/2</f>
        <v>0</v>
      </c>
      <c r="DP55" s="1422">
        <f>DS55-DO55</f>
        <v>0</v>
      </c>
      <c r="DQ55" s="860">
        <f>DT55/2</f>
        <v>0</v>
      </c>
      <c r="DR55" s="1557">
        <f>DT55-DQ55</f>
        <v>0</v>
      </c>
      <c r="DS55" s="860">
        <f>DU55/2</f>
        <v>0</v>
      </c>
      <c r="DT55" s="1422">
        <f>DU55-DS55</f>
        <v>0</v>
      </c>
      <c r="DU55" s="1549">
        <v>0</v>
      </c>
      <c r="DV55" s="860">
        <f>DZ55/2</f>
        <v>0</v>
      </c>
      <c r="DW55" s="1422">
        <f>DZ55-DV55</f>
        <v>0</v>
      </c>
      <c r="DX55" s="860">
        <f>EA55/2</f>
        <v>0</v>
      </c>
      <c r="DY55" s="1557">
        <f>EA55-DX55</f>
        <v>0</v>
      </c>
      <c r="DZ55" s="860">
        <f>EB55/2</f>
        <v>0</v>
      </c>
      <c r="EA55" s="1422">
        <f>EB55-DZ55</f>
        <v>0</v>
      </c>
      <c r="EB55" s="1549">
        <v>0</v>
      </c>
      <c r="EC55" s="860">
        <f>EG55/2</f>
        <v>0</v>
      </c>
      <c r="ED55" s="1422">
        <f>EG55-EC55</f>
        <v>0</v>
      </c>
      <c r="EE55" s="860">
        <f>EH55/2</f>
        <v>0</v>
      </c>
      <c r="EF55" s="1557">
        <f>EH55-EE55</f>
        <v>0</v>
      </c>
      <c r="EG55" s="860">
        <f>EI55/2</f>
        <v>0</v>
      </c>
      <c r="EH55" s="1422">
        <f>EI55-EG55</f>
        <v>0</v>
      </c>
      <c r="EI55" s="1549">
        <v>0</v>
      </c>
      <c r="EJ55" s="860">
        <f>EN55/2</f>
        <v>0</v>
      </c>
      <c r="EK55" s="1422">
        <f>EN55-EJ55</f>
        <v>0</v>
      </c>
      <c r="EL55" s="860">
        <f>EO55/2</f>
        <v>0</v>
      </c>
      <c r="EM55" s="1557">
        <f>EO55-EL55</f>
        <v>0</v>
      </c>
      <c r="EN55" s="860">
        <f>EP55/2</f>
        <v>0</v>
      </c>
      <c r="EO55" s="1422">
        <f>EP55-EN55</f>
        <v>0</v>
      </c>
      <c r="EP55" s="1549">
        <v>0</v>
      </c>
      <c r="EQ55" s="302"/>
      <c r="ER55" s="46"/>
    </row>
    <row r="56" spans="1:148" ht="10.199999999999999" customHeight="1">
      <c r="A56" s="252" t="s">
        <v>883</v>
      </c>
      <c r="B56" s="48"/>
      <c r="C56" s="126">
        <v>-287</v>
      </c>
      <c r="D56" s="126">
        <v>1050</v>
      </c>
      <c r="E56" s="126">
        <v>1614</v>
      </c>
      <c r="F56" s="126">
        <v>2413</v>
      </c>
      <c r="G56" s="126">
        <v>2029</v>
      </c>
      <c r="H56" s="126">
        <f t="shared" ref="H56:M56" si="807">H21+H23+H26</f>
        <v>3271</v>
      </c>
      <c r="I56" s="126">
        <f t="shared" si="807"/>
        <v>2647</v>
      </c>
      <c r="J56" s="126">
        <f t="shared" si="807"/>
        <v>583</v>
      </c>
      <c r="K56" s="126">
        <f t="shared" si="807"/>
        <v>2832</v>
      </c>
      <c r="L56" s="126">
        <f t="shared" si="807"/>
        <v>2710</v>
      </c>
      <c r="M56" s="126">
        <f t="shared" si="807"/>
        <v>714</v>
      </c>
      <c r="N56" s="126">
        <f t="shared" ref="N56:Q56" si="808">N49+N50+N51</f>
        <v>-3162</v>
      </c>
      <c r="O56" s="126">
        <f t="shared" si="808"/>
        <v>-911</v>
      </c>
      <c r="P56" s="126">
        <f t="shared" si="808"/>
        <v>-691</v>
      </c>
      <c r="Q56" s="1276">
        <f t="shared" si="808"/>
        <v>3937</v>
      </c>
      <c r="R56" s="126">
        <f t="shared" ref="R56:S56" si="809">R49+R50+R51</f>
        <v>-4073</v>
      </c>
      <c r="S56" s="126">
        <f t="shared" si="809"/>
        <v>3246</v>
      </c>
      <c r="T56" s="1082">
        <f>T49+T50+T51</f>
        <v>-827</v>
      </c>
      <c r="U56" s="126">
        <f t="shared" ref="U56:X56" si="810">U49+U50+U51</f>
        <v>-2034</v>
      </c>
      <c r="V56" s="126">
        <f t="shared" si="810"/>
        <v>-210</v>
      </c>
      <c r="W56" s="126">
        <f t="shared" si="810"/>
        <v>124</v>
      </c>
      <c r="X56" s="1276">
        <f t="shared" si="810"/>
        <v>4122</v>
      </c>
      <c r="Y56" s="126">
        <f t="shared" ref="Y56:Z56" si="811">Y49+Y50+Y51</f>
        <v>-2244</v>
      </c>
      <c r="Z56" s="126">
        <f t="shared" si="811"/>
        <v>4246</v>
      </c>
      <c r="AA56" s="1082">
        <f>AA49+AA50+AA51</f>
        <v>2002</v>
      </c>
      <c r="AB56" s="126">
        <f t="shared" ref="AB56:AE56" si="812">AB49+AB50+AB51</f>
        <v>452</v>
      </c>
      <c r="AC56" s="126">
        <f t="shared" si="812"/>
        <v>97</v>
      </c>
      <c r="AD56" s="126">
        <f t="shared" si="812"/>
        <v>-661</v>
      </c>
      <c r="AE56" s="1276">
        <f t="shared" si="812"/>
        <v>2937</v>
      </c>
      <c r="AF56" s="126">
        <f t="shared" ref="AF56:AG56" si="813">AF49+AF50+AF51</f>
        <v>549</v>
      </c>
      <c r="AG56" s="126">
        <f t="shared" si="813"/>
        <v>2276</v>
      </c>
      <c r="AH56" s="1082">
        <f>AH49+AH50+AH51</f>
        <v>2825</v>
      </c>
      <c r="AI56" s="126">
        <f t="shared" ref="AI56:AL56" si="814">AI49+AI50+AI51</f>
        <v>-3131</v>
      </c>
      <c r="AJ56" s="126">
        <f t="shared" si="814"/>
        <v>2012</v>
      </c>
      <c r="AK56" s="126">
        <f t="shared" si="814"/>
        <v>-1530</v>
      </c>
      <c r="AL56" s="1276">
        <f t="shared" si="814"/>
        <v>5830</v>
      </c>
      <c r="AM56" s="126">
        <f t="shared" ref="AM56:AN56" si="815">AM49+AM50+AM51</f>
        <v>-1119</v>
      </c>
      <c r="AN56" s="126">
        <f t="shared" si="815"/>
        <v>4300</v>
      </c>
      <c r="AO56" s="1082">
        <f>AO49+AO50+AO51</f>
        <v>3181</v>
      </c>
      <c r="AP56" s="126">
        <f t="shared" ref="AP56:AS56" si="816">AP49+AP50+AP51</f>
        <v>-1116</v>
      </c>
      <c r="AQ56" s="126">
        <f t="shared" si="816"/>
        <v>-840</v>
      </c>
      <c r="AR56" s="126">
        <f t="shared" si="816"/>
        <v>-1252</v>
      </c>
      <c r="AS56" s="1276">
        <f t="shared" si="816"/>
        <v>6943</v>
      </c>
      <c r="AT56" s="126">
        <f t="shared" ref="AT56:AU56" si="817">AT49+AT50+AT51</f>
        <v>-1956</v>
      </c>
      <c r="AU56" s="126">
        <f t="shared" si="817"/>
        <v>5691</v>
      </c>
      <c r="AV56" s="1082">
        <f>AV49+AV50+AV51</f>
        <v>3735</v>
      </c>
      <c r="AW56" s="126">
        <f t="shared" ref="AW56:AZ56" si="818">AW49+AW50+AW51</f>
        <v>-1116</v>
      </c>
      <c r="AX56" s="126">
        <f t="shared" si="818"/>
        <v>-840</v>
      </c>
      <c r="AY56" s="126">
        <f t="shared" si="818"/>
        <v>-1252</v>
      </c>
      <c r="AZ56" s="1276">
        <f t="shared" si="818"/>
        <v>6943</v>
      </c>
      <c r="BA56" s="126">
        <f t="shared" ref="BA56:BB56" si="819">BA49+BA50+BA51</f>
        <v>-1956</v>
      </c>
      <c r="BB56" s="126">
        <f t="shared" si="819"/>
        <v>5691</v>
      </c>
      <c r="BC56" s="1082">
        <f>BC49+BC50+BC51</f>
        <v>3735</v>
      </c>
      <c r="BD56" s="126">
        <f t="shared" ref="BD56:BG56" si="820">BD49+BD50+BD51</f>
        <v>-3656</v>
      </c>
      <c r="BE56" s="126">
        <f t="shared" si="820"/>
        <v>-141</v>
      </c>
      <c r="BF56" s="126">
        <f t="shared" si="820"/>
        <v>-131</v>
      </c>
      <c r="BG56" s="1276">
        <f t="shared" si="820"/>
        <v>7433</v>
      </c>
      <c r="BH56" s="126">
        <f t="shared" ref="BH56:BI56" si="821">BH49+BH50+BH51</f>
        <v>-3797</v>
      </c>
      <c r="BI56" s="126">
        <f t="shared" si="821"/>
        <v>7302</v>
      </c>
      <c r="BJ56" s="1082">
        <f>BJ49+BJ50+BJ51</f>
        <v>3505</v>
      </c>
      <c r="BK56" s="126">
        <f t="shared" ref="BK56:BN56" si="822">BK49+BK50+BK51</f>
        <v>-4448</v>
      </c>
      <c r="BL56" s="126">
        <f t="shared" si="822"/>
        <v>332</v>
      </c>
      <c r="BM56" s="126">
        <f t="shared" si="822"/>
        <v>-1011</v>
      </c>
      <c r="BN56" s="1276">
        <f t="shared" si="822"/>
        <v>8602</v>
      </c>
      <c r="BO56" s="126">
        <f t="shared" ref="BO56:BP56" si="823">BO49+BO50+BO51</f>
        <v>-4116</v>
      </c>
      <c r="BP56" s="126">
        <f t="shared" si="823"/>
        <v>7591</v>
      </c>
      <c r="BQ56" s="1082">
        <f>BQ49+BQ50+BQ51</f>
        <v>3475</v>
      </c>
      <c r="BR56" s="126">
        <f t="shared" ref="BR56:BU56" si="824">BR49+BR50+BR51</f>
        <v>-8501</v>
      </c>
      <c r="BS56" s="126">
        <f t="shared" si="824"/>
        <v>-4375</v>
      </c>
      <c r="BT56" s="126">
        <f t="shared" si="824"/>
        <v>600</v>
      </c>
      <c r="BU56" s="1276">
        <f t="shared" si="824"/>
        <v>4914</v>
      </c>
      <c r="BV56" s="126">
        <f t="shared" ref="BV56:BW56" si="825">BV49+BV50+BV51</f>
        <v>-12876</v>
      </c>
      <c r="BW56" s="126">
        <f t="shared" si="825"/>
        <v>5514</v>
      </c>
      <c r="BX56" s="1082">
        <f>BX49+BX50+BX51</f>
        <v>-7362</v>
      </c>
      <c r="BY56" s="126">
        <f t="shared" ref="BY56:CB56" si="826">BY49+BY50+BY51</f>
        <v>1164</v>
      </c>
      <c r="BZ56" s="126">
        <f t="shared" si="826"/>
        <v>848</v>
      </c>
      <c r="CA56" s="126">
        <f t="shared" si="826"/>
        <v>296</v>
      </c>
      <c r="CB56" s="1276">
        <f t="shared" si="826"/>
        <v>1203</v>
      </c>
      <c r="CC56" s="126">
        <f t="shared" ref="CC56:CD56" si="827">CC49+CC50+CC51</f>
        <v>2012</v>
      </c>
      <c r="CD56" s="126">
        <f t="shared" si="827"/>
        <v>1499</v>
      </c>
      <c r="CE56" s="1082">
        <f>CE49+CE50+CE51</f>
        <v>3511</v>
      </c>
      <c r="CF56" s="126">
        <f t="shared" ref="CF56:CI56" si="828">CF49+CF50+CF51</f>
        <v>161</v>
      </c>
      <c r="CG56" s="126">
        <f t="shared" si="828"/>
        <v>1485</v>
      </c>
      <c r="CH56" s="126">
        <f t="shared" si="828"/>
        <v>856</v>
      </c>
      <c r="CI56" s="1276">
        <f t="shared" si="828"/>
        <v>1822</v>
      </c>
      <c r="CJ56" s="126">
        <f t="shared" ref="CJ56:CK56" si="829">CJ49+CJ50+CJ51</f>
        <v>1646</v>
      </c>
      <c r="CK56" s="126">
        <f t="shared" si="829"/>
        <v>2678</v>
      </c>
      <c r="CL56" s="1082">
        <f>CL49+CL50+CL51</f>
        <v>4324</v>
      </c>
      <c r="CM56" s="126">
        <f t="shared" ref="CM56:CP56" si="830">CM49+CM50+CM51</f>
        <v>-885</v>
      </c>
      <c r="CN56" s="126">
        <f t="shared" si="830"/>
        <v>2360</v>
      </c>
      <c r="CO56" s="126">
        <f t="shared" si="830"/>
        <v>-757</v>
      </c>
      <c r="CP56" s="1276">
        <f t="shared" si="830"/>
        <v>3168</v>
      </c>
      <c r="CQ56" s="126">
        <f t="shared" ref="CQ56:CR56" si="831">CQ49+CQ50+CQ51</f>
        <v>1475</v>
      </c>
      <c r="CR56" s="126">
        <f t="shared" si="831"/>
        <v>2411</v>
      </c>
      <c r="CS56" s="1082">
        <f t="shared" ref="CS56:CY56" si="832">CS49+CS50+CS51</f>
        <v>3886</v>
      </c>
      <c r="CT56" s="126">
        <f t="shared" si="832"/>
        <v>-1799</v>
      </c>
      <c r="CU56" s="126">
        <f t="shared" si="832"/>
        <v>1240</v>
      </c>
      <c r="CV56" s="126">
        <f t="shared" si="832"/>
        <v>-318</v>
      </c>
      <c r="CW56" s="1276">
        <f t="shared" si="832"/>
        <v>5338</v>
      </c>
      <c r="CX56" s="126">
        <f t="shared" si="832"/>
        <v>-559</v>
      </c>
      <c r="CY56" s="126">
        <f t="shared" si="832"/>
        <v>5020</v>
      </c>
      <c r="CZ56" s="1082">
        <f t="shared" ref="CZ56:DB56" si="833">CZ49+CZ50+CZ51</f>
        <v>4461</v>
      </c>
      <c r="DA56" s="126">
        <f t="shared" si="833"/>
        <v>-296</v>
      </c>
      <c r="DB56" s="126">
        <f t="shared" si="833"/>
        <v>-1288</v>
      </c>
      <c r="DC56" s="126">
        <f t="shared" ref="DC56:DF56" si="834">DC49+DC50+DC51</f>
        <v>806</v>
      </c>
      <c r="DD56" s="1276">
        <f t="shared" si="834"/>
        <v>5531</v>
      </c>
      <c r="DE56" s="126">
        <f t="shared" si="834"/>
        <v>-1584</v>
      </c>
      <c r="DF56" s="126">
        <f t="shared" si="834"/>
        <v>6337</v>
      </c>
      <c r="DG56" s="1274">
        <f t="shared" ref="DG56:DI56" si="835">DG49+DG50+DG51</f>
        <v>4753</v>
      </c>
      <c r="DH56" s="126">
        <f t="shared" si="835"/>
        <v>-2422</v>
      </c>
      <c r="DI56" s="1920">
        <f t="shared" si="835"/>
        <v>1379</v>
      </c>
      <c r="DJ56" s="1110">
        <f t="shared" ref="DJ56:EP56" si="836">DJ49+DJ50+DJ51</f>
        <v>747.38892670695463</v>
      </c>
      <c r="DK56" s="1111">
        <f t="shared" si="836"/>
        <v>5415.3342173251185</v>
      </c>
      <c r="DL56" s="2012">
        <f t="shared" si="836"/>
        <v>-1043</v>
      </c>
      <c r="DM56" s="1110">
        <f t="shared" ref="DM56" si="837">DM49+DM50+DM51</f>
        <v>6162.7231440320729</v>
      </c>
      <c r="DN56" s="1107">
        <f t="shared" si="836"/>
        <v>5119.7231440320711</v>
      </c>
      <c r="DO56" s="1110">
        <f t="shared" si="836"/>
        <v>-1376.6117325835326</v>
      </c>
      <c r="DP56" s="1110">
        <f t="shared" si="836"/>
        <v>3097.9117749632956</v>
      </c>
      <c r="DQ56" s="1110">
        <f t="shared" si="836"/>
        <v>2666.0222883259471</v>
      </c>
      <c r="DR56" s="1111">
        <f t="shared" si="836"/>
        <v>2212.3449910162599</v>
      </c>
      <c r="DS56" s="1110">
        <f>DS49+DS50+DS51</f>
        <v>1721.300042379763</v>
      </c>
      <c r="DT56" s="1110">
        <f t="shared" ref="DT56" si="838">DT49+DT50+DT51</f>
        <v>4878.3672793422065</v>
      </c>
      <c r="DU56" s="1107">
        <f t="shared" si="836"/>
        <v>6599.6673217219686</v>
      </c>
      <c r="DV56" s="1110">
        <f t="shared" ref="DV56:DY56" si="839">DV49+DV50+DV51</f>
        <v>-520.82623007672714</v>
      </c>
      <c r="DW56" s="1110">
        <f t="shared" si="839"/>
        <v>3600.7440868026424</v>
      </c>
      <c r="DX56" s="1110">
        <f t="shared" si="839"/>
        <v>3149.7064024699266</v>
      </c>
      <c r="DY56" s="1111">
        <f t="shared" si="839"/>
        <v>2832.323015752901</v>
      </c>
      <c r="DZ56" s="1110">
        <f>DZ49+DZ50+DZ51</f>
        <v>3079.917856725916</v>
      </c>
      <c r="EA56" s="1110">
        <f t="shared" ref="EA56" si="840">EA49+EA50+EA51</f>
        <v>5982.0294182228281</v>
      </c>
      <c r="EB56" s="1107">
        <f t="shared" si="836"/>
        <v>9061.947274948745</v>
      </c>
      <c r="EC56" s="1110">
        <f t="shared" ref="EC56:EF56" si="841">EC49+EC50+EC51</f>
        <v>219.66055434385771</v>
      </c>
      <c r="ED56" s="1110">
        <f t="shared" si="841"/>
        <v>3405.2149497882565</v>
      </c>
      <c r="EE56" s="1110">
        <f t="shared" si="841"/>
        <v>2937.6053899981553</v>
      </c>
      <c r="EF56" s="1111">
        <f t="shared" si="841"/>
        <v>3286.3242375798059</v>
      </c>
      <c r="EG56" s="1110">
        <f>EG49+EG50+EG51</f>
        <v>3624.8755041321147</v>
      </c>
      <c r="EH56" s="1110">
        <f t="shared" ref="EH56" si="842">EH49+EH50+EH51</f>
        <v>6223.9296275779625</v>
      </c>
      <c r="EI56" s="1107">
        <f t="shared" si="836"/>
        <v>9848.8051317100744</v>
      </c>
      <c r="EJ56" s="1110">
        <f t="shared" ref="EJ56:EM56" si="843">EJ49+EJ50+EJ51</f>
        <v>529.72522653922852</v>
      </c>
      <c r="EK56" s="1110">
        <f t="shared" si="843"/>
        <v>3599.435046728111</v>
      </c>
      <c r="EL56" s="1110">
        <f t="shared" si="843"/>
        <v>3125.2101440776714</v>
      </c>
      <c r="EM56" s="1111">
        <f t="shared" si="843"/>
        <v>3463.1038173690827</v>
      </c>
      <c r="EN56" s="1110">
        <f>EN49+EN50+EN51</f>
        <v>4129.1602732673391</v>
      </c>
      <c r="EO56" s="1110">
        <f t="shared" ref="EO56" si="844">EO49+EO50+EO51</f>
        <v>6588.3139614467527</v>
      </c>
      <c r="EP56" s="1107">
        <f t="shared" si="836"/>
        <v>10717.474234714093</v>
      </c>
      <c r="EQ56" s="906"/>
      <c r="ER56" s="1423"/>
    </row>
    <row r="57" spans="1:148" ht="10.199999999999999" customHeight="1">
      <c r="A57" s="231" t="s">
        <v>873</v>
      </c>
      <c r="B57" s="108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>
        <v>0</v>
      </c>
      <c r="O57" s="203">
        <f>R57-N57</f>
        <v>-13</v>
      </c>
      <c r="P57" s="203">
        <f>-15-N57-O57</f>
        <v>-2</v>
      </c>
      <c r="Q57" s="1448">
        <f>S57-P57</f>
        <v>-1</v>
      </c>
      <c r="R57" s="203">
        <v>-13</v>
      </c>
      <c r="S57" s="203">
        <f>T57-R57</f>
        <v>-3</v>
      </c>
      <c r="T57" s="1461">
        <v>-16</v>
      </c>
      <c r="U57" s="203">
        <v>0</v>
      </c>
      <c r="V57" s="203">
        <f>Y57-U57</f>
        <v>26</v>
      </c>
      <c r="W57" s="203">
        <f>-30-U57-V57</f>
        <v>-56</v>
      </c>
      <c r="X57" s="1448">
        <f>Z57-W57</f>
        <v>923</v>
      </c>
      <c r="Y57" s="203">
        <v>26</v>
      </c>
      <c r="Z57" s="203">
        <f>AA57-Y57</f>
        <v>867</v>
      </c>
      <c r="AA57" s="1461">
        <v>893</v>
      </c>
      <c r="AB57" s="203">
        <v>1588</v>
      </c>
      <c r="AC57" s="203">
        <f>AF57-AB57</f>
        <v>-14</v>
      </c>
      <c r="AD57" s="203">
        <f>1639-AB57-AC57</f>
        <v>65</v>
      </c>
      <c r="AE57" s="1448">
        <f>AG57-AD57</f>
        <v>11</v>
      </c>
      <c r="AF57" s="203">
        <v>1574</v>
      </c>
      <c r="AG57" s="203">
        <f>AH57-AF57</f>
        <v>76</v>
      </c>
      <c r="AH57" s="1461">
        <v>1650</v>
      </c>
      <c r="AI57" s="203">
        <v>-145</v>
      </c>
      <c r="AJ57" s="203">
        <f>AM57-AI57</f>
        <v>2262</v>
      </c>
      <c r="AK57" s="203">
        <f>2080-AI57-AJ57</f>
        <v>-37</v>
      </c>
      <c r="AL57" s="1448">
        <f>AN57-AK57</f>
        <v>-55</v>
      </c>
      <c r="AM57" s="203">
        <v>2117</v>
      </c>
      <c r="AN57" s="203">
        <f>AO57-AM57</f>
        <v>-92</v>
      </c>
      <c r="AO57" s="1461">
        <v>2025</v>
      </c>
      <c r="AP57" s="203">
        <v>483</v>
      </c>
      <c r="AQ57" s="203">
        <f>AT57-AP57</f>
        <v>108</v>
      </c>
      <c r="AR57" s="203">
        <f>573-AP57-AQ57</f>
        <v>-18</v>
      </c>
      <c r="AS57" s="1448">
        <f>AU57-AR57</f>
        <v>313</v>
      </c>
      <c r="AT57" s="203">
        <v>591</v>
      </c>
      <c r="AU57" s="203">
        <f>AV57-AT57</f>
        <v>295</v>
      </c>
      <c r="AV57" s="1461">
        <v>886</v>
      </c>
      <c r="AW57" s="203">
        <v>483</v>
      </c>
      <c r="AX57" s="203">
        <f>BA57-AW57</f>
        <v>108</v>
      </c>
      <c r="AY57" s="203">
        <f>573-AW57-AX57</f>
        <v>-18</v>
      </c>
      <c r="AZ57" s="1448">
        <f>BB57-AY57</f>
        <v>313</v>
      </c>
      <c r="BA57" s="203">
        <v>591</v>
      </c>
      <c r="BB57" s="203">
        <f>BC57-BA57</f>
        <v>295</v>
      </c>
      <c r="BC57" s="1461">
        <v>886</v>
      </c>
      <c r="BD57" s="203">
        <v>190</v>
      </c>
      <c r="BE57" s="203">
        <f>BH57-BD57</f>
        <v>82</v>
      </c>
      <c r="BF57" s="203">
        <f>414-BD57-BE57</f>
        <v>142</v>
      </c>
      <c r="BG57" s="1448">
        <f>BI57-BF57</f>
        <v>100</v>
      </c>
      <c r="BH57" s="203">
        <v>272</v>
      </c>
      <c r="BI57" s="203">
        <f>BJ57-BH57</f>
        <v>242</v>
      </c>
      <c r="BJ57" s="1461">
        <v>514</v>
      </c>
      <c r="BK57" s="203">
        <v>-55</v>
      </c>
      <c r="BL57" s="203">
        <f>BO57-BK57</f>
        <v>-63</v>
      </c>
      <c r="BM57" s="203">
        <f>-225-BK57-BL57</f>
        <v>-107</v>
      </c>
      <c r="BN57" s="1448">
        <f>BP57-BM57</f>
        <v>133</v>
      </c>
      <c r="BO57" s="203">
        <v>-118</v>
      </c>
      <c r="BP57" s="203">
        <f>BQ57-BO57</f>
        <v>26</v>
      </c>
      <c r="BQ57" s="1461">
        <v>-92</v>
      </c>
      <c r="BR57" s="203">
        <v>-502</v>
      </c>
      <c r="BS57" s="203">
        <f>BV57-BR57</f>
        <v>-1</v>
      </c>
      <c r="BT57" s="203">
        <f>-520-BR57-BS57</f>
        <v>-17</v>
      </c>
      <c r="BU57" s="1448">
        <f>BW57-BT57</f>
        <v>-31</v>
      </c>
      <c r="BV57" s="203">
        <v>-503</v>
      </c>
      <c r="BW57" s="203">
        <f>BX57-BV57</f>
        <v>-48</v>
      </c>
      <c r="BX57" s="1461">
        <v>-551</v>
      </c>
      <c r="BY57" s="203">
        <v>-7</v>
      </c>
      <c r="BZ57" s="203">
        <f>CC57-BY57</f>
        <v>-1</v>
      </c>
      <c r="CA57" s="203">
        <f>-14-BY57-BZ57</f>
        <v>-6</v>
      </c>
      <c r="CB57" s="1448">
        <f>CD57-CA57</f>
        <v>-18</v>
      </c>
      <c r="CC57" s="203">
        <v>-8</v>
      </c>
      <c r="CD57" s="203">
        <f>CE57-CC57</f>
        <v>-24</v>
      </c>
      <c r="CE57" s="1461">
        <v>-32</v>
      </c>
      <c r="CF57" s="203">
        <v>-6</v>
      </c>
      <c r="CG57" s="203">
        <f>CJ57-CF57</f>
        <v>-13</v>
      </c>
      <c r="CH57" s="203">
        <f>-107-CF57-CG57</f>
        <v>-88</v>
      </c>
      <c r="CI57" s="1448">
        <f>CK57-CH57</f>
        <v>-103</v>
      </c>
      <c r="CJ57" s="203">
        <v>-19</v>
      </c>
      <c r="CK57" s="203">
        <f>CL57-CJ57</f>
        <v>-191</v>
      </c>
      <c r="CL57" s="1461">
        <v>-210</v>
      </c>
      <c r="CM57" s="203">
        <v>0</v>
      </c>
      <c r="CN57" s="203">
        <f>CQ57-CM57</f>
        <v>-58</v>
      </c>
      <c r="CO57" s="203">
        <f>-58-CM57-CN57</f>
        <v>0</v>
      </c>
      <c r="CP57" s="1448">
        <f>CR57-CO57</f>
        <v>-7</v>
      </c>
      <c r="CQ57" s="203">
        <v>-58</v>
      </c>
      <c r="CR57" s="203">
        <f>CS57-CQ57</f>
        <v>-7</v>
      </c>
      <c r="CS57" s="1461">
        <v>-65</v>
      </c>
      <c r="CT57" s="203">
        <v>0</v>
      </c>
      <c r="CU57" s="203">
        <f>CX57-CT57</f>
        <v>0</v>
      </c>
      <c r="CV57" s="203">
        <v>0</v>
      </c>
      <c r="CW57" s="1448">
        <f>CY57-CV57</f>
        <v>0</v>
      </c>
      <c r="CX57" s="203">
        <v>0</v>
      </c>
      <c r="CY57" s="203">
        <f>CZ57-CX57</f>
        <v>0</v>
      </c>
      <c r="CZ57" s="1461">
        <v>0</v>
      </c>
      <c r="DA57" s="203">
        <v>0</v>
      </c>
      <c r="DB57" s="203">
        <f>DE57-DA57</f>
        <v>0</v>
      </c>
      <c r="DC57" s="203">
        <f>DF57/2</f>
        <v>0</v>
      </c>
      <c r="DD57" s="1448">
        <f>DF57-DC57</f>
        <v>0</v>
      </c>
      <c r="DE57" s="203">
        <v>0</v>
      </c>
      <c r="DF57" s="203">
        <f>DG57-DE57</f>
        <v>0</v>
      </c>
      <c r="DG57" s="1461">
        <v>0</v>
      </c>
      <c r="DH57" s="203">
        <v>0</v>
      </c>
      <c r="DI57" s="2013">
        <f>DL57-DH57</f>
        <v>0</v>
      </c>
      <c r="DJ57" s="860">
        <f>DM57/2</f>
        <v>0</v>
      </c>
      <c r="DK57" s="1557">
        <f>DM57-DJ57</f>
        <v>0</v>
      </c>
      <c r="DL57" s="1892">
        <v>0</v>
      </c>
      <c r="DM57" s="1422">
        <f>DN57-DL57</f>
        <v>0</v>
      </c>
      <c r="DN57" s="1549">
        <v>0</v>
      </c>
      <c r="DO57" s="860">
        <f>DS57/2</f>
        <v>0</v>
      </c>
      <c r="DP57" s="1422">
        <f>DS57-DO57</f>
        <v>0</v>
      </c>
      <c r="DQ57" s="860">
        <f>DT57/2</f>
        <v>0</v>
      </c>
      <c r="DR57" s="1557">
        <f>DT57-DQ57</f>
        <v>0</v>
      </c>
      <c r="DS57" s="860">
        <f>DU57/2</f>
        <v>0</v>
      </c>
      <c r="DT57" s="1422">
        <f>DU57-DS57</f>
        <v>0</v>
      </c>
      <c r="DU57" s="1549">
        <v>0</v>
      </c>
      <c r="DV57" s="860">
        <f>DZ57/2</f>
        <v>0</v>
      </c>
      <c r="DW57" s="1422">
        <f>DZ57-DV57</f>
        <v>0</v>
      </c>
      <c r="DX57" s="860">
        <f>EA57/2</f>
        <v>0</v>
      </c>
      <c r="DY57" s="1557">
        <f>EA57-DX57</f>
        <v>0</v>
      </c>
      <c r="DZ57" s="860">
        <f>EB57/2</f>
        <v>0</v>
      </c>
      <c r="EA57" s="1422">
        <f>EB57-DZ57</f>
        <v>0</v>
      </c>
      <c r="EB57" s="1549">
        <v>0</v>
      </c>
      <c r="EC57" s="860">
        <f>EG57/2</f>
        <v>0</v>
      </c>
      <c r="ED57" s="1422">
        <f>EG57-EC57</f>
        <v>0</v>
      </c>
      <c r="EE57" s="860">
        <f>EH57/2</f>
        <v>0</v>
      </c>
      <c r="EF57" s="1557">
        <f>EH57-EE57</f>
        <v>0</v>
      </c>
      <c r="EG57" s="860">
        <f>EI57/2</f>
        <v>0</v>
      </c>
      <c r="EH57" s="1422">
        <f>EI57-EG57</f>
        <v>0</v>
      </c>
      <c r="EI57" s="1549">
        <v>0</v>
      </c>
      <c r="EJ57" s="860">
        <f>EN57/2</f>
        <v>0</v>
      </c>
      <c r="EK57" s="1422">
        <f>EN57-EJ57</f>
        <v>0</v>
      </c>
      <c r="EL57" s="860">
        <f>EO57/2</f>
        <v>0</v>
      </c>
      <c r="EM57" s="1557">
        <f>EO57-EL57</f>
        <v>0</v>
      </c>
      <c r="EN57" s="860">
        <f>EP57/2</f>
        <v>0</v>
      </c>
      <c r="EO57" s="1422">
        <f>EP57-EN57</f>
        <v>0</v>
      </c>
      <c r="EP57" s="1549">
        <v>0</v>
      </c>
      <c r="EQ57" s="302"/>
      <c r="ER57" s="1424"/>
    </row>
    <row r="58" spans="1:148" ht="10.199999999999999" customHeight="1">
      <c r="A58" s="1425" t="s">
        <v>882</v>
      </c>
      <c r="B58" s="178"/>
      <c r="C58" s="1426"/>
      <c r="D58" s="1426"/>
      <c r="E58" s="1426"/>
      <c r="F58" s="1426"/>
      <c r="G58" s="1426"/>
      <c r="H58" s="1426"/>
      <c r="I58" s="1426"/>
      <c r="J58" s="1426"/>
      <c r="K58" s="1426"/>
      <c r="L58" s="1426"/>
      <c r="M58" s="1426"/>
      <c r="N58" s="1426">
        <f>N49+N50+N52</f>
        <v>-3110</v>
      </c>
      <c r="O58" s="1426">
        <f>O49+O50+O52</f>
        <v>-834</v>
      </c>
      <c r="P58" s="1426">
        <f>P49+P50+P52</f>
        <v>-902</v>
      </c>
      <c r="Q58" s="1537">
        <f t="shared" ref="Q58" si="845">Q49+Q50+Q52</f>
        <v>4174</v>
      </c>
      <c r="R58" s="1426">
        <f>R49+R50+R52</f>
        <v>-3944</v>
      </c>
      <c r="S58" s="1426">
        <f t="shared" ref="S58" si="846">S49+S50+S52</f>
        <v>3272</v>
      </c>
      <c r="T58" s="1541">
        <f>T49+T50+T52</f>
        <v>-672</v>
      </c>
      <c r="U58" s="1426">
        <f>U49+U50+U52</f>
        <v>-2067</v>
      </c>
      <c r="V58" s="1426">
        <f>V49+V50+V52</f>
        <v>-215</v>
      </c>
      <c r="W58" s="1426">
        <f>W49+W50+W52</f>
        <v>156</v>
      </c>
      <c r="X58" s="1537">
        <f t="shared" ref="X58" si="847">X49+X50+X52</f>
        <v>3162</v>
      </c>
      <c r="Y58" s="1426">
        <f>Y49+Y50+Y52</f>
        <v>-2282</v>
      </c>
      <c r="Z58" s="1426">
        <f t="shared" ref="Z58" si="848">Z49+Z50+Z52</f>
        <v>3318</v>
      </c>
      <c r="AA58" s="1541">
        <f>AA49+AA50+AA52</f>
        <v>1036</v>
      </c>
      <c r="AB58" s="1426">
        <f>AB49+AB50+AB52</f>
        <v>-1120</v>
      </c>
      <c r="AC58" s="1426">
        <f>AC49+AC50+AC52</f>
        <v>104</v>
      </c>
      <c r="AD58" s="1426">
        <f>AD49+AD50+AD52</f>
        <v>-748</v>
      </c>
      <c r="AE58" s="1537">
        <f t="shared" ref="AE58" si="849">AE49+AE50+AE52</f>
        <v>2843</v>
      </c>
      <c r="AF58" s="1426">
        <f>AF49+AF50+AF52</f>
        <v>-1016</v>
      </c>
      <c r="AG58" s="1426">
        <f t="shared" ref="AG58" si="850">AG49+AG50+AG52</f>
        <v>2095</v>
      </c>
      <c r="AH58" s="1541">
        <f>AH49+AH50+AH52</f>
        <v>1079</v>
      </c>
      <c r="AI58" s="1426">
        <f>AI49+AI50+AI52</f>
        <v>-2973</v>
      </c>
      <c r="AJ58" s="1426">
        <f>AJ49+AJ50+AJ52</f>
        <v>-273</v>
      </c>
      <c r="AK58" s="1426">
        <f>AK49+AK50+AK52</f>
        <v>-1489</v>
      </c>
      <c r="AL58" s="1537">
        <f t="shared" ref="AL58" si="851">AL49+AL50+AL52</f>
        <v>5850</v>
      </c>
      <c r="AM58" s="1426">
        <f>AM49+AM50+AM52</f>
        <v>-3246</v>
      </c>
      <c r="AN58" s="1426">
        <f t="shared" ref="AN58" si="852">AN49+AN50+AN52</f>
        <v>4361</v>
      </c>
      <c r="AO58" s="1541">
        <f>AO49+AO50+AO52</f>
        <v>1115</v>
      </c>
      <c r="AP58" s="1426">
        <f>AP49+AP50+AP52</f>
        <v>-1743</v>
      </c>
      <c r="AQ58" s="1426">
        <f>AQ49+AQ50+AQ52</f>
        <v>-1069</v>
      </c>
      <c r="AR58" s="1426">
        <f>AR49+AR50+AR52</f>
        <v>-1254</v>
      </c>
      <c r="AS58" s="1537">
        <f t="shared" ref="AS58" si="853">AS49+AS50+AS52</f>
        <v>6620</v>
      </c>
      <c r="AT58" s="1426">
        <f>AT49+AT50+AT52</f>
        <v>-2812</v>
      </c>
      <c r="AU58" s="1426">
        <f t="shared" ref="AU58" si="854">AU49+AU50+AU52</f>
        <v>5366</v>
      </c>
      <c r="AV58" s="1541">
        <f>AV49+AV50+AV52</f>
        <v>2554</v>
      </c>
      <c r="AW58" s="1426">
        <f>AW49+AW50+AW52</f>
        <v>-1743</v>
      </c>
      <c r="AX58" s="1426">
        <f>AX49+AX50+AX52</f>
        <v>-1069</v>
      </c>
      <c r="AY58" s="1426">
        <f>AY49+AY50+AY52</f>
        <v>-1254</v>
      </c>
      <c r="AZ58" s="1537">
        <f t="shared" ref="AZ58" si="855">AZ49+AZ50+AZ52</f>
        <v>6620</v>
      </c>
      <c r="BA58" s="1426">
        <f>BA49+BA50+BA52</f>
        <v>-2812</v>
      </c>
      <c r="BB58" s="1426">
        <f t="shared" ref="BB58" si="856">BB49+BB50+BB52</f>
        <v>5366</v>
      </c>
      <c r="BC58" s="1541">
        <f>BC49+BC50+BC52</f>
        <v>2554</v>
      </c>
      <c r="BD58" s="1426">
        <f>BD49+BD50+BD52</f>
        <v>-3828</v>
      </c>
      <c r="BE58" s="1426">
        <f>BE49+BE50+BE52</f>
        <v>-246</v>
      </c>
      <c r="BF58" s="1426">
        <f>BF49+BF50+BF52</f>
        <v>-253</v>
      </c>
      <c r="BG58" s="1537">
        <f t="shared" ref="BG58" si="857">BG49+BG50+BG52</f>
        <v>7328</v>
      </c>
      <c r="BH58" s="1426">
        <f>BH49+BH50+BH52</f>
        <v>-4074</v>
      </c>
      <c r="BI58" s="1426">
        <f t="shared" ref="BI58" si="858">BI49+BI50+BI52</f>
        <v>7075</v>
      </c>
      <c r="BJ58" s="1541">
        <f>BJ49+BJ50+BJ52</f>
        <v>3001</v>
      </c>
      <c r="BK58" s="1426">
        <f>BK49+BK50+BK52</f>
        <v>-4411</v>
      </c>
      <c r="BL58" s="1426">
        <f>BL49+BL50+BL52</f>
        <v>329</v>
      </c>
      <c r="BM58" s="1426">
        <f>BM49+BM50+BM52</f>
        <v>-919</v>
      </c>
      <c r="BN58" s="1537">
        <f t="shared" ref="BN58" si="859">BN49+BN50+BN52</f>
        <v>8550</v>
      </c>
      <c r="BO58" s="1426">
        <f>BO49+BO50+BO52</f>
        <v>-4082</v>
      </c>
      <c r="BP58" s="1426">
        <f t="shared" ref="BP58" si="860">BP49+BP50+BP52</f>
        <v>7631</v>
      </c>
      <c r="BQ58" s="1541">
        <f>BQ49+BQ50+BQ52</f>
        <v>3549</v>
      </c>
      <c r="BR58" s="1426">
        <f>BR49+BR50+BR52</f>
        <v>-7963</v>
      </c>
      <c r="BS58" s="1426">
        <f>BS49+BS50+BS52</f>
        <v>-4362</v>
      </c>
      <c r="BT58" s="1426">
        <f>BT49+BT50+BT52</f>
        <v>634</v>
      </c>
      <c r="BU58" s="1537">
        <f t="shared" ref="BU58" si="861">BU49+BU50+BU52</f>
        <v>5016</v>
      </c>
      <c r="BV58" s="1426">
        <f>BV49+BV50+BV52</f>
        <v>-12325</v>
      </c>
      <c r="BW58" s="1426">
        <f t="shared" ref="BW58" si="862">BW49+BW50+BW52</f>
        <v>5650</v>
      </c>
      <c r="BX58" s="1541">
        <f>BX49+BX50+BX52</f>
        <v>-6675</v>
      </c>
      <c r="BY58" s="1426">
        <f>BY49+BY50+BY52</f>
        <v>1179</v>
      </c>
      <c r="BZ58" s="1426">
        <f>BZ49+BZ50+BZ52</f>
        <v>917</v>
      </c>
      <c r="CA58" s="1426">
        <f>CA49+CA50+CA52</f>
        <v>326</v>
      </c>
      <c r="CB58" s="1537">
        <f t="shared" ref="CB58" si="863">CB49+CB50+CB52</f>
        <v>1003</v>
      </c>
      <c r="CC58" s="1426">
        <f>CC49+CC50+CC52</f>
        <v>2096</v>
      </c>
      <c r="CD58" s="1426">
        <f t="shared" ref="CD58" si="864">CD49+CD50+CD52</f>
        <v>1329</v>
      </c>
      <c r="CE58" s="1541">
        <f>CE49+CE50+CE52</f>
        <v>3425</v>
      </c>
      <c r="CF58" s="1426">
        <f>CF49+CF50+CF52</f>
        <v>240</v>
      </c>
      <c r="CG58" s="1426">
        <f>CG49+CG50+CG52</f>
        <v>1472</v>
      </c>
      <c r="CH58" s="1426">
        <f>CH49+CH50+CH52</f>
        <v>983</v>
      </c>
      <c r="CI58" s="1537">
        <f t="shared" ref="CI58" si="865">CI49+CI50+CI52</f>
        <v>1975</v>
      </c>
      <c r="CJ58" s="1426">
        <f>CJ49+CJ50+CJ52</f>
        <v>1712</v>
      </c>
      <c r="CK58" s="1426">
        <f t="shared" ref="CK58" si="866">CK49+CK50+CK52</f>
        <v>2958</v>
      </c>
      <c r="CL58" s="1541">
        <f>CL49+CL50+CL52</f>
        <v>4670</v>
      </c>
      <c r="CM58" s="1426">
        <f>CM49+CM50+CM52</f>
        <v>-872</v>
      </c>
      <c r="CN58" s="1426">
        <f>CN49+CN50+CN52</f>
        <v>2466</v>
      </c>
      <c r="CO58" s="1426">
        <f>CO49+CO50+CO52</f>
        <v>-751</v>
      </c>
      <c r="CP58" s="1537">
        <f t="shared" ref="CP58" si="867">CP49+CP50+CP52</f>
        <v>3254</v>
      </c>
      <c r="CQ58" s="1426">
        <f>CQ49+CQ50+CQ52</f>
        <v>1594</v>
      </c>
      <c r="CR58" s="1426">
        <f t="shared" ref="CR58" si="868">CR49+CR50+CR52</f>
        <v>2503</v>
      </c>
      <c r="CS58" s="1541">
        <f>CS49+CS50+CS52</f>
        <v>4097</v>
      </c>
      <c r="CT58" s="1426">
        <f>CT49+CT50+CT52</f>
        <v>-1799</v>
      </c>
      <c r="CU58" s="1426">
        <f>CU49+CU50+CU52</f>
        <v>1240</v>
      </c>
      <c r="CV58" s="1426">
        <f>CV49+CV50+CV52</f>
        <v>-318</v>
      </c>
      <c r="CW58" s="1537">
        <f t="shared" ref="CW58" si="869">CW49+CW50+CW52</f>
        <v>5338</v>
      </c>
      <c r="CX58" s="1426">
        <f>CX49+CX50+CX52</f>
        <v>-559</v>
      </c>
      <c r="CY58" s="1426">
        <f t="shared" ref="CY58" si="870">CY49+CY50+CY52</f>
        <v>5020</v>
      </c>
      <c r="CZ58" s="1541">
        <f>CZ49+CZ50+CZ52</f>
        <v>4461</v>
      </c>
      <c r="DA58" s="1426">
        <f>DA49+DA50+DA52</f>
        <v>-296</v>
      </c>
      <c r="DB58" s="1426">
        <f>DB49+DB50+DB52</f>
        <v>-1288</v>
      </c>
      <c r="DC58" s="1426">
        <f t="shared" ref="DC58:DD58" si="871">DC49+DC50+DC52</f>
        <v>806</v>
      </c>
      <c r="DD58" s="1537">
        <f t="shared" si="871"/>
        <v>5531</v>
      </c>
      <c r="DE58" s="1426">
        <f>DE49+DE50+DE52</f>
        <v>-1584</v>
      </c>
      <c r="DF58" s="1426">
        <f t="shared" ref="DF58" si="872">DF49+DF50+DF52</f>
        <v>6337</v>
      </c>
      <c r="DG58" s="1541">
        <f>DG49+DG50+DG52</f>
        <v>4753</v>
      </c>
      <c r="DH58" s="1426">
        <f>DH49+DH50+DH52</f>
        <v>-2422</v>
      </c>
      <c r="DI58" s="2014">
        <f>DI49+DI50+DI52</f>
        <v>1379</v>
      </c>
      <c r="DJ58" s="1427">
        <f t="shared" ref="DJ58:DM58" si="873">DJ49+DJ50+DJ52</f>
        <v>747.38892670695463</v>
      </c>
      <c r="DK58" s="1558">
        <f t="shared" si="873"/>
        <v>5415.3342173251185</v>
      </c>
      <c r="DL58" s="2014">
        <f>DL49+DL50+DL52</f>
        <v>-1043</v>
      </c>
      <c r="DM58" s="1427">
        <f t="shared" si="873"/>
        <v>6162.7231440320729</v>
      </c>
      <c r="DN58" s="1550">
        <f t="shared" ref="DN58:EP58" si="874">DN49+DN50+DN52</f>
        <v>5119.7231440320711</v>
      </c>
      <c r="DO58" s="1427">
        <f t="shared" si="874"/>
        <v>-1376.6117325835326</v>
      </c>
      <c r="DP58" s="1427">
        <f>DP49+DP50+DP52</f>
        <v>3097.9117749632956</v>
      </c>
      <c r="DQ58" s="1427">
        <f t="shared" ref="DQ58:DT58" si="875">DQ49+DQ50+DQ52</f>
        <v>2666.0222883259471</v>
      </c>
      <c r="DR58" s="1558">
        <f t="shared" si="875"/>
        <v>2212.3449910162599</v>
      </c>
      <c r="DS58" s="1427">
        <f t="shared" si="875"/>
        <v>1721.300042379763</v>
      </c>
      <c r="DT58" s="1427">
        <f t="shared" si="875"/>
        <v>4878.3672793422065</v>
      </c>
      <c r="DU58" s="1550">
        <f t="shared" si="874"/>
        <v>6599.6673217219686</v>
      </c>
      <c r="DV58" s="1427">
        <f t="shared" ref="DV58" si="876">DV49+DV50+DV52</f>
        <v>-520.82623007672714</v>
      </c>
      <c r="DW58" s="1427">
        <f>DW49+DW50+DW52</f>
        <v>3600.7440868026424</v>
      </c>
      <c r="DX58" s="1427">
        <f t="shared" ref="DX58:EA58" si="877">DX49+DX50+DX52</f>
        <v>3149.7064024699266</v>
      </c>
      <c r="DY58" s="1558">
        <f t="shared" si="877"/>
        <v>2832.323015752901</v>
      </c>
      <c r="DZ58" s="1427">
        <f t="shared" si="877"/>
        <v>3079.917856725916</v>
      </c>
      <c r="EA58" s="1427">
        <f t="shared" si="877"/>
        <v>5982.0294182228281</v>
      </c>
      <c r="EB58" s="1550">
        <f t="shared" si="874"/>
        <v>9061.947274948745</v>
      </c>
      <c r="EC58" s="1427">
        <f t="shared" ref="EC58" si="878">EC49+EC50+EC52</f>
        <v>219.66055434385771</v>
      </c>
      <c r="ED58" s="1427">
        <f>ED49+ED50+ED52</f>
        <v>3405.2149497882565</v>
      </c>
      <c r="EE58" s="1427">
        <f t="shared" ref="EE58:EH58" si="879">EE49+EE50+EE52</f>
        <v>2937.6053899981553</v>
      </c>
      <c r="EF58" s="1558">
        <f t="shared" si="879"/>
        <v>3286.3242375798059</v>
      </c>
      <c r="EG58" s="1427">
        <f t="shared" si="879"/>
        <v>3624.8755041321147</v>
      </c>
      <c r="EH58" s="1427">
        <f t="shared" si="879"/>
        <v>6223.9296275779625</v>
      </c>
      <c r="EI58" s="1550">
        <f t="shared" si="874"/>
        <v>9848.8051317100744</v>
      </c>
      <c r="EJ58" s="1427">
        <f t="shared" ref="EJ58" si="880">EJ49+EJ50+EJ52</f>
        <v>529.72522653922852</v>
      </c>
      <c r="EK58" s="1427">
        <f>EK49+EK50+EK52</f>
        <v>3599.435046728111</v>
      </c>
      <c r="EL58" s="1427">
        <f t="shared" ref="EL58:EO58" si="881">EL49+EL50+EL52</f>
        <v>3125.2101440776714</v>
      </c>
      <c r="EM58" s="1558">
        <f t="shared" si="881"/>
        <v>3463.1038173690827</v>
      </c>
      <c r="EN58" s="1427">
        <f t="shared" si="881"/>
        <v>4129.1602732673391</v>
      </c>
      <c r="EO58" s="1427">
        <f t="shared" si="881"/>
        <v>6588.3139614467527</v>
      </c>
      <c r="EP58" s="1550">
        <f t="shared" si="874"/>
        <v>10717.474234714093</v>
      </c>
      <c r="EQ58" s="906"/>
      <c r="ER58" s="97"/>
    </row>
    <row r="59" spans="1:148" ht="10.199999999999999" customHeight="1">
      <c r="A59" s="231" t="s">
        <v>585</v>
      </c>
      <c r="B59" s="108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>
        <v>-73</v>
      </c>
      <c r="O59" s="203">
        <f>R59-N59</f>
        <v>20</v>
      </c>
      <c r="P59" s="203">
        <f>-418-N59-O59</f>
        <v>-365</v>
      </c>
      <c r="Q59" s="1448">
        <f>S59-P59</f>
        <v>99</v>
      </c>
      <c r="R59" s="203">
        <v>-53</v>
      </c>
      <c r="S59" s="203">
        <f>T59-R59</f>
        <v>-266</v>
      </c>
      <c r="T59" s="1461">
        <v>-319</v>
      </c>
      <c r="U59" s="203">
        <v>-138</v>
      </c>
      <c r="V59" s="203">
        <f>Y59-U59</f>
        <v>6</v>
      </c>
      <c r="W59" s="203">
        <f>71-U59-V59</f>
        <v>203</v>
      </c>
      <c r="X59" s="1448">
        <f>Z59-W59</f>
        <v>37</v>
      </c>
      <c r="Y59" s="203">
        <v>-132</v>
      </c>
      <c r="Z59" s="203">
        <f>AA59-Y59</f>
        <v>240</v>
      </c>
      <c r="AA59" s="1461">
        <v>108</v>
      </c>
      <c r="AB59" s="203">
        <v>-31</v>
      </c>
      <c r="AC59" s="203">
        <f>AF59-AB59</f>
        <v>-32</v>
      </c>
      <c r="AD59" s="203">
        <f>-117-AB59-AC59</f>
        <v>-54</v>
      </c>
      <c r="AE59" s="1448">
        <f>AG59-AD59</f>
        <v>-33</v>
      </c>
      <c r="AF59" s="203">
        <v>-63</v>
      </c>
      <c r="AG59" s="203">
        <f>AH59-AF59</f>
        <v>-87</v>
      </c>
      <c r="AH59" s="1461">
        <v>-150</v>
      </c>
      <c r="AI59" s="203">
        <v>-255</v>
      </c>
      <c r="AJ59" s="203">
        <f>AM59-AI59</f>
        <v>-332</v>
      </c>
      <c r="AK59" s="203">
        <f>-545-AI59-AJ59</f>
        <v>42</v>
      </c>
      <c r="AL59" s="1448">
        <f>AN59-AK59</f>
        <v>293</v>
      </c>
      <c r="AM59" s="203">
        <v>-587</v>
      </c>
      <c r="AN59" s="203">
        <f>AO59-AM59</f>
        <v>335</v>
      </c>
      <c r="AO59" s="1461">
        <v>-252</v>
      </c>
      <c r="AP59" s="203">
        <v>-330</v>
      </c>
      <c r="AQ59" s="203">
        <f>AT59-AP59</f>
        <v>-124</v>
      </c>
      <c r="AR59" s="203">
        <f>-437-AP59-AQ59</f>
        <v>17</v>
      </c>
      <c r="AS59" s="1448">
        <f>AU59-AR59</f>
        <v>337</v>
      </c>
      <c r="AT59" s="203">
        <v>-454</v>
      </c>
      <c r="AU59" s="203">
        <f>AV59-AT59</f>
        <v>354</v>
      </c>
      <c r="AV59" s="1461">
        <v>-100</v>
      </c>
      <c r="AW59" s="203">
        <v>-330</v>
      </c>
      <c r="AX59" s="203">
        <f>BA59-AW59</f>
        <v>-124</v>
      </c>
      <c r="AY59" s="203">
        <f>-437-AW59-AX59</f>
        <v>17</v>
      </c>
      <c r="AZ59" s="1448">
        <f>BB59-AY59</f>
        <v>337</v>
      </c>
      <c r="BA59" s="203">
        <v>-454</v>
      </c>
      <c r="BB59" s="203">
        <f>BC59-BA59</f>
        <v>354</v>
      </c>
      <c r="BC59" s="1461">
        <v>-100</v>
      </c>
      <c r="BD59" s="203">
        <v>-7</v>
      </c>
      <c r="BE59" s="203">
        <f>BH59-BD59</f>
        <v>-94</v>
      </c>
      <c r="BF59" s="203">
        <f>-173-BD59-BE59</f>
        <v>-72</v>
      </c>
      <c r="BG59" s="1448">
        <f>BI59-BF59</f>
        <v>252</v>
      </c>
      <c r="BH59" s="203">
        <v>-101</v>
      </c>
      <c r="BI59" s="203">
        <f>BJ59-BH59</f>
        <v>180</v>
      </c>
      <c r="BJ59" s="1461">
        <v>79</v>
      </c>
      <c r="BK59" s="203">
        <v>-52</v>
      </c>
      <c r="BL59" s="203">
        <f>BO59-BK59</f>
        <v>35</v>
      </c>
      <c r="BM59" s="203">
        <f>35-BK59-BL59</f>
        <v>52</v>
      </c>
      <c r="BN59" s="1448">
        <f>BP59-BM59</f>
        <v>23</v>
      </c>
      <c r="BO59" s="203">
        <v>-17</v>
      </c>
      <c r="BP59" s="203">
        <f>BQ59-BO59</f>
        <v>75</v>
      </c>
      <c r="BQ59" s="1461">
        <v>58</v>
      </c>
      <c r="BR59" s="203">
        <v>31</v>
      </c>
      <c r="BS59" s="203">
        <f>BV59-BR59</f>
        <v>36</v>
      </c>
      <c r="BT59" s="203">
        <f>42-BR59-BS59</f>
        <v>-25</v>
      </c>
      <c r="BU59" s="1448">
        <f>BW59-BT59</f>
        <v>82</v>
      </c>
      <c r="BV59" s="203">
        <v>67</v>
      </c>
      <c r="BW59" s="203">
        <f>BX59-BV59</f>
        <v>57</v>
      </c>
      <c r="BX59" s="1461">
        <v>124</v>
      </c>
      <c r="BY59" s="203">
        <v>-31</v>
      </c>
      <c r="BZ59" s="203">
        <f>CC59-BY59</f>
        <v>0</v>
      </c>
      <c r="CA59" s="203">
        <f>62-BY59-BZ59</f>
        <v>93</v>
      </c>
      <c r="CB59" s="1448">
        <f>CD59-CA59</f>
        <v>-34</v>
      </c>
      <c r="CC59" s="203">
        <v>-31</v>
      </c>
      <c r="CD59" s="203">
        <f>CE59-CC59</f>
        <v>59</v>
      </c>
      <c r="CE59" s="1461">
        <v>28</v>
      </c>
      <c r="CF59" s="203">
        <v>-46</v>
      </c>
      <c r="CG59" s="203">
        <f>CJ59-CF59</f>
        <v>-244</v>
      </c>
      <c r="CH59" s="203">
        <f>-290-CF59-CG59</f>
        <v>0</v>
      </c>
      <c r="CI59" s="1448">
        <f>CK59-CH59</f>
        <v>144</v>
      </c>
      <c r="CJ59" s="203">
        <v>-290</v>
      </c>
      <c r="CK59" s="203">
        <f>CL59-CJ59</f>
        <v>144</v>
      </c>
      <c r="CL59" s="1461">
        <v>-146</v>
      </c>
      <c r="CM59" s="203">
        <v>3</v>
      </c>
      <c r="CN59" s="203">
        <f>CQ59-CM59</f>
        <v>-45</v>
      </c>
      <c r="CO59" s="203">
        <f>-261-CM59-CN59</f>
        <v>-219</v>
      </c>
      <c r="CP59" s="1448">
        <f>CR59-CO59</f>
        <v>-175</v>
      </c>
      <c r="CQ59" s="203">
        <v>-42</v>
      </c>
      <c r="CR59" s="203">
        <f>CS59-CQ59</f>
        <v>-394</v>
      </c>
      <c r="CS59" s="1461">
        <v>-436</v>
      </c>
      <c r="CT59" s="203">
        <v>-8</v>
      </c>
      <c r="CU59" s="203">
        <f>CX59-CT59</f>
        <v>-22</v>
      </c>
      <c r="CV59" s="203">
        <f>-32-CT59-CU59</f>
        <v>-2</v>
      </c>
      <c r="CW59" s="1448">
        <f>CY59-CV59</f>
        <v>30</v>
      </c>
      <c r="CX59" s="203">
        <v>-30</v>
      </c>
      <c r="CY59" s="203">
        <f>CZ59-CX59</f>
        <v>28</v>
      </c>
      <c r="CZ59" s="1461">
        <v>-2</v>
      </c>
      <c r="DA59" s="203">
        <v>14</v>
      </c>
      <c r="DB59" s="203">
        <f>DE59-DA59</f>
        <v>12</v>
      </c>
      <c r="DC59" s="203">
        <v>110</v>
      </c>
      <c r="DD59" s="1448">
        <f>DF59-DC59</f>
        <v>43</v>
      </c>
      <c r="DE59" s="2081">
        <v>26</v>
      </c>
      <c r="DF59" s="203">
        <f>DG59-DE59</f>
        <v>153</v>
      </c>
      <c r="DG59" s="1857">
        <v>179</v>
      </c>
      <c r="DH59" s="203">
        <v>63</v>
      </c>
      <c r="DI59" s="2013">
        <f>DL59-DH59</f>
        <v>60</v>
      </c>
      <c r="DJ59" s="860">
        <f>DM59/2</f>
        <v>0</v>
      </c>
      <c r="DK59" s="1557">
        <f>DM59-DJ59</f>
        <v>0</v>
      </c>
      <c r="DL59" s="1892">
        <v>123</v>
      </c>
      <c r="DM59" s="1422">
        <f>DN59-DL59</f>
        <v>0</v>
      </c>
      <c r="DN59" s="1484">
        <v>123</v>
      </c>
      <c r="DO59" s="860">
        <f>DS59/2</f>
        <v>0</v>
      </c>
      <c r="DP59" s="1422">
        <f>DS59-DO59</f>
        <v>0</v>
      </c>
      <c r="DQ59" s="860">
        <f>DT59/2</f>
        <v>0</v>
      </c>
      <c r="DR59" s="1557">
        <f>DT59-DQ59</f>
        <v>0</v>
      </c>
      <c r="DS59" s="860">
        <f>DU59/2</f>
        <v>0</v>
      </c>
      <c r="DT59" s="1422">
        <f>DU59-DS59</f>
        <v>0</v>
      </c>
      <c r="DU59" s="1549">
        <v>0</v>
      </c>
      <c r="DV59" s="860">
        <f>DZ59/2</f>
        <v>0</v>
      </c>
      <c r="DW59" s="1422">
        <f>DZ59-DV59</f>
        <v>0</v>
      </c>
      <c r="DX59" s="860">
        <f>EA59/2</f>
        <v>0</v>
      </c>
      <c r="DY59" s="1557">
        <f>EA59-DX59</f>
        <v>0</v>
      </c>
      <c r="DZ59" s="860">
        <f>EB59/2</f>
        <v>0</v>
      </c>
      <c r="EA59" s="1422">
        <f>EB59-DZ59</f>
        <v>0</v>
      </c>
      <c r="EB59" s="1549">
        <v>0</v>
      </c>
      <c r="EC59" s="860">
        <f>EG59/2</f>
        <v>0</v>
      </c>
      <c r="ED59" s="1422">
        <f>EG59-EC59</f>
        <v>0</v>
      </c>
      <c r="EE59" s="860">
        <f>EH59/2</f>
        <v>0</v>
      </c>
      <c r="EF59" s="1557">
        <f>EH59-EE59</f>
        <v>0</v>
      </c>
      <c r="EG59" s="860">
        <f>EI59/2</f>
        <v>0</v>
      </c>
      <c r="EH59" s="1422">
        <f>EI59-EG59</f>
        <v>0</v>
      </c>
      <c r="EI59" s="1549">
        <v>0</v>
      </c>
      <c r="EJ59" s="860">
        <f>EN59/2</f>
        <v>0</v>
      </c>
      <c r="EK59" s="1422">
        <f>EN59-EJ59</f>
        <v>0</v>
      </c>
      <c r="EL59" s="860">
        <f>EO59/2</f>
        <v>0</v>
      </c>
      <c r="EM59" s="1557">
        <f>EO59-EL59</f>
        <v>0</v>
      </c>
      <c r="EN59" s="860">
        <f>EP59/2</f>
        <v>0</v>
      </c>
      <c r="EO59" s="1422">
        <f>EP59-EN59</f>
        <v>0</v>
      </c>
      <c r="EP59" s="1549">
        <v>0</v>
      </c>
      <c r="EQ59" s="302"/>
      <c r="ER59" s="46"/>
    </row>
    <row r="60" spans="1:148" ht="10.199999999999999" customHeight="1">
      <c r="A60" s="1425" t="s">
        <v>884</v>
      </c>
      <c r="B60" s="178"/>
      <c r="C60" s="1426"/>
      <c r="D60" s="1426"/>
      <c r="E60" s="1426"/>
      <c r="F60" s="1426"/>
      <c r="G60" s="1426"/>
      <c r="H60" s="1426"/>
      <c r="I60" s="1426"/>
      <c r="J60" s="1426"/>
      <c r="K60" s="1426"/>
      <c r="L60" s="1426"/>
      <c r="M60" s="1426"/>
      <c r="N60" s="1426">
        <f t="shared" ref="N60:Q60" si="882">N58-N59</f>
        <v>-3037</v>
      </c>
      <c r="O60" s="1426">
        <f t="shared" si="882"/>
        <v>-854</v>
      </c>
      <c r="P60" s="1426">
        <f t="shared" si="882"/>
        <v>-537</v>
      </c>
      <c r="Q60" s="1537">
        <f t="shared" si="882"/>
        <v>4075</v>
      </c>
      <c r="R60" s="1426">
        <f t="shared" ref="R60:S60" si="883">R58-R59</f>
        <v>-3891</v>
      </c>
      <c r="S60" s="1426">
        <f t="shared" si="883"/>
        <v>3538</v>
      </c>
      <c r="T60" s="1541">
        <f>T58-T59</f>
        <v>-353</v>
      </c>
      <c r="U60" s="1426">
        <f t="shared" ref="U60:X60" si="884">U58-U59</f>
        <v>-1929</v>
      </c>
      <c r="V60" s="1426">
        <f t="shared" si="884"/>
        <v>-221</v>
      </c>
      <c r="W60" s="1426">
        <f t="shared" si="884"/>
        <v>-47</v>
      </c>
      <c r="X60" s="1537">
        <f t="shared" si="884"/>
        <v>3125</v>
      </c>
      <c r="Y60" s="1426">
        <f t="shared" ref="Y60:Z60" si="885">Y58-Y59</f>
        <v>-2150</v>
      </c>
      <c r="Z60" s="1426">
        <f t="shared" si="885"/>
        <v>3078</v>
      </c>
      <c r="AA60" s="1541">
        <f>AA58-AA59</f>
        <v>928</v>
      </c>
      <c r="AB60" s="1426">
        <f t="shared" ref="AB60:AE60" si="886">AB58-AB59</f>
        <v>-1089</v>
      </c>
      <c r="AC60" s="1426">
        <f t="shared" si="886"/>
        <v>136</v>
      </c>
      <c r="AD60" s="1426">
        <f t="shared" si="886"/>
        <v>-694</v>
      </c>
      <c r="AE60" s="1537">
        <f t="shared" si="886"/>
        <v>2876</v>
      </c>
      <c r="AF60" s="1426">
        <f t="shared" ref="AF60:AG60" si="887">AF58-AF59</f>
        <v>-953</v>
      </c>
      <c r="AG60" s="1426">
        <f t="shared" si="887"/>
        <v>2182</v>
      </c>
      <c r="AH60" s="1541">
        <f>AH58-AH59</f>
        <v>1229</v>
      </c>
      <c r="AI60" s="1426">
        <f t="shared" ref="AI60:AL60" si="888">AI58-AI59</f>
        <v>-2718</v>
      </c>
      <c r="AJ60" s="1426">
        <f t="shared" si="888"/>
        <v>59</v>
      </c>
      <c r="AK60" s="1426">
        <f t="shared" si="888"/>
        <v>-1531</v>
      </c>
      <c r="AL60" s="1537">
        <f t="shared" si="888"/>
        <v>5557</v>
      </c>
      <c r="AM60" s="1426">
        <f t="shared" ref="AM60:AN60" si="889">AM58-AM59</f>
        <v>-2659</v>
      </c>
      <c r="AN60" s="1426">
        <f t="shared" si="889"/>
        <v>4026</v>
      </c>
      <c r="AO60" s="1541">
        <f>AO58-AO59</f>
        <v>1367</v>
      </c>
      <c r="AP60" s="1426">
        <f t="shared" ref="AP60:AS60" si="890">AP58-AP59</f>
        <v>-1413</v>
      </c>
      <c r="AQ60" s="1426">
        <f t="shared" si="890"/>
        <v>-945</v>
      </c>
      <c r="AR60" s="1426">
        <f t="shared" si="890"/>
        <v>-1271</v>
      </c>
      <c r="AS60" s="1537">
        <f t="shared" si="890"/>
        <v>6283</v>
      </c>
      <c r="AT60" s="1426">
        <f t="shared" ref="AT60:AU60" si="891">AT58-AT59</f>
        <v>-2358</v>
      </c>
      <c r="AU60" s="1426">
        <f t="shared" si="891"/>
        <v>5012</v>
      </c>
      <c r="AV60" s="1541">
        <f>AV58-AV59</f>
        <v>2654</v>
      </c>
      <c r="AW60" s="1426">
        <f t="shared" ref="AW60:AZ60" si="892">AW58-AW59</f>
        <v>-1413</v>
      </c>
      <c r="AX60" s="1426">
        <f t="shared" si="892"/>
        <v>-945</v>
      </c>
      <c r="AY60" s="1426">
        <f t="shared" si="892"/>
        <v>-1271</v>
      </c>
      <c r="AZ60" s="1537">
        <f t="shared" si="892"/>
        <v>6283</v>
      </c>
      <c r="BA60" s="1426">
        <f t="shared" ref="BA60:BB60" si="893">BA58-BA59</f>
        <v>-2358</v>
      </c>
      <c r="BB60" s="1426">
        <f t="shared" si="893"/>
        <v>5012</v>
      </c>
      <c r="BC60" s="1541">
        <f>BC58-BC59</f>
        <v>2654</v>
      </c>
      <c r="BD60" s="1426">
        <f t="shared" ref="BD60:BG60" si="894">BD58-BD59</f>
        <v>-3821</v>
      </c>
      <c r="BE60" s="1426">
        <f t="shared" si="894"/>
        <v>-152</v>
      </c>
      <c r="BF60" s="1426">
        <f t="shared" si="894"/>
        <v>-181</v>
      </c>
      <c r="BG60" s="1537">
        <f t="shared" si="894"/>
        <v>7076</v>
      </c>
      <c r="BH60" s="1426">
        <f t="shared" ref="BH60:BI60" si="895">BH58-BH59</f>
        <v>-3973</v>
      </c>
      <c r="BI60" s="1426">
        <f t="shared" si="895"/>
        <v>6895</v>
      </c>
      <c r="BJ60" s="1541">
        <f>BJ58-BJ59</f>
        <v>2922</v>
      </c>
      <c r="BK60" s="1426">
        <f t="shared" ref="BK60:BN60" si="896">BK58-BK59</f>
        <v>-4359</v>
      </c>
      <c r="BL60" s="1426">
        <f t="shared" si="896"/>
        <v>294</v>
      </c>
      <c r="BM60" s="1426">
        <f t="shared" si="896"/>
        <v>-971</v>
      </c>
      <c r="BN60" s="1537">
        <f t="shared" si="896"/>
        <v>8527</v>
      </c>
      <c r="BO60" s="1426">
        <f t="shared" ref="BO60:BP60" si="897">BO58-BO59</f>
        <v>-4065</v>
      </c>
      <c r="BP60" s="1426">
        <f t="shared" si="897"/>
        <v>7556</v>
      </c>
      <c r="BQ60" s="1541">
        <f>BQ58-BQ59</f>
        <v>3491</v>
      </c>
      <c r="BR60" s="1426">
        <f t="shared" ref="BR60:BU60" si="898">BR58-BR59</f>
        <v>-7994</v>
      </c>
      <c r="BS60" s="1426">
        <f t="shared" si="898"/>
        <v>-4398</v>
      </c>
      <c r="BT60" s="1426">
        <f t="shared" si="898"/>
        <v>659</v>
      </c>
      <c r="BU60" s="1537">
        <f t="shared" si="898"/>
        <v>4934</v>
      </c>
      <c r="BV60" s="1426">
        <f t="shared" ref="BV60:BW60" si="899">BV58-BV59</f>
        <v>-12392</v>
      </c>
      <c r="BW60" s="1426">
        <f t="shared" si="899"/>
        <v>5593</v>
      </c>
      <c r="BX60" s="1541">
        <f>BX58-BX59</f>
        <v>-6799</v>
      </c>
      <c r="BY60" s="1426">
        <f t="shared" ref="BY60:CB60" si="900">BY58-BY59</f>
        <v>1210</v>
      </c>
      <c r="BZ60" s="1426">
        <f t="shared" si="900"/>
        <v>917</v>
      </c>
      <c r="CA60" s="1426">
        <f t="shared" si="900"/>
        <v>233</v>
      </c>
      <c r="CB60" s="1537">
        <f t="shared" si="900"/>
        <v>1037</v>
      </c>
      <c r="CC60" s="1426">
        <f t="shared" ref="CC60:CD60" si="901">CC58-CC59</f>
        <v>2127</v>
      </c>
      <c r="CD60" s="1426">
        <f t="shared" si="901"/>
        <v>1270</v>
      </c>
      <c r="CE60" s="1541">
        <f>CE58-CE59</f>
        <v>3397</v>
      </c>
      <c r="CF60" s="1426">
        <f t="shared" ref="CF60:CI60" si="902">CF58-CF59</f>
        <v>286</v>
      </c>
      <c r="CG60" s="1426">
        <f t="shared" si="902"/>
        <v>1716</v>
      </c>
      <c r="CH60" s="1426">
        <f t="shared" si="902"/>
        <v>983</v>
      </c>
      <c r="CI60" s="1537">
        <f t="shared" si="902"/>
        <v>1831</v>
      </c>
      <c r="CJ60" s="1426">
        <f t="shared" ref="CJ60:CK60" si="903">CJ58-CJ59</f>
        <v>2002</v>
      </c>
      <c r="CK60" s="1426">
        <f t="shared" si="903"/>
        <v>2814</v>
      </c>
      <c r="CL60" s="1541">
        <f>CL58-CL59</f>
        <v>4816</v>
      </c>
      <c r="CM60" s="1426">
        <f t="shared" ref="CM60:CP60" si="904">CM58-CM59</f>
        <v>-875</v>
      </c>
      <c r="CN60" s="1426">
        <f t="shared" si="904"/>
        <v>2511</v>
      </c>
      <c r="CO60" s="1426">
        <f t="shared" si="904"/>
        <v>-532</v>
      </c>
      <c r="CP60" s="1537">
        <f t="shared" si="904"/>
        <v>3429</v>
      </c>
      <c r="CQ60" s="1426">
        <f t="shared" ref="CQ60:CR60" si="905">CQ58-CQ59</f>
        <v>1636</v>
      </c>
      <c r="CR60" s="1426">
        <f t="shared" si="905"/>
        <v>2897</v>
      </c>
      <c r="CS60" s="1541">
        <f t="shared" ref="CS60:DC60" si="906">CS58-CS59</f>
        <v>4533</v>
      </c>
      <c r="CT60" s="1426">
        <f t="shared" si="906"/>
        <v>-1791</v>
      </c>
      <c r="CU60" s="1426">
        <f t="shared" si="906"/>
        <v>1262</v>
      </c>
      <c r="CV60" s="1426">
        <f t="shared" si="906"/>
        <v>-316</v>
      </c>
      <c r="CW60" s="1537">
        <f t="shared" si="906"/>
        <v>5308</v>
      </c>
      <c r="CX60" s="1426">
        <f t="shared" si="906"/>
        <v>-529</v>
      </c>
      <c r="CY60" s="1426">
        <f t="shared" si="906"/>
        <v>4992</v>
      </c>
      <c r="CZ60" s="1541">
        <f t="shared" ref="CZ60:DB60" si="907">CZ58-CZ59</f>
        <v>4463</v>
      </c>
      <c r="DA60" s="1426">
        <f t="shared" si="907"/>
        <v>-310</v>
      </c>
      <c r="DB60" s="1426">
        <f t="shared" si="907"/>
        <v>-1300</v>
      </c>
      <c r="DC60" s="1426">
        <f t="shared" si="906"/>
        <v>696</v>
      </c>
      <c r="DD60" s="1537">
        <f t="shared" ref="DD60" si="908">DD58-DD59</f>
        <v>5488</v>
      </c>
      <c r="DE60" s="1426">
        <f t="shared" ref="DE60:DF60" si="909">DE58-DE59</f>
        <v>-1610</v>
      </c>
      <c r="DF60" s="1426">
        <f t="shared" si="909"/>
        <v>6184</v>
      </c>
      <c r="DG60" s="1541">
        <f t="shared" ref="DG60:DI60" si="910">DG58-DG59</f>
        <v>4574</v>
      </c>
      <c r="DH60" s="1426">
        <f t="shared" si="910"/>
        <v>-2485</v>
      </c>
      <c r="DI60" s="2014">
        <f t="shared" si="910"/>
        <v>1319</v>
      </c>
      <c r="DJ60" s="1427">
        <f t="shared" ref="DJ60" si="911">DJ58-DJ59</f>
        <v>747.38892670695463</v>
      </c>
      <c r="DK60" s="1558">
        <f t="shared" ref="DK60:DL60" si="912">DK58-DK59</f>
        <v>5415.3342173251185</v>
      </c>
      <c r="DL60" s="2014">
        <f t="shared" si="912"/>
        <v>-1166</v>
      </c>
      <c r="DM60" s="1427">
        <f t="shared" ref="DM60" si="913">DM58-DM59</f>
        <v>6162.7231440320729</v>
      </c>
      <c r="DN60" s="1550">
        <f t="shared" ref="DN60:EP60" si="914">DN58-DN59</f>
        <v>4996.7231440320711</v>
      </c>
      <c r="DO60" s="1427">
        <f t="shared" ref="DO60" si="915">DO58-DO59</f>
        <v>-1376.6117325835326</v>
      </c>
      <c r="DP60" s="1427">
        <f t="shared" ref="DP60" si="916">DP58-DP59</f>
        <v>3097.9117749632956</v>
      </c>
      <c r="DQ60" s="1427">
        <f t="shared" ref="DQ60" si="917">DQ58-DQ59</f>
        <v>2666.0222883259471</v>
      </c>
      <c r="DR60" s="1558">
        <f t="shared" ref="DR60" si="918">DR58-DR59</f>
        <v>2212.3449910162599</v>
      </c>
      <c r="DS60" s="1427">
        <f>DS58-DS59</f>
        <v>1721.300042379763</v>
      </c>
      <c r="DT60" s="1427">
        <f t="shared" ref="DT60" si="919">DT58-DT59</f>
        <v>4878.3672793422065</v>
      </c>
      <c r="DU60" s="1550">
        <f t="shared" si="914"/>
        <v>6599.6673217219686</v>
      </c>
      <c r="DV60" s="1427">
        <f t="shared" ref="DV60" si="920">DV58-DV59</f>
        <v>-520.82623007672714</v>
      </c>
      <c r="DW60" s="1427">
        <f t="shared" ref="DW60" si="921">DW58-DW59</f>
        <v>3600.7440868026424</v>
      </c>
      <c r="DX60" s="1427">
        <f t="shared" ref="DX60" si="922">DX58-DX59</f>
        <v>3149.7064024699266</v>
      </c>
      <c r="DY60" s="1558">
        <f t="shared" ref="DY60" si="923">DY58-DY59</f>
        <v>2832.323015752901</v>
      </c>
      <c r="DZ60" s="1427">
        <f>DZ58-DZ59</f>
        <v>3079.917856725916</v>
      </c>
      <c r="EA60" s="1427">
        <f t="shared" ref="EA60" si="924">EA58-EA59</f>
        <v>5982.0294182228281</v>
      </c>
      <c r="EB60" s="1550">
        <f t="shared" si="914"/>
        <v>9061.947274948745</v>
      </c>
      <c r="EC60" s="1427">
        <f t="shared" ref="EC60" si="925">EC58-EC59</f>
        <v>219.66055434385771</v>
      </c>
      <c r="ED60" s="1427">
        <f t="shared" ref="ED60" si="926">ED58-ED59</f>
        <v>3405.2149497882565</v>
      </c>
      <c r="EE60" s="1427">
        <f t="shared" ref="EE60" si="927">EE58-EE59</f>
        <v>2937.6053899981553</v>
      </c>
      <c r="EF60" s="1558">
        <f t="shared" ref="EF60" si="928">EF58-EF59</f>
        <v>3286.3242375798059</v>
      </c>
      <c r="EG60" s="1427">
        <f>EG58-EG59</f>
        <v>3624.8755041321147</v>
      </c>
      <c r="EH60" s="1427">
        <f t="shared" ref="EH60" si="929">EH58-EH59</f>
        <v>6223.9296275779625</v>
      </c>
      <c r="EI60" s="1550">
        <f t="shared" si="914"/>
        <v>9848.8051317100744</v>
      </c>
      <c r="EJ60" s="1427">
        <f t="shared" ref="EJ60" si="930">EJ58-EJ59</f>
        <v>529.72522653922852</v>
      </c>
      <c r="EK60" s="1427">
        <f t="shared" ref="EK60" si="931">EK58-EK59</f>
        <v>3599.435046728111</v>
      </c>
      <c r="EL60" s="1427">
        <f t="shared" ref="EL60" si="932">EL58-EL59</f>
        <v>3125.2101440776714</v>
      </c>
      <c r="EM60" s="1558">
        <f t="shared" ref="EM60" si="933">EM58-EM59</f>
        <v>3463.1038173690827</v>
      </c>
      <c r="EN60" s="1427">
        <f>EN58-EN59</f>
        <v>4129.1602732673391</v>
      </c>
      <c r="EO60" s="1427">
        <f t="shared" ref="EO60" si="934">EO58-EO59</f>
        <v>6588.3139614467527</v>
      </c>
      <c r="EP60" s="1550">
        <f t="shared" si="914"/>
        <v>10717.474234714093</v>
      </c>
      <c r="EQ60" s="906">
        <f>DN60+DU60+EB60+EI60</f>
        <v>30507.142872412864</v>
      </c>
    </row>
    <row r="61" spans="1:148" ht="10.199999999999999" customHeight="1">
      <c r="A61" s="252" t="s">
        <v>885</v>
      </c>
      <c r="B61" s="48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>
        <f t="shared" ref="N61:Q61" si="935">N56-N57-N59</f>
        <v>-3089</v>
      </c>
      <c r="O61" s="126">
        <f t="shared" si="935"/>
        <v>-918</v>
      </c>
      <c r="P61" s="126">
        <f t="shared" si="935"/>
        <v>-324</v>
      </c>
      <c r="Q61" s="1276">
        <f t="shared" si="935"/>
        <v>3839</v>
      </c>
      <c r="R61" s="126">
        <f t="shared" ref="R61:S61" si="936">R56-R57-R59</f>
        <v>-4007</v>
      </c>
      <c r="S61" s="126">
        <f t="shared" si="936"/>
        <v>3515</v>
      </c>
      <c r="T61" s="1082">
        <f>T56-T57-T59</f>
        <v>-492</v>
      </c>
      <c r="U61" s="126">
        <f t="shared" ref="U61:X61" si="937">U56-U57-U59</f>
        <v>-1896</v>
      </c>
      <c r="V61" s="126">
        <f t="shared" si="937"/>
        <v>-242</v>
      </c>
      <c r="W61" s="126">
        <f t="shared" si="937"/>
        <v>-23</v>
      </c>
      <c r="X61" s="1276">
        <f t="shared" si="937"/>
        <v>3162</v>
      </c>
      <c r="Y61" s="126">
        <f t="shared" ref="Y61:Z61" si="938">Y56-Y57-Y59</f>
        <v>-2138</v>
      </c>
      <c r="Z61" s="126">
        <f t="shared" si="938"/>
        <v>3139</v>
      </c>
      <c r="AA61" s="1082">
        <f>AA56-AA57-AA59</f>
        <v>1001</v>
      </c>
      <c r="AB61" s="126">
        <f t="shared" ref="AB61:AE61" si="939">AB56-AB57-AB59</f>
        <v>-1105</v>
      </c>
      <c r="AC61" s="126">
        <f t="shared" si="939"/>
        <v>143</v>
      </c>
      <c r="AD61" s="126">
        <f t="shared" si="939"/>
        <v>-672</v>
      </c>
      <c r="AE61" s="1276">
        <f t="shared" si="939"/>
        <v>2959</v>
      </c>
      <c r="AF61" s="126">
        <f t="shared" ref="AF61:AG61" si="940">AF56-AF57-AF59</f>
        <v>-962</v>
      </c>
      <c r="AG61" s="126">
        <f t="shared" si="940"/>
        <v>2287</v>
      </c>
      <c r="AH61" s="1082">
        <f>AH56-AH57-AH59</f>
        <v>1325</v>
      </c>
      <c r="AI61" s="126">
        <f t="shared" ref="AI61:AL61" si="941">AI56-AI57-AI59</f>
        <v>-2731</v>
      </c>
      <c r="AJ61" s="126">
        <f t="shared" si="941"/>
        <v>82</v>
      </c>
      <c r="AK61" s="126">
        <f t="shared" si="941"/>
        <v>-1535</v>
      </c>
      <c r="AL61" s="1276">
        <f t="shared" si="941"/>
        <v>5592</v>
      </c>
      <c r="AM61" s="126">
        <f t="shared" ref="AM61:AN61" si="942">AM56-AM57-AM59</f>
        <v>-2649</v>
      </c>
      <c r="AN61" s="126">
        <f t="shared" si="942"/>
        <v>4057</v>
      </c>
      <c r="AO61" s="1082">
        <f>AO56-AO57-AO59</f>
        <v>1408</v>
      </c>
      <c r="AP61" s="126">
        <f t="shared" ref="AP61:AS61" si="943">AP56-AP57-AP59</f>
        <v>-1269</v>
      </c>
      <c r="AQ61" s="126">
        <f t="shared" si="943"/>
        <v>-824</v>
      </c>
      <c r="AR61" s="126">
        <f t="shared" si="943"/>
        <v>-1251</v>
      </c>
      <c r="AS61" s="1276">
        <f t="shared" si="943"/>
        <v>6293</v>
      </c>
      <c r="AT61" s="126">
        <f t="shared" ref="AT61:AU61" si="944">AT56-AT57-AT59</f>
        <v>-2093</v>
      </c>
      <c r="AU61" s="126">
        <f t="shared" si="944"/>
        <v>5042</v>
      </c>
      <c r="AV61" s="1082">
        <f>AV56-AV57-AV59</f>
        <v>2949</v>
      </c>
      <c r="AW61" s="126">
        <f t="shared" ref="AW61:AZ61" si="945">AW56-AW57-AW59</f>
        <v>-1269</v>
      </c>
      <c r="AX61" s="126">
        <f t="shared" si="945"/>
        <v>-824</v>
      </c>
      <c r="AY61" s="126">
        <f t="shared" si="945"/>
        <v>-1251</v>
      </c>
      <c r="AZ61" s="1276">
        <f t="shared" si="945"/>
        <v>6293</v>
      </c>
      <c r="BA61" s="126">
        <f t="shared" ref="BA61:BB61" si="946">BA56-BA57-BA59</f>
        <v>-2093</v>
      </c>
      <c r="BB61" s="126">
        <f t="shared" si="946"/>
        <v>5042</v>
      </c>
      <c r="BC61" s="1082">
        <f>BC56-BC57-BC59</f>
        <v>2949</v>
      </c>
      <c r="BD61" s="126">
        <f t="shared" ref="BD61:BG61" si="947">BD56-BD57-BD59</f>
        <v>-3839</v>
      </c>
      <c r="BE61" s="126">
        <f t="shared" si="947"/>
        <v>-129</v>
      </c>
      <c r="BF61" s="126">
        <f t="shared" si="947"/>
        <v>-201</v>
      </c>
      <c r="BG61" s="1276">
        <f t="shared" si="947"/>
        <v>7081</v>
      </c>
      <c r="BH61" s="126">
        <f t="shared" ref="BH61:BI61" si="948">BH56-BH57-BH59</f>
        <v>-3968</v>
      </c>
      <c r="BI61" s="126">
        <f t="shared" si="948"/>
        <v>6880</v>
      </c>
      <c r="BJ61" s="1082">
        <f>BJ56-BJ57-BJ59</f>
        <v>2912</v>
      </c>
      <c r="BK61" s="126">
        <f t="shared" ref="BK61:BN61" si="949">BK56-BK57-BK59</f>
        <v>-4341</v>
      </c>
      <c r="BL61" s="126">
        <f t="shared" si="949"/>
        <v>360</v>
      </c>
      <c r="BM61" s="126">
        <f t="shared" si="949"/>
        <v>-956</v>
      </c>
      <c r="BN61" s="1276">
        <f t="shared" si="949"/>
        <v>8446</v>
      </c>
      <c r="BO61" s="126">
        <f t="shared" ref="BO61:BP61" si="950">BO56-BO57-BO59</f>
        <v>-3981</v>
      </c>
      <c r="BP61" s="126">
        <f t="shared" si="950"/>
        <v>7490</v>
      </c>
      <c r="BQ61" s="1082">
        <f>BQ56-BQ57-BQ59</f>
        <v>3509</v>
      </c>
      <c r="BR61" s="126">
        <f t="shared" ref="BR61:BU61" si="951">BR56-BR57-BR59</f>
        <v>-8030</v>
      </c>
      <c r="BS61" s="126">
        <f t="shared" si="951"/>
        <v>-4410</v>
      </c>
      <c r="BT61" s="126">
        <f t="shared" si="951"/>
        <v>642</v>
      </c>
      <c r="BU61" s="1276">
        <f t="shared" si="951"/>
        <v>4863</v>
      </c>
      <c r="BV61" s="126">
        <f t="shared" ref="BV61:BW61" si="952">BV56-BV57-BV59</f>
        <v>-12440</v>
      </c>
      <c r="BW61" s="126">
        <f t="shared" si="952"/>
        <v>5505</v>
      </c>
      <c r="BX61" s="1082">
        <f>BX56-BX57-BX59</f>
        <v>-6935</v>
      </c>
      <c r="BY61" s="126">
        <f t="shared" ref="BY61:CB61" si="953">BY56-BY57-BY59</f>
        <v>1202</v>
      </c>
      <c r="BZ61" s="126">
        <f t="shared" si="953"/>
        <v>849</v>
      </c>
      <c r="CA61" s="126">
        <f t="shared" si="953"/>
        <v>209</v>
      </c>
      <c r="CB61" s="1276">
        <f t="shared" si="953"/>
        <v>1255</v>
      </c>
      <c r="CC61" s="126">
        <f t="shared" ref="CC61:CD61" si="954">CC56-CC57-CC59</f>
        <v>2051</v>
      </c>
      <c r="CD61" s="126">
        <f t="shared" si="954"/>
        <v>1464</v>
      </c>
      <c r="CE61" s="1082">
        <f>CE56-CE57-CE59</f>
        <v>3515</v>
      </c>
      <c r="CF61" s="126">
        <f t="shared" ref="CF61:CI61" si="955">CF56-CF57-CF59</f>
        <v>213</v>
      </c>
      <c r="CG61" s="126">
        <f t="shared" si="955"/>
        <v>1742</v>
      </c>
      <c r="CH61" s="126">
        <f t="shared" si="955"/>
        <v>944</v>
      </c>
      <c r="CI61" s="1276">
        <f t="shared" si="955"/>
        <v>1781</v>
      </c>
      <c r="CJ61" s="126">
        <f t="shared" ref="CJ61:CK61" si="956">CJ56-CJ57-CJ59</f>
        <v>1955</v>
      </c>
      <c r="CK61" s="126">
        <f t="shared" si="956"/>
        <v>2725</v>
      </c>
      <c r="CL61" s="1082">
        <f>CL56-CL57-CL59</f>
        <v>4680</v>
      </c>
      <c r="CM61" s="126">
        <f t="shared" ref="CM61:CP61" si="957">CM56-CM57-CM59</f>
        <v>-888</v>
      </c>
      <c r="CN61" s="126">
        <f t="shared" si="957"/>
        <v>2463</v>
      </c>
      <c r="CO61" s="126">
        <f t="shared" si="957"/>
        <v>-538</v>
      </c>
      <c r="CP61" s="1276">
        <f t="shared" si="957"/>
        <v>3350</v>
      </c>
      <c r="CQ61" s="126">
        <f t="shared" ref="CQ61:CR61" si="958">CQ56-CQ57-CQ59</f>
        <v>1575</v>
      </c>
      <c r="CR61" s="126">
        <f t="shared" si="958"/>
        <v>2812</v>
      </c>
      <c r="CS61" s="1082">
        <f t="shared" ref="CS61:CY61" si="959">CS56-CS57-CS59</f>
        <v>4387</v>
      </c>
      <c r="CT61" s="126">
        <f t="shared" si="959"/>
        <v>-1791</v>
      </c>
      <c r="CU61" s="126">
        <f t="shared" si="959"/>
        <v>1262</v>
      </c>
      <c r="CV61" s="126">
        <f t="shared" si="959"/>
        <v>-316</v>
      </c>
      <c r="CW61" s="1276">
        <f t="shared" si="959"/>
        <v>5308</v>
      </c>
      <c r="CX61" s="126">
        <f t="shared" si="959"/>
        <v>-529</v>
      </c>
      <c r="CY61" s="126">
        <f t="shared" si="959"/>
        <v>4992</v>
      </c>
      <c r="CZ61" s="1082">
        <f t="shared" ref="CZ61:DB61" si="960">CZ56-CZ57-CZ59</f>
        <v>4463</v>
      </c>
      <c r="DA61" s="126">
        <f t="shared" si="960"/>
        <v>-310</v>
      </c>
      <c r="DB61" s="126">
        <f t="shared" si="960"/>
        <v>-1300</v>
      </c>
      <c r="DC61" s="126">
        <f t="shared" ref="DC61:DF61" si="961">DC56-DC57-DC59</f>
        <v>696</v>
      </c>
      <c r="DD61" s="1276">
        <f t="shared" si="961"/>
        <v>5488</v>
      </c>
      <c r="DE61" s="126">
        <f t="shared" si="961"/>
        <v>-1610</v>
      </c>
      <c r="DF61" s="126">
        <f t="shared" si="961"/>
        <v>6184</v>
      </c>
      <c r="DG61" s="1082">
        <f t="shared" ref="DG61:DI61" si="962">DG56-DG57-DG59</f>
        <v>4574</v>
      </c>
      <c r="DH61" s="126">
        <f t="shared" si="962"/>
        <v>-2485</v>
      </c>
      <c r="DI61" s="1920">
        <f t="shared" si="962"/>
        <v>1319</v>
      </c>
      <c r="DJ61" s="1110">
        <f t="shared" ref="DJ61:EP61" si="963">DJ56-DJ57-DJ59</f>
        <v>747.38892670695463</v>
      </c>
      <c r="DK61" s="1111">
        <f t="shared" si="963"/>
        <v>5415.3342173251185</v>
      </c>
      <c r="DL61" s="1920">
        <f t="shared" si="963"/>
        <v>-1166</v>
      </c>
      <c r="DM61" s="1110">
        <f t="shared" ref="DM61" si="964">DM56-DM57-DM59</f>
        <v>6162.7231440320729</v>
      </c>
      <c r="DN61" s="1107">
        <f t="shared" si="963"/>
        <v>4996.7231440320711</v>
      </c>
      <c r="DO61" s="1110">
        <f t="shared" si="963"/>
        <v>-1376.6117325835326</v>
      </c>
      <c r="DP61" s="1110">
        <f t="shared" si="963"/>
        <v>3097.9117749632956</v>
      </c>
      <c r="DQ61" s="1110">
        <f t="shared" si="963"/>
        <v>2666.0222883259471</v>
      </c>
      <c r="DR61" s="1111">
        <f t="shared" si="963"/>
        <v>2212.3449910162599</v>
      </c>
      <c r="DS61" s="1110">
        <f>DS56-DS57-DS59</f>
        <v>1721.300042379763</v>
      </c>
      <c r="DT61" s="1110">
        <f t="shared" ref="DT61" si="965">DT56-DT57-DT59</f>
        <v>4878.3672793422065</v>
      </c>
      <c r="DU61" s="1107">
        <f t="shared" si="963"/>
        <v>6599.6673217219686</v>
      </c>
      <c r="DV61" s="1110">
        <f t="shared" ref="DV61:DY61" si="966">DV56-DV57-DV59</f>
        <v>-520.82623007672714</v>
      </c>
      <c r="DW61" s="1110">
        <f t="shared" si="966"/>
        <v>3600.7440868026424</v>
      </c>
      <c r="DX61" s="1110">
        <f t="shared" si="966"/>
        <v>3149.7064024699266</v>
      </c>
      <c r="DY61" s="1111">
        <f t="shared" si="966"/>
        <v>2832.323015752901</v>
      </c>
      <c r="DZ61" s="1110">
        <f>DZ56-DZ57-DZ59</f>
        <v>3079.917856725916</v>
      </c>
      <c r="EA61" s="1110">
        <f t="shared" ref="EA61" si="967">EA56-EA57-EA59</f>
        <v>5982.0294182228281</v>
      </c>
      <c r="EB61" s="1107">
        <f t="shared" si="963"/>
        <v>9061.947274948745</v>
      </c>
      <c r="EC61" s="1110">
        <f t="shared" ref="EC61:EF61" si="968">EC56-EC57-EC59</f>
        <v>219.66055434385771</v>
      </c>
      <c r="ED61" s="1110">
        <f t="shared" si="968"/>
        <v>3405.2149497882565</v>
      </c>
      <c r="EE61" s="1110">
        <f t="shared" si="968"/>
        <v>2937.6053899981553</v>
      </c>
      <c r="EF61" s="1111">
        <f t="shared" si="968"/>
        <v>3286.3242375798059</v>
      </c>
      <c r="EG61" s="1110">
        <f>EG56-EG57-EG59</f>
        <v>3624.8755041321147</v>
      </c>
      <c r="EH61" s="1110">
        <f t="shared" ref="EH61" si="969">EH56-EH57-EH59</f>
        <v>6223.9296275779625</v>
      </c>
      <c r="EI61" s="1107">
        <f t="shared" si="963"/>
        <v>9848.8051317100744</v>
      </c>
      <c r="EJ61" s="1110">
        <f t="shared" ref="EJ61:EM61" si="970">EJ56-EJ57-EJ59</f>
        <v>529.72522653922852</v>
      </c>
      <c r="EK61" s="1110">
        <f t="shared" si="970"/>
        <v>3599.435046728111</v>
      </c>
      <c r="EL61" s="1110">
        <f t="shared" si="970"/>
        <v>3125.2101440776714</v>
      </c>
      <c r="EM61" s="1111">
        <f t="shared" si="970"/>
        <v>3463.1038173690827</v>
      </c>
      <c r="EN61" s="1110">
        <f>EN56-EN57-EN59</f>
        <v>4129.1602732673391</v>
      </c>
      <c r="EO61" s="1110">
        <f t="shared" ref="EO61" si="971">EO56-EO57-EO59</f>
        <v>6588.3139614467527</v>
      </c>
      <c r="EP61" s="1107">
        <f t="shared" si="963"/>
        <v>10717.474234714093</v>
      </c>
      <c r="EQ61" s="906"/>
      <c r="ER61" s="1423"/>
    </row>
    <row r="62" spans="1:148" ht="10.199999999999999" customHeight="1">
      <c r="A62" s="51" t="s">
        <v>682</v>
      </c>
      <c r="B62" s="48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76"/>
      <c r="R62" s="126"/>
      <c r="S62" s="126"/>
      <c r="T62" s="1082"/>
      <c r="U62" s="126"/>
      <c r="V62" s="126"/>
      <c r="W62" s="126"/>
      <c r="X62" s="1276"/>
      <c r="Y62" s="126"/>
      <c r="Z62" s="126"/>
      <c r="AA62" s="1082"/>
      <c r="AB62" s="126"/>
      <c r="AC62" s="126"/>
      <c r="AD62" s="126"/>
      <c r="AE62" s="1276"/>
      <c r="AF62" s="126"/>
      <c r="AG62" s="126"/>
      <c r="AH62" s="1741">
        <f>+AH60/IS!AH59</f>
        <v>0.45875326614408363</v>
      </c>
      <c r="AI62" s="126"/>
      <c r="AJ62" s="126"/>
      <c r="AK62" s="126"/>
      <c r="AL62" s="1276"/>
      <c r="AM62" s="126"/>
      <c r="AN62" s="126"/>
      <c r="AO62" s="1741">
        <f>+AO60/IS!AO59</f>
        <v>0.5335675253708041</v>
      </c>
      <c r="AP62" s="126"/>
      <c r="AQ62" s="126"/>
      <c r="AR62" s="126"/>
      <c r="AS62" s="1276"/>
      <c r="AT62" s="126"/>
      <c r="AU62" s="126"/>
      <c r="AV62" s="1741">
        <f>+AV60/IS!AV59</f>
        <v>0.93582510578279265</v>
      </c>
      <c r="AW62" s="126"/>
      <c r="AX62" s="126"/>
      <c r="AY62" s="126"/>
      <c r="AZ62" s="1276"/>
      <c r="BA62" s="126"/>
      <c r="BB62" s="126"/>
      <c r="BC62" s="1741">
        <f>+BC60/IS!BC59</f>
        <v>1.2851242270612104</v>
      </c>
      <c r="BD62" s="126"/>
      <c r="BE62" s="126"/>
      <c r="BF62" s="126"/>
      <c r="BG62" s="1276"/>
      <c r="BH62" s="126"/>
      <c r="BI62" s="126"/>
      <c r="BJ62" s="1741">
        <f>+BJ60/IS!BJ59</f>
        <v>0.72237330037082814</v>
      </c>
      <c r="BK62" s="126"/>
      <c r="BL62" s="126"/>
      <c r="BM62" s="126"/>
      <c r="BN62" s="1276"/>
      <c r="BO62" s="126"/>
      <c r="BP62" s="126"/>
      <c r="BQ62" s="1741">
        <f>+BQ60/IS!BQ59</f>
        <v>0.74040296924708382</v>
      </c>
      <c r="BR62" s="126"/>
      <c r="BS62" s="126"/>
      <c r="BT62" s="126"/>
      <c r="BU62" s="1276"/>
      <c r="BV62" s="126"/>
      <c r="BW62" s="126"/>
      <c r="BX62" s="1741">
        <f>+BX60/IS!BX59</f>
        <v>-6.3661048689138573</v>
      </c>
      <c r="BY62" s="126"/>
      <c r="BZ62" s="126"/>
      <c r="CA62" s="126"/>
      <c r="CB62" s="1276"/>
      <c r="CC62" s="126"/>
      <c r="CD62" s="126"/>
      <c r="CE62" s="1741">
        <f>+CE60/IS!CE59</f>
        <v>1</v>
      </c>
      <c r="CF62" s="126"/>
      <c r="CG62" s="126"/>
      <c r="CH62" s="126"/>
      <c r="CI62" s="1276"/>
      <c r="CJ62" s="126"/>
      <c r="CK62" s="126"/>
      <c r="CL62" s="1741">
        <f>+CL60/IS!CL59</f>
        <v>1.1876695437731195</v>
      </c>
      <c r="CM62" s="126"/>
      <c r="CN62" s="126"/>
      <c r="CO62" s="126"/>
      <c r="CP62" s="1276"/>
      <c r="CQ62" s="126"/>
      <c r="CR62" s="126"/>
      <c r="CS62" s="1741">
        <f>+CS60/IS!CS59</f>
        <v>1.0262621688929137</v>
      </c>
      <c r="CT62" s="852"/>
      <c r="CU62" s="852"/>
      <c r="CV62" s="852"/>
      <c r="CW62" s="1100"/>
      <c r="CX62" s="852"/>
      <c r="CY62" s="126"/>
      <c r="CZ62" s="1741">
        <f>+CZ60/IS!CZ59</f>
        <v>1.1179859719438878</v>
      </c>
      <c r="DA62" s="1110"/>
      <c r="DB62" s="1110"/>
      <c r="DC62" s="1110"/>
      <c r="DD62" s="1100"/>
      <c r="DE62" s="1110"/>
      <c r="DF62" s="126"/>
      <c r="DG62" s="1741">
        <f>+DG60/IS!DG59</f>
        <v>0.84127276071362889</v>
      </c>
      <c r="DH62" s="1110"/>
      <c r="DI62" s="1920"/>
      <c r="DJ62" s="1110"/>
      <c r="DK62" s="1111"/>
      <c r="DL62" s="1920"/>
      <c r="DM62" s="1110"/>
      <c r="DN62" s="1552">
        <f>+DN60/IS!DN59</f>
        <v>0.82947586829399622</v>
      </c>
      <c r="DO62" s="1110"/>
      <c r="DP62" s="1110"/>
      <c r="DQ62" s="1110"/>
      <c r="DR62" s="1111"/>
      <c r="DS62" s="1110"/>
      <c r="DT62" s="1110"/>
      <c r="DU62" s="1552">
        <f>+DU60/IS!DU59</f>
        <v>0.90737254630001507</v>
      </c>
      <c r="DV62" s="1110"/>
      <c r="DW62" s="1110"/>
      <c r="DX62" s="1110"/>
      <c r="DY62" s="1111"/>
      <c r="DZ62" s="1110"/>
      <c r="EA62" s="1110"/>
      <c r="EB62" s="1552">
        <f>+EB60/IS!EB59</f>
        <v>1.002574004727772</v>
      </c>
      <c r="EC62" s="1110"/>
      <c r="ED62" s="1110"/>
      <c r="EE62" s="1110"/>
      <c r="EF62" s="1111"/>
      <c r="EG62" s="1110"/>
      <c r="EH62" s="1110"/>
      <c r="EI62" s="1552">
        <f>+EI60/IS!EI59</f>
        <v>0.99849767435507386</v>
      </c>
      <c r="EJ62" s="1110"/>
      <c r="EK62" s="1110"/>
      <c r="EL62" s="1110"/>
      <c r="EM62" s="1111"/>
      <c r="EN62" s="1110"/>
      <c r="EO62" s="1110"/>
      <c r="EP62" s="1552">
        <f>+EP60/IS!EP59</f>
        <v>1.0190199839778724</v>
      </c>
      <c r="EQ62" s="2005">
        <f>AVERAGE(DG62,DN62,DU62,EB62,EI62)</f>
        <v>0.91583857087809728</v>
      </c>
      <c r="ER62" s="223">
        <f>AVERAGE(DN62,DU62,EB62,EI62,EP62)</f>
        <v>0.95138801553094599</v>
      </c>
    </row>
    <row r="63" spans="1:148" ht="10.199999999999999" customHeight="1">
      <c r="A63" s="51"/>
      <c r="B63" s="48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76"/>
      <c r="R63" s="126"/>
      <c r="S63" s="126"/>
      <c r="T63" s="1082"/>
      <c r="U63" s="126"/>
      <c r="V63" s="126"/>
      <c r="W63" s="126"/>
      <c r="X63" s="1276"/>
      <c r="Y63" s="126"/>
      <c r="Z63" s="126"/>
      <c r="AA63" s="1082"/>
      <c r="AB63" s="126"/>
      <c r="AC63" s="126"/>
      <c r="AD63" s="126"/>
      <c r="AE63" s="1276"/>
      <c r="AF63" s="126"/>
      <c r="AG63" s="126"/>
      <c r="AH63" s="1082"/>
      <c r="AI63" s="126"/>
      <c r="AJ63" s="126"/>
      <c r="AK63" s="126"/>
      <c r="AL63" s="1276"/>
      <c r="AM63" s="126"/>
      <c r="AN63" s="126"/>
      <c r="AO63" s="1082"/>
      <c r="AP63" s="126"/>
      <c r="AQ63" s="126"/>
      <c r="AR63" s="126"/>
      <c r="AS63" s="1276"/>
      <c r="AT63" s="126"/>
      <c r="AU63" s="126"/>
      <c r="AV63" s="1082"/>
      <c r="AW63" s="126"/>
      <c r="AX63" s="126"/>
      <c r="AY63" s="126"/>
      <c r="AZ63" s="1276"/>
      <c r="BA63" s="126"/>
      <c r="BB63" s="126"/>
      <c r="BC63" s="1082"/>
      <c r="BD63" s="126"/>
      <c r="BE63" s="126"/>
      <c r="BF63" s="126"/>
      <c r="BG63" s="1276"/>
      <c r="BH63" s="126"/>
      <c r="BI63" s="126"/>
      <c r="BJ63" s="1082"/>
      <c r="BK63" s="126"/>
      <c r="BL63" s="126"/>
      <c r="BM63" s="126"/>
      <c r="BN63" s="1276"/>
      <c r="BO63" s="126"/>
      <c r="BP63" s="126"/>
      <c r="BQ63" s="1082"/>
      <c r="BR63" s="126"/>
      <c r="BS63" s="126"/>
      <c r="BT63" s="126"/>
      <c r="BU63" s="1276"/>
      <c r="BV63" s="126"/>
      <c r="BW63" s="126"/>
      <c r="BX63" s="1082"/>
      <c r="BY63" s="126"/>
      <c r="BZ63" s="126"/>
      <c r="CA63" s="126"/>
      <c r="CB63" s="1276"/>
      <c r="CC63" s="126"/>
      <c r="CD63" s="126"/>
      <c r="CE63" s="1082"/>
      <c r="CF63" s="126"/>
      <c r="CG63" s="126"/>
      <c r="CH63" s="126"/>
      <c r="CI63" s="1276"/>
      <c r="CJ63" s="126"/>
      <c r="CK63" s="126"/>
      <c r="CL63" s="1082"/>
      <c r="CM63" s="126"/>
      <c r="CN63" s="126"/>
      <c r="CO63" s="126"/>
      <c r="CP63" s="1276"/>
      <c r="CQ63" s="126"/>
      <c r="CR63" s="126"/>
      <c r="CS63" s="1082"/>
      <c r="CT63" s="852"/>
      <c r="CU63" s="852"/>
      <c r="CV63" s="852"/>
      <c r="CW63" s="1100"/>
      <c r="CX63" s="852"/>
      <c r="CY63" s="852"/>
      <c r="CZ63" s="1107"/>
      <c r="DA63" s="1110"/>
      <c r="DB63" s="1110"/>
      <c r="DC63" s="1110"/>
      <c r="DD63" s="1100"/>
      <c r="DE63" s="1110"/>
      <c r="DF63" s="852"/>
      <c r="DG63" s="1107"/>
      <c r="DH63" s="1110"/>
      <c r="DI63" s="1920"/>
      <c r="DJ63" s="1110"/>
      <c r="DK63" s="1111"/>
      <c r="DL63" s="1920"/>
      <c r="DM63" s="1110"/>
      <c r="DN63" s="1107"/>
      <c r="DO63" s="1110"/>
      <c r="DP63" s="1110"/>
      <c r="DQ63" s="1110"/>
      <c r="DR63" s="1111"/>
      <c r="DS63" s="1110"/>
      <c r="DT63" s="1110"/>
      <c r="DU63" s="1107"/>
      <c r="DV63" s="1110"/>
      <c r="DW63" s="1110"/>
      <c r="DX63" s="1110"/>
      <c r="DY63" s="1111"/>
      <c r="DZ63" s="1110"/>
      <c r="EA63" s="1110"/>
      <c r="EB63" s="1107"/>
      <c r="EC63" s="1110"/>
      <c r="ED63" s="1110"/>
      <c r="EE63" s="1110"/>
      <c r="EF63" s="1111"/>
      <c r="EG63" s="1110"/>
      <c r="EH63" s="1110"/>
      <c r="EI63" s="1107"/>
      <c r="EJ63" s="1110"/>
      <c r="EK63" s="1110"/>
      <c r="EL63" s="1110"/>
      <c r="EM63" s="1111"/>
      <c r="EN63" s="1110"/>
      <c r="EO63" s="1110"/>
      <c r="EP63" s="1107"/>
      <c r="EQ63" s="906"/>
      <c r="ER63" s="97"/>
    </row>
    <row r="64" spans="1:148" ht="10.199999999999999" hidden="1" customHeight="1" outlineLevel="1">
      <c r="A64" s="48" t="s">
        <v>930</v>
      </c>
      <c r="B64" s="48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76"/>
      <c r="R64" s="126"/>
      <c r="S64" s="126"/>
      <c r="T64" s="1082"/>
      <c r="U64" s="126"/>
      <c r="V64" s="126"/>
      <c r="W64" s="126"/>
      <c r="X64" s="1276"/>
      <c r="Y64" s="126"/>
      <c r="Z64" s="126"/>
      <c r="AA64" s="1082"/>
      <c r="AB64" s="126"/>
      <c r="AC64" s="126"/>
      <c r="AD64" s="126"/>
      <c r="AE64" s="1276"/>
      <c r="AF64" s="126"/>
      <c r="AG64" s="126"/>
      <c r="AH64" s="1082"/>
      <c r="AI64" s="126"/>
      <c r="AJ64" s="126"/>
      <c r="AK64" s="126"/>
      <c r="AL64" s="1276"/>
      <c r="AM64" s="126"/>
      <c r="AN64" s="126"/>
      <c r="AO64" s="1082"/>
      <c r="AP64" s="126"/>
      <c r="AQ64" s="126"/>
      <c r="AR64" s="126"/>
      <c r="AS64" s="1276"/>
      <c r="AT64" s="126"/>
      <c r="AU64" s="126"/>
      <c r="AV64" s="1082"/>
      <c r="AW64" s="126"/>
      <c r="AX64" s="126"/>
      <c r="AY64" s="126"/>
      <c r="AZ64" s="1276"/>
      <c r="BA64" s="126"/>
      <c r="BB64" s="126"/>
      <c r="BC64" s="1082"/>
      <c r="BD64" s="126"/>
      <c r="BE64" s="126"/>
      <c r="BF64" s="126"/>
      <c r="BG64" s="1276"/>
      <c r="BH64" s="126"/>
      <c r="BI64" s="126"/>
      <c r="BJ64" s="1082"/>
      <c r="BK64" s="126"/>
      <c r="BL64" s="126"/>
      <c r="BM64" s="126"/>
      <c r="BN64" s="1276"/>
      <c r="BO64" s="126"/>
      <c r="BP64" s="126"/>
      <c r="BQ64" s="1082"/>
      <c r="BR64" s="126"/>
      <c r="BS64" s="126"/>
      <c r="BT64" s="126"/>
      <c r="BU64" s="1276"/>
      <c r="BV64" s="126"/>
      <c r="BW64" s="126"/>
      <c r="BX64" s="1082"/>
      <c r="BY64" s="126"/>
      <c r="BZ64" s="126"/>
      <c r="CA64" s="126"/>
      <c r="CB64" s="1276"/>
      <c r="CC64" s="126"/>
      <c r="CD64" s="126"/>
      <c r="CE64" s="1082"/>
      <c r="CF64" s="126"/>
      <c r="CG64" s="126"/>
      <c r="CH64" s="126"/>
      <c r="CI64" s="1276"/>
      <c r="CJ64" s="126"/>
      <c r="CK64" s="126"/>
      <c r="CL64" s="1082"/>
      <c r="CM64" s="126"/>
      <c r="CN64" s="126"/>
      <c r="CO64" s="126"/>
      <c r="CP64" s="1276"/>
      <c r="CQ64" s="126"/>
      <c r="CR64" s="126"/>
      <c r="CS64" s="1082"/>
      <c r="CT64" s="852"/>
      <c r="CU64" s="852"/>
      <c r="CV64" s="852"/>
      <c r="CW64" s="1100"/>
      <c r="CX64" s="852"/>
      <c r="CY64" s="852"/>
      <c r="CZ64" s="1107"/>
      <c r="DA64" s="1110"/>
      <c r="DB64" s="1110"/>
      <c r="DC64" s="1110"/>
      <c r="DD64" s="1100"/>
      <c r="DE64" s="1110"/>
      <c r="DF64" s="852"/>
      <c r="DG64" s="1107"/>
      <c r="DH64" s="1110"/>
      <c r="DI64" s="1920"/>
      <c r="DJ64" s="1110"/>
      <c r="DK64" s="1111"/>
      <c r="DL64" s="1920"/>
      <c r="DM64" s="1110"/>
      <c r="DN64" s="1107"/>
      <c r="DO64" s="1110"/>
      <c r="DP64" s="1110"/>
      <c r="DQ64" s="1110"/>
      <c r="DR64" s="1111"/>
      <c r="DS64" s="1110"/>
      <c r="DT64" s="1110"/>
      <c r="DU64" s="1107"/>
      <c r="DV64" s="1110"/>
      <c r="DW64" s="1110"/>
      <c r="DX64" s="1110"/>
      <c r="DY64" s="1111"/>
      <c r="DZ64" s="1110"/>
      <c r="EA64" s="1110"/>
      <c r="EB64" s="1107"/>
      <c r="EC64" s="1110"/>
      <c r="ED64" s="1110"/>
      <c r="EE64" s="1110"/>
      <c r="EF64" s="1111"/>
      <c r="EG64" s="1110"/>
      <c r="EH64" s="1110"/>
      <c r="EI64" s="1107"/>
      <c r="EJ64" s="1110"/>
      <c r="EK64" s="1110"/>
      <c r="EL64" s="1110"/>
      <c r="EM64" s="1111"/>
      <c r="EN64" s="1110"/>
      <c r="EO64" s="1110"/>
      <c r="EP64" s="1107"/>
      <c r="EQ64" s="906"/>
      <c r="ER64" s="97"/>
    </row>
    <row r="65" spans="1:148" ht="10.199999999999999" hidden="1" customHeight="1" outlineLevel="1">
      <c r="A65" s="108" t="s">
        <v>871</v>
      </c>
      <c r="B65" s="108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76"/>
      <c r="R65" s="126"/>
      <c r="S65" s="126"/>
      <c r="T65" s="1082"/>
      <c r="U65" s="126"/>
      <c r="V65" s="126"/>
      <c r="W65" s="126"/>
      <c r="X65" s="1276"/>
      <c r="Y65" s="126"/>
      <c r="Z65" s="126"/>
      <c r="AA65" s="1082"/>
      <c r="AB65" s="126"/>
      <c r="AC65" s="126"/>
      <c r="AD65" s="126"/>
      <c r="AE65" s="1276"/>
      <c r="AF65" s="126"/>
      <c r="AG65" s="126"/>
      <c r="AH65" s="1082"/>
      <c r="AI65" s="126"/>
      <c r="AJ65" s="126"/>
      <c r="AK65" s="126"/>
      <c r="AL65" s="1276"/>
      <c r="AM65" s="126"/>
      <c r="AN65" s="126"/>
      <c r="AO65" s="1082"/>
      <c r="AP65" s="126"/>
      <c r="AQ65" s="126"/>
      <c r="AR65" s="126"/>
      <c r="AS65" s="1276"/>
      <c r="AT65" s="126"/>
      <c r="AU65" s="126"/>
      <c r="AV65" s="1082"/>
      <c r="AW65" s="126"/>
      <c r="AX65" s="126"/>
      <c r="AY65" s="126"/>
      <c r="AZ65" s="1276"/>
      <c r="BA65" s="126"/>
      <c r="BB65" s="126"/>
      <c r="BC65" s="1082"/>
      <c r="BD65" s="126"/>
      <c r="BE65" s="126"/>
      <c r="BF65" s="126"/>
      <c r="BG65" s="1276"/>
      <c r="BH65" s="126"/>
      <c r="BI65" s="126"/>
      <c r="BJ65" s="1082"/>
      <c r="BK65" s="126"/>
      <c r="BL65" s="126"/>
      <c r="BM65" s="126"/>
      <c r="BN65" s="1276"/>
      <c r="BO65" s="126"/>
      <c r="BP65" s="126"/>
      <c r="BQ65" s="1082"/>
      <c r="BR65" s="126"/>
      <c r="BS65" s="126"/>
      <c r="BT65" s="126"/>
      <c r="BU65" s="1276"/>
      <c r="BV65" s="126"/>
      <c r="BW65" s="126"/>
      <c r="BX65" s="1082"/>
      <c r="BY65" s="126"/>
      <c r="BZ65" s="126"/>
      <c r="CA65" s="126"/>
      <c r="CB65" s="1276"/>
      <c r="CC65" s="126"/>
      <c r="CD65" s="126"/>
      <c r="CE65" s="1082">
        <f>CE23+CE26</f>
        <v>-1637</v>
      </c>
      <c r="CF65" s="126"/>
      <c r="CG65" s="126"/>
      <c r="CH65" s="126"/>
      <c r="CI65" s="1276"/>
      <c r="CJ65" s="126"/>
      <c r="CK65" s="126"/>
      <c r="CL65" s="1082">
        <f>CL23+CL26</f>
        <v>-2263</v>
      </c>
      <c r="CM65" s="126"/>
      <c r="CN65" s="126"/>
      <c r="CO65" s="126"/>
      <c r="CP65" s="1276"/>
      <c r="CQ65" s="126"/>
      <c r="CR65" s="126"/>
      <c r="CS65" s="1082">
        <f>CS31</f>
        <v>-4128</v>
      </c>
      <c r="CT65" s="203"/>
      <c r="CU65" s="203"/>
      <c r="CV65" s="203"/>
      <c r="CW65" s="1448"/>
      <c r="CX65" s="203"/>
      <c r="CY65" s="203"/>
      <c r="CZ65" s="1548"/>
      <c r="DA65" s="1422"/>
      <c r="DB65" s="1422"/>
      <c r="DC65" s="1422"/>
      <c r="DD65" s="1448"/>
      <c r="DE65" s="1422"/>
      <c r="DF65" s="203"/>
      <c r="DG65" s="1548"/>
      <c r="DH65" s="1422"/>
      <c r="DI65" s="2013"/>
      <c r="DJ65" s="1422"/>
      <c r="DK65" s="1557"/>
      <c r="DL65" s="2013"/>
      <c r="DM65" s="1422"/>
      <c r="DN65" s="1548"/>
      <c r="DO65" s="1422"/>
      <c r="DP65" s="1422"/>
      <c r="DQ65" s="1422"/>
      <c r="DR65" s="1557"/>
      <c r="DS65" s="1422"/>
      <c r="DT65" s="1422"/>
      <c r="DU65" s="1548"/>
      <c r="DV65" s="1422"/>
      <c r="DW65" s="1422"/>
      <c r="DX65" s="1422"/>
      <c r="DY65" s="1557"/>
      <c r="DZ65" s="1422"/>
      <c r="EA65" s="1422"/>
      <c r="EB65" s="1548"/>
      <c r="EC65" s="1422"/>
      <c r="ED65" s="1422"/>
      <c r="EE65" s="1422"/>
      <c r="EF65" s="1557"/>
      <c r="EG65" s="1422"/>
      <c r="EH65" s="1422"/>
      <c r="EI65" s="1548"/>
      <c r="EJ65" s="1422"/>
      <c r="EK65" s="1422"/>
      <c r="EL65" s="1422"/>
      <c r="EM65" s="1557"/>
      <c r="EN65" s="1422"/>
      <c r="EO65" s="1422"/>
      <c r="EP65" s="1548"/>
      <c r="EQ65" s="236"/>
      <c r="ER65" s="46"/>
    </row>
    <row r="66" spans="1:148" ht="10.199999999999999" hidden="1" customHeight="1" outlineLevel="1">
      <c r="A66" s="108" t="s">
        <v>65</v>
      </c>
      <c r="B66" s="108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76"/>
      <c r="R66" s="126"/>
      <c r="S66" s="126"/>
      <c r="T66" s="1082"/>
      <c r="U66" s="126"/>
      <c r="V66" s="126"/>
      <c r="W66" s="126"/>
      <c r="X66" s="1276"/>
      <c r="Y66" s="126"/>
      <c r="Z66" s="126"/>
      <c r="AA66" s="1082"/>
      <c r="AB66" s="126"/>
      <c r="AC66" s="126"/>
      <c r="AD66" s="126"/>
      <c r="AE66" s="1276"/>
      <c r="AF66" s="126"/>
      <c r="AG66" s="126"/>
      <c r="AH66" s="1082"/>
      <c r="AI66" s="126"/>
      <c r="AJ66" s="126"/>
      <c r="AK66" s="126"/>
      <c r="AL66" s="1276"/>
      <c r="AM66" s="126"/>
      <c r="AN66" s="126"/>
      <c r="AO66" s="1082"/>
      <c r="AP66" s="126"/>
      <c r="AQ66" s="126"/>
      <c r="AR66" s="126"/>
      <c r="AS66" s="1276"/>
      <c r="AT66" s="126"/>
      <c r="AU66" s="126"/>
      <c r="AV66" s="1082"/>
      <c r="AW66" s="126"/>
      <c r="AX66" s="126"/>
      <c r="AY66" s="126"/>
      <c r="AZ66" s="1276"/>
      <c r="BA66" s="126"/>
      <c r="BB66" s="126"/>
      <c r="BC66" s="1082"/>
      <c r="BD66" s="126"/>
      <c r="BE66" s="126"/>
      <c r="BF66" s="126"/>
      <c r="BG66" s="1276"/>
      <c r="BH66" s="126"/>
      <c r="BI66" s="126"/>
      <c r="BJ66" s="1082"/>
      <c r="BK66" s="126"/>
      <c r="BL66" s="126"/>
      <c r="BM66" s="126"/>
      <c r="BN66" s="1276"/>
      <c r="BO66" s="126"/>
      <c r="BP66" s="126"/>
      <c r="BQ66" s="1082"/>
      <c r="BR66" s="126"/>
      <c r="BS66" s="126"/>
      <c r="BT66" s="126"/>
      <c r="BU66" s="1276"/>
      <c r="BV66" s="126"/>
      <c r="BW66" s="126"/>
      <c r="BX66" s="1082"/>
      <c r="BY66" s="126"/>
      <c r="BZ66" s="126"/>
      <c r="CA66" s="126"/>
      <c r="CB66" s="1276"/>
      <c r="CC66" s="126"/>
      <c r="CD66" s="126"/>
      <c r="CE66" s="1082">
        <f>-CE28</f>
        <v>1186</v>
      </c>
      <c r="CF66" s="126"/>
      <c r="CG66" s="126"/>
      <c r="CH66" s="126"/>
      <c r="CI66" s="1276"/>
      <c r="CJ66" s="126"/>
      <c r="CK66" s="126"/>
      <c r="CL66" s="1082">
        <f>-CL28</f>
        <v>344</v>
      </c>
      <c r="CM66" s="126"/>
      <c r="CN66" s="126"/>
      <c r="CO66" s="126"/>
      <c r="CP66" s="1276"/>
      <c r="CQ66" s="126"/>
      <c r="CR66" s="126"/>
      <c r="CS66" s="1082">
        <f>-CS28</f>
        <v>786</v>
      </c>
      <c r="CT66" s="203"/>
      <c r="CU66" s="203"/>
      <c r="CV66" s="203"/>
      <c r="CW66" s="1448"/>
      <c r="CX66" s="203"/>
      <c r="CY66" s="203"/>
      <c r="CZ66" s="1486"/>
      <c r="DA66" s="884"/>
      <c r="DB66" s="884"/>
      <c r="DC66" s="884"/>
      <c r="DD66" s="1448"/>
      <c r="DE66" s="884"/>
      <c r="DF66" s="203"/>
      <c r="DG66" s="1486"/>
      <c r="DH66" s="884"/>
      <c r="DI66" s="2012"/>
      <c r="DJ66" s="884"/>
      <c r="DK66" s="1515"/>
      <c r="DL66" s="2012"/>
      <c r="DM66" s="884"/>
      <c r="DN66" s="1486"/>
      <c r="DO66" s="884"/>
      <c r="DP66" s="884"/>
      <c r="DQ66" s="884"/>
      <c r="DR66" s="1515"/>
      <c r="DS66" s="884"/>
      <c r="DT66" s="884"/>
      <c r="DU66" s="1486"/>
      <c r="DV66" s="884"/>
      <c r="DW66" s="884"/>
      <c r="DX66" s="884"/>
      <c r="DY66" s="1515"/>
      <c r="DZ66" s="884"/>
      <c r="EA66" s="884"/>
      <c r="EB66" s="1486"/>
      <c r="EC66" s="884"/>
      <c r="ED66" s="884"/>
      <c r="EE66" s="884"/>
      <c r="EF66" s="1515"/>
      <c r="EG66" s="884"/>
      <c r="EH66" s="884"/>
      <c r="EI66" s="1486"/>
      <c r="EJ66" s="884"/>
      <c r="EK66" s="884"/>
      <c r="EL66" s="884"/>
      <c r="EM66" s="1515"/>
      <c r="EN66" s="884"/>
      <c r="EO66" s="884"/>
      <c r="EP66" s="1486"/>
      <c r="EQ66" s="236"/>
      <c r="ER66" s="46"/>
    </row>
    <row r="67" spans="1:148" ht="10.199999999999999" hidden="1" customHeight="1" outlineLevel="1">
      <c r="A67" s="108" t="s">
        <v>878</v>
      </c>
      <c r="B67" s="108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76"/>
      <c r="R67" s="126"/>
      <c r="S67" s="126"/>
      <c r="T67" s="1082"/>
      <c r="U67" s="126"/>
      <c r="V67" s="126"/>
      <c r="W67" s="126"/>
      <c r="X67" s="1276"/>
      <c r="Y67" s="126"/>
      <c r="Z67" s="126"/>
      <c r="AA67" s="1082"/>
      <c r="AB67" s="126"/>
      <c r="AC67" s="126"/>
      <c r="AD67" s="126"/>
      <c r="AE67" s="1276"/>
      <c r="AF67" s="126"/>
      <c r="AG67" s="126"/>
      <c r="AH67" s="1082"/>
      <c r="AI67" s="126"/>
      <c r="AJ67" s="126"/>
      <c r="AK67" s="126"/>
      <c r="AL67" s="1276"/>
      <c r="AM67" s="126"/>
      <c r="AN67" s="126"/>
      <c r="AO67" s="1082"/>
      <c r="AP67" s="126"/>
      <c r="AQ67" s="126"/>
      <c r="AR67" s="126"/>
      <c r="AS67" s="1276"/>
      <c r="AT67" s="126"/>
      <c r="AU67" s="126"/>
      <c r="AV67" s="1082"/>
      <c r="AW67" s="126"/>
      <c r="AX67" s="126"/>
      <c r="AY67" s="126"/>
      <c r="AZ67" s="1276"/>
      <c r="BA67" s="126"/>
      <c r="BB67" s="126"/>
      <c r="BC67" s="1082"/>
      <c r="BD67" s="126"/>
      <c r="BE67" s="126"/>
      <c r="BF67" s="126"/>
      <c r="BG67" s="1276"/>
      <c r="BH67" s="126"/>
      <c r="BI67" s="126"/>
      <c r="BJ67" s="1082"/>
      <c r="BK67" s="126"/>
      <c r="BL67" s="126"/>
      <c r="BM67" s="126"/>
      <c r="BN67" s="1276"/>
      <c r="BO67" s="126"/>
      <c r="BP67" s="126"/>
      <c r="BQ67" s="1082"/>
      <c r="BR67" s="126"/>
      <c r="BS67" s="126"/>
      <c r="BT67" s="126"/>
      <c r="BU67" s="1276"/>
      <c r="BV67" s="126"/>
      <c r="BW67" s="126"/>
      <c r="BX67" s="1082"/>
      <c r="BY67" s="126"/>
      <c r="BZ67" s="126"/>
      <c r="CA67" s="126"/>
      <c r="CB67" s="1276"/>
      <c r="CC67" s="126"/>
      <c r="CD67" s="126"/>
      <c r="CE67" s="1082">
        <f>-1551-CE66-CE65</f>
        <v>-1100</v>
      </c>
      <c r="CF67" s="126"/>
      <c r="CG67" s="126"/>
      <c r="CH67" s="126"/>
      <c r="CI67" s="1276"/>
      <c r="CJ67" s="126"/>
      <c r="CK67" s="126"/>
      <c r="CL67" s="1082">
        <f>-2609-CL66-CL65</f>
        <v>-690</v>
      </c>
      <c r="CM67" s="126"/>
      <c r="CN67" s="126"/>
      <c r="CO67" s="126"/>
      <c r="CP67" s="1276"/>
      <c r="CQ67" s="126"/>
      <c r="CR67" s="126"/>
      <c r="CS67" s="1082">
        <f>-3037-CS66-CS65</f>
        <v>305</v>
      </c>
      <c r="CT67" s="203"/>
      <c r="CU67" s="203"/>
      <c r="CV67" s="203"/>
      <c r="CW67" s="1448"/>
      <c r="CX67" s="203"/>
      <c r="CY67" s="203"/>
      <c r="CZ67" s="1484"/>
      <c r="DA67" s="853"/>
      <c r="DB67" s="853"/>
      <c r="DC67" s="853"/>
      <c r="DD67" s="1448"/>
      <c r="DE67" s="853"/>
      <c r="DF67" s="203"/>
      <c r="DG67" s="1484"/>
      <c r="DH67" s="853"/>
      <c r="DI67" s="1892"/>
      <c r="DJ67" s="853"/>
      <c r="DK67" s="1514"/>
      <c r="DL67" s="1892"/>
      <c r="DM67" s="853"/>
      <c r="DN67" s="1484"/>
      <c r="DO67" s="853"/>
      <c r="DP67" s="853"/>
      <c r="DQ67" s="853"/>
      <c r="DR67" s="1514"/>
      <c r="DS67" s="853"/>
      <c r="DT67" s="853"/>
      <c r="DU67" s="1484"/>
      <c r="DV67" s="853"/>
      <c r="DW67" s="853"/>
      <c r="DX67" s="853"/>
      <c r="DY67" s="1514"/>
      <c r="DZ67" s="853"/>
      <c r="EA67" s="853"/>
      <c r="EB67" s="1484"/>
      <c r="EC67" s="853"/>
      <c r="ED67" s="853"/>
      <c r="EE67" s="853"/>
      <c r="EF67" s="1514"/>
      <c r="EG67" s="853"/>
      <c r="EH67" s="853"/>
      <c r="EI67" s="1484"/>
      <c r="EJ67" s="853"/>
      <c r="EK67" s="853"/>
      <c r="EL67" s="853"/>
      <c r="EM67" s="1514"/>
      <c r="EN67" s="853"/>
      <c r="EO67" s="853"/>
      <c r="EP67" s="1484"/>
      <c r="EQ67" s="236"/>
      <c r="ER67" s="46"/>
    </row>
    <row r="68" spans="1:148" ht="10.199999999999999" hidden="1" customHeight="1" outlineLevel="1">
      <c r="A68" s="48" t="s">
        <v>866</v>
      </c>
      <c r="B68" s="108"/>
      <c r="C68" s="126">
        <v>-287</v>
      </c>
      <c r="D68" s="126">
        <v>1050</v>
      </c>
      <c r="E68" s="126">
        <v>1614</v>
      </c>
      <c r="F68" s="126">
        <v>2413</v>
      </c>
      <c r="G68" s="126">
        <v>2029</v>
      </c>
      <c r="H68" s="126">
        <f t="shared" ref="H68:M68" si="972">H21+H23+H26</f>
        <v>3271</v>
      </c>
      <c r="I68" s="126">
        <f t="shared" si="972"/>
        <v>2647</v>
      </c>
      <c r="J68" s="126">
        <f t="shared" si="972"/>
        <v>583</v>
      </c>
      <c r="K68" s="126">
        <f t="shared" si="972"/>
        <v>2832</v>
      </c>
      <c r="L68" s="126">
        <f t="shared" si="972"/>
        <v>2710</v>
      </c>
      <c r="M68" s="126">
        <f t="shared" si="972"/>
        <v>714</v>
      </c>
      <c r="N68" s="126"/>
      <c r="O68" s="126"/>
      <c r="P68" s="126"/>
      <c r="Q68" s="1276"/>
      <c r="R68" s="126"/>
      <c r="S68" s="126"/>
      <c r="T68" s="1082">
        <f>T21+T23+T26</f>
        <v>-895</v>
      </c>
      <c r="U68" s="126"/>
      <c r="V68" s="126"/>
      <c r="W68" s="126"/>
      <c r="X68" s="1276"/>
      <c r="Y68" s="126"/>
      <c r="Z68" s="126"/>
      <c r="AA68" s="1082">
        <f>AA21+AA23+AA26</f>
        <v>387</v>
      </c>
      <c r="AB68" s="126"/>
      <c r="AC68" s="126"/>
      <c r="AD68" s="126"/>
      <c r="AE68" s="1276"/>
      <c r="AF68" s="126"/>
      <c r="AG68" s="126"/>
      <c r="AH68" s="1082">
        <f>AH21+AH23+AH26+AH29</f>
        <v>788</v>
      </c>
      <c r="AI68" s="126"/>
      <c r="AJ68" s="126"/>
      <c r="AK68" s="126"/>
      <c r="AL68" s="1276"/>
      <c r="AM68" s="126"/>
      <c r="AN68" s="126"/>
      <c r="AO68" s="1082">
        <f>AO21+AO23+AO26+AO29</f>
        <v>1573</v>
      </c>
      <c r="AP68" s="126"/>
      <c r="AQ68" s="126"/>
      <c r="AR68" s="126"/>
      <c r="AS68" s="1276"/>
      <c r="AT68" s="126"/>
      <c r="AU68" s="126"/>
      <c r="AV68" s="1082">
        <f>AV21+AV23+AV26+AV29</f>
        <v>2281</v>
      </c>
      <c r="AW68" s="126"/>
      <c r="AX68" s="126"/>
      <c r="AY68" s="126"/>
      <c r="AZ68" s="1276"/>
      <c r="BA68" s="126"/>
      <c r="BB68" s="126"/>
      <c r="BC68" s="1082">
        <f>BC21+BC23+BC26+BC29</f>
        <v>2281</v>
      </c>
      <c r="BD68" s="126"/>
      <c r="BE68" s="126"/>
      <c r="BF68" s="126"/>
      <c r="BG68" s="1276"/>
      <c r="BH68" s="126"/>
      <c r="BI68" s="126"/>
      <c r="BJ68" s="1082">
        <f>BJ21+BJ23+BJ26+BJ29</f>
        <v>437</v>
      </c>
      <c r="BK68" s="126"/>
      <c r="BL68" s="126"/>
      <c r="BM68" s="126"/>
      <c r="BN68" s="1276"/>
      <c r="BO68" s="126"/>
      <c r="BP68" s="126"/>
      <c r="BQ68" s="1082">
        <f>BQ21+BQ23+BQ26+BQ29</f>
        <v>1735</v>
      </c>
      <c r="BR68" s="126"/>
      <c r="BS68" s="126"/>
      <c r="BT68" s="126"/>
      <c r="BU68" s="1276"/>
      <c r="BV68" s="126"/>
      <c r="BW68" s="126"/>
      <c r="BX68" s="1082">
        <f>BX21+BX23+BX26+BX29</f>
        <v>-6959</v>
      </c>
      <c r="BY68" s="126"/>
      <c r="BZ68" s="126"/>
      <c r="CA68" s="126"/>
      <c r="CB68" s="1276"/>
      <c r="CC68" s="126"/>
      <c r="CD68" s="126"/>
      <c r="CE68" s="1082">
        <f>CE49+CE50+CE65+CE66+CE67</f>
        <v>3511</v>
      </c>
      <c r="CF68" s="126"/>
      <c r="CG68" s="126"/>
      <c r="CH68" s="126"/>
      <c r="CI68" s="1276"/>
      <c r="CJ68" s="126"/>
      <c r="CK68" s="126"/>
      <c r="CL68" s="1082">
        <f>CL49+CL50+CL65+CL66+CL67</f>
        <v>4324</v>
      </c>
      <c r="CM68" s="126"/>
      <c r="CN68" s="126"/>
      <c r="CO68" s="126"/>
      <c r="CP68" s="1276"/>
      <c r="CQ68" s="126"/>
      <c r="CR68" s="126"/>
      <c r="CS68" s="1082">
        <f>CS49+CS50+CS65+CS66+CS67</f>
        <v>3886</v>
      </c>
      <c r="CT68" s="126"/>
      <c r="CU68" s="126"/>
      <c r="CV68" s="126"/>
      <c r="CW68" s="1276"/>
      <c r="CX68" s="126"/>
      <c r="CY68" s="126"/>
      <c r="CZ68" s="1107"/>
      <c r="DA68" s="1110"/>
      <c r="DB68" s="1110"/>
      <c r="DC68" s="1110"/>
      <c r="DD68" s="1276"/>
      <c r="DE68" s="1110"/>
      <c r="DF68" s="126"/>
      <c r="DG68" s="1107"/>
      <c r="DH68" s="1110"/>
      <c r="DI68" s="1920"/>
      <c r="DJ68" s="1110"/>
      <c r="DK68" s="1111"/>
      <c r="DL68" s="1920"/>
      <c r="DM68" s="1110"/>
      <c r="DN68" s="1107"/>
      <c r="DO68" s="1110"/>
      <c r="DP68" s="1110"/>
      <c r="DQ68" s="1110"/>
      <c r="DR68" s="1111"/>
      <c r="DS68" s="1110"/>
      <c r="DT68" s="1110"/>
      <c r="DU68" s="1107"/>
      <c r="DV68" s="1110"/>
      <c r="DW68" s="1110"/>
      <c r="DX68" s="1110"/>
      <c r="DY68" s="1111"/>
      <c r="DZ68" s="1110"/>
      <c r="EA68" s="1110"/>
      <c r="EB68" s="1107"/>
      <c r="EC68" s="1110"/>
      <c r="ED68" s="1110"/>
      <c r="EE68" s="1110"/>
      <c r="EF68" s="1111"/>
      <c r="EG68" s="1110"/>
      <c r="EH68" s="1110"/>
      <c r="EI68" s="1107"/>
      <c r="EJ68" s="1110"/>
      <c r="EK68" s="1110"/>
      <c r="EL68" s="1110"/>
      <c r="EM68" s="1111"/>
      <c r="EN68" s="1110"/>
      <c r="EO68" s="1110"/>
      <c r="EP68" s="1107"/>
      <c r="EQ68" s="236"/>
      <c r="ER68" s="46"/>
    </row>
    <row r="69" spans="1:148" ht="10.199999999999999" hidden="1" customHeight="1" outlineLevel="1">
      <c r="A69" s="48" t="s">
        <v>867</v>
      </c>
      <c r="B69" s="108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76"/>
      <c r="R69" s="126"/>
      <c r="S69" s="126"/>
      <c r="T69" s="1082"/>
      <c r="U69" s="126"/>
      <c r="V69" s="126"/>
      <c r="W69" s="126"/>
      <c r="X69" s="1276"/>
      <c r="Y69" s="126"/>
      <c r="Z69" s="126"/>
      <c r="AA69" s="1082"/>
      <c r="AB69" s="126"/>
      <c r="AC69" s="126"/>
      <c r="AD69" s="126"/>
      <c r="AE69" s="1276"/>
      <c r="AF69" s="126"/>
      <c r="AG69" s="126"/>
      <c r="AH69" s="1082"/>
      <c r="AI69" s="126"/>
      <c r="AJ69" s="126"/>
      <c r="AK69" s="126"/>
      <c r="AL69" s="1276"/>
      <c r="AM69" s="126"/>
      <c r="AN69" s="126"/>
      <c r="AO69" s="1082"/>
      <c r="AP69" s="126"/>
      <c r="AQ69" s="126"/>
      <c r="AR69" s="126"/>
      <c r="AS69" s="1276"/>
      <c r="AT69" s="126"/>
      <c r="AU69" s="126"/>
      <c r="AV69" s="1082"/>
      <c r="AW69" s="126"/>
      <c r="AX69" s="126"/>
      <c r="AY69" s="126"/>
      <c r="AZ69" s="1276"/>
      <c r="BA69" s="126"/>
      <c r="BB69" s="126"/>
      <c r="BC69" s="1082"/>
      <c r="BD69" s="126"/>
      <c r="BE69" s="126"/>
      <c r="BF69" s="126"/>
      <c r="BG69" s="1276"/>
      <c r="BH69" s="126"/>
      <c r="BI69" s="126"/>
      <c r="BJ69" s="1082"/>
      <c r="BK69" s="126"/>
      <c r="BL69" s="126"/>
      <c r="BM69" s="126"/>
      <c r="BN69" s="1276"/>
      <c r="BO69" s="126"/>
      <c r="BP69" s="126"/>
      <c r="BQ69" s="1082"/>
      <c r="BR69" s="126"/>
      <c r="BS69" s="126"/>
      <c r="BT69" s="126"/>
      <c r="BU69" s="1276"/>
      <c r="BV69" s="126"/>
      <c r="BW69" s="126"/>
      <c r="BX69" s="1082"/>
      <c r="BY69" s="126"/>
      <c r="BZ69" s="126"/>
      <c r="CA69" s="126"/>
      <c r="CB69" s="1276"/>
      <c r="CC69" s="126"/>
      <c r="CD69" s="126"/>
      <c r="CE69" s="1082"/>
      <c r="CF69" s="126"/>
      <c r="CG69" s="126"/>
      <c r="CH69" s="126"/>
      <c r="CI69" s="1276"/>
      <c r="CJ69" s="126"/>
      <c r="CK69" s="126"/>
      <c r="CL69" s="1082">
        <f>CL49+CL50+CL23+CL26</f>
        <v>4670</v>
      </c>
      <c r="CM69" s="126"/>
      <c r="CN69" s="126"/>
      <c r="CO69" s="126"/>
      <c r="CP69" s="1276"/>
      <c r="CQ69" s="126"/>
      <c r="CR69" s="126"/>
      <c r="CS69" s="1082">
        <f>CS49+CS50+CS23+CS26</f>
        <v>4097</v>
      </c>
      <c r="CT69" s="126"/>
      <c r="CU69" s="126"/>
      <c r="CV69" s="126"/>
      <c r="CW69" s="1276"/>
      <c r="CX69" s="126"/>
      <c r="CY69" s="126"/>
      <c r="CZ69" s="1482"/>
      <c r="DA69" s="883"/>
      <c r="DB69" s="883"/>
      <c r="DC69" s="883"/>
      <c r="DD69" s="1276"/>
      <c r="DE69" s="883"/>
      <c r="DF69" s="126"/>
      <c r="DG69" s="1482"/>
      <c r="DH69" s="883"/>
      <c r="DI69" s="2015"/>
      <c r="DJ69" s="883"/>
      <c r="DK69" s="1512"/>
      <c r="DL69" s="2015"/>
      <c r="DM69" s="883"/>
      <c r="DN69" s="1482"/>
      <c r="DO69" s="883"/>
      <c r="DP69" s="883"/>
      <c r="DQ69" s="883"/>
      <c r="DR69" s="1512"/>
      <c r="DS69" s="883"/>
      <c r="DT69" s="883"/>
      <c r="DU69" s="1482"/>
      <c r="DV69" s="883"/>
      <c r="DW69" s="883"/>
      <c r="DX69" s="883"/>
      <c r="DY69" s="1512"/>
      <c r="DZ69" s="883"/>
      <c r="EA69" s="883"/>
      <c r="EB69" s="1482"/>
      <c r="EC69" s="883"/>
      <c r="ED69" s="883"/>
      <c r="EE69" s="883"/>
      <c r="EF69" s="1512"/>
      <c r="EG69" s="883"/>
      <c r="EH69" s="883"/>
      <c r="EI69" s="1482"/>
      <c r="EJ69" s="883"/>
      <c r="EK69" s="883"/>
      <c r="EL69" s="883"/>
      <c r="EM69" s="1512"/>
      <c r="EN69" s="883"/>
      <c r="EO69" s="883"/>
      <c r="EP69" s="1482"/>
      <c r="EQ69" s="236"/>
      <c r="ER69" s="46"/>
    </row>
    <row r="70" spans="1:148" ht="10.199999999999999" hidden="1" customHeight="1" outlineLevel="1">
      <c r="A70" s="51" t="s">
        <v>873</v>
      </c>
      <c r="B70" s="108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76"/>
      <c r="R70" s="126"/>
      <c r="S70" s="126"/>
      <c r="T70" s="1082"/>
      <c r="U70" s="126"/>
      <c r="V70" s="126"/>
      <c r="W70" s="126"/>
      <c r="X70" s="1276"/>
      <c r="Y70" s="126"/>
      <c r="Z70" s="126"/>
      <c r="AA70" s="1082"/>
      <c r="AB70" s="126"/>
      <c r="AC70" s="126"/>
      <c r="AD70" s="126"/>
      <c r="AE70" s="1276"/>
      <c r="AF70" s="126"/>
      <c r="AG70" s="126"/>
      <c r="AH70" s="1082"/>
      <c r="AI70" s="126"/>
      <c r="AJ70" s="126"/>
      <c r="AK70" s="126"/>
      <c r="AL70" s="1276"/>
      <c r="AM70" s="126"/>
      <c r="AN70" s="126"/>
      <c r="AO70" s="1082"/>
      <c r="AP70" s="126"/>
      <c r="AQ70" s="126"/>
      <c r="AR70" s="126"/>
      <c r="AS70" s="1276"/>
      <c r="AT70" s="126"/>
      <c r="AU70" s="126"/>
      <c r="AV70" s="1082"/>
      <c r="AW70" s="126"/>
      <c r="AX70" s="126"/>
      <c r="AY70" s="126"/>
      <c r="AZ70" s="1276"/>
      <c r="BA70" s="126"/>
      <c r="BB70" s="126"/>
      <c r="BC70" s="1082"/>
      <c r="BD70" s="126"/>
      <c r="BE70" s="126"/>
      <c r="BF70" s="126"/>
      <c r="BG70" s="1276"/>
      <c r="BH70" s="126"/>
      <c r="BI70" s="126"/>
      <c r="BJ70" s="1082"/>
      <c r="BK70" s="126"/>
      <c r="BL70" s="126"/>
      <c r="BM70" s="126"/>
      <c r="BN70" s="1276"/>
      <c r="BO70" s="126"/>
      <c r="BP70" s="126"/>
      <c r="BQ70" s="1082"/>
      <c r="BR70" s="126"/>
      <c r="BS70" s="126"/>
      <c r="BT70" s="126"/>
      <c r="BU70" s="1276"/>
      <c r="BV70" s="126"/>
      <c r="BW70" s="126"/>
      <c r="BX70" s="1082"/>
      <c r="BY70" s="126"/>
      <c r="BZ70" s="126"/>
      <c r="CA70" s="126"/>
      <c r="CB70" s="1276"/>
      <c r="CC70" s="126"/>
      <c r="CD70" s="126"/>
      <c r="CE70" s="1082">
        <v>32</v>
      </c>
      <c r="CF70" s="126"/>
      <c r="CG70" s="126"/>
      <c r="CH70" s="126"/>
      <c r="CI70" s="1276"/>
      <c r="CJ70" s="126"/>
      <c r="CK70" s="126"/>
      <c r="CL70" s="1082">
        <v>210</v>
      </c>
      <c r="CM70" s="126"/>
      <c r="CN70" s="126"/>
      <c r="CO70" s="126"/>
      <c r="CP70" s="1276"/>
      <c r="CQ70" s="126"/>
      <c r="CR70" s="126"/>
      <c r="CS70" s="1082">
        <f>-CS24</f>
        <v>65</v>
      </c>
      <c r="CT70" s="203"/>
      <c r="CU70" s="203"/>
      <c r="CV70" s="203"/>
      <c r="CW70" s="1448"/>
      <c r="CX70" s="203"/>
      <c r="CY70" s="203"/>
      <c r="CZ70" s="1548"/>
      <c r="DA70" s="1422"/>
      <c r="DB70" s="1422"/>
      <c r="DC70" s="1422"/>
      <c r="DD70" s="1448"/>
      <c r="DE70" s="1422"/>
      <c r="DF70" s="203"/>
      <c r="DG70" s="1548"/>
      <c r="DH70" s="1422"/>
      <c r="DI70" s="2013"/>
      <c r="DJ70" s="1422"/>
      <c r="DK70" s="1557"/>
      <c r="DL70" s="2013"/>
      <c r="DM70" s="1422"/>
      <c r="DN70" s="1548"/>
      <c r="DO70" s="1422"/>
      <c r="DP70" s="1422"/>
      <c r="DQ70" s="1422"/>
      <c r="DR70" s="1557"/>
      <c r="DS70" s="1422"/>
      <c r="DT70" s="1422"/>
      <c r="DU70" s="1548"/>
      <c r="DV70" s="1422"/>
      <c r="DW70" s="1422"/>
      <c r="DX70" s="1422"/>
      <c r="DY70" s="1557"/>
      <c r="DZ70" s="1422"/>
      <c r="EA70" s="1422"/>
      <c r="EB70" s="1548"/>
      <c r="EC70" s="1422"/>
      <c r="ED70" s="1422"/>
      <c r="EE70" s="1422"/>
      <c r="EF70" s="1557"/>
      <c r="EG70" s="1422"/>
      <c r="EH70" s="1422"/>
      <c r="EI70" s="1548"/>
      <c r="EJ70" s="1422"/>
      <c r="EK70" s="1422"/>
      <c r="EL70" s="1422"/>
      <c r="EM70" s="1557"/>
      <c r="EN70" s="1422"/>
      <c r="EO70" s="1422"/>
      <c r="EP70" s="1548"/>
      <c r="EQ70" s="236"/>
      <c r="ER70" s="46"/>
    </row>
    <row r="71" spans="1:148" ht="10.199999999999999" hidden="1" customHeight="1" outlineLevel="1">
      <c r="A71" s="51" t="s">
        <v>386</v>
      </c>
      <c r="B71" s="108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202">
        <v>-856</v>
      </c>
      <c r="N71" s="202"/>
      <c r="O71" s="202"/>
      <c r="P71" s="202"/>
      <c r="Q71" s="1452"/>
      <c r="R71" s="202"/>
      <c r="S71" s="202"/>
      <c r="T71" s="1464">
        <v>-223</v>
      </c>
      <c r="U71" s="202"/>
      <c r="V71" s="202"/>
      <c r="W71" s="202"/>
      <c r="X71" s="1452"/>
      <c r="Y71" s="202"/>
      <c r="Z71" s="202"/>
      <c r="AA71" s="1464">
        <v>-462</v>
      </c>
      <c r="AB71" s="202"/>
      <c r="AC71" s="202"/>
      <c r="AD71" s="202"/>
      <c r="AE71" s="1452"/>
      <c r="AF71" s="202"/>
      <c r="AG71" s="202"/>
      <c r="AH71" s="1464">
        <v>-217</v>
      </c>
      <c r="AI71" s="202"/>
      <c r="AJ71" s="202"/>
      <c r="AK71" s="202"/>
      <c r="AL71" s="1452"/>
      <c r="AM71" s="202"/>
      <c r="AN71" s="202"/>
      <c r="AO71" s="1464">
        <v>-290</v>
      </c>
      <c r="AP71" s="202"/>
      <c r="AQ71" s="202"/>
      <c r="AR71" s="202"/>
      <c r="AS71" s="1452"/>
      <c r="AT71" s="202"/>
      <c r="AU71" s="202"/>
      <c r="AV71" s="1464">
        <v>-458</v>
      </c>
      <c r="AW71" s="202"/>
      <c r="AX71" s="202"/>
      <c r="AY71" s="202"/>
      <c r="AZ71" s="1452"/>
      <c r="BA71" s="202"/>
      <c r="BB71" s="202"/>
      <c r="BC71" s="1464">
        <f>-458</f>
        <v>-458</v>
      </c>
      <c r="BD71" s="202"/>
      <c r="BE71" s="202"/>
      <c r="BF71" s="202"/>
      <c r="BG71" s="1452"/>
      <c r="BH71" s="202"/>
      <c r="BI71" s="202"/>
      <c r="BJ71" s="1464">
        <v>-2519</v>
      </c>
      <c r="BK71" s="202"/>
      <c r="BL71" s="202"/>
      <c r="BM71" s="202"/>
      <c r="BN71" s="1452"/>
      <c r="BO71" s="202"/>
      <c r="BP71" s="202"/>
      <c r="BQ71" s="1464">
        <v>-1752</v>
      </c>
      <c r="BR71" s="202"/>
      <c r="BS71" s="202"/>
      <c r="BT71" s="202"/>
      <c r="BU71" s="1452"/>
      <c r="BV71" s="202"/>
      <c r="BW71" s="202"/>
      <c r="BX71" s="1464">
        <v>-314</v>
      </c>
      <c r="BY71" s="202"/>
      <c r="BZ71" s="202"/>
      <c r="CA71" s="202"/>
      <c r="CB71" s="1452"/>
      <c r="CC71" s="202"/>
      <c r="CD71" s="202"/>
      <c r="CE71" s="1464"/>
      <c r="CF71" s="202"/>
      <c r="CG71" s="202"/>
      <c r="CH71" s="202"/>
      <c r="CI71" s="1452"/>
      <c r="CJ71" s="202"/>
      <c r="CK71" s="202"/>
      <c r="CL71" s="1464"/>
      <c r="CM71" s="202"/>
      <c r="CN71" s="202"/>
      <c r="CO71" s="202"/>
      <c r="CP71" s="1452"/>
      <c r="CQ71" s="202"/>
      <c r="CR71" s="202"/>
      <c r="CS71" s="1464"/>
      <c r="CT71" s="202"/>
      <c r="CU71" s="202"/>
      <c r="CV71" s="202"/>
      <c r="CW71" s="1452"/>
      <c r="CX71" s="202"/>
      <c r="CY71" s="202"/>
      <c r="CZ71" s="1490"/>
      <c r="DA71" s="1391"/>
      <c r="DB71" s="1391"/>
      <c r="DC71" s="1391"/>
      <c r="DD71" s="1452"/>
      <c r="DE71" s="1391"/>
      <c r="DF71" s="202"/>
      <c r="DG71" s="1490"/>
      <c r="DH71" s="1391"/>
      <c r="DI71" s="2016"/>
      <c r="DJ71" s="1391"/>
      <c r="DK71" s="1517"/>
      <c r="DL71" s="2016"/>
      <c r="DM71" s="1391"/>
      <c r="DN71" s="1488"/>
      <c r="DO71" s="1391"/>
      <c r="DP71" s="1391"/>
      <c r="DQ71" s="1391"/>
      <c r="DR71" s="1517"/>
      <c r="DS71" s="1391"/>
      <c r="DT71" s="1391"/>
      <c r="DU71" s="1488"/>
      <c r="DV71" s="1391"/>
      <c r="DW71" s="1391"/>
      <c r="DX71" s="1391"/>
      <c r="DY71" s="1517"/>
      <c r="DZ71" s="1391"/>
      <c r="EA71" s="1391"/>
      <c r="EB71" s="1488"/>
      <c r="EC71" s="1391"/>
      <c r="ED71" s="1391"/>
      <c r="EE71" s="1391"/>
      <c r="EF71" s="1517"/>
      <c r="EG71" s="1391"/>
      <c r="EH71" s="1391"/>
      <c r="EI71" s="1488"/>
      <c r="EJ71" s="1391"/>
      <c r="EK71" s="1391"/>
      <c r="EL71" s="1391"/>
      <c r="EM71" s="1517"/>
      <c r="EN71" s="1391"/>
      <c r="EO71" s="1391"/>
      <c r="EP71" s="1488"/>
      <c r="EQ71" s="236"/>
      <c r="ER71" s="46"/>
    </row>
    <row r="72" spans="1:148" ht="10.199999999999999" hidden="1" customHeight="1" outlineLevel="1">
      <c r="A72" s="51" t="s">
        <v>634</v>
      </c>
      <c r="B72" s="108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202"/>
      <c r="N72" s="202"/>
      <c r="O72" s="202"/>
      <c r="P72" s="202"/>
      <c r="Q72" s="1452"/>
      <c r="R72" s="202"/>
      <c r="S72" s="202"/>
      <c r="T72" s="1464"/>
      <c r="U72" s="202"/>
      <c r="V72" s="202"/>
      <c r="W72" s="202"/>
      <c r="X72" s="1452"/>
      <c r="Y72" s="202"/>
      <c r="Z72" s="202"/>
      <c r="AA72" s="1464"/>
      <c r="AB72" s="202"/>
      <c r="AC72" s="202"/>
      <c r="AD72" s="202"/>
      <c r="AE72" s="1452"/>
      <c r="AF72" s="202"/>
      <c r="AG72" s="202"/>
      <c r="AH72" s="1464"/>
      <c r="AI72" s="202"/>
      <c r="AJ72" s="202"/>
      <c r="AK72" s="202"/>
      <c r="AL72" s="1452"/>
      <c r="AM72" s="202"/>
      <c r="AN72" s="202"/>
      <c r="AO72" s="1464"/>
      <c r="AP72" s="202"/>
      <c r="AQ72" s="202"/>
      <c r="AR72" s="202"/>
      <c r="AS72" s="1452"/>
      <c r="AT72" s="202"/>
      <c r="AU72" s="202"/>
      <c r="AV72" s="1464"/>
      <c r="AW72" s="202"/>
      <c r="AX72" s="202"/>
      <c r="AY72" s="202"/>
      <c r="AZ72" s="1452"/>
      <c r="BA72" s="202"/>
      <c r="BB72" s="202"/>
      <c r="BC72" s="1464"/>
      <c r="BD72" s="202"/>
      <c r="BE72" s="202"/>
      <c r="BF72" s="202"/>
      <c r="BG72" s="1452"/>
      <c r="BH72" s="202"/>
      <c r="BI72" s="202"/>
      <c r="BJ72" s="1464"/>
      <c r="BK72" s="202"/>
      <c r="BL72" s="202"/>
      <c r="BM72" s="202"/>
      <c r="BN72" s="1452"/>
      <c r="BO72" s="202"/>
      <c r="BP72" s="202"/>
      <c r="BQ72" s="1464"/>
      <c r="BR72" s="202"/>
      <c r="BS72" s="202"/>
      <c r="BT72" s="202"/>
      <c r="BU72" s="1452"/>
      <c r="BV72" s="202"/>
      <c r="BW72" s="202"/>
      <c r="BX72" s="1464"/>
      <c r="BY72" s="202"/>
      <c r="BZ72" s="202"/>
      <c r="CA72" s="202"/>
      <c r="CB72" s="1452"/>
      <c r="CC72" s="202"/>
      <c r="CD72" s="202"/>
      <c r="CE72" s="1464"/>
      <c r="CF72" s="202"/>
      <c r="CG72" s="202"/>
      <c r="CH72" s="202"/>
      <c r="CI72" s="1452"/>
      <c r="CJ72" s="202"/>
      <c r="CK72" s="202"/>
      <c r="CL72" s="1464"/>
      <c r="CM72" s="202"/>
      <c r="CN72" s="202"/>
      <c r="CO72" s="202"/>
      <c r="CP72" s="1452"/>
      <c r="CQ72" s="202"/>
      <c r="CR72" s="202"/>
      <c r="CS72" s="1464"/>
      <c r="CT72" s="202"/>
      <c r="CU72" s="202"/>
      <c r="CV72" s="202"/>
      <c r="CW72" s="1452"/>
      <c r="CX72" s="202"/>
      <c r="CY72" s="202"/>
      <c r="CZ72" s="1551"/>
      <c r="DA72" s="859"/>
      <c r="DB72" s="859"/>
      <c r="DC72" s="859"/>
      <c r="DD72" s="1452"/>
      <c r="DE72" s="859"/>
      <c r="DF72" s="202"/>
      <c r="DG72" s="1551"/>
      <c r="DH72" s="859"/>
      <c r="DI72" s="2016"/>
      <c r="DJ72" s="859"/>
      <c r="DK72" s="1559"/>
      <c r="DL72" s="2016"/>
      <c r="DM72" s="859"/>
      <c r="DN72" s="1551"/>
      <c r="DO72" s="859"/>
      <c r="DP72" s="859"/>
      <c r="DQ72" s="859"/>
      <c r="DR72" s="1559"/>
      <c r="DS72" s="859"/>
      <c r="DT72" s="859"/>
      <c r="DU72" s="1551"/>
      <c r="DV72" s="859"/>
      <c r="DW72" s="859"/>
      <c r="DX72" s="859"/>
      <c r="DY72" s="1559"/>
      <c r="DZ72" s="859"/>
      <c r="EA72" s="859"/>
      <c r="EB72" s="1551"/>
      <c r="EC72" s="859"/>
      <c r="ED72" s="859"/>
      <c r="EE72" s="859"/>
      <c r="EF72" s="1559"/>
      <c r="EG72" s="859"/>
      <c r="EH72" s="859"/>
      <c r="EI72" s="1551"/>
      <c r="EJ72" s="859"/>
      <c r="EK72" s="859"/>
      <c r="EL72" s="859"/>
      <c r="EM72" s="1559"/>
      <c r="EN72" s="859"/>
      <c r="EO72" s="859"/>
      <c r="EP72" s="1551"/>
      <c r="EQ72" s="236"/>
      <c r="ER72" s="46"/>
    </row>
    <row r="73" spans="1:148" ht="10.199999999999999" hidden="1" customHeight="1" outlineLevel="1">
      <c r="A73" s="51" t="s">
        <v>140</v>
      </c>
      <c r="B73" s="108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202">
        <f t="shared" ref="M73:BQ73" si="973">M68-M71-M74</f>
        <v>121</v>
      </c>
      <c r="N73" s="202"/>
      <c r="O73" s="202"/>
      <c r="P73" s="202"/>
      <c r="Q73" s="1452"/>
      <c r="R73" s="202"/>
      <c r="S73" s="202"/>
      <c r="T73" s="1464">
        <f t="shared" si="973"/>
        <v>146</v>
      </c>
      <c r="U73" s="202"/>
      <c r="V73" s="202"/>
      <c r="W73" s="202"/>
      <c r="X73" s="1452"/>
      <c r="Y73" s="202"/>
      <c r="Z73" s="202"/>
      <c r="AA73" s="1464">
        <f t="shared" si="973"/>
        <v>-260</v>
      </c>
      <c r="AB73" s="202"/>
      <c r="AC73" s="202"/>
      <c r="AD73" s="202"/>
      <c r="AE73" s="1452"/>
      <c r="AF73" s="202"/>
      <c r="AG73" s="202"/>
      <c r="AH73" s="1464">
        <f t="shared" si="973"/>
        <v>-170</v>
      </c>
      <c r="AI73" s="202"/>
      <c r="AJ73" s="202"/>
      <c r="AK73" s="202"/>
      <c r="AL73" s="1452"/>
      <c r="AM73" s="202"/>
      <c r="AN73" s="202"/>
      <c r="AO73" s="1464">
        <f t="shared" si="973"/>
        <v>707</v>
      </c>
      <c r="AP73" s="202"/>
      <c r="AQ73" s="202"/>
      <c r="AR73" s="202"/>
      <c r="AS73" s="1452"/>
      <c r="AT73" s="202"/>
      <c r="AU73" s="202"/>
      <c r="AV73" s="1464">
        <f t="shared" si="973"/>
        <v>-110</v>
      </c>
      <c r="AW73" s="202"/>
      <c r="AX73" s="202"/>
      <c r="AY73" s="202"/>
      <c r="AZ73" s="1452"/>
      <c r="BA73" s="202"/>
      <c r="BB73" s="202"/>
      <c r="BC73" s="1464">
        <f t="shared" si="973"/>
        <v>-110</v>
      </c>
      <c r="BD73" s="202"/>
      <c r="BE73" s="202"/>
      <c r="BF73" s="202"/>
      <c r="BG73" s="1452"/>
      <c r="BH73" s="202"/>
      <c r="BI73" s="202"/>
      <c r="BJ73" s="1464">
        <f t="shared" si="973"/>
        <v>-35</v>
      </c>
      <c r="BK73" s="202"/>
      <c r="BL73" s="202"/>
      <c r="BM73" s="202"/>
      <c r="BN73" s="1452"/>
      <c r="BO73" s="202"/>
      <c r="BP73" s="202"/>
      <c r="BQ73" s="1464">
        <f t="shared" si="973"/>
        <v>-80</v>
      </c>
      <c r="BR73" s="202"/>
      <c r="BS73" s="202"/>
      <c r="BT73" s="202"/>
      <c r="BU73" s="1452"/>
      <c r="BV73" s="202"/>
      <c r="BW73" s="202"/>
      <c r="BX73" s="1464">
        <v>166</v>
      </c>
      <c r="BY73" s="202"/>
      <c r="BZ73" s="202"/>
      <c r="CA73" s="202"/>
      <c r="CB73" s="1452"/>
      <c r="CC73" s="202"/>
      <c r="CD73" s="202"/>
      <c r="CE73" s="1464"/>
      <c r="CF73" s="202"/>
      <c r="CG73" s="202"/>
      <c r="CH73" s="202"/>
      <c r="CI73" s="1452"/>
      <c r="CJ73" s="202"/>
      <c r="CK73" s="202"/>
      <c r="CL73" s="1464"/>
      <c r="CM73" s="202"/>
      <c r="CN73" s="202"/>
      <c r="CO73" s="202"/>
      <c r="CP73" s="1452"/>
      <c r="CQ73" s="202"/>
      <c r="CR73" s="202"/>
      <c r="CS73" s="1464"/>
      <c r="CT73" s="202"/>
      <c r="CU73" s="202"/>
      <c r="CV73" s="202"/>
      <c r="CW73" s="1452"/>
      <c r="CX73" s="202"/>
      <c r="CY73" s="202"/>
      <c r="CZ73" s="1484"/>
      <c r="DA73" s="853"/>
      <c r="DB73" s="853"/>
      <c r="DC73" s="853"/>
      <c r="DD73" s="1452"/>
      <c r="DE73" s="853"/>
      <c r="DF73" s="202"/>
      <c r="DG73" s="1484"/>
      <c r="DH73" s="853"/>
      <c r="DI73" s="1892"/>
      <c r="DJ73" s="853"/>
      <c r="DK73" s="1514"/>
      <c r="DL73" s="1892"/>
      <c r="DM73" s="853"/>
      <c r="DN73" s="1484"/>
      <c r="DO73" s="853"/>
      <c r="DP73" s="853"/>
      <c r="DQ73" s="853"/>
      <c r="DR73" s="1514"/>
      <c r="DS73" s="853"/>
      <c r="DT73" s="853"/>
      <c r="DU73" s="1484"/>
      <c r="DV73" s="853"/>
      <c r="DW73" s="853"/>
      <c r="DX73" s="853"/>
      <c r="DY73" s="1514"/>
      <c r="DZ73" s="853"/>
      <c r="EA73" s="853"/>
      <c r="EB73" s="1484"/>
      <c r="EC73" s="853"/>
      <c r="ED73" s="853"/>
      <c r="EE73" s="853"/>
      <c r="EF73" s="1514"/>
      <c r="EG73" s="853"/>
      <c r="EH73" s="853"/>
      <c r="EI73" s="1484"/>
      <c r="EJ73" s="853"/>
      <c r="EK73" s="853"/>
      <c r="EL73" s="853"/>
      <c r="EM73" s="1514"/>
      <c r="EN73" s="853"/>
      <c r="EO73" s="853"/>
      <c r="EP73" s="1484"/>
      <c r="EQ73" s="236"/>
      <c r="ER73" s="46"/>
    </row>
    <row r="74" spans="1:148" ht="10.199999999999999" hidden="1" customHeight="1" outlineLevel="1">
      <c r="A74" s="48" t="s">
        <v>872</v>
      </c>
      <c r="B74" s="108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>
        <v>1449</v>
      </c>
      <c r="N74" s="126"/>
      <c r="O74" s="126"/>
      <c r="P74" s="126"/>
      <c r="Q74" s="1276"/>
      <c r="R74" s="126"/>
      <c r="S74" s="126"/>
      <c r="T74" s="1082">
        <v>-818</v>
      </c>
      <c r="U74" s="126"/>
      <c r="V74" s="126"/>
      <c r="W74" s="126"/>
      <c r="X74" s="1276"/>
      <c r="Y74" s="126"/>
      <c r="Z74" s="126"/>
      <c r="AA74" s="1082">
        <v>1109</v>
      </c>
      <c r="AB74" s="126"/>
      <c r="AC74" s="126"/>
      <c r="AD74" s="126"/>
      <c r="AE74" s="1276"/>
      <c r="AF74" s="126"/>
      <c r="AG74" s="126"/>
      <c r="AH74" s="1082">
        <v>1175</v>
      </c>
      <c r="AI74" s="126"/>
      <c r="AJ74" s="126"/>
      <c r="AK74" s="126"/>
      <c r="AL74" s="1276"/>
      <c r="AM74" s="126"/>
      <c r="AN74" s="126"/>
      <c r="AO74" s="1082">
        <v>1156</v>
      </c>
      <c r="AP74" s="126"/>
      <c r="AQ74" s="126"/>
      <c r="AR74" s="126"/>
      <c r="AS74" s="1276"/>
      <c r="AT74" s="126"/>
      <c r="AU74" s="126"/>
      <c r="AV74" s="1082">
        <v>2849</v>
      </c>
      <c r="AW74" s="126"/>
      <c r="AX74" s="126"/>
      <c r="AY74" s="126"/>
      <c r="AZ74" s="1276"/>
      <c r="BA74" s="126"/>
      <c r="BB74" s="126"/>
      <c r="BC74" s="1082">
        <v>2849</v>
      </c>
      <c r="BD74" s="126"/>
      <c r="BE74" s="126"/>
      <c r="BF74" s="126"/>
      <c r="BG74" s="1276"/>
      <c r="BH74" s="126"/>
      <c r="BI74" s="126"/>
      <c r="BJ74" s="1082">
        <v>2991</v>
      </c>
      <c r="BK74" s="126"/>
      <c r="BL74" s="126"/>
      <c r="BM74" s="126"/>
      <c r="BN74" s="1276"/>
      <c r="BO74" s="126"/>
      <c r="BP74" s="126"/>
      <c r="BQ74" s="1082">
        <v>3567</v>
      </c>
      <c r="BR74" s="126"/>
      <c r="BS74" s="126"/>
      <c r="BT74" s="126"/>
      <c r="BU74" s="1276"/>
      <c r="BV74" s="126"/>
      <c r="BW74" s="126"/>
      <c r="BX74" s="1082">
        <f t="shared" ref="BX74" si="974">BX68-BX71-BX72-BX73</f>
        <v>-6811</v>
      </c>
      <c r="BY74" s="126"/>
      <c r="BZ74" s="126"/>
      <c r="CA74" s="126"/>
      <c r="CB74" s="1276"/>
      <c r="CC74" s="126"/>
      <c r="CD74" s="126"/>
      <c r="CE74" s="1082">
        <f>CE68+CE70</f>
        <v>3543</v>
      </c>
      <c r="CF74" s="126"/>
      <c r="CG74" s="126"/>
      <c r="CH74" s="126"/>
      <c r="CI74" s="1276"/>
      <c r="CJ74" s="126"/>
      <c r="CK74" s="126"/>
      <c r="CL74" s="1082">
        <f>CL68+CL70</f>
        <v>4534</v>
      </c>
      <c r="CM74" s="126"/>
      <c r="CN74" s="126"/>
      <c r="CO74" s="126"/>
      <c r="CP74" s="1276"/>
      <c r="CQ74" s="126"/>
      <c r="CR74" s="126"/>
      <c r="CS74" s="1082">
        <f>CS68+CS70</f>
        <v>3951</v>
      </c>
      <c r="CT74" s="126"/>
      <c r="CU74" s="126"/>
      <c r="CV74" s="126"/>
      <c r="CW74" s="1276"/>
      <c r="CX74" s="126"/>
      <c r="CY74" s="126"/>
      <c r="CZ74" s="1486"/>
      <c r="DA74" s="884"/>
      <c r="DB74" s="884"/>
      <c r="DC74" s="884"/>
      <c r="DD74" s="1276"/>
      <c r="DE74" s="884"/>
      <c r="DF74" s="126"/>
      <c r="DG74" s="1486"/>
      <c r="DH74" s="884"/>
      <c r="DI74" s="2012"/>
      <c r="DJ74" s="884"/>
      <c r="DK74" s="1515"/>
      <c r="DL74" s="2012"/>
      <c r="DM74" s="884"/>
      <c r="DN74" s="1486"/>
      <c r="DO74" s="884"/>
      <c r="DP74" s="884"/>
      <c r="DQ74" s="884"/>
      <c r="DR74" s="1515"/>
      <c r="DS74" s="884"/>
      <c r="DT74" s="884"/>
      <c r="DU74" s="1486"/>
      <c r="DV74" s="884"/>
      <c r="DW74" s="884"/>
      <c r="DX74" s="884"/>
      <c r="DY74" s="1515"/>
      <c r="DZ74" s="884"/>
      <c r="EA74" s="884"/>
      <c r="EB74" s="1486"/>
      <c r="EC74" s="884"/>
      <c r="ED74" s="884"/>
      <c r="EE74" s="884"/>
      <c r="EF74" s="1515"/>
      <c r="EG74" s="884"/>
      <c r="EH74" s="884"/>
      <c r="EI74" s="1486"/>
      <c r="EJ74" s="884"/>
      <c r="EK74" s="884"/>
      <c r="EL74" s="884"/>
      <c r="EM74" s="1515"/>
      <c r="EN74" s="884"/>
      <c r="EO74" s="884"/>
      <c r="EP74" s="1486"/>
      <c r="EQ74" s="303"/>
      <c r="ER74" s="46"/>
    </row>
    <row r="75" spans="1:148" ht="10.199999999999999" hidden="1" customHeight="1" outlineLevel="1">
      <c r="A75" s="108" t="s">
        <v>585</v>
      </c>
      <c r="B75" s="108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76"/>
      <c r="R75" s="126"/>
      <c r="S75" s="126"/>
      <c r="T75" s="1082"/>
      <c r="U75" s="126"/>
      <c r="V75" s="126"/>
      <c r="W75" s="126"/>
      <c r="X75" s="1276"/>
      <c r="Y75" s="126"/>
      <c r="Z75" s="126"/>
      <c r="AA75" s="1082"/>
      <c r="AB75" s="126"/>
      <c r="AC75" s="126"/>
      <c r="AD75" s="126"/>
      <c r="AE75" s="1276"/>
      <c r="AF75" s="126"/>
      <c r="AG75" s="126"/>
      <c r="AH75" s="1082"/>
      <c r="AI75" s="126"/>
      <c r="AJ75" s="126"/>
      <c r="AK75" s="126"/>
      <c r="AL75" s="1276"/>
      <c r="AM75" s="126"/>
      <c r="AN75" s="126"/>
      <c r="AO75" s="1082">
        <f>AO74-AO76</f>
        <v>-252</v>
      </c>
      <c r="AP75" s="126"/>
      <c r="AQ75" s="126"/>
      <c r="AR75" s="126"/>
      <c r="AS75" s="1276"/>
      <c r="AT75" s="126"/>
      <c r="AU75" s="126"/>
      <c r="AV75" s="1082">
        <f>AV74-AV76</f>
        <v>-100</v>
      </c>
      <c r="AW75" s="126"/>
      <c r="AX75" s="126"/>
      <c r="AY75" s="126"/>
      <c r="AZ75" s="1276"/>
      <c r="BA75" s="126"/>
      <c r="BB75" s="126"/>
      <c r="BC75" s="1082">
        <f>BC74-BC76</f>
        <v>-100</v>
      </c>
      <c r="BD75" s="126"/>
      <c r="BE75" s="126"/>
      <c r="BF75" s="126"/>
      <c r="BG75" s="1276"/>
      <c r="BH75" s="126"/>
      <c r="BI75" s="126"/>
      <c r="BJ75" s="1082">
        <f>BJ74-BJ76</f>
        <v>79</v>
      </c>
      <c r="BK75" s="126"/>
      <c r="BL75" s="126"/>
      <c r="BM75" s="126"/>
      <c r="BN75" s="1276"/>
      <c r="BO75" s="126"/>
      <c r="BP75" s="126"/>
      <c r="BQ75" s="1082">
        <f>BQ74-BQ76</f>
        <v>58</v>
      </c>
      <c r="BR75" s="126"/>
      <c r="BS75" s="126"/>
      <c r="BT75" s="126"/>
      <c r="BU75" s="1276"/>
      <c r="BV75" s="126"/>
      <c r="BW75" s="126"/>
      <c r="BX75" s="1082">
        <v>-124</v>
      </c>
      <c r="BY75" s="126"/>
      <c r="BZ75" s="126"/>
      <c r="CA75" s="126"/>
      <c r="CB75" s="1276"/>
      <c r="CC75" s="126"/>
      <c r="CD75" s="126"/>
      <c r="CE75" s="1082">
        <v>-28</v>
      </c>
      <c r="CF75" s="126"/>
      <c r="CG75" s="126"/>
      <c r="CH75" s="126"/>
      <c r="CI75" s="1276"/>
      <c r="CJ75" s="126"/>
      <c r="CK75" s="126"/>
      <c r="CL75" s="1082">
        <v>146</v>
      </c>
      <c r="CM75" s="126"/>
      <c r="CN75" s="126"/>
      <c r="CO75" s="126"/>
      <c r="CP75" s="1276"/>
      <c r="CQ75" s="126"/>
      <c r="CR75" s="126"/>
      <c r="CS75" s="1082">
        <v>436</v>
      </c>
      <c r="CT75" s="203"/>
      <c r="CU75" s="203"/>
      <c r="CV75" s="203"/>
      <c r="CW75" s="1448"/>
      <c r="CX75" s="203"/>
      <c r="CY75" s="203"/>
      <c r="CZ75" s="1484"/>
      <c r="DA75" s="853"/>
      <c r="DB75" s="853"/>
      <c r="DC75" s="853"/>
      <c r="DD75" s="1448"/>
      <c r="DE75" s="853"/>
      <c r="DF75" s="203"/>
      <c r="DG75" s="1484"/>
      <c r="DH75" s="853"/>
      <c r="DI75" s="1892"/>
      <c r="DJ75" s="853"/>
      <c r="DK75" s="1514"/>
      <c r="DL75" s="1892"/>
      <c r="DM75" s="853"/>
      <c r="DN75" s="1484"/>
      <c r="DO75" s="853"/>
      <c r="DP75" s="853"/>
      <c r="DQ75" s="853"/>
      <c r="DR75" s="1514"/>
      <c r="DS75" s="853"/>
      <c r="DT75" s="853"/>
      <c r="DU75" s="1484"/>
      <c r="DV75" s="853"/>
      <c r="DW75" s="853"/>
      <c r="DX75" s="853"/>
      <c r="DY75" s="1514"/>
      <c r="DZ75" s="853"/>
      <c r="EA75" s="853"/>
      <c r="EB75" s="1484"/>
      <c r="EC75" s="853"/>
      <c r="ED75" s="853"/>
      <c r="EE75" s="853"/>
      <c r="EF75" s="1514"/>
      <c r="EG75" s="853"/>
      <c r="EH75" s="853"/>
      <c r="EI75" s="1484"/>
      <c r="EJ75" s="853"/>
      <c r="EK75" s="853"/>
      <c r="EL75" s="853"/>
      <c r="EM75" s="1514"/>
      <c r="EN75" s="853"/>
      <c r="EO75" s="853"/>
      <c r="EP75" s="1484"/>
      <c r="EQ75" s="303"/>
      <c r="ER75" s="46"/>
    </row>
    <row r="76" spans="1:148" ht="10.199999999999999" hidden="1" customHeight="1" outlineLevel="1">
      <c r="A76" s="2" t="s">
        <v>874</v>
      </c>
      <c r="B76" s="2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1100"/>
      <c r="R76" s="852"/>
      <c r="S76" s="852"/>
      <c r="T76" s="1274"/>
      <c r="U76" s="852"/>
      <c r="V76" s="852"/>
      <c r="W76" s="852"/>
      <c r="X76" s="1100"/>
      <c r="Y76" s="852"/>
      <c r="Z76" s="852"/>
      <c r="AA76" s="1274"/>
      <c r="AB76" s="852"/>
      <c r="AC76" s="852"/>
      <c r="AD76" s="852"/>
      <c r="AE76" s="1100"/>
      <c r="AF76" s="852"/>
      <c r="AG76" s="852"/>
      <c r="AH76" s="1274"/>
      <c r="AI76" s="852"/>
      <c r="AJ76" s="852"/>
      <c r="AK76" s="852"/>
      <c r="AL76" s="1100"/>
      <c r="AM76" s="852"/>
      <c r="AN76" s="852"/>
      <c r="AO76" s="1274">
        <v>1408</v>
      </c>
      <c r="AP76" s="852"/>
      <c r="AQ76" s="852"/>
      <c r="AR76" s="852"/>
      <c r="AS76" s="1100"/>
      <c r="AT76" s="852"/>
      <c r="AU76" s="852"/>
      <c r="AV76" s="1274">
        <v>2949</v>
      </c>
      <c r="AW76" s="852"/>
      <c r="AX76" s="852"/>
      <c r="AY76" s="852"/>
      <c r="AZ76" s="1100"/>
      <c r="BA76" s="852"/>
      <c r="BB76" s="852"/>
      <c r="BC76" s="1274">
        <v>2949</v>
      </c>
      <c r="BD76" s="852"/>
      <c r="BE76" s="852"/>
      <c r="BF76" s="852"/>
      <c r="BG76" s="1100"/>
      <c r="BH76" s="852"/>
      <c r="BI76" s="852"/>
      <c r="BJ76" s="1274">
        <v>2912</v>
      </c>
      <c r="BK76" s="852"/>
      <c r="BL76" s="852"/>
      <c r="BM76" s="852"/>
      <c r="BN76" s="1100"/>
      <c r="BO76" s="852"/>
      <c r="BP76" s="852"/>
      <c r="BQ76" s="1274">
        <v>3509</v>
      </c>
      <c r="BR76" s="852"/>
      <c r="BS76" s="852"/>
      <c r="BT76" s="852"/>
      <c r="BU76" s="1100"/>
      <c r="BV76" s="852"/>
      <c r="BW76" s="852"/>
      <c r="BX76" s="1274">
        <f>BX74+BX75</f>
        <v>-6935</v>
      </c>
      <c r="BY76" s="852"/>
      <c r="BZ76" s="852"/>
      <c r="CA76" s="852"/>
      <c r="CB76" s="1100"/>
      <c r="CC76" s="852"/>
      <c r="CD76" s="852"/>
      <c r="CE76" s="1274">
        <f>CE74+CE75</f>
        <v>3515</v>
      </c>
      <c r="CF76" s="852"/>
      <c r="CG76" s="852"/>
      <c r="CH76" s="852"/>
      <c r="CI76" s="1100"/>
      <c r="CJ76" s="852"/>
      <c r="CK76" s="852"/>
      <c r="CL76" s="1274">
        <f>CL74+CL75</f>
        <v>4680</v>
      </c>
      <c r="CM76" s="852"/>
      <c r="CN76" s="852"/>
      <c r="CO76" s="852"/>
      <c r="CP76" s="1100"/>
      <c r="CQ76" s="852"/>
      <c r="CR76" s="852"/>
      <c r="CS76" s="1274">
        <f>CS74+CS75</f>
        <v>4387</v>
      </c>
      <c r="CT76" s="852"/>
      <c r="CU76" s="852"/>
      <c r="CV76" s="852"/>
      <c r="CW76" s="1100"/>
      <c r="CX76" s="852"/>
      <c r="CY76" s="852"/>
      <c r="CZ76" s="1486"/>
      <c r="DA76" s="884"/>
      <c r="DB76" s="884"/>
      <c r="DC76" s="884"/>
      <c r="DD76" s="1100"/>
      <c r="DE76" s="884"/>
      <c r="DF76" s="852"/>
      <c r="DG76" s="1486"/>
      <c r="DH76" s="884"/>
      <c r="DI76" s="2012"/>
      <c r="DJ76" s="884"/>
      <c r="DK76" s="1515"/>
      <c r="DL76" s="2012"/>
      <c r="DM76" s="884"/>
      <c r="DN76" s="1486"/>
      <c r="DO76" s="884"/>
      <c r="DP76" s="884"/>
      <c r="DQ76" s="884"/>
      <c r="DR76" s="1515"/>
      <c r="DS76" s="884"/>
      <c r="DT76" s="884"/>
      <c r="DU76" s="1486"/>
      <c r="DV76" s="884"/>
      <c r="DW76" s="884"/>
      <c r="DX76" s="884"/>
      <c r="DY76" s="1515"/>
      <c r="DZ76" s="884"/>
      <c r="EA76" s="884"/>
      <c r="EB76" s="1486"/>
      <c r="EC76" s="884"/>
      <c r="ED76" s="884"/>
      <c r="EE76" s="884"/>
      <c r="EF76" s="1515"/>
      <c r="EG76" s="884"/>
      <c r="EH76" s="884"/>
      <c r="EI76" s="1486"/>
      <c r="EJ76" s="884"/>
      <c r="EK76" s="884"/>
      <c r="EL76" s="884"/>
      <c r="EM76" s="1515"/>
      <c r="EN76" s="884"/>
      <c r="EO76" s="884"/>
      <c r="EP76" s="1486"/>
      <c r="EQ76" s="851"/>
      <c r="ER76" s="875"/>
    </row>
    <row r="77" spans="1:148" ht="10.199999999999999" hidden="1" customHeight="1" outlineLevel="1">
      <c r="A77" s="178" t="s">
        <v>875</v>
      </c>
      <c r="B77" s="178"/>
      <c r="C77" s="1426"/>
      <c r="D77" s="1426"/>
      <c r="E77" s="1426"/>
      <c r="F77" s="1426"/>
      <c r="G77" s="1426"/>
      <c r="H77" s="1426"/>
      <c r="I77" s="1426"/>
      <c r="J77" s="1426"/>
      <c r="K77" s="1426"/>
      <c r="L77" s="1426"/>
      <c r="M77" s="1426"/>
      <c r="N77" s="1426"/>
      <c r="O77" s="1426"/>
      <c r="P77" s="1426"/>
      <c r="Q77" s="1537"/>
      <c r="R77" s="1426"/>
      <c r="S77" s="1426"/>
      <c r="T77" s="1541"/>
      <c r="U77" s="1426"/>
      <c r="V77" s="1426"/>
      <c r="W77" s="1426"/>
      <c r="X77" s="1537"/>
      <c r="Y77" s="1426"/>
      <c r="Z77" s="1426"/>
      <c r="AA77" s="1541"/>
      <c r="AB77" s="1426"/>
      <c r="AC77" s="1426"/>
      <c r="AD77" s="1426"/>
      <c r="AE77" s="1537"/>
      <c r="AF77" s="1426"/>
      <c r="AG77" s="1426"/>
      <c r="AH77" s="1541"/>
      <c r="AI77" s="1426"/>
      <c r="AJ77" s="1426"/>
      <c r="AK77" s="1426"/>
      <c r="AL77" s="1537"/>
      <c r="AM77" s="1426"/>
      <c r="AN77" s="1426"/>
      <c r="AO77" s="1541"/>
      <c r="AP77" s="1426"/>
      <c r="AQ77" s="1426"/>
      <c r="AR77" s="1426"/>
      <c r="AS77" s="1537"/>
      <c r="AT77" s="1426"/>
      <c r="AU77" s="1426"/>
      <c r="AV77" s="1541"/>
      <c r="AW77" s="1426"/>
      <c r="AX77" s="1426"/>
      <c r="AY77" s="1426"/>
      <c r="AZ77" s="1537"/>
      <c r="BA77" s="1426"/>
      <c r="BB77" s="1426"/>
      <c r="BC77" s="1541"/>
      <c r="BD77" s="1426"/>
      <c r="BE77" s="1426"/>
      <c r="BF77" s="1426"/>
      <c r="BG77" s="1537"/>
      <c r="BH77" s="1426"/>
      <c r="BI77" s="1426"/>
      <c r="BJ77" s="1541"/>
      <c r="BK77" s="1426"/>
      <c r="BL77" s="1426"/>
      <c r="BM77" s="1426"/>
      <c r="BN77" s="1537"/>
      <c r="BO77" s="1426"/>
      <c r="BP77" s="1426"/>
      <c r="BQ77" s="1541"/>
      <c r="BR77" s="1426"/>
      <c r="BS77" s="1426"/>
      <c r="BT77" s="1426"/>
      <c r="BU77" s="1537"/>
      <c r="BV77" s="1426"/>
      <c r="BW77" s="1426"/>
      <c r="BX77" s="1541"/>
      <c r="BY77" s="1426"/>
      <c r="BZ77" s="1426"/>
      <c r="CA77" s="1426"/>
      <c r="CB77" s="1537"/>
      <c r="CC77" s="1426"/>
      <c r="CD77" s="1426"/>
      <c r="CE77" s="1541"/>
      <c r="CF77" s="1426"/>
      <c r="CG77" s="1426"/>
      <c r="CH77" s="1426"/>
      <c r="CI77" s="1537"/>
      <c r="CJ77" s="1426"/>
      <c r="CK77" s="1426"/>
      <c r="CL77" s="1541">
        <f>CL69+CL75</f>
        <v>4816</v>
      </c>
      <c r="CM77" s="1426"/>
      <c r="CN77" s="1426"/>
      <c r="CO77" s="1426"/>
      <c r="CP77" s="1537"/>
      <c r="CQ77" s="1426"/>
      <c r="CR77" s="1426"/>
      <c r="CS77" s="1541">
        <f>CS69+CS75</f>
        <v>4533</v>
      </c>
      <c r="CT77" s="1426"/>
      <c r="CU77" s="1426"/>
      <c r="CV77" s="1426"/>
      <c r="CW77" s="1537"/>
      <c r="CX77" s="1426"/>
      <c r="CY77" s="1426"/>
      <c r="CZ77" s="1550"/>
      <c r="DA77" s="1427"/>
      <c r="DB77" s="1427"/>
      <c r="DC77" s="1427"/>
      <c r="DD77" s="1537"/>
      <c r="DE77" s="1427"/>
      <c r="DF77" s="1426"/>
      <c r="DG77" s="1550"/>
      <c r="DH77" s="1427"/>
      <c r="DI77" s="2014"/>
      <c r="DJ77" s="1427"/>
      <c r="DK77" s="1558"/>
      <c r="DL77" s="2014"/>
      <c r="DM77" s="1427"/>
      <c r="DN77" s="1550"/>
      <c r="DO77" s="1427"/>
      <c r="DP77" s="1427"/>
      <c r="DQ77" s="1427"/>
      <c r="DR77" s="1558"/>
      <c r="DS77" s="1427"/>
      <c r="DT77" s="1427"/>
      <c r="DU77" s="1550"/>
      <c r="DV77" s="1427"/>
      <c r="DW77" s="1427"/>
      <c r="DX77" s="1427"/>
      <c r="DY77" s="1558"/>
      <c r="DZ77" s="1427"/>
      <c r="EA77" s="1427"/>
      <c r="EB77" s="1550"/>
      <c r="EC77" s="1427"/>
      <c r="ED77" s="1427"/>
      <c r="EE77" s="1427"/>
      <c r="EF77" s="1558"/>
      <c r="EG77" s="1427"/>
      <c r="EH77" s="1427"/>
      <c r="EI77" s="1550"/>
      <c r="EJ77" s="1427"/>
      <c r="EK77" s="1427"/>
      <c r="EL77" s="1427"/>
      <c r="EM77" s="1558"/>
      <c r="EN77" s="1427"/>
      <c r="EO77" s="1427"/>
      <c r="EP77" s="1550"/>
      <c r="EQ77" s="851"/>
      <c r="ER77" s="875"/>
    </row>
    <row r="78" spans="1:148" ht="10.199999999999999" hidden="1" customHeight="1" outlineLevel="1">
      <c r="A78" s="51" t="s">
        <v>682</v>
      </c>
      <c r="B78" s="51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1452"/>
      <c r="R78" s="202"/>
      <c r="S78" s="202"/>
      <c r="T78" s="1464"/>
      <c r="U78" s="202"/>
      <c r="V78" s="202"/>
      <c r="W78" s="202"/>
      <c r="X78" s="1452"/>
      <c r="Y78" s="202"/>
      <c r="Z78" s="202"/>
      <c r="AA78" s="1464"/>
      <c r="AB78" s="202"/>
      <c r="AC78" s="202"/>
      <c r="AD78" s="202"/>
      <c r="AE78" s="1452"/>
      <c r="AF78" s="202"/>
      <c r="AG78" s="202"/>
      <c r="AH78" s="1464"/>
      <c r="AI78" s="202"/>
      <c r="AJ78" s="202"/>
      <c r="AK78" s="202"/>
      <c r="AL78" s="1452"/>
      <c r="AM78" s="202"/>
      <c r="AN78" s="202"/>
      <c r="AO78" s="1464">
        <f>+AO76/IS!AO59</f>
        <v>0.54957064793130372</v>
      </c>
      <c r="AP78" s="202"/>
      <c r="AQ78" s="202"/>
      <c r="AR78" s="202"/>
      <c r="AS78" s="1452"/>
      <c r="AT78" s="202"/>
      <c r="AU78" s="202"/>
      <c r="AV78" s="1464">
        <f>+AV76/IS!AV59</f>
        <v>1.0398448519040904</v>
      </c>
      <c r="AW78" s="202"/>
      <c r="AX78" s="202"/>
      <c r="AY78" s="202"/>
      <c r="AZ78" s="1452"/>
      <c r="BA78" s="202"/>
      <c r="BB78" s="202"/>
      <c r="BC78" s="1464">
        <f>+BC76/IS!BC59</f>
        <v>1.4279696102500037</v>
      </c>
      <c r="BD78" s="202"/>
      <c r="BE78" s="202"/>
      <c r="BF78" s="202"/>
      <c r="BG78" s="1452"/>
      <c r="BH78" s="202"/>
      <c r="BI78" s="202"/>
      <c r="BJ78" s="1464">
        <f>+BJ76/IS!BJ59</f>
        <v>0.7199011124845488</v>
      </c>
      <c r="BK78" s="202"/>
      <c r="BL78" s="202"/>
      <c r="BM78" s="202"/>
      <c r="BN78" s="1452"/>
      <c r="BO78" s="202"/>
      <c r="BP78" s="202"/>
      <c r="BQ78" s="1464">
        <f>+BQ76/IS!BQ59</f>
        <v>0.744220572640509</v>
      </c>
      <c r="BR78" s="202"/>
      <c r="BS78" s="202"/>
      <c r="BT78" s="202"/>
      <c r="BU78" s="1452"/>
      <c r="BV78" s="202"/>
      <c r="BW78" s="202"/>
      <c r="BX78" s="1464">
        <f>+BX76/IS!BX59</f>
        <v>-6.4934456928838955</v>
      </c>
      <c r="BY78" s="202"/>
      <c r="BZ78" s="202"/>
      <c r="CA78" s="202"/>
      <c r="CB78" s="1452"/>
      <c r="CC78" s="202"/>
      <c r="CD78" s="202"/>
      <c r="CE78" s="1464">
        <f>+CE76/IS!CE59</f>
        <v>1.0347365322343245</v>
      </c>
      <c r="CF78" s="202"/>
      <c r="CG78" s="202"/>
      <c r="CH78" s="202"/>
      <c r="CI78" s="1452"/>
      <c r="CJ78" s="202"/>
      <c r="CK78" s="202"/>
      <c r="CL78" s="1464">
        <f>+CL76/IS!CL59</f>
        <v>1.1541307028360048</v>
      </c>
      <c r="CM78" s="202"/>
      <c r="CN78" s="202"/>
      <c r="CO78" s="202"/>
      <c r="CP78" s="1452"/>
      <c r="CQ78" s="202"/>
      <c r="CR78" s="202"/>
      <c r="CS78" s="1464">
        <f>+CS76/IS!CS59</f>
        <v>0.993208059769074</v>
      </c>
      <c r="CT78" s="269"/>
      <c r="CU78" s="269"/>
      <c r="CV78" s="269"/>
      <c r="CW78" s="1543"/>
      <c r="CX78" s="269"/>
      <c r="CY78" s="269"/>
      <c r="CZ78" s="1552"/>
      <c r="DA78" s="890"/>
      <c r="DB78" s="890"/>
      <c r="DC78" s="890"/>
      <c r="DD78" s="1543"/>
      <c r="DE78" s="890"/>
      <c r="DF78" s="269"/>
      <c r="DG78" s="1552"/>
      <c r="DH78" s="890"/>
      <c r="DI78" s="2017"/>
      <c r="DJ78" s="890"/>
      <c r="DK78" s="1560"/>
      <c r="DL78" s="2017"/>
      <c r="DM78" s="890"/>
      <c r="DN78" s="1552"/>
      <c r="DO78" s="890"/>
      <c r="DP78" s="890"/>
      <c r="DQ78" s="890"/>
      <c r="DR78" s="1560"/>
      <c r="DS78" s="890"/>
      <c r="DT78" s="890"/>
      <c r="DU78" s="1552"/>
      <c r="DV78" s="890"/>
      <c r="DW78" s="890"/>
      <c r="DX78" s="890"/>
      <c r="DY78" s="1560"/>
      <c r="DZ78" s="890"/>
      <c r="EA78" s="890"/>
      <c r="EB78" s="1552"/>
      <c r="EC78" s="890"/>
      <c r="ED78" s="890"/>
      <c r="EE78" s="890"/>
      <c r="EF78" s="1560"/>
      <c r="EG78" s="890"/>
      <c r="EH78" s="890"/>
      <c r="EI78" s="1552"/>
      <c r="EJ78" s="890"/>
      <c r="EK78" s="890"/>
      <c r="EL78" s="890"/>
      <c r="EM78" s="1560"/>
      <c r="EN78" s="890"/>
      <c r="EO78" s="890"/>
      <c r="EP78" s="1552"/>
      <c r="EQ78" s="905"/>
      <c r="ER78" s="46"/>
    </row>
    <row r="79" spans="1:148" ht="10.199999999999999" customHeight="1" collapsed="1">
      <c r="A79" s="48"/>
      <c r="B79" s="108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76"/>
      <c r="R79" s="126"/>
      <c r="S79" s="126"/>
      <c r="T79" s="1082"/>
      <c r="U79" s="126"/>
      <c r="V79" s="126"/>
      <c r="W79" s="126"/>
      <c r="X79" s="1276"/>
      <c r="Y79" s="126"/>
      <c r="Z79" s="126"/>
      <c r="AA79" s="1082"/>
      <c r="AB79" s="126"/>
      <c r="AC79" s="126"/>
      <c r="AD79" s="126"/>
      <c r="AE79" s="1276"/>
      <c r="AF79" s="126"/>
      <c r="AG79" s="126"/>
      <c r="AH79" s="1082"/>
      <c r="AI79" s="126"/>
      <c r="AJ79" s="126"/>
      <c r="AK79" s="126"/>
      <c r="AL79" s="1276"/>
      <c r="AM79" s="126"/>
      <c r="AN79" s="126"/>
      <c r="AO79" s="1082"/>
      <c r="AP79" s="126"/>
      <c r="AQ79" s="126"/>
      <c r="AR79" s="126"/>
      <c r="AS79" s="1276"/>
      <c r="AT79" s="126"/>
      <c r="AU79" s="126"/>
      <c r="AV79" s="1082"/>
      <c r="AW79" s="126"/>
      <c r="AX79" s="126"/>
      <c r="AY79" s="126"/>
      <c r="AZ79" s="1276"/>
      <c r="BA79" s="126"/>
      <c r="BB79" s="126"/>
      <c r="BC79" s="1082"/>
      <c r="BD79" s="126"/>
      <c r="BE79" s="126"/>
      <c r="BF79" s="126"/>
      <c r="BG79" s="1276"/>
      <c r="BH79" s="126"/>
      <c r="BI79" s="126"/>
      <c r="BJ79" s="1082"/>
      <c r="BK79" s="126"/>
      <c r="BL79" s="126"/>
      <c r="BM79" s="126"/>
      <c r="BN79" s="1276"/>
      <c r="BO79" s="126"/>
      <c r="BP79" s="126"/>
      <c r="BQ79" s="1082"/>
      <c r="BR79" s="126"/>
      <c r="BS79" s="126"/>
      <c r="BT79" s="126"/>
      <c r="BU79" s="1276"/>
      <c r="BV79" s="126"/>
      <c r="BW79" s="126"/>
      <c r="BX79" s="1082"/>
      <c r="BY79" s="126"/>
      <c r="BZ79" s="126"/>
      <c r="CA79" s="126"/>
      <c r="CB79" s="1276"/>
      <c r="CC79" s="126"/>
      <c r="CD79" s="126"/>
      <c r="CE79" s="1082"/>
      <c r="CF79" s="126"/>
      <c r="CG79" s="126"/>
      <c r="CH79" s="126"/>
      <c r="CI79" s="1276"/>
      <c r="CJ79" s="126"/>
      <c r="CK79" s="126"/>
      <c r="CL79" s="1082"/>
      <c r="CM79" s="126"/>
      <c r="CN79" s="126"/>
      <c r="CO79" s="126"/>
      <c r="CP79" s="1276"/>
      <c r="CQ79" s="126"/>
      <c r="CR79" s="126"/>
      <c r="CS79" s="1082"/>
      <c r="CT79" s="126"/>
      <c r="CU79" s="126"/>
      <c r="CV79" s="126"/>
      <c r="CW79" s="1276"/>
      <c r="CX79" s="126"/>
      <c r="CY79" s="126"/>
      <c r="CZ79" s="1274"/>
      <c r="DA79" s="852"/>
      <c r="DB79" s="852"/>
      <c r="DC79" s="852"/>
      <c r="DD79" s="1276"/>
      <c r="DE79" s="852"/>
      <c r="DF79" s="126"/>
      <c r="DG79" s="1274"/>
      <c r="DH79" s="852"/>
      <c r="DI79" s="2012"/>
      <c r="DJ79" s="852"/>
      <c r="DK79" s="1100"/>
      <c r="DL79" s="2012"/>
      <c r="DM79" s="852"/>
      <c r="DN79" s="1274"/>
      <c r="DO79" s="852"/>
      <c r="DP79" s="852"/>
      <c r="DQ79" s="852"/>
      <c r="DR79" s="1100"/>
      <c r="DS79" s="852"/>
      <c r="DT79" s="852"/>
      <c r="DU79" s="1274"/>
      <c r="DV79" s="852"/>
      <c r="DW79" s="852"/>
      <c r="DX79" s="852"/>
      <c r="DY79" s="1100"/>
      <c r="DZ79" s="852"/>
      <c r="EA79" s="852"/>
      <c r="EB79" s="1274"/>
      <c r="EC79" s="852"/>
      <c r="ED79" s="852"/>
      <c r="EE79" s="852"/>
      <c r="EF79" s="1100"/>
      <c r="EG79" s="852"/>
      <c r="EH79" s="852"/>
      <c r="EI79" s="1274"/>
      <c r="EJ79" s="852"/>
      <c r="EK79" s="852"/>
      <c r="EL79" s="852"/>
      <c r="EM79" s="1100"/>
      <c r="EN79" s="852"/>
      <c r="EO79" s="852"/>
      <c r="EP79" s="1274"/>
      <c r="EQ79" s="303"/>
      <c r="ER79" s="46"/>
    </row>
    <row r="80" spans="1:148" ht="10.199999999999999" customHeight="1">
      <c r="A80" s="108" t="s">
        <v>387</v>
      </c>
      <c r="B80" s="108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>
        <f>BS!M7</f>
        <v>8756</v>
      </c>
      <c r="N80" s="203"/>
      <c r="O80" s="203"/>
      <c r="P80" s="203"/>
      <c r="Q80" s="1448"/>
      <c r="R80" s="203"/>
      <c r="S80" s="203"/>
      <c r="T80" s="1461">
        <f>BS!T7</f>
        <v>7201</v>
      </c>
      <c r="U80" s="203">
        <f>BS!U7</f>
        <v>5864</v>
      </c>
      <c r="V80" s="203">
        <f>BS!V7</f>
        <v>6145</v>
      </c>
      <c r="W80" s="203">
        <f>BS!W7</f>
        <v>5156</v>
      </c>
      <c r="X80" s="1448">
        <f>Z80</f>
        <v>7271</v>
      </c>
      <c r="Y80" s="203">
        <f>BS!Y7</f>
        <v>6145</v>
      </c>
      <c r="Z80" s="203">
        <f>AA80</f>
        <v>7271</v>
      </c>
      <c r="AA80" s="1461">
        <v>7271</v>
      </c>
      <c r="AB80" s="203">
        <f>BS!AB7</f>
        <v>7439</v>
      </c>
      <c r="AC80" s="203">
        <f>BS!AC7-41</f>
        <v>5572</v>
      </c>
      <c r="AD80" s="203">
        <f>BS!AD7-40</f>
        <v>5810</v>
      </c>
      <c r="AE80" s="1448">
        <f>AG80</f>
        <v>7489</v>
      </c>
      <c r="AF80" s="203">
        <f>BS!AF7-41</f>
        <v>5572</v>
      </c>
      <c r="AG80" s="203">
        <f>AH80</f>
        <v>7489</v>
      </c>
      <c r="AH80" s="1461">
        <v>7489</v>
      </c>
      <c r="AI80" s="203">
        <f>BS!AI7-83</f>
        <v>6711</v>
      </c>
      <c r="AJ80" s="203">
        <f>BS!AJ7-21</f>
        <v>7965</v>
      </c>
      <c r="AK80" s="203">
        <f>BS!AK7-21</f>
        <v>5694</v>
      </c>
      <c r="AL80" s="1448">
        <f>BS!AL7</f>
        <v>10143</v>
      </c>
      <c r="AM80" s="203">
        <f>BS!AM7-21</f>
        <v>7965</v>
      </c>
      <c r="AN80" s="203">
        <f>BS!AN7</f>
        <v>10143</v>
      </c>
      <c r="AO80" s="1461">
        <f>BS!AO7</f>
        <v>10143</v>
      </c>
      <c r="AP80" s="203">
        <f>BS!AP7</f>
        <v>9186</v>
      </c>
      <c r="AQ80" s="203">
        <f>BS!AQ7</f>
        <v>7887</v>
      </c>
      <c r="AR80" s="203">
        <f>BS!AR7</f>
        <v>6592</v>
      </c>
      <c r="AS80" s="1448">
        <f>BS!AS7</f>
        <v>12016</v>
      </c>
      <c r="AT80" s="203">
        <f>BS!AT7</f>
        <v>7887</v>
      </c>
      <c r="AU80" s="203">
        <f>BS!AU7</f>
        <v>12016</v>
      </c>
      <c r="AV80" s="1461">
        <f>BS!AV7</f>
        <v>12016</v>
      </c>
      <c r="AW80" s="203"/>
      <c r="AX80" s="203"/>
      <c r="AY80" s="203"/>
      <c r="AZ80" s="1448"/>
      <c r="BA80" s="203"/>
      <c r="BB80" s="203"/>
      <c r="BC80" s="1461">
        <f>BS!BC7</f>
        <v>12016</v>
      </c>
      <c r="BD80" s="203">
        <f>BS!BD7</f>
        <v>8354</v>
      </c>
      <c r="BE80" s="203">
        <f>BS!BE7</f>
        <v>5138</v>
      </c>
      <c r="BF80" s="203">
        <f>BS!BF7</f>
        <v>5603</v>
      </c>
      <c r="BG80" s="1448">
        <f>BS!BG7</f>
        <v>9413</v>
      </c>
      <c r="BH80" s="203">
        <f>BS!BH7</f>
        <v>5138</v>
      </c>
      <c r="BI80" s="203">
        <f>BS!BI7</f>
        <v>9413</v>
      </c>
      <c r="BJ80" s="1461">
        <f>BS!BJ7</f>
        <v>9413</v>
      </c>
      <c r="BK80" s="203">
        <f>BS!BK7</f>
        <v>5987</v>
      </c>
      <c r="BL80" s="203">
        <f>BS!BL7</f>
        <v>5218</v>
      </c>
      <c r="BM80" s="203">
        <f>BS!BM7</f>
        <v>4613</v>
      </c>
      <c r="BN80" s="1448">
        <f>BS!BN7</f>
        <v>9314</v>
      </c>
      <c r="BO80" s="203">
        <f>BS!BO7</f>
        <v>5218</v>
      </c>
      <c r="BP80" s="203">
        <f>BS!BP7</f>
        <v>9314</v>
      </c>
      <c r="BQ80" s="1461">
        <f>BS!BQ7</f>
        <v>9314</v>
      </c>
      <c r="BR80" s="203">
        <f>BS!BR7</f>
        <v>6348</v>
      </c>
      <c r="BS80" s="203">
        <f>BS!BS7</f>
        <v>9924</v>
      </c>
      <c r="BT80" s="203">
        <f>BS!BT7</f>
        <v>10927</v>
      </c>
      <c r="BU80" s="1448">
        <f>BS!BU7</f>
        <v>14439</v>
      </c>
      <c r="BV80" s="203">
        <f>BS!BV7</f>
        <v>9924</v>
      </c>
      <c r="BW80" s="203">
        <f>BS!BW7</f>
        <v>14439</v>
      </c>
      <c r="BX80" s="1461">
        <f>BS!BX7</f>
        <v>14439</v>
      </c>
      <c r="BY80" s="203">
        <f>BS!BY7</f>
        <v>15973</v>
      </c>
      <c r="BZ80" s="203">
        <f>BS!BZ7</f>
        <v>14661</v>
      </c>
      <c r="CA80" s="203">
        <f>BS!CA7</f>
        <v>14854</v>
      </c>
      <c r="CB80" s="1448">
        <f>BS!CB7</f>
        <v>14572</v>
      </c>
      <c r="CC80" s="203">
        <f>BS!CC7</f>
        <v>14661</v>
      </c>
      <c r="CD80" s="203">
        <f>BS!CD7</f>
        <v>14572</v>
      </c>
      <c r="CE80" s="1461">
        <f>BS!CE7</f>
        <v>14572</v>
      </c>
      <c r="CF80" s="203">
        <f>BS!CF7</f>
        <v>15045</v>
      </c>
      <c r="CG80" s="203">
        <f>BS!CG7</f>
        <v>14145</v>
      </c>
      <c r="CH80" s="203">
        <f>BS!CH7</f>
        <v>14515</v>
      </c>
      <c r="CI80" s="1448">
        <f>BS!CI7</f>
        <v>15823</v>
      </c>
      <c r="CJ80" s="203">
        <f>BS!CJ7</f>
        <v>14145</v>
      </c>
      <c r="CK80" s="203">
        <f>BS!CK7</f>
        <v>15823</v>
      </c>
      <c r="CL80" s="1461">
        <f>BS!CL7</f>
        <v>15823</v>
      </c>
      <c r="CM80" s="203">
        <f>BS!CM7</f>
        <v>14512</v>
      </c>
      <c r="CN80" s="203">
        <f>BS!CN7</f>
        <v>14533</v>
      </c>
      <c r="CO80" s="203">
        <f>BS!CO7</f>
        <v>13642</v>
      </c>
      <c r="CP80" s="1448">
        <f>BS!CP7</f>
        <v>16469</v>
      </c>
      <c r="CQ80" s="203">
        <f>BS!CQ7</f>
        <v>14533</v>
      </c>
      <c r="CR80" s="203">
        <f>BS!CR7</f>
        <v>16469</v>
      </c>
      <c r="CS80" s="1461">
        <f>BS!CS7</f>
        <v>16469</v>
      </c>
      <c r="CT80" s="203">
        <f>BS!CT7</f>
        <v>13615</v>
      </c>
      <c r="CU80" s="203">
        <f>BS!CU7</f>
        <v>10928</v>
      </c>
      <c r="CV80" s="203">
        <f>BS!CV7</f>
        <v>9181</v>
      </c>
      <c r="CW80" s="1448">
        <f>BS!CW7</f>
        <v>15003</v>
      </c>
      <c r="CX80" s="203">
        <f>BS!CX7</f>
        <v>10928</v>
      </c>
      <c r="CY80" s="203">
        <f>BS!CY7</f>
        <v>15003</v>
      </c>
      <c r="CZ80" s="1461">
        <f>BS!CZ7</f>
        <v>15003</v>
      </c>
      <c r="DA80" s="203">
        <f>BS!DA7</f>
        <v>13676</v>
      </c>
      <c r="DB80" s="203">
        <f>BS!DB7</f>
        <v>8195</v>
      </c>
      <c r="DC80" s="203">
        <f>BS!DC7</f>
        <v>8344</v>
      </c>
      <c r="DD80" s="1448">
        <f>BS!DD7</f>
        <v>14128</v>
      </c>
      <c r="DE80" s="203">
        <f>BS!DE7</f>
        <v>8195</v>
      </c>
      <c r="DF80" s="203">
        <f>BS!DF7</f>
        <v>14128</v>
      </c>
      <c r="DG80" s="1461">
        <f>BS!DG7</f>
        <v>14128</v>
      </c>
      <c r="DH80" s="203">
        <f>BS!DH7</f>
        <v>11872</v>
      </c>
      <c r="DI80" s="1892">
        <f>BS!DI7</f>
        <v>9499</v>
      </c>
      <c r="DJ80" s="860">
        <f>BS!DJ7</f>
        <v>10174.888926706955</v>
      </c>
      <c r="DK80" s="1109">
        <f>BS!DK7</f>
        <v>15251.315290264629</v>
      </c>
      <c r="DL80" s="1892">
        <f>BS!DL7</f>
        <v>9499</v>
      </c>
      <c r="DM80" s="860">
        <f>BS!DM7</f>
        <v>15251.315290264629</v>
      </c>
      <c r="DN80" s="1119">
        <f>BS!DN7</f>
        <v>15251.315290264629</v>
      </c>
      <c r="DO80" s="860">
        <f>BS!DO7</f>
        <v>13799.703557681096</v>
      </c>
      <c r="DP80" s="860">
        <f>BS!DP7</f>
        <v>12925.897155872839</v>
      </c>
      <c r="DQ80" s="860">
        <f>BS!DQ7</f>
        <v>15516.919444198786</v>
      </c>
      <c r="DR80" s="1109">
        <f>BS!DR7</f>
        <v>17679.264435215046</v>
      </c>
      <c r="DS80" s="860">
        <f>BS!DS7</f>
        <v>12925.897155872839</v>
      </c>
      <c r="DT80" s="860">
        <f>BS!DT7</f>
        <v>17679.264435215046</v>
      </c>
      <c r="DU80" s="1119">
        <f>BS!DU7</f>
        <v>17679.264435215046</v>
      </c>
      <c r="DV80" s="860">
        <f>BS!DV7</f>
        <v>17083.438205138318</v>
      </c>
      <c r="DW80" s="860">
        <f>BS!DW7</f>
        <v>16220.931632107349</v>
      </c>
      <c r="DX80" s="860">
        <f>BS!DX7</f>
        <v>19295.638034577278</v>
      </c>
      <c r="DY80" s="1109">
        <f>BS!DY7</f>
        <v>22077.961050330177</v>
      </c>
      <c r="DZ80" s="860">
        <f>BS!DZ7</f>
        <v>16220.931632107349</v>
      </c>
      <c r="EA80" s="860">
        <f>BS!EA7</f>
        <v>22077.961050330177</v>
      </c>
      <c r="EB80" s="1119">
        <f>BS!EB7</f>
        <v>22077.961050330177</v>
      </c>
      <c r="EC80" s="860">
        <f>BS!EC7</f>
        <v>22222.621604674034</v>
      </c>
      <c r="ED80" s="860">
        <f>BS!ED7</f>
        <v>20460.333860053208</v>
      </c>
      <c r="EE80" s="860">
        <f>BS!EE7</f>
        <v>23322.939250051364</v>
      </c>
      <c r="EF80" s="1109">
        <f>BS!EF7</f>
        <v>26559.263487631168</v>
      </c>
      <c r="EG80" s="860">
        <f>BS!EG7</f>
        <v>20460.333860053208</v>
      </c>
      <c r="EH80" s="860">
        <f>BS!EH7</f>
        <v>26559.263487631168</v>
      </c>
      <c r="EI80" s="1119">
        <f>BS!EI7</f>
        <v>26559.263487631168</v>
      </c>
      <c r="EJ80" s="860">
        <f>BS!EJ7</f>
        <v>27013.988714170395</v>
      </c>
      <c r="EK80" s="860">
        <f>BS!EK7</f>
        <v>26604.707690911229</v>
      </c>
      <c r="EL80" s="860">
        <f>BS!EL7</f>
        <v>29654.917834988901</v>
      </c>
      <c r="EM80" s="1109">
        <f>BS!EM7</f>
        <v>33068.021652357987</v>
      </c>
      <c r="EN80" s="860">
        <f>BS!EN7</f>
        <v>26604.707690911229</v>
      </c>
      <c r="EO80" s="860">
        <f>BS!EO7</f>
        <v>33068.021652357987</v>
      </c>
      <c r="EP80" s="1119">
        <f>BS!EP7</f>
        <v>33068.021652357987</v>
      </c>
      <c r="EQ80" s="303"/>
      <c r="ER80" s="46"/>
    </row>
    <row r="81" spans="1:148" ht="10.199999999999999" customHeight="1">
      <c r="A81" s="108" t="s">
        <v>180</v>
      </c>
      <c r="B81" s="108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203">
        <f>BS!M6+BS!M18</f>
        <v>8315</v>
      </c>
      <c r="N81" s="203"/>
      <c r="O81" s="203"/>
      <c r="P81" s="203"/>
      <c r="Q81" s="1448"/>
      <c r="R81" s="203"/>
      <c r="S81" s="203"/>
      <c r="T81" s="1461">
        <f>BS!T6+BS!T18</f>
        <v>6883</v>
      </c>
      <c r="U81" s="203">
        <f>BS!U6+BS!U18</f>
        <v>7290</v>
      </c>
      <c r="V81" s="203">
        <f>BS!V6+BS!V18</f>
        <v>7340</v>
      </c>
      <c r="W81" s="203">
        <f>BS!W6+BS!W18</f>
        <v>7263</v>
      </c>
      <c r="X81" s="1448">
        <f>BS!X6+BS!X18</f>
        <v>9172</v>
      </c>
      <c r="Y81" s="203">
        <f>BS!Y6+BS!Y18</f>
        <v>7340</v>
      </c>
      <c r="Z81" s="203">
        <f>BS!Z6+BS!Z18</f>
        <v>9172</v>
      </c>
      <c r="AA81" s="1461">
        <f>BS!AA6+BS!AA18</f>
        <v>9172</v>
      </c>
      <c r="AB81" s="203">
        <f>BS!AB6+BS!AB18</f>
        <v>9903</v>
      </c>
      <c r="AC81" s="203">
        <f>BS!AC6+BS!AC18</f>
        <v>11270</v>
      </c>
      <c r="AD81" s="203">
        <f>BS!AD6+BS!AD18</f>
        <v>11427</v>
      </c>
      <c r="AE81" s="1448">
        <f>BS!AE6+BS!AE18</f>
        <v>11639</v>
      </c>
      <c r="AF81" s="203">
        <f>BS!AF6+BS!AF18</f>
        <v>11270</v>
      </c>
      <c r="AG81" s="203">
        <f>BS!AG6+BS!AG18</f>
        <v>11639</v>
      </c>
      <c r="AH81" s="1461">
        <f>BS!AH6+BS!AH18</f>
        <v>11639</v>
      </c>
      <c r="AI81" s="203">
        <f>BS!AI6+BS!AI18</f>
        <v>11278</v>
      </c>
      <c r="AJ81" s="203">
        <f>BS!AJ6+BS!AJ18</f>
        <v>11453</v>
      </c>
      <c r="AK81" s="203">
        <f>BS!AK6+BS!AK18</f>
        <v>11178</v>
      </c>
      <c r="AL81" s="1448">
        <f>BS!AL6+BS!AL18</f>
        <v>11448</v>
      </c>
      <c r="AM81" s="203">
        <f>BS!AM6+BS!AM18</f>
        <v>11453</v>
      </c>
      <c r="AN81" s="203">
        <f>BS!AN6+BS!AN18</f>
        <v>11448</v>
      </c>
      <c r="AO81" s="1461">
        <f>BS!AO6+BS!AO18</f>
        <v>11448</v>
      </c>
      <c r="AP81" s="203">
        <f>BS!AP6+BS!AP18</f>
        <v>11138</v>
      </c>
      <c r="AQ81" s="203">
        <f>BS!AQ6+BS!AQ18</f>
        <v>11454</v>
      </c>
      <c r="AR81" s="203">
        <f>BS!AR6+BS!AR18</f>
        <v>11388</v>
      </c>
      <c r="AS81" s="1448">
        <f>BS!AS6+BS!AS18</f>
        <v>12571</v>
      </c>
      <c r="AT81" s="203">
        <f>BS!AT6+BS!AT18</f>
        <v>11454</v>
      </c>
      <c r="AU81" s="203">
        <f>BS!AU6+BS!AU18</f>
        <v>12571</v>
      </c>
      <c r="AV81" s="1461">
        <f>BS!AV6+BS!AV18</f>
        <v>12571</v>
      </c>
      <c r="AW81" s="203"/>
      <c r="AX81" s="203"/>
      <c r="AY81" s="203"/>
      <c r="AZ81" s="1448"/>
      <c r="BA81" s="203"/>
      <c r="BB81" s="203"/>
      <c r="BC81" s="1461">
        <f>BS!BC6+BS!BC18</f>
        <v>12571</v>
      </c>
      <c r="BD81" s="203">
        <f>BS!BD6+BS!BD18</f>
        <v>12569</v>
      </c>
      <c r="BE81" s="203">
        <f>BS!BE6+BS!BE18</f>
        <v>12637</v>
      </c>
      <c r="BF81" s="203">
        <f>BS!BF6+BS!BF18</f>
        <v>12722</v>
      </c>
      <c r="BG81" s="1448">
        <f>BS!BG6+BS!BG18</f>
        <v>12794</v>
      </c>
      <c r="BH81" s="203">
        <f>BS!BH6+BS!BH18</f>
        <v>12637</v>
      </c>
      <c r="BI81" s="203">
        <f>BS!BI6+BS!BI18</f>
        <v>12794</v>
      </c>
      <c r="BJ81" s="1461">
        <f>BS!BJ6+BS!BJ18</f>
        <v>12794</v>
      </c>
      <c r="BK81" s="203">
        <f>BS!BK6+BS!BK18</f>
        <v>12495</v>
      </c>
      <c r="BL81" s="203">
        <f>BS!BL6+BS!BL18</f>
        <v>12631</v>
      </c>
      <c r="BM81" s="203">
        <f>BS!BM6+BS!BM18</f>
        <v>13162</v>
      </c>
      <c r="BN81" s="1448">
        <f>BS!BN6+BS!BN18</f>
        <v>13368</v>
      </c>
      <c r="BO81" s="203">
        <f>BS!BO6+BS!BO18</f>
        <v>12631</v>
      </c>
      <c r="BP81" s="203">
        <f>BS!BP6+BS!BP18</f>
        <v>13368</v>
      </c>
      <c r="BQ81" s="1461">
        <f>BS!BQ6+BS!BQ18</f>
        <v>13368</v>
      </c>
      <c r="BR81" s="203">
        <f>BS!BR6+BS!BR18</f>
        <v>12055</v>
      </c>
      <c r="BS81" s="203">
        <f>BS!BS6+BS!BS18</f>
        <v>7560</v>
      </c>
      <c r="BT81" s="203">
        <f>BS!BT6+BS!BT18</f>
        <v>7168</v>
      </c>
      <c r="BU81" s="1448">
        <f>BS!BU6+BS!BU18</f>
        <v>6968</v>
      </c>
      <c r="BV81" s="203">
        <f>BS!BV6+BS!BV18</f>
        <v>7560</v>
      </c>
      <c r="BW81" s="203">
        <f>BS!BW6+BS!BW18</f>
        <v>6968</v>
      </c>
      <c r="BX81" s="1461">
        <f>BS!BX6+BS!BX18</f>
        <v>6968</v>
      </c>
      <c r="BY81" s="203">
        <f>BS!BY6+BS!BY18</f>
        <v>6577</v>
      </c>
      <c r="BZ81" s="203">
        <f>BS!BZ6+BS!BZ18</f>
        <v>6780</v>
      </c>
      <c r="CA81" s="203">
        <f>BS!CA6+BS!CA18</f>
        <v>6802</v>
      </c>
      <c r="CB81" s="1448">
        <f>BS!CB6+BS!CB18</f>
        <v>8111</v>
      </c>
      <c r="CC81" s="203">
        <f>BS!CC6+BS!CC18</f>
        <v>6780</v>
      </c>
      <c r="CD81" s="203">
        <f>BS!CD6+BS!CD18</f>
        <v>8111</v>
      </c>
      <c r="CE81" s="1461">
        <f>BS!CE6+BS!CE18</f>
        <v>8111</v>
      </c>
      <c r="CF81" s="203">
        <f>BS!CF6+BS!CF18</f>
        <v>7771</v>
      </c>
      <c r="CG81" s="203">
        <f>BS!CG6+BS!CG18</f>
        <v>7416</v>
      </c>
      <c r="CH81" s="203">
        <f>BS!CH6+BS!CH18</f>
        <v>7942</v>
      </c>
      <c r="CI81" s="1448">
        <f>BS!CI6+BS!CI18</f>
        <v>7775</v>
      </c>
      <c r="CJ81" s="203">
        <f>BS!CJ6+BS!CJ18</f>
        <v>7416</v>
      </c>
      <c r="CK81" s="203">
        <f>BS!CK6+BS!CK18</f>
        <v>7775</v>
      </c>
      <c r="CL81" s="1461">
        <f>BS!CL6+BS!CL18</f>
        <v>7775</v>
      </c>
      <c r="CM81" s="203">
        <f>BS!CM6+BS!CM18</f>
        <v>7906</v>
      </c>
      <c r="CN81" s="203">
        <f>BS!CN6+BS!CN18</f>
        <v>8386</v>
      </c>
      <c r="CO81" s="203">
        <f>BS!CO6+BS!CO18</f>
        <v>8763</v>
      </c>
      <c r="CP81" s="1448">
        <f>BS!CP6+BS!CP18</f>
        <v>8809</v>
      </c>
      <c r="CQ81" s="203">
        <f>BS!CQ6+BS!CQ18</f>
        <v>8386</v>
      </c>
      <c r="CR81" s="203">
        <f>BS!CR6+BS!CR18</f>
        <v>8809</v>
      </c>
      <c r="CS81" s="1461">
        <f>BS!CS6+BS!CS18</f>
        <v>8809</v>
      </c>
      <c r="CT81" s="203">
        <f>BS!CT6+BS!CT18</f>
        <v>9809</v>
      </c>
      <c r="CU81" s="203">
        <f>BS!CU6+BS!CU18</f>
        <v>10947</v>
      </c>
      <c r="CV81" s="203">
        <f>BS!CV6+BS!CV18</f>
        <v>11907</v>
      </c>
      <c r="CW81" s="1448">
        <f>BS!CW6+BS!CW18</f>
        <v>11861</v>
      </c>
      <c r="CX81" s="203">
        <f>BS!CX6+BS!CX18</f>
        <v>10947</v>
      </c>
      <c r="CY81" s="203">
        <f>BS!CY6+BS!CY18</f>
        <v>11861</v>
      </c>
      <c r="CZ81" s="1461">
        <f>BS!CZ6+BS!CZ18</f>
        <v>11861</v>
      </c>
      <c r="DA81" s="203">
        <f>BS!DA6+BS!DA18</f>
        <v>12417</v>
      </c>
      <c r="DB81" s="203">
        <f>BS!DB6+BS!DB18</f>
        <v>12886</v>
      </c>
      <c r="DC81" s="203">
        <f>BS!DC6+BS!DC18</f>
        <v>12990</v>
      </c>
      <c r="DD81" s="1448">
        <f>BS!DD6+BS!DD18</f>
        <v>13090</v>
      </c>
      <c r="DE81" s="203">
        <f>BS!DE6+BS!DE18</f>
        <v>12886</v>
      </c>
      <c r="DF81" s="203">
        <f>BS!DF6+BS!DF18</f>
        <v>13090</v>
      </c>
      <c r="DG81" s="1461">
        <f>BS!DG6+BS!DG18</f>
        <v>13090</v>
      </c>
      <c r="DH81" s="203">
        <f>BS!DH6+BS!DH18</f>
        <v>13365</v>
      </c>
      <c r="DI81" s="1892">
        <f>BS!DI6+BS!DI18</f>
        <v>13877</v>
      </c>
      <c r="DJ81" s="860">
        <f>BS!DJ6+BS!DJ18</f>
        <v>13877</v>
      </c>
      <c r="DK81" s="1109">
        <f>BS!DK6+BS!DK18</f>
        <v>13811</v>
      </c>
      <c r="DL81" s="1892">
        <f>BS!DL6+BS!DL18</f>
        <v>13877</v>
      </c>
      <c r="DM81" s="860">
        <f>BS!DM6+BS!DM18</f>
        <v>13811</v>
      </c>
      <c r="DN81" s="1119">
        <f>BS!DN6+BS!DN18</f>
        <v>13811</v>
      </c>
      <c r="DO81" s="860">
        <f>BS!DO6+BS!DO18</f>
        <v>13811</v>
      </c>
      <c r="DP81" s="860">
        <f>BS!DP6+BS!DP18</f>
        <v>13811</v>
      </c>
      <c r="DQ81" s="860">
        <f>BS!DQ6+BS!DQ18</f>
        <v>13811</v>
      </c>
      <c r="DR81" s="1109">
        <f>BS!DR6+BS!DR18</f>
        <v>13811</v>
      </c>
      <c r="DS81" s="860">
        <f>BS!DS6+BS!DS18</f>
        <v>13811</v>
      </c>
      <c r="DT81" s="860">
        <f>BS!DT6+BS!DT18</f>
        <v>13811</v>
      </c>
      <c r="DU81" s="1119">
        <f>BS!DU6+BS!DU18</f>
        <v>13811</v>
      </c>
      <c r="DV81" s="860">
        <f>BS!DV6+BS!DV18</f>
        <v>13811</v>
      </c>
      <c r="DW81" s="860">
        <f>BS!DW6+BS!DW18</f>
        <v>13811</v>
      </c>
      <c r="DX81" s="860">
        <f>BS!DX6+BS!DX18</f>
        <v>13811</v>
      </c>
      <c r="DY81" s="1109">
        <f>BS!DY6+BS!DY18</f>
        <v>13811</v>
      </c>
      <c r="DZ81" s="860">
        <f>BS!DZ6+BS!DZ18</f>
        <v>13811</v>
      </c>
      <c r="EA81" s="860">
        <f>BS!EA6+BS!EA18</f>
        <v>13811</v>
      </c>
      <c r="EB81" s="1119">
        <f>BS!EB6+BS!EB18</f>
        <v>13811</v>
      </c>
      <c r="EC81" s="860">
        <f>BS!EC6+BS!EC18</f>
        <v>13811</v>
      </c>
      <c r="ED81" s="860">
        <f>BS!ED6+BS!ED18</f>
        <v>13811</v>
      </c>
      <c r="EE81" s="860">
        <f>BS!EE6+BS!EE18</f>
        <v>13811</v>
      </c>
      <c r="EF81" s="1109">
        <f>BS!EF6+BS!EF18</f>
        <v>13811</v>
      </c>
      <c r="EG81" s="860">
        <f>BS!EG6+BS!EG18</f>
        <v>13811</v>
      </c>
      <c r="EH81" s="860">
        <f>BS!EH6+BS!EH18</f>
        <v>13811</v>
      </c>
      <c r="EI81" s="1119">
        <f>BS!EI6+BS!EI18</f>
        <v>13811</v>
      </c>
      <c r="EJ81" s="860">
        <f>BS!EJ6+BS!EJ18</f>
        <v>13811</v>
      </c>
      <c r="EK81" s="860">
        <f>BS!EK6+BS!EK18</f>
        <v>13811</v>
      </c>
      <c r="EL81" s="860">
        <f>BS!EL6+BS!EL18</f>
        <v>13811</v>
      </c>
      <c r="EM81" s="1109">
        <f>BS!EM6+BS!EM18</f>
        <v>13811</v>
      </c>
      <c r="EN81" s="860">
        <f>BS!EN6+BS!EN18</f>
        <v>13811</v>
      </c>
      <c r="EO81" s="860">
        <f>BS!EO6+BS!EO18</f>
        <v>13811</v>
      </c>
      <c r="EP81" s="1119">
        <f>BS!EP6+BS!EP18</f>
        <v>13811</v>
      </c>
      <c r="EQ81" s="303"/>
      <c r="ER81" s="46"/>
    </row>
    <row r="82" spans="1:148" ht="10.199999999999999" customHeight="1">
      <c r="A82" s="48" t="s">
        <v>391</v>
      </c>
      <c r="B82" s="108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>
        <f t="shared" ref="M82:EP82" si="975">M80+M81</f>
        <v>17071</v>
      </c>
      <c r="N82" s="126"/>
      <c r="O82" s="126"/>
      <c r="P82" s="126"/>
      <c r="Q82" s="1276"/>
      <c r="R82" s="126"/>
      <c r="S82" s="126"/>
      <c r="T82" s="1082">
        <f t="shared" si="975"/>
        <v>14084</v>
      </c>
      <c r="U82" s="126">
        <f t="shared" ref="U82:X82" si="976">U80+U81</f>
        <v>13154</v>
      </c>
      <c r="V82" s="126">
        <f t="shared" si="976"/>
        <v>13485</v>
      </c>
      <c r="W82" s="126">
        <f t="shared" si="976"/>
        <v>12419</v>
      </c>
      <c r="X82" s="1276">
        <f t="shared" si="976"/>
        <v>16443</v>
      </c>
      <c r="Y82" s="126">
        <f t="shared" ref="Y82:Z82" si="977">Y80+Y81</f>
        <v>13485</v>
      </c>
      <c r="Z82" s="126">
        <f t="shared" si="977"/>
        <v>16443</v>
      </c>
      <c r="AA82" s="1082">
        <f t="shared" si="975"/>
        <v>16443</v>
      </c>
      <c r="AB82" s="126">
        <f t="shared" si="975"/>
        <v>17342</v>
      </c>
      <c r="AC82" s="126">
        <f t="shared" si="975"/>
        <v>16842</v>
      </c>
      <c r="AD82" s="126">
        <f t="shared" si="975"/>
        <v>17237</v>
      </c>
      <c r="AE82" s="1276">
        <f t="shared" si="975"/>
        <v>19128</v>
      </c>
      <c r="AF82" s="126">
        <f t="shared" si="975"/>
        <v>16842</v>
      </c>
      <c r="AG82" s="126">
        <f t="shared" si="975"/>
        <v>19128</v>
      </c>
      <c r="AH82" s="1082">
        <f t="shared" si="975"/>
        <v>19128</v>
      </c>
      <c r="AI82" s="126">
        <f t="shared" ref="AI82" si="978">AI80+AI81</f>
        <v>17989</v>
      </c>
      <c r="AJ82" s="126">
        <f>AM82</f>
        <v>19540</v>
      </c>
      <c r="AK82" s="126">
        <f t="shared" ref="AK82:AL82" si="979">AK80+AK81</f>
        <v>16872</v>
      </c>
      <c r="AL82" s="1276">
        <f t="shared" si="979"/>
        <v>21591</v>
      </c>
      <c r="AM82" s="126">
        <v>19540</v>
      </c>
      <c r="AN82" s="126">
        <f t="shared" ref="AN82" si="980">AN80+AN81</f>
        <v>21591</v>
      </c>
      <c r="AO82" s="1082">
        <f t="shared" si="975"/>
        <v>21591</v>
      </c>
      <c r="AP82" s="126">
        <f t="shared" si="975"/>
        <v>20324</v>
      </c>
      <c r="AQ82" s="126">
        <f t="shared" si="975"/>
        <v>19341</v>
      </c>
      <c r="AR82" s="126">
        <f t="shared" si="975"/>
        <v>17980</v>
      </c>
      <c r="AS82" s="1276">
        <f t="shared" si="975"/>
        <v>24587</v>
      </c>
      <c r="AT82" s="126">
        <f t="shared" ref="AT82:AU82" si="981">AT80+AT81</f>
        <v>19341</v>
      </c>
      <c r="AU82" s="126">
        <f t="shared" si="981"/>
        <v>24587</v>
      </c>
      <c r="AV82" s="1082">
        <f t="shared" si="975"/>
        <v>24587</v>
      </c>
      <c r="AW82" s="126"/>
      <c r="AX82" s="126"/>
      <c r="AY82" s="126"/>
      <c r="AZ82" s="1276"/>
      <c r="BA82" s="126"/>
      <c r="BB82" s="126"/>
      <c r="BC82" s="1082">
        <f t="shared" si="975"/>
        <v>24587</v>
      </c>
      <c r="BD82" s="126">
        <f t="shared" ref="BD82:BG82" si="982">BD80+BD81</f>
        <v>20923</v>
      </c>
      <c r="BE82" s="126">
        <f t="shared" si="982"/>
        <v>17775</v>
      </c>
      <c r="BF82" s="126">
        <f t="shared" si="982"/>
        <v>18325</v>
      </c>
      <c r="BG82" s="1276">
        <f t="shared" si="982"/>
        <v>22207</v>
      </c>
      <c r="BH82" s="126">
        <f t="shared" ref="BH82:BI82" si="983">BH80+BH81</f>
        <v>17775</v>
      </c>
      <c r="BI82" s="126">
        <f t="shared" si="983"/>
        <v>22207</v>
      </c>
      <c r="BJ82" s="1082">
        <f t="shared" si="975"/>
        <v>22207</v>
      </c>
      <c r="BK82" s="126">
        <f t="shared" si="975"/>
        <v>18482</v>
      </c>
      <c r="BL82" s="126">
        <f t="shared" si="975"/>
        <v>17849</v>
      </c>
      <c r="BM82" s="126">
        <f t="shared" si="975"/>
        <v>17775</v>
      </c>
      <c r="BN82" s="1276">
        <f t="shared" si="975"/>
        <v>22682</v>
      </c>
      <c r="BO82" s="126">
        <f t="shared" ref="BO82:BP82" si="984">BO80+BO81</f>
        <v>17849</v>
      </c>
      <c r="BP82" s="126">
        <f t="shared" si="984"/>
        <v>22682</v>
      </c>
      <c r="BQ82" s="1082">
        <f t="shared" si="975"/>
        <v>22682</v>
      </c>
      <c r="BR82" s="126">
        <f t="shared" ref="BR82:BU82" si="985">BR80+BR81</f>
        <v>18403</v>
      </c>
      <c r="BS82" s="126">
        <f t="shared" si="985"/>
        <v>17484</v>
      </c>
      <c r="BT82" s="126">
        <f t="shared" si="985"/>
        <v>18095</v>
      </c>
      <c r="BU82" s="1276">
        <f t="shared" si="985"/>
        <v>21407</v>
      </c>
      <c r="BV82" s="126">
        <f t="shared" ref="BV82:BW82" si="986">BV80+BV81</f>
        <v>17484</v>
      </c>
      <c r="BW82" s="126">
        <f t="shared" si="986"/>
        <v>21407</v>
      </c>
      <c r="BX82" s="1082">
        <f t="shared" si="975"/>
        <v>21407</v>
      </c>
      <c r="BY82" s="126">
        <f t="shared" si="975"/>
        <v>22550</v>
      </c>
      <c r="BZ82" s="126">
        <f t="shared" si="975"/>
        <v>21441</v>
      </c>
      <c r="CA82" s="126">
        <f t="shared" si="975"/>
        <v>21656</v>
      </c>
      <c r="CB82" s="1276">
        <f t="shared" si="975"/>
        <v>22683</v>
      </c>
      <c r="CC82" s="126">
        <f t="shared" ref="CC82:CD82" si="987">CC80+CC81</f>
        <v>21441</v>
      </c>
      <c r="CD82" s="126">
        <f t="shared" si="987"/>
        <v>22683</v>
      </c>
      <c r="CE82" s="1082">
        <f t="shared" si="975"/>
        <v>22683</v>
      </c>
      <c r="CF82" s="126">
        <f t="shared" ref="CF82:CI82" si="988">CF80+CF81</f>
        <v>22816</v>
      </c>
      <c r="CG82" s="126">
        <f t="shared" si="988"/>
        <v>21561</v>
      </c>
      <c r="CH82" s="126">
        <f t="shared" si="988"/>
        <v>22457</v>
      </c>
      <c r="CI82" s="1276">
        <f t="shared" si="988"/>
        <v>23598</v>
      </c>
      <c r="CJ82" s="126">
        <f t="shared" ref="CJ82:CK82" si="989">CJ80+CJ81</f>
        <v>21561</v>
      </c>
      <c r="CK82" s="126">
        <f t="shared" si="989"/>
        <v>23598</v>
      </c>
      <c r="CL82" s="1082">
        <f t="shared" si="975"/>
        <v>23598</v>
      </c>
      <c r="CM82" s="126">
        <f t="shared" si="975"/>
        <v>22418</v>
      </c>
      <c r="CN82" s="126">
        <f t="shared" si="975"/>
        <v>22919</v>
      </c>
      <c r="CO82" s="126">
        <f t="shared" si="975"/>
        <v>22405</v>
      </c>
      <c r="CP82" s="1276">
        <f t="shared" si="975"/>
        <v>25278</v>
      </c>
      <c r="CQ82" s="126">
        <f t="shared" ref="CQ82:CR82" si="990">CQ80+CQ81</f>
        <v>22919</v>
      </c>
      <c r="CR82" s="126">
        <f t="shared" si="990"/>
        <v>25278</v>
      </c>
      <c r="CS82" s="1082">
        <f t="shared" si="975"/>
        <v>25278</v>
      </c>
      <c r="CT82" s="126">
        <f t="shared" ref="CT82:CU82" si="991">CT80+CT81</f>
        <v>23424</v>
      </c>
      <c r="CU82" s="126">
        <f t="shared" si="991"/>
        <v>21875</v>
      </c>
      <c r="CV82" s="126">
        <f t="shared" ref="CV82:CW82" si="992">CV80+CV81</f>
        <v>21088</v>
      </c>
      <c r="CW82" s="1276">
        <f t="shared" si="992"/>
        <v>26864</v>
      </c>
      <c r="CX82" s="126">
        <f t="shared" ref="CX82:DB82" si="993">CX80+CX81</f>
        <v>21875</v>
      </c>
      <c r="CY82" s="126">
        <f t="shared" si="993"/>
        <v>26864</v>
      </c>
      <c r="CZ82" s="1082">
        <f t="shared" si="993"/>
        <v>26864</v>
      </c>
      <c r="DA82" s="126">
        <f t="shared" si="993"/>
        <v>26093</v>
      </c>
      <c r="DB82" s="126">
        <f t="shared" si="993"/>
        <v>21081</v>
      </c>
      <c r="DC82" s="126">
        <f t="shared" ref="DC82:DF82" si="994">DC80+DC81</f>
        <v>21334</v>
      </c>
      <c r="DD82" s="1276">
        <f t="shared" si="994"/>
        <v>27218</v>
      </c>
      <c r="DE82" s="126">
        <f t="shared" si="994"/>
        <v>21081</v>
      </c>
      <c r="DF82" s="126">
        <f t="shared" si="994"/>
        <v>27218</v>
      </c>
      <c r="DG82" s="1082">
        <f t="shared" ref="DG82:DI82" si="995">DG80+DG81</f>
        <v>27218</v>
      </c>
      <c r="DH82" s="126">
        <f t="shared" si="995"/>
        <v>25237</v>
      </c>
      <c r="DI82" s="2012">
        <f t="shared" si="995"/>
        <v>23376</v>
      </c>
      <c r="DJ82" s="884">
        <f t="shared" si="975"/>
        <v>24051.888926706953</v>
      </c>
      <c r="DK82" s="1515">
        <f t="shared" si="975"/>
        <v>29062.315290264629</v>
      </c>
      <c r="DL82" s="2012">
        <f t="shared" si="975"/>
        <v>23376</v>
      </c>
      <c r="DM82" s="884">
        <f t="shared" si="975"/>
        <v>29062.315290264629</v>
      </c>
      <c r="DN82" s="1486">
        <f t="shared" si="975"/>
        <v>29062.315290264629</v>
      </c>
      <c r="DO82" s="884">
        <f t="shared" si="975"/>
        <v>27610.703557681096</v>
      </c>
      <c r="DP82" s="884">
        <f t="shared" si="975"/>
        <v>26736.897155872837</v>
      </c>
      <c r="DQ82" s="884">
        <f t="shared" si="975"/>
        <v>29327.919444198786</v>
      </c>
      <c r="DR82" s="1515">
        <f t="shared" si="975"/>
        <v>31490.264435215046</v>
      </c>
      <c r="DS82" s="884">
        <f t="shared" si="975"/>
        <v>26736.897155872837</v>
      </c>
      <c r="DT82" s="884">
        <f t="shared" si="975"/>
        <v>31490.264435215046</v>
      </c>
      <c r="DU82" s="1486">
        <f t="shared" si="975"/>
        <v>31490.264435215046</v>
      </c>
      <c r="DV82" s="884">
        <f t="shared" ref="DV82:EA82" si="996">DV80+DV81</f>
        <v>30894.438205138318</v>
      </c>
      <c r="DW82" s="884">
        <f t="shared" si="996"/>
        <v>30031.931632107349</v>
      </c>
      <c r="DX82" s="884">
        <f t="shared" si="996"/>
        <v>33106.638034577278</v>
      </c>
      <c r="DY82" s="1515">
        <f t="shared" si="996"/>
        <v>35888.961050330181</v>
      </c>
      <c r="DZ82" s="884">
        <f t="shared" si="996"/>
        <v>30031.931632107349</v>
      </c>
      <c r="EA82" s="884">
        <f t="shared" si="996"/>
        <v>35888.961050330181</v>
      </c>
      <c r="EB82" s="1486">
        <f t="shared" si="975"/>
        <v>35888.961050330181</v>
      </c>
      <c r="EC82" s="884">
        <f t="shared" ref="EC82:EH82" si="997">EC80+EC81</f>
        <v>36033.62160467403</v>
      </c>
      <c r="ED82" s="884">
        <f t="shared" si="997"/>
        <v>34271.333860053208</v>
      </c>
      <c r="EE82" s="884">
        <f t="shared" si="997"/>
        <v>37133.939250051364</v>
      </c>
      <c r="EF82" s="1515">
        <f t="shared" si="997"/>
        <v>40370.263487631164</v>
      </c>
      <c r="EG82" s="884">
        <f t="shared" si="997"/>
        <v>34271.333860053208</v>
      </c>
      <c r="EH82" s="884">
        <f t="shared" si="997"/>
        <v>40370.263487631164</v>
      </c>
      <c r="EI82" s="1486">
        <f t="shared" si="975"/>
        <v>40370.263487631164</v>
      </c>
      <c r="EJ82" s="884">
        <f t="shared" ref="EJ82:EO82" si="998">EJ80+EJ81</f>
        <v>40824.988714170395</v>
      </c>
      <c r="EK82" s="884">
        <f t="shared" si="998"/>
        <v>40415.707690911229</v>
      </c>
      <c r="EL82" s="884">
        <f t="shared" si="998"/>
        <v>43465.917834988897</v>
      </c>
      <c r="EM82" s="1515">
        <f t="shared" si="998"/>
        <v>46879.021652357987</v>
      </c>
      <c r="EN82" s="884">
        <f t="shared" si="998"/>
        <v>40415.707690911229</v>
      </c>
      <c r="EO82" s="884">
        <f t="shared" si="998"/>
        <v>46879.021652357987</v>
      </c>
      <c r="EP82" s="1486">
        <f t="shared" si="975"/>
        <v>46879.021652357987</v>
      </c>
      <c r="EQ82" s="303"/>
      <c r="ER82" s="46"/>
    </row>
    <row r="83" spans="1:148" ht="10.199999999999999" customHeight="1">
      <c r="A83" s="108" t="s">
        <v>388</v>
      </c>
      <c r="B83" s="108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203">
        <f>-BS!M28</f>
        <v>-1273</v>
      </c>
      <c r="N83" s="203"/>
      <c r="O83" s="203"/>
      <c r="P83" s="203"/>
      <c r="Q83" s="1448"/>
      <c r="R83" s="203"/>
      <c r="S83" s="203"/>
      <c r="T83" s="1461">
        <f>-BS!T28</f>
        <v>-1826</v>
      </c>
      <c r="U83" s="203">
        <f>-BS!U28</f>
        <v>-2794</v>
      </c>
      <c r="V83" s="203">
        <f>-BS!V28</f>
        <v>-3297</v>
      </c>
      <c r="W83" s="203">
        <f>-BS!W28</f>
        <v>-1893</v>
      </c>
      <c r="X83" s="1448">
        <f>-BS!X28</f>
        <v>-1073</v>
      </c>
      <c r="Y83" s="203">
        <f>-BS!Y28</f>
        <v>-3297</v>
      </c>
      <c r="Z83" s="203">
        <f>-BS!Z28</f>
        <v>-1073</v>
      </c>
      <c r="AA83" s="1461">
        <f>-BS!AA28</f>
        <v>-1073</v>
      </c>
      <c r="AB83" s="203">
        <f>-BS!AB28</f>
        <v>-1177</v>
      </c>
      <c r="AC83" s="203">
        <f>-BS!AC28</f>
        <v>-1717</v>
      </c>
      <c r="AD83" s="203">
        <f>-BS!AD28</f>
        <v>-3373</v>
      </c>
      <c r="AE83" s="1448">
        <f>-BS!AE28</f>
        <v>-2790</v>
      </c>
      <c r="AF83" s="203">
        <f>-BS!AF28</f>
        <v>-1717</v>
      </c>
      <c r="AG83" s="203">
        <f>-BS!AG28</f>
        <v>-2790</v>
      </c>
      <c r="AH83" s="1461">
        <f>-BS!AH28</f>
        <v>-2790</v>
      </c>
      <c r="AI83" s="203">
        <f>-BS!AI28</f>
        <v>-5241</v>
      </c>
      <c r="AJ83" s="203">
        <f>-BS!AJ28</f>
        <v>-3411</v>
      </c>
      <c r="AK83" s="203">
        <f>-BS!AK28</f>
        <v>-2494</v>
      </c>
      <c r="AL83" s="1448">
        <f>-BS!AL28</f>
        <v>-1687</v>
      </c>
      <c r="AM83" s="203">
        <f>-BS!AM28</f>
        <v>-3411</v>
      </c>
      <c r="AN83" s="203">
        <f>-BS!AN28</f>
        <v>-1687</v>
      </c>
      <c r="AO83" s="1461">
        <f>-BS!AO28</f>
        <v>-1687</v>
      </c>
      <c r="AP83" s="203">
        <f>-BS!AP28</f>
        <v>-1839</v>
      </c>
      <c r="AQ83" s="203">
        <f>-BS!AQ28</f>
        <v>-1678</v>
      </c>
      <c r="AR83" s="203">
        <f>-BS!AR28</f>
        <v>-1748</v>
      </c>
      <c r="AS83" s="1448">
        <f>-BS!AS28</f>
        <v>-2212</v>
      </c>
      <c r="AT83" s="203">
        <f>-BS!AT28</f>
        <v>-1678</v>
      </c>
      <c r="AU83" s="203">
        <f>-BS!AU28</f>
        <v>-2212</v>
      </c>
      <c r="AV83" s="1461">
        <f>-BS!AV28</f>
        <v>-2212</v>
      </c>
      <c r="AW83" s="203"/>
      <c r="AX83" s="203"/>
      <c r="AY83" s="203"/>
      <c r="AZ83" s="1448"/>
      <c r="BA83" s="203"/>
      <c r="BB83" s="203"/>
      <c r="BC83" s="1461">
        <f>-BS!BC28</f>
        <v>-2212</v>
      </c>
      <c r="BD83" s="203">
        <f>-BS!BD28</f>
        <v>-2326</v>
      </c>
      <c r="BE83" s="203">
        <f>-BS!BE28</f>
        <v>-2071</v>
      </c>
      <c r="BF83" s="203">
        <f>-BS!BF28</f>
        <v>-3638</v>
      </c>
      <c r="BG83" s="1448">
        <f>-BS!BG28</f>
        <v>-1463</v>
      </c>
      <c r="BH83" s="203">
        <f>-BS!BH28</f>
        <v>-2071</v>
      </c>
      <c r="BI83" s="203">
        <f>-BS!BI28</f>
        <v>-1463</v>
      </c>
      <c r="BJ83" s="1461">
        <f>-BS!BJ28</f>
        <v>-1463</v>
      </c>
      <c r="BK83" s="203">
        <f>-BS!BK28</f>
        <v>-2323</v>
      </c>
      <c r="BL83" s="203">
        <f>-BS!BL28</f>
        <v>-2649</v>
      </c>
      <c r="BM83" s="203">
        <f>-BS!BM28</f>
        <v>-3416</v>
      </c>
      <c r="BN83" s="1448">
        <f>-BS!BN28</f>
        <v>-1959</v>
      </c>
      <c r="BO83" s="203">
        <f>-BS!BO28</f>
        <v>-2649</v>
      </c>
      <c r="BP83" s="203">
        <f>-BS!BP28</f>
        <v>-1959</v>
      </c>
      <c r="BQ83" s="1461">
        <f>-BS!BQ28</f>
        <v>-1959</v>
      </c>
      <c r="BR83" s="203">
        <f>-BS!BR28</f>
        <v>-6397</v>
      </c>
      <c r="BS83" s="203">
        <f>-BS!BS28</f>
        <v>-4629</v>
      </c>
      <c r="BT83" s="203">
        <f>-BS!BT28</f>
        <v>-4364</v>
      </c>
      <c r="BU83" s="1448">
        <f>-BS!BU28</f>
        <v>-3013</v>
      </c>
      <c r="BV83" s="203">
        <f>-BS!BV28</f>
        <v>-4629</v>
      </c>
      <c r="BW83" s="203">
        <f>-BS!BW28</f>
        <v>-3013</v>
      </c>
      <c r="BX83" s="1461">
        <f>-BS!BX28</f>
        <v>-3013</v>
      </c>
      <c r="BY83" s="203">
        <f>-BS!BY28</f>
        <v>-2934</v>
      </c>
      <c r="BZ83" s="203">
        <f>-BS!BZ28</f>
        <v>-1902</v>
      </c>
      <c r="CA83" s="203">
        <f>-BS!CA28</f>
        <v>-1898</v>
      </c>
      <c r="CB83" s="1448">
        <f>-BS!CB28</f>
        <v>-1946</v>
      </c>
      <c r="CC83" s="203">
        <f>-BS!CC28</f>
        <v>-1902</v>
      </c>
      <c r="CD83" s="203">
        <f>-BS!CD28</f>
        <v>-1946</v>
      </c>
      <c r="CE83" s="1461">
        <f>-BS!CE28</f>
        <v>-1946</v>
      </c>
      <c r="CF83" s="203">
        <f>-BS!CF28</f>
        <v>-2045</v>
      </c>
      <c r="CG83" s="203">
        <f>-BS!CG28</f>
        <v>-2053</v>
      </c>
      <c r="CH83" s="203">
        <f>-BS!CH28</f>
        <v>-2009</v>
      </c>
      <c r="CI83" s="1448">
        <f>-BS!CI28</f>
        <v>-2142</v>
      </c>
      <c r="CJ83" s="203">
        <f>-BS!CJ28</f>
        <v>-2053</v>
      </c>
      <c r="CK83" s="203">
        <f>-BS!CK28</f>
        <v>-2142</v>
      </c>
      <c r="CL83" s="1461">
        <f>-BS!CL28</f>
        <v>-2142</v>
      </c>
      <c r="CM83" s="203">
        <f>-BS!CM28</f>
        <v>-2102</v>
      </c>
      <c r="CN83" s="203">
        <f>-BS!CN28</f>
        <v>-2186</v>
      </c>
      <c r="CO83" s="203">
        <f>-BS!CO28</f>
        <v>-3141</v>
      </c>
      <c r="CP83" s="1448">
        <f>-BS!CP28</f>
        <v>-3389</v>
      </c>
      <c r="CQ83" s="203">
        <f>-BS!CQ28</f>
        <v>-2186</v>
      </c>
      <c r="CR83" s="203">
        <f>-BS!CR28</f>
        <v>-3389</v>
      </c>
      <c r="CS83" s="1461">
        <f>-BS!CS28</f>
        <v>-3389</v>
      </c>
      <c r="CT83" s="203">
        <f>-BS!CT28</f>
        <v>-3393</v>
      </c>
      <c r="CU83" s="203">
        <f>-BS!CU28</f>
        <v>-3113</v>
      </c>
      <c r="CV83" s="203">
        <f>-BS!CV28</f>
        <v>-2976</v>
      </c>
      <c r="CW83" s="1448">
        <f>-BS!CW28</f>
        <v>-3924</v>
      </c>
      <c r="CX83" s="203">
        <f>-BS!CX28</f>
        <v>-3113</v>
      </c>
      <c r="CY83" s="203">
        <f>-BS!CY28</f>
        <v>-3924</v>
      </c>
      <c r="CZ83" s="1461">
        <f>-BS!CZ28</f>
        <v>-3924</v>
      </c>
      <c r="DA83" s="203">
        <f>-BS!DA28</f>
        <v>-3963</v>
      </c>
      <c r="DB83" s="203">
        <f>-BS!DB28</f>
        <v>-4404</v>
      </c>
      <c r="DC83" s="203">
        <f>-BS!DC28</f>
        <v>-4373</v>
      </c>
      <c r="DD83" s="1448">
        <f>-BS!DD28</f>
        <v>-5186</v>
      </c>
      <c r="DE83" s="203">
        <f>-BS!DE28</f>
        <v>-4404</v>
      </c>
      <c r="DF83" s="203">
        <f>-BS!DF28</f>
        <v>-5186</v>
      </c>
      <c r="DG83" s="1461">
        <f>-BS!DG28</f>
        <v>-5186</v>
      </c>
      <c r="DH83" s="203">
        <f>-BS!DH28</f>
        <v>-5515</v>
      </c>
      <c r="DI83" s="1892">
        <f>-BS!DI28</f>
        <v>-4851</v>
      </c>
      <c r="DJ83" s="860">
        <f>-BS!DJ28</f>
        <v>-4851</v>
      </c>
      <c r="DK83" s="1109">
        <f>-BS!DK28</f>
        <v>-5186</v>
      </c>
      <c r="DL83" s="1892">
        <f>-BS!DL28</f>
        <v>-4851</v>
      </c>
      <c r="DM83" s="860">
        <f>-BS!DM28</f>
        <v>-5186</v>
      </c>
      <c r="DN83" s="1119">
        <f>-BS!DN28</f>
        <v>-5186</v>
      </c>
      <c r="DO83" s="860">
        <f>-BS!DO28</f>
        <v>-5186</v>
      </c>
      <c r="DP83" s="860">
        <f>-BS!DP28</f>
        <v>-5186</v>
      </c>
      <c r="DQ83" s="860">
        <f>-BS!DQ28</f>
        <v>-5186</v>
      </c>
      <c r="DR83" s="1109">
        <f>-BS!DR28</f>
        <v>-5186</v>
      </c>
      <c r="DS83" s="860">
        <f>-BS!DS28</f>
        <v>-5186</v>
      </c>
      <c r="DT83" s="860">
        <f>-BS!DT28</f>
        <v>-5186</v>
      </c>
      <c r="DU83" s="1119">
        <f>-BS!DU28</f>
        <v>-5186</v>
      </c>
      <c r="DV83" s="860">
        <f>-BS!DV28</f>
        <v>-5186</v>
      </c>
      <c r="DW83" s="860">
        <f>-BS!DW28</f>
        <v>-5186</v>
      </c>
      <c r="DX83" s="860">
        <f>-BS!DX28</f>
        <v>-5186</v>
      </c>
      <c r="DY83" s="1109">
        <f>-BS!DY28</f>
        <v>-5186</v>
      </c>
      <c r="DZ83" s="860">
        <f>-BS!DZ28</f>
        <v>-5186</v>
      </c>
      <c r="EA83" s="860">
        <f>-BS!EA28</f>
        <v>-5186</v>
      </c>
      <c r="EB83" s="1119">
        <f>-BS!EB28</f>
        <v>-5186</v>
      </c>
      <c r="EC83" s="860">
        <f>-BS!EC28</f>
        <v>-5186</v>
      </c>
      <c r="ED83" s="860">
        <f>-BS!ED28</f>
        <v>-5186</v>
      </c>
      <c r="EE83" s="860">
        <f>-BS!EE28</f>
        <v>-5186</v>
      </c>
      <c r="EF83" s="1109">
        <f>-BS!EF28</f>
        <v>-5186</v>
      </c>
      <c r="EG83" s="860">
        <f>-BS!EG28</f>
        <v>-5186</v>
      </c>
      <c r="EH83" s="860">
        <f>-BS!EH28</f>
        <v>-5186</v>
      </c>
      <c r="EI83" s="1119">
        <f>-BS!EI28</f>
        <v>-5186</v>
      </c>
      <c r="EJ83" s="860">
        <f>-BS!EJ28</f>
        <v>-5186</v>
      </c>
      <c r="EK83" s="860">
        <f>-BS!EK28</f>
        <v>-5186</v>
      </c>
      <c r="EL83" s="860">
        <f>-BS!EL28</f>
        <v>-5186</v>
      </c>
      <c r="EM83" s="1109">
        <f>-BS!EM28</f>
        <v>-5186</v>
      </c>
      <c r="EN83" s="860">
        <f>-BS!EN28</f>
        <v>-5186</v>
      </c>
      <c r="EO83" s="860">
        <f>-BS!EO28</f>
        <v>-5186</v>
      </c>
      <c r="EP83" s="1119">
        <f>-BS!EP28</f>
        <v>-5186</v>
      </c>
      <c r="EQ83" s="303"/>
      <c r="ER83" s="46"/>
    </row>
    <row r="84" spans="1:148" ht="10.199999999999999" customHeight="1">
      <c r="A84" s="108" t="s">
        <v>389</v>
      </c>
      <c r="B84" s="108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203">
        <f>-BS!M38</f>
        <v>-3506</v>
      </c>
      <c r="N84" s="203"/>
      <c r="O84" s="203"/>
      <c r="P84" s="203"/>
      <c r="Q84" s="1448"/>
      <c r="R84" s="203"/>
      <c r="S84" s="203"/>
      <c r="T84" s="1461">
        <f>-BS!T38</f>
        <v>-3804</v>
      </c>
      <c r="U84" s="203">
        <f>-BS!U38</f>
        <v>-3813</v>
      </c>
      <c r="V84" s="203">
        <f>-BS!V38</f>
        <v>-4827</v>
      </c>
      <c r="W84" s="203">
        <f>-BS!W38</f>
        <v>-5180</v>
      </c>
      <c r="X84" s="1448">
        <f>-BS!X38</f>
        <v>-6278</v>
      </c>
      <c r="Y84" s="203">
        <f>-BS!Y38</f>
        <v>-4827</v>
      </c>
      <c r="Z84" s="203">
        <f>-BS!Z38</f>
        <v>-6278</v>
      </c>
      <c r="AA84" s="1461">
        <f>-BS!AA38</f>
        <v>-6278</v>
      </c>
      <c r="AB84" s="203">
        <f>-BS!AB38</f>
        <v>-6705</v>
      </c>
      <c r="AC84" s="203">
        <f>-BS!AC38</f>
        <v>-6689</v>
      </c>
      <c r="AD84" s="203">
        <f>-BS!AD38</f>
        <v>-6066</v>
      </c>
      <c r="AE84" s="1448">
        <f>-BS!AE38</f>
        <v>-6335</v>
      </c>
      <c r="AF84" s="203">
        <f>-BS!AF38</f>
        <v>-6689</v>
      </c>
      <c r="AG84" s="203">
        <f>-BS!AG38</f>
        <v>-6335</v>
      </c>
      <c r="AH84" s="1461">
        <f>-BS!AH38</f>
        <v>-6335</v>
      </c>
      <c r="AI84" s="203">
        <f>-BS!AI38</f>
        <v>-6310</v>
      </c>
      <c r="AJ84" s="203">
        <f>-BS!AJ38</f>
        <v>-8933</v>
      </c>
      <c r="AK84" s="203">
        <f>-BS!AK38</f>
        <v>-8825</v>
      </c>
      <c r="AL84" s="1448">
        <f>-BS!AL38</f>
        <v>-8791</v>
      </c>
      <c r="AM84" s="203">
        <f>-BS!AM38</f>
        <v>-8933</v>
      </c>
      <c r="AN84" s="203">
        <f>-BS!AN38</f>
        <v>-8791</v>
      </c>
      <c r="AO84" s="1461">
        <f>-BS!AO38</f>
        <v>-8791</v>
      </c>
      <c r="AP84" s="203">
        <f>-BS!AP38</f>
        <v>-8735</v>
      </c>
      <c r="AQ84" s="203">
        <f>-BS!AQ38</f>
        <v>-9764</v>
      </c>
      <c r="AR84" s="203">
        <f>-BS!AR38</f>
        <v>-9514</v>
      </c>
      <c r="AS84" s="1448">
        <f>-BS!AS38</f>
        <v>-8984</v>
      </c>
      <c r="AT84" s="203">
        <f>-BS!AT38</f>
        <v>-9764</v>
      </c>
      <c r="AU84" s="203">
        <f>-BS!AU38</f>
        <v>-8984</v>
      </c>
      <c r="AV84" s="1461">
        <f>-BS!AV38</f>
        <v>-8984</v>
      </c>
      <c r="AW84" s="203"/>
      <c r="AX84" s="203"/>
      <c r="AY84" s="203"/>
      <c r="AZ84" s="1448"/>
      <c r="BA84" s="203"/>
      <c r="BB84" s="203"/>
      <c r="BC84" s="1461">
        <f>-BS!BC38</f>
        <v>-8984</v>
      </c>
      <c r="BD84" s="203">
        <f>-BS!BD38</f>
        <v>-8828</v>
      </c>
      <c r="BE84" s="203">
        <f>-BS!BE38</f>
        <v>-7636</v>
      </c>
      <c r="BF84" s="203">
        <f>-BS!BF38</f>
        <v>-7500</v>
      </c>
      <c r="BG84" s="1448">
        <f>-BS!BG38</f>
        <v>-7463</v>
      </c>
      <c r="BH84" s="203">
        <f>-BS!BH38</f>
        <v>-7636</v>
      </c>
      <c r="BI84" s="203">
        <f>-BS!BI38</f>
        <v>-7463</v>
      </c>
      <c r="BJ84" s="1461">
        <f>-BS!BJ38</f>
        <v>-7463</v>
      </c>
      <c r="BK84" s="203">
        <f>-BS!BK38</f>
        <v>-8696</v>
      </c>
      <c r="BL84" s="203">
        <f>-BS!BL38</f>
        <v>-8635</v>
      </c>
      <c r="BM84" s="203">
        <f>-BS!BM38</f>
        <v>-8783</v>
      </c>
      <c r="BN84" s="1448">
        <f>-BS!BN38</f>
        <v>-8189</v>
      </c>
      <c r="BO84" s="203">
        <f>-BS!BO38</f>
        <v>-8635</v>
      </c>
      <c r="BP84" s="203">
        <f>-BS!BP38</f>
        <v>-8189</v>
      </c>
      <c r="BQ84" s="1461">
        <f>-BS!BQ38</f>
        <v>-8189</v>
      </c>
      <c r="BR84" s="203">
        <f>-BS!BR38</f>
        <v>-8420</v>
      </c>
      <c r="BS84" s="203">
        <f>-BS!BS38</f>
        <v>-13441</v>
      </c>
      <c r="BT84" s="203">
        <f>-BS!BT38</f>
        <v>-13973</v>
      </c>
      <c r="BU84" s="1448">
        <f>-BS!BU38</f>
        <v>-14082</v>
      </c>
      <c r="BV84" s="203">
        <f>-BS!BV38</f>
        <v>-13441</v>
      </c>
      <c r="BW84" s="203">
        <f>-BS!BW38</f>
        <v>-14082</v>
      </c>
      <c r="BX84" s="1461">
        <f>-BS!BX38</f>
        <v>-14082</v>
      </c>
      <c r="BY84" s="203">
        <f>-BS!BY38</f>
        <v>-14041</v>
      </c>
      <c r="BZ84" s="203">
        <f>-BS!BZ38</f>
        <v>-13054</v>
      </c>
      <c r="CA84" s="203">
        <f>-BS!CA38</f>
        <v>-13025</v>
      </c>
      <c r="CB84" s="1448">
        <f>-BS!CB38</f>
        <v>-13094</v>
      </c>
      <c r="CC84" s="203">
        <f>-BS!CC38</f>
        <v>-13054</v>
      </c>
      <c r="CD84" s="203">
        <f>-BS!CD38</f>
        <v>-13094</v>
      </c>
      <c r="CE84" s="1461">
        <f>-BS!CE38</f>
        <v>-13094</v>
      </c>
      <c r="CF84" s="203">
        <f>-BS!CF38</f>
        <v>-12527</v>
      </c>
      <c r="CG84" s="203">
        <f>-BS!CG38</f>
        <v>-11244</v>
      </c>
      <c r="CH84" s="203">
        <f>-BS!CH38</f>
        <v>-11000</v>
      </c>
      <c r="CI84" s="1448">
        <f>-BS!CI38</f>
        <v>-10631</v>
      </c>
      <c r="CJ84" s="203">
        <f>-BS!CJ38</f>
        <v>-11244</v>
      </c>
      <c r="CK84" s="203">
        <f>-BS!CK38</f>
        <v>-10631</v>
      </c>
      <c r="CL84" s="1461">
        <f>-BS!CL38</f>
        <v>-10631</v>
      </c>
      <c r="CM84" s="203">
        <f>-BS!CM38</f>
        <v>-10650</v>
      </c>
      <c r="CN84" s="203">
        <f>-BS!CN38</f>
        <v>-10363</v>
      </c>
      <c r="CO84" s="203">
        <f>-BS!CO38</f>
        <v>-9526</v>
      </c>
      <c r="CP84" s="1448">
        <f>-BS!CP38</f>
        <v>-10202</v>
      </c>
      <c r="CQ84" s="203">
        <f>-BS!CQ38</f>
        <v>-10363</v>
      </c>
      <c r="CR84" s="203">
        <f>-BS!CR38</f>
        <v>-10202</v>
      </c>
      <c r="CS84" s="1461">
        <f>-BS!CS38</f>
        <v>-10202</v>
      </c>
      <c r="CT84" s="203">
        <f>-BS!CT38</f>
        <v>-10286</v>
      </c>
      <c r="CU84" s="203">
        <f>-BS!CU38</f>
        <v>-9765</v>
      </c>
      <c r="CV84" s="203">
        <f>-BS!CV38</f>
        <v>-10144</v>
      </c>
      <c r="CW84" s="1448">
        <f>-BS!CW38</f>
        <v>-10355</v>
      </c>
      <c r="CX84" s="203">
        <f>-BS!CX38</f>
        <v>-9765</v>
      </c>
      <c r="CY84" s="203">
        <f>-BS!CY38</f>
        <v>-10355</v>
      </c>
      <c r="CZ84" s="1461">
        <f>-BS!CZ38</f>
        <v>-10355</v>
      </c>
      <c r="DA84" s="203">
        <f>-BS!DA38</f>
        <v>-10306</v>
      </c>
      <c r="DB84" s="203">
        <f>-BS!DB38</f>
        <v>-8951</v>
      </c>
      <c r="DC84" s="203">
        <f>-BS!DC38</f>
        <v>-9148</v>
      </c>
      <c r="DD84" s="1448">
        <f>-BS!DD38</f>
        <v>-9063</v>
      </c>
      <c r="DE84" s="203">
        <f>-BS!DE38</f>
        <v>-8951</v>
      </c>
      <c r="DF84" s="203">
        <f>-BS!DF38</f>
        <v>-9063</v>
      </c>
      <c r="DG84" s="1461">
        <f>-BS!DG38</f>
        <v>-9063</v>
      </c>
      <c r="DH84" s="203">
        <f>-BS!DH38</f>
        <v>-9055</v>
      </c>
      <c r="DI84" s="1892">
        <f>-BS!DI38</f>
        <v>-9425</v>
      </c>
      <c r="DJ84" s="860">
        <f>-BS!DJ38</f>
        <v>-9425</v>
      </c>
      <c r="DK84" s="1109">
        <f>-BS!DK38</f>
        <v>-9063</v>
      </c>
      <c r="DL84" s="1892">
        <f>-BS!DL38</f>
        <v>-9425</v>
      </c>
      <c r="DM84" s="860">
        <f>-BS!DM38</f>
        <v>-9063</v>
      </c>
      <c r="DN84" s="1119">
        <f>-BS!DN38</f>
        <v>-9063</v>
      </c>
      <c r="DO84" s="860">
        <f>-BS!DO38</f>
        <v>-9063</v>
      </c>
      <c r="DP84" s="860">
        <f>-BS!DP38</f>
        <v>-9063</v>
      </c>
      <c r="DQ84" s="860">
        <f>-BS!DQ38</f>
        <v>-9063</v>
      </c>
      <c r="DR84" s="1109">
        <f>-BS!DR38</f>
        <v>-9063</v>
      </c>
      <c r="DS84" s="860">
        <f>-BS!DS38</f>
        <v>-9063</v>
      </c>
      <c r="DT84" s="860">
        <f>-BS!DT38</f>
        <v>-9063</v>
      </c>
      <c r="DU84" s="1119">
        <f>-BS!DU38</f>
        <v>-9063</v>
      </c>
      <c r="DV84" s="860">
        <f>-BS!DV38</f>
        <v>-9063</v>
      </c>
      <c r="DW84" s="860">
        <f>-BS!DW38</f>
        <v>-9063</v>
      </c>
      <c r="DX84" s="860">
        <f>-BS!DX38</f>
        <v>-9063</v>
      </c>
      <c r="DY84" s="1109">
        <f>-BS!DY38</f>
        <v>-9063</v>
      </c>
      <c r="DZ84" s="860">
        <f>-BS!DZ38</f>
        <v>-9063</v>
      </c>
      <c r="EA84" s="860">
        <f>-BS!EA38</f>
        <v>-9063</v>
      </c>
      <c r="EB84" s="1119">
        <f>-BS!EB38</f>
        <v>-9063</v>
      </c>
      <c r="EC84" s="860">
        <f>-BS!EC38</f>
        <v>-9063</v>
      </c>
      <c r="ED84" s="860">
        <f>-BS!ED38</f>
        <v>-9063</v>
      </c>
      <c r="EE84" s="860">
        <f>-BS!EE38</f>
        <v>-9063</v>
      </c>
      <c r="EF84" s="1109">
        <f>-BS!EF38</f>
        <v>-9063</v>
      </c>
      <c r="EG84" s="860">
        <f>-BS!EG38</f>
        <v>-9063</v>
      </c>
      <c r="EH84" s="860">
        <f>-BS!EH38</f>
        <v>-9063</v>
      </c>
      <c r="EI84" s="1119">
        <f>-BS!EI38</f>
        <v>-9063</v>
      </c>
      <c r="EJ84" s="860">
        <f>-BS!EJ38</f>
        <v>-9063</v>
      </c>
      <c r="EK84" s="860">
        <f>-BS!EK38</f>
        <v>-9063</v>
      </c>
      <c r="EL84" s="860">
        <f>-BS!EL38</f>
        <v>-9063</v>
      </c>
      <c r="EM84" s="1109">
        <f>-BS!EM38</f>
        <v>-9063</v>
      </c>
      <c r="EN84" s="860">
        <f>-BS!EN38</f>
        <v>-9063</v>
      </c>
      <c r="EO84" s="860">
        <f>-BS!EO38</f>
        <v>-9063</v>
      </c>
      <c r="EP84" s="1119">
        <f>-BS!EP38</f>
        <v>-9063</v>
      </c>
      <c r="EQ84" s="303"/>
      <c r="ER84" s="46"/>
    </row>
    <row r="85" spans="1:148" ht="10.199999999999999" customHeight="1">
      <c r="A85" s="108" t="s">
        <v>800</v>
      </c>
      <c r="B85" s="108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203"/>
      <c r="N85" s="203"/>
      <c r="O85" s="203"/>
      <c r="P85" s="203"/>
      <c r="Q85" s="1448"/>
      <c r="R85" s="203"/>
      <c r="S85" s="203"/>
      <c r="T85" s="1461"/>
      <c r="U85" s="203"/>
      <c r="V85" s="203"/>
      <c r="W85" s="203"/>
      <c r="X85" s="1448"/>
      <c r="Y85" s="203"/>
      <c r="Z85" s="203"/>
      <c r="AA85" s="1461"/>
      <c r="AB85" s="203"/>
      <c r="AC85" s="203"/>
      <c r="AD85" s="203"/>
      <c r="AE85" s="1448"/>
      <c r="AF85" s="203"/>
      <c r="AG85" s="203"/>
      <c r="AH85" s="1461"/>
      <c r="AI85" s="203"/>
      <c r="AJ85" s="203"/>
      <c r="AK85" s="203"/>
      <c r="AL85" s="1448"/>
      <c r="AM85" s="203"/>
      <c r="AN85" s="203"/>
      <c r="AO85" s="1461"/>
      <c r="AP85" s="203"/>
      <c r="AQ85" s="203"/>
      <c r="AR85" s="203"/>
      <c r="AS85" s="1448"/>
      <c r="AT85" s="203"/>
      <c r="AU85" s="203"/>
      <c r="AV85" s="1461"/>
      <c r="AW85" s="203"/>
      <c r="AX85" s="203"/>
      <c r="AY85" s="203"/>
      <c r="AZ85" s="1448"/>
      <c r="BA85" s="203"/>
      <c r="BB85" s="203"/>
      <c r="BC85" s="1461"/>
      <c r="BD85" s="203"/>
      <c r="BE85" s="203"/>
      <c r="BF85" s="203"/>
      <c r="BG85" s="1448"/>
      <c r="BH85" s="203"/>
      <c r="BI85" s="203"/>
      <c r="BJ85" s="1461"/>
      <c r="BK85" s="203"/>
      <c r="BL85" s="203"/>
      <c r="BM85" s="203"/>
      <c r="BN85" s="1448"/>
      <c r="BO85" s="203"/>
      <c r="BP85" s="203"/>
      <c r="BQ85" s="1461"/>
      <c r="BR85" s="203"/>
      <c r="BS85" s="203"/>
      <c r="BT85" s="203"/>
      <c r="BU85" s="1448"/>
      <c r="BV85" s="203"/>
      <c r="BW85" s="203"/>
      <c r="BX85" s="1461"/>
      <c r="BY85" s="203"/>
      <c r="BZ85" s="203"/>
      <c r="CA85" s="203"/>
      <c r="CB85" s="1448">
        <f>CD85</f>
        <v>97</v>
      </c>
      <c r="CC85" s="203"/>
      <c r="CD85" s="203">
        <f>CE85</f>
        <v>97</v>
      </c>
      <c r="CE85" s="1461">
        <v>97</v>
      </c>
      <c r="CF85" s="203">
        <v>-533</v>
      </c>
      <c r="CG85" s="203">
        <f>CJ85</f>
        <v>-1050</v>
      </c>
      <c r="CH85" s="203">
        <v>-1476</v>
      </c>
      <c r="CI85" s="1448">
        <f>CK85</f>
        <v>-1394</v>
      </c>
      <c r="CJ85" s="203">
        <v>-1050</v>
      </c>
      <c r="CK85" s="203">
        <f>CL85</f>
        <v>-1394</v>
      </c>
      <c r="CL85" s="1461">
        <v>-1394</v>
      </c>
      <c r="CM85" s="203">
        <v>-1307</v>
      </c>
      <c r="CN85" s="203">
        <f>CQ85</f>
        <v>-1306</v>
      </c>
      <c r="CO85" s="203">
        <v>-1423</v>
      </c>
      <c r="CP85" s="1448">
        <f>CR85</f>
        <v>-961</v>
      </c>
      <c r="CQ85" s="203">
        <v>-1306</v>
      </c>
      <c r="CR85" s="203">
        <f>CS85</f>
        <v>-961</v>
      </c>
      <c r="CS85" s="1461">
        <v>-961</v>
      </c>
      <c r="CT85" s="203">
        <v>-1029</v>
      </c>
      <c r="CU85" s="203">
        <f>CX85</f>
        <v>-1063</v>
      </c>
      <c r="CV85" s="203">
        <v>-805</v>
      </c>
      <c r="CW85" s="1448">
        <f>CY85</f>
        <v>-832</v>
      </c>
      <c r="CX85" s="203">
        <v>-1063</v>
      </c>
      <c r="CY85" s="203">
        <f>CZ85</f>
        <v>-832</v>
      </c>
      <c r="CZ85" s="1461">
        <v>-832</v>
      </c>
      <c r="DA85" s="203">
        <v>-828</v>
      </c>
      <c r="DB85" s="203">
        <f>DE85</f>
        <v>-773</v>
      </c>
      <c r="DC85" s="203">
        <v>-771</v>
      </c>
      <c r="DD85" s="1448">
        <f>DF85</f>
        <v>-798</v>
      </c>
      <c r="DE85" s="2081">
        <v>-773</v>
      </c>
      <c r="DF85" s="203">
        <f>DG85</f>
        <v>-798</v>
      </c>
      <c r="DG85" s="1461">
        <v>-798</v>
      </c>
      <c r="DH85" s="203">
        <v>-818</v>
      </c>
      <c r="DI85" s="1892">
        <f>DL85</f>
        <v>-740</v>
      </c>
      <c r="DJ85" s="860">
        <f>DN85</f>
        <v>-800</v>
      </c>
      <c r="DK85" s="1109">
        <f>DM85</f>
        <v>-800</v>
      </c>
      <c r="DL85" s="1892">
        <v>-740</v>
      </c>
      <c r="DM85" s="860">
        <f>DN85</f>
        <v>-800</v>
      </c>
      <c r="DN85" s="1484">
        <v>-800</v>
      </c>
      <c r="DO85" s="860">
        <f>DU85</f>
        <v>-800</v>
      </c>
      <c r="DP85" s="860">
        <f>DS85</f>
        <v>-800</v>
      </c>
      <c r="DQ85" s="860">
        <f>DU85</f>
        <v>-800</v>
      </c>
      <c r="DR85" s="1109">
        <f>DT85</f>
        <v>-800</v>
      </c>
      <c r="DS85" s="860">
        <f>DU85</f>
        <v>-800</v>
      </c>
      <c r="DT85" s="860">
        <f>DU85</f>
        <v>-800</v>
      </c>
      <c r="DU85" s="1119">
        <f>DN85</f>
        <v>-800</v>
      </c>
      <c r="DV85" s="860">
        <f>EB85</f>
        <v>-800</v>
      </c>
      <c r="DW85" s="860">
        <f>DZ85</f>
        <v>-800</v>
      </c>
      <c r="DX85" s="860">
        <f>EB85</f>
        <v>-800</v>
      </c>
      <c r="DY85" s="1109">
        <f>EA85</f>
        <v>-800</v>
      </c>
      <c r="DZ85" s="860">
        <f>EB85</f>
        <v>-800</v>
      </c>
      <c r="EA85" s="860">
        <f>EB85</f>
        <v>-800</v>
      </c>
      <c r="EB85" s="1119">
        <f>DU85</f>
        <v>-800</v>
      </c>
      <c r="EC85" s="860">
        <f>EI85</f>
        <v>-800</v>
      </c>
      <c r="ED85" s="860">
        <f>EG85</f>
        <v>-800</v>
      </c>
      <c r="EE85" s="860">
        <f>EI85</f>
        <v>-800</v>
      </c>
      <c r="EF85" s="1109">
        <f>EH85</f>
        <v>-800</v>
      </c>
      <c r="EG85" s="860">
        <f>EI85</f>
        <v>-800</v>
      </c>
      <c r="EH85" s="860">
        <f>EI85</f>
        <v>-800</v>
      </c>
      <c r="EI85" s="1119">
        <f>EB85</f>
        <v>-800</v>
      </c>
      <c r="EJ85" s="860">
        <f>EP85</f>
        <v>-800</v>
      </c>
      <c r="EK85" s="860">
        <f>EN85</f>
        <v>-800</v>
      </c>
      <c r="EL85" s="860">
        <f>EP85</f>
        <v>-800</v>
      </c>
      <c r="EM85" s="1109">
        <f>EO85</f>
        <v>-800</v>
      </c>
      <c r="EN85" s="860">
        <f>EP85</f>
        <v>-800</v>
      </c>
      <c r="EO85" s="860">
        <f>EP85</f>
        <v>-800</v>
      </c>
      <c r="EP85" s="1119">
        <f t="shared" ref="EP85" si="999">EI85</f>
        <v>-800</v>
      </c>
      <c r="EQ85" s="303"/>
      <c r="ER85" s="46"/>
    </row>
    <row r="86" spans="1:148" ht="10.199999999999999" customHeight="1">
      <c r="A86" s="153" t="s">
        <v>390</v>
      </c>
      <c r="B86" s="822"/>
      <c r="C86" s="904"/>
      <c r="D86" s="904"/>
      <c r="E86" s="904"/>
      <c r="F86" s="904"/>
      <c r="G86" s="904"/>
      <c r="H86" s="904"/>
      <c r="I86" s="904"/>
      <c r="J86" s="904"/>
      <c r="K86" s="904"/>
      <c r="L86" s="904"/>
      <c r="M86" s="904">
        <f t="shared" ref="M86:EP86" si="1000">M82+M83+M84+M85</f>
        <v>12292</v>
      </c>
      <c r="N86" s="1533">
        <v>8678</v>
      </c>
      <c r="O86" s="1533">
        <f>R86</f>
        <v>5448</v>
      </c>
      <c r="P86" s="1533">
        <v>4742</v>
      </c>
      <c r="Q86" s="1538">
        <f>S86</f>
        <v>8454</v>
      </c>
      <c r="R86" s="1533">
        <v>5448</v>
      </c>
      <c r="S86" s="1533">
        <f>T86</f>
        <v>8454</v>
      </c>
      <c r="T86" s="1542">
        <f t="shared" si="1000"/>
        <v>8454</v>
      </c>
      <c r="U86" s="1533">
        <f>U82+U83+U84+U85</f>
        <v>6547</v>
      </c>
      <c r="V86" s="1533">
        <f t="shared" ref="V86:X86" si="1001">V82+V83+V84+V85</f>
        <v>5361</v>
      </c>
      <c r="W86" s="1533">
        <f t="shared" si="1001"/>
        <v>5346</v>
      </c>
      <c r="X86" s="1538">
        <f t="shared" si="1001"/>
        <v>9092</v>
      </c>
      <c r="Y86" s="1533">
        <f t="shared" ref="Y86:Z86" si="1002">Y82+Y83+Y84+Y85</f>
        <v>5361</v>
      </c>
      <c r="Z86" s="1533">
        <f t="shared" si="1002"/>
        <v>9092</v>
      </c>
      <c r="AA86" s="1542">
        <f t="shared" si="1000"/>
        <v>9092</v>
      </c>
      <c r="AB86" s="1533">
        <f>AB82+AB83+AB84+AB85</f>
        <v>9460</v>
      </c>
      <c r="AC86" s="1533">
        <f t="shared" ref="AC86:AE86" si="1003">AC82+AC83+AC84+AC85</f>
        <v>8436</v>
      </c>
      <c r="AD86" s="1533">
        <f t="shared" si="1003"/>
        <v>7798</v>
      </c>
      <c r="AE86" s="1538">
        <f t="shared" si="1003"/>
        <v>10003</v>
      </c>
      <c r="AF86" s="1533">
        <f t="shared" ref="AF86:AG86" si="1004">AF82+AF83+AF84+AF85</f>
        <v>8436</v>
      </c>
      <c r="AG86" s="1533">
        <f t="shared" si="1004"/>
        <v>10003</v>
      </c>
      <c r="AH86" s="1542">
        <f t="shared" si="1000"/>
        <v>10003</v>
      </c>
      <c r="AI86" s="1533">
        <f t="shared" ref="AI86:AL86" si="1005">AI82+AI83+AI84+AI85</f>
        <v>6438</v>
      </c>
      <c r="AJ86" s="1533">
        <f t="shared" si="1005"/>
        <v>7196</v>
      </c>
      <c r="AK86" s="1533">
        <f t="shared" si="1005"/>
        <v>5553</v>
      </c>
      <c r="AL86" s="1538">
        <f t="shared" si="1005"/>
        <v>11113</v>
      </c>
      <c r="AM86" s="1533">
        <f t="shared" ref="AM86:AN86" si="1006">AM82+AM83+AM84+AM85</f>
        <v>7196</v>
      </c>
      <c r="AN86" s="1533">
        <f t="shared" si="1006"/>
        <v>11113</v>
      </c>
      <c r="AO86" s="1542">
        <f t="shared" si="1000"/>
        <v>11113</v>
      </c>
      <c r="AP86" s="1533">
        <f t="shared" si="1000"/>
        <v>9750</v>
      </c>
      <c r="AQ86" s="1533">
        <f t="shared" si="1000"/>
        <v>7899</v>
      </c>
      <c r="AR86" s="1533">
        <f t="shared" si="1000"/>
        <v>6718</v>
      </c>
      <c r="AS86" s="1538">
        <f t="shared" si="1000"/>
        <v>13391</v>
      </c>
      <c r="AT86" s="1533">
        <f t="shared" ref="AT86:AU86" si="1007">AT82+AT83+AT84+AT85</f>
        <v>7899</v>
      </c>
      <c r="AU86" s="1533">
        <f t="shared" si="1007"/>
        <v>13391</v>
      </c>
      <c r="AV86" s="1542">
        <f t="shared" si="1000"/>
        <v>13391</v>
      </c>
      <c r="AW86" s="1533">
        <v>9750</v>
      </c>
      <c r="AX86" s="1533">
        <f>BA86</f>
        <v>7899</v>
      </c>
      <c r="AY86" s="1533">
        <v>6718</v>
      </c>
      <c r="AZ86" s="1538">
        <f>BB86</f>
        <v>13391</v>
      </c>
      <c r="BA86" s="1533">
        <v>7899</v>
      </c>
      <c r="BB86" s="1533">
        <f>BC86</f>
        <v>13391</v>
      </c>
      <c r="BC86" s="1542">
        <f t="shared" si="1000"/>
        <v>13391</v>
      </c>
      <c r="BD86" s="1533">
        <f t="shared" ref="BD86:BG86" si="1008">BD82+BD83+BD84+BD85</f>
        <v>9769</v>
      </c>
      <c r="BE86" s="1533">
        <f t="shared" si="1008"/>
        <v>8068</v>
      </c>
      <c r="BF86" s="1533">
        <f t="shared" si="1008"/>
        <v>7187</v>
      </c>
      <c r="BG86" s="1538">
        <f t="shared" si="1008"/>
        <v>13281</v>
      </c>
      <c r="BH86" s="1533">
        <f t="shared" ref="BH86:BI86" si="1009">BH82+BH83+BH84+BH85</f>
        <v>8068</v>
      </c>
      <c r="BI86" s="1533">
        <f t="shared" si="1009"/>
        <v>13281</v>
      </c>
      <c r="BJ86" s="1542">
        <f t="shared" si="1000"/>
        <v>13281</v>
      </c>
      <c r="BK86" s="1533">
        <f t="shared" si="1000"/>
        <v>7463</v>
      </c>
      <c r="BL86" s="1533">
        <f t="shared" si="1000"/>
        <v>6565</v>
      </c>
      <c r="BM86" s="1533">
        <f t="shared" si="1000"/>
        <v>5576</v>
      </c>
      <c r="BN86" s="1538">
        <f t="shared" si="1000"/>
        <v>12534</v>
      </c>
      <c r="BO86" s="1533">
        <f t="shared" ref="BO86:BP86" si="1010">BO82+BO83+BO84+BO85</f>
        <v>6565</v>
      </c>
      <c r="BP86" s="1533">
        <f t="shared" si="1010"/>
        <v>12534</v>
      </c>
      <c r="BQ86" s="1542">
        <f t="shared" si="1000"/>
        <v>12534</v>
      </c>
      <c r="BR86" s="1533">
        <f t="shared" ref="BR86:BU86" si="1011">BR82+BR83+BR84+BR85</f>
        <v>3586</v>
      </c>
      <c r="BS86" s="1533">
        <f t="shared" si="1011"/>
        <v>-586</v>
      </c>
      <c r="BT86" s="1533">
        <f t="shared" si="1011"/>
        <v>-242</v>
      </c>
      <c r="BU86" s="1538">
        <f t="shared" si="1011"/>
        <v>4312</v>
      </c>
      <c r="BV86" s="1533">
        <f t="shared" ref="BV86:BW86" si="1012">BV82+BV83+BV84+BV85</f>
        <v>-586</v>
      </c>
      <c r="BW86" s="1533">
        <f t="shared" si="1012"/>
        <v>4312</v>
      </c>
      <c r="BX86" s="1542">
        <f t="shared" si="1000"/>
        <v>4312</v>
      </c>
      <c r="BY86" s="1533">
        <f t="shared" si="1000"/>
        <v>5575</v>
      </c>
      <c r="BZ86" s="1533">
        <f t="shared" si="1000"/>
        <v>6485</v>
      </c>
      <c r="CA86" s="1533">
        <f t="shared" si="1000"/>
        <v>6733</v>
      </c>
      <c r="CB86" s="1538">
        <f t="shared" si="1000"/>
        <v>7740</v>
      </c>
      <c r="CC86" s="1533">
        <f t="shared" ref="CC86:CD86" si="1013">CC82+CC83+CC84+CC85</f>
        <v>6485</v>
      </c>
      <c r="CD86" s="1533">
        <f t="shared" si="1013"/>
        <v>7740</v>
      </c>
      <c r="CE86" s="1542">
        <f t="shared" si="1000"/>
        <v>7740</v>
      </c>
      <c r="CF86" s="1533">
        <f t="shared" ref="CF86:CI86" si="1014">CF82+CF83+CF84+CF85</f>
        <v>7711</v>
      </c>
      <c r="CG86" s="1533">
        <f t="shared" si="1014"/>
        <v>7214</v>
      </c>
      <c r="CH86" s="1533">
        <f t="shared" si="1014"/>
        <v>7972</v>
      </c>
      <c r="CI86" s="1538">
        <f t="shared" si="1014"/>
        <v>9431</v>
      </c>
      <c r="CJ86" s="1533">
        <f t="shared" ref="CJ86:CK86" si="1015">CJ82+CJ83+CJ84+CJ85</f>
        <v>7214</v>
      </c>
      <c r="CK86" s="1533">
        <f t="shared" si="1015"/>
        <v>9431</v>
      </c>
      <c r="CL86" s="1542">
        <f t="shared" si="1000"/>
        <v>9431</v>
      </c>
      <c r="CM86" s="1533">
        <f t="shared" si="1000"/>
        <v>8359</v>
      </c>
      <c r="CN86" s="1533">
        <f t="shared" si="1000"/>
        <v>9064</v>
      </c>
      <c r="CO86" s="1533">
        <f t="shared" si="1000"/>
        <v>8315</v>
      </c>
      <c r="CP86" s="1538">
        <f t="shared" si="1000"/>
        <v>10726</v>
      </c>
      <c r="CQ86" s="1533">
        <f t="shared" ref="CQ86:CR86" si="1016">CQ82+CQ83+CQ84+CQ85</f>
        <v>9064</v>
      </c>
      <c r="CR86" s="1533">
        <f t="shared" si="1016"/>
        <v>10726</v>
      </c>
      <c r="CS86" s="1542">
        <f t="shared" si="1000"/>
        <v>10726</v>
      </c>
      <c r="CT86" s="1533">
        <f t="shared" ref="CT86:CU86" si="1017">CT82+CT83+CT84+CT85</f>
        <v>8716</v>
      </c>
      <c r="CU86" s="1533">
        <f t="shared" si="1017"/>
        <v>7934</v>
      </c>
      <c r="CV86" s="1533">
        <f t="shared" ref="CV86:CW86" si="1018">CV82+CV83+CV84+CV85</f>
        <v>7163</v>
      </c>
      <c r="CW86" s="1538">
        <f t="shared" si="1018"/>
        <v>11753</v>
      </c>
      <c r="CX86" s="1533">
        <f t="shared" ref="CX86:DB86" si="1019">CX82+CX83+CX84+CX85</f>
        <v>7934</v>
      </c>
      <c r="CY86" s="1533">
        <f t="shared" si="1019"/>
        <v>11753</v>
      </c>
      <c r="CZ86" s="1542">
        <f t="shared" si="1019"/>
        <v>11753</v>
      </c>
      <c r="DA86" s="1533">
        <f t="shared" si="1019"/>
        <v>10996</v>
      </c>
      <c r="DB86" s="1533">
        <f t="shared" si="1019"/>
        <v>6953</v>
      </c>
      <c r="DC86" s="1533">
        <f t="shared" ref="DC86:DF86" si="1020">DC82+DC83+DC84+DC85</f>
        <v>7042</v>
      </c>
      <c r="DD86" s="1538">
        <f t="shared" si="1020"/>
        <v>12171</v>
      </c>
      <c r="DE86" s="1533">
        <f t="shared" si="1020"/>
        <v>6953</v>
      </c>
      <c r="DF86" s="1533">
        <f t="shared" si="1020"/>
        <v>12171</v>
      </c>
      <c r="DG86" s="1542">
        <f t="shared" ref="DG86:DI86" si="1021">DG82+DG83+DG84+DG85</f>
        <v>12171</v>
      </c>
      <c r="DH86" s="1533">
        <f t="shared" si="1021"/>
        <v>9849</v>
      </c>
      <c r="DI86" s="2018">
        <f t="shared" si="1021"/>
        <v>8360</v>
      </c>
      <c r="DJ86" s="1534">
        <f t="shared" si="1000"/>
        <v>8975.8889267069535</v>
      </c>
      <c r="DK86" s="1561">
        <f t="shared" si="1000"/>
        <v>14013.315290264629</v>
      </c>
      <c r="DL86" s="2018">
        <f t="shared" si="1000"/>
        <v>8360</v>
      </c>
      <c r="DM86" s="1534">
        <f t="shared" si="1000"/>
        <v>14013.315290264629</v>
      </c>
      <c r="DN86" s="1553">
        <f t="shared" si="1000"/>
        <v>14013.315290264629</v>
      </c>
      <c r="DO86" s="1534">
        <f t="shared" si="1000"/>
        <v>12561.703557681096</v>
      </c>
      <c r="DP86" s="1534">
        <f t="shared" si="1000"/>
        <v>11687.897155872837</v>
      </c>
      <c r="DQ86" s="1534">
        <f t="shared" si="1000"/>
        <v>14278.919444198786</v>
      </c>
      <c r="DR86" s="1561">
        <f t="shared" si="1000"/>
        <v>16441.264435215046</v>
      </c>
      <c r="DS86" s="1534">
        <f t="shared" si="1000"/>
        <v>11687.897155872837</v>
      </c>
      <c r="DT86" s="1534">
        <f t="shared" si="1000"/>
        <v>16441.264435215046</v>
      </c>
      <c r="DU86" s="1553">
        <f t="shared" si="1000"/>
        <v>16441.264435215046</v>
      </c>
      <c r="DV86" s="1534">
        <f t="shared" ref="DV86:EA86" si="1022">DV82+DV83+DV84+DV85</f>
        <v>15845.438205138318</v>
      </c>
      <c r="DW86" s="1534">
        <f t="shared" si="1022"/>
        <v>14982.931632107349</v>
      </c>
      <c r="DX86" s="1534">
        <f t="shared" si="1022"/>
        <v>18057.638034577278</v>
      </c>
      <c r="DY86" s="1561">
        <f t="shared" si="1022"/>
        <v>20839.961050330181</v>
      </c>
      <c r="DZ86" s="1534">
        <f t="shared" si="1022"/>
        <v>14982.931632107349</v>
      </c>
      <c r="EA86" s="1534">
        <f t="shared" si="1022"/>
        <v>20839.961050330181</v>
      </c>
      <c r="EB86" s="1553">
        <f t="shared" si="1000"/>
        <v>20839.961050330181</v>
      </c>
      <c r="EC86" s="1534">
        <f t="shared" ref="EC86:EH86" si="1023">EC82+EC83+EC84+EC85</f>
        <v>20984.62160467403</v>
      </c>
      <c r="ED86" s="1534">
        <f t="shared" si="1023"/>
        <v>19222.333860053208</v>
      </c>
      <c r="EE86" s="1534">
        <f t="shared" si="1023"/>
        <v>22084.939250051364</v>
      </c>
      <c r="EF86" s="1561">
        <f t="shared" si="1023"/>
        <v>25321.263487631164</v>
      </c>
      <c r="EG86" s="1534">
        <f t="shared" si="1023"/>
        <v>19222.333860053208</v>
      </c>
      <c r="EH86" s="1534">
        <f t="shared" si="1023"/>
        <v>25321.263487631164</v>
      </c>
      <c r="EI86" s="1553">
        <f t="shared" si="1000"/>
        <v>25321.263487631164</v>
      </c>
      <c r="EJ86" s="1534">
        <f t="shared" ref="EJ86:EO86" si="1024">EJ82+EJ83+EJ84+EJ85</f>
        <v>25775.988714170395</v>
      </c>
      <c r="EK86" s="1534">
        <f t="shared" si="1024"/>
        <v>25366.707690911229</v>
      </c>
      <c r="EL86" s="1534">
        <f t="shared" si="1024"/>
        <v>28416.917834988897</v>
      </c>
      <c r="EM86" s="1561">
        <f t="shared" si="1024"/>
        <v>31830.021652357987</v>
      </c>
      <c r="EN86" s="1534">
        <f t="shared" si="1024"/>
        <v>25366.707690911229</v>
      </c>
      <c r="EO86" s="1534">
        <f t="shared" si="1024"/>
        <v>31830.021652357987</v>
      </c>
      <c r="EP86" s="1553">
        <f t="shared" si="1000"/>
        <v>31830.021652357987</v>
      </c>
      <c r="EQ86" s="906"/>
      <c r="ER86" s="46"/>
    </row>
    <row r="87" spans="1:148"/>
    <row r="88" spans="1:148"/>
    <row r="89" spans="1:148"/>
    <row r="90" spans="1:148"/>
    <row r="91" spans="1:148"/>
    <row r="92" spans="1:148">
      <c r="A92" s="48" t="s">
        <v>937</v>
      </c>
      <c r="CS92" s="230" t="s">
        <v>947</v>
      </c>
      <c r="CT92" s="230" t="s">
        <v>940</v>
      </c>
      <c r="CU92" s="230" t="s">
        <v>941</v>
      </c>
      <c r="CV92" s="230" t="s">
        <v>942</v>
      </c>
      <c r="CW92" s="230" t="s">
        <v>943</v>
      </c>
      <c r="CX92" s="230" t="s">
        <v>944</v>
      </c>
      <c r="CY92" s="230" t="s">
        <v>945</v>
      </c>
      <c r="CZ92" s="163" t="s">
        <v>946</v>
      </c>
      <c r="DA92" s="230" t="s">
        <v>934</v>
      </c>
      <c r="DB92" s="230" t="s">
        <v>935</v>
      </c>
      <c r="DC92" s="230" t="s">
        <v>936</v>
      </c>
      <c r="DD92" s="230" t="s">
        <v>933</v>
      </c>
      <c r="DE92" s="230" t="s">
        <v>932</v>
      </c>
      <c r="DF92" s="230" t="s">
        <v>938</v>
      </c>
      <c r="DG92" s="163" t="s">
        <v>939</v>
      </c>
    </row>
    <row r="93" spans="1:148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CB7F-8F25-4561-B64D-FD3C0A7039D9}">
  <sheetPr codeName="Sheet27">
    <tabColor theme="4"/>
  </sheetPr>
  <dimension ref="A1:EY281"/>
  <sheetViews>
    <sheetView showGridLines="0" zoomScaleNormal="100" workbookViewId="0">
      <pane xSplit="1" ySplit="2" topLeftCell="BX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2" customHeight="1" outlineLevelRow="1" outlineLevelCol="3"/>
  <cols>
    <col min="1" max="1" width="40.5546875" customWidth="1"/>
    <col min="2" max="13" width="7.5546875" hidden="1" customWidth="1" outlineLevel="1"/>
    <col min="14" max="17" width="7.5546875" hidden="1" customWidth="1" outlineLevel="3"/>
    <col min="18" max="19" width="7.5546875" hidden="1" customWidth="1" outlineLevel="2"/>
    <col min="20" max="20" width="7.5546875" hidden="1" customWidth="1" outlineLevel="1"/>
    <col min="21" max="24" width="7.5546875" hidden="1" customWidth="1" outlineLevel="3"/>
    <col min="25" max="26" width="7.5546875" hidden="1" customWidth="1" outlineLevel="2"/>
    <col min="27" max="27" width="7.5546875" hidden="1" customWidth="1" outlineLevel="1"/>
    <col min="28" max="31" width="7.5546875" hidden="1" customWidth="1" outlineLevel="3"/>
    <col min="32" max="33" width="7.5546875" hidden="1" customWidth="1" outlineLevel="2"/>
    <col min="34" max="34" width="7.5546875" hidden="1" customWidth="1" outlineLevel="1"/>
    <col min="35" max="38" width="7.5546875" hidden="1" customWidth="1" outlineLevel="3"/>
    <col min="39" max="40" width="7.5546875" hidden="1" customWidth="1" outlineLevel="2"/>
    <col min="41" max="41" width="7.5546875" hidden="1" customWidth="1" outlineLevel="1"/>
    <col min="42" max="45" width="7.5546875" hidden="1" customWidth="1" outlineLevel="3"/>
    <col min="46" max="47" width="7.5546875" hidden="1" customWidth="1" outlineLevel="2"/>
    <col min="48" max="48" width="7.5546875" hidden="1" customWidth="1" outlineLevel="1"/>
    <col min="49" max="52" width="7.5546875" hidden="1" customWidth="1" outlineLevel="3"/>
    <col min="53" max="54" width="7.5546875" hidden="1" customWidth="1" outlineLevel="2"/>
    <col min="55" max="55" width="7.5546875" hidden="1" customWidth="1" outlineLevel="1"/>
    <col min="56" max="59" width="7.5546875" hidden="1" customWidth="1" outlineLevel="3"/>
    <col min="60" max="61" width="7.5546875" hidden="1" customWidth="1" outlineLevel="2"/>
    <col min="62" max="62" width="7.5546875" hidden="1" customWidth="1" outlineLevel="1"/>
    <col min="63" max="66" width="7.5546875" hidden="1" customWidth="1" outlineLevel="3"/>
    <col min="67" max="68" width="7.5546875" hidden="1" customWidth="1" outlineLevel="2"/>
    <col min="69" max="69" width="7.5546875" hidden="1" customWidth="1" outlineLevel="1"/>
    <col min="70" max="73" width="7.5546875" hidden="1" customWidth="1" outlineLevel="2"/>
    <col min="74" max="75" width="7.5546875" hidden="1" customWidth="1" outlineLevel="1"/>
    <col min="76" max="76" width="7.5546875" customWidth="1" collapsed="1"/>
    <col min="77" max="80" width="7.5546875" hidden="1" customWidth="1" outlineLevel="2"/>
    <col min="81" max="82" width="7.5546875" hidden="1" customWidth="1" outlineLevel="1"/>
    <col min="83" max="83" width="7.5546875" customWidth="1" collapsed="1"/>
    <col min="84" max="87" width="7.5546875" hidden="1" customWidth="1" outlineLevel="2"/>
    <col min="88" max="89" width="7.5546875" hidden="1" customWidth="1" outlineLevel="1"/>
    <col min="90" max="90" width="7.5546875" customWidth="1" collapsed="1"/>
    <col min="91" max="94" width="7.5546875" hidden="1" customWidth="1" outlineLevel="2"/>
    <col min="95" max="96" width="7.5546875" hidden="1" customWidth="1" outlineLevel="1"/>
    <col min="97" max="97" width="7.5546875" customWidth="1" collapsed="1"/>
    <col min="98" max="101" width="7.5546875" hidden="1" customWidth="1" outlineLevel="2"/>
    <col min="102" max="103" width="7.5546875" hidden="1" customWidth="1" outlineLevel="1"/>
    <col min="104" max="104" width="7.5546875" customWidth="1" collapsed="1"/>
    <col min="105" max="108" width="7.5546875" hidden="1" customWidth="1" outlineLevel="2"/>
    <col min="109" max="110" width="7.5546875" hidden="1" customWidth="1" outlineLevel="1"/>
    <col min="111" max="111" width="7.5546875" customWidth="1" collapsed="1"/>
    <col min="112" max="115" width="7.5546875" hidden="1" customWidth="1" outlineLevel="2"/>
    <col min="116" max="117" width="7.5546875" hidden="1" customWidth="1" outlineLevel="1"/>
    <col min="118" max="118" width="7.5546875" customWidth="1" collapsed="1"/>
    <col min="119" max="122" width="7.5546875" hidden="1" customWidth="1" outlineLevel="2"/>
    <col min="123" max="124" width="7.5546875" hidden="1" customWidth="1" outlineLevel="1"/>
    <col min="125" max="125" width="7.5546875" customWidth="1" collapsed="1"/>
    <col min="126" max="129" width="7.5546875" hidden="1" customWidth="1" outlineLevel="2"/>
    <col min="130" max="131" width="7.5546875" hidden="1" customWidth="1" outlineLevel="1"/>
    <col min="132" max="132" width="7.5546875" customWidth="1" collapsed="1"/>
    <col min="133" max="136" width="7.5546875" hidden="1" customWidth="1" outlineLevel="2"/>
    <col min="137" max="138" width="7.5546875" hidden="1" customWidth="1" outlineLevel="1"/>
    <col min="139" max="139" width="7.5546875" customWidth="1" collapsed="1"/>
    <col min="140" max="143" width="7.5546875" hidden="1" customWidth="1" outlineLevel="2"/>
    <col min="144" max="145" width="7.5546875" hidden="1" customWidth="1" outlineLevel="1"/>
    <col min="146" max="146" width="7.5546875" customWidth="1" collapsed="1"/>
    <col min="149" max="149" width="48" hidden="1" customWidth="1" outlineLevel="1"/>
    <col min="150" max="154" width="9.109375" hidden="1" customWidth="1" outlineLevel="1"/>
    <col min="155" max="155" width="8.88671875" collapsed="1"/>
  </cols>
  <sheetData>
    <row r="1" spans="1:148" ht="10.199999999999999" customHeight="1">
      <c r="A1" s="43" t="s">
        <v>43</v>
      </c>
      <c r="B1" s="108"/>
      <c r="C1" s="108"/>
      <c r="D1" s="820"/>
      <c r="E1" s="820"/>
      <c r="F1" s="224"/>
      <c r="G1" s="224"/>
      <c r="H1" s="191"/>
      <c r="I1" s="244"/>
      <c r="J1" s="244"/>
      <c r="K1" s="191"/>
      <c r="L1" s="191"/>
      <c r="M1" s="191"/>
      <c r="N1" s="191"/>
      <c r="O1" s="191"/>
      <c r="P1" s="191"/>
      <c r="Q1" s="191"/>
      <c r="R1" s="191"/>
      <c r="S1" s="191"/>
      <c r="T1" s="134"/>
      <c r="U1" s="191"/>
      <c r="V1" s="191"/>
      <c r="W1" s="191"/>
      <c r="X1" s="191"/>
      <c r="Y1" s="191"/>
      <c r="Z1" s="191"/>
      <c r="AA1" s="134"/>
      <c r="AB1" s="191"/>
      <c r="AC1" s="191"/>
      <c r="AD1" s="191"/>
      <c r="AE1" s="191"/>
      <c r="AF1" s="191"/>
      <c r="AG1" s="191"/>
      <c r="AH1" s="134"/>
      <c r="AI1" s="191"/>
      <c r="AJ1" s="191"/>
      <c r="AK1" s="191"/>
      <c r="AL1" s="191"/>
      <c r="AM1" s="191"/>
      <c r="AN1" s="191"/>
      <c r="AO1" s="134"/>
      <c r="AP1" s="191"/>
      <c r="AQ1" s="191"/>
      <c r="AR1" s="191"/>
      <c r="AS1" s="191"/>
      <c r="AT1" s="191"/>
      <c r="AU1" s="191"/>
      <c r="AV1" s="134" t="s">
        <v>643</v>
      </c>
      <c r="AW1" s="191"/>
      <c r="AX1" s="191"/>
      <c r="AY1" s="191"/>
      <c r="AZ1" s="191"/>
      <c r="BA1" s="191"/>
      <c r="BB1" s="191"/>
      <c r="BC1" s="134" t="s">
        <v>639</v>
      </c>
      <c r="BD1" s="191"/>
      <c r="BE1" s="191"/>
      <c r="BF1" s="191"/>
      <c r="BG1" s="191"/>
      <c r="BH1" s="191"/>
      <c r="BI1" s="191"/>
      <c r="BJ1" s="134" t="s">
        <v>639</v>
      </c>
      <c r="BK1" s="191"/>
      <c r="BL1" s="191"/>
      <c r="BM1" s="191"/>
      <c r="BN1" s="191"/>
      <c r="BO1" s="191"/>
      <c r="BP1" s="191"/>
      <c r="BQ1" s="134"/>
      <c r="BR1" s="191"/>
      <c r="BS1" s="191"/>
      <c r="BT1" s="191"/>
      <c r="BU1" s="191"/>
      <c r="BV1" s="191"/>
      <c r="BW1" s="191"/>
      <c r="BX1" s="134"/>
      <c r="BY1" s="191"/>
      <c r="BZ1" s="191"/>
      <c r="CA1" s="191"/>
      <c r="CB1" s="191"/>
      <c r="CC1" s="191"/>
      <c r="CD1" s="191"/>
      <c r="CE1" s="134"/>
      <c r="CF1" s="191"/>
      <c r="CG1" s="191"/>
      <c r="CH1" s="191"/>
      <c r="CI1" s="191"/>
      <c r="CJ1" s="191"/>
      <c r="CK1" s="191"/>
      <c r="CL1" s="134"/>
      <c r="CM1" s="191"/>
      <c r="CN1" s="191"/>
      <c r="CO1" s="191"/>
      <c r="CP1" s="191"/>
      <c r="CQ1" s="191"/>
      <c r="CR1" s="191"/>
      <c r="CS1" s="134"/>
      <c r="CT1" s="821"/>
      <c r="CU1" s="821"/>
      <c r="CV1" s="821"/>
      <c r="CW1" s="821"/>
      <c r="CX1" s="821"/>
      <c r="CY1" s="821"/>
      <c r="CZ1" s="290"/>
      <c r="DA1" s="821"/>
      <c r="DB1" s="821"/>
      <c r="DC1" s="290"/>
      <c r="DD1" s="290"/>
      <c r="DE1" s="821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90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43"/>
      <c r="ER1" s="46"/>
    </row>
    <row r="2" spans="1:148" ht="12.9" customHeight="1">
      <c r="A2" s="287" t="s">
        <v>803</v>
      </c>
      <c r="B2" s="907">
        <f>IS!B2</f>
        <v>2001</v>
      </c>
      <c r="C2" s="907">
        <f>IS!C2</f>
        <v>2002</v>
      </c>
      <c r="D2" s="907">
        <f>IS!D2</f>
        <v>2003</v>
      </c>
      <c r="E2" s="907">
        <f>IS!E2</f>
        <v>2004</v>
      </c>
      <c r="F2" s="907">
        <f>IS!F2</f>
        <v>2005</v>
      </c>
      <c r="G2" s="907">
        <f>IS!G2</f>
        <v>2006</v>
      </c>
      <c r="H2" s="907">
        <f>IS!H2</f>
        <v>2007</v>
      </c>
      <c r="I2" s="907">
        <f>IS!I2</f>
        <v>2008</v>
      </c>
      <c r="J2" s="907">
        <f>IS!J2</f>
        <v>2009</v>
      </c>
      <c r="K2" s="848">
        <f>IS!K2</f>
        <v>2010</v>
      </c>
      <c r="L2" s="848">
        <f>IS!L2</f>
        <v>2011</v>
      </c>
      <c r="M2" s="848">
        <f>IS!M2</f>
        <v>2012</v>
      </c>
      <c r="N2" s="1440" t="str">
        <f>CFS!N2</f>
        <v>1Q13</v>
      </c>
      <c r="O2" s="1440" t="str">
        <f>CFS!O2</f>
        <v>2Q13</v>
      </c>
      <c r="P2" s="1440" t="str">
        <f>CFS!P2</f>
        <v>3Q13</v>
      </c>
      <c r="Q2" s="914" t="str">
        <f>CFS!Q2</f>
        <v>4Q13</v>
      </c>
      <c r="R2" s="1440" t="str">
        <f>CFS!R2</f>
        <v>1H13</v>
      </c>
      <c r="S2" s="1440" t="str">
        <f>CFS!S2</f>
        <v>2H13</v>
      </c>
      <c r="T2" s="1267">
        <f>IS!T2</f>
        <v>2013</v>
      </c>
      <c r="U2" s="1440" t="str">
        <f>CFS!U2</f>
        <v>1Q14</v>
      </c>
      <c r="V2" s="1440" t="str">
        <f>CFS!V2</f>
        <v>2Q14</v>
      </c>
      <c r="W2" s="1440" t="str">
        <f>CFS!W2</f>
        <v>3Q14</v>
      </c>
      <c r="X2" s="914" t="str">
        <f>CFS!X2</f>
        <v>4Q14</v>
      </c>
      <c r="Y2" s="1440" t="str">
        <f>CFS!Y2</f>
        <v>1H14</v>
      </c>
      <c r="Z2" s="1440" t="str">
        <f>CFS!Z2</f>
        <v>2H14</v>
      </c>
      <c r="AA2" s="1267">
        <f>IS!AA2</f>
        <v>2014</v>
      </c>
      <c r="AB2" s="1440" t="str">
        <f>CFS!AB2</f>
        <v>1Q15</v>
      </c>
      <c r="AC2" s="1440" t="str">
        <f>CFS!AC2</f>
        <v>2Q15</v>
      </c>
      <c r="AD2" s="1440" t="str">
        <f>CFS!AD2</f>
        <v>3Q15</v>
      </c>
      <c r="AE2" s="914" t="str">
        <f>CFS!AE2</f>
        <v>4Q15</v>
      </c>
      <c r="AF2" s="1440" t="str">
        <f>CFS!AF2</f>
        <v>1H15</v>
      </c>
      <c r="AG2" s="1440" t="str">
        <f>CFS!AG2</f>
        <v>2H15</v>
      </c>
      <c r="AH2" s="1267">
        <f>IS!AH2</f>
        <v>2015</v>
      </c>
      <c r="AI2" s="1440" t="str">
        <f>CFS!AI2</f>
        <v>1Q16</v>
      </c>
      <c r="AJ2" s="1440" t="str">
        <f>CFS!AJ2</f>
        <v>2Q16</v>
      </c>
      <c r="AK2" s="1440" t="str">
        <f>CFS!AK2</f>
        <v>3Q16</v>
      </c>
      <c r="AL2" s="914" t="str">
        <f>CFS!AL2</f>
        <v>4Q16</v>
      </c>
      <c r="AM2" s="1440" t="str">
        <f>CFS!AM2</f>
        <v>1H16</v>
      </c>
      <c r="AN2" s="1440" t="str">
        <f>CFS!AN2</f>
        <v>2H16</v>
      </c>
      <c r="AO2" s="1267">
        <f>IS!AO2</f>
        <v>2016</v>
      </c>
      <c r="AP2" s="1440" t="str">
        <f>CFS!AP2</f>
        <v>1Q17</v>
      </c>
      <c r="AQ2" s="1440" t="str">
        <f>CFS!AQ2</f>
        <v>2Q17</v>
      </c>
      <c r="AR2" s="1440" t="str">
        <f>CFS!AR2</f>
        <v>3Q17</v>
      </c>
      <c r="AS2" s="914" t="str">
        <f>CFS!AS2</f>
        <v>4Q17</v>
      </c>
      <c r="AT2" s="1440" t="str">
        <f>CFS!AT2</f>
        <v>1H17</v>
      </c>
      <c r="AU2" s="1440" t="str">
        <f>CFS!AU2</f>
        <v>2H17</v>
      </c>
      <c r="AV2" s="1267">
        <f>IS!AV2</f>
        <v>2017</v>
      </c>
      <c r="AW2" s="1440" t="str">
        <f>CFS!AW2</f>
        <v>1Q17R</v>
      </c>
      <c r="AX2" s="1440" t="str">
        <f>CFS!AX2</f>
        <v>2Q17R</v>
      </c>
      <c r="AY2" s="1440" t="str">
        <f>CFS!AY2</f>
        <v>3Q17R</v>
      </c>
      <c r="AZ2" s="914" t="str">
        <f>CFS!AZ2</f>
        <v>4Q17R</v>
      </c>
      <c r="BA2" s="1440" t="str">
        <f>CFS!BA2</f>
        <v>1H17R</v>
      </c>
      <c r="BB2" s="1440" t="str">
        <f>CFS!BB2</f>
        <v>2H17R</v>
      </c>
      <c r="BC2" s="1267" t="s">
        <v>656</v>
      </c>
      <c r="BD2" s="1440" t="str">
        <f>CFS!BD2</f>
        <v>1Q18</v>
      </c>
      <c r="BE2" s="1440" t="str">
        <f>CFS!BE2</f>
        <v>2Q18</v>
      </c>
      <c r="BF2" s="1440" t="str">
        <f>CFS!BF2</f>
        <v>3Q18</v>
      </c>
      <c r="BG2" s="914" t="str">
        <f>CFS!BG2</f>
        <v>4Q18</v>
      </c>
      <c r="BH2" s="1440" t="str">
        <f>CFS!BH2</f>
        <v>1H18</v>
      </c>
      <c r="BI2" s="1440" t="str">
        <f>CFS!BI2</f>
        <v>2H18</v>
      </c>
      <c r="BJ2" s="1267">
        <f>IS!BJ2</f>
        <v>2018</v>
      </c>
      <c r="BK2" s="1440" t="str">
        <f>CFS!BK2</f>
        <v>1Q19</v>
      </c>
      <c r="BL2" s="1440" t="str">
        <f>CFS!BL2</f>
        <v>2Q19</v>
      </c>
      <c r="BM2" s="1440" t="str">
        <f>CFS!BM2</f>
        <v>3Q19</v>
      </c>
      <c r="BN2" s="914" t="str">
        <f>CFS!BN2</f>
        <v>4Q19</v>
      </c>
      <c r="BO2" s="1440" t="str">
        <f>CFS!BO2</f>
        <v>1H19</v>
      </c>
      <c r="BP2" s="1440" t="str">
        <f>CFS!BP2</f>
        <v>2H19</v>
      </c>
      <c r="BQ2" s="1267">
        <f>IS!BQ2</f>
        <v>2019</v>
      </c>
      <c r="BR2" s="1440" t="str">
        <f>CFS!BR2</f>
        <v>1Q20</v>
      </c>
      <c r="BS2" s="1440" t="str">
        <f>CFS!BS2</f>
        <v>2Q20</v>
      </c>
      <c r="BT2" s="1440" t="str">
        <f>CFS!BT2</f>
        <v>3Q20</v>
      </c>
      <c r="BU2" s="914" t="str">
        <f>CFS!BU2</f>
        <v>4Q20</v>
      </c>
      <c r="BV2" s="1440" t="str">
        <f>CFS!BV2</f>
        <v>1H20</v>
      </c>
      <c r="BW2" s="1440" t="str">
        <f>CFS!BW2</f>
        <v>2H20</v>
      </c>
      <c r="BX2" s="1267">
        <f>IS!BX2</f>
        <v>2020</v>
      </c>
      <c r="BY2" s="1440" t="str">
        <f>CFS!BY2</f>
        <v>1Q21</v>
      </c>
      <c r="BZ2" s="1440" t="str">
        <f>CFS!BZ2</f>
        <v>2Q21</v>
      </c>
      <c r="CA2" s="1440" t="str">
        <f>CFS!CA2</f>
        <v>3Q21</v>
      </c>
      <c r="CB2" s="914" t="str">
        <f>CFS!CB2</f>
        <v>4Q21</v>
      </c>
      <c r="CC2" s="1440" t="str">
        <f>CFS!CC2</f>
        <v>1H21</v>
      </c>
      <c r="CD2" s="1440" t="str">
        <f>CFS!CD2</f>
        <v>2H21</v>
      </c>
      <c r="CE2" s="1267">
        <f>IS!CE2</f>
        <v>2021</v>
      </c>
      <c r="CF2" s="1440" t="str">
        <f>CFS!CF2</f>
        <v>1Q22</v>
      </c>
      <c r="CG2" s="1440" t="str">
        <f>CFS!CG2</f>
        <v>2Q22</v>
      </c>
      <c r="CH2" s="1440" t="str">
        <f>CFS!CH2</f>
        <v>3Q22</v>
      </c>
      <c r="CI2" s="914" t="str">
        <f>CFS!CI2</f>
        <v>4Q22</v>
      </c>
      <c r="CJ2" s="1440" t="str">
        <f>CFS!CJ2</f>
        <v>1H22</v>
      </c>
      <c r="CK2" s="1440" t="str">
        <f>CFS!CK2</f>
        <v>2H22</v>
      </c>
      <c r="CL2" s="1267">
        <f>IS!CL2</f>
        <v>2022</v>
      </c>
      <c r="CM2" s="1440" t="str">
        <f>CFS!CM2</f>
        <v>1Q23</v>
      </c>
      <c r="CN2" s="1440" t="str">
        <f>CFS!CN2</f>
        <v>2Q23</v>
      </c>
      <c r="CO2" s="1440" t="str">
        <f>CFS!CO2</f>
        <v>3Q23</v>
      </c>
      <c r="CP2" s="914" t="str">
        <f>CFS!CP2</f>
        <v>4Q23</v>
      </c>
      <c r="CQ2" s="1440" t="str">
        <f>CFS!CQ2</f>
        <v>1H23</v>
      </c>
      <c r="CR2" s="1440" t="str">
        <f>CFS!CR2</f>
        <v>2H23</v>
      </c>
      <c r="CS2" s="1267">
        <f>IS!CS2</f>
        <v>2023</v>
      </c>
      <c r="CT2" s="1440" t="str">
        <f>IS!CT2</f>
        <v>1Q24</v>
      </c>
      <c r="CU2" s="1440" t="str">
        <f>IS!CU2</f>
        <v>2Q24</v>
      </c>
      <c r="CV2" s="1440" t="str">
        <f>IS!CV2</f>
        <v>3Q24</v>
      </c>
      <c r="CW2" s="914" t="str">
        <f>IS!CW2</f>
        <v>4Q24</v>
      </c>
      <c r="CX2" s="1440" t="str">
        <f>IS!CX2</f>
        <v>1H24</v>
      </c>
      <c r="CY2" s="1440" t="str">
        <f>IS!CY2</f>
        <v>2H24</v>
      </c>
      <c r="CZ2" s="1267">
        <f>IS!CZ2</f>
        <v>2024</v>
      </c>
      <c r="DA2" s="1440" t="str">
        <f>IS!DA2</f>
        <v>1Q25</v>
      </c>
      <c r="DB2" s="1440" t="str">
        <f>IS!DB2</f>
        <v>2Q25</v>
      </c>
      <c r="DC2" s="1440" t="str">
        <f>IS!DC2</f>
        <v>3Q25</v>
      </c>
      <c r="DD2" s="914" t="str">
        <f>IS!DD2</f>
        <v>4Q25</v>
      </c>
      <c r="DE2" s="1440" t="str">
        <f>IS!DE2</f>
        <v>1H25</v>
      </c>
      <c r="DF2" s="1440" t="str">
        <f>IS!DF2</f>
        <v>2H25</v>
      </c>
      <c r="DG2" s="1267">
        <f>IS!DG2</f>
        <v>2025</v>
      </c>
      <c r="DH2" s="1440" t="str">
        <f>IS!DH2</f>
        <v>1Q26</v>
      </c>
      <c r="DI2" s="1440" t="str">
        <f>IS!DI2</f>
        <v>2Q26</v>
      </c>
      <c r="DJ2" s="1475" t="str">
        <f>IS!DJ2</f>
        <v>3Q26</v>
      </c>
      <c r="DK2" s="915" t="str">
        <f>IS!DK2</f>
        <v>4Q26</v>
      </c>
      <c r="DL2" s="1440" t="str">
        <f>IS!DL2</f>
        <v>1H26</v>
      </c>
      <c r="DM2" s="1475" t="str">
        <f>IS!DM2</f>
        <v>2H26</v>
      </c>
      <c r="DN2" s="916" t="str">
        <f>IS!DN2</f>
        <v>2026e</v>
      </c>
      <c r="DO2" s="1475" t="str">
        <f>IS!DO2</f>
        <v>1Q27</v>
      </c>
      <c r="DP2" s="1475" t="str">
        <f>IS!DP2</f>
        <v>2Q27</v>
      </c>
      <c r="DQ2" s="1475" t="str">
        <f>IS!DQ2</f>
        <v>3Q27</v>
      </c>
      <c r="DR2" s="915" t="str">
        <f>IS!DR2</f>
        <v>4Q27</v>
      </c>
      <c r="DS2" s="1475" t="str">
        <f>IS!DS2</f>
        <v>1H27</v>
      </c>
      <c r="DT2" s="1475" t="str">
        <f>IS!DT2</f>
        <v>2H27</v>
      </c>
      <c r="DU2" s="916" t="str">
        <f>IS!DU2</f>
        <v>2027e</v>
      </c>
      <c r="DV2" s="1475" t="str">
        <f>IS!DV2</f>
        <v>1Q28</v>
      </c>
      <c r="DW2" s="1475" t="str">
        <f>IS!DW2</f>
        <v>2Q28</v>
      </c>
      <c r="DX2" s="1475" t="str">
        <f>IS!DX2</f>
        <v>3Q28</v>
      </c>
      <c r="DY2" s="915" t="str">
        <f>IS!DY2</f>
        <v>4Q28</v>
      </c>
      <c r="DZ2" s="1475" t="str">
        <f>IS!DZ2</f>
        <v>1H28</v>
      </c>
      <c r="EA2" s="1475" t="str">
        <f>IS!EA2</f>
        <v>2H28</v>
      </c>
      <c r="EB2" s="916" t="str">
        <f>IS!EB2</f>
        <v>2028e</v>
      </c>
      <c r="EC2" s="1475" t="str">
        <f>IS!EC2</f>
        <v>1Q29</v>
      </c>
      <c r="ED2" s="1475" t="str">
        <f>IS!ED2</f>
        <v>2Q29</v>
      </c>
      <c r="EE2" s="1475" t="str">
        <f>IS!EE2</f>
        <v>3Q29</v>
      </c>
      <c r="EF2" s="915" t="str">
        <f>IS!EF2</f>
        <v>4Q29</v>
      </c>
      <c r="EG2" s="1475" t="str">
        <f>IS!EG2</f>
        <v>1H29</v>
      </c>
      <c r="EH2" s="1475" t="str">
        <f>IS!EH2</f>
        <v>2H29</v>
      </c>
      <c r="EI2" s="916" t="str">
        <f>IS!EI2</f>
        <v>2029e</v>
      </c>
      <c r="EJ2" s="1475" t="str">
        <f>IS!EJ2</f>
        <v>1Q30</v>
      </c>
      <c r="EK2" s="1475" t="str">
        <f>IS!EK2</f>
        <v>2Q30</v>
      </c>
      <c r="EL2" s="1475" t="str">
        <f>IS!EL2</f>
        <v>3Q30</v>
      </c>
      <c r="EM2" s="915" t="str">
        <f>IS!EM2</f>
        <v>4Q30</v>
      </c>
      <c r="EN2" s="1475" t="str">
        <f>IS!EN2</f>
        <v>1H30</v>
      </c>
      <c r="EO2" s="1475" t="str">
        <f>IS!EO2</f>
        <v>2H30</v>
      </c>
      <c r="EP2" s="916" t="str">
        <f>IS!EP2</f>
        <v>2030e</v>
      </c>
      <c r="EQ2" s="303"/>
      <c r="ER2" s="46"/>
    </row>
    <row r="3" spans="1:148" ht="10.199999999999999" customHeight="1">
      <c r="A3" s="43" t="s">
        <v>35</v>
      </c>
      <c r="B3" s="158">
        <v>2469</v>
      </c>
      <c r="C3" s="158">
        <v>2700</v>
      </c>
      <c r="D3" s="158">
        <v>3279</v>
      </c>
      <c r="E3" s="158">
        <v>3075</v>
      </c>
      <c r="F3" s="158">
        <v>15425</v>
      </c>
      <c r="G3" s="158">
        <v>16892</v>
      </c>
      <c r="H3" s="158">
        <v>18906</v>
      </c>
      <c r="I3" s="158">
        <v>19452</v>
      </c>
      <c r="J3" s="158">
        <v>21577</v>
      </c>
      <c r="K3" s="158">
        <v>20862</v>
      </c>
      <c r="L3" s="158">
        <v>22563</v>
      </c>
      <c r="M3" s="158">
        <v>23246</v>
      </c>
      <c r="N3" s="158"/>
      <c r="O3" s="158"/>
      <c r="P3" s="158"/>
      <c r="Q3" s="695"/>
      <c r="R3" s="158"/>
      <c r="S3" s="158"/>
      <c r="T3" s="1301">
        <v>24023</v>
      </c>
      <c r="U3" s="158">
        <v>25640</v>
      </c>
      <c r="V3" s="158">
        <f>Y3</f>
        <v>26086</v>
      </c>
      <c r="W3" s="158">
        <v>27343</v>
      </c>
      <c r="X3" s="695">
        <f>Z3</f>
        <v>25355</v>
      </c>
      <c r="Y3" s="158">
        <v>26086</v>
      </c>
      <c r="Z3" s="158">
        <f>AA3</f>
        <v>25355</v>
      </c>
      <c r="AA3" s="1301">
        <v>25355</v>
      </c>
      <c r="AB3" s="158">
        <v>29802</v>
      </c>
      <c r="AC3" s="158">
        <f>AF3</f>
        <v>29598</v>
      </c>
      <c r="AD3" s="158">
        <v>31011</v>
      </c>
      <c r="AE3" s="695">
        <f>AG3</f>
        <v>29051</v>
      </c>
      <c r="AF3" s="158">
        <v>29598</v>
      </c>
      <c r="AG3" s="158">
        <f>AH3</f>
        <v>29051</v>
      </c>
      <c r="AH3" s="1301">
        <v>29051</v>
      </c>
      <c r="AI3" s="158">
        <v>32295</v>
      </c>
      <c r="AJ3" s="158">
        <f>AM3</f>
        <v>31827</v>
      </c>
      <c r="AK3" s="158">
        <v>33481</v>
      </c>
      <c r="AL3" s="695">
        <f>AN3</f>
        <v>29688</v>
      </c>
      <c r="AM3" s="158">
        <v>31827</v>
      </c>
      <c r="AN3" s="158">
        <f>AO3</f>
        <v>29688</v>
      </c>
      <c r="AO3" s="1301">
        <v>29688</v>
      </c>
      <c r="AP3" s="158">
        <v>33484</v>
      </c>
      <c r="AQ3" s="158">
        <f>AT3</f>
        <v>34789</v>
      </c>
      <c r="AR3" s="158">
        <v>35443</v>
      </c>
      <c r="AS3" s="695">
        <f>AU3</f>
        <v>31464</v>
      </c>
      <c r="AT3" s="158">
        <v>34789</v>
      </c>
      <c r="AU3" s="158">
        <f>AV3</f>
        <v>31464</v>
      </c>
      <c r="AV3" s="1301">
        <v>31464</v>
      </c>
      <c r="AW3" s="158"/>
      <c r="AX3" s="158"/>
      <c r="AY3" s="158"/>
      <c r="AZ3" s="695"/>
      <c r="BA3" s="158"/>
      <c r="BB3" s="158"/>
      <c r="BC3" s="1301">
        <v>29737</v>
      </c>
      <c r="BD3" s="158">
        <v>32814</v>
      </c>
      <c r="BE3" s="158">
        <f>BH3</f>
        <v>33775</v>
      </c>
      <c r="BF3" s="158">
        <v>35052</v>
      </c>
      <c r="BG3" s="695">
        <f>BI3</f>
        <v>31891</v>
      </c>
      <c r="BH3" s="158">
        <v>33775</v>
      </c>
      <c r="BI3" s="158">
        <f>BJ3</f>
        <v>31891</v>
      </c>
      <c r="BJ3" s="1301">
        <v>31891</v>
      </c>
      <c r="BK3" s="158">
        <v>35154</v>
      </c>
      <c r="BL3" s="158">
        <f>BO3</f>
        <v>34776</v>
      </c>
      <c r="BM3" s="158">
        <v>35604</v>
      </c>
      <c r="BN3" s="695">
        <f>BP3</f>
        <v>31550</v>
      </c>
      <c r="BO3" s="158">
        <v>34776</v>
      </c>
      <c r="BP3" s="158">
        <f>BQ3</f>
        <v>31550</v>
      </c>
      <c r="BQ3" s="1301">
        <v>31550</v>
      </c>
      <c r="BR3" s="158">
        <v>35955</v>
      </c>
      <c r="BS3" s="158">
        <f>BV3</f>
        <v>37524</v>
      </c>
      <c r="BT3" s="158">
        <v>36655</v>
      </c>
      <c r="BU3" s="695">
        <f>BW3</f>
        <v>30401</v>
      </c>
      <c r="BV3" s="158">
        <v>37524</v>
      </c>
      <c r="BW3" s="158">
        <f>BX3</f>
        <v>30401</v>
      </c>
      <c r="BX3" s="1301">
        <v>30401</v>
      </c>
      <c r="BY3" s="158">
        <v>31186</v>
      </c>
      <c r="BZ3" s="158">
        <f>CC3</f>
        <v>29791</v>
      </c>
      <c r="CA3" s="158">
        <v>30809</v>
      </c>
      <c r="CB3" s="695">
        <f>CD3</f>
        <v>28538</v>
      </c>
      <c r="CC3" s="158">
        <v>29791</v>
      </c>
      <c r="CD3" s="158">
        <f>CE3</f>
        <v>28538</v>
      </c>
      <c r="CE3" s="1301">
        <v>28538</v>
      </c>
      <c r="CF3" s="158">
        <v>30211</v>
      </c>
      <c r="CG3" s="158">
        <f>CJ3</f>
        <v>32478</v>
      </c>
      <c r="CH3" s="158">
        <v>34764</v>
      </c>
      <c r="CI3" s="695">
        <f>CK3</f>
        <v>32202</v>
      </c>
      <c r="CJ3" s="158">
        <v>32478</v>
      </c>
      <c r="CK3" s="158">
        <f>CL3</f>
        <v>32202</v>
      </c>
      <c r="CL3" s="1301">
        <v>32202</v>
      </c>
      <c r="CM3" s="158">
        <v>35165</v>
      </c>
      <c r="CN3" s="158">
        <f>CQ3</f>
        <v>35466</v>
      </c>
      <c r="CO3" s="158">
        <v>36525</v>
      </c>
      <c r="CP3" s="695">
        <f>CR3</f>
        <v>33741</v>
      </c>
      <c r="CQ3" s="158">
        <v>35466</v>
      </c>
      <c r="CR3" s="158">
        <f>CS3</f>
        <v>33741</v>
      </c>
      <c r="CS3" s="1301">
        <v>33741</v>
      </c>
      <c r="CT3" s="158">
        <v>37656</v>
      </c>
      <c r="CU3" s="158">
        <f>CX3</f>
        <v>39477</v>
      </c>
      <c r="CV3" s="158">
        <v>40698</v>
      </c>
      <c r="CW3" s="695">
        <f>CY3</f>
        <v>37745</v>
      </c>
      <c r="CX3" s="158">
        <v>39477</v>
      </c>
      <c r="CY3" s="158">
        <f>CZ3</f>
        <v>37745</v>
      </c>
      <c r="CZ3" s="1301">
        <v>37745</v>
      </c>
      <c r="DA3" s="158">
        <v>41530</v>
      </c>
      <c r="DB3" s="158">
        <f>DE3</f>
        <v>43471</v>
      </c>
      <c r="DC3" s="158">
        <v>44184</v>
      </c>
      <c r="DD3" s="695">
        <f>DF3</f>
        <v>41676</v>
      </c>
      <c r="DE3" s="2097">
        <v>43471</v>
      </c>
      <c r="DF3" s="158">
        <f>DG3</f>
        <v>41676</v>
      </c>
      <c r="DG3" s="1364">
        <v>41676</v>
      </c>
      <c r="DH3" s="818">
        <v>46922</v>
      </c>
      <c r="DI3" s="158">
        <f>DL3</f>
        <v>48620</v>
      </c>
      <c r="DJ3" s="819">
        <f t="shared" ref="DJ3" si="0">DJ158</f>
        <v>42674.017668283283</v>
      </c>
      <c r="DK3" s="453">
        <f>DM3</f>
        <v>44306.979106861458</v>
      </c>
      <c r="DL3" s="2006">
        <v>48620</v>
      </c>
      <c r="DM3" s="327">
        <f>DN3</f>
        <v>44306.979106861458</v>
      </c>
      <c r="DN3" s="1544">
        <f t="shared" ref="DN3:EP3" si="1">DN158</f>
        <v>44306.979106861458</v>
      </c>
      <c r="DO3" s="819">
        <f t="shared" si="1"/>
        <v>42374.880045245118</v>
      </c>
      <c r="DP3" s="327">
        <f>DS3</f>
        <v>44569.265710323933</v>
      </c>
      <c r="DQ3" s="819">
        <f t="shared" ref="DQ3" si="2">DQ158</f>
        <v>46544.150051581353</v>
      </c>
      <c r="DR3" s="453">
        <f>DT3</f>
        <v>47069.918193680838</v>
      </c>
      <c r="DS3" s="819">
        <f t="shared" ref="DS3" si="3">DS158</f>
        <v>44569.265710323933</v>
      </c>
      <c r="DT3" s="327">
        <f>DU3</f>
        <v>47069.918193680838</v>
      </c>
      <c r="DU3" s="1544">
        <f t="shared" si="1"/>
        <v>47069.918193680838</v>
      </c>
      <c r="DV3" s="819">
        <f t="shared" si="1"/>
        <v>43801.874623184638</v>
      </c>
      <c r="DW3" s="327">
        <f>DZ3</f>
        <v>46085.346095439738</v>
      </c>
      <c r="DX3" s="819">
        <f t="shared" ref="DX3" si="4">DX158</f>
        <v>48150.274392679625</v>
      </c>
      <c r="DY3" s="453">
        <f>EA3</f>
        <v>48807.470561328228</v>
      </c>
      <c r="DZ3" s="819">
        <f t="shared" ref="DZ3" si="5">DZ158</f>
        <v>46085.346095439738</v>
      </c>
      <c r="EA3" s="327">
        <f>EB3</f>
        <v>48807.470561328228</v>
      </c>
      <c r="EB3" s="1544">
        <f t="shared" si="1"/>
        <v>48807.470561328228</v>
      </c>
      <c r="EC3" s="819">
        <f t="shared" si="1"/>
        <v>46989.768116366176</v>
      </c>
      <c r="ED3" s="327">
        <f>EG3</f>
        <v>48572.04143606955</v>
      </c>
      <c r="EE3" s="819">
        <f t="shared" ref="EE3" si="6">EE158</f>
        <v>49924.293365694139</v>
      </c>
      <c r="EF3" s="453">
        <f>EH3</f>
        <v>51009.105557639101</v>
      </c>
      <c r="EG3" s="819">
        <f t="shared" ref="EG3" si="7">EG158</f>
        <v>48572.04143606955</v>
      </c>
      <c r="EH3" s="327">
        <f>EI3</f>
        <v>51009.105557639101</v>
      </c>
      <c r="EI3" s="1544">
        <f t="shared" si="1"/>
        <v>51009.105557639101</v>
      </c>
      <c r="EJ3" s="819">
        <f t="shared" si="1"/>
        <v>48563.075592014982</v>
      </c>
      <c r="EK3" s="327">
        <f>EN3</f>
        <v>50224.706057219846</v>
      </c>
      <c r="EL3" s="819">
        <f t="shared" ref="EL3" si="8">EL158</f>
        <v>51645.934322258217</v>
      </c>
      <c r="EM3" s="453">
        <f>EO3</f>
        <v>52767.058573696166</v>
      </c>
      <c r="EN3" s="819">
        <f t="shared" ref="EN3" si="9">EN158</f>
        <v>50224.706057219846</v>
      </c>
      <c r="EO3" s="327">
        <f>EP3</f>
        <v>52767.058573696166</v>
      </c>
      <c r="EP3" s="1544">
        <f t="shared" si="1"/>
        <v>52767.058573696166</v>
      </c>
      <c r="EQ3" s="303"/>
      <c r="ER3" s="46"/>
    </row>
    <row r="4" spans="1:148" ht="10.199999999999999" customHeight="1">
      <c r="A4" s="43" t="s">
        <v>73</v>
      </c>
      <c r="B4" s="158">
        <v>5183</v>
      </c>
      <c r="C4" s="158">
        <v>4114</v>
      </c>
      <c r="D4" s="158">
        <v>4001</v>
      </c>
      <c r="E4" s="158">
        <v>4406</v>
      </c>
      <c r="F4" s="158">
        <v>4802</v>
      </c>
      <c r="G4" s="158">
        <v>4852</v>
      </c>
      <c r="H4" s="158">
        <v>4639</v>
      </c>
      <c r="I4" s="158">
        <v>5267</v>
      </c>
      <c r="J4" s="158">
        <v>5587</v>
      </c>
      <c r="K4" s="158">
        <v>6632</v>
      </c>
      <c r="L4" s="158">
        <v>6394</v>
      </c>
      <c r="M4" s="158">
        <v>6790</v>
      </c>
      <c r="N4" s="158"/>
      <c r="O4" s="158"/>
      <c r="P4" s="158"/>
      <c r="Q4" s="695"/>
      <c r="R4" s="158"/>
      <c r="S4" s="158"/>
      <c r="T4" s="1301">
        <v>6628</v>
      </c>
      <c r="U4" s="158">
        <v>6101</v>
      </c>
      <c r="V4" s="158">
        <f t="shared" ref="V4:V21" si="10">Y4</f>
        <v>6050</v>
      </c>
      <c r="W4" s="158">
        <v>5831</v>
      </c>
      <c r="X4" s="695">
        <f t="shared" ref="X4:X10" si="11">Z4</f>
        <v>6798</v>
      </c>
      <c r="Y4" s="158">
        <v>6050</v>
      </c>
      <c r="Z4" s="158">
        <f t="shared" ref="Z4:Z10" si="12">AA4</f>
        <v>6798</v>
      </c>
      <c r="AA4" s="1301">
        <v>6798</v>
      </c>
      <c r="AB4" s="158">
        <v>6471</v>
      </c>
      <c r="AC4" s="158">
        <f t="shared" ref="AC4:AC21" si="13">AF4</f>
        <v>6342</v>
      </c>
      <c r="AD4" s="158">
        <v>6490</v>
      </c>
      <c r="AE4" s="695">
        <f t="shared" ref="AE4:AE10" si="14">AG4</f>
        <v>7877</v>
      </c>
      <c r="AF4" s="158">
        <v>6342</v>
      </c>
      <c r="AG4" s="158">
        <f t="shared" ref="AG4:AG10" si="15">AH4</f>
        <v>7877</v>
      </c>
      <c r="AH4" s="1301">
        <v>7877</v>
      </c>
      <c r="AI4" s="158">
        <v>7563</v>
      </c>
      <c r="AJ4" s="158">
        <f t="shared" ref="AJ4:AJ21" si="16">AM4</f>
        <v>7317</v>
      </c>
      <c r="AK4" s="158">
        <v>7640</v>
      </c>
      <c r="AL4" s="695">
        <f t="shared" ref="AL4:AL10" si="17">AN4</f>
        <v>8101</v>
      </c>
      <c r="AM4" s="158">
        <v>7317</v>
      </c>
      <c r="AN4" s="158">
        <f t="shared" ref="AN4:AN10" si="18">AO4</f>
        <v>8101</v>
      </c>
      <c r="AO4" s="1301">
        <v>8101</v>
      </c>
      <c r="AP4" s="158">
        <v>9074</v>
      </c>
      <c r="AQ4" s="158">
        <f t="shared" ref="AQ4:AQ21" si="19">AT4</f>
        <v>8119</v>
      </c>
      <c r="AR4" s="158">
        <v>8043</v>
      </c>
      <c r="AS4" s="695">
        <f t="shared" ref="AS4:AS10" si="20">AU4</f>
        <v>8358</v>
      </c>
      <c r="AT4" s="158">
        <v>8119</v>
      </c>
      <c r="AU4" s="158">
        <f t="shared" ref="AU4:AU10" si="21">AV4</f>
        <v>8358</v>
      </c>
      <c r="AV4" s="1301">
        <v>8358</v>
      </c>
      <c r="AW4" s="158"/>
      <c r="AX4" s="158"/>
      <c r="AY4" s="158"/>
      <c r="AZ4" s="695"/>
      <c r="BA4" s="158"/>
      <c r="BB4" s="158"/>
      <c r="BC4" s="1301">
        <v>5487</v>
      </c>
      <c r="BD4" s="158">
        <v>5350</v>
      </c>
      <c r="BE4" s="158">
        <f t="shared" ref="BE4:BE21" si="22">BH4</f>
        <v>5389</v>
      </c>
      <c r="BF4" s="158">
        <v>5530</v>
      </c>
      <c r="BG4" s="695">
        <f t="shared" ref="BG4:BG10" si="23">BI4</f>
        <v>6078</v>
      </c>
      <c r="BH4" s="158">
        <v>5389</v>
      </c>
      <c r="BI4" s="158">
        <f t="shared" ref="BI4:BI10" si="24">BJ4</f>
        <v>6078</v>
      </c>
      <c r="BJ4" s="1301">
        <v>6078</v>
      </c>
      <c r="BK4" s="158">
        <v>6384</v>
      </c>
      <c r="BL4" s="158">
        <f t="shared" ref="BL4:BL21" si="25">BO4</f>
        <v>5871</v>
      </c>
      <c r="BM4" s="158">
        <v>5036</v>
      </c>
      <c r="BN4" s="695">
        <f t="shared" ref="BN4:BN10" si="26">BP4</f>
        <v>5674</v>
      </c>
      <c r="BO4" s="158">
        <v>5871</v>
      </c>
      <c r="BP4" s="158">
        <f t="shared" ref="BP4:BP10" si="27">BQ4</f>
        <v>5674</v>
      </c>
      <c r="BQ4" s="1301">
        <v>5674</v>
      </c>
      <c r="BR4" s="158">
        <v>5090</v>
      </c>
      <c r="BS4" s="158">
        <f t="shared" ref="BS4:BS21" si="28">BV4</f>
        <v>4747</v>
      </c>
      <c r="BT4" s="158">
        <v>4860</v>
      </c>
      <c r="BU4" s="695">
        <f t="shared" ref="BU4:BU10" si="29">BW4</f>
        <v>5132</v>
      </c>
      <c r="BV4" s="158">
        <v>4747</v>
      </c>
      <c r="BW4" s="158">
        <f t="shared" ref="BW4:BW10" si="30">BX4</f>
        <v>5132</v>
      </c>
      <c r="BX4" s="1301">
        <v>5132</v>
      </c>
      <c r="BY4" s="158">
        <v>5045</v>
      </c>
      <c r="BZ4" s="158">
        <f t="shared" ref="BZ4:BZ21" si="31">CC4</f>
        <v>4754</v>
      </c>
      <c r="CA4" s="158">
        <v>4740</v>
      </c>
      <c r="CB4" s="695">
        <f t="shared" ref="CB4:CB10" si="32">CD4</f>
        <v>5063</v>
      </c>
      <c r="CC4" s="158">
        <v>4754</v>
      </c>
      <c r="CD4" s="158">
        <f t="shared" ref="CD4:CD10" si="33">CE4</f>
        <v>5063</v>
      </c>
      <c r="CE4" s="1301">
        <v>5063</v>
      </c>
      <c r="CF4" s="158">
        <v>5383</v>
      </c>
      <c r="CG4" s="158">
        <f t="shared" ref="CG4:CG21" si="34">CJ4</f>
        <v>4942</v>
      </c>
      <c r="CH4" s="158">
        <v>4902</v>
      </c>
      <c r="CI4" s="695">
        <f t="shared" ref="CI4:CI10" si="35">CK4</f>
        <v>4953</v>
      </c>
      <c r="CJ4" s="158">
        <v>4942</v>
      </c>
      <c r="CK4" s="158">
        <f t="shared" ref="CK4:CK10" si="36">CL4</f>
        <v>4953</v>
      </c>
      <c r="CL4" s="1301">
        <v>4953</v>
      </c>
      <c r="CM4" s="158">
        <v>4509</v>
      </c>
      <c r="CN4" s="158">
        <f t="shared" ref="CN4:CN21" si="37">CQ4</f>
        <v>5026</v>
      </c>
      <c r="CO4" s="158">
        <v>4905</v>
      </c>
      <c r="CP4" s="695">
        <f t="shared" ref="CP4:CP10" si="38">CR4</f>
        <v>4725</v>
      </c>
      <c r="CQ4" s="158">
        <v>5026</v>
      </c>
      <c r="CR4" s="158">
        <f t="shared" ref="CR4:CR10" si="39">CS4</f>
        <v>4725</v>
      </c>
      <c r="CS4" s="1301">
        <v>4725</v>
      </c>
      <c r="CT4" s="158">
        <v>4959</v>
      </c>
      <c r="CU4" s="158">
        <f t="shared" ref="CU4:CU21" si="40">CX4</f>
        <v>4867</v>
      </c>
      <c r="CV4" s="158">
        <v>4727</v>
      </c>
      <c r="CW4" s="695">
        <f t="shared" ref="CW4:CW10" si="41">CY4</f>
        <v>5293</v>
      </c>
      <c r="CX4" s="158">
        <v>4867</v>
      </c>
      <c r="CY4" s="158">
        <f t="shared" ref="CY4:CY10" si="42">CZ4</f>
        <v>5293</v>
      </c>
      <c r="CZ4" s="1301">
        <v>5293</v>
      </c>
      <c r="DA4" s="158">
        <v>5028</v>
      </c>
      <c r="DB4" s="158">
        <f t="shared" ref="DB4:DB21" si="43">DE4</f>
        <v>5178</v>
      </c>
      <c r="DC4" s="158">
        <v>4929</v>
      </c>
      <c r="DD4" s="695">
        <f t="shared" ref="DD4:DD10" si="44">DF4</f>
        <v>5454</v>
      </c>
      <c r="DE4" s="2097">
        <v>5178</v>
      </c>
      <c r="DF4" s="158">
        <f t="shared" ref="DF4:DF10" si="45">DG4</f>
        <v>5454</v>
      </c>
      <c r="DG4" s="1364">
        <v>5454</v>
      </c>
      <c r="DH4" s="818">
        <v>5243</v>
      </c>
      <c r="DI4" s="158">
        <f t="shared" ref="DI4:DI21" si="46">DL4</f>
        <v>4898</v>
      </c>
      <c r="DJ4" s="819">
        <f t="shared" ref="DJ4" si="47">DJ161</f>
        <v>4655.3473819945393</v>
      </c>
      <c r="DK4" s="453">
        <f t="shared" ref="DK4:DK10" si="48">DM4</f>
        <v>6041.8607872992898</v>
      </c>
      <c r="DL4" s="2006">
        <v>4898</v>
      </c>
      <c r="DM4" s="327">
        <f t="shared" ref="DM4:DM10" si="49">DN4</f>
        <v>6041.8607872992898</v>
      </c>
      <c r="DN4" s="1544">
        <f t="shared" ref="DN4:EP4" si="50">DN161</f>
        <v>6041.8607872992898</v>
      </c>
      <c r="DO4" s="819">
        <f t="shared" si="50"/>
        <v>6053.5542921778733</v>
      </c>
      <c r="DP4" s="327">
        <f t="shared" ref="DP4:DP10" si="51">DS4</f>
        <v>6367.0379586177041</v>
      </c>
      <c r="DQ4" s="819">
        <f t="shared" ref="DQ4" si="52">DQ161</f>
        <v>6649.1642930830494</v>
      </c>
      <c r="DR4" s="453">
        <f t="shared" ref="DR4:DR10" si="53">DT4</f>
        <v>6724.27402766869</v>
      </c>
      <c r="DS4" s="819">
        <f t="shared" ref="DS4" si="54">DS161</f>
        <v>6367.0379586177041</v>
      </c>
      <c r="DT4" s="327">
        <f t="shared" ref="DT4:DT10" si="55">DU4</f>
        <v>6724.27402766869</v>
      </c>
      <c r="DU4" s="1544">
        <f t="shared" si="50"/>
        <v>6724.27402766869</v>
      </c>
      <c r="DV4" s="819">
        <f t="shared" si="50"/>
        <v>6570.2811934776955</v>
      </c>
      <c r="DW4" s="327">
        <f t="shared" ref="DW4:DW10" si="56">DZ4</f>
        <v>6912.8019143159609</v>
      </c>
      <c r="DX4" s="819">
        <f t="shared" ref="DX4" si="57">DX161</f>
        <v>7222.5411589019432</v>
      </c>
      <c r="DY4" s="453">
        <f t="shared" ref="DY4:DY10" si="58">EA4</f>
        <v>7321.1205841992341</v>
      </c>
      <c r="DZ4" s="819">
        <f t="shared" ref="DZ4" si="59">DZ161</f>
        <v>6912.8019143159609</v>
      </c>
      <c r="EA4" s="327">
        <f t="shared" ref="EA4:EA10" si="60">EB4</f>
        <v>7321.1205841992341</v>
      </c>
      <c r="EB4" s="1544">
        <f t="shared" si="50"/>
        <v>7321.1205841992341</v>
      </c>
      <c r="EC4" s="819">
        <f t="shared" si="50"/>
        <v>7048.4652174549265</v>
      </c>
      <c r="ED4" s="327">
        <f t="shared" ref="ED4:ED10" si="61">EG4</f>
        <v>7285.8062154104327</v>
      </c>
      <c r="EE4" s="819">
        <f t="shared" ref="EE4" si="62">EE161</f>
        <v>7488.6440048541208</v>
      </c>
      <c r="EF4" s="453">
        <f t="shared" ref="EF4:EF10" si="63">EH4</f>
        <v>7651.3658336458648</v>
      </c>
      <c r="EG4" s="819">
        <f t="shared" ref="EG4" si="64">EG161</f>
        <v>7285.8062154104327</v>
      </c>
      <c r="EH4" s="327">
        <f t="shared" ref="EH4:EH10" si="65">EI4</f>
        <v>7651.3658336458648</v>
      </c>
      <c r="EI4" s="1544">
        <f t="shared" si="50"/>
        <v>7651.3658336458648</v>
      </c>
      <c r="EJ4" s="819">
        <f t="shared" si="50"/>
        <v>7284.4613388022472</v>
      </c>
      <c r="EK4" s="327">
        <f t="shared" ref="EK4:EK10" si="66">EN4</f>
        <v>7533.7059085829769</v>
      </c>
      <c r="EL4" s="819">
        <f t="shared" ref="EL4" si="67">EL161</f>
        <v>7746.8901483387326</v>
      </c>
      <c r="EM4" s="453">
        <f t="shared" ref="EM4:EM10" si="68">EO4</f>
        <v>7915.0587860544247</v>
      </c>
      <c r="EN4" s="819">
        <f t="shared" ref="EN4" si="69">EN161</f>
        <v>7533.7059085829769</v>
      </c>
      <c r="EO4" s="327">
        <f t="shared" ref="EO4:EO10" si="70">EP4</f>
        <v>7915.0587860544247</v>
      </c>
      <c r="EP4" s="1544">
        <f t="shared" si="50"/>
        <v>7915.0587860544247</v>
      </c>
      <c r="EQ4" s="303"/>
      <c r="ER4" s="46"/>
    </row>
    <row r="5" spans="1:148" ht="10.199999999999999" customHeight="1">
      <c r="A5" s="43" t="s">
        <v>127</v>
      </c>
      <c r="B5" s="133">
        <v>0</v>
      </c>
      <c r="C5" s="133">
        <v>0</v>
      </c>
      <c r="D5" s="133">
        <v>0</v>
      </c>
      <c r="E5" s="158">
        <v>303</v>
      </c>
      <c r="F5" s="158">
        <v>237</v>
      </c>
      <c r="G5" s="158">
        <v>428</v>
      </c>
      <c r="H5" s="158">
        <v>375</v>
      </c>
      <c r="I5" s="158">
        <v>452</v>
      </c>
      <c r="J5" s="158">
        <v>267</v>
      </c>
      <c r="K5" s="158">
        <v>234</v>
      </c>
      <c r="L5" s="158">
        <v>339</v>
      </c>
      <c r="M5" s="158">
        <v>458</v>
      </c>
      <c r="N5" s="158"/>
      <c r="O5" s="158"/>
      <c r="P5" s="158"/>
      <c r="Q5" s="695"/>
      <c r="R5" s="158"/>
      <c r="S5" s="158"/>
      <c r="T5" s="1301">
        <v>628</v>
      </c>
      <c r="U5" s="158">
        <f>T5</f>
        <v>628</v>
      </c>
      <c r="V5" s="158">
        <f t="shared" si="10"/>
        <v>628</v>
      </c>
      <c r="W5" s="158">
        <f>V5</f>
        <v>628</v>
      </c>
      <c r="X5" s="695">
        <f t="shared" si="11"/>
        <v>605</v>
      </c>
      <c r="Y5" s="158">
        <f>T5</f>
        <v>628</v>
      </c>
      <c r="Z5" s="158">
        <f t="shared" si="12"/>
        <v>605</v>
      </c>
      <c r="AA5" s="1301">
        <v>605</v>
      </c>
      <c r="AB5" s="158">
        <f>AA5</f>
        <v>605</v>
      </c>
      <c r="AC5" s="158">
        <f t="shared" si="13"/>
        <v>433</v>
      </c>
      <c r="AD5" s="158">
        <v>531</v>
      </c>
      <c r="AE5" s="695">
        <f t="shared" si="14"/>
        <v>860</v>
      </c>
      <c r="AF5" s="158">
        <v>433</v>
      </c>
      <c r="AG5" s="158">
        <f t="shared" si="15"/>
        <v>860</v>
      </c>
      <c r="AH5" s="1301">
        <v>860</v>
      </c>
      <c r="AI5" s="158">
        <v>920</v>
      </c>
      <c r="AJ5" s="158">
        <f t="shared" si="16"/>
        <v>778</v>
      </c>
      <c r="AK5" s="158">
        <v>901</v>
      </c>
      <c r="AL5" s="695">
        <f t="shared" si="17"/>
        <v>1110</v>
      </c>
      <c r="AM5" s="158">
        <v>778</v>
      </c>
      <c r="AN5" s="158">
        <f t="shared" si="18"/>
        <v>1110</v>
      </c>
      <c r="AO5" s="1301">
        <v>1110</v>
      </c>
      <c r="AP5" s="158">
        <v>1216</v>
      </c>
      <c r="AQ5" s="158">
        <f t="shared" si="19"/>
        <v>885</v>
      </c>
      <c r="AR5" s="158">
        <v>883</v>
      </c>
      <c r="AS5" s="695">
        <f t="shared" si="20"/>
        <v>914</v>
      </c>
      <c r="AT5" s="158">
        <v>885</v>
      </c>
      <c r="AU5" s="158">
        <f t="shared" si="21"/>
        <v>914</v>
      </c>
      <c r="AV5" s="1301">
        <v>914</v>
      </c>
      <c r="AW5" s="158"/>
      <c r="AX5" s="158"/>
      <c r="AY5" s="158"/>
      <c r="AZ5" s="695"/>
      <c r="BA5" s="158"/>
      <c r="BB5" s="158"/>
      <c r="BC5" s="1301">
        <v>914</v>
      </c>
      <c r="BD5" s="158">
        <v>1064</v>
      </c>
      <c r="BE5" s="158">
        <f t="shared" si="22"/>
        <v>1388</v>
      </c>
      <c r="BF5" s="158">
        <v>937</v>
      </c>
      <c r="BG5" s="695">
        <f t="shared" si="23"/>
        <v>1451</v>
      </c>
      <c r="BH5" s="158">
        <v>1388</v>
      </c>
      <c r="BI5" s="158">
        <f t="shared" si="24"/>
        <v>1451</v>
      </c>
      <c r="BJ5" s="1301">
        <v>1451</v>
      </c>
      <c r="BK5" s="158">
        <v>1483</v>
      </c>
      <c r="BL5" s="158">
        <f t="shared" si="25"/>
        <v>981</v>
      </c>
      <c r="BM5" s="158">
        <v>1179</v>
      </c>
      <c r="BN5" s="695">
        <f t="shared" si="26"/>
        <v>1784</v>
      </c>
      <c r="BO5" s="158">
        <v>981</v>
      </c>
      <c r="BP5" s="158">
        <f t="shared" si="27"/>
        <v>1784</v>
      </c>
      <c r="BQ5" s="1301">
        <v>1784</v>
      </c>
      <c r="BR5" s="158">
        <v>1844</v>
      </c>
      <c r="BS5" s="158">
        <f t="shared" si="28"/>
        <v>1494</v>
      </c>
      <c r="BT5" s="158">
        <v>1493</v>
      </c>
      <c r="BU5" s="695">
        <f t="shared" si="29"/>
        <v>620</v>
      </c>
      <c r="BV5" s="158">
        <v>1494</v>
      </c>
      <c r="BW5" s="158">
        <f t="shared" si="30"/>
        <v>620</v>
      </c>
      <c r="BX5" s="1301">
        <v>620</v>
      </c>
      <c r="BY5" s="158">
        <v>618</v>
      </c>
      <c r="BZ5" s="158">
        <f t="shared" si="31"/>
        <v>439</v>
      </c>
      <c r="CA5" s="158">
        <v>466</v>
      </c>
      <c r="CB5" s="695">
        <f t="shared" si="32"/>
        <v>552</v>
      </c>
      <c r="CC5" s="158">
        <v>439</v>
      </c>
      <c r="CD5" s="158">
        <f t="shared" si="33"/>
        <v>552</v>
      </c>
      <c r="CE5" s="1301">
        <v>552</v>
      </c>
      <c r="CF5" s="158">
        <v>569</v>
      </c>
      <c r="CG5" s="158">
        <f t="shared" si="34"/>
        <v>678</v>
      </c>
      <c r="CH5" s="158">
        <v>774</v>
      </c>
      <c r="CI5" s="695">
        <f t="shared" si="35"/>
        <v>704</v>
      </c>
      <c r="CJ5" s="158">
        <v>678</v>
      </c>
      <c r="CK5" s="158">
        <f t="shared" si="36"/>
        <v>704</v>
      </c>
      <c r="CL5" s="1301">
        <v>704</v>
      </c>
      <c r="CM5" s="158">
        <v>728</v>
      </c>
      <c r="CN5" s="158">
        <f t="shared" si="37"/>
        <v>692</v>
      </c>
      <c r="CO5" s="158">
        <v>796</v>
      </c>
      <c r="CP5" s="695">
        <f t="shared" si="38"/>
        <v>546</v>
      </c>
      <c r="CQ5" s="158">
        <v>692</v>
      </c>
      <c r="CR5" s="158">
        <f t="shared" si="39"/>
        <v>546</v>
      </c>
      <c r="CS5" s="1301">
        <v>546</v>
      </c>
      <c r="CT5" s="158">
        <v>618</v>
      </c>
      <c r="CU5" s="158">
        <f t="shared" si="40"/>
        <v>641</v>
      </c>
      <c r="CV5" s="158">
        <v>807</v>
      </c>
      <c r="CW5" s="695">
        <f t="shared" si="41"/>
        <v>663</v>
      </c>
      <c r="CX5" s="158">
        <v>641</v>
      </c>
      <c r="CY5" s="158">
        <f t="shared" si="42"/>
        <v>663</v>
      </c>
      <c r="CZ5" s="1301">
        <v>663</v>
      </c>
      <c r="DA5" s="158">
        <v>705</v>
      </c>
      <c r="DB5" s="158">
        <f t="shared" si="43"/>
        <v>703</v>
      </c>
      <c r="DC5" s="158">
        <v>746</v>
      </c>
      <c r="DD5" s="695">
        <f t="shared" si="44"/>
        <v>734</v>
      </c>
      <c r="DE5" s="2097">
        <v>703</v>
      </c>
      <c r="DF5" s="158">
        <f t="shared" si="45"/>
        <v>734</v>
      </c>
      <c r="DG5" s="1364">
        <v>734</v>
      </c>
      <c r="DH5" s="818">
        <v>601</v>
      </c>
      <c r="DI5" s="158">
        <f t="shared" si="46"/>
        <v>835</v>
      </c>
      <c r="DJ5" s="819">
        <f>DI5</f>
        <v>835</v>
      </c>
      <c r="DK5" s="453">
        <f t="shared" si="48"/>
        <v>734</v>
      </c>
      <c r="DL5" s="2006">
        <v>835</v>
      </c>
      <c r="DM5" s="327">
        <f t="shared" si="49"/>
        <v>734</v>
      </c>
      <c r="DN5" s="1544">
        <f>DG5</f>
        <v>734</v>
      </c>
      <c r="DO5" s="819">
        <f>DN5</f>
        <v>734</v>
      </c>
      <c r="DP5" s="327">
        <f t="shared" si="51"/>
        <v>734</v>
      </c>
      <c r="DQ5" s="819">
        <f>DP5</f>
        <v>734</v>
      </c>
      <c r="DR5" s="453">
        <f t="shared" si="53"/>
        <v>734</v>
      </c>
      <c r="DS5" s="819">
        <f>DN5</f>
        <v>734</v>
      </c>
      <c r="DT5" s="327">
        <f t="shared" si="55"/>
        <v>734</v>
      </c>
      <c r="DU5" s="1544">
        <f>DN5</f>
        <v>734</v>
      </c>
      <c r="DV5" s="819">
        <f>DU5</f>
        <v>734</v>
      </c>
      <c r="DW5" s="327">
        <f t="shared" si="56"/>
        <v>734</v>
      </c>
      <c r="DX5" s="819">
        <f>DW5</f>
        <v>734</v>
      </c>
      <c r="DY5" s="453">
        <f t="shared" si="58"/>
        <v>734</v>
      </c>
      <c r="DZ5" s="819">
        <f>DU5</f>
        <v>734</v>
      </c>
      <c r="EA5" s="327">
        <f t="shared" si="60"/>
        <v>734</v>
      </c>
      <c r="EB5" s="1544">
        <f>DU5</f>
        <v>734</v>
      </c>
      <c r="EC5" s="819">
        <f>EB5</f>
        <v>734</v>
      </c>
      <c r="ED5" s="327">
        <f t="shared" si="61"/>
        <v>734</v>
      </c>
      <c r="EE5" s="819">
        <f>ED5</f>
        <v>734</v>
      </c>
      <c r="EF5" s="453">
        <f t="shared" si="63"/>
        <v>734</v>
      </c>
      <c r="EG5" s="819">
        <f>EB5</f>
        <v>734</v>
      </c>
      <c r="EH5" s="327">
        <f t="shared" si="65"/>
        <v>734</v>
      </c>
      <c r="EI5" s="1544">
        <f>EB5</f>
        <v>734</v>
      </c>
      <c r="EJ5" s="819">
        <f>EI5</f>
        <v>734</v>
      </c>
      <c r="EK5" s="327">
        <f t="shared" si="66"/>
        <v>734</v>
      </c>
      <c r="EL5" s="819">
        <f>EK5</f>
        <v>734</v>
      </c>
      <c r="EM5" s="453">
        <f t="shared" si="68"/>
        <v>734</v>
      </c>
      <c r="EN5" s="819">
        <f>EI5</f>
        <v>734</v>
      </c>
      <c r="EO5" s="327">
        <f t="shared" si="70"/>
        <v>734</v>
      </c>
      <c r="EP5" s="1544">
        <f t="shared" ref="EP5:EP6" si="71">EI5</f>
        <v>734</v>
      </c>
      <c r="EQ5" s="303"/>
      <c r="ER5" s="46"/>
    </row>
    <row r="6" spans="1:148" ht="10.199999999999999" customHeight="1">
      <c r="A6" s="43" t="s">
        <v>180</v>
      </c>
      <c r="B6" s="158">
        <v>5341</v>
      </c>
      <c r="C6" s="158">
        <v>799</v>
      </c>
      <c r="D6" s="158">
        <v>468</v>
      </c>
      <c r="E6" s="158">
        <v>466</v>
      </c>
      <c r="F6" s="158">
        <f>29</f>
        <v>29</v>
      </c>
      <c r="G6" s="158">
        <v>549</v>
      </c>
      <c r="H6" s="158">
        <v>1598</v>
      </c>
      <c r="I6" s="158">
        <v>3912</v>
      </c>
      <c r="J6" s="158">
        <v>4072</v>
      </c>
      <c r="K6" s="158">
        <v>5834</v>
      </c>
      <c r="L6" s="158">
        <v>4272</v>
      </c>
      <c r="M6" s="158">
        <v>2328</v>
      </c>
      <c r="N6" s="158"/>
      <c r="O6" s="158"/>
      <c r="P6" s="158"/>
      <c r="Q6" s="695"/>
      <c r="R6" s="158"/>
      <c r="S6" s="158"/>
      <c r="T6" s="1301">
        <v>2585</v>
      </c>
      <c r="U6" s="158">
        <v>2413</v>
      </c>
      <c r="V6" s="158">
        <f t="shared" si="10"/>
        <v>1976</v>
      </c>
      <c r="W6" s="158">
        <v>2202</v>
      </c>
      <c r="X6" s="695">
        <f t="shared" si="11"/>
        <v>3183</v>
      </c>
      <c r="Y6" s="158">
        <v>1976</v>
      </c>
      <c r="Z6" s="158">
        <f t="shared" si="12"/>
        <v>3183</v>
      </c>
      <c r="AA6" s="1301">
        <v>3183</v>
      </c>
      <c r="AB6" s="158">
        <v>2798</v>
      </c>
      <c r="AC6" s="158">
        <f t="shared" si="13"/>
        <v>2596</v>
      </c>
      <c r="AD6" s="158">
        <v>1850</v>
      </c>
      <c r="AE6" s="695">
        <f t="shared" si="14"/>
        <v>1788</v>
      </c>
      <c r="AF6" s="158">
        <v>2596</v>
      </c>
      <c r="AG6" s="158">
        <f t="shared" si="15"/>
        <v>1788</v>
      </c>
      <c r="AH6" s="1301">
        <v>1788</v>
      </c>
      <c r="AI6" s="158">
        <v>1657</v>
      </c>
      <c r="AJ6" s="158">
        <f t="shared" si="16"/>
        <v>1750</v>
      </c>
      <c r="AK6" s="158">
        <v>1518</v>
      </c>
      <c r="AL6" s="695">
        <f t="shared" si="17"/>
        <v>1551</v>
      </c>
      <c r="AM6" s="158">
        <v>1750</v>
      </c>
      <c r="AN6" s="158">
        <f t="shared" si="18"/>
        <v>1551</v>
      </c>
      <c r="AO6" s="1301">
        <v>1551</v>
      </c>
      <c r="AP6" s="158">
        <v>1334</v>
      </c>
      <c r="AQ6" s="158">
        <f t="shared" si="19"/>
        <v>1363</v>
      </c>
      <c r="AR6" s="158">
        <v>1317</v>
      </c>
      <c r="AS6" s="695">
        <f t="shared" si="20"/>
        <v>1627</v>
      </c>
      <c r="AT6" s="158">
        <v>1363</v>
      </c>
      <c r="AU6" s="158">
        <f t="shared" si="21"/>
        <v>1627</v>
      </c>
      <c r="AV6" s="1301">
        <v>1627</v>
      </c>
      <c r="AW6" s="158"/>
      <c r="AX6" s="158"/>
      <c r="AY6" s="158"/>
      <c r="AZ6" s="695"/>
      <c r="BA6" s="158"/>
      <c r="BB6" s="158"/>
      <c r="BC6" s="1301">
        <v>1627</v>
      </c>
      <c r="BD6" s="158">
        <v>1814</v>
      </c>
      <c r="BE6" s="158">
        <f t="shared" si="22"/>
        <v>2086</v>
      </c>
      <c r="BF6" s="158">
        <v>2401</v>
      </c>
      <c r="BG6" s="695">
        <f t="shared" si="23"/>
        <v>2132</v>
      </c>
      <c r="BH6" s="158">
        <v>2086</v>
      </c>
      <c r="BI6" s="158">
        <f t="shared" si="24"/>
        <v>2132</v>
      </c>
      <c r="BJ6" s="1301">
        <v>2132</v>
      </c>
      <c r="BK6" s="158">
        <v>2422</v>
      </c>
      <c r="BL6" s="158">
        <f t="shared" si="25"/>
        <v>1911</v>
      </c>
      <c r="BM6" s="158">
        <v>2225</v>
      </c>
      <c r="BN6" s="695">
        <f t="shared" si="26"/>
        <v>2302</v>
      </c>
      <c r="BO6" s="158">
        <v>1911</v>
      </c>
      <c r="BP6" s="158">
        <f t="shared" si="27"/>
        <v>2302</v>
      </c>
      <c r="BQ6" s="1301">
        <v>2302</v>
      </c>
      <c r="BR6" s="158">
        <v>1648</v>
      </c>
      <c r="BS6" s="158">
        <f t="shared" si="28"/>
        <v>1587</v>
      </c>
      <c r="BT6" s="158">
        <v>1654</v>
      </c>
      <c r="BU6" s="695">
        <f t="shared" si="29"/>
        <v>1618</v>
      </c>
      <c r="BV6" s="158">
        <v>1587</v>
      </c>
      <c r="BW6" s="158">
        <f t="shared" si="30"/>
        <v>1618</v>
      </c>
      <c r="BX6" s="1301">
        <v>1618</v>
      </c>
      <c r="BY6" s="158">
        <v>1456</v>
      </c>
      <c r="BZ6" s="158">
        <f t="shared" si="31"/>
        <v>1607</v>
      </c>
      <c r="CA6" s="158">
        <v>1300</v>
      </c>
      <c r="CB6" s="695">
        <f t="shared" si="32"/>
        <v>1317</v>
      </c>
      <c r="CC6" s="158">
        <v>1607</v>
      </c>
      <c r="CD6" s="158">
        <f t="shared" si="33"/>
        <v>1317</v>
      </c>
      <c r="CE6" s="1301">
        <v>1317</v>
      </c>
      <c r="CF6" s="158">
        <v>1123</v>
      </c>
      <c r="CG6" s="158">
        <f t="shared" si="34"/>
        <v>1077</v>
      </c>
      <c r="CH6" s="158">
        <v>1398</v>
      </c>
      <c r="CI6" s="695">
        <f t="shared" si="35"/>
        <v>1762</v>
      </c>
      <c r="CJ6" s="158">
        <v>1077</v>
      </c>
      <c r="CK6" s="158">
        <f t="shared" si="36"/>
        <v>1762</v>
      </c>
      <c r="CL6" s="1301">
        <v>1762</v>
      </c>
      <c r="CM6" s="158">
        <v>1670</v>
      </c>
      <c r="CN6" s="158">
        <f t="shared" si="37"/>
        <v>1536</v>
      </c>
      <c r="CO6" s="158">
        <v>1491</v>
      </c>
      <c r="CP6" s="695">
        <f t="shared" si="38"/>
        <v>1301</v>
      </c>
      <c r="CQ6" s="158">
        <v>1536</v>
      </c>
      <c r="CR6" s="158">
        <f t="shared" si="39"/>
        <v>1301</v>
      </c>
      <c r="CS6" s="1301">
        <v>1301</v>
      </c>
      <c r="CT6" s="158">
        <v>1845</v>
      </c>
      <c r="CU6" s="158">
        <f t="shared" si="40"/>
        <v>2455</v>
      </c>
      <c r="CV6" s="158">
        <v>2757</v>
      </c>
      <c r="CW6" s="695">
        <f t="shared" si="41"/>
        <v>2829</v>
      </c>
      <c r="CX6" s="158">
        <v>2455</v>
      </c>
      <c r="CY6" s="158">
        <f t="shared" si="42"/>
        <v>2829</v>
      </c>
      <c r="CZ6" s="1301">
        <v>2829</v>
      </c>
      <c r="DA6" s="158">
        <v>2958</v>
      </c>
      <c r="DB6" s="158">
        <f t="shared" si="43"/>
        <v>2983</v>
      </c>
      <c r="DC6" s="158">
        <v>2911</v>
      </c>
      <c r="DD6" s="695">
        <f t="shared" si="44"/>
        <v>3093</v>
      </c>
      <c r="DE6" s="2097">
        <v>2983</v>
      </c>
      <c r="DF6" s="158">
        <f t="shared" si="45"/>
        <v>3093</v>
      </c>
      <c r="DG6" s="1364">
        <v>3093</v>
      </c>
      <c r="DH6" s="818">
        <v>2999</v>
      </c>
      <c r="DI6" s="158">
        <f t="shared" si="46"/>
        <v>2795</v>
      </c>
      <c r="DJ6" s="819">
        <f>DI6</f>
        <v>2795</v>
      </c>
      <c r="DK6" s="453">
        <f t="shared" si="48"/>
        <v>3093</v>
      </c>
      <c r="DL6" s="2006">
        <v>2795</v>
      </c>
      <c r="DM6" s="327">
        <f t="shared" si="49"/>
        <v>3093</v>
      </c>
      <c r="DN6" s="1544">
        <f>DG6</f>
        <v>3093</v>
      </c>
      <c r="DO6" s="819">
        <f>DN6</f>
        <v>3093</v>
      </c>
      <c r="DP6" s="327">
        <f t="shared" si="51"/>
        <v>3093</v>
      </c>
      <c r="DQ6" s="819">
        <f>DP6</f>
        <v>3093</v>
      </c>
      <c r="DR6" s="453">
        <f t="shared" si="53"/>
        <v>3093</v>
      </c>
      <c r="DS6" s="819">
        <f>DN6</f>
        <v>3093</v>
      </c>
      <c r="DT6" s="327">
        <f t="shared" si="55"/>
        <v>3093</v>
      </c>
      <c r="DU6" s="1544">
        <f>DN6</f>
        <v>3093</v>
      </c>
      <c r="DV6" s="819">
        <f>DU6</f>
        <v>3093</v>
      </c>
      <c r="DW6" s="327">
        <f t="shared" si="56"/>
        <v>3093</v>
      </c>
      <c r="DX6" s="819">
        <f>DW6</f>
        <v>3093</v>
      </c>
      <c r="DY6" s="453">
        <f t="shared" si="58"/>
        <v>3093</v>
      </c>
      <c r="DZ6" s="819">
        <f>DU6</f>
        <v>3093</v>
      </c>
      <c r="EA6" s="327">
        <f t="shared" si="60"/>
        <v>3093</v>
      </c>
      <c r="EB6" s="1544">
        <f>DU6</f>
        <v>3093</v>
      </c>
      <c r="EC6" s="819">
        <f>EB6</f>
        <v>3093</v>
      </c>
      <c r="ED6" s="327">
        <f t="shared" si="61"/>
        <v>3093</v>
      </c>
      <c r="EE6" s="819">
        <f>ED6</f>
        <v>3093</v>
      </c>
      <c r="EF6" s="453">
        <f t="shared" si="63"/>
        <v>3093</v>
      </c>
      <c r="EG6" s="819">
        <f>EB6</f>
        <v>3093</v>
      </c>
      <c r="EH6" s="327">
        <f t="shared" si="65"/>
        <v>3093</v>
      </c>
      <c r="EI6" s="1544">
        <f>EB6</f>
        <v>3093</v>
      </c>
      <c r="EJ6" s="819">
        <f>EI6</f>
        <v>3093</v>
      </c>
      <c r="EK6" s="327">
        <f t="shared" si="66"/>
        <v>3093</v>
      </c>
      <c r="EL6" s="819">
        <f>EK6</f>
        <v>3093</v>
      </c>
      <c r="EM6" s="453">
        <f t="shared" si="68"/>
        <v>3093</v>
      </c>
      <c r="EN6" s="819">
        <f>EI6</f>
        <v>3093</v>
      </c>
      <c r="EO6" s="327">
        <f t="shared" si="70"/>
        <v>3093</v>
      </c>
      <c r="EP6" s="1544">
        <f t="shared" si="71"/>
        <v>3093</v>
      </c>
      <c r="EQ6" s="303"/>
      <c r="ER6" s="46"/>
    </row>
    <row r="7" spans="1:148" ht="10.199999999999999" customHeight="1">
      <c r="A7" s="43" t="s">
        <v>62</v>
      </c>
      <c r="B7" s="158">
        <v>2692</v>
      </c>
      <c r="C7" s="158">
        <v>5401</v>
      </c>
      <c r="D7" s="158">
        <v>7404</v>
      </c>
      <c r="E7" s="158">
        <v>8718</v>
      </c>
      <c r="F7" s="158">
        <v>9546</v>
      </c>
      <c r="G7" s="158">
        <v>8143</v>
      </c>
      <c r="H7" s="158">
        <v>7549</v>
      </c>
      <c r="I7" s="158">
        <v>6745</v>
      </c>
      <c r="J7" s="158">
        <v>7038</v>
      </c>
      <c r="K7" s="158">
        <v>5030</v>
      </c>
      <c r="L7" s="158">
        <v>5284</v>
      </c>
      <c r="M7" s="158">
        <v>8756</v>
      </c>
      <c r="N7" s="158"/>
      <c r="O7" s="158"/>
      <c r="P7" s="158"/>
      <c r="Q7" s="695"/>
      <c r="R7" s="158"/>
      <c r="S7" s="158"/>
      <c r="T7" s="1301">
        <v>7201</v>
      </c>
      <c r="U7" s="158">
        <v>5864</v>
      </c>
      <c r="V7" s="158">
        <f t="shared" si="10"/>
        <v>6145</v>
      </c>
      <c r="W7" s="158">
        <v>5156</v>
      </c>
      <c r="X7" s="695">
        <f t="shared" si="11"/>
        <v>7289</v>
      </c>
      <c r="Y7" s="158">
        <v>6145</v>
      </c>
      <c r="Z7" s="158">
        <f t="shared" si="12"/>
        <v>7289</v>
      </c>
      <c r="AA7" s="1301">
        <f>7271+18</f>
        <v>7289</v>
      </c>
      <c r="AB7" s="158">
        <v>7439</v>
      </c>
      <c r="AC7" s="158">
        <f t="shared" si="13"/>
        <v>5613</v>
      </c>
      <c r="AD7" s="158">
        <f>5810+40</f>
        <v>5850</v>
      </c>
      <c r="AE7" s="695">
        <f t="shared" si="14"/>
        <v>7576</v>
      </c>
      <c r="AF7" s="158">
        <f>5572+41</f>
        <v>5613</v>
      </c>
      <c r="AG7" s="158">
        <f t="shared" si="15"/>
        <v>7576</v>
      </c>
      <c r="AH7" s="1301">
        <f>7489+87</f>
        <v>7576</v>
      </c>
      <c r="AI7" s="158">
        <f>6711+83</f>
        <v>6794</v>
      </c>
      <c r="AJ7" s="158">
        <f t="shared" si="16"/>
        <v>7986</v>
      </c>
      <c r="AK7" s="158">
        <f>5694+21</f>
        <v>5715</v>
      </c>
      <c r="AL7" s="695">
        <f t="shared" si="17"/>
        <v>10143</v>
      </c>
      <c r="AM7" s="158">
        <f>7965+21</f>
        <v>7986</v>
      </c>
      <c r="AN7" s="158">
        <f t="shared" si="18"/>
        <v>10143</v>
      </c>
      <c r="AO7" s="1301">
        <v>10143</v>
      </c>
      <c r="AP7" s="158">
        <v>9186</v>
      </c>
      <c r="AQ7" s="158">
        <f t="shared" si="19"/>
        <v>7887</v>
      </c>
      <c r="AR7" s="158">
        <v>6592</v>
      </c>
      <c r="AS7" s="695">
        <f t="shared" si="20"/>
        <v>12016</v>
      </c>
      <c r="AT7" s="158">
        <v>7887</v>
      </c>
      <c r="AU7" s="158">
        <f t="shared" si="21"/>
        <v>12016</v>
      </c>
      <c r="AV7" s="1301">
        <v>12016</v>
      </c>
      <c r="AW7" s="158"/>
      <c r="AX7" s="158"/>
      <c r="AY7" s="158"/>
      <c r="AZ7" s="695"/>
      <c r="BA7" s="158"/>
      <c r="BB7" s="158"/>
      <c r="BC7" s="1301">
        <v>12016</v>
      </c>
      <c r="BD7" s="158">
        <v>8354</v>
      </c>
      <c r="BE7" s="158">
        <f t="shared" si="22"/>
        <v>5138</v>
      </c>
      <c r="BF7" s="158">
        <v>5603</v>
      </c>
      <c r="BG7" s="695">
        <f t="shared" si="23"/>
        <v>9413</v>
      </c>
      <c r="BH7" s="158">
        <v>5138</v>
      </c>
      <c r="BI7" s="158">
        <f t="shared" si="24"/>
        <v>9413</v>
      </c>
      <c r="BJ7" s="1301">
        <v>9413</v>
      </c>
      <c r="BK7" s="158">
        <v>5987</v>
      </c>
      <c r="BL7" s="158">
        <f t="shared" si="25"/>
        <v>5218</v>
      </c>
      <c r="BM7" s="158">
        <v>4613</v>
      </c>
      <c r="BN7" s="695">
        <f t="shared" si="26"/>
        <v>9314</v>
      </c>
      <c r="BO7" s="158">
        <v>5218</v>
      </c>
      <c r="BP7" s="158">
        <f t="shared" si="27"/>
        <v>9314</v>
      </c>
      <c r="BQ7" s="1301">
        <v>9314</v>
      </c>
      <c r="BR7" s="158">
        <v>6348</v>
      </c>
      <c r="BS7" s="158">
        <f t="shared" si="28"/>
        <v>9924</v>
      </c>
      <c r="BT7" s="158">
        <v>10927</v>
      </c>
      <c r="BU7" s="695">
        <f t="shared" si="29"/>
        <v>14439</v>
      </c>
      <c r="BV7" s="158">
        <v>9924</v>
      </c>
      <c r="BW7" s="158">
        <f t="shared" si="30"/>
        <v>14439</v>
      </c>
      <c r="BX7" s="1301">
        <v>14439</v>
      </c>
      <c r="BY7" s="158">
        <v>15973</v>
      </c>
      <c r="BZ7" s="158">
        <f t="shared" si="31"/>
        <v>14661</v>
      </c>
      <c r="CA7" s="158">
        <v>14854</v>
      </c>
      <c r="CB7" s="695">
        <f t="shared" si="32"/>
        <v>14572</v>
      </c>
      <c r="CC7" s="158">
        <v>14661</v>
      </c>
      <c r="CD7" s="158">
        <f t="shared" si="33"/>
        <v>14572</v>
      </c>
      <c r="CE7" s="1301">
        <v>14572</v>
      </c>
      <c r="CF7" s="158">
        <v>15045</v>
      </c>
      <c r="CG7" s="158">
        <f t="shared" si="34"/>
        <v>14145</v>
      </c>
      <c r="CH7" s="158">
        <v>14515</v>
      </c>
      <c r="CI7" s="695">
        <f t="shared" si="35"/>
        <v>15823</v>
      </c>
      <c r="CJ7" s="158">
        <v>14145</v>
      </c>
      <c r="CK7" s="158">
        <f t="shared" si="36"/>
        <v>15823</v>
      </c>
      <c r="CL7" s="1301">
        <v>15823</v>
      </c>
      <c r="CM7" s="158">
        <v>14512</v>
      </c>
      <c r="CN7" s="158">
        <f t="shared" si="37"/>
        <v>14533</v>
      </c>
      <c r="CO7" s="158">
        <v>13642</v>
      </c>
      <c r="CP7" s="695">
        <f t="shared" si="38"/>
        <v>16469</v>
      </c>
      <c r="CQ7" s="158">
        <v>14533</v>
      </c>
      <c r="CR7" s="158">
        <f t="shared" si="39"/>
        <v>16469</v>
      </c>
      <c r="CS7" s="1301">
        <v>16469</v>
      </c>
      <c r="CT7" s="158">
        <v>13615</v>
      </c>
      <c r="CU7" s="158">
        <f t="shared" si="40"/>
        <v>10928</v>
      </c>
      <c r="CV7" s="158">
        <v>9181</v>
      </c>
      <c r="CW7" s="695">
        <f t="shared" si="41"/>
        <v>15003</v>
      </c>
      <c r="CX7" s="158">
        <v>10928</v>
      </c>
      <c r="CY7" s="158">
        <f t="shared" si="42"/>
        <v>15003</v>
      </c>
      <c r="CZ7" s="1301">
        <v>15003</v>
      </c>
      <c r="DA7" s="158">
        <v>13676</v>
      </c>
      <c r="DB7" s="158">
        <f t="shared" si="43"/>
        <v>8195</v>
      </c>
      <c r="DC7" s="158">
        <v>8344</v>
      </c>
      <c r="DD7" s="695">
        <f t="shared" si="44"/>
        <v>14128</v>
      </c>
      <c r="DE7" s="2097">
        <v>8195</v>
      </c>
      <c r="DF7" s="158">
        <f t="shared" si="45"/>
        <v>14128</v>
      </c>
      <c r="DG7" s="1364">
        <v>14128</v>
      </c>
      <c r="DH7" s="818">
        <v>11872</v>
      </c>
      <c r="DI7" s="158">
        <f t="shared" si="46"/>
        <v>9499</v>
      </c>
      <c r="DJ7" s="819">
        <f>DI7+CFS!DJ42</f>
        <v>10174.888926706955</v>
      </c>
      <c r="DK7" s="453">
        <f t="shared" si="48"/>
        <v>15251.315290264629</v>
      </c>
      <c r="DL7" s="2006">
        <v>9499</v>
      </c>
      <c r="DM7" s="327">
        <f t="shared" si="49"/>
        <v>15251.315290264629</v>
      </c>
      <c r="DN7" s="1544">
        <f>DG7+CFS!DN42</f>
        <v>15251.315290264629</v>
      </c>
      <c r="DO7" s="819">
        <f>DN7+CFS!DO42</f>
        <v>13799.703557681096</v>
      </c>
      <c r="DP7" s="327">
        <f t="shared" si="51"/>
        <v>12925.897155872839</v>
      </c>
      <c r="DQ7" s="819">
        <f>DP7+CFS!DQ42</f>
        <v>15516.919444198786</v>
      </c>
      <c r="DR7" s="453">
        <f t="shared" si="53"/>
        <v>17679.264435215046</v>
      </c>
      <c r="DS7" s="819">
        <f>DN7+CFS!DS42</f>
        <v>12925.897155872839</v>
      </c>
      <c r="DT7" s="327">
        <f t="shared" si="55"/>
        <v>17679.264435215046</v>
      </c>
      <c r="DU7" s="1544">
        <f>DN7+CFS!DU42</f>
        <v>17679.264435215046</v>
      </c>
      <c r="DV7" s="819">
        <f>DU7+CFS!DV42</f>
        <v>17083.438205138318</v>
      </c>
      <c r="DW7" s="327">
        <f t="shared" si="56"/>
        <v>16220.931632107349</v>
      </c>
      <c r="DX7" s="819">
        <f>DW7+CFS!DX42</f>
        <v>19295.638034577278</v>
      </c>
      <c r="DY7" s="453">
        <f t="shared" si="58"/>
        <v>22077.961050330177</v>
      </c>
      <c r="DZ7" s="819">
        <f>DU7+CFS!DZ42</f>
        <v>16220.931632107349</v>
      </c>
      <c r="EA7" s="327">
        <f t="shared" si="60"/>
        <v>22077.961050330177</v>
      </c>
      <c r="EB7" s="1544">
        <f>DU7+CFS!EB42</f>
        <v>22077.961050330177</v>
      </c>
      <c r="EC7" s="819">
        <f>EB7+CFS!EC42</f>
        <v>22222.621604674034</v>
      </c>
      <c r="ED7" s="327">
        <f t="shared" si="61"/>
        <v>20460.333860053208</v>
      </c>
      <c r="EE7" s="819">
        <f>ED7+CFS!EE42</f>
        <v>23322.939250051364</v>
      </c>
      <c r="EF7" s="453">
        <f t="shared" si="63"/>
        <v>26559.263487631168</v>
      </c>
      <c r="EG7" s="819">
        <f>EB7+CFS!EG42</f>
        <v>20460.333860053208</v>
      </c>
      <c r="EH7" s="327">
        <f t="shared" si="65"/>
        <v>26559.263487631168</v>
      </c>
      <c r="EI7" s="1544">
        <f>EB7+CFS!EI42</f>
        <v>26559.263487631168</v>
      </c>
      <c r="EJ7" s="819">
        <f>EI7+CFS!EJ42</f>
        <v>27013.988714170395</v>
      </c>
      <c r="EK7" s="327">
        <f t="shared" si="66"/>
        <v>26604.707690911229</v>
      </c>
      <c r="EL7" s="819">
        <f>EK7+CFS!EL42</f>
        <v>29654.917834988901</v>
      </c>
      <c r="EM7" s="453">
        <f t="shared" si="68"/>
        <v>33068.021652357987</v>
      </c>
      <c r="EN7" s="819">
        <f>EI7+CFS!EN42</f>
        <v>26604.707690911229</v>
      </c>
      <c r="EO7" s="327">
        <f t="shared" si="70"/>
        <v>33068.021652357987</v>
      </c>
      <c r="EP7" s="1544">
        <f>EI7+CFS!EP42</f>
        <v>33068.021652357987</v>
      </c>
      <c r="EQ7" s="303"/>
      <c r="ER7" s="46"/>
    </row>
    <row r="8" spans="1:148" ht="10.199999999999999" customHeight="1">
      <c r="A8" s="43" t="s">
        <v>74</v>
      </c>
      <c r="B8" s="133">
        <v>0</v>
      </c>
      <c r="C8" s="133">
        <v>0</v>
      </c>
      <c r="D8" s="133">
        <v>0</v>
      </c>
      <c r="E8" s="158">
        <v>391</v>
      </c>
      <c r="F8" s="158">
        <v>332</v>
      </c>
      <c r="G8" s="158">
        <v>384</v>
      </c>
      <c r="H8" s="158">
        <v>401</v>
      </c>
      <c r="I8" s="158">
        <v>463</v>
      </c>
      <c r="J8" s="158">
        <v>507</v>
      </c>
      <c r="K8" s="158">
        <v>521</v>
      </c>
      <c r="L8" s="158">
        <v>591</v>
      </c>
      <c r="M8" s="158">
        <v>586</v>
      </c>
      <c r="N8" s="158"/>
      <c r="O8" s="158"/>
      <c r="P8" s="158"/>
      <c r="Q8" s="695"/>
      <c r="R8" s="158"/>
      <c r="S8" s="158"/>
      <c r="T8" s="1301">
        <v>429</v>
      </c>
      <c r="U8" s="158">
        <f>T8</f>
        <v>429</v>
      </c>
      <c r="V8" s="158">
        <f t="shared" si="10"/>
        <v>429</v>
      </c>
      <c r="W8" s="158">
        <f>V8</f>
        <v>429</v>
      </c>
      <c r="X8" s="695">
        <f t="shared" si="11"/>
        <v>487</v>
      </c>
      <c r="Y8" s="158">
        <f>T8</f>
        <v>429</v>
      </c>
      <c r="Z8" s="158">
        <f t="shared" si="12"/>
        <v>487</v>
      </c>
      <c r="AA8" s="1301">
        <v>487</v>
      </c>
      <c r="AB8" s="158">
        <f>AA8</f>
        <v>487</v>
      </c>
      <c r="AC8" s="158">
        <f t="shared" si="13"/>
        <v>487</v>
      </c>
      <c r="AD8" s="158">
        <f>AC8</f>
        <v>487</v>
      </c>
      <c r="AE8" s="695">
        <f t="shared" si="14"/>
        <v>663</v>
      </c>
      <c r="AF8" s="158">
        <f>AA8</f>
        <v>487</v>
      </c>
      <c r="AG8" s="158">
        <f t="shared" si="15"/>
        <v>663</v>
      </c>
      <c r="AH8" s="1301">
        <v>663</v>
      </c>
      <c r="AI8" s="158">
        <v>797</v>
      </c>
      <c r="AJ8" s="158">
        <f t="shared" si="16"/>
        <v>795</v>
      </c>
      <c r="AK8" s="158">
        <v>729</v>
      </c>
      <c r="AL8" s="695">
        <f t="shared" si="17"/>
        <v>552</v>
      </c>
      <c r="AM8" s="158">
        <v>795</v>
      </c>
      <c r="AN8" s="158">
        <f t="shared" si="18"/>
        <v>552</v>
      </c>
      <c r="AO8" s="1301">
        <v>552</v>
      </c>
      <c r="AP8" s="158">
        <v>790</v>
      </c>
      <c r="AQ8" s="158">
        <f t="shared" si="19"/>
        <v>879</v>
      </c>
      <c r="AR8" s="158">
        <v>755</v>
      </c>
      <c r="AS8" s="695">
        <f t="shared" si="20"/>
        <v>529</v>
      </c>
      <c r="AT8" s="158">
        <v>879</v>
      </c>
      <c r="AU8" s="158">
        <f t="shared" si="21"/>
        <v>529</v>
      </c>
      <c r="AV8" s="1301">
        <v>529</v>
      </c>
      <c r="AW8" s="158"/>
      <c r="AX8" s="158"/>
      <c r="AY8" s="158"/>
      <c r="AZ8" s="695"/>
      <c r="BA8" s="158"/>
      <c r="BB8" s="158"/>
      <c r="BC8" s="1301">
        <v>146</v>
      </c>
      <c r="BD8" s="158">
        <v>308</v>
      </c>
      <c r="BE8" s="158">
        <f t="shared" si="22"/>
        <v>304</v>
      </c>
      <c r="BF8" s="158">
        <v>243</v>
      </c>
      <c r="BG8" s="695">
        <f t="shared" si="23"/>
        <v>121</v>
      </c>
      <c r="BH8" s="158">
        <v>304</v>
      </c>
      <c r="BI8" s="158">
        <f t="shared" si="24"/>
        <v>121</v>
      </c>
      <c r="BJ8" s="1301">
        <v>121</v>
      </c>
      <c r="BK8" s="158">
        <v>400</v>
      </c>
      <c r="BL8" s="158">
        <f t="shared" si="25"/>
        <v>399</v>
      </c>
      <c r="BM8" s="158">
        <v>362</v>
      </c>
      <c r="BN8" s="695">
        <f t="shared" si="26"/>
        <v>147</v>
      </c>
      <c r="BO8" s="158">
        <v>399</v>
      </c>
      <c r="BP8" s="158">
        <f t="shared" si="27"/>
        <v>147</v>
      </c>
      <c r="BQ8" s="1301">
        <v>147</v>
      </c>
      <c r="BR8" s="158">
        <v>569</v>
      </c>
      <c r="BS8" s="158">
        <f t="shared" si="28"/>
        <v>538</v>
      </c>
      <c r="BT8" s="158">
        <v>420</v>
      </c>
      <c r="BU8" s="695">
        <f t="shared" si="29"/>
        <v>191</v>
      </c>
      <c r="BV8" s="158">
        <v>538</v>
      </c>
      <c r="BW8" s="158">
        <f t="shared" si="30"/>
        <v>191</v>
      </c>
      <c r="BX8" s="1301">
        <v>191</v>
      </c>
      <c r="BY8" s="158">
        <v>456</v>
      </c>
      <c r="BZ8" s="158">
        <f t="shared" si="31"/>
        <v>563</v>
      </c>
      <c r="CA8" s="158">
        <v>261</v>
      </c>
      <c r="CB8" s="695">
        <f t="shared" si="32"/>
        <v>392</v>
      </c>
      <c r="CC8" s="158">
        <v>563</v>
      </c>
      <c r="CD8" s="158">
        <f t="shared" si="33"/>
        <v>392</v>
      </c>
      <c r="CE8" s="1301">
        <v>392</v>
      </c>
      <c r="CF8" s="158">
        <v>421</v>
      </c>
      <c r="CG8" s="158">
        <f t="shared" si="34"/>
        <v>439</v>
      </c>
      <c r="CH8" s="158">
        <v>317</v>
      </c>
      <c r="CI8" s="695">
        <f t="shared" si="35"/>
        <v>161</v>
      </c>
      <c r="CJ8" s="158">
        <v>439</v>
      </c>
      <c r="CK8" s="158">
        <f t="shared" si="36"/>
        <v>161</v>
      </c>
      <c r="CL8" s="1301">
        <v>161</v>
      </c>
      <c r="CM8" s="158">
        <v>370</v>
      </c>
      <c r="CN8" s="158">
        <f t="shared" si="37"/>
        <v>457</v>
      </c>
      <c r="CO8" s="158">
        <v>319</v>
      </c>
      <c r="CP8" s="695">
        <f t="shared" si="38"/>
        <v>174</v>
      </c>
      <c r="CQ8" s="158">
        <v>457</v>
      </c>
      <c r="CR8" s="158">
        <f t="shared" si="39"/>
        <v>174</v>
      </c>
      <c r="CS8" s="1301">
        <v>174</v>
      </c>
      <c r="CT8" s="158">
        <v>581</v>
      </c>
      <c r="CU8" s="158">
        <f t="shared" si="40"/>
        <v>638</v>
      </c>
      <c r="CV8" s="158">
        <v>535</v>
      </c>
      <c r="CW8" s="695">
        <f t="shared" si="41"/>
        <v>621</v>
      </c>
      <c r="CX8" s="158">
        <v>638</v>
      </c>
      <c r="CY8" s="158">
        <f t="shared" si="42"/>
        <v>621</v>
      </c>
      <c r="CZ8" s="1301">
        <v>621</v>
      </c>
      <c r="DA8" s="158">
        <v>941</v>
      </c>
      <c r="DB8" s="158">
        <f t="shared" si="43"/>
        <v>816</v>
      </c>
      <c r="DC8" s="158">
        <v>593</v>
      </c>
      <c r="DD8" s="695">
        <f t="shared" si="44"/>
        <v>766</v>
      </c>
      <c r="DE8" s="2097">
        <v>816</v>
      </c>
      <c r="DF8" s="158">
        <f t="shared" si="45"/>
        <v>766</v>
      </c>
      <c r="DG8" s="1364">
        <v>766</v>
      </c>
      <c r="DH8" s="818">
        <v>793</v>
      </c>
      <c r="DI8" s="158">
        <f t="shared" si="46"/>
        <v>676</v>
      </c>
      <c r="DJ8" s="819">
        <f t="shared" ref="DJ8" si="72">DJ164</f>
        <v>775.89123033242333</v>
      </c>
      <c r="DK8" s="453">
        <f t="shared" si="48"/>
        <v>805.58143830657195</v>
      </c>
      <c r="DL8" s="2006">
        <v>676</v>
      </c>
      <c r="DM8" s="327">
        <f t="shared" si="49"/>
        <v>805.58143830657195</v>
      </c>
      <c r="DN8" s="1544">
        <f t="shared" ref="DN8:EP8" si="73">DN164</f>
        <v>805.58143830657195</v>
      </c>
      <c r="DO8" s="819">
        <f t="shared" si="73"/>
        <v>807.14057229038315</v>
      </c>
      <c r="DP8" s="327">
        <f t="shared" si="51"/>
        <v>848.93839448236065</v>
      </c>
      <c r="DQ8" s="819">
        <f t="shared" ref="DQ8" si="74">DQ164</f>
        <v>886.55523907774</v>
      </c>
      <c r="DR8" s="453">
        <f t="shared" si="53"/>
        <v>896.5698703558254</v>
      </c>
      <c r="DS8" s="819">
        <f t="shared" ref="DS8" si="75">DS164</f>
        <v>848.93839448236065</v>
      </c>
      <c r="DT8" s="327">
        <f t="shared" si="55"/>
        <v>896.5698703558254</v>
      </c>
      <c r="DU8" s="1544">
        <f t="shared" si="73"/>
        <v>896.5698703558254</v>
      </c>
      <c r="DV8" s="819">
        <f t="shared" si="73"/>
        <v>876.03749246369273</v>
      </c>
      <c r="DW8" s="327">
        <f t="shared" si="56"/>
        <v>921.70692190879481</v>
      </c>
      <c r="DX8" s="819">
        <f t="shared" ref="DX8" si="76">DX164</f>
        <v>963.00548785359251</v>
      </c>
      <c r="DY8" s="453">
        <f t="shared" si="58"/>
        <v>976.14941122656455</v>
      </c>
      <c r="DZ8" s="819">
        <f t="shared" ref="DZ8" si="77">DZ164</f>
        <v>921.70692190879481</v>
      </c>
      <c r="EA8" s="327">
        <f t="shared" si="60"/>
        <v>976.14941122656455</v>
      </c>
      <c r="EB8" s="1544">
        <f t="shared" si="73"/>
        <v>976.14941122656455</v>
      </c>
      <c r="EC8" s="819">
        <f t="shared" si="73"/>
        <v>939.79536232732357</v>
      </c>
      <c r="ED8" s="327">
        <f t="shared" si="61"/>
        <v>971.44082872139097</v>
      </c>
      <c r="EE8" s="819">
        <f t="shared" ref="EE8" si="78">EE164</f>
        <v>998.48586731388275</v>
      </c>
      <c r="EF8" s="453">
        <f t="shared" si="63"/>
        <v>1020.182111152782</v>
      </c>
      <c r="EG8" s="819">
        <f t="shared" ref="EG8" si="79">EG164</f>
        <v>971.44082872139097</v>
      </c>
      <c r="EH8" s="327">
        <f t="shared" si="65"/>
        <v>1020.182111152782</v>
      </c>
      <c r="EI8" s="1544">
        <f t="shared" si="73"/>
        <v>1020.182111152782</v>
      </c>
      <c r="EJ8" s="819">
        <f t="shared" si="73"/>
        <v>971.2615118402997</v>
      </c>
      <c r="EK8" s="327">
        <f t="shared" si="66"/>
        <v>1004.4941211443969</v>
      </c>
      <c r="EL8" s="819">
        <f t="shared" ref="EL8" si="80">EL164</f>
        <v>1032.9186864451644</v>
      </c>
      <c r="EM8" s="453">
        <f t="shared" si="68"/>
        <v>1055.3411714739234</v>
      </c>
      <c r="EN8" s="819">
        <f t="shared" ref="EN8" si="81">EN164</f>
        <v>1004.4941211443969</v>
      </c>
      <c r="EO8" s="327">
        <f t="shared" si="70"/>
        <v>1055.3411714739234</v>
      </c>
      <c r="EP8" s="1544">
        <f t="shared" si="73"/>
        <v>1055.3411714739234</v>
      </c>
      <c r="EQ8" s="303"/>
      <c r="ER8" s="46"/>
    </row>
    <row r="9" spans="1:148" ht="10.199999999999999" customHeight="1">
      <c r="A9" s="43" t="s">
        <v>290</v>
      </c>
      <c r="B9" s="133">
        <v>92</v>
      </c>
      <c r="C9" s="133">
        <v>2819</v>
      </c>
      <c r="D9" s="133">
        <v>7964</v>
      </c>
      <c r="E9" s="158">
        <f>242+2705+19</f>
        <v>2966</v>
      </c>
      <c r="F9" s="158">
        <f>237+1191+32+881</f>
        <v>2341</v>
      </c>
      <c r="G9" s="158">
        <f>103+2032+37+76</f>
        <v>2248</v>
      </c>
      <c r="H9" s="158">
        <f>166+3855</f>
        <v>4021</v>
      </c>
      <c r="I9" s="158">
        <f>177+2495+263</f>
        <v>2935</v>
      </c>
      <c r="J9" s="158">
        <f>230+2043</f>
        <v>2273</v>
      </c>
      <c r="K9" s="158">
        <f>111+1575</f>
        <v>1686</v>
      </c>
      <c r="L9" s="158">
        <f>1739+172</f>
        <v>1911</v>
      </c>
      <c r="M9" s="158">
        <f>1448+287</f>
        <v>1735</v>
      </c>
      <c r="N9" s="158"/>
      <c r="O9" s="158"/>
      <c r="P9" s="158"/>
      <c r="Q9" s="695"/>
      <c r="R9" s="158"/>
      <c r="S9" s="158"/>
      <c r="T9" s="1301">
        <f>132+1591</f>
        <v>1723</v>
      </c>
      <c r="U9" s="158">
        <f>T9</f>
        <v>1723</v>
      </c>
      <c r="V9" s="158">
        <f t="shared" si="10"/>
        <v>1723</v>
      </c>
      <c r="W9" s="158">
        <f>V9</f>
        <v>1723</v>
      </c>
      <c r="X9" s="695">
        <f t="shared" si="11"/>
        <v>1331</v>
      </c>
      <c r="Y9" s="158">
        <f>T9</f>
        <v>1723</v>
      </c>
      <c r="Z9" s="158">
        <f t="shared" si="12"/>
        <v>1331</v>
      </c>
      <c r="AA9" s="1301">
        <f>167+1164</f>
        <v>1331</v>
      </c>
      <c r="AB9" s="158">
        <f>AA9</f>
        <v>1331</v>
      </c>
      <c r="AC9" s="158">
        <f t="shared" si="13"/>
        <v>1535</v>
      </c>
      <c r="AD9" s="158">
        <f>172+1349</f>
        <v>1521</v>
      </c>
      <c r="AE9" s="695">
        <f t="shared" si="14"/>
        <v>1580</v>
      </c>
      <c r="AF9" s="158">
        <f>179+1356</f>
        <v>1535</v>
      </c>
      <c r="AG9" s="158">
        <f t="shared" si="15"/>
        <v>1580</v>
      </c>
      <c r="AH9" s="1301">
        <f>178+1402</f>
        <v>1580</v>
      </c>
      <c r="AI9" s="158">
        <f>272+1278</f>
        <v>1550</v>
      </c>
      <c r="AJ9" s="158">
        <f t="shared" si="16"/>
        <v>1779</v>
      </c>
      <c r="AK9" s="158">
        <f>648+1094</f>
        <v>1742</v>
      </c>
      <c r="AL9" s="695">
        <f t="shared" si="17"/>
        <v>1779</v>
      </c>
      <c r="AM9" s="158">
        <f>630+1149</f>
        <v>1779</v>
      </c>
      <c r="AN9" s="158">
        <f t="shared" si="18"/>
        <v>1779</v>
      </c>
      <c r="AO9" s="1301">
        <f>1257+522</f>
        <v>1779</v>
      </c>
      <c r="AP9" s="158">
        <f>397+1166</f>
        <v>1563</v>
      </c>
      <c r="AQ9" s="158">
        <f t="shared" si="19"/>
        <v>2064</v>
      </c>
      <c r="AR9" s="158">
        <f>516+1712</f>
        <v>2228</v>
      </c>
      <c r="AS9" s="695">
        <f t="shared" si="20"/>
        <v>2508</v>
      </c>
      <c r="AT9" s="158">
        <f>473+1591</f>
        <v>2064</v>
      </c>
      <c r="AU9" s="158">
        <f t="shared" si="21"/>
        <v>2508</v>
      </c>
      <c r="AV9" s="1301">
        <f>1979+529</f>
        <v>2508</v>
      </c>
      <c r="AW9" s="158"/>
      <c r="AX9" s="158"/>
      <c r="AY9" s="158"/>
      <c r="AZ9" s="695"/>
      <c r="BA9" s="158"/>
      <c r="BB9" s="158"/>
      <c r="BC9" s="1301">
        <f>1979+529</f>
        <v>2508</v>
      </c>
      <c r="BD9" s="158">
        <f>2301+557</f>
        <v>2858</v>
      </c>
      <c r="BE9" s="158">
        <f t="shared" si="22"/>
        <v>2388</v>
      </c>
      <c r="BF9" s="158">
        <f>562+1807</f>
        <v>2369</v>
      </c>
      <c r="BG9" s="695">
        <f t="shared" si="23"/>
        <v>2300</v>
      </c>
      <c r="BH9" s="158">
        <f>564+1824</f>
        <v>2388</v>
      </c>
      <c r="BI9" s="158">
        <f t="shared" si="24"/>
        <v>2300</v>
      </c>
      <c r="BJ9" s="1301">
        <f>1811+489</f>
        <v>2300</v>
      </c>
      <c r="BK9" s="158">
        <f>406+1956</f>
        <v>2362</v>
      </c>
      <c r="BL9" s="158">
        <f t="shared" si="25"/>
        <v>1820</v>
      </c>
      <c r="BM9" s="158">
        <f>419+1919</f>
        <v>2338</v>
      </c>
      <c r="BN9" s="695">
        <f t="shared" si="26"/>
        <v>2509</v>
      </c>
      <c r="BO9" s="158">
        <f>420+1400</f>
        <v>1820</v>
      </c>
      <c r="BP9" s="158">
        <f t="shared" si="27"/>
        <v>2509</v>
      </c>
      <c r="BQ9" s="1301">
        <f>2060+449</f>
        <v>2509</v>
      </c>
      <c r="BR9" s="158">
        <f>2079+388</f>
        <v>2467</v>
      </c>
      <c r="BS9" s="158">
        <f t="shared" si="28"/>
        <v>2241</v>
      </c>
      <c r="BT9" s="158">
        <f>2145+402</f>
        <v>2547</v>
      </c>
      <c r="BU9" s="695">
        <f t="shared" si="29"/>
        <v>2900</v>
      </c>
      <c r="BV9" s="158">
        <f>1865+376</f>
        <v>2241</v>
      </c>
      <c r="BW9" s="158">
        <f t="shared" si="30"/>
        <v>2900</v>
      </c>
      <c r="BX9" s="1301">
        <f>468+2432</f>
        <v>2900</v>
      </c>
      <c r="BY9" s="158">
        <f>491+1649</f>
        <v>2140</v>
      </c>
      <c r="BZ9" s="158">
        <f t="shared" si="31"/>
        <v>2073</v>
      </c>
      <c r="CA9" s="158">
        <f>499+1546</f>
        <v>2045</v>
      </c>
      <c r="CB9" s="695">
        <f t="shared" si="32"/>
        <v>1988</v>
      </c>
      <c r="CC9" s="158">
        <f>536+1537</f>
        <v>2073</v>
      </c>
      <c r="CD9" s="158">
        <f t="shared" si="33"/>
        <v>1988</v>
      </c>
      <c r="CE9" s="1301">
        <f>537+1451</f>
        <v>1988</v>
      </c>
      <c r="CF9" s="158">
        <f>649+1764</f>
        <v>2413</v>
      </c>
      <c r="CG9" s="158">
        <f t="shared" si="34"/>
        <v>3375</v>
      </c>
      <c r="CH9" s="158">
        <f>671+3641</f>
        <v>4312</v>
      </c>
      <c r="CI9" s="695">
        <f t="shared" si="35"/>
        <v>3207</v>
      </c>
      <c r="CJ9" s="158">
        <f>697+2678</f>
        <v>3375</v>
      </c>
      <c r="CK9" s="158">
        <f t="shared" si="36"/>
        <v>3207</v>
      </c>
      <c r="CL9" s="1301">
        <f>665+2542</f>
        <v>3207</v>
      </c>
      <c r="CM9" s="158">
        <f>745+2320</f>
        <v>3065</v>
      </c>
      <c r="CN9" s="158">
        <f t="shared" si="37"/>
        <v>2585</v>
      </c>
      <c r="CO9" s="158">
        <f>792+1733</f>
        <v>2525</v>
      </c>
      <c r="CP9" s="695">
        <f t="shared" si="38"/>
        <v>2646</v>
      </c>
      <c r="CQ9" s="158">
        <f>766+1819</f>
        <v>2585</v>
      </c>
      <c r="CR9" s="158">
        <f t="shared" si="39"/>
        <v>2646</v>
      </c>
      <c r="CS9" s="1301">
        <f>795+1851</f>
        <v>2646</v>
      </c>
      <c r="CT9" s="158">
        <f>836+1831</f>
        <v>2667</v>
      </c>
      <c r="CU9" s="158">
        <f t="shared" si="40"/>
        <v>2763</v>
      </c>
      <c r="CV9" s="158">
        <f>823+2003</f>
        <v>2826</v>
      </c>
      <c r="CW9" s="695">
        <f t="shared" si="41"/>
        <v>2901</v>
      </c>
      <c r="CX9" s="158">
        <f>807+1956</f>
        <v>2763</v>
      </c>
      <c r="CY9" s="158">
        <f t="shared" si="42"/>
        <v>2901</v>
      </c>
      <c r="CZ9" s="1301">
        <f>897+2004</f>
        <v>2901</v>
      </c>
      <c r="DA9" s="158">
        <f>798+1825</f>
        <v>2623</v>
      </c>
      <c r="DB9" s="158">
        <f t="shared" si="43"/>
        <v>3683</v>
      </c>
      <c r="DC9" s="158">
        <f>765+2731</f>
        <v>3496</v>
      </c>
      <c r="DD9" s="695">
        <f t="shared" si="44"/>
        <v>3291</v>
      </c>
      <c r="DE9" s="2101">
        <f>830+2853</f>
        <v>3683</v>
      </c>
      <c r="DF9" s="158">
        <f t="shared" si="45"/>
        <v>3291</v>
      </c>
      <c r="DG9" s="1364">
        <f>734+2557</f>
        <v>3291</v>
      </c>
      <c r="DH9" s="818">
        <f>905+2349</f>
        <v>3254</v>
      </c>
      <c r="DI9" s="158">
        <f t="shared" si="46"/>
        <v>3111</v>
      </c>
      <c r="DJ9" s="819">
        <f>DI9</f>
        <v>3111</v>
      </c>
      <c r="DK9" s="453">
        <f t="shared" si="48"/>
        <v>3291</v>
      </c>
      <c r="DL9" s="2006">
        <f>835+2276</f>
        <v>3111</v>
      </c>
      <c r="DM9" s="327">
        <f t="shared" si="49"/>
        <v>3291</v>
      </c>
      <c r="DN9" s="1544">
        <f>DG9</f>
        <v>3291</v>
      </c>
      <c r="DO9" s="819">
        <f>DN9</f>
        <v>3291</v>
      </c>
      <c r="DP9" s="327">
        <f t="shared" si="51"/>
        <v>3291</v>
      </c>
      <c r="DQ9" s="819">
        <f>DP9</f>
        <v>3291</v>
      </c>
      <c r="DR9" s="453">
        <f t="shared" si="53"/>
        <v>3291</v>
      </c>
      <c r="DS9" s="819">
        <f>DN9</f>
        <v>3291</v>
      </c>
      <c r="DT9" s="327">
        <f t="shared" si="55"/>
        <v>3291</v>
      </c>
      <c r="DU9" s="1544">
        <f>DN9</f>
        <v>3291</v>
      </c>
      <c r="DV9" s="819">
        <f>DU9</f>
        <v>3291</v>
      </c>
      <c r="DW9" s="327">
        <f t="shared" si="56"/>
        <v>3291</v>
      </c>
      <c r="DX9" s="819">
        <f>DW9</f>
        <v>3291</v>
      </c>
      <c r="DY9" s="453">
        <f t="shared" si="58"/>
        <v>3291</v>
      </c>
      <c r="DZ9" s="819">
        <f>DU9</f>
        <v>3291</v>
      </c>
      <c r="EA9" s="327">
        <f t="shared" si="60"/>
        <v>3291</v>
      </c>
      <c r="EB9" s="1544">
        <f>DU9</f>
        <v>3291</v>
      </c>
      <c r="EC9" s="819">
        <f>EB9</f>
        <v>3291</v>
      </c>
      <c r="ED9" s="327">
        <f t="shared" si="61"/>
        <v>3291</v>
      </c>
      <c r="EE9" s="819">
        <f>ED9</f>
        <v>3291</v>
      </c>
      <c r="EF9" s="453">
        <f t="shared" si="63"/>
        <v>3291</v>
      </c>
      <c r="EG9" s="819">
        <f>EB9</f>
        <v>3291</v>
      </c>
      <c r="EH9" s="327">
        <f t="shared" si="65"/>
        <v>3291</v>
      </c>
      <c r="EI9" s="1544">
        <f>EB9</f>
        <v>3291</v>
      </c>
      <c r="EJ9" s="819">
        <f>EI9</f>
        <v>3291</v>
      </c>
      <c r="EK9" s="327">
        <f t="shared" si="66"/>
        <v>3291</v>
      </c>
      <c r="EL9" s="819">
        <f>EK9</f>
        <v>3291</v>
      </c>
      <c r="EM9" s="453">
        <f t="shared" si="68"/>
        <v>3291</v>
      </c>
      <c r="EN9" s="819">
        <f>EI9</f>
        <v>3291</v>
      </c>
      <c r="EO9" s="327">
        <f t="shared" si="70"/>
        <v>3291</v>
      </c>
      <c r="EP9" s="1544">
        <f t="shared" ref="EP9" si="82">EI9</f>
        <v>3291</v>
      </c>
      <c r="EQ9" s="303"/>
      <c r="ER9" s="46"/>
    </row>
    <row r="10" spans="1:148" ht="10.199999999999999" customHeight="1">
      <c r="A10" s="43" t="s">
        <v>291</v>
      </c>
      <c r="B10" s="212">
        <f t="shared" ref="B10:CL10" si="83">B11-SUM(B3:B9)</f>
        <v>2541</v>
      </c>
      <c r="C10" s="212">
        <f t="shared" si="83"/>
        <v>2437</v>
      </c>
      <c r="D10" s="212">
        <f t="shared" si="83"/>
        <v>2316</v>
      </c>
      <c r="E10" s="212">
        <f t="shared" si="83"/>
        <v>10375</v>
      </c>
      <c r="F10" s="212">
        <f t="shared" si="83"/>
        <v>1646</v>
      </c>
      <c r="G10" s="212">
        <f t="shared" si="83"/>
        <v>1561</v>
      </c>
      <c r="H10" s="212">
        <f t="shared" si="83"/>
        <v>916</v>
      </c>
      <c r="I10" s="212">
        <f t="shared" si="83"/>
        <v>1003</v>
      </c>
      <c r="J10" s="212">
        <f t="shared" si="83"/>
        <v>1191</v>
      </c>
      <c r="K10" s="212">
        <f t="shared" si="83"/>
        <v>1191</v>
      </c>
      <c r="L10" s="212">
        <f t="shared" si="83"/>
        <v>1662</v>
      </c>
      <c r="M10" s="212">
        <f t="shared" si="83"/>
        <v>1430</v>
      </c>
      <c r="N10" s="1562"/>
      <c r="O10" s="1562"/>
      <c r="P10" s="1562"/>
      <c r="Q10" s="1578"/>
      <c r="R10" s="1562"/>
      <c r="S10" s="1562"/>
      <c r="T10" s="1594">
        <f t="shared" si="83"/>
        <v>1531</v>
      </c>
      <c r="U10" s="1562">
        <f t="shared" ref="U10" si="84">U11-SUM(U3:U9)</f>
        <v>2047</v>
      </c>
      <c r="V10" s="1562">
        <f t="shared" si="10"/>
        <v>1768</v>
      </c>
      <c r="W10" s="1562">
        <f t="shared" ref="W10" si="85">W11-SUM(W3:W9)</f>
        <v>1480</v>
      </c>
      <c r="X10" s="1578">
        <f t="shared" si="11"/>
        <v>2634</v>
      </c>
      <c r="Y10" s="1562">
        <f t="shared" ref="Y10" si="86">Y11-SUM(Y3:Y9)</f>
        <v>1768</v>
      </c>
      <c r="Z10" s="1562">
        <f t="shared" si="12"/>
        <v>2634</v>
      </c>
      <c r="AA10" s="1594">
        <f t="shared" si="83"/>
        <v>2634</v>
      </c>
      <c r="AB10" s="1562">
        <f t="shared" ref="AB10" si="87">AB11-SUM(AB3:AB9)</f>
        <v>3890</v>
      </c>
      <c r="AC10" s="1562">
        <f t="shared" si="13"/>
        <v>3923</v>
      </c>
      <c r="AD10" s="1562">
        <f t="shared" ref="AD10" si="88">AD11-SUM(AD3:AD9)</f>
        <v>3975</v>
      </c>
      <c r="AE10" s="1578">
        <f t="shared" si="14"/>
        <v>3848</v>
      </c>
      <c r="AF10" s="1562">
        <f t="shared" ref="AF10" si="89">AF11-SUM(AF3:AF9)</f>
        <v>3923</v>
      </c>
      <c r="AG10" s="1562">
        <f t="shared" si="15"/>
        <v>3848</v>
      </c>
      <c r="AH10" s="1594">
        <f t="shared" si="83"/>
        <v>3848</v>
      </c>
      <c r="AI10" s="1562">
        <f t="shared" ref="AI10" si="90">AI11-SUM(AI3:AI9)</f>
        <v>4769</v>
      </c>
      <c r="AJ10" s="1562">
        <f t="shared" si="16"/>
        <v>3189</v>
      </c>
      <c r="AK10" s="1562">
        <f t="shared" ref="AK10" si="91">AK11-SUM(AK3:AK9)</f>
        <v>3377</v>
      </c>
      <c r="AL10" s="1578">
        <f t="shared" si="17"/>
        <v>3172</v>
      </c>
      <c r="AM10" s="1562">
        <f t="shared" ref="AM10" si="92">AM11-SUM(AM3:AM9)</f>
        <v>3189</v>
      </c>
      <c r="AN10" s="1562">
        <f t="shared" si="18"/>
        <v>3172</v>
      </c>
      <c r="AO10" s="1594">
        <f t="shared" si="83"/>
        <v>3172</v>
      </c>
      <c r="AP10" s="1562">
        <f t="shared" ref="AP10" si="93">AP11-SUM(AP3:AP9)</f>
        <v>2487</v>
      </c>
      <c r="AQ10" s="1562">
        <f t="shared" si="19"/>
        <v>3485</v>
      </c>
      <c r="AR10" s="1562">
        <f t="shared" ref="AR10" si="94">AR11-SUM(AR3:AR9)</f>
        <v>3474</v>
      </c>
      <c r="AS10" s="1578">
        <f t="shared" si="20"/>
        <v>2580</v>
      </c>
      <c r="AT10" s="1562">
        <f t="shared" ref="AT10" si="95">AT11-SUM(AT3:AT9)</f>
        <v>3485</v>
      </c>
      <c r="AU10" s="1562">
        <f t="shared" si="21"/>
        <v>2580</v>
      </c>
      <c r="AV10" s="1594">
        <f t="shared" si="83"/>
        <v>2580</v>
      </c>
      <c r="AW10" s="1562"/>
      <c r="AX10" s="1562"/>
      <c r="AY10" s="1562"/>
      <c r="AZ10" s="1578"/>
      <c r="BA10" s="1562"/>
      <c r="BB10" s="1562"/>
      <c r="BC10" s="1594">
        <f t="shared" si="83"/>
        <v>3489</v>
      </c>
      <c r="BD10" s="1562">
        <f t="shared" ref="BD10" si="96">BD11-SUM(BD3:BD9)</f>
        <v>6028</v>
      </c>
      <c r="BE10" s="1562">
        <f t="shared" si="22"/>
        <v>5914</v>
      </c>
      <c r="BF10" s="1562">
        <f t="shared" ref="BF10" si="97">BF11-SUM(BF3:BF9)</f>
        <v>6384</v>
      </c>
      <c r="BG10" s="1578">
        <f t="shared" si="23"/>
        <v>5248</v>
      </c>
      <c r="BH10" s="1562">
        <f t="shared" ref="BH10" si="98">BH11-SUM(BH3:BH9)</f>
        <v>5914</v>
      </c>
      <c r="BI10" s="1562">
        <f t="shared" si="24"/>
        <v>5248</v>
      </c>
      <c r="BJ10" s="1594">
        <f t="shared" si="83"/>
        <v>5248</v>
      </c>
      <c r="BK10" s="1562">
        <f t="shared" ref="BK10" si="99">BK11-SUM(BK3:BK9)</f>
        <v>5925</v>
      </c>
      <c r="BL10" s="1562">
        <f t="shared" si="25"/>
        <v>4584</v>
      </c>
      <c r="BM10" s="1562">
        <f t="shared" ref="BM10" si="100">BM11-SUM(BM3:BM9)</f>
        <v>4384</v>
      </c>
      <c r="BN10" s="1578">
        <f t="shared" si="26"/>
        <v>3443</v>
      </c>
      <c r="BO10" s="1562">
        <f t="shared" ref="BO10" si="101">BO11-SUM(BO3:BO9)</f>
        <v>4584</v>
      </c>
      <c r="BP10" s="1562">
        <f t="shared" si="27"/>
        <v>3443</v>
      </c>
      <c r="BQ10" s="1594">
        <f t="shared" si="83"/>
        <v>3443</v>
      </c>
      <c r="BR10" s="1562">
        <f t="shared" ref="BR10" si="102">BR11-SUM(BR3:BR9)</f>
        <v>3616</v>
      </c>
      <c r="BS10" s="1562">
        <f t="shared" si="28"/>
        <v>2957</v>
      </c>
      <c r="BT10" s="1562">
        <f t="shared" ref="BT10" si="103">BT11-SUM(BT3:BT9)</f>
        <v>3841</v>
      </c>
      <c r="BU10" s="1578">
        <f t="shared" si="29"/>
        <v>3099</v>
      </c>
      <c r="BV10" s="1562">
        <f t="shared" ref="BV10" si="104">BV11-SUM(BV3:BV9)</f>
        <v>2957</v>
      </c>
      <c r="BW10" s="1562">
        <f t="shared" si="30"/>
        <v>3099</v>
      </c>
      <c r="BX10" s="1594">
        <f t="shared" si="83"/>
        <v>3099</v>
      </c>
      <c r="BY10" s="1562">
        <f t="shared" ref="BY10" si="105">BY11-SUM(BY3:BY9)</f>
        <v>3851</v>
      </c>
      <c r="BZ10" s="1562">
        <f t="shared" si="31"/>
        <v>3550</v>
      </c>
      <c r="CA10" s="1562">
        <f t="shared" ref="CA10" si="106">CA11-SUM(CA3:CA9)</f>
        <v>3566</v>
      </c>
      <c r="CB10" s="1578">
        <f t="shared" si="32"/>
        <v>3378</v>
      </c>
      <c r="CC10" s="1562">
        <f t="shared" ref="CC10" si="107">CC11-SUM(CC3:CC9)</f>
        <v>3550</v>
      </c>
      <c r="CD10" s="1562">
        <f t="shared" si="33"/>
        <v>3378</v>
      </c>
      <c r="CE10" s="1594">
        <f t="shared" si="83"/>
        <v>3378</v>
      </c>
      <c r="CF10" s="1562">
        <f t="shared" ref="CF10" si="108">CF11-SUM(CF3:CF9)</f>
        <v>3973</v>
      </c>
      <c r="CG10" s="1562">
        <f t="shared" si="34"/>
        <v>3640</v>
      </c>
      <c r="CH10" s="1562">
        <f t="shared" ref="CH10" si="109">CH11-SUM(CH3:CH9)</f>
        <v>4252</v>
      </c>
      <c r="CI10" s="1578">
        <f t="shared" si="35"/>
        <v>4190</v>
      </c>
      <c r="CJ10" s="1562">
        <f t="shared" ref="CJ10" si="110">CJ11-SUM(CJ3:CJ9)</f>
        <v>3640</v>
      </c>
      <c r="CK10" s="1562">
        <f t="shared" si="36"/>
        <v>4190</v>
      </c>
      <c r="CL10" s="1594">
        <f t="shared" si="83"/>
        <v>4190</v>
      </c>
      <c r="CM10" s="1562">
        <f t="shared" ref="CM10" si="111">CM11-SUM(CM3:CM9)</f>
        <v>4827</v>
      </c>
      <c r="CN10" s="1562">
        <f t="shared" si="37"/>
        <v>5154</v>
      </c>
      <c r="CO10" s="1562">
        <f t="shared" ref="CO10" si="112">CO11-SUM(CO3:CO9)</f>
        <v>5407</v>
      </c>
      <c r="CP10" s="1578">
        <f t="shared" si="38"/>
        <v>4399</v>
      </c>
      <c r="CQ10" s="1562">
        <f t="shared" ref="CQ10" si="113">CQ11-SUM(CQ3:CQ9)</f>
        <v>5154</v>
      </c>
      <c r="CR10" s="1562">
        <f t="shared" si="39"/>
        <v>4399</v>
      </c>
      <c r="CS10" s="1594">
        <f t="shared" ref="CS10:CT10" si="114">CS11-SUM(CS3:CS9)</f>
        <v>4399</v>
      </c>
      <c r="CT10" s="1562">
        <f t="shared" si="114"/>
        <v>5027</v>
      </c>
      <c r="CU10" s="1562">
        <f t="shared" si="40"/>
        <v>4379</v>
      </c>
      <c r="CV10" s="1562">
        <f t="shared" ref="CV10" si="115">CV11-SUM(CV3:CV9)</f>
        <v>4499</v>
      </c>
      <c r="CW10" s="1578">
        <f t="shared" si="41"/>
        <v>4377</v>
      </c>
      <c r="CX10" s="1562">
        <f t="shared" ref="CX10" si="116">CX11-SUM(CX3:CX9)</f>
        <v>4379</v>
      </c>
      <c r="CY10" s="1562">
        <f t="shared" si="42"/>
        <v>4377</v>
      </c>
      <c r="CZ10" s="1594">
        <f t="shared" ref="CZ10:DC10" si="117">CZ11-SUM(CZ3:CZ9)</f>
        <v>4377</v>
      </c>
      <c r="DA10" s="1562">
        <f t="shared" si="117"/>
        <v>4646</v>
      </c>
      <c r="DB10" s="1562">
        <f t="shared" si="43"/>
        <v>4490</v>
      </c>
      <c r="DC10" s="1562">
        <f t="shared" si="117"/>
        <v>4942</v>
      </c>
      <c r="DD10" s="1578">
        <f t="shared" si="44"/>
        <v>4505</v>
      </c>
      <c r="DE10" s="1807">
        <f t="shared" ref="DE10" si="118">DE11-SUM(DE3:DE9)</f>
        <v>4490</v>
      </c>
      <c r="DF10" s="1562">
        <f t="shared" si="45"/>
        <v>4505</v>
      </c>
      <c r="DG10" s="1852">
        <f t="shared" ref="DG10:DH10" si="119">DG11-SUM(DG3:DG9)</f>
        <v>4505</v>
      </c>
      <c r="DH10" s="1807">
        <f t="shared" si="119"/>
        <v>5058</v>
      </c>
      <c r="DI10" s="1562">
        <f t="shared" si="46"/>
        <v>5312</v>
      </c>
      <c r="DJ10" s="1572">
        <f t="shared" ref="DJ10" si="120">+DJ167</f>
        <v>4655.3473819945393</v>
      </c>
      <c r="DK10" s="1688">
        <f t="shared" si="48"/>
        <v>4833.4886298394313</v>
      </c>
      <c r="DL10" s="2007">
        <f t="shared" ref="DL10" si="121">DL11-SUM(DL3:DL9)</f>
        <v>5312</v>
      </c>
      <c r="DM10" s="1687">
        <f t="shared" si="49"/>
        <v>4833.4886298394313</v>
      </c>
      <c r="DN10" s="1613">
        <f t="shared" ref="DN10:EP10" si="122">+DN167</f>
        <v>4833.4886298394313</v>
      </c>
      <c r="DO10" s="1572">
        <f t="shared" si="122"/>
        <v>4842.8434337422987</v>
      </c>
      <c r="DP10" s="1687">
        <f t="shared" si="51"/>
        <v>5093.6303668941637</v>
      </c>
      <c r="DQ10" s="1572">
        <f t="shared" ref="DQ10" si="123">+DQ167</f>
        <v>5319.3314344664395</v>
      </c>
      <c r="DR10" s="1688">
        <f t="shared" si="53"/>
        <v>5379.4192221349522</v>
      </c>
      <c r="DS10" s="1572">
        <f t="shared" ref="DS10" si="124">+DS167</f>
        <v>5093.6303668941637</v>
      </c>
      <c r="DT10" s="1687">
        <f t="shared" si="55"/>
        <v>5379.4192221349522</v>
      </c>
      <c r="DU10" s="1613">
        <f t="shared" si="122"/>
        <v>5379.4192221349522</v>
      </c>
      <c r="DV10" s="1572">
        <f t="shared" si="122"/>
        <v>5256.2249547821566</v>
      </c>
      <c r="DW10" s="1687">
        <f t="shared" si="56"/>
        <v>5530.241531452768</v>
      </c>
      <c r="DX10" s="1572">
        <f t="shared" ref="DX10" si="125">+DX167</f>
        <v>5778.0329271215551</v>
      </c>
      <c r="DY10" s="1688">
        <f t="shared" si="58"/>
        <v>5856.8964673593873</v>
      </c>
      <c r="DZ10" s="1572">
        <f t="shared" ref="DZ10" si="126">+DZ167</f>
        <v>5530.241531452768</v>
      </c>
      <c r="EA10" s="1687">
        <f t="shared" si="60"/>
        <v>5856.8964673593873</v>
      </c>
      <c r="EB10" s="1613">
        <f t="shared" si="122"/>
        <v>5856.8964673593873</v>
      </c>
      <c r="EC10" s="1572">
        <f t="shared" si="122"/>
        <v>5638.772173963941</v>
      </c>
      <c r="ED10" s="1687">
        <f t="shared" si="61"/>
        <v>5828.6449723283458</v>
      </c>
      <c r="EE10" s="1572">
        <f t="shared" ref="EE10" si="127">+EE167</f>
        <v>5990.9152038832963</v>
      </c>
      <c r="EF10" s="1688">
        <f t="shared" si="63"/>
        <v>6121.092666916692</v>
      </c>
      <c r="EG10" s="1572">
        <f t="shared" ref="EG10" si="128">+EG167</f>
        <v>5828.6449723283458</v>
      </c>
      <c r="EH10" s="1687">
        <f t="shared" si="65"/>
        <v>6121.092666916692</v>
      </c>
      <c r="EI10" s="1613">
        <f t="shared" si="122"/>
        <v>6121.092666916692</v>
      </c>
      <c r="EJ10" s="1572">
        <f t="shared" si="122"/>
        <v>5827.5690710417975</v>
      </c>
      <c r="EK10" s="1687">
        <f t="shared" si="66"/>
        <v>6026.9647268663812</v>
      </c>
      <c r="EL10" s="1572">
        <f t="shared" ref="EL10" si="129">+EL167</f>
        <v>6197.5121186709857</v>
      </c>
      <c r="EM10" s="1688">
        <f t="shared" si="68"/>
        <v>6332.0470288435399</v>
      </c>
      <c r="EN10" s="1572">
        <f t="shared" ref="EN10" si="130">+EN167</f>
        <v>6026.9647268663812</v>
      </c>
      <c r="EO10" s="1687">
        <f t="shared" si="70"/>
        <v>6332.0470288435399</v>
      </c>
      <c r="EP10" s="1613">
        <f t="shared" si="122"/>
        <v>6332.0470288435399</v>
      </c>
      <c r="EQ10" s="303"/>
      <c r="ER10" s="46"/>
    </row>
    <row r="11" spans="1:148" ht="10.199999999999999" customHeight="1">
      <c r="A11" s="92" t="s">
        <v>48</v>
      </c>
      <c r="B11" s="119">
        <v>18318</v>
      </c>
      <c r="C11" s="119">
        <v>18270</v>
      </c>
      <c r="D11" s="119">
        <v>25432</v>
      </c>
      <c r="E11" s="119">
        <v>30700</v>
      </c>
      <c r="F11" s="119">
        <v>34358</v>
      </c>
      <c r="G11" s="119">
        <v>35057</v>
      </c>
      <c r="H11" s="119">
        <v>38405</v>
      </c>
      <c r="I11" s="119">
        <v>40229</v>
      </c>
      <c r="J11" s="119">
        <v>42512</v>
      </c>
      <c r="K11" s="119">
        <v>41990</v>
      </c>
      <c r="L11" s="119">
        <v>43016</v>
      </c>
      <c r="M11" s="119">
        <v>45329</v>
      </c>
      <c r="N11" s="119"/>
      <c r="O11" s="119"/>
      <c r="P11" s="119"/>
      <c r="Q11" s="702"/>
      <c r="R11" s="119"/>
      <c r="S11" s="119"/>
      <c r="T11" s="349">
        <v>44748</v>
      </c>
      <c r="U11" s="119">
        <v>44845</v>
      </c>
      <c r="V11" s="119">
        <f>SUM(V3:V10)</f>
        <v>44805</v>
      </c>
      <c r="W11" s="119">
        <v>44792</v>
      </c>
      <c r="X11" s="702">
        <f t="shared" ref="X11" si="131">SUM(X3:X10)</f>
        <v>47682</v>
      </c>
      <c r="Y11" s="119">
        <f>44671+134</f>
        <v>44805</v>
      </c>
      <c r="Z11" s="119">
        <f t="shared" ref="Z11" si="132">SUM(Z3:Z10)</f>
        <v>47682</v>
      </c>
      <c r="AA11" s="349">
        <f>46932+750</f>
        <v>47682</v>
      </c>
      <c r="AB11" s="119">
        <f>51503+1320</f>
        <v>52823</v>
      </c>
      <c r="AC11" s="119">
        <f>SUM(AC3:AC10)</f>
        <v>50527</v>
      </c>
      <c r="AD11" s="119">
        <f>49998+1717</f>
        <v>51715</v>
      </c>
      <c r="AE11" s="702">
        <f t="shared" ref="AE11" si="133">SUM(AE3:AE10)</f>
        <v>53243</v>
      </c>
      <c r="AF11" s="119">
        <f>48813+1714</f>
        <v>50527</v>
      </c>
      <c r="AG11" s="119">
        <f t="shared" ref="AG11" si="134">SUM(AG3:AG10)</f>
        <v>53243</v>
      </c>
      <c r="AH11" s="349">
        <f>51464+1779</f>
        <v>53243</v>
      </c>
      <c r="AI11" s="119">
        <f>53610+2735</f>
        <v>56345</v>
      </c>
      <c r="AJ11" s="119">
        <f>SUM(AJ3:AJ10)</f>
        <v>55421</v>
      </c>
      <c r="AK11" s="119">
        <f>53906+1197</f>
        <v>55103</v>
      </c>
      <c r="AL11" s="702">
        <f t="shared" ref="AL11" si="135">SUM(AL3:AL10)</f>
        <v>56096</v>
      </c>
      <c r="AM11" s="119">
        <f>54274+1147</f>
        <v>55421</v>
      </c>
      <c r="AN11" s="119">
        <f t="shared" ref="AN11" si="136">SUM(AN3:AN10)</f>
        <v>56096</v>
      </c>
      <c r="AO11" s="349">
        <f>54948+1148</f>
        <v>56096</v>
      </c>
      <c r="AP11" s="119">
        <f>58998+136</f>
        <v>59134</v>
      </c>
      <c r="AQ11" s="119">
        <f>SUM(AQ3:AQ10)</f>
        <v>59471</v>
      </c>
      <c r="AR11" s="119">
        <f>57784+951</f>
        <v>58735</v>
      </c>
      <c r="AS11" s="702">
        <f t="shared" ref="AS11" si="137">SUM(AS3:AS10)</f>
        <v>59996</v>
      </c>
      <c r="AT11" s="119">
        <f>58506+965</f>
        <v>59471</v>
      </c>
      <c r="AU11" s="119">
        <f t="shared" ref="AU11" si="138">SUM(AU3:AU10)</f>
        <v>59996</v>
      </c>
      <c r="AV11" s="349">
        <f>59794+202</f>
        <v>59996</v>
      </c>
      <c r="AW11" s="119"/>
      <c r="AX11" s="119"/>
      <c r="AY11" s="119"/>
      <c r="AZ11" s="702"/>
      <c r="BA11" s="119"/>
      <c r="BB11" s="119"/>
      <c r="BC11" s="349">
        <f>55722+202</f>
        <v>55924</v>
      </c>
      <c r="BD11" s="119">
        <f>58562+28</f>
        <v>58590</v>
      </c>
      <c r="BE11" s="119">
        <f>SUM(BE3:BE10)</f>
        <v>56382</v>
      </c>
      <c r="BF11" s="119">
        <f>58484+35</f>
        <v>58519</v>
      </c>
      <c r="BG11" s="702">
        <f t="shared" ref="BG11" si="139">SUM(BG3:BG10)</f>
        <v>58634</v>
      </c>
      <c r="BH11" s="119">
        <f>56347+35</f>
        <v>56382</v>
      </c>
      <c r="BI11" s="119">
        <f t="shared" ref="BI11" si="140">SUM(BI3:BI10)</f>
        <v>58634</v>
      </c>
      <c r="BJ11" s="349">
        <f>58300+334</f>
        <v>58634</v>
      </c>
      <c r="BK11" s="119">
        <f>59786+331</f>
        <v>60117</v>
      </c>
      <c r="BL11" s="119">
        <f>SUM(BL3:BL10)</f>
        <v>55560</v>
      </c>
      <c r="BM11" s="119">
        <f>55350+391</f>
        <v>55741</v>
      </c>
      <c r="BN11" s="702">
        <f t="shared" ref="BN11" si="141">SUM(BN3:BN10)</f>
        <v>56723</v>
      </c>
      <c r="BO11" s="119">
        <f>55230+330</f>
        <v>55560</v>
      </c>
      <c r="BP11" s="119">
        <f t="shared" ref="BP11" si="142">SUM(BP3:BP10)</f>
        <v>56723</v>
      </c>
      <c r="BQ11" s="349">
        <v>56723</v>
      </c>
      <c r="BR11" s="119">
        <v>57537</v>
      </c>
      <c r="BS11" s="119">
        <f>SUM(BS3:BS10)</f>
        <v>61012</v>
      </c>
      <c r="BT11" s="119">
        <v>62397</v>
      </c>
      <c r="BU11" s="702">
        <f t="shared" ref="BU11" si="143">SUM(BU3:BU10)</f>
        <v>58400</v>
      </c>
      <c r="BV11" s="119">
        <v>61012</v>
      </c>
      <c r="BW11" s="119">
        <f t="shared" ref="BW11" si="144">SUM(BW3:BW10)</f>
        <v>58400</v>
      </c>
      <c r="BX11" s="349">
        <v>58400</v>
      </c>
      <c r="BY11" s="119">
        <v>60725</v>
      </c>
      <c r="BZ11" s="119">
        <f>SUM(BZ3:BZ10)</f>
        <v>57438</v>
      </c>
      <c r="CA11" s="119">
        <f>57974+67</f>
        <v>58041</v>
      </c>
      <c r="CB11" s="702">
        <f t="shared" ref="CB11" si="145">SUM(CB3:CB10)</f>
        <v>55800</v>
      </c>
      <c r="CC11" s="119">
        <v>57438</v>
      </c>
      <c r="CD11" s="119">
        <f t="shared" ref="CD11" si="146">SUM(CD3:CD10)</f>
        <v>55800</v>
      </c>
      <c r="CE11" s="349">
        <v>55800</v>
      </c>
      <c r="CF11" s="119">
        <v>59138</v>
      </c>
      <c r="CG11" s="119">
        <f>SUM(CG3:CG10)</f>
        <v>60774</v>
      </c>
      <c r="CH11" s="119">
        <v>65234</v>
      </c>
      <c r="CI11" s="702">
        <f t="shared" ref="CI11" si="147">SUM(CI3:CI10)</f>
        <v>63002</v>
      </c>
      <c r="CJ11" s="119">
        <v>60774</v>
      </c>
      <c r="CK11" s="119">
        <f t="shared" ref="CK11" si="148">SUM(CK3:CK10)</f>
        <v>63002</v>
      </c>
      <c r="CL11" s="349">
        <v>63002</v>
      </c>
      <c r="CM11" s="119">
        <f>64789+57</f>
        <v>64846</v>
      </c>
      <c r="CN11" s="119">
        <f>SUM(CN3:CN10)</f>
        <v>65449</v>
      </c>
      <c r="CO11" s="119">
        <f>65554+56</f>
        <v>65610</v>
      </c>
      <c r="CP11" s="702">
        <f t="shared" ref="CP11" si="149">SUM(CP3:CP10)</f>
        <v>64001</v>
      </c>
      <c r="CQ11" s="119">
        <f>65395+54</f>
        <v>65449</v>
      </c>
      <c r="CR11" s="119">
        <f t="shared" ref="CR11" si="150">SUM(CR3:CR10)</f>
        <v>64001</v>
      </c>
      <c r="CS11" s="349">
        <f>63948+53</f>
        <v>64001</v>
      </c>
      <c r="CT11" s="119">
        <f>66916+52</f>
        <v>66968</v>
      </c>
      <c r="CU11" s="119">
        <f>SUM(CU3:CU10)</f>
        <v>66148</v>
      </c>
      <c r="CV11" s="119">
        <f>65973+57</f>
        <v>66030</v>
      </c>
      <c r="CW11" s="702">
        <f t="shared" ref="CW11" si="151">SUM(CW3:CW10)</f>
        <v>69432</v>
      </c>
      <c r="CX11" s="119">
        <f>66095+53</f>
        <v>66148</v>
      </c>
      <c r="CY11" s="119">
        <f t="shared" ref="CY11" si="152">SUM(CY3:CY10)</f>
        <v>69432</v>
      </c>
      <c r="CZ11" s="349">
        <f>69371+61</f>
        <v>69432</v>
      </c>
      <c r="DA11" s="119">
        <f>72053+54</f>
        <v>72107</v>
      </c>
      <c r="DB11" s="119">
        <f>SUM(DB3:DB10)</f>
        <v>69519</v>
      </c>
      <c r="DC11" s="119">
        <f>70085+60</f>
        <v>70145</v>
      </c>
      <c r="DD11" s="702">
        <f t="shared" ref="DD11" si="153">SUM(DD3:DD10)</f>
        <v>73647</v>
      </c>
      <c r="DE11" s="119">
        <f>69465+54</f>
        <v>69519</v>
      </c>
      <c r="DF11" s="119">
        <f t="shared" ref="DF11" si="154">SUM(DF3:DF10)</f>
        <v>73647</v>
      </c>
      <c r="DG11" s="1355">
        <f>73584+63</f>
        <v>73647</v>
      </c>
      <c r="DH11" s="24">
        <f>76678+64</f>
        <v>76742</v>
      </c>
      <c r="DI11" s="119">
        <f>SUM(DI3:DI10)</f>
        <v>75746</v>
      </c>
      <c r="DJ11" s="464">
        <f t="shared" ref="DJ11:DM11" si="155">SUM(DJ3:DJ10)</f>
        <v>69676.492589311732</v>
      </c>
      <c r="DK11" s="465">
        <f t="shared" si="155"/>
        <v>78357.22525257137</v>
      </c>
      <c r="DL11" s="2008">
        <f>75683+63</f>
        <v>75746</v>
      </c>
      <c r="DM11" s="464">
        <f t="shared" si="155"/>
        <v>78357.22525257137</v>
      </c>
      <c r="DN11" s="1614">
        <f t="shared" ref="DN11:EP11" si="156">SUM(DN3:DN10)</f>
        <v>78357.22525257137</v>
      </c>
      <c r="DO11" s="464">
        <f t="shared" si="156"/>
        <v>74996.121901136779</v>
      </c>
      <c r="DP11" s="462">
        <f>SUM(DP3:DP10)</f>
        <v>76922.769586191003</v>
      </c>
      <c r="DQ11" s="464">
        <f t="shared" ref="DQ11:DT11" si="157">SUM(DQ3:DQ10)</f>
        <v>82034.120462407373</v>
      </c>
      <c r="DR11" s="465">
        <f t="shared" si="157"/>
        <v>84867.445749055361</v>
      </c>
      <c r="DS11" s="464">
        <f t="shared" si="157"/>
        <v>76922.769586191003</v>
      </c>
      <c r="DT11" s="464">
        <f t="shared" si="157"/>
        <v>84867.445749055361</v>
      </c>
      <c r="DU11" s="1614">
        <f t="shared" si="156"/>
        <v>84867.445749055361</v>
      </c>
      <c r="DV11" s="464">
        <f t="shared" si="156"/>
        <v>80705.856469046514</v>
      </c>
      <c r="DW11" s="462">
        <f>SUM(DW3:DW10)</f>
        <v>82789.02809522461</v>
      </c>
      <c r="DX11" s="464">
        <f t="shared" ref="DX11:EA11" si="158">SUM(DX3:DX10)</f>
        <v>88527.492001133985</v>
      </c>
      <c r="DY11" s="465">
        <f t="shared" si="158"/>
        <v>92157.598074443595</v>
      </c>
      <c r="DZ11" s="464">
        <f t="shared" si="158"/>
        <v>82789.02809522461</v>
      </c>
      <c r="EA11" s="464">
        <f t="shared" si="158"/>
        <v>92157.598074443595</v>
      </c>
      <c r="EB11" s="1614">
        <f t="shared" si="156"/>
        <v>92157.598074443595</v>
      </c>
      <c r="EC11" s="464">
        <f t="shared" si="156"/>
        <v>89957.422474786392</v>
      </c>
      <c r="ED11" s="462">
        <f>SUM(ED3:ED10)</f>
        <v>90236.267312582917</v>
      </c>
      <c r="EE11" s="464">
        <f t="shared" ref="EE11:EH11" si="159">SUM(EE3:EE10)</f>
        <v>94843.2776917968</v>
      </c>
      <c r="EF11" s="465">
        <f t="shared" si="159"/>
        <v>99479.00965698561</v>
      </c>
      <c r="EG11" s="464">
        <f t="shared" si="159"/>
        <v>90236.267312582917</v>
      </c>
      <c r="EH11" s="464">
        <f t="shared" si="159"/>
        <v>99479.00965698561</v>
      </c>
      <c r="EI11" s="1614">
        <f t="shared" si="156"/>
        <v>99479.00965698561</v>
      </c>
      <c r="EJ11" s="464">
        <f t="shared" si="156"/>
        <v>96778.356227869721</v>
      </c>
      <c r="EK11" s="462">
        <f>SUM(EK3:EK10)</f>
        <v>98512.578504724836</v>
      </c>
      <c r="EL11" s="464">
        <f t="shared" ref="EL11:EO11" si="160">SUM(EL3:EL10)</f>
        <v>103396.173110702</v>
      </c>
      <c r="EM11" s="465">
        <f t="shared" si="160"/>
        <v>108255.52721242605</v>
      </c>
      <c r="EN11" s="464">
        <f t="shared" si="160"/>
        <v>98512.578504724836</v>
      </c>
      <c r="EO11" s="464">
        <f t="shared" si="160"/>
        <v>108255.52721242605</v>
      </c>
      <c r="EP11" s="1614">
        <f t="shared" si="156"/>
        <v>108255.52721242605</v>
      </c>
      <c r="EQ11" s="303"/>
      <c r="ER11" s="46"/>
    </row>
    <row r="12" spans="1:148" ht="10.199999999999999" customHeight="1">
      <c r="A12" s="43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695"/>
      <c r="R12" s="158"/>
      <c r="S12" s="158"/>
      <c r="T12" s="1301"/>
      <c r="U12" s="158"/>
      <c r="V12" s="158"/>
      <c r="W12" s="158"/>
      <c r="X12" s="695"/>
      <c r="Y12" s="158"/>
      <c r="Z12" s="158"/>
      <c r="AA12" s="1301"/>
      <c r="AB12" s="158"/>
      <c r="AC12" s="158"/>
      <c r="AD12" s="158"/>
      <c r="AE12" s="695"/>
      <c r="AF12" s="158"/>
      <c r="AG12" s="158"/>
      <c r="AH12" s="1301"/>
      <c r="AI12" s="158"/>
      <c r="AJ12" s="158"/>
      <c r="AK12" s="158"/>
      <c r="AL12" s="695"/>
      <c r="AM12" s="158"/>
      <c r="AN12" s="158"/>
      <c r="AO12" s="1301"/>
      <c r="AP12" s="158"/>
      <c r="AQ12" s="158"/>
      <c r="AR12" s="158"/>
      <c r="AS12" s="695"/>
      <c r="AT12" s="158"/>
      <c r="AU12" s="158"/>
      <c r="AV12" s="1301"/>
      <c r="AW12" s="158"/>
      <c r="AX12" s="158"/>
      <c r="AY12" s="158"/>
      <c r="AZ12" s="695"/>
      <c r="BA12" s="158"/>
      <c r="BB12" s="158"/>
      <c r="BC12" s="1301"/>
      <c r="BD12" s="158"/>
      <c r="BE12" s="158"/>
      <c r="BF12" s="158"/>
      <c r="BG12" s="695"/>
      <c r="BH12" s="158"/>
      <c r="BI12" s="158"/>
      <c r="BJ12" s="1301"/>
      <c r="BK12" s="158"/>
      <c r="BL12" s="158"/>
      <c r="BM12" s="158"/>
      <c r="BN12" s="695"/>
      <c r="BO12" s="158"/>
      <c r="BP12" s="158"/>
      <c r="BQ12" s="1301"/>
      <c r="BR12" s="158"/>
      <c r="BS12" s="158"/>
      <c r="BT12" s="158"/>
      <c r="BU12" s="695"/>
      <c r="BV12" s="158"/>
      <c r="BW12" s="158"/>
      <c r="BX12" s="1301"/>
      <c r="BY12" s="158"/>
      <c r="BZ12" s="158"/>
      <c r="CA12" s="158"/>
      <c r="CB12" s="695"/>
      <c r="CC12" s="158"/>
      <c r="CD12" s="158"/>
      <c r="CE12" s="1301"/>
      <c r="CF12" s="158"/>
      <c r="CG12" s="158"/>
      <c r="CH12" s="158"/>
      <c r="CI12" s="695"/>
      <c r="CJ12" s="158"/>
      <c r="CK12" s="158"/>
      <c r="CL12" s="1301"/>
      <c r="CM12" s="158"/>
      <c r="CN12" s="158"/>
      <c r="CO12" s="158"/>
      <c r="CP12" s="695"/>
      <c r="CQ12" s="158"/>
      <c r="CR12" s="158"/>
      <c r="CS12" s="1301"/>
      <c r="CT12" s="158"/>
      <c r="CU12" s="158"/>
      <c r="CV12" s="158"/>
      <c r="CW12" s="695"/>
      <c r="CX12" s="158"/>
      <c r="CY12" s="158"/>
      <c r="CZ12" s="1301"/>
      <c r="DA12" s="18"/>
      <c r="DB12" s="158"/>
      <c r="DC12" s="18"/>
      <c r="DD12" s="695"/>
      <c r="DE12" s="158"/>
      <c r="DF12" s="158"/>
      <c r="DG12" s="1364"/>
      <c r="DH12" s="818"/>
      <c r="DI12" s="158"/>
      <c r="DJ12" s="18"/>
      <c r="DK12" s="695"/>
      <c r="DL12" s="2006"/>
      <c r="DM12" s="158"/>
      <c r="DN12" s="1503"/>
      <c r="DO12" s="18"/>
      <c r="DP12" s="327"/>
      <c r="DQ12" s="18"/>
      <c r="DR12" s="695"/>
      <c r="DS12" s="18"/>
      <c r="DT12" s="158"/>
      <c r="DU12" s="1503"/>
      <c r="DV12" s="18"/>
      <c r="DW12" s="327"/>
      <c r="DX12" s="18"/>
      <c r="DY12" s="695"/>
      <c r="DZ12" s="18"/>
      <c r="EA12" s="158"/>
      <c r="EB12" s="1503"/>
      <c r="EC12" s="18"/>
      <c r="ED12" s="327"/>
      <c r="EE12" s="18"/>
      <c r="EF12" s="695"/>
      <c r="EG12" s="18"/>
      <c r="EH12" s="158"/>
      <c r="EI12" s="1503"/>
      <c r="EJ12" s="18"/>
      <c r="EK12" s="327"/>
      <c r="EL12" s="18"/>
      <c r="EM12" s="695"/>
      <c r="EN12" s="18"/>
      <c r="EO12" s="158"/>
      <c r="EP12" s="1503"/>
      <c r="EQ12" s="303"/>
      <c r="ER12" s="46"/>
    </row>
    <row r="13" spans="1:148" ht="10.199999999999999" customHeight="1">
      <c r="A13" s="43" t="s">
        <v>256</v>
      </c>
      <c r="B13" s="158">
        <v>10588</v>
      </c>
      <c r="C13" s="158">
        <v>9789</v>
      </c>
      <c r="D13" s="158">
        <v>9694</v>
      </c>
      <c r="E13" s="158">
        <v>10008</v>
      </c>
      <c r="F13" s="158">
        <v>11052</v>
      </c>
      <c r="G13" s="158">
        <v>10855</v>
      </c>
      <c r="H13" s="158">
        <v>10832</v>
      </c>
      <c r="I13" s="158">
        <v>11171</v>
      </c>
      <c r="J13" s="158">
        <v>11060</v>
      </c>
      <c r="K13" s="158">
        <v>11299</v>
      </c>
      <c r="L13" s="158">
        <v>12786</v>
      </c>
      <c r="M13" s="158">
        <v>13422</v>
      </c>
      <c r="N13" s="158"/>
      <c r="O13" s="158"/>
      <c r="P13" s="158"/>
      <c r="Q13" s="695"/>
      <c r="R13" s="158"/>
      <c r="S13" s="158"/>
      <c r="T13" s="1301">
        <v>12500</v>
      </c>
      <c r="U13" s="158">
        <v>12508</v>
      </c>
      <c r="V13" s="158">
        <f t="shared" si="10"/>
        <v>12550</v>
      </c>
      <c r="W13" s="158">
        <v>12786</v>
      </c>
      <c r="X13" s="695">
        <f t="shared" ref="X13:X21" si="161">Z13</f>
        <v>12758</v>
      </c>
      <c r="Y13" s="158">
        <v>12550</v>
      </c>
      <c r="Z13" s="158">
        <f t="shared" ref="Z13:Z21" si="162">AA13</f>
        <v>12758</v>
      </c>
      <c r="AA13" s="1301">
        <v>12758</v>
      </c>
      <c r="AB13" s="158">
        <v>12867</v>
      </c>
      <c r="AC13" s="158">
        <f t="shared" si="13"/>
        <v>12660</v>
      </c>
      <c r="AD13" s="158">
        <v>12634</v>
      </c>
      <c r="AE13" s="695">
        <f t="shared" ref="AE13:AE21" si="163">AG13</f>
        <v>12555</v>
      </c>
      <c r="AF13" s="158">
        <v>12660</v>
      </c>
      <c r="AG13" s="158">
        <f t="shared" ref="AG13:AG21" si="164">AH13</f>
        <v>12555</v>
      </c>
      <c r="AH13" s="1301">
        <v>12555</v>
      </c>
      <c r="AI13" s="158">
        <v>12358</v>
      </c>
      <c r="AJ13" s="158">
        <f t="shared" si="16"/>
        <v>11849</v>
      </c>
      <c r="AK13" s="158">
        <v>11837</v>
      </c>
      <c r="AL13" s="695">
        <f t="shared" ref="AL13:AL21" si="165">AN13</f>
        <v>12068</v>
      </c>
      <c r="AM13" s="158">
        <v>11849</v>
      </c>
      <c r="AN13" s="158">
        <f t="shared" ref="AN13:AN21" si="166">AO13</f>
        <v>12068</v>
      </c>
      <c r="AO13" s="1301">
        <v>12068</v>
      </c>
      <c r="AP13" s="158">
        <v>12047</v>
      </c>
      <c r="AQ13" s="158">
        <f t="shared" si="19"/>
        <v>11679</v>
      </c>
      <c r="AR13" s="158">
        <v>11658</v>
      </c>
      <c r="AS13" s="695">
        <f t="shared" ref="AS13:AS21" si="167">AU13</f>
        <v>11629</v>
      </c>
      <c r="AT13" s="158">
        <v>11679</v>
      </c>
      <c r="AU13" s="158">
        <f t="shared" ref="AU13:AU21" si="168">AV13</f>
        <v>11629</v>
      </c>
      <c r="AV13" s="1301">
        <v>11629</v>
      </c>
      <c r="AW13" s="158"/>
      <c r="AX13" s="158"/>
      <c r="AY13" s="158"/>
      <c r="AZ13" s="695"/>
      <c r="BA13" s="158"/>
      <c r="BB13" s="158"/>
      <c r="BC13" s="1301">
        <v>11629</v>
      </c>
      <c r="BD13" s="158">
        <v>11573</v>
      </c>
      <c r="BE13" s="158">
        <f t="shared" si="22"/>
        <v>11581</v>
      </c>
      <c r="BF13" s="158">
        <v>16988</v>
      </c>
      <c r="BG13" s="695">
        <f t="shared" ref="BG13:BG21" si="169">BI13</f>
        <v>16726</v>
      </c>
      <c r="BH13" s="158">
        <v>11581</v>
      </c>
      <c r="BI13" s="158">
        <f t="shared" ref="BI13:BI21" si="170">BJ13</f>
        <v>16726</v>
      </c>
      <c r="BJ13" s="1301">
        <v>16726</v>
      </c>
      <c r="BK13" s="158">
        <v>16644</v>
      </c>
      <c r="BL13" s="158">
        <f t="shared" si="25"/>
        <v>16607</v>
      </c>
      <c r="BM13" s="158">
        <v>16583</v>
      </c>
      <c r="BN13" s="695">
        <f t="shared" ref="BN13:BN21" si="171">BP13</f>
        <v>16591</v>
      </c>
      <c r="BO13" s="158">
        <v>16607</v>
      </c>
      <c r="BP13" s="158">
        <f t="shared" ref="BP13:BP21" si="172">BQ13</f>
        <v>16591</v>
      </c>
      <c r="BQ13" s="1301">
        <v>16591</v>
      </c>
      <c r="BR13" s="158">
        <v>16623</v>
      </c>
      <c r="BS13" s="158">
        <f t="shared" si="28"/>
        <v>16484</v>
      </c>
      <c r="BT13" s="158">
        <v>16394</v>
      </c>
      <c r="BU13" s="695">
        <f t="shared" ref="BU13:BU21" si="173">BW13</f>
        <v>16199</v>
      </c>
      <c r="BV13" s="158">
        <v>16484</v>
      </c>
      <c r="BW13" s="158">
        <f t="shared" ref="BW13:BW21" si="174">BX13</f>
        <v>16199</v>
      </c>
      <c r="BX13" s="1301">
        <v>16199</v>
      </c>
      <c r="BY13" s="158">
        <v>16249</v>
      </c>
      <c r="BZ13" s="158">
        <f t="shared" si="31"/>
        <v>16223</v>
      </c>
      <c r="CA13" s="158">
        <v>16255</v>
      </c>
      <c r="CB13" s="695">
        <f t="shared" ref="CB13:CB21" si="175">CD13</f>
        <v>16367</v>
      </c>
      <c r="CC13" s="158">
        <v>16223</v>
      </c>
      <c r="CD13" s="158">
        <f t="shared" ref="CD13:CD21" si="176">CE13</f>
        <v>16367</v>
      </c>
      <c r="CE13" s="1301">
        <v>16367</v>
      </c>
      <c r="CF13" s="158">
        <v>16399</v>
      </c>
      <c r="CG13" s="158">
        <f t="shared" si="34"/>
        <v>16543</v>
      </c>
      <c r="CH13" s="158">
        <v>16800</v>
      </c>
      <c r="CI13" s="695">
        <f t="shared" ref="CI13:CI21" si="177">CK13</f>
        <v>16768</v>
      </c>
      <c r="CJ13" s="158">
        <v>16543</v>
      </c>
      <c r="CK13" s="158">
        <f t="shared" ref="CK13:CK21" si="178">CL13</f>
        <v>16768</v>
      </c>
      <c r="CL13" s="1301">
        <v>16768</v>
      </c>
      <c r="CM13" s="158">
        <v>16818</v>
      </c>
      <c r="CN13" s="158">
        <f t="shared" si="37"/>
        <v>16893</v>
      </c>
      <c r="CO13" s="158">
        <v>17009</v>
      </c>
      <c r="CP13" s="695">
        <f t="shared" ref="CP13:CP21" si="179">CR13</f>
        <v>16929</v>
      </c>
      <c r="CQ13" s="158">
        <v>16893</v>
      </c>
      <c r="CR13" s="158">
        <f t="shared" ref="CR13:CR21" si="180">CS13</f>
        <v>16929</v>
      </c>
      <c r="CS13" s="1301">
        <v>16929</v>
      </c>
      <c r="CT13" s="158">
        <v>17055</v>
      </c>
      <c r="CU13" s="158">
        <f t="shared" si="40"/>
        <v>17129</v>
      </c>
      <c r="CV13" s="158">
        <v>17216</v>
      </c>
      <c r="CW13" s="695">
        <f t="shared" ref="CW13:CW21" si="181">CY13</f>
        <v>17179</v>
      </c>
      <c r="CX13" s="158">
        <v>17129</v>
      </c>
      <c r="CY13" s="158">
        <f t="shared" ref="CY13:CY21" si="182">CZ13</f>
        <v>17179</v>
      </c>
      <c r="CZ13" s="1301">
        <v>17179</v>
      </c>
      <c r="DA13" s="158">
        <v>17099</v>
      </c>
      <c r="DB13" s="158">
        <f t="shared" si="43"/>
        <v>16962</v>
      </c>
      <c r="DC13" s="158">
        <v>16955</v>
      </c>
      <c r="DD13" s="695">
        <f t="shared" ref="DD13:DD21" si="183">DF13</f>
        <v>16847</v>
      </c>
      <c r="DE13" s="2097">
        <v>16962</v>
      </c>
      <c r="DF13" s="158">
        <f t="shared" ref="DF13:DF21" si="184">DG13</f>
        <v>16847</v>
      </c>
      <c r="DG13" s="1364">
        <v>16847</v>
      </c>
      <c r="DH13" s="818">
        <v>16837</v>
      </c>
      <c r="DI13" s="158">
        <f t="shared" si="46"/>
        <v>17112</v>
      </c>
      <c r="DJ13" s="819">
        <f t="shared" ref="DJ13" si="185">DJ66+DJ85</f>
        <v>17026.496029931081</v>
      </c>
      <c r="DK13" s="453">
        <f t="shared" ref="DK13:DK21" si="186">DM13</f>
        <v>17013.589142441775</v>
      </c>
      <c r="DL13" s="2006">
        <v>17112</v>
      </c>
      <c r="DM13" s="327">
        <f t="shared" ref="DM13:DM21" si="187">DN13</f>
        <v>17013.589142441775</v>
      </c>
      <c r="DN13" s="1544">
        <f t="shared" ref="DN13:EP13" si="188">DN66+DN85</f>
        <v>17013.589142441775</v>
      </c>
      <c r="DO13" s="819">
        <f t="shared" si="188"/>
        <v>17053.827950483545</v>
      </c>
      <c r="DP13" s="327">
        <f t="shared" ref="DP13:DP21" si="189">DS13</f>
        <v>17102.402336149913</v>
      </c>
      <c r="DQ13" s="819">
        <f t="shared" ref="DQ13" si="190">DQ66+DQ85</f>
        <v>17150.744542055654</v>
      </c>
      <c r="DR13" s="453">
        <f t="shared" ref="DR13:DR21" si="191">DT13</f>
        <v>17208.723023585299</v>
      </c>
      <c r="DS13" s="819">
        <f t="shared" ref="DS13" si="192">DS66+DS85</f>
        <v>17102.402336149913</v>
      </c>
      <c r="DT13" s="327">
        <f t="shared" ref="DT13:DT21" si="193">DU13</f>
        <v>17208.723023585299</v>
      </c>
      <c r="DU13" s="1544">
        <f t="shared" si="188"/>
        <v>17208.723023585299</v>
      </c>
      <c r="DV13" s="819">
        <f t="shared" si="188"/>
        <v>17254.052137366634</v>
      </c>
      <c r="DW13" s="327">
        <f t="shared" ref="DW13:DW21" si="194">DZ13</f>
        <v>17308.926675334282</v>
      </c>
      <c r="DX13" s="819">
        <f t="shared" ref="DX13" si="195">DX66+DX85</f>
        <v>17363.479026342888</v>
      </c>
      <c r="DY13" s="453">
        <f t="shared" ref="DY13:DY21" si="196">EA13</f>
        <v>17430.695163021148</v>
      </c>
      <c r="DZ13" s="819">
        <f t="shared" ref="DZ13" si="197">DZ66+DZ85</f>
        <v>17308.926675334282</v>
      </c>
      <c r="EA13" s="327">
        <f t="shared" ref="EA13:EA21" si="198">EB13</f>
        <v>17430.695163021148</v>
      </c>
      <c r="EB13" s="1544">
        <f t="shared" si="188"/>
        <v>17430.695163021148</v>
      </c>
      <c r="EC13" s="819">
        <f t="shared" si="188"/>
        <v>17482.592272986873</v>
      </c>
      <c r="ED13" s="327">
        <f t="shared" ref="ED13:ED21" si="199">EG13</f>
        <v>17541.0274384554</v>
      </c>
      <c r="EE13" s="819">
        <f t="shared" ref="EE13" si="200">EE66+EE85</f>
        <v>17599.038291205434</v>
      </c>
      <c r="EF13" s="453">
        <f t="shared" ref="EF13:EF21" si="201">EH13</f>
        <v>17671.133458245611</v>
      </c>
      <c r="EG13" s="819">
        <f t="shared" ref="EG13" si="202">EG66+EG85</f>
        <v>17541.0274384554</v>
      </c>
      <c r="EH13" s="327">
        <f t="shared" ref="EH13:EH21" si="203">EI13</f>
        <v>17671.133458245611</v>
      </c>
      <c r="EI13" s="1544">
        <f t="shared" si="188"/>
        <v>17671.133458245611</v>
      </c>
      <c r="EJ13" s="819">
        <f t="shared" si="188"/>
        <v>17726.403317970362</v>
      </c>
      <c r="EK13" s="327">
        <f t="shared" ref="EK13:EK21" si="204">EN13</f>
        <v>17788.947056099059</v>
      </c>
      <c r="EL13" s="819">
        <f t="shared" ref="EL13" si="205">EL66+EL85</f>
        <v>17850.958983299803</v>
      </c>
      <c r="EM13" s="453">
        <f t="shared" ref="EM13:EM21" si="206">EO13</f>
        <v>17928.553917015091</v>
      </c>
      <c r="EN13" s="819">
        <f t="shared" ref="EN13" si="207">EN66+EN85</f>
        <v>17788.947056099059</v>
      </c>
      <c r="EO13" s="327">
        <f t="shared" ref="EO13:EO21" si="208">EP13</f>
        <v>17928.553917015091</v>
      </c>
      <c r="EP13" s="1544">
        <f t="shared" si="188"/>
        <v>17928.553917015091</v>
      </c>
      <c r="EQ13" s="303"/>
      <c r="ER13" s="46"/>
    </row>
    <row r="14" spans="1:148" ht="10.199999999999999" customHeight="1">
      <c r="A14" s="43" t="s">
        <v>257</v>
      </c>
      <c r="B14" s="158">
        <v>10050</v>
      </c>
      <c r="C14" s="158">
        <v>10509</v>
      </c>
      <c r="D14" s="158">
        <v>11448</v>
      </c>
      <c r="E14" s="158">
        <v>12905</v>
      </c>
      <c r="F14" s="158">
        <f>13817</f>
        <v>13817</v>
      </c>
      <c r="G14" s="158">
        <v>14178</v>
      </c>
      <c r="H14" s="158">
        <v>13393</v>
      </c>
      <c r="I14" s="158">
        <v>12156</v>
      </c>
      <c r="J14" s="158">
        <v>12508</v>
      </c>
      <c r="K14" s="158">
        <v>13427</v>
      </c>
      <c r="L14" s="158">
        <v>14146</v>
      </c>
      <c r="M14" s="158">
        <v>15196</v>
      </c>
      <c r="N14" s="158"/>
      <c r="O14" s="158"/>
      <c r="P14" s="158"/>
      <c r="Q14" s="695"/>
      <c r="R14" s="158"/>
      <c r="S14" s="158"/>
      <c r="T14" s="1301">
        <v>15585</v>
      </c>
      <c r="U14" s="158">
        <v>15750</v>
      </c>
      <c r="V14" s="158">
        <f t="shared" si="10"/>
        <v>15838</v>
      </c>
      <c r="W14" s="158">
        <v>16167</v>
      </c>
      <c r="X14" s="695">
        <f t="shared" si="161"/>
        <v>16321</v>
      </c>
      <c r="Y14" s="158">
        <v>15838</v>
      </c>
      <c r="Z14" s="158">
        <f t="shared" si="162"/>
        <v>16321</v>
      </c>
      <c r="AA14" s="1301">
        <v>16321</v>
      </c>
      <c r="AB14" s="158">
        <v>16727</v>
      </c>
      <c r="AC14" s="158">
        <f t="shared" si="13"/>
        <v>16766</v>
      </c>
      <c r="AD14" s="158">
        <v>16790</v>
      </c>
      <c r="AE14" s="695">
        <f t="shared" si="163"/>
        <v>17127</v>
      </c>
      <c r="AF14" s="158">
        <v>16766</v>
      </c>
      <c r="AG14" s="158">
        <f t="shared" si="164"/>
        <v>17127</v>
      </c>
      <c r="AH14" s="1301">
        <v>17127</v>
      </c>
      <c r="AI14" s="158">
        <v>16905</v>
      </c>
      <c r="AJ14" s="158">
        <f t="shared" si="16"/>
        <v>16664</v>
      </c>
      <c r="AK14" s="158">
        <v>16660</v>
      </c>
      <c r="AL14" s="695">
        <f t="shared" si="165"/>
        <v>16913</v>
      </c>
      <c r="AM14" s="158">
        <v>16664</v>
      </c>
      <c r="AN14" s="158">
        <f t="shared" si="166"/>
        <v>16913</v>
      </c>
      <c r="AO14" s="1301">
        <v>16913</v>
      </c>
      <c r="AP14" s="158">
        <v>16789</v>
      </c>
      <c r="AQ14" s="158">
        <f t="shared" si="19"/>
        <v>16554</v>
      </c>
      <c r="AR14" s="158">
        <v>16549</v>
      </c>
      <c r="AS14" s="695">
        <f t="shared" si="167"/>
        <v>16610</v>
      </c>
      <c r="AT14" s="158">
        <v>16554</v>
      </c>
      <c r="AU14" s="158">
        <f t="shared" si="168"/>
        <v>16610</v>
      </c>
      <c r="AV14" s="1301">
        <v>16610</v>
      </c>
      <c r="AW14" s="158"/>
      <c r="AX14" s="158"/>
      <c r="AY14" s="158"/>
      <c r="AZ14" s="695"/>
      <c r="BA14" s="158"/>
      <c r="BB14" s="158"/>
      <c r="BC14" s="1301">
        <v>16610</v>
      </c>
      <c r="BD14" s="158">
        <v>16502</v>
      </c>
      <c r="BE14" s="158">
        <f t="shared" si="22"/>
        <v>16476</v>
      </c>
      <c r="BF14" s="158">
        <v>16659</v>
      </c>
      <c r="BG14" s="695">
        <f t="shared" si="169"/>
        <v>16773</v>
      </c>
      <c r="BH14" s="158">
        <v>16476</v>
      </c>
      <c r="BI14" s="158">
        <f t="shared" si="170"/>
        <v>16773</v>
      </c>
      <c r="BJ14" s="1301">
        <v>16773</v>
      </c>
      <c r="BK14" s="158">
        <v>17537</v>
      </c>
      <c r="BL14" s="158">
        <f t="shared" si="25"/>
        <v>17274</v>
      </c>
      <c r="BM14" s="158">
        <v>17143</v>
      </c>
      <c r="BN14" s="695">
        <f t="shared" si="171"/>
        <v>17294</v>
      </c>
      <c r="BO14" s="158">
        <v>17274</v>
      </c>
      <c r="BP14" s="158">
        <f t="shared" si="172"/>
        <v>17294</v>
      </c>
      <c r="BQ14" s="1301">
        <v>17294</v>
      </c>
      <c r="BR14" s="158">
        <v>17082</v>
      </c>
      <c r="BS14" s="158">
        <f t="shared" si="28"/>
        <v>16936</v>
      </c>
      <c r="BT14" s="158">
        <v>16666</v>
      </c>
      <c r="BU14" s="695">
        <f t="shared" si="173"/>
        <v>16674</v>
      </c>
      <c r="BV14" s="158">
        <v>16936</v>
      </c>
      <c r="BW14" s="158">
        <f t="shared" si="174"/>
        <v>16674</v>
      </c>
      <c r="BX14" s="1301">
        <v>16674</v>
      </c>
      <c r="BY14" s="158">
        <v>16768</v>
      </c>
      <c r="BZ14" s="158">
        <f t="shared" si="31"/>
        <v>16526</v>
      </c>
      <c r="CA14" s="158">
        <v>16363</v>
      </c>
      <c r="CB14" s="695">
        <f t="shared" si="175"/>
        <v>16536</v>
      </c>
      <c r="CC14" s="158">
        <v>16526</v>
      </c>
      <c r="CD14" s="158">
        <f t="shared" si="176"/>
        <v>16536</v>
      </c>
      <c r="CE14" s="1301">
        <v>16536</v>
      </c>
      <c r="CF14" s="158">
        <v>16336</v>
      </c>
      <c r="CG14" s="158">
        <f t="shared" si="34"/>
        <v>16488</v>
      </c>
      <c r="CH14" s="158">
        <v>16636</v>
      </c>
      <c r="CI14" s="695">
        <f t="shared" si="177"/>
        <v>16505</v>
      </c>
      <c r="CJ14" s="158">
        <v>16488</v>
      </c>
      <c r="CK14" s="158">
        <f t="shared" si="178"/>
        <v>16505</v>
      </c>
      <c r="CL14" s="1301">
        <v>16505</v>
      </c>
      <c r="CM14" s="158">
        <v>16345</v>
      </c>
      <c r="CN14" s="158">
        <f t="shared" si="37"/>
        <v>16501</v>
      </c>
      <c r="CO14" s="158">
        <v>16645</v>
      </c>
      <c r="CP14" s="695">
        <f t="shared" si="179"/>
        <v>17201</v>
      </c>
      <c r="CQ14" s="158">
        <v>16501</v>
      </c>
      <c r="CR14" s="158">
        <f t="shared" si="180"/>
        <v>17201</v>
      </c>
      <c r="CS14" s="1301">
        <v>17201</v>
      </c>
      <c r="CT14" s="158">
        <v>17360</v>
      </c>
      <c r="CU14" s="158">
        <f t="shared" si="40"/>
        <v>17574</v>
      </c>
      <c r="CV14" s="158">
        <v>17905</v>
      </c>
      <c r="CW14" s="695">
        <f t="shared" si="181"/>
        <v>19112</v>
      </c>
      <c r="CX14" s="158">
        <v>17574</v>
      </c>
      <c r="CY14" s="158">
        <f t="shared" si="182"/>
        <v>19112</v>
      </c>
      <c r="CZ14" s="1301">
        <v>19112</v>
      </c>
      <c r="DA14" s="158">
        <v>19126</v>
      </c>
      <c r="DB14" s="158">
        <f t="shared" si="43"/>
        <v>19188</v>
      </c>
      <c r="DC14" s="158">
        <v>19716</v>
      </c>
      <c r="DD14" s="695">
        <f t="shared" si="183"/>
        <v>20893</v>
      </c>
      <c r="DE14" s="2097">
        <v>19188</v>
      </c>
      <c r="DF14" s="158">
        <f t="shared" si="184"/>
        <v>20893</v>
      </c>
      <c r="DG14" s="1364">
        <v>20893</v>
      </c>
      <c r="DH14" s="818">
        <v>20941</v>
      </c>
      <c r="DI14" s="158">
        <f t="shared" si="46"/>
        <v>21165</v>
      </c>
      <c r="DJ14" s="819">
        <f t="shared" ref="DJ14" si="209">DJ104</f>
        <v>21297.379707005817</v>
      </c>
      <c r="DK14" s="453">
        <f t="shared" si="186"/>
        <v>21485.688722985513</v>
      </c>
      <c r="DL14" s="2006">
        <v>21165</v>
      </c>
      <c r="DM14" s="327">
        <f t="shared" si="187"/>
        <v>21485.688722985513</v>
      </c>
      <c r="DN14" s="1544">
        <f t="shared" ref="DN14:EP14" si="210">DN104</f>
        <v>21485.688722985513</v>
      </c>
      <c r="DO14" s="819">
        <f t="shared" si="210"/>
        <v>21522.249140575546</v>
      </c>
      <c r="DP14" s="327">
        <f t="shared" si="189"/>
        <v>21555.99700124218</v>
      </c>
      <c r="DQ14" s="819">
        <f t="shared" ref="DQ14" si="211">DQ104</f>
        <v>21590.188998172758</v>
      </c>
      <c r="DR14" s="453">
        <f t="shared" si="191"/>
        <v>21617.970292789352</v>
      </c>
      <c r="DS14" s="819">
        <f t="shared" ref="DS14" si="212">DS104</f>
        <v>21555.99700124218</v>
      </c>
      <c r="DT14" s="327">
        <f t="shared" si="193"/>
        <v>21617.970292789352</v>
      </c>
      <c r="DU14" s="1544">
        <f t="shared" si="210"/>
        <v>21617.970292789352</v>
      </c>
      <c r="DV14" s="819">
        <f t="shared" si="210"/>
        <v>21611.979090262357</v>
      </c>
      <c r="DW14" s="327">
        <f t="shared" si="194"/>
        <v>21598.777497865929</v>
      </c>
      <c r="DX14" s="819">
        <f t="shared" ref="DX14" si="213">DX104</f>
        <v>21586.000722827135</v>
      </c>
      <c r="DY14" s="453">
        <f t="shared" si="196"/>
        <v>21560.575507074456</v>
      </c>
      <c r="DZ14" s="819">
        <f t="shared" ref="DZ14" si="214">DZ104</f>
        <v>21598.777497865929</v>
      </c>
      <c r="EA14" s="327">
        <f t="shared" si="198"/>
        <v>21560.575507074456</v>
      </c>
      <c r="EB14" s="1544">
        <f t="shared" si="210"/>
        <v>21560.575507074456</v>
      </c>
      <c r="EC14" s="819">
        <f t="shared" si="210"/>
        <v>21508.678397108735</v>
      </c>
      <c r="ED14" s="327">
        <f t="shared" si="199"/>
        <v>21450.243231640205</v>
      </c>
      <c r="EE14" s="819">
        <f t="shared" ref="EE14" si="215">EE104</f>
        <v>21392.232378890178</v>
      </c>
      <c r="EF14" s="453">
        <f t="shared" si="201"/>
        <v>21320.137211849993</v>
      </c>
      <c r="EG14" s="819">
        <f t="shared" ref="EG14" si="216">EG104</f>
        <v>21450.243231640205</v>
      </c>
      <c r="EH14" s="327">
        <f t="shared" si="203"/>
        <v>21320.137211849993</v>
      </c>
      <c r="EI14" s="1544">
        <f t="shared" si="210"/>
        <v>21320.137211849993</v>
      </c>
      <c r="EJ14" s="819">
        <f t="shared" si="210"/>
        <v>21264.867352125249</v>
      </c>
      <c r="EK14" s="327">
        <f t="shared" si="204"/>
        <v>21202.323613996545</v>
      </c>
      <c r="EL14" s="819">
        <f t="shared" ref="EL14" si="217">EL104</f>
        <v>21140.311686795809</v>
      </c>
      <c r="EM14" s="453">
        <f t="shared" si="206"/>
        <v>21062.716753080524</v>
      </c>
      <c r="EN14" s="819">
        <f t="shared" ref="EN14" si="218">EN104</f>
        <v>21202.323613996545</v>
      </c>
      <c r="EO14" s="327">
        <f t="shared" si="208"/>
        <v>21062.716753080524</v>
      </c>
      <c r="EP14" s="1544">
        <f t="shared" si="210"/>
        <v>21062.716753080524</v>
      </c>
      <c r="EQ14" s="303"/>
      <c r="ER14" s="46"/>
    </row>
    <row r="15" spans="1:148" ht="10.199999999999999" customHeight="1">
      <c r="A15" s="43" t="s">
        <v>284</v>
      </c>
      <c r="B15" s="158">
        <v>1252</v>
      </c>
      <c r="C15" s="158">
        <v>1333</v>
      </c>
      <c r="D15" s="158">
        <v>1640</v>
      </c>
      <c r="E15" s="158">
        <v>1738</v>
      </c>
      <c r="F15" s="158">
        <v>1908</v>
      </c>
      <c r="G15" s="158">
        <v>2095</v>
      </c>
      <c r="H15" s="158">
        <v>2238</v>
      </c>
      <c r="I15" s="158">
        <v>2356</v>
      </c>
      <c r="J15" s="158">
        <v>2514</v>
      </c>
      <c r="K15" s="158">
        <v>2451</v>
      </c>
      <c r="L15" s="158">
        <v>2677</v>
      </c>
      <c r="M15" s="158">
        <v>2662</v>
      </c>
      <c r="N15" s="158"/>
      <c r="O15" s="158"/>
      <c r="P15" s="158"/>
      <c r="Q15" s="695"/>
      <c r="R15" s="158"/>
      <c r="S15" s="158"/>
      <c r="T15" s="1301">
        <v>3858</v>
      </c>
      <c r="U15" s="158">
        <v>3844</v>
      </c>
      <c r="V15" s="158">
        <f t="shared" si="10"/>
        <v>3802</v>
      </c>
      <c r="W15" s="158">
        <v>3853</v>
      </c>
      <c r="X15" s="695">
        <f t="shared" si="161"/>
        <v>3391</v>
      </c>
      <c r="Y15" s="158">
        <v>3802</v>
      </c>
      <c r="Z15" s="158">
        <f t="shared" si="162"/>
        <v>3391</v>
      </c>
      <c r="AA15" s="1301">
        <v>3391</v>
      </c>
      <c r="AB15" s="158">
        <v>986</v>
      </c>
      <c r="AC15" s="158">
        <f t="shared" si="13"/>
        <v>1112</v>
      </c>
      <c r="AD15" s="158">
        <v>1138</v>
      </c>
      <c r="AE15" s="695">
        <f t="shared" si="163"/>
        <v>1326</v>
      </c>
      <c r="AF15" s="158">
        <v>1112</v>
      </c>
      <c r="AG15" s="158">
        <f t="shared" si="164"/>
        <v>1326</v>
      </c>
      <c r="AH15" s="1301">
        <v>1326</v>
      </c>
      <c r="AI15" s="158">
        <v>1197</v>
      </c>
      <c r="AJ15" s="158">
        <f t="shared" si="16"/>
        <v>1773</v>
      </c>
      <c r="AK15" s="158">
        <v>1794</v>
      </c>
      <c r="AL15" s="695">
        <f t="shared" si="165"/>
        <v>1608</v>
      </c>
      <c r="AM15" s="158">
        <v>1773</v>
      </c>
      <c r="AN15" s="158">
        <f t="shared" si="166"/>
        <v>1608</v>
      </c>
      <c r="AO15" s="1301">
        <v>1608</v>
      </c>
      <c r="AP15" s="158">
        <v>1468</v>
      </c>
      <c r="AQ15" s="158">
        <f t="shared" si="19"/>
        <v>1500</v>
      </c>
      <c r="AR15" s="158">
        <v>1549</v>
      </c>
      <c r="AS15" s="695">
        <f t="shared" si="167"/>
        <v>1678</v>
      </c>
      <c r="AT15" s="158">
        <v>1500</v>
      </c>
      <c r="AU15" s="158">
        <f t="shared" si="168"/>
        <v>1678</v>
      </c>
      <c r="AV15" s="1301">
        <v>1678</v>
      </c>
      <c r="AW15" s="158"/>
      <c r="AX15" s="158"/>
      <c r="AY15" s="158"/>
      <c r="AZ15" s="695"/>
      <c r="BA15" s="158"/>
      <c r="BB15" s="158"/>
      <c r="BC15" s="1301">
        <v>1617</v>
      </c>
      <c r="BD15" s="158">
        <v>1476</v>
      </c>
      <c r="BE15" s="158">
        <f t="shared" si="22"/>
        <v>1512</v>
      </c>
      <c r="BF15" s="158">
        <v>1540</v>
      </c>
      <c r="BG15" s="695">
        <f t="shared" si="169"/>
        <v>1693</v>
      </c>
      <c r="BH15" s="158">
        <v>1512</v>
      </c>
      <c r="BI15" s="158">
        <f t="shared" si="170"/>
        <v>1693</v>
      </c>
      <c r="BJ15" s="1301">
        <v>1693</v>
      </c>
      <c r="BK15" s="158">
        <v>1598</v>
      </c>
      <c r="BL15" s="158">
        <f t="shared" si="25"/>
        <v>1524</v>
      </c>
      <c r="BM15" s="158">
        <v>1523</v>
      </c>
      <c r="BN15" s="695">
        <f t="shared" si="171"/>
        <v>1626</v>
      </c>
      <c r="BO15" s="158">
        <v>1524</v>
      </c>
      <c r="BP15" s="158">
        <f t="shared" si="172"/>
        <v>1626</v>
      </c>
      <c r="BQ15" s="1301">
        <v>1626</v>
      </c>
      <c r="BR15" s="158">
        <v>1563</v>
      </c>
      <c r="BS15" s="158">
        <f t="shared" si="28"/>
        <v>1489</v>
      </c>
      <c r="BT15" s="158">
        <v>1476</v>
      </c>
      <c r="BU15" s="695">
        <f t="shared" si="173"/>
        <v>1578</v>
      </c>
      <c r="BV15" s="158">
        <v>1489</v>
      </c>
      <c r="BW15" s="158">
        <f t="shared" si="174"/>
        <v>1578</v>
      </c>
      <c r="BX15" s="1301">
        <v>1578</v>
      </c>
      <c r="BY15" s="158">
        <v>1666</v>
      </c>
      <c r="BZ15" s="158">
        <f t="shared" si="31"/>
        <v>1687</v>
      </c>
      <c r="CA15" s="158">
        <v>1764</v>
      </c>
      <c r="CB15" s="695">
        <f t="shared" si="175"/>
        <v>1672</v>
      </c>
      <c r="CC15" s="158">
        <v>1687</v>
      </c>
      <c r="CD15" s="158">
        <f t="shared" si="176"/>
        <v>1672</v>
      </c>
      <c r="CE15" s="1301">
        <v>1672</v>
      </c>
      <c r="CF15" s="158">
        <v>1693</v>
      </c>
      <c r="CG15" s="158">
        <f t="shared" si="34"/>
        <v>1581</v>
      </c>
      <c r="CH15" s="158">
        <v>1705</v>
      </c>
      <c r="CI15" s="695">
        <f t="shared" si="177"/>
        <v>2067</v>
      </c>
      <c r="CJ15" s="158">
        <v>1581</v>
      </c>
      <c r="CK15" s="158">
        <f t="shared" si="178"/>
        <v>2067</v>
      </c>
      <c r="CL15" s="1301">
        <v>2067</v>
      </c>
      <c r="CM15" s="158">
        <v>2063</v>
      </c>
      <c r="CN15" s="158">
        <f t="shared" si="37"/>
        <v>2095</v>
      </c>
      <c r="CO15" s="158">
        <v>2163</v>
      </c>
      <c r="CP15" s="695">
        <f t="shared" si="179"/>
        <v>2228</v>
      </c>
      <c r="CQ15" s="158">
        <v>2095</v>
      </c>
      <c r="CR15" s="158">
        <f t="shared" si="180"/>
        <v>2228</v>
      </c>
      <c r="CS15" s="1301">
        <v>2228</v>
      </c>
      <c r="CT15" s="158">
        <v>2269</v>
      </c>
      <c r="CU15" s="158">
        <f t="shared" si="40"/>
        <v>2140</v>
      </c>
      <c r="CV15" s="158">
        <v>2221</v>
      </c>
      <c r="CW15" s="695">
        <f t="shared" si="181"/>
        <v>2433</v>
      </c>
      <c r="CX15" s="158">
        <v>2140</v>
      </c>
      <c r="CY15" s="158">
        <f t="shared" si="182"/>
        <v>2433</v>
      </c>
      <c r="CZ15" s="1301">
        <v>2433</v>
      </c>
      <c r="DA15" s="158">
        <v>2439</v>
      </c>
      <c r="DB15" s="158">
        <f t="shared" si="43"/>
        <v>2156</v>
      </c>
      <c r="DC15" s="158">
        <v>2196</v>
      </c>
      <c r="DD15" s="695">
        <f t="shared" si="183"/>
        <v>2360</v>
      </c>
      <c r="DE15" s="2097">
        <v>2156</v>
      </c>
      <c r="DF15" s="158">
        <f t="shared" si="184"/>
        <v>2360</v>
      </c>
      <c r="DG15" s="1364">
        <v>2360</v>
      </c>
      <c r="DH15" s="818">
        <v>2375</v>
      </c>
      <c r="DI15" s="158">
        <f t="shared" si="46"/>
        <v>2315</v>
      </c>
      <c r="DJ15" s="819">
        <f>DI15+IS!DJ17-CFS!DJ26+IS!DJ33</f>
        <v>2414.087259363167</v>
      </c>
      <c r="DK15" s="453">
        <f t="shared" si="186"/>
        <v>2324.8888504143147</v>
      </c>
      <c r="DL15" s="2006">
        <v>2315</v>
      </c>
      <c r="DM15" s="327">
        <f t="shared" si="187"/>
        <v>2324.8888504143147</v>
      </c>
      <c r="DN15" s="1544">
        <f>DG15+IS!DN17-CFS!DN26+IS!DN33</f>
        <v>2324.8888504143147</v>
      </c>
      <c r="DO15" s="819">
        <f>DN15+IS!DO17-CFS!DO26+IS!DO33</f>
        <v>2412.6228136460377</v>
      </c>
      <c r="DP15" s="327">
        <f t="shared" si="189"/>
        <v>2225.9357102987397</v>
      </c>
      <c r="DQ15" s="819">
        <f>DP15+IS!DQ17-CFS!DQ26+IS!DQ33</f>
        <v>2330.4423429718213</v>
      </c>
      <c r="DR15" s="453">
        <f t="shared" si="191"/>
        <v>2285.8119832781304</v>
      </c>
      <c r="DS15" s="819">
        <f>DN15+IS!DS17-CFS!DS26+IS!DS33</f>
        <v>2225.9357102987397</v>
      </c>
      <c r="DT15" s="327">
        <f t="shared" si="193"/>
        <v>2285.8119832781304</v>
      </c>
      <c r="DU15" s="1544">
        <f>DN15+IS!DU17-CFS!DU26+IS!DU33</f>
        <v>2285.8119832781304</v>
      </c>
      <c r="DV15" s="819">
        <f>DU15+IS!DV17-CFS!DV26+IS!DV33</f>
        <v>2381.3332130058598</v>
      </c>
      <c r="DW15" s="327">
        <f t="shared" si="194"/>
        <v>2178.0757625366246</v>
      </c>
      <c r="DX15" s="819">
        <f>DW15+IS!DX17-CFS!DX26+IS!DX33</f>
        <v>2291.8584038299496</v>
      </c>
      <c r="DY15" s="453">
        <f t="shared" si="196"/>
        <v>2243.2666534507671</v>
      </c>
      <c r="DZ15" s="819">
        <f>DU15+IS!DZ17-CFS!DZ26+IS!DZ33</f>
        <v>2178.0757625366246</v>
      </c>
      <c r="EA15" s="327">
        <f t="shared" si="198"/>
        <v>2243.2666534507671</v>
      </c>
      <c r="EB15" s="1544">
        <f>DU15+IS!EB17-CFS!EB26+IS!EB33</f>
        <v>2243.2666534507671</v>
      </c>
      <c r="EC15" s="819">
        <f>EB15+IS!EC17-CFS!EC26+IS!EC33</f>
        <v>2343.0967088529387</v>
      </c>
      <c r="ED15" s="327">
        <f t="shared" si="199"/>
        <v>2130.6706063091874</v>
      </c>
      <c r="EE15" s="819">
        <f>ED15+IS!EE17-CFS!EE26+IS!EE33</f>
        <v>2249.5858193617742</v>
      </c>
      <c r="EF15" s="453">
        <f t="shared" si="201"/>
        <v>2198.8021648143072</v>
      </c>
      <c r="EG15" s="819">
        <f>EB15+IS!EG17-CFS!EG26+IS!EG33</f>
        <v>2130.6706063091874</v>
      </c>
      <c r="EH15" s="327">
        <f t="shared" si="203"/>
        <v>2198.8021648143072</v>
      </c>
      <c r="EI15" s="1544">
        <f>EB15+IS!EI17-CFS!EI26+IS!EI33</f>
        <v>2198.8021648143072</v>
      </c>
      <c r="EJ15" s="819">
        <f>EI15+IS!EJ17-CFS!EJ26+IS!EJ33</f>
        <v>2302.07271471386</v>
      </c>
      <c r="EK15" s="327">
        <f t="shared" si="204"/>
        <v>2082.3256622421777</v>
      </c>
      <c r="EL15" s="819">
        <f>EK15+IS!EL17-CFS!EL26+IS!EL33</f>
        <v>2205.3391113872331</v>
      </c>
      <c r="EM15" s="453">
        <f t="shared" si="206"/>
        <v>2152.805273657721</v>
      </c>
      <c r="EN15" s="819">
        <f>EI15+IS!EN17-CFS!EN26+IS!EN33</f>
        <v>2082.3256622421777</v>
      </c>
      <c r="EO15" s="327">
        <f t="shared" si="208"/>
        <v>2152.805273657721</v>
      </c>
      <c r="EP15" s="1544">
        <f>EI15+IS!EP17-CFS!EP26+IS!EP33</f>
        <v>2152.805273657721</v>
      </c>
      <c r="EQ15" s="303"/>
      <c r="ER15" s="46"/>
    </row>
    <row r="16" spans="1:148" ht="10.199999999999999" customHeight="1">
      <c r="A16" s="3" t="s">
        <v>127</v>
      </c>
      <c r="B16" s="158">
        <v>4288</v>
      </c>
      <c r="C16" s="158">
        <v>2992</v>
      </c>
      <c r="D16" s="158">
        <v>2724</v>
      </c>
      <c r="E16" s="158">
        <v>2543</v>
      </c>
      <c r="F16" s="158">
        <v>2557</v>
      </c>
      <c r="G16" s="158">
        <v>2624</v>
      </c>
      <c r="H16" s="158">
        <v>2705</v>
      </c>
      <c r="I16" s="158">
        <v>2756</v>
      </c>
      <c r="J16" s="158">
        <v>2656</v>
      </c>
      <c r="K16" s="158">
        <v>4250</v>
      </c>
      <c r="L16" s="158">
        <v>4318</v>
      </c>
      <c r="M16" s="158">
        <v>4518</v>
      </c>
      <c r="N16" s="158"/>
      <c r="O16" s="158"/>
      <c r="P16" s="158"/>
      <c r="Q16" s="695"/>
      <c r="R16" s="158"/>
      <c r="S16" s="158"/>
      <c r="T16" s="1301">
        <v>3733</v>
      </c>
      <c r="U16" s="158">
        <v>3643</v>
      </c>
      <c r="V16" s="158">
        <f t="shared" si="10"/>
        <v>3662</v>
      </c>
      <c r="W16" s="158">
        <v>4737</v>
      </c>
      <c r="X16" s="695">
        <f t="shared" si="161"/>
        <v>5717</v>
      </c>
      <c r="Y16" s="158">
        <v>3662</v>
      </c>
      <c r="Z16" s="158">
        <f t="shared" si="162"/>
        <v>5717</v>
      </c>
      <c r="AA16" s="1301">
        <v>5717</v>
      </c>
      <c r="AB16" s="158">
        <v>9133</v>
      </c>
      <c r="AC16" s="158">
        <f t="shared" si="13"/>
        <v>7738</v>
      </c>
      <c r="AD16" s="158">
        <v>7572</v>
      </c>
      <c r="AE16" s="695">
        <f t="shared" si="163"/>
        <v>6759</v>
      </c>
      <c r="AF16" s="158">
        <v>7738</v>
      </c>
      <c r="AG16" s="158">
        <f t="shared" si="164"/>
        <v>6759</v>
      </c>
      <c r="AH16" s="1301">
        <v>6759</v>
      </c>
      <c r="AI16" s="158">
        <v>6330</v>
      </c>
      <c r="AJ16" s="158">
        <f t="shared" si="16"/>
        <v>7320</v>
      </c>
      <c r="AK16" s="158">
        <v>7450</v>
      </c>
      <c r="AL16" s="695">
        <f t="shared" si="165"/>
        <v>7557</v>
      </c>
      <c r="AM16" s="158">
        <v>7320</v>
      </c>
      <c r="AN16" s="158">
        <f t="shared" si="166"/>
        <v>7557</v>
      </c>
      <c r="AO16" s="1301">
        <v>7557</v>
      </c>
      <c r="AP16" s="158">
        <v>7150</v>
      </c>
      <c r="AQ16" s="158">
        <f t="shared" si="19"/>
        <v>6026</v>
      </c>
      <c r="AR16" s="158">
        <v>5700</v>
      </c>
      <c r="AS16" s="695">
        <f t="shared" si="167"/>
        <v>3598</v>
      </c>
      <c r="AT16" s="158">
        <v>6026</v>
      </c>
      <c r="AU16" s="158">
        <f t="shared" si="168"/>
        <v>3598</v>
      </c>
      <c r="AV16" s="1301">
        <v>3598</v>
      </c>
      <c r="AW16" s="158"/>
      <c r="AX16" s="158"/>
      <c r="AY16" s="158"/>
      <c r="AZ16" s="695"/>
      <c r="BA16" s="158"/>
      <c r="BB16" s="158"/>
      <c r="BC16" s="1301">
        <v>4562</v>
      </c>
      <c r="BD16" s="158">
        <v>4395</v>
      </c>
      <c r="BE16" s="158">
        <f t="shared" si="22"/>
        <v>4737</v>
      </c>
      <c r="BF16" s="158">
        <v>5043</v>
      </c>
      <c r="BG16" s="695">
        <f t="shared" si="169"/>
        <v>4835</v>
      </c>
      <c r="BH16" s="158">
        <v>4737</v>
      </c>
      <c r="BI16" s="158">
        <f t="shared" si="170"/>
        <v>4835</v>
      </c>
      <c r="BJ16" s="1301">
        <v>4835</v>
      </c>
      <c r="BK16" s="158">
        <v>5381</v>
      </c>
      <c r="BL16" s="158">
        <f t="shared" si="25"/>
        <v>5006</v>
      </c>
      <c r="BM16" s="158">
        <v>6309</v>
      </c>
      <c r="BN16" s="695">
        <f t="shared" si="171"/>
        <v>5008</v>
      </c>
      <c r="BO16" s="158">
        <v>5006</v>
      </c>
      <c r="BP16" s="158">
        <f t="shared" si="172"/>
        <v>5008</v>
      </c>
      <c r="BQ16" s="1301">
        <v>5008</v>
      </c>
      <c r="BR16" s="158">
        <v>5735</v>
      </c>
      <c r="BS16" s="158">
        <f t="shared" si="28"/>
        <v>5997</v>
      </c>
      <c r="BT16" s="158">
        <v>5475</v>
      </c>
      <c r="BU16" s="695">
        <f t="shared" si="173"/>
        <v>4023</v>
      </c>
      <c r="BV16" s="158">
        <v>5997</v>
      </c>
      <c r="BW16" s="158">
        <f t="shared" si="174"/>
        <v>4023</v>
      </c>
      <c r="BX16" s="1301">
        <v>4023</v>
      </c>
      <c r="BY16" s="158">
        <v>4498</v>
      </c>
      <c r="BZ16" s="158">
        <f t="shared" si="31"/>
        <v>4194</v>
      </c>
      <c r="CA16" s="158">
        <v>4735</v>
      </c>
      <c r="CB16" s="695">
        <f t="shared" si="175"/>
        <v>4323</v>
      </c>
      <c r="CC16" s="158">
        <v>4194</v>
      </c>
      <c r="CD16" s="158">
        <f t="shared" si="176"/>
        <v>4323</v>
      </c>
      <c r="CE16" s="1301">
        <v>4323</v>
      </c>
      <c r="CF16" s="158">
        <v>4231</v>
      </c>
      <c r="CG16" s="158">
        <f t="shared" si="34"/>
        <v>4994</v>
      </c>
      <c r="CH16" s="158">
        <v>6904</v>
      </c>
      <c r="CI16" s="695">
        <f t="shared" si="177"/>
        <v>4683</v>
      </c>
      <c r="CJ16" s="158">
        <v>4994</v>
      </c>
      <c r="CK16" s="158">
        <f t="shared" si="178"/>
        <v>4683</v>
      </c>
      <c r="CL16" s="1301">
        <v>4683</v>
      </c>
      <c r="CM16" s="158">
        <v>4358</v>
      </c>
      <c r="CN16" s="158">
        <f t="shared" si="37"/>
        <v>3731</v>
      </c>
      <c r="CO16" s="158">
        <v>4890</v>
      </c>
      <c r="CP16" s="695">
        <f t="shared" si="179"/>
        <v>3448</v>
      </c>
      <c r="CQ16" s="158">
        <v>3731</v>
      </c>
      <c r="CR16" s="158">
        <f t="shared" si="180"/>
        <v>3448</v>
      </c>
      <c r="CS16" s="1301">
        <v>3448</v>
      </c>
      <c r="CT16" s="158">
        <v>3374</v>
      </c>
      <c r="CU16" s="158">
        <f t="shared" si="40"/>
        <v>3806</v>
      </c>
      <c r="CV16" s="158">
        <v>3440</v>
      </c>
      <c r="CW16" s="695">
        <f t="shared" si="181"/>
        <v>3505</v>
      </c>
      <c r="CX16" s="158">
        <v>3806</v>
      </c>
      <c r="CY16" s="158">
        <f t="shared" si="182"/>
        <v>3505</v>
      </c>
      <c r="CZ16" s="1301">
        <v>3505</v>
      </c>
      <c r="DA16" s="158">
        <v>2968</v>
      </c>
      <c r="DB16" s="158">
        <f t="shared" si="43"/>
        <v>1666</v>
      </c>
      <c r="DC16" s="158">
        <v>1206</v>
      </c>
      <c r="DD16" s="695">
        <f t="shared" si="183"/>
        <v>1808</v>
      </c>
      <c r="DE16" s="2097">
        <v>1666</v>
      </c>
      <c r="DF16" s="158">
        <f t="shared" si="184"/>
        <v>1808</v>
      </c>
      <c r="DG16" s="1364">
        <v>1808</v>
      </c>
      <c r="DH16" s="818">
        <v>2000</v>
      </c>
      <c r="DI16" s="158">
        <f t="shared" si="46"/>
        <v>2206</v>
      </c>
      <c r="DJ16" s="819">
        <f>+DI16</f>
        <v>2206</v>
      </c>
      <c r="DK16" s="453">
        <f t="shared" si="186"/>
        <v>1808</v>
      </c>
      <c r="DL16" s="2006">
        <v>2206</v>
      </c>
      <c r="DM16" s="327">
        <f t="shared" si="187"/>
        <v>1808</v>
      </c>
      <c r="DN16" s="1544">
        <f>+DG16</f>
        <v>1808</v>
      </c>
      <c r="DO16" s="819">
        <f>+DN16</f>
        <v>1808</v>
      </c>
      <c r="DP16" s="327">
        <f t="shared" si="189"/>
        <v>1808</v>
      </c>
      <c r="DQ16" s="819">
        <f>+DP16</f>
        <v>1808</v>
      </c>
      <c r="DR16" s="453">
        <f t="shared" si="191"/>
        <v>1808</v>
      </c>
      <c r="DS16" s="819">
        <f>+DN16</f>
        <v>1808</v>
      </c>
      <c r="DT16" s="327">
        <f t="shared" si="193"/>
        <v>1808</v>
      </c>
      <c r="DU16" s="1544">
        <f>+DN16</f>
        <v>1808</v>
      </c>
      <c r="DV16" s="819">
        <f>+DU16</f>
        <v>1808</v>
      </c>
      <c r="DW16" s="327">
        <f t="shared" si="194"/>
        <v>1808</v>
      </c>
      <c r="DX16" s="819">
        <f>+DW16</f>
        <v>1808</v>
      </c>
      <c r="DY16" s="453">
        <f t="shared" si="196"/>
        <v>1808</v>
      </c>
      <c r="DZ16" s="819">
        <f>+DU16</f>
        <v>1808</v>
      </c>
      <c r="EA16" s="327">
        <f t="shared" si="198"/>
        <v>1808</v>
      </c>
      <c r="EB16" s="1544">
        <f>+DU16</f>
        <v>1808</v>
      </c>
      <c r="EC16" s="819">
        <f>+EB16</f>
        <v>1808</v>
      </c>
      <c r="ED16" s="327">
        <f t="shared" si="199"/>
        <v>1808</v>
      </c>
      <c r="EE16" s="819">
        <f>+ED16</f>
        <v>1808</v>
      </c>
      <c r="EF16" s="453">
        <f t="shared" si="201"/>
        <v>1808</v>
      </c>
      <c r="EG16" s="819">
        <f>+EB16</f>
        <v>1808</v>
      </c>
      <c r="EH16" s="327">
        <f t="shared" si="203"/>
        <v>1808</v>
      </c>
      <c r="EI16" s="1544">
        <f>+EB16</f>
        <v>1808</v>
      </c>
      <c r="EJ16" s="819">
        <f>+EI16</f>
        <v>1808</v>
      </c>
      <c r="EK16" s="327">
        <f t="shared" si="204"/>
        <v>1808</v>
      </c>
      <c r="EL16" s="819">
        <f>+EK16</f>
        <v>1808</v>
      </c>
      <c r="EM16" s="453">
        <f t="shared" si="206"/>
        <v>1808</v>
      </c>
      <c r="EN16" s="819">
        <f>+EI16</f>
        <v>1808</v>
      </c>
      <c r="EO16" s="327">
        <f t="shared" si="208"/>
        <v>1808</v>
      </c>
      <c r="EP16" s="1544">
        <f t="shared" ref="EP16" si="219">+EI16</f>
        <v>1808</v>
      </c>
      <c r="EQ16" s="303"/>
      <c r="ER16" s="46"/>
    </row>
    <row r="17" spans="1:148" ht="10.199999999999999" customHeight="1">
      <c r="A17" s="108" t="s">
        <v>74</v>
      </c>
      <c r="B17" s="158">
        <v>745</v>
      </c>
      <c r="C17" s="158">
        <v>965</v>
      </c>
      <c r="D17" s="158">
        <v>951</v>
      </c>
      <c r="E17" s="158">
        <v>560</v>
      </c>
      <c r="F17" s="158">
        <v>526</v>
      </c>
      <c r="G17" s="158">
        <v>683</v>
      </c>
      <c r="H17" s="158">
        <v>808</v>
      </c>
      <c r="I17" s="158">
        <v>849</v>
      </c>
      <c r="J17" s="158">
        <v>894</v>
      </c>
      <c r="K17" s="158">
        <v>887</v>
      </c>
      <c r="L17" s="158">
        <v>1050</v>
      </c>
      <c r="M17" s="158">
        <v>1223</v>
      </c>
      <c r="N17" s="158"/>
      <c r="O17" s="158"/>
      <c r="P17" s="158"/>
      <c r="Q17" s="695"/>
      <c r="R17" s="158"/>
      <c r="S17" s="158"/>
      <c r="T17" s="1301">
        <v>1480</v>
      </c>
      <c r="U17" s="158">
        <f>T17</f>
        <v>1480</v>
      </c>
      <c r="V17" s="158">
        <f t="shared" si="10"/>
        <v>1480</v>
      </c>
      <c r="W17" s="158">
        <f>V17</f>
        <v>1480</v>
      </c>
      <c r="X17" s="695">
        <f t="shared" si="161"/>
        <v>1603</v>
      </c>
      <c r="Y17" s="158">
        <f>T17</f>
        <v>1480</v>
      </c>
      <c r="Z17" s="158">
        <f t="shared" si="162"/>
        <v>1603</v>
      </c>
      <c r="AA17" s="1301">
        <v>1603</v>
      </c>
      <c r="AB17" s="158">
        <f>AA17</f>
        <v>1603</v>
      </c>
      <c r="AC17" s="158">
        <f t="shared" si="13"/>
        <v>2332</v>
      </c>
      <c r="AD17" s="158">
        <f>2591-AD8</f>
        <v>2104</v>
      </c>
      <c r="AE17" s="695">
        <f t="shared" si="163"/>
        <v>2051</v>
      </c>
      <c r="AF17" s="158">
        <f>2819-AF8</f>
        <v>2332</v>
      </c>
      <c r="AG17" s="158">
        <f t="shared" si="164"/>
        <v>2051</v>
      </c>
      <c r="AH17" s="1301">
        <v>2051</v>
      </c>
      <c r="AI17" s="158">
        <v>2130</v>
      </c>
      <c r="AJ17" s="158">
        <f t="shared" si="16"/>
        <v>2144</v>
      </c>
      <c r="AK17" s="158">
        <v>2185</v>
      </c>
      <c r="AL17" s="695">
        <f t="shared" si="165"/>
        <v>2265</v>
      </c>
      <c r="AM17" s="158">
        <v>2144</v>
      </c>
      <c r="AN17" s="158">
        <f t="shared" si="166"/>
        <v>2265</v>
      </c>
      <c r="AO17" s="1301">
        <v>2265</v>
      </c>
      <c r="AP17" s="158">
        <v>2279</v>
      </c>
      <c r="AQ17" s="158">
        <f t="shared" si="19"/>
        <v>2291</v>
      </c>
      <c r="AR17" s="158">
        <v>2222</v>
      </c>
      <c r="AS17" s="695">
        <f t="shared" si="167"/>
        <v>2210</v>
      </c>
      <c r="AT17" s="158">
        <v>2291</v>
      </c>
      <c r="AU17" s="158">
        <f t="shared" si="168"/>
        <v>2210</v>
      </c>
      <c r="AV17" s="1301">
        <v>2210</v>
      </c>
      <c r="AW17" s="158"/>
      <c r="AX17" s="158"/>
      <c r="AY17" s="158"/>
      <c r="AZ17" s="695"/>
      <c r="BA17" s="158"/>
      <c r="BB17" s="158"/>
      <c r="BC17" s="1301">
        <v>15</v>
      </c>
      <c r="BD17" s="158">
        <v>18</v>
      </c>
      <c r="BE17" s="158">
        <f t="shared" si="22"/>
        <v>28</v>
      </c>
      <c r="BF17" s="158">
        <v>31</v>
      </c>
      <c r="BG17" s="695">
        <f t="shared" si="169"/>
        <v>33</v>
      </c>
      <c r="BH17" s="158">
        <v>28</v>
      </c>
      <c r="BI17" s="158">
        <f t="shared" si="170"/>
        <v>33</v>
      </c>
      <c r="BJ17" s="1301">
        <v>33</v>
      </c>
      <c r="BK17" s="158">
        <v>30</v>
      </c>
      <c r="BL17" s="158">
        <f t="shared" si="25"/>
        <v>28</v>
      </c>
      <c r="BM17" s="158">
        <v>33</v>
      </c>
      <c r="BN17" s="695">
        <f t="shared" si="171"/>
        <v>86</v>
      </c>
      <c r="BO17" s="158">
        <v>28</v>
      </c>
      <c r="BP17" s="158">
        <f t="shared" si="172"/>
        <v>86</v>
      </c>
      <c r="BQ17" s="1301">
        <v>86</v>
      </c>
      <c r="BR17" s="158">
        <v>84</v>
      </c>
      <c r="BS17" s="158">
        <f t="shared" si="28"/>
        <v>77</v>
      </c>
      <c r="BT17" s="158">
        <v>74</v>
      </c>
      <c r="BU17" s="695">
        <f t="shared" si="173"/>
        <v>76</v>
      </c>
      <c r="BV17" s="158">
        <v>77</v>
      </c>
      <c r="BW17" s="158">
        <f t="shared" si="174"/>
        <v>76</v>
      </c>
      <c r="BX17" s="1301">
        <v>76</v>
      </c>
      <c r="BY17" s="158">
        <v>109</v>
      </c>
      <c r="BZ17" s="158">
        <f t="shared" si="31"/>
        <v>102</v>
      </c>
      <c r="CA17" s="158">
        <v>117</v>
      </c>
      <c r="CB17" s="695">
        <f t="shared" si="175"/>
        <v>116</v>
      </c>
      <c r="CC17" s="158">
        <v>102</v>
      </c>
      <c r="CD17" s="158">
        <f t="shared" si="176"/>
        <v>116</v>
      </c>
      <c r="CE17" s="1301">
        <v>116</v>
      </c>
      <c r="CF17" s="158">
        <v>139</v>
      </c>
      <c r="CG17" s="158">
        <f t="shared" si="34"/>
        <v>177</v>
      </c>
      <c r="CH17" s="158">
        <v>154</v>
      </c>
      <c r="CI17" s="695">
        <f t="shared" si="177"/>
        <v>149</v>
      </c>
      <c r="CJ17" s="158">
        <v>177</v>
      </c>
      <c r="CK17" s="158">
        <f t="shared" si="178"/>
        <v>149</v>
      </c>
      <c r="CL17" s="1301">
        <v>149</v>
      </c>
      <c r="CM17" s="158">
        <v>199</v>
      </c>
      <c r="CN17" s="158">
        <f t="shared" si="37"/>
        <v>184</v>
      </c>
      <c r="CO17" s="158">
        <v>141</v>
      </c>
      <c r="CP17" s="695">
        <f t="shared" si="179"/>
        <v>129</v>
      </c>
      <c r="CQ17" s="158">
        <v>184</v>
      </c>
      <c r="CR17" s="158">
        <f t="shared" si="180"/>
        <v>129</v>
      </c>
      <c r="CS17" s="1301">
        <v>129</v>
      </c>
      <c r="CT17" s="158">
        <v>46</v>
      </c>
      <c r="CU17" s="158">
        <f t="shared" si="40"/>
        <v>50</v>
      </c>
      <c r="CV17" s="158">
        <v>48</v>
      </c>
      <c r="CW17" s="695">
        <f t="shared" si="181"/>
        <v>80</v>
      </c>
      <c r="CX17" s="158">
        <v>50</v>
      </c>
      <c r="CY17" s="158">
        <f t="shared" si="182"/>
        <v>80</v>
      </c>
      <c r="CZ17" s="1301">
        <v>80</v>
      </c>
      <c r="DA17" s="158">
        <v>79</v>
      </c>
      <c r="DB17" s="158">
        <f t="shared" si="43"/>
        <v>78</v>
      </c>
      <c r="DC17" s="158">
        <v>89</v>
      </c>
      <c r="DD17" s="695">
        <f t="shared" si="183"/>
        <v>46</v>
      </c>
      <c r="DE17" s="2097">
        <v>78</v>
      </c>
      <c r="DF17" s="158">
        <f t="shared" si="184"/>
        <v>46</v>
      </c>
      <c r="DG17" s="1364">
        <v>46</v>
      </c>
      <c r="DH17" s="818">
        <v>47</v>
      </c>
      <c r="DI17" s="158">
        <f t="shared" si="46"/>
        <v>47</v>
      </c>
      <c r="DJ17" s="819">
        <f>DI17</f>
        <v>47</v>
      </c>
      <c r="DK17" s="453">
        <f t="shared" si="186"/>
        <v>46</v>
      </c>
      <c r="DL17" s="2006">
        <v>47</v>
      </c>
      <c r="DM17" s="327">
        <f t="shared" si="187"/>
        <v>46</v>
      </c>
      <c r="DN17" s="1544">
        <f>DG17</f>
        <v>46</v>
      </c>
      <c r="DO17" s="819">
        <f>DN17</f>
        <v>46</v>
      </c>
      <c r="DP17" s="327">
        <f t="shared" si="189"/>
        <v>46</v>
      </c>
      <c r="DQ17" s="819">
        <f>DP17</f>
        <v>46</v>
      </c>
      <c r="DR17" s="453">
        <f t="shared" si="191"/>
        <v>46</v>
      </c>
      <c r="DS17" s="819">
        <f>DN17</f>
        <v>46</v>
      </c>
      <c r="DT17" s="327">
        <f t="shared" si="193"/>
        <v>46</v>
      </c>
      <c r="DU17" s="1544">
        <f>DN17</f>
        <v>46</v>
      </c>
      <c r="DV17" s="819">
        <f>DU17</f>
        <v>46</v>
      </c>
      <c r="DW17" s="327">
        <f t="shared" si="194"/>
        <v>46</v>
      </c>
      <c r="DX17" s="819">
        <f>DW17</f>
        <v>46</v>
      </c>
      <c r="DY17" s="453">
        <f t="shared" si="196"/>
        <v>46</v>
      </c>
      <c r="DZ17" s="819">
        <f>DU17</f>
        <v>46</v>
      </c>
      <c r="EA17" s="327">
        <f t="shared" si="198"/>
        <v>46</v>
      </c>
      <c r="EB17" s="1544">
        <f>DU17</f>
        <v>46</v>
      </c>
      <c r="EC17" s="819">
        <f>EB17</f>
        <v>46</v>
      </c>
      <c r="ED17" s="327">
        <f t="shared" si="199"/>
        <v>46</v>
      </c>
      <c r="EE17" s="819">
        <f>ED17</f>
        <v>46</v>
      </c>
      <c r="EF17" s="453">
        <f t="shared" si="201"/>
        <v>46</v>
      </c>
      <c r="EG17" s="819">
        <f>EB17</f>
        <v>46</v>
      </c>
      <c r="EH17" s="327">
        <f t="shared" si="203"/>
        <v>46</v>
      </c>
      <c r="EI17" s="1544">
        <f>EB17</f>
        <v>46</v>
      </c>
      <c r="EJ17" s="819">
        <f>EI17</f>
        <v>46</v>
      </c>
      <c r="EK17" s="327">
        <f t="shared" si="204"/>
        <v>46</v>
      </c>
      <c r="EL17" s="819">
        <f>EK17</f>
        <v>46</v>
      </c>
      <c r="EM17" s="453">
        <f t="shared" si="206"/>
        <v>46</v>
      </c>
      <c r="EN17" s="819">
        <f>EI17</f>
        <v>46</v>
      </c>
      <c r="EO17" s="327">
        <f t="shared" si="208"/>
        <v>46</v>
      </c>
      <c r="EP17" s="1544">
        <f t="shared" ref="EP17" si="220">EI17</f>
        <v>46</v>
      </c>
      <c r="EQ17" s="303"/>
      <c r="ER17" s="46"/>
    </row>
    <row r="18" spans="1:148" ht="10.199999999999999" customHeight="1">
      <c r="A18" s="43" t="s">
        <v>258</v>
      </c>
      <c r="B18" s="133">
        <v>0</v>
      </c>
      <c r="C18" s="133">
        <v>0</v>
      </c>
      <c r="D18" s="133">
        <v>0</v>
      </c>
      <c r="E18" s="158">
        <v>466</v>
      </c>
      <c r="F18" s="158">
        <v>1011</v>
      </c>
      <c r="G18" s="158">
        <v>1294</v>
      </c>
      <c r="H18" s="158">
        <v>2691</v>
      </c>
      <c r="I18" s="158">
        <v>3040</v>
      </c>
      <c r="J18" s="158">
        <v>3983</v>
      </c>
      <c r="K18" s="158">
        <v>5332</v>
      </c>
      <c r="L18" s="158">
        <v>7229</v>
      </c>
      <c r="M18" s="158">
        <v>5987</v>
      </c>
      <c r="N18" s="158"/>
      <c r="O18" s="158"/>
      <c r="P18" s="158"/>
      <c r="Q18" s="695"/>
      <c r="R18" s="158"/>
      <c r="S18" s="158"/>
      <c r="T18" s="1301">
        <v>4298</v>
      </c>
      <c r="U18" s="158">
        <v>4877</v>
      </c>
      <c r="V18" s="158">
        <f t="shared" si="10"/>
        <v>5364</v>
      </c>
      <c r="W18" s="158">
        <v>5061</v>
      </c>
      <c r="X18" s="695">
        <f t="shared" si="161"/>
        <v>5989</v>
      </c>
      <c r="Y18" s="158">
        <v>5364</v>
      </c>
      <c r="Z18" s="158">
        <f t="shared" si="162"/>
        <v>5989</v>
      </c>
      <c r="AA18" s="1301">
        <v>5989</v>
      </c>
      <c r="AB18" s="158">
        <v>7105</v>
      </c>
      <c r="AC18" s="158">
        <f t="shared" si="13"/>
        <v>8674</v>
      </c>
      <c r="AD18" s="158">
        <v>9577</v>
      </c>
      <c r="AE18" s="695">
        <f t="shared" si="163"/>
        <v>9851</v>
      </c>
      <c r="AF18" s="158">
        <v>8674</v>
      </c>
      <c r="AG18" s="158">
        <f t="shared" si="164"/>
        <v>9851</v>
      </c>
      <c r="AH18" s="1301">
        <v>9851</v>
      </c>
      <c r="AI18" s="158">
        <v>9621</v>
      </c>
      <c r="AJ18" s="158">
        <f t="shared" si="16"/>
        <v>9703</v>
      </c>
      <c r="AK18" s="158">
        <v>9660</v>
      </c>
      <c r="AL18" s="695">
        <f t="shared" si="165"/>
        <v>9897</v>
      </c>
      <c r="AM18" s="158">
        <v>9703</v>
      </c>
      <c r="AN18" s="158">
        <f t="shared" si="166"/>
        <v>9897</v>
      </c>
      <c r="AO18" s="1301">
        <v>9897</v>
      </c>
      <c r="AP18" s="158">
        <v>9804</v>
      </c>
      <c r="AQ18" s="158">
        <f t="shared" si="19"/>
        <v>10091</v>
      </c>
      <c r="AR18" s="158">
        <v>10071</v>
      </c>
      <c r="AS18" s="695">
        <f t="shared" si="167"/>
        <v>10944</v>
      </c>
      <c r="AT18" s="158">
        <v>10091</v>
      </c>
      <c r="AU18" s="158">
        <f t="shared" si="168"/>
        <v>10944</v>
      </c>
      <c r="AV18" s="1301">
        <v>10944</v>
      </c>
      <c r="AW18" s="158"/>
      <c r="AX18" s="158"/>
      <c r="AY18" s="158"/>
      <c r="AZ18" s="695"/>
      <c r="BA18" s="158"/>
      <c r="BB18" s="158"/>
      <c r="BC18" s="1301">
        <v>10944</v>
      </c>
      <c r="BD18" s="158">
        <v>10755</v>
      </c>
      <c r="BE18" s="158">
        <f t="shared" si="22"/>
        <v>10551</v>
      </c>
      <c r="BF18" s="158">
        <v>10321</v>
      </c>
      <c r="BG18" s="695">
        <f t="shared" si="169"/>
        <v>10662</v>
      </c>
      <c r="BH18" s="158">
        <v>10551</v>
      </c>
      <c r="BI18" s="158">
        <f t="shared" si="170"/>
        <v>10662</v>
      </c>
      <c r="BJ18" s="1301">
        <v>10662</v>
      </c>
      <c r="BK18" s="158">
        <v>10073</v>
      </c>
      <c r="BL18" s="158">
        <f t="shared" si="25"/>
        <v>10720</v>
      </c>
      <c r="BM18" s="158">
        <v>10937</v>
      </c>
      <c r="BN18" s="695">
        <f t="shared" si="171"/>
        <v>11066</v>
      </c>
      <c r="BO18" s="158">
        <v>10720</v>
      </c>
      <c r="BP18" s="158">
        <f t="shared" si="172"/>
        <v>11066</v>
      </c>
      <c r="BQ18" s="1301">
        <v>11066</v>
      </c>
      <c r="BR18" s="158">
        <v>10407</v>
      </c>
      <c r="BS18" s="158">
        <f t="shared" si="28"/>
        <v>5973</v>
      </c>
      <c r="BT18" s="158">
        <v>5514</v>
      </c>
      <c r="BU18" s="695">
        <f t="shared" si="173"/>
        <v>5350</v>
      </c>
      <c r="BV18" s="158">
        <v>5973</v>
      </c>
      <c r="BW18" s="158">
        <f t="shared" si="174"/>
        <v>5350</v>
      </c>
      <c r="BX18" s="1301">
        <v>5350</v>
      </c>
      <c r="BY18" s="158">
        <v>5121</v>
      </c>
      <c r="BZ18" s="158">
        <f t="shared" si="31"/>
        <v>5173</v>
      </c>
      <c r="CA18" s="158">
        <v>5502</v>
      </c>
      <c r="CB18" s="695">
        <f t="shared" si="175"/>
        <v>6794</v>
      </c>
      <c r="CC18" s="158">
        <v>5173</v>
      </c>
      <c r="CD18" s="158">
        <f t="shared" si="176"/>
        <v>6794</v>
      </c>
      <c r="CE18" s="1301">
        <v>6794</v>
      </c>
      <c r="CF18" s="158">
        <v>6648</v>
      </c>
      <c r="CG18" s="158">
        <f t="shared" si="34"/>
        <v>6339</v>
      </c>
      <c r="CH18" s="158">
        <v>6544</v>
      </c>
      <c r="CI18" s="695">
        <f t="shared" si="177"/>
        <v>6013</v>
      </c>
      <c r="CJ18" s="158">
        <v>6339</v>
      </c>
      <c r="CK18" s="158">
        <f t="shared" si="178"/>
        <v>6013</v>
      </c>
      <c r="CL18" s="1301">
        <v>6013</v>
      </c>
      <c r="CM18" s="158">
        <v>6236</v>
      </c>
      <c r="CN18" s="158">
        <f t="shared" si="37"/>
        <v>6850</v>
      </c>
      <c r="CO18" s="158">
        <v>7272</v>
      </c>
      <c r="CP18" s="695">
        <f t="shared" si="179"/>
        <v>7508</v>
      </c>
      <c r="CQ18" s="158">
        <v>6850</v>
      </c>
      <c r="CR18" s="158">
        <f t="shared" si="180"/>
        <v>7508</v>
      </c>
      <c r="CS18" s="1301">
        <v>7508</v>
      </c>
      <c r="CT18" s="158">
        <v>7964</v>
      </c>
      <c r="CU18" s="158">
        <f t="shared" si="40"/>
        <v>8492</v>
      </c>
      <c r="CV18" s="158">
        <v>9150</v>
      </c>
      <c r="CW18" s="695">
        <f t="shared" si="181"/>
        <v>9032</v>
      </c>
      <c r="CX18" s="158">
        <v>8492</v>
      </c>
      <c r="CY18" s="158">
        <f t="shared" si="182"/>
        <v>9032</v>
      </c>
      <c r="CZ18" s="1301">
        <v>9032</v>
      </c>
      <c r="DA18" s="158">
        <v>9459</v>
      </c>
      <c r="DB18" s="158">
        <f t="shared" si="43"/>
        <v>9903</v>
      </c>
      <c r="DC18" s="158">
        <v>10079</v>
      </c>
      <c r="DD18" s="695">
        <f t="shared" si="183"/>
        <v>9997</v>
      </c>
      <c r="DE18" s="2097">
        <v>9903</v>
      </c>
      <c r="DF18" s="158">
        <f t="shared" si="184"/>
        <v>9997</v>
      </c>
      <c r="DG18" s="1364">
        <v>9997</v>
      </c>
      <c r="DH18" s="818">
        <v>10366</v>
      </c>
      <c r="DI18" s="158">
        <f t="shared" si="46"/>
        <v>11082</v>
      </c>
      <c r="DJ18" s="819">
        <f>DI18-CFS!DJ28</f>
        <v>11082</v>
      </c>
      <c r="DK18" s="453">
        <f t="shared" si="186"/>
        <v>10718</v>
      </c>
      <c r="DL18" s="2006">
        <v>11082</v>
      </c>
      <c r="DM18" s="327">
        <f t="shared" si="187"/>
        <v>10718</v>
      </c>
      <c r="DN18" s="1544">
        <f>DG18-CFS!DN28</f>
        <v>10718</v>
      </c>
      <c r="DO18" s="819">
        <f>DN18-CFS!DO28</f>
        <v>10718</v>
      </c>
      <c r="DP18" s="327">
        <f t="shared" si="189"/>
        <v>10718</v>
      </c>
      <c r="DQ18" s="819">
        <f>DP18-CFS!DQ28</f>
        <v>10718</v>
      </c>
      <c r="DR18" s="453">
        <f t="shared" si="191"/>
        <v>10718</v>
      </c>
      <c r="DS18" s="819">
        <f>DN18-CFS!DS28</f>
        <v>10718</v>
      </c>
      <c r="DT18" s="327">
        <f t="shared" si="193"/>
        <v>10718</v>
      </c>
      <c r="DU18" s="1544">
        <f>DN18-CFS!DU28</f>
        <v>10718</v>
      </c>
      <c r="DV18" s="819">
        <f>DU18-CFS!DV28</f>
        <v>10718</v>
      </c>
      <c r="DW18" s="327">
        <f t="shared" si="194"/>
        <v>10718</v>
      </c>
      <c r="DX18" s="819">
        <f>DW18-CFS!DX28</f>
        <v>10718</v>
      </c>
      <c r="DY18" s="453">
        <f t="shared" si="196"/>
        <v>10718</v>
      </c>
      <c r="DZ18" s="819">
        <f>DU18-CFS!DZ28</f>
        <v>10718</v>
      </c>
      <c r="EA18" s="327">
        <f t="shared" si="198"/>
        <v>10718</v>
      </c>
      <c r="EB18" s="1544">
        <f>DU18-CFS!EB28</f>
        <v>10718</v>
      </c>
      <c r="EC18" s="819">
        <f>EB18-CFS!EC28</f>
        <v>10718</v>
      </c>
      <c r="ED18" s="327">
        <f t="shared" si="199"/>
        <v>10718</v>
      </c>
      <c r="EE18" s="819">
        <f>ED18-CFS!EE28</f>
        <v>10718</v>
      </c>
      <c r="EF18" s="453">
        <f t="shared" si="201"/>
        <v>10718</v>
      </c>
      <c r="EG18" s="819">
        <f>EB18-CFS!EG28</f>
        <v>10718</v>
      </c>
      <c r="EH18" s="327">
        <f t="shared" si="203"/>
        <v>10718</v>
      </c>
      <c r="EI18" s="1544">
        <f>EB18-CFS!EI28</f>
        <v>10718</v>
      </c>
      <c r="EJ18" s="819">
        <f>EI18-CFS!EJ28</f>
        <v>10718</v>
      </c>
      <c r="EK18" s="327">
        <f t="shared" si="204"/>
        <v>10718</v>
      </c>
      <c r="EL18" s="819">
        <f>EK18-CFS!EL28</f>
        <v>10718</v>
      </c>
      <c r="EM18" s="453">
        <f t="shared" si="206"/>
        <v>10718</v>
      </c>
      <c r="EN18" s="819">
        <f>EI18-CFS!EN28</f>
        <v>10718</v>
      </c>
      <c r="EO18" s="327">
        <f t="shared" si="208"/>
        <v>10718</v>
      </c>
      <c r="EP18" s="1544">
        <f>EI18-CFS!EP28</f>
        <v>10718</v>
      </c>
      <c r="EQ18" s="303"/>
      <c r="ER18" s="46"/>
    </row>
    <row r="19" spans="1:148" ht="10.199999999999999" customHeight="1">
      <c r="A19" s="43" t="s">
        <v>259</v>
      </c>
      <c r="B19" s="158">
        <v>2018</v>
      </c>
      <c r="C19" s="158">
        <v>1586</v>
      </c>
      <c r="D19" s="158">
        <v>1929</v>
      </c>
      <c r="E19" s="158">
        <v>2110</v>
      </c>
      <c r="F19" s="158">
        <v>1938</v>
      </c>
      <c r="G19" s="158">
        <v>1666</v>
      </c>
      <c r="H19" s="158">
        <v>1553</v>
      </c>
      <c r="I19" s="158">
        <f>1712+1612</f>
        <v>3324</v>
      </c>
      <c r="J19" s="158">
        <f>2210+1607</f>
        <v>3817</v>
      </c>
      <c r="K19" s="158">
        <f>2386+871</f>
        <v>3257</v>
      </c>
      <c r="L19" s="158">
        <f>2352+631</f>
        <v>2983</v>
      </c>
      <c r="M19" s="158">
        <f>2114+1386</f>
        <v>3500</v>
      </c>
      <c r="N19" s="158"/>
      <c r="O19" s="158"/>
      <c r="P19" s="158"/>
      <c r="Q19" s="695"/>
      <c r="R19" s="158"/>
      <c r="S19" s="158"/>
      <c r="T19" s="1301">
        <f>1756+1993</f>
        <v>3749</v>
      </c>
      <c r="U19" s="158">
        <f>1727+1949</f>
        <v>3676</v>
      </c>
      <c r="V19" s="158">
        <f t="shared" si="10"/>
        <v>3375</v>
      </c>
      <c r="W19" s="158">
        <f>1523+440</f>
        <v>1963</v>
      </c>
      <c r="X19" s="695">
        <f t="shared" si="161"/>
        <v>2271</v>
      </c>
      <c r="Y19" s="158">
        <f>1723+1652</f>
        <v>3375</v>
      </c>
      <c r="Z19" s="158">
        <f t="shared" si="162"/>
        <v>2271</v>
      </c>
      <c r="AA19" s="1301">
        <f>1769+502</f>
        <v>2271</v>
      </c>
      <c r="AB19" s="158">
        <f>2225+1038</f>
        <v>3263</v>
      </c>
      <c r="AC19" s="158">
        <f t="shared" si="13"/>
        <v>3192</v>
      </c>
      <c r="AD19" s="158">
        <f>2341+977</f>
        <v>3318</v>
      </c>
      <c r="AE19" s="695">
        <f t="shared" si="163"/>
        <v>3423</v>
      </c>
      <c r="AF19" s="158">
        <f>2271+921</f>
        <v>3192</v>
      </c>
      <c r="AG19" s="158">
        <f t="shared" si="164"/>
        <v>3423</v>
      </c>
      <c r="AH19" s="1301">
        <f>2492+931</f>
        <v>3423</v>
      </c>
      <c r="AI19" s="158">
        <f>2735+1425</f>
        <v>4160</v>
      </c>
      <c r="AJ19" s="158">
        <f t="shared" si="16"/>
        <v>4415</v>
      </c>
      <c r="AK19" s="158">
        <f>3515+1030</f>
        <v>4545</v>
      </c>
      <c r="AL19" s="695">
        <f t="shared" si="165"/>
        <v>4548</v>
      </c>
      <c r="AM19" s="158">
        <f>3411+1004</f>
        <v>4415</v>
      </c>
      <c r="AN19" s="158">
        <f t="shared" si="166"/>
        <v>4548</v>
      </c>
      <c r="AO19" s="1301">
        <f>3655+893</f>
        <v>4548</v>
      </c>
      <c r="AP19" s="158">
        <f>4088+853</f>
        <v>4941</v>
      </c>
      <c r="AQ19" s="158">
        <f t="shared" si="19"/>
        <v>5643</v>
      </c>
      <c r="AR19" s="158">
        <f>4327+2470</f>
        <v>6797</v>
      </c>
      <c r="AS19" s="695">
        <f t="shared" si="167"/>
        <v>7105</v>
      </c>
      <c r="AT19" s="158">
        <f>4238+1405</f>
        <v>5643</v>
      </c>
      <c r="AU19" s="158">
        <f t="shared" si="168"/>
        <v>7105</v>
      </c>
      <c r="AV19" s="1301">
        <f>4204+2901</f>
        <v>7105</v>
      </c>
      <c r="AW19" s="158"/>
      <c r="AX19" s="158"/>
      <c r="AY19" s="158"/>
      <c r="AZ19" s="695"/>
      <c r="BA19" s="158"/>
      <c r="BB19" s="158"/>
      <c r="BC19" s="1301">
        <f>2980+4204</f>
        <v>7184</v>
      </c>
      <c r="BD19" s="158">
        <f>3876+4322</f>
        <v>8198</v>
      </c>
      <c r="BE19" s="158">
        <f t="shared" si="22"/>
        <v>5943</v>
      </c>
      <c r="BF19" s="158">
        <f>4228+1718</f>
        <v>5946</v>
      </c>
      <c r="BG19" s="695">
        <f t="shared" si="169"/>
        <v>4919</v>
      </c>
      <c r="BH19" s="158">
        <f>1634+4309</f>
        <v>5943</v>
      </c>
      <c r="BI19" s="158">
        <f t="shared" si="170"/>
        <v>4919</v>
      </c>
      <c r="BJ19" s="1301">
        <f>1108+3811</f>
        <v>4919</v>
      </c>
      <c r="BK19" s="158">
        <f>1015+4058</f>
        <v>5073</v>
      </c>
      <c r="BL19" s="158">
        <f t="shared" si="25"/>
        <v>5135</v>
      </c>
      <c r="BM19" s="158">
        <f>4335+1151</f>
        <v>5486</v>
      </c>
      <c r="BN19" s="695">
        <f t="shared" si="171"/>
        <v>5486</v>
      </c>
      <c r="BO19" s="158">
        <f>963+4172</f>
        <v>5135</v>
      </c>
      <c r="BP19" s="158">
        <f t="shared" si="172"/>
        <v>5486</v>
      </c>
      <c r="BQ19" s="1301">
        <f>1033+4453</f>
        <v>5486</v>
      </c>
      <c r="BR19" s="158">
        <f>938+3394</f>
        <v>4332</v>
      </c>
      <c r="BS19" s="158">
        <f t="shared" si="28"/>
        <v>4368</v>
      </c>
      <c r="BT19" s="158">
        <f>1332+3457</f>
        <v>4789</v>
      </c>
      <c r="BU19" s="695">
        <f t="shared" si="173"/>
        <v>7338</v>
      </c>
      <c r="BV19" s="158">
        <f>3550+818</f>
        <v>4368</v>
      </c>
      <c r="BW19" s="158">
        <f t="shared" si="174"/>
        <v>7338</v>
      </c>
      <c r="BX19" s="1301">
        <f>3855+3483</f>
        <v>7338</v>
      </c>
      <c r="BY19" s="158">
        <f>3935+1710</f>
        <v>5645</v>
      </c>
      <c r="BZ19" s="158">
        <f t="shared" si="31"/>
        <v>5607</v>
      </c>
      <c r="CA19" s="158">
        <f>3952+920</f>
        <v>4872</v>
      </c>
      <c r="CB19" s="695">
        <f t="shared" si="175"/>
        <v>4692</v>
      </c>
      <c r="CC19" s="158">
        <f>3935+1672</f>
        <v>5607</v>
      </c>
      <c r="CD19" s="158">
        <f t="shared" si="176"/>
        <v>4692</v>
      </c>
      <c r="CE19" s="1301">
        <f>4001+691</f>
        <v>4692</v>
      </c>
      <c r="CF19" s="158">
        <f>4235+569</f>
        <v>4804</v>
      </c>
      <c r="CG19" s="158">
        <f t="shared" si="34"/>
        <v>5088</v>
      </c>
      <c r="CH19" s="158">
        <f>3903+1428</f>
        <v>5331</v>
      </c>
      <c r="CI19" s="695">
        <f t="shared" si="177"/>
        <v>4971</v>
      </c>
      <c r="CJ19" s="158">
        <f>4163+925</f>
        <v>5088</v>
      </c>
      <c r="CK19" s="158">
        <f t="shared" si="178"/>
        <v>4971</v>
      </c>
      <c r="CL19" s="1301">
        <f>4190+781</f>
        <v>4971</v>
      </c>
      <c r="CM19" s="158">
        <f>4713+691</f>
        <v>5404</v>
      </c>
      <c r="CN19" s="158">
        <f t="shared" si="37"/>
        <v>5477</v>
      </c>
      <c r="CO19" s="158">
        <f>4635+671</f>
        <v>5306</v>
      </c>
      <c r="CP19" s="695">
        <f t="shared" si="179"/>
        <v>5641</v>
      </c>
      <c r="CQ19" s="158">
        <f>4780+697</f>
        <v>5477</v>
      </c>
      <c r="CR19" s="158">
        <f t="shared" si="180"/>
        <v>5641</v>
      </c>
      <c r="CS19" s="1301">
        <f>4719+922</f>
        <v>5641</v>
      </c>
      <c r="CT19" s="158">
        <f>4955+721</f>
        <v>5676</v>
      </c>
      <c r="CU19" s="158">
        <f t="shared" si="40"/>
        <v>5396</v>
      </c>
      <c r="CV19" s="158">
        <f>4748+997</f>
        <v>5745</v>
      </c>
      <c r="CW19" s="695">
        <f t="shared" si="181"/>
        <v>5774</v>
      </c>
      <c r="CX19" s="158">
        <f>4749+647</f>
        <v>5396</v>
      </c>
      <c r="CY19" s="158">
        <f t="shared" si="182"/>
        <v>5774</v>
      </c>
      <c r="CZ19" s="1301">
        <f>5077+697</f>
        <v>5774</v>
      </c>
      <c r="DA19" s="158">
        <f>5742+641</f>
        <v>6383</v>
      </c>
      <c r="DB19" s="158">
        <f t="shared" si="43"/>
        <v>6899</v>
      </c>
      <c r="DC19" s="158">
        <f>5239+1261</f>
        <v>6500</v>
      </c>
      <c r="DD19" s="695">
        <f t="shared" si="183"/>
        <v>6540</v>
      </c>
      <c r="DE19" s="2101">
        <f>5355+1544</f>
        <v>6899</v>
      </c>
      <c r="DF19" s="158">
        <f t="shared" si="184"/>
        <v>6540</v>
      </c>
      <c r="DG19" s="1364">
        <f>5470+1070</f>
        <v>6540</v>
      </c>
      <c r="DH19" s="818">
        <f>5613+654</f>
        <v>6267</v>
      </c>
      <c r="DI19" s="158">
        <f t="shared" si="46"/>
        <v>6214</v>
      </c>
      <c r="DJ19" s="819">
        <f>DI19-CFS!DJ24</f>
        <v>6214</v>
      </c>
      <c r="DK19" s="453">
        <f t="shared" si="186"/>
        <v>7058</v>
      </c>
      <c r="DL19" s="2006">
        <f>5691+523</f>
        <v>6214</v>
      </c>
      <c r="DM19" s="327">
        <f t="shared" si="187"/>
        <v>7058</v>
      </c>
      <c r="DN19" s="1544">
        <f>DG19-CFS!DN24</f>
        <v>7058</v>
      </c>
      <c r="DO19" s="819">
        <f>DN19-CFS!DO24</f>
        <v>7058</v>
      </c>
      <c r="DP19" s="327">
        <f t="shared" si="189"/>
        <v>7058</v>
      </c>
      <c r="DQ19" s="819">
        <f>DP19-CFS!DQ24</f>
        <v>7058</v>
      </c>
      <c r="DR19" s="453">
        <f t="shared" si="191"/>
        <v>7058</v>
      </c>
      <c r="DS19" s="819">
        <f>DN19-CFS!DS24</f>
        <v>7058</v>
      </c>
      <c r="DT19" s="327">
        <f t="shared" si="193"/>
        <v>7058</v>
      </c>
      <c r="DU19" s="1544">
        <f>DN19-CFS!DU24</f>
        <v>7058</v>
      </c>
      <c r="DV19" s="819">
        <f>DU19-CFS!DV24</f>
        <v>7058</v>
      </c>
      <c r="DW19" s="327">
        <f t="shared" si="194"/>
        <v>7058</v>
      </c>
      <c r="DX19" s="819">
        <f>DW19-CFS!DX24</f>
        <v>7058</v>
      </c>
      <c r="DY19" s="453">
        <f t="shared" si="196"/>
        <v>7058</v>
      </c>
      <c r="DZ19" s="819">
        <f>DU19-CFS!DZ24</f>
        <v>7058</v>
      </c>
      <c r="EA19" s="327">
        <f t="shared" si="198"/>
        <v>7058</v>
      </c>
      <c r="EB19" s="1544">
        <f>DU19-CFS!EB24</f>
        <v>7058</v>
      </c>
      <c r="EC19" s="819">
        <f>EB19-CFS!EC24</f>
        <v>7058</v>
      </c>
      <c r="ED19" s="327">
        <f t="shared" si="199"/>
        <v>7058</v>
      </c>
      <c r="EE19" s="819">
        <f>ED19-CFS!EE24</f>
        <v>7058</v>
      </c>
      <c r="EF19" s="453">
        <f t="shared" si="201"/>
        <v>7058</v>
      </c>
      <c r="EG19" s="819">
        <f>EB19-CFS!EG24</f>
        <v>7058</v>
      </c>
      <c r="EH19" s="327">
        <f t="shared" si="203"/>
        <v>7058</v>
      </c>
      <c r="EI19" s="1544">
        <f>EB19-CFS!EI24</f>
        <v>7058</v>
      </c>
      <c r="EJ19" s="819">
        <f>EI19-CFS!EJ24</f>
        <v>7058</v>
      </c>
      <c r="EK19" s="327">
        <f t="shared" si="204"/>
        <v>7058</v>
      </c>
      <c r="EL19" s="819">
        <f>EK19-CFS!EL24</f>
        <v>7058</v>
      </c>
      <c r="EM19" s="453">
        <f t="shared" si="206"/>
        <v>7058</v>
      </c>
      <c r="EN19" s="819">
        <f>EI19-CFS!EN24</f>
        <v>7058</v>
      </c>
      <c r="EO19" s="327">
        <f t="shared" si="208"/>
        <v>7058</v>
      </c>
      <c r="EP19" s="1544">
        <f>EI19-CFS!EP24</f>
        <v>7058</v>
      </c>
      <c r="EQ19" s="303"/>
      <c r="ER19" s="46"/>
    </row>
    <row r="20" spans="1:148" ht="10.199999999999999" customHeight="1">
      <c r="A20" s="43" t="s">
        <v>290</v>
      </c>
      <c r="B20" s="158">
        <v>1456</v>
      </c>
      <c r="C20" s="158">
        <v>810</v>
      </c>
      <c r="D20" s="158">
        <v>560</v>
      </c>
      <c r="E20" s="158">
        <f>6243+159</f>
        <v>6402</v>
      </c>
      <c r="F20" s="158">
        <f>2762+134</f>
        <v>2896</v>
      </c>
      <c r="G20" s="158">
        <f>3235+137</f>
        <v>3372</v>
      </c>
      <c r="H20" s="158">
        <f>2440+96</f>
        <v>2536</v>
      </c>
      <c r="I20" s="158">
        <v>87</v>
      </c>
      <c r="J20" s="158">
        <v>78</v>
      </c>
      <c r="K20" s="158">
        <v>77</v>
      </c>
      <c r="L20" s="158">
        <v>74</v>
      </c>
      <c r="M20" s="158">
        <v>72</v>
      </c>
      <c r="N20" s="158"/>
      <c r="O20" s="158"/>
      <c r="P20" s="158"/>
      <c r="Q20" s="695"/>
      <c r="R20" s="158"/>
      <c r="S20" s="158"/>
      <c r="T20" s="1301">
        <v>69</v>
      </c>
      <c r="U20" s="158">
        <f>T20</f>
        <v>69</v>
      </c>
      <c r="V20" s="158">
        <f t="shared" si="10"/>
        <v>69</v>
      </c>
      <c r="W20" s="158">
        <f>V20</f>
        <v>69</v>
      </c>
      <c r="X20" s="695">
        <f t="shared" si="161"/>
        <v>67</v>
      </c>
      <c r="Y20" s="158">
        <f>T20</f>
        <v>69</v>
      </c>
      <c r="Z20" s="158">
        <f t="shared" si="162"/>
        <v>67</v>
      </c>
      <c r="AA20" s="1301">
        <v>67</v>
      </c>
      <c r="AB20" s="158">
        <f>AA20</f>
        <v>67</v>
      </c>
      <c r="AC20" s="158">
        <f t="shared" si="13"/>
        <v>95</v>
      </c>
      <c r="AD20" s="158">
        <v>93</v>
      </c>
      <c r="AE20" s="695">
        <f t="shared" si="163"/>
        <v>66</v>
      </c>
      <c r="AF20" s="158">
        <v>95</v>
      </c>
      <c r="AG20" s="158">
        <f t="shared" si="164"/>
        <v>66</v>
      </c>
      <c r="AH20" s="1301">
        <v>66</v>
      </c>
      <c r="AI20" s="158">
        <v>234</v>
      </c>
      <c r="AJ20" s="158">
        <f t="shared" si="16"/>
        <v>88</v>
      </c>
      <c r="AK20" s="158">
        <v>84</v>
      </c>
      <c r="AL20" s="695">
        <f t="shared" si="165"/>
        <v>83</v>
      </c>
      <c r="AM20" s="158">
        <v>88</v>
      </c>
      <c r="AN20" s="158">
        <f t="shared" si="166"/>
        <v>83</v>
      </c>
      <c r="AO20" s="1301">
        <v>83</v>
      </c>
      <c r="AP20" s="158">
        <v>83</v>
      </c>
      <c r="AQ20" s="158">
        <f t="shared" si="19"/>
        <v>82</v>
      </c>
      <c r="AR20" s="158">
        <v>81</v>
      </c>
      <c r="AS20" s="695">
        <f t="shared" si="167"/>
        <v>79</v>
      </c>
      <c r="AT20" s="158">
        <v>82</v>
      </c>
      <c r="AU20" s="158">
        <f t="shared" si="168"/>
        <v>79</v>
      </c>
      <c r="AV20" s="1301">
        <v>79</v>
      </c>
      <c r="AW20" s="158"/>
      <c r="AX20" s="158"/>
      <c r="AY20" s="158"/>
      <c r="AZ20" s="695"/>
      <c r="BA20" s="158"/>
      <c r="BB20" s="158"/>
      <c r="BC20" s="1301">
        <v>92</v>
      </c>
      <c r="BD20" s="158">
        <v>3</v>
      </c>
      <c r="BE20" s="158">
        <f t="shared" si="22"/>
        <v>123</v>
      </c>
      <c r="BF20" s="158">
        <v>4</v>
      </c>
      <c r="BG20" s="695">
        <f t="shared" si="169"/>
        <v>65</v>
      </c>
      <c r="BH20" s="158">
        <v>123</v>
      </c>
      <c r="BI20" s="158">
        <f t="shared" si="170"/>
        <v>65</v>
      </c>
      <c r="BJ20" s="1301">
        <v>65</v>
      </c>
      <c r="BK20" s="158">
        <v>172</v>
      </c>
      <c r="BL20" s="158">
        <f t="shared" si="25"/>
        <v>71</v>
      </c>
      <c r="BM20" s="158">
        <v>79</v>
      </c>
      <c r="BN20" s="695">
        <f t="shared" si="171"/>
        <v>91</v>
      </c>
      <c r="BO20" s="158">
        <v>71</v>
      </c>
      <c r="BP20" s="158">
        <f t="shared" si="172"/>
        <v>91</v>
      </c>
      <c r="BQ20" s="1301">
        <v>91</v>
      </c>
      <c r="BR20" s="158">
        <v>186</v>
      </c>
      <c r="BS20" s="158">
        <f t="shared" si="28"/>
        <v>65</v>
      </c>
      <c r="BT20" s="158">
        <v>58</v>
      </c>
      <c r="BU20" s="695">
        <f t="shared" si="173"/>
        <v>48</v>
      </c>
      <c r="BV20" s="158">
        <v>65</v>
      </c>
      <c r="BW20" s="158">
        <f t="shared" si="174"/>
        <v>48</v>
      </c>
      <c r="BX20" s="1301">
        <v>48</v>
      </c>
      <c r="BY20" s="158">
        <v>46</v>
      </c>
      <c r="BZ20" s="158">
        <f t="shared" si="31"/>
        <v>69</v>
      </c>
      <c r="CA20" s="158">
        <v>94</v>
      </c>
      <c r="CB20" s="695">
        <f t="shared" si="175"/>
        <v>27</v>
      </c>
      <c r="CC20" s="158">
        <v>69</v>
      </c>
      <c r="CD20" s="158">
        <f t="shared" si="176"/>
        <v>27</v>
      </c>
      <c r="CE20" s="1301">
        <v>27</v>
      </c>
      <c r="CF20" s="158">
        <v>25</v>
      </c>
      <c r="CG20" s="158">
        <f t="shared" si="34"/>
        <v>26</v>
      </c>
      <c r="CH20" s="158">
        <v>51</v>
      </c>
      <c r="CI20" s="695">
        <f t="shared" si="177"/>
        <v>26</v>
      </c>
      <c r="CJ20" s="158">
        <v>26</v>
      </c>
      <c r="CK20" s="158">
        <f t="shared" si="178"/>
        <v>26</v>
      </c>
      <c r="CL20" s="1301">
        <v>26</v>
      </c>
      <c r="CM20" s="158">
        <v>30</v>
      </c>
      <c r="CN20" s="158">
        <f t="shared" si="37"/>
        <v>29</v>
      </c>
      <c r="CO20" s="158">
        <v>26</v>
      </c>
      <c r="CP20" s="695">
        <f t="shared" si="179"/>
        <v>26</v>
      </c>
      <c r="CQ20" s="158">
        <v>29</v>
      </c>
      <c r="CR20" s="158">
        <f t="shared" si="180"/>
        <v>26</v>
      </c>
      <c r="CS20" s="1301">
        <v>26</v>
      </c>
      <c r="CT20" s="158">
        <v>62</v>
      </c>
      <c r="CU20" s="158">
        <f t="shared" si="40"/>
        <v>62</v>
      </c>
      <c r="CV20" s="158">
        <v>59</v>
      </c>
      <c r="CW20" s="695">
        <f t="shared" si="181"/>
        <v>61</v>
      </c>
      <c r="CX20" s="158">
        <v>62</v>
      </c>
      <c r="CY20" s="158">
        <f t="shared" si="182"/>
        <v>61</v>
      </c>
      <c r="CZ20" s="1301">
        <v>61</v>
      </c>
      <c r="DA20" s="158">
        <v>54</v>
      </c>
      <c r="DB20" s="158">
        <f t="shared" si="43"/>
        <v>21</v>
      </c>
      <c r="DC20" s="158">
        <v>19</v>
      </c>
      <c r="DD20" s="695">
        <f t="shared" si="183"/>
        <v>17</v>
      </c>
      <c r="DE20" s="2097">
        <v>21</v>
      </c>
      <c r="DF20" s="158">
        <f t="shared" si="184"/>
        <v>17</v>
      </c>
      <c r="DG20" s="1364">
        <v>17</v>
      </c>
      <c r="DH20" s="818">
        <v>31</v>
      </c>
      <c r="DI20" s="158">
        <f t="shared" si="46"/>
        <v>0</v>
      </c>
      <c r="DJ20" s="819">
        <f>DI20</f>
        <v>0</v>
      </c>
      <c r="DK20" s="453">
        <f t="shared" si="186"/>
        <v>17</v>
      </c>
      <c r="DL20" s="2006">
        <v>0</v>
      </c>
      <c r="DM20" s="327">
        <f t="shared" si="187"/>
        <v>17</v>
      </c>
      <c r="DN20" s="1544">
        <f>DG20</f>
        <v>17</v>
      </c>
      <c r="DO20" s="819">
        <f>DN20</f>
        <v>17</v>
      </c>
      <c r="DP20" s="327">
        <f t="shared" si="189"/>
        <v>17</v>
      </c>
      <c r="DQ20" s="819">
        <f>DP20</f>
        <v>17</v>
      </c>
      <c r="DR20" s="453">
        <f t="shared" si="191"/>
        <v>17</v>
      </c>
      <c r="DS20" s="819">
        <f>DN20</f>
        <v>17</v>
      </c>
      <c r="DT20" s="327">
        <f t="shared" si="193"/>
        <v>17</v>
      </c>
      <c r="DU20" s="1544">
        <f>DN20</f>
        <v>17</v>
      </c>
      <c r="DV20" s="819">
        <f>DU20</f>
        <v>17</v>
      </c>
      <c r="DW20" s="327">
        <f t="shared" si="194"/>
        <v>17</v>
      </c>
      <c r="DX20" s="819">
        <f>DW20</f>
        <v>17</v>
      </c>
      <c r="DY20" s="453">
        <f t="shared" si="196"/>
        <v>17</v>
      </c>
      <c r="DZ20" s="819">
        <f>DU20</f>
        <v>17</v>
      </c>
      <c r="EA20" s="327">
        <f t="shared" si="198"/>
        <v>17</v>
      </c>
      <c r="EB20" s="1544">
        <f>DU20</f>
        <v>17</v>
      </c>
      <c r="EC20" s="819">
        <f>EB20</f>
        <v>17</v>
      </c>
      <c r="ED20" s="327">
        <f t="shared" si="199"/>
        <v>17</v>
      </c>
      <c r="EE20" s="819">
        <f>ED20</f>
        <v>17</v>
      </c>
      <c r="EF20" s="453">
        <f t="shared" si="201"/>
        <v>17</v>
      </c>
      <c r="EG20" s="819">
        <f>EB20</f>
        <v>17</v>
      </c>
      <c r="EH20" s="327">
        <f t="shared" si="203"/>
        <v>17</v>
      </c>
      <c r="EI20" s="1544">
        <f>EB20</f>
        <v>17</v>
      </c>
      <c r="EJ20" s="819">
        <f>EI20</f>
        <v>17</v>
      </c>
      <c r="EK20" s="327">
        <f t="shared" si="204"/>
        <v>17</v>
      </c>
      <c r="EL20" s="819">
        <f>EK20</f>
        <v>17</v>
      </c>
      <c r="EM20" s="453">
        <f t="shared" si="206"/>
        <v>17</v>
      </c>
      <c r="EN20" s="819">
        <f>EI20</f>
        <v>17</v>
      </c>
      <c r="EO20" s="327">
        <f t="shared" si="208"/>
        <v>17</v>
      </c>
      <c r="EP20" s="1544">
        <f t="shared" ref="EP20:EP21" si="221">EI20</f>
        <v>17</v>
      </c>
      <c r="EQ20" s="303"/>
      <c r="ER20" s="46"/>
    </row>
    <row r="21" spans="1:148" ht="10.199999999999999" customHeight="1">
      <c r="A21" s="43" t="s">
        <v>291</v>
      </c>
      <c r="B21" s="212">
        <f t="shared" ref="B21:CL21" si="222">B22-SUM(B13:B20)</f>
        <v>0</v>
      </c>
      <c r="C21" s="212">
        <f t="shared" si="222"/>
        <v>0</v>
      </c>
      <c r="D21" s="212">
        <f t="shared" si="222"/>
        <v>0</v>
      </c>
      <c r="E21" s="212">
        <f t="shared" si="222"/>
        <v>731</v>
      </c>
      <c r="F21" s="212">
        <f t="shared" si="222"/>
        <v>322</v>
      </c>
      <c r="G21" s="212">
        <f t="shared" si="222"/>
        <v>313</v>
      </c>
      <c r="H21" s="212">
        <f t="shared" si="222"/>
        <v>295</v>
      </c>
      <c r="I21" s="212">
        <f t="shared" si="222"/>
        <v>185</v>
      </c>
      <c r="J21" s="212">
        <f t="shared" si="222"/>
        <v>282</v>
      </c>
      <c r="K21" s="212">
        <f t="shared" si="222"/>
        <v>217</v>
      </c>
      <c r="L21" s="212">
        <f t="shared" si="222"/>
        <v>203</v>
      </c>
      <c r="M21" s="212">
        <f t="shared" si="222"/>
        <v>193</v>
      </c>
      <c r="N21" s="1562"/>
      <c r="O21" s="1562"/>
      <c r="P21" s="1562"/>
      <c r="Q21" s="1578"/>
      <c r="R21" s="1562"/>
      <c r="S21" s="1562"/>
      <c r="T21" s="1594">
        <f t="shared" si="222"/>
        <v>254</v>
      </c>
      <c r="U21" s="1562">
        <f t="shared" ref="U21" si="223">U22-SUM(U13:U20)</f>
        <v>201</v>
      </c>
      <c r="V21" s="1562">
        <f t="shared" si="10"/>
        <v>266</v>
      </c>
      <c r="W21" s="1562">
        <f t="shared" ref="W21" si="224">W22-SUM(W13:W20)</f>
        <v>215</v>
      </c>
      <c r="X21" s="1578">
        <f t="shared" si="161"/>
        <v>303</v>
      </c>
      <c r="Y21" s="1562">
        <f t="shared" ref="Y21" si="225">Y22-SUM(Y13:Y20)</f>
        <v>266</v>
      </c>
      <c r="Z21" s="1562">
        <f t="shared" si="162"/>
        <v>303</v>
      </c>
      <c r="AA21" s="1594">
        <f t="shared" si="222"/>
        <v>303</v>
      </c>
      <c r="AB21" s="1562">
        <f t="shared" ref="AB21" si="226">AB22-SUM(AB13:AB20)</f>
        <v>538</v>
      </c>
      <c r="AC21" s="1562">
        <f t="shared" si="13"/>
        <v>49</v>
      </c>
      <c r="AD21" s="1562">
        <f t="shared" ref="AD21" si="227">AD22-SUM(AD13:AD20)</f>
        <v>39</v>
      </c>
      <c r="AE21" s="1578">
        <f t="shared" si="163"/>
        <v>280</v>
      </c>
      <c r="AF21" s="1562">
        <f t="shared" ref="AF21" si="228">AF22-SUM(AF13:AF20)</f>
        <v>49</v>
      </c>
      <c r="AG21" s="1562">
        <f t="shared" si="164"/>
        <v>280</v>
      </c>
      <c r="AH21" s="1594">
        <f t="shared" si="222"/>
        <v>280</v>
      </c>
      <c r="AI21" s="1562">
        <f t="shared" ref="AI21" si="229">AI22-SUM(AI13:AI20)</f>
        <v>110</v>
      </c>
      <c r="AJ21" s="1562">
        <f t="shared" si="16"/>
        <v>105</v>
      </c>
      <c r="AK21" s="1562">
        <f t="shared" ref="AK21" si="230">AK22-SUM(AK13:AK20)</f>
        <v>88</v>
      </c>
      <c r="AL21" s="1578">
        <f t="shared" si="165"/>
        <v>98</v>
      </c>
      <c r="AM21" s="1562">
        <f t="shared" ref="AM21" si="231">AM22-SUM(AM13:AM20)</f>
        <v>105</v>
      </c>
      <c r="AN21" s="1562">
        <f t="shared" si="166"/>
        <v>98</v>
      </c>
      <c r="AO21" s="1594">
        <f t="shared" si="222"/>
        <v>98</v>
      </c>
      <c r="AP21" s="1562">
        <f t="shared" ref="AP21" si="232">AP22-SUM(AP13:AP20)</f>
        <v>67</v>
      </c>
      <c r="AQ21" s="1562">
        <f t="shared" si="19"/>
        <v>96</v>
      </c>
      <c r="AR21" s="1562">
        <f t="shared" ref="AR21" si="233">AR22-SUM(AR13:AR20)</f>
        <v>101</v>
      </c>
      <c r="AS21" s="1578">
        <f t="shared" si="167"/>
        <v>88</v>
      </c>
      <c r="AT21" s="1562">
        <f t="shared" ref="AT21" si="234">AT22-SUM(AT13:AT20)</f>
        <v>96</v>
      </c>
      <c r="AU21" s="1562">
        <f t="shared" si="168"/>
        <v>88</v>
      </c>
      <c r="AV21" s="1594">
        <f t="shared" si="222"/>
        <v>88</v>
      </c>
      <c r="AW21" s="1562"/>
      <c r="AX21" s="1562"/>
      <c r="AY21" s="1562"/>
      <c r="AZ21" s="1578"/>
      <c r="BA21" s="1562"/>
      <c r="BB21" s="1562"/>
      <c r="BC21" s="1594">
        <f t="shared" si="222"/>
        <v>872</v>
      </c>
      <c r="BD21" s="1562">
        <f t="shared" ref="BD21" si="235">BD22-SUM(BD13:BD20)</f>
        <v>967</v>
      </c>
      <c r="BE21" s="1562">
        <f t="shared" si="22"/>
        <v>954</v>
      </c>
      <c r="BF21" s="1562">
        <f t="shared" ref="BF21" si="236">BF22-SUM(BF13:BF20)</f>
        <v>995</v>
      </c>
      <c r="BG21" s="1578">
        <f t="shared" si="169"/>
        <v>858</v>
      </c>
      <c r="BH21" s="1562">
        <f t="shared" ref="BH21" si="237">BH22-SUM(BH13:BH20)</f>
        <v>954</v>
      </c>
      <c r="BI21" s="1562">
        <f t="shared" si="170"/>
        <v>858</v>
      </c>
      <c r="BJ21" s="1594">
        <f t="shared" si="222"/>
        <v>858</v>
      </c>
      <c r="BK21" s="1562">
        <f t="shared" ref="BK21" si="238">BK22-SUM(BK13:BK20)</f>
        <v>845</v>
      </c>
      <c r="BL21" s="1562">
        <f t="shared" si="25"/>
        <v>531</v>
      </c>
      <c r="BM21" s="1562">
        <f t="shared" ref="BM21" si="239">BM22-SUM(BM13:BM20)</f>
        <v>467</v>
      </c>
      <c r="BN21" s="1578">
        <f t="shared" si="171"/>
        <v>438</v>
      </c>
      <c r="BO21" s="1562">
        <f t="shared" ref="BO21" si="240">BO22-SUM(BO13:BO20)</f>
        <v>531</v>
      </c>
      <c r="BP21" s="1562">
        <f t="shared" si="172"/>
        <v>438</v>
      </c>
      <c r="BQ21" s="1594">
        <f t="shared" si="222"/>
        <v>438</v>
      </c>
      <c r="BR21" s="1562">
        <f t="shared" ref="BR21" si="241">BR22-SUM(BR13:BR20)</f>
        <v>454</v>
      </c>
      <c r="BS21" s="1562">
        <f t="shared" si="28"/>
        <v>470</v>
      </c>
      <c r="BT21" s="1562">
        <f t="shared" ref="BT21" si="242">BT22-SUM(BT13:BT20)</f>
        <v>463</v>
      </c>
      <c r="BU21" s="1578">
        <f t="shared" si="173"/>
        <v>409</v>
      </c>
      <c r="BV21" s="1562">
        <f t="shared" ref="BV21" si="243">BV22-SUM(BV13:BV20)</f>
        <v>470</v>
      </c>
      <c r="BW21" s="1562">
        <f t="shared" si="174"/>
        <v>409</v>
      </c>
      <c r="BX21" s="1594">
        <f t="shared" si="222"/>
        <v>409</v>
      </c>
      <c r="BY21" s="1562">
        <f t="shared" ref="BY21" si="244">BY22-SUM(BY13:BY20)</f>
        <v>416</v>
      </c>
      <c r="BZ21" s="1562">
        <f t="shared" si="31"/>
        <v>401</v>
      </c>
      <c r="CA21" s="1562">
        <f t="shared" ref="CA21" si="245">CA22-SUM(CA13:CA20)</f>
        <v>453</v>
      </c>
      <c r="CB21" s="1578">
        <f t="shared" si="175"/>
        <v>720</v>
      </c>
      <c r="CC21" s="1562">
        <f t="shared" ref="CC21" si="246">CC22-SUM(CC13:CC20)</f>
        <v>401</v>
      </c>
      <c r="CD21" s="1562">
        <f t="shared" si="176"/>
        <v>720</v>
      </c>
      <c r="CE21" s="1594">
        <f t="shared" si="222"/>
        <v>720</v>
      </c>
      <c r="CF21" s="1562">
        <f t="shared" ref="CF21" si="247">CF22-SUM(CF13:CF20)</f>
        <v>744</v>
      </c>
      <c r="CG21" s="1562">
        <f t="shared" si="34"/>
        <v>1634</v>
      </c>
      <c r="CH21" s="1562">
        <f t="shared" ref="CH21" si="248">CH22-SUM(CH13:CH20)</f>
        <v>1979</v>
      </c>
      <c r="CI21" s="1578">
        <f t="shared" si="177"/>
        <v>1760</v>
      </c>
      <c r="CJ21" s="1562">
        <f t="shared" ref="CJ21" si="249">CJ22-SUM(CJ13:CJ20)</f>
        <v>1634</v>
      </c>
      <c r="CK21" s="1562">
        <f t="shared" si="178"/>
        <v>1760</v>
      </c>
      <c r="CL21" s="1594">
        <f t="shared" si="222"/>
        <v>1760</v>
      </c>
      <c r="CM21" s="1562">
        <f t="shared" ref="CM21" si="250">CM22-SUM(CM13:CM20)</f>
        <v>1761</v>
      </c>
      <c r="CN21" s="1562">
        <f t="shared" si="37"/>
        <v>1880</v>
      </c>
      <c r="CO21" s="1562">
        <f t="shared" ref="CO21" si="251">CO22-SUM(CO13:CO20)</f>
        <v>2037</v>
      </c>
      <c r="CP21" s="1578">
        <f t="shared" si="179"/>
        <v>1760</v>
      </c>
      <c r="CQ21" s="1562">
        <f t="shared" ref="CQ21" si="252">CQ22-SUM(CQ13:CQ20)</f>
        <v>1880</v>
      </c>
      <c r="CR21" s="1562">
        <f t="shared" si="180"/>
        <v>1760</v>
      </c>
      <c r="CS21" s="1594">
        <f t="shared" ref="CS21:CT21" si="253">CS22-SUM(CS13:CS20)</f>
        <v>1760</v>
      </c>
      <c r="CT21" s="1562">
        <f t="shared" si="253"/>
        <v>1983</v>
      </c>
      <c r="CU21" s="1562">
        <f t="shared" si="40"/>
        <v>2243</v>
      </c>
      <c r="CV21" s="1562">
        <f t="shared" ref="CV21" si="254">CV22-SUM(CV13:CV20)</f>
        <v>2244</v>
      </c>
      <c r="CW21" s="1578">
        <f t="shared" si="181"/>
        <v>2605</v>
      </c>
      <c r="CX21" s="1562">
        <f t="shared" ref="CX21" si="255">CX22-SUM(CX13:CX20)</f>
        <v>2243</v>
      </c>
      <c r="CY21" s="1562">
        <f t="shared" si="182"/>
        <v>2605</v>
      </c>
      <c r="CZ21" s="1594">
        <f t="shared" ref="CZ21:DA21" si="256">CZ22-SUM(CZ13:CZ20)</f>
        <v>2605</v>
      </c>
      <c r="DA21" s="1562">
        <f t="shared" si="256"/>
        <v>2686</v>
      </c>
      <c r="DB21" s="1562">
        <f t="shared" si="43"/>
        <v>2648</v>
      </c>
      <c r="DC21" s="1562">
        <f>DB21</f>
        <v>2648</v>
      </c>
      <c r="DD21" s="1578">
        <f t="shared" si="183"/>
        <v>2784</v>
      </c>
      <c r="DE21" s="1562">
        <f t="shared" ref="DE21" si="257">DE22-SUM(DE13:DE20)</f>
        <v>2648</v>
      </c>
      <c r="DF21" s="1562">
        <f t="shared" si="184"/>
        <v>2784</v>
      </c>
      <c r="DG21" s="1852">
        <f t="shared" ref="DG21:DH21" si="258">DG22-SUM(DG13:DG20)</f>
        <v>2784</v>
      </c>
      <c r="DH21" s="1807">
        <f t="shared" si="258"/>
        <v>3094</v>
      </c>
      <c r="DI21" s="1562">
        <f t="shared" si="46"/>
        <v>3115</v>
      </c>
      <c r="DJ21" s="1572">
        <f>DI21</f>
        <v>3115</v>
      </c>
      <c r="DK21" s="1688">
        <f t="shared" si="186"/>
        <v>2784</v>
      </c>
      <c r="DL21" s="2007">
        <f t="shared" ref="DL21" si="259">DL22-SUM(DL13:DL20)</f>
        <v>3115</v>
      </c>
      <c r="DM21" s="1687">
        <f t="shared" si="187"/>
        <v>2784</v>
      </c>
      <c r="DN21" s="1613">
        <f>DG21</f>
        <v>2784</v>
      </c>
      <c r="DO21" s="1572">
        <f>DN21</f>
        <v>2784</v>
      </c>
      <c r="DP21" s="1687">
        <f t="shared" si="189"/>
        <v>2784</v>
      </c>
      <c r="DQ21" s="1572">
        <f>DP21</f>
        <v>2784</v>
      </c>
      <c r="DR21" s="1688">
        <f t="shared" si="191"/>
        <v>2784</v>
      </c>
      <c r="DS21" s="1572">
        <f>DN21</f>
        <v>2784</v>
      </c>
      <c r="DT21" s="1687">
        <f t="shared" si="193"/>
        <v>2784</v>
      </c>
      <c r="DU21" s="1613">
        <f>DN21</f>
        <v>2784</v>
      </c>
      <c r="DV21" s="1572">
        <f>DU21</f>
        <v>2784</v>
      </c>
      <c r="DW21" s="1687">
        <f t="shared" si="194"/>
        <v>2784</v>
      </c>
      <c r="DX21" s="1572">
        <f>DW21</f>
        <v>2784</v>
      </c>
      <c r="DY21" s="1688">
        <f t="shared" si="196"/>
        <v>2784</v>
      </c>
      <c r="DZ21" s="1572">
        <f>DU21</f>
        <v>2784</v>
      </c>
      <c r="EA21" s="1687">
        <f t="shared" si="198"/>
        <v>2784</v>
      </c>
      <c r="EB21" s="1613">
        <f>DU21</f>
        <v>2784</v>
      </c>
      <c r="EC21" s="1572">
        <f>EB21</f>
        <v>2784</v>
      </c>
      <c r="ED21" s="1687">
        <f t="shared" si="199"/>
        <v>2784</v>
      </c>
      <c r="EE21" s="1572">
        <f>ED21</f>
        <v>2784</v>
      </c>
      <c r="EF21" s="1688">
        <f t="shared" si="201"/>
        <v>2784</v>
      </c>
      <c r="EG21" s="1572">
        <f>EB21</f>
        <v>2784</v>
      </c>
      <c r="EH21" s="1687">
        <f t="shared" si="203"/>
        <v>2784</v>
      </c>
      <c r="EI21" s="1613">
        <f>EB21</f>
        <v>2784</v>
      </c>
      <c r="EJ21" s="1572">
        <f>EI21</f>
        <v>2784</v>
      </c>
      <c r="EK21" s="1687">
        <f t="shared" si="204"/>
        <v>2784</v>
      </c>
      <c r="EL21" s="1572">
        <f>EK21</f>
        <v>2784</v>
      </c>
      <c r="EM21" s="1688">
        <f t="shared" si="206"/>
        <v>2784</v>
      </c>
      <c r="EN21" s="1572">
        <f>EI21</f>
        <v>2784</v>
      </c>
      <c r="EO21" s="1687">
        <f t="shared" si="208"/>
        <v>2784</v>
      </c>
      <c r="EP21" s="1613">
        <f t="shared" si="221"/>
        <v>2784</v>
      </c>
      <c r="EQ21" s="303"/>
      <c r="ER21" s="46"/>
    </row>
    <row r="22" spans="1:148" ht="10.199999999999999" customHeight="1">
      <c r="A22" s="92" t="s">
        <v>260</v>
      </c>
      <c r="B22" s="119">
        <v>30397</v>
      </c>
      <c r="C22" s="119">
        <v>27984</v>
      </c>
      <c r="D22" s="119">
        <v>28946</v>
      </c>
      <c r="E22" s="119">
        <v>37463</v>
      </c>
      <c r="F22" s="119">
        <v>36027</v>
      </c>
      <c r="G22" s="119">
        <v>37080</v>
      </c>
      <c r="H22" s="119">
        <v>37051</v>
      </c>
      <c r="I22" s="119">
        <v>35924</v>
      </c>
      <c r="J22" s="119">
        <v>37792</v>
      </c>
      <c r="K22" s="119">
        <v>41197</v>
      </c>
      <c r="L22" s="119">
        <v>45466</v>
      </c>
      <c r="M22" s="119">
        <v>46773</v>
      </c>
      <c r="N22" s="119"/>
      <c r="O22" s="119"/>
      <c r="P22" s="119"/>
      <c r="Q22" s="702"/>
      <c r="R22" s="119"/>
      <c r="S22" s="119"/>
      <c r="T22" s="349">
        <v>45526</v>
      </c>
      <c r="U22" s="119">
        <v>46048</v>
      </c>
      <c r="V22" s="119">
        <f>SUM(V13:V21)</f>
        <v>46406</v>
      </c>
      <c r="W22" s="119">
        <v>46331</v>
      </c>
      <c r="X22" s="702">
        <f t="shared" ref="X22" si="260">SUM(X13:X21)</f>
        <v>48420</v>
      </c>
      <c r="Y22" s="119">
        <v>46406</v>
      </c>
      <c r="Z22" s="119">
        <f t="shared" ref="Z22" si="261">SUM(Z13:Z21)</f>
        <v>48420</v>
      </c>
      <c r="AA22" s="349">
        <v>48420</v>
      </c>
      <c r="AB22" s="119">
        <v>52289</v>
      </c>
      <c r="AC22" s="119">
        <f>SUM(AC13:AC21)</f>
        <v>52618</v>
      </c>
      <c r="AD22" s="119">
        <v>53265</v>
      </c>
      <c r="AE22" s="702">
        <f t="shared" ref="AE22" si="262">SUM(AE13:AE21)</f>
        <v>53438</v>
      </c>
      <c r="AF22" s="119">
        <v>52618</v>
      </c>
      <c r="AG22" s="119">
        <f t="shared" ref="AG22" si="263">SUM(AG13:AG21)</f>
        <v>53438</v>
      </c>
      <c r="AH22" s="349">
        <v>53438</v>
      </c>
      <c r="AI22" s="119">
        <v>53045</v>
      </c>
      <c r="AJ22" s="119">
        <f>SUM(AJ13:AJ21)</f>
        <v>54061</v>
      </c>
      <c r="AK22" s="119">
        <v>54303</v>
      </c>
      <c r="AL22" s="702">
        <f t="shared" ref="AL22" si="264">SUM(AL13:AL21)</f>
        <v>55037</v>
      </c>
      <c r="AM22" s="119">
        <v>54061</v>
      </c>
      <c r="AN22" s="119">
        <f t="shared" ref="AN22" si="265">SUM(AN13:AN21)</f>
        <v>55037</v>
      </c>
      <c r="AO22" s="349">
        <v>55037</v>
      </c>
      <c r="AP22" s="119">
        <v>54628</v>
      </c>
      <c r="AQ22" s="119">
        <f>SUM(AQ13:AQ21)</f>
        <v>53962</v>
      </c>
      <c r="AR22" s="119">
        <v>54728</v>
      </c>
      <c r="AS22" s="702">
        <f t="shared" ref="AS22" si="266">SUM(AS13:AS21)</f>
        <v>53941</v>
      </c>
      <c r="AT22" s="119">
        <v>53962</v>
      </c>
      <c r="AU22" s="119">
        <f t="shared" ref="AU22" si="267">SUM(AU13:AU21)</f>
        <v>53941</v>
      </c>
      <c r="AV22" s="349">
        <v>53941</v>
      </c>
      <c r="AW22" s="119"/>
      <c r="AX22" s="119"/>
      <c r="AY22" s="119"/>
      <c r="AZ22" s="702"/>
      <c r="BA22" s="119"/>
      <c r="BB22" s="119"/>
      <c r="BC22" s="349">
        <f>53525</f>
        <v>53525</v>
      </c>
      <c r="BD22" s="119">
        <v>53887</v>
      </c>
      <c r="BE22" s="119">
        <f>SUM(BE13:BE21)</f>
        <v>51905</v>
      </c>
      <c r="BF22" s="119">
        <v>57527</v>
      </c>
      <c r="BG22" s="702">
        <f t="shared" ref="BG22" si="268">SUM(BG13:BG21)</f>
        <v>56564</v>
      </c>
      <c r="BH22" s="119">
        <v>51905</v>
      </c>
      <c r="BI22" s="119">
        <f t="shared" ref="BI22" si="269">SUM(BI13:BI21)</f>
        <v>56564</v>
      </c>
      <c r="BJ22" s="349">
        <v>56564</v>
      </c>
      <c r="BK22" s="119">
        <v>57353</v>
      </c>
      <c r="BL22" s="119">
        <f>SUM(BL13:BL21)</f>
        <v>56896</v>
      </c>
      <c r="BM22" s="119">
        <v>58560</v>
      </c>
      <c r="BN22" s="702">
        <f t="shared" ref="BN22" si="270">SUM(BN13:BN21)</f>
        <v>57686</v>
      </c>
      <c r="BO22" s="119">
        <v>56896</v>
      </c>
      <c r="BP22" s="119">
        <f t="shared" ref="BP22" si="271">SUM(BP13:BP21)</f>
        <v>57686</v>
      </c>
      <c r="BQ22" s="349">
        <v>57686</v>
      </c>
      <c r="BR22" s="119">
        <v>56466</v>
      </c>
      <c r="BS22" s="119">
        <f>SUM(BS13:BS21)</f>
        <v>51859</v>
      </c>
      <c r="BT22" s="119">
        <v>50909</v>
      </c>
      <c r="BU22" s="702">
        <f t="shared" ref="BU22" si="272">SUM(BU13:BU21)</f>
        <v>51695</v>
      </c>
      <c r="BV22" s="119">
        <v>51859</v>
      </c>
      <c r="BW22" s="119">
        <f t="shared" ref="BW22" si="273">SUM(BW13:BW21)</f>
        <v>51695</v>
      </c>
      <c r="BX22" s="349">
        <v>51695</v>
      </c>
      <c r="BY22" s="119">
        <v>50518</v>
      </c>
      <c r="BZ22" s="119">
        <f>SUM(BZ13:BZ21)</f>
        <v>49982</v>
      </c>
      <c r="CA22" s="119">
        <v>50155</v>
      </c>
      <c r="CB22" s="702">
        <f t="shared" ref="CB22" si="274">SUM(CB13:CB21)</f>
        <v>51247</v>
      </c>
      <c r="CC22" s="119">
        <v>49982</v>
      </c>
      <c r="CD22" s="119">
        <f t="shared" ref="CD22" si="275">SUM(CD13:CD21)</f>
        <v>51247</v>
      </c>
      <c r="CE22" s="349">
        <v>51247</v>
      </c>
      <c r="CF22" s="119">
        <v>51019</v>
      </c>
      <c r="CG22" s="119">
        <f>SUM(CG13:CG21)</f>
        <v>52870</v>
      </c>
      <c r="CH22" s="119">
        <v>56104</v>
      </c>
      <c r="CI22" s="702">
        <f t="shared" ref="CI22" si="276">SUM(CI13:CI21)</f>
        <v>52942</v>
      </c>
      <c r="CJ22" s="119">
        <v>52870</v>
      </c>
      <c r="CK22" s="119">
        <f t="shared" ref="CK22" si="277">SUM(CK13:CK21)</f>
        <v>52942</v>
      </c>
      <c r="CL22" s="349">
        <v>52942</v>
      </c>
      <c r="CM22" s="119">
        <v>53214</v>
      </c>
      <c r="CN22" s="119">
        <f>SUM(CN13:CN21)</f>
        <v>53640</v>
      </c>
      <c r="CO22" s="119">
        <v>55489</v>
      </c>
      <c r="CP22" s="702">
        <f t="shared" ref="CP22" si="278">SUM(CP13:CP21)</f>
        <v>54870</v>
      </c>
      <c r="CQ22" s="119">
        <v>53640</v>
      </c>
      <c r="CR22" s="119">
        <f t="shared" ref="CR22" si="279">SUM(CR13:CR21)</f>
        <v>54870</v>
      </c>
      <c r="CS22" s="349">
        <v>54870</v>
      </c>
      <c r="CT22" s="119">
        <v>55789</v>
      </c>
      <c r="CU22" s="119">
        <f>SUM(CU13:CU21)</f>
        <v>56892</v>
      </c>
      <c r="CV22" s="119">
        <v>58028</v>
      </c>
      <c r="CW22" s="702">
        <f t="shared" ref="CW22" si="280">SUM(CW13:CW21)</f>
        <v>59781</v>
      </c>
      <c r="CX22" s="119">
        <v>56892</v>
      </c>
      <c r="CY22" s="119">
        <f t="shared" ref="CY22" si="281">SUM(CY13:CY21)</f>
        <v>59781</v>
      </c>
      <c r="CZ22" s="349">
        <v>59781</v>
      </c>
      <c r="DA22" s="119">
        <v>60293</v>
      </c>
      <c r="DB22" s="119">
        <f>SUM(DB13:DB21)</f>
        <v>59521</v>
      </c>
      <c r="DC22" s="119">
        <v>59525</v>
      </c>
      <c r="DD22" s="702">
        <f t="shared" ref="DD22" si="282">SUM(DD13:DD21)</f>
        <v>61292</v>
      </c>
      <c r="DE22" s="2098">
        <v>59521</v>
      </c>
      <c r="DF22" s="119">
        <f t="shared" ref="DF22" si="283">SUM(DF13:DF21)</f>
        <v>61292</v>
      </c>
      <c r="DG22" s="1355">
        <v>61292</v>
      </c>
      <c r="DH22" s="24">
        <v>61958</v>
      </c>
      <c r="DI22" s="119">
        <f>SUM(DI13:DI21)</f>
        <v>63256</v>
      </c>
      <c r="DJ22" s="464">
        <f t="shared" ref="DJ22:DM22" si="284">SUM(DJ13:DJ21)</f>
        <v>63401.962996300063</v>
      </c>
      <c r="DK22" s="465">
        <f t="shared" si="284"/>
        <v>63255.166715841602</v>
      </c>
      <c r="DL22" s="2008">
        <v>63256</v>
      </c>
      <c r="DM22" s="464">
        <f t="shared" si="284"/>
        <v>63255.166715841602</v>
      </c>
      <c r="DN22" s="1614">
        <f t="shared" ref="DN22:EP22" si="285">SUM(DN13:DN21)</f>
        <v>63255.166715841602</v>
      </c>
      <c r="DO22" s="464">
        <f t="shared" si="285"/>
        <v>63419.699904705136</v>
      </c>
      <c r="DP22" s="462">
        <f>SUM(DP13:DP21)</f>
        <v>63315.335047690838</v>
      </c>
      <c r="DQ22" s="464">
        <f t="shared" ref="DQ22:DT22" si="286">SUM(DQ13:DQ21)</f>
        <v>63502.375883200235</v>
      </c>
      <c r="DR22" s="465">
        <f t="shared" si="286"/>
        <v>63543.505299652781</v>
      </c>
      <c r="DS22" s="464">
        <f t="shared" si="286"/>
        <v>63315.335047690838</v>
      </c>
      <c r="DT22" s="464">
        <f t="shared" si="286"/>
        <v>63543.505299652781</v>
      </c>
      <c r="DU22" s="1614">
        <f t="shared" si="285"/>
        <v>63543.505299652781</v>
      </c>
      <c r="DV22" s="464">
        <f t="shared" si="285"/>
        <v>63678.364440634854</v>
      </c>
      <c r="DW22" s="462">
        <f>SUM(DW13:DW21)</f>
        <v>63516.779935736835</v>
      </c>
      <c r="DX22" s="464">
        <f t="shared" ref="DX22:EA22" si="287">SUM(DX13:DX21)</f>
        <v>63672.338152999975</v>
      </c>
      <c r="DY22" s="465">
        <f t="shared" si="287"/>
        <v>63665.53732354637</v>
      </c>
      <c r="DZ22" s="464">
        <f t="shared" si="287"/>
        <v>63516.779935736835</v>
      </c>
      <c r="EA22" s="464">
        <f t="shared" si="287"/>
        <v>63665.53732354637</v>
      </c>
      <c r="EB22" s="1614">
        <f t="shared" si="285"/>
        <v>63665.53732354637</v>
      </c>
      <c r="EC22" s="464">
        <f t="shared" si="285"/>
        <v>63765.36737894854</v>
      </c>
      <c r="ED22" s="462">
        <f>SUM(ED13:ED21)</f>
        <v>63552.941276404788</v>
      </c>
      <c r="EE22" s="464">
        <f t="shared" ref="EE22:EH22" si="288">SUM(EE13:EE21)</f>
        <v>63671.856489457386</v>
      </c>
      <c r="EF22" s="465">
        <f t="shared" si="288"/>
        <v>63621.072834909908</v>
      </c>
      <c r="EG22" s="464">
        <f t="shared" si="288"/>
        <v>63552.941276404788</v>
      </c>
      <c r="EH22" s="464">
        <f t="shared" si="288"/>
        <v>63621.072834909908</v>
      </c>
      <c r="EI22" s="1614">
        <f t="shared" si="285"/>
        <v>63621.072834909908</v>
      </c>
      <c r="EJ22" s="464">
        <f t="shared" si="285"/>
        <v>63724.343384809472</v>
      </c>
      <c r="EK22" s="462">
        <f>SUM(EK13:EK21)</f>
        <v>63504.59633233778</v>
      </c>
      <c r="EL22" s="464">
        <f t="shared" ref="EL22:EO22" si="289">SUM(EL13:EL21)</f>
        <v>63627.609781482846</v>
      </c>
      <c r="EM22" s="465">
        <f t="shared" si="289"/>
        <v>63575.075943753342</v>
      </c>
      <c r="EN22" s="464">
        <f t="shared" si="289"/>
        <v>63504.59633233778</v>
      </c>
      <c r="EO22" s="464">
        <f t="shared" si="289"/>
        <v>63575.075943753342</v>
      </c>
      <c r="EP22" s="1614">
        <f t="shared" si="285"/>
        <v>63575.075943753342</v>
      </c>
      <c r="EQ22" s="303"/>
      <c r="ER22" s="46"/>
    </row>
    <row r="23" spans="1:148" ht="10.199999999999999" customHeight="1">
      <c r="A23" s="43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695"/>
      <c r="R23" s="158"/>
      <c r="S23" s="158"/>
      <c r="T23" s="1301"/>
      <c r="U23" s="158"/>
      <c r="V23" s="158"/>
      <c r="W23" s="158"/>
      <c r="X23" s="695"/>
      <c r="Y23" s="158"/>
      <c r="Z23" s="158"/>
      <c r="AA23" s="1301"/>
      <c r="AB23" s="158"/>
      <c r="AC23" s="158"/>
      <c r="AD23" s="158"/>
      <c r="AE23" s="695"/>
      <c r="AF23" s="158"/>
      <c r="AG23" s="158"/>
      <c r="AH23" s="1301"/>
      <c r="AI23" s="158"/>
      <c r="AJ23" s="158"/>
      <c r="AK23" s="158"/>
      <c r="AL23" s="695"/>
      <c r="AM23" s="158"/>
      <c r="AN23" s="158"/>
      <c r="AO23" s="1301"/>
      <c r="AP23" s="158"/>
      <c r="AQ23" s="158"/>
      <c r="AR23" s="158"/>
      <c r="AS23" s="695"/>
      <c r="AT23" s="158"/>
      <c r="AU23" s="158"/>
      <c r="AV23" s="1301"/>
      <c r="AW23" s="158"/>
      <c r="AX23" s="158"/>
      <c r="AY23" s="158"/>
      <c r="AZ23" s="695"/>
      <c r="BA23" s="158"/>
      <c r="BB23" s="158"/>
      <c r="BC23" s="1301"/>
      <c r="BD23" s="158"/>
      <c r="BE23" s="158"/>
      <c r="BF23" s="158"/>
      <c r="BG23" s="695"/>
      <c r="BH23" s="158"/>
      <c r="BI23" s="158"/>
      <c r="BJ23" s="1301"/>
      <c r="BK23" s="158"/>
      <c r="BL23" s="158"/>
      <c r="BM23" s="158"/>
      <c r="BN23" s="695"/>
      <c r="BO23" s="158"/>
      <c r="BP23" s="158"/>
      <c r="BQ23" s="1301"/>
      <c r="BR23" s="158"/>
      <c r="BS23" s="158"/>
      <c r="BT23" s="158"/>
      <c r="BU23" s="695"/>
      <c r="BV23" s="158"/>
      <c r="BW23" s="158"/>
      <c r="BX23" s="1301"/>
      <c r="BY23" s="158"/>
      <c r="BZ23" s="158"/>
      <c r="CA23" s="158"/>
      <c r="CB23" s="695"/>
      <c r="CC23" s="158"/>
      <c r="CD23" s="158"/>
      <c r="CE23" s="1301"/>
      <c r="CF23" s="158"/>
      <c r="CG23" s="158"/>
      <c r="CH23" s="158"/>
      <c r="CI23" s="695"/>
      <c r="CJ23" s="158"/>
      <c r="CK23" s="158"/>
      <c r="CL23" s="1301"/>
      <c r="CM23" s="158"/>
      <c r="CN23" s="158"/>
      <c r="CO23" s="158"/>
      <c r="CP23" s="695"/>
      <c r="CQ23" s="158"/>
      <c r="CR23" s="158"/>
      <c r="CS23" s="1301"/>
      <c r="CT23" s="158"/>
      <c r="CU23" s="158"/>
      <c r="CV23" s="158"/>
      <c r="CW23" s="695"/>
      <c r="CX23" s="158"/>
      <c r="CY23" s="158"/>
      <c r="CZ23" s="1301"/>
      <c r="DA23" s="158"/>
      <c r="DB23" s="158"/>
      <c r="DC23" s="158"/>
      <c r="DD23" s="695"/>
      <c r="DE23" s="158"/>
      <c r="DF23" s="158"/>
      <c r="DG23" s="1301"/>
      <c r="DH23" s="818"/>
      <c r="DI23" s="158"/>
      <c r="DJ23" s="819"/>
      <c r="DK23" s="1554"/>
      <c r="DL23" s="2006"/>
      <c r="DM23" s="819"/>
      <c r="DN23" s="1544"/>
      <c r="DO23" s="819"/>
      <c r="DP23" s="327"/>
      <c r="DQ23" s="819"/>
      <c r="DR23" s="1554"/>
      <c r="DS23" s="819"/>
      <c r="DT23" s="819"/>
      <c r="DU23" s="1544"/>
      <c r="DV23" s="819"/>
      <c r="DW23" s="327"/>
      <c r="DX23" s="819"/>
      <c r="DY23" s="1554"/>
      <c r="DZ23" s="819"/>
      <c r="EA23" s="819"/>
      <c r="EB23" s="1544"/>
      <c r="EC23" s="819"/>
      <c r="ED23" s="327"/>
      <c r="EE23" s="819"/>
      <c r="EF23" s="1554"/>
      <c r="EG23" s="819"/>
      <c r="EH23" s="819"/>
      <c r="EI23" s="1544"/>
      <c r="EJ23" s="819"/>
      <c r="EK23" s="327"/>
      <c r="EL23" s="819"/>
      <c r="EM23" s="1554"/>
      <c r="EN23" s="819"/>
      <c r="EO23" s="819"/>
      <c r="EP23" s="1544"/>
      <c r="EQ23" s="303"/>
      <c r="ER23" s="46"/>
    </row>
    <row r="24" spans="1:148" ht="10.199999999999999" customHeight="1">
      <c r="A24" s="48" t="s">
        <v>286</v>
      </c>
      <c r="B24" s="119">
        <f t="shared" ref="B24:J24" si="290">B11+B22</f>
        <v>48715</v>
      </c>
      <c r="C24" s="119">
        <f t="shared" si="290"/>
        <v>46254</v>
      </c>
      <c r="D24" s="119">
        <f t="shared" si="290"/>
        <v>54378</v>
      </c>
      <c r="E24" s="119">
        <f t="shared" si="290"/>
        <v>68163</v>
      </c>
      <c r="F24" s="119">
        <f t="shared" si="290"/>
        <v>70385</v>
      </c>
      <c r="G24" s="119">
        <f t="shared" si="290"/>
        <v>72137</v>
      </c>
      <c r="H24" s="119">
        <f t="shared" si="290"/>
        <v>75456</v>
      </c>
      <c r="I24" s="119">
        <f t="shared" si="290"/>
        <v>76153</v>
      </c>
      <c r="J24" s="119">
        <f t="shared" si="290"/>
        <v>80304</v>
      </c>
      <c r="K24" s="119">
        <f t="shared" ref="K24:EP24" si="291">K22+K11</f>
        <v>83187</v>
      </c>
      <c r="L24" s="119">
        <f t="shared" si="291"/>
        <v>88482</v>
      </c>
      <c r="M24" s="119">
        <f t="shared" si="291"/>
        <v>92102</v>
      </c>
      <c r="N24" s="119"/>
      <c r="O24" s="119"/>
      <c r="P24" s="119"/>
      <c r="Q24" s="702"/>
      <c r="R24" s="119"/>
      <c r="S24" s="119"/>
      <c r="T24" s="349">
        <f t="shared" si="291"/>
        <v>90274</v>
      </c>
      <c r="U24" s="119">
        <f t="shared" ref="U24:X24" si="292">U22+U11</f>
        <v>90893</v>
      </c>
      <c r="V24" s="119">
        <f t="shared" si="292"/>
        <v>91211</v>
      </c>
      <c r="W24" s="119">
        <f t="shared" si="292"/>
        <v>91123</v>
      </c>
      <c r="X24" s="702">
        <f t="shared" si="292"/>
        <v>96102</v>
      </c>
      <c r="Y24" s="119">
        <f t="shared" ref="Y24:Z24" si="293">Y22+Y11</f>
        <v>91211</v>
      </c>
      <c r="Z24" s="119">
        <f t="shared" si="293"/>
        <v>96102</v>
      </c>
      <c r="AA24" s="349">
        <f t="shared" si="291"/>
        <v>96102</v>
      </c>
      <c r="AB24" s="119">
        <f t="shared" ref="AB24:AE24" si="294">AB22+AB11</f>
        <v>105112</v>
      </c>
      <c r="AC24" s="119">
        <f t="shared" si="294"/>
        <v>103145</v>
      </c>
      <c r="AD24" s="119">
        <f t="shared" si="294"/>
        <v>104980</v>
      </c>
      <c r="AE24" s="702">
        <f t="shared" si="294"/>
        <v>106681</v>
      </c>
      <c r="AF24" s="119">
        <f t="shared" ref="AF24:AG24" si="295">AF22+AF11</f>
        <v>103145</v>
      </c>
      <c r="AG24" s="119">
        <f t="shared" si="295"/>
        <v>106681</v>
      </c>
      <c r="AH24" s="349">
        <f t="shared" si="291"/>
        <v>106681</v>
      </c>
      <c r="AI24" s="119">
        <f t="shared" ref="AI24:AL24" si="296">AI22+AI11</f>
        <v>109390</v>
      </c>
      <c r="AJ24" s="119">
        <f t="shared" si="296"/>
        <v>109482</v>
      </c>
      <c r="AK24" s="119">
        <f t="shared" si="296"/>
        <v>109406</v>
      </c>
      <c r="AL24" s="702">
        <f t="shared" si="296"/>
        <v>111133</v>
      </c>
      <c r="AM24" s="119">
        <f t="shared" ref="AM24:AN24" si="297">AM22+AM11</f>
        <v>109482</v>
      </c>
      <c r="AN24" s="119">
        <f t="shared" si="297"/>
        <v>111133</v>
      </c>
      <c r="AO24" s="349">
        <f t="shared" si="291"/>
        <v>111133</v>
      </c>
      <c r="AP24" s="119">
        <f t="shared" ref="AP24:AS24" si="298">AP22+AP11</f>
        <v>113762</v>
      </c>
      <c r="AQ24" s="119">
        <f t="shared" si="298"/>
        <v>113433</v>
      </c>
      <c r="AR24" s="119">
        <f t="shared" si="298"/>
        <v>113463</v>
      </c>
      <c r="AS24" s="702">
        <f t="shared" si="298"/>
        <v>113937</v>
      </c>
      <c r="AT24" s="119">
        <f t="shared" ref="AT24:AU24" si="299">AT22+AT11</f>
        <v>113433</v>
      </c>
      <c r="AU24" s="119">
        <f t="shared" si="299"/>
        <v>113937</v>
      </c>
      <c r="AV24" s="349">
        <f t="shared" si="291"/>
        <v>113937</v>
      </c>
      <c r="AW24" s="119"/>
      <c r="AX24" s="119"/>
      <c r="AY24" s="119"/>
      <c r="AZ24" s="702"/>
      <c r="BA24" s="119"/>
      <c r="BB24" s="119"/>
      <c r="BC24" s="349">
        <f t="shared" si="291"/>
        <v>109449</v>
      </c>
      <c r="BD24" s="119">
        <f t="shared" ref="BD24:BG24" si="300">BD22+BD11</f>
        <v>112477</v>
      </c>
      <c r="BE24" s="119">
        <f t="shared" si="300"/>
        <v>108287</v>
      </c>
      <c r="BF24" s="119">
        <f t="shared" si="300"/>
        <v>116046</v>
      </c>
      <c r="BG24" s="702">
        <f t="shared" si="300"/>
        <v>115198</v>
      </c>
      <c r="BH24" s="119">
        <f t="shared" ref="BH24:BI24" si="301">BH22+BH11</f>
        <v>108287</v>
      </c>
      <c r="BI24" s="119">
        <f t="shared" si="301"/>
        <v>115198</v>
      </c>
      <c r="BJ24" s="349">
        <f t="shared" si="291"/>
        <v>115198</v>
      </c>
      <c r="BK24" s="119">
        <f t="shared" ref="BK24:BN24" si="302">BK22+BK11</f>
        <v>117470</v>
      </c>
      <c r="BL24" s="119">
        <f t="shared" si="302"/>
        <v>112456</v>
      </c>
      <c r="BM24" s="119">
        <f t="shared" si="302"/>
        <v>114301</v>
      </c>
      <c r="BN24" s="702">
        <f t="shared" si="302"/>
        <v>114409</v>
      </c>
      <c r="BO24" s="119">
        <f t="shared" ref="BO24:BP24" si="303">BO22+BO11</f>
        <v>112456</v>
      </c>
      <c r="BP24" s="119">
        <f t="shared" si="303"/>
        <v>114409</v>
      </c>
      <c r="BQ24" s="349">
        <f t="shared" si="291"/>
        <v>114409</v>
      </c>
      <c r="BR24" s="119">
        <f t="shared" ref="BR24:BU24" si="304">BR22+BR11</f>
        <v>114003</v>
      </c>
      <c r="BS24" s="119">
        <f t="shared" si="304"/>
        <v>112871</v>
      </c>
      <c r="BT24" s="119">
        <f t="shared" si="304"/>
        <v>113306</v>
      </c>
      <c r="BU24" s="702">
        <f t="shared" si="304"/>
        <v>110095</v>
      </c>
      <c r="BV24" s="119">
        <f t="shared" ref="BV24:BW24" si="305">BV22+BV11</f>
        <v>112871</v>
      </c>
      <c r="BW24" s="119">
        <f t="shared" si="305"/>
        <v>110095</v>
      </c>
      <c r="BX24" s="349">
        <f t="shared" si="291"/>
        <v>110095</v>
      </c>
      <c r="BY24" s="119">
        <f t="shared" ref="BY24:CB24" si="306">BY22+BY11</f>
        <v>111243</v>
      </c>
      <c r="BZ24" s="119">
        <f t="shared" si="306"/>
        <v>107420</v>
      </c>
      <c r="CA24" s="119">
        <f t="shared" si="306"/>
        <v>108196</v>
      </c>
      <c r="CB24" s="702">
        <f t="shared" si="306"/>
        <v>107047</v>
      </c>
      <c r="CC24" s="119">
        <f t="shared" ref="CC24:CD24" si="307">CC22+CC11</f>
        <v>107420</v>
      </c>
      <c r="CD24" s="119">
        <f t="shared" si="307"/>
        <v>107047</v>
      </c>
      <c r="CE24" s="349">
        <f t="shared" si="291"/>
        <v>107047</v>
      </c>
      <c r="CF24" s="119">
        <f t="shared" ref="CF24:CI24" si="308">CF22+CF11</f>
        <v>110157</v>
      </c>
      <c r="CG24" s="119">
        <f t="shared" si="308"/>
        <v>113644</v>
      </c>
      <c r="CH24" s="119">
        <f t="shared" si="308"/>
        <v>121338</v>
      </c>
      <c r="CI24" s="702">
        <f t="shared" si="308"/>
        <v>115944</v>
      </c>
      <c r="CJ24" s="119">
        <f t="shared" ref="CJ24:CK24" si="309">CJ22+CJ11</f>
        <v>113644</v>
      </c>
      <c r="CK24" s="119">
        <f t="shared" si="309"/>
        <v>115944</v>
      </c>
      <c r="CL24" s="349">
        <f t="shared" si="291"/>
        <v>115944</v>
      </c>
      <c r="CM24" s="119">
        <f t="shared" ref="CM24:CP24" si="310">CM22+CM11</f>
        <v>118060</v>
      </c>
      <c r="CN24" s="119">
        <f t="shared" si="310"/>
        <v>119089</v>
      </c>
      <c r="CO24" s="119">
        <f t="shared" si="310"/>
        <v>121099</v>
      </c>
      <c r="CP24" s="702">
        <f t="shared" si="310"/>
        <v>118871</v>
      </c>
      <c r="CQ24" s="119">
        <f t="shared" ref="CQ24:CR24" si="311">CQ22+CQ11</f>
        <v>119089</v>
      </c>
      <c r="CR24" s="119">
        <f t="shared" si="311"/>
        <v>118871</v>
      </c>
      <c r="CS24" s="349">
        <f t="shared" si="291"/>
        <v>118871</v>
      </c>
      <c r="CT24" s="119">
        <f t="shared" ref="CT24:CW24" si="312">CT22+CT11</f>
        <v>122757</v>
      </c>
      <c r="CU24" s="119">
        <f t="shared" si="312"/>
        <v>123040</v>
      </c>
      <c r="CV24" s="119">
        <f t="shared" si="312"/>
        <v>124058</v>
      </c>
      <c r="CW24" s="702">
        <f t="shared" si="312"/>
        <v>129213</v>
      </c>
      <c r="CX24" s="119">
        <f t="shared" ref="CX24:CZ24" si="313">CX22+CX11</f>
        <v>123040</v>
      </c>
      <c r="CY24" s="119">
        <f t="shared" si="313"/>
        <v>129213</v>
      </c>
      <c r="CZ24" s="349">
        <f t="shared" si="313"/>
        <v>129213</v>
      </c>
      <c r="DA24" s="119">
        <f t="shared" ref="DA24:DB24" si="314">DA22+DA11</f>
        <v>132400</v>
      </c>
      <c r="DB24" s="119">
        <f t="shared" si="314"/>
        <v>129040</v>
      </c>
      <c r="DC24" s="119">
        <f t="shared" ref="DC24:DG24" si="315">DC22+DC11</f>
        <v>129670</v>
      </c>
      <c r="DD24" s="702">
        <f t="shared" si="315"/>
        <v>134939</v>
      </c>
      <c r="DE24" s="119">
        <f t="shared" si="315"/>
        <v>129040</v>
      </c>
      <c r="DF24" s="119">
        <f t="shared" si="315"/>
        <v>134939</v>
      </c>
      <c r="DG24" s="349">
        <f t="shared" si="315"/>
        <v>134939</v>
      </c>
      <c r="DH24" s="24">
        <f t="shared" si="291"/>
        <v>138700</v>
      </c>
      <c r="DI24" s="119">
        <f t="shared" si="291"/>
        <v>139002</v>
      </c>
      <c r="DJ24" s="464">
        <f t="shared" si="291"/>
        <v>133078.45558561181</v>
      </c>
      <c r="DK24" s="465">
        <f t="shared" si="291"/>
        <v>141612.39196841297</v>
      </c>
      <c r="DL24" s="2008">
        <f t="shared" ref="DL24" si="316">DL22+DL11</f>
        <v>139002</v>
      </c>
      <c r="DM24" s="464">
        <f t="shared" si="291"/>
        <v>141612.39196841297</v>
      </c>
      <c r="DN24" s="1614">
        <f t="shared" si="291"/>
        <v>141612.39196841297</v>
      </c>
      <c r="DO24" s="464">
        <f t="shared" si="291"/>
        <v>138415.82180584193</v>
      </c>
      <c r="DP24" s="462">
        <f t="shared" si="291"/>
        <v>140238.10463388183</v>
      </c>
      <c r="DQ24" s="464">
        <f t="shared" si="291"/>
        <v>145536.49634560762</v>
      </c>
      <c r="DR24" s="465">
        <f t="shared" si="291"/>
        <v>148410.95104870814</v>
      </c>
      <c r="DS24" s="464">
        <f t="shared" si="291"/>
        <v>140238.10463388183</v>
      </c>
      <c r="DT24" s="464">
        <f t="shared" si="291"/>
        <v>148410.95104870814</v>
      </c>
      <c r="DU24" s="1614">
        <f t="shared" si="291"/>
        <v>148410.95104870814</v>
      </c>
      <c r="DV24" s="464">
        <f t="shared" si="291"/>
        <v>144384.22090968137</v>
      </c>
      <c r="DW24" s="462">
        <f t="shared" si="291"/>
        <v>146305.80803096143</v>
      </c>
      <c r="DX24" s="464">
        <f t="shared" si="291"/>
        <v>152199.83015413396</v>
      </c>
      <c r="DY24" s="465">
        <f t="shared" si="291"/>
        <v>155823.13539798997</v>
      </c>
      <c r="DZ24" s="464">
        <f t="shared" si="291"/>
        <v>146305.80803096143</v>
      </c>
      <c r="EA24" s="464">
        <f t="shared" si="291"/>
        <v>155823.13539798997</v>
      </c>
      <c r="EB24" s="1614">
        <f t="shared" si="291"/>
        <v>155823.13539798997</v>
      </c>
      <c r="EC24" s="464">
        <f t="shared" si="291"/>
        <v>153722.78985373492</v>
      </c>
      <c r="ED24" s="462">
        <f t="shared" si="291"/>
        <v>153789.20858898771</v>
      </c>
      <c r="EE24" s="464">
        <f t="shared" si="291"/>
        <v>158515.13418125419</v>
      </c>
      <c r="EF24" s="465">
        <f t="shared" si="291"/>
        <v>163100.08249189553</v>
      </c>
      <c r="EG24" s="464">
        <f t="shared" si="291"/>
        <v>153789.20858898771</v>
      </c>
      <c r="EH24" s="464">
        <f t="shared" si="291"/>
        <v>163100.08249189553</v>
      </c>
      <c r="EI24" s="1614">
        <f t="shared" si="291"/>
        <v>163100.08249189553</v>
      </c>
      <c r="EJ24" s="464">
        <f t="shared" si="291"/>
        <v>160502.69961267919</v>
      </c>
      <c r="EK24" s="462">
        <f t="shared" si="291"/>
        <v>162017.1748370626</v>
      </c>
      <c r="EL24" s="464">
        <f t="shared" si="291"/>
        <v>167023.78289218486</v>
      </c>
      <c r="EM24" s="465">
        <f t="shared" si="291"/>
        <v>171830.60315617939</v>
      </c>
      <c r="EN24" s="464">
        <f t="shared" si="291"/>
        <v>162017.1748370626</v>
      </c>
      <c r="EO24" s="464">
        <f t="shared" si="291"/>
        <v>171830.60315617939</v>
      </c>
      <c r="EP24" s="1614">
        <f t="shared" si="291"/>
        <v>171830.60315617939</v>
      </c>
      <c r="EQ24" s="303"/>
      <c r="ER24" s="46"/>
    </row>
    <row r="25" spans="1:148" ht="10.199999999999999" customHeight="1">
      <c r="A25" s="43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695"/>
      <c r="R25" s="158"/>
      <c r="S25" s="158"/>
      <c r="T25" s="1301"/>
      <c r="U25" s="158"/>
      <c r="V25" s="158"/>
      <c r="W25" s="158"/>
      <c r="X25" s="695"/>
      <c r="Y25" s="158"/>
      <c r="Z25" s="158"/>
      <c r="AA25" s="1301"/>
      <c r="AB25" s="158"/>
      <c r="AC25" s="158"/>
      <c r="AD25" s="158"/>
      <c r="AE25" s="695"/>
      <c r="AF25" s="158"/>
      <c r="AG25" s="158"/>
      <c r="AH25" s="1301"/>
      <c r="AI25" s="158"/>
      <c r="AJ25" s="158"/>
      <c r="AK25" s="158"/>
      <c r="AL25" s="695"/>
      <c r="AM25" s="158"/>
      <c r="AN25" s="158"/>
      <c r="AO25" s="1301"/>
      <c r="AP25" s="158"/>
      <c r="AQ25" s="158"/>
      <c r="AR25" s="158"/>
      <c r="AS25" s="695"/>
      <c r="AT25" s="158"/>
      <c r="AU25" s="158"/>
      <c r="AV25" s="1301"/>
      <c r="AW25" s="158"/>
      <c r="AX25" s="158"/>
      <c r="AY25" s="158"/>
      <c r="AZ25" s="695"/>
      <c r="BA25" s="158"/>
      <c r="BB25" s="158"/>
      <c r="BC25" s="1301"/>
      <c r="BD25" s="158"/>
      <c r="BE25" s="158"/>
      <c r="BF25" s="158"/>
      <c r="BG25" s="695"/>
      <c r="BH25" s="158"/>
      <c r="BI25" s="158"/>
      <c r="BJ25" s="1301"/>
      <c r="BK25" s="158"/>
      <c r="BL25" s="158"/>
      <c r="BM25" s="158"/>
      <c r="BN25" s="695"/>
      <c r="BO25" s="158"/>
      <c r="BP25" s="158"/>
      <c r="BQ25" s="1301"/>
      <c r="BR25" s="158"/>
      <c r="BS25" s="158"/>
      <c r="BT25" s="158"/>
      <c r="BU25" s="695"/>
      <c r="BV25" s="158"/>
      <c r="BW25" s="158"/>
      <c r="BX25" s="1301"/>
      <c r="BY25" s="158"/>
      <c r="BZ25" s="158"/>
      <c r="CA25" s="158"/>
      <c r="CB25" s="695"/>
      <c r="CC25" s="158"/>
      <c r="CD25" s="158"/>
      <c r="CE25" s="1301"/>
      <c r="CF25" s="158"/>
      <c r="CG25" s="158"/>
      <c r="CH25" s="158"/>
      <c r="CI25" s="695"/>
      <c r="CJ25" s="158"/>
      <c r="CK25" s="158"/>
      <c r="CL25" s="1301"/>
      <c r="CM25" s="158"/>
      <c r="CN25" s="158"/>
      <c r="CO25" s="158"/>
      <c r="CP25" s="695"/>
      <c r="CQ25" s="158"/>
      <c r="CR25" s="158"/>
      <c r="CS25" s="1301"/>
      <c r="CT25" s="158"/>
      <c r="CU25" s="158"/>
      <c r="CV25" s="158"/>
      <c r="CW25" s="695"/>
      <c r="CX25" s="158"/>
      <c r="CY25" s="158"/>
      <c r="CZ25" s="1301"/>
      <c r="DA25" s="18"/>
      <c r="DB25" s="158"/>
      <c r="DC25" s="158"/>
      <c r="DD25" s="695"/>
      <c r="DE25" s="158"/>
      <c r="DF25" s="158"/>
      <c r="DG25" s="1301"/>
      <c r="DH25" s="818"/>
      <c r="DI25" s="158"/>
      <c r="DJ25" s="18"/>
      <c r="DK25" s="695"/>
      <c r="DL25" s="2006"/>
      <c r="DM25" s="158"/>
      <c r="DN25" s="1503"/>
      <c r="DO25" s="18"/>
      <c r="DP25" s="327"/>
      <c r="DQ25" s="18"/>
      <c r="DR25" s="695"/>
      <c r="DS25" s="18"/>
      <c r="DT25" s="158"/>
      <c r="DU25" s="1503"/>
      <c r="DV25" s="18"/>
      <c r="DW25" s="327"/>
      <c r="DX25" s="18"/>
      <c r="DY25" s="695"/>
      <c r="DZ25" s="18"/>
      <c r="EA25" s="158"/>
      <c r="EB25" s="1503"/>
      <c r="EC25" s="18"/>
      <c r="ED25" s="327"/>
      <c r="EE25" s="18"/>
      <c r="EF25" s="695"/>
      <c r="EG25" s="18"/>
      <c r="EH25" s="158"/>
      <c r="EI25" s="1503"/>
      <c r="EJ25" s="18"/>
      <c r="EK25" s="327"/>
      <c r="EL25" s="18"/>
      <c r="EM25" s="695"/>
      <c r="EN25" s="18"/>
      <c r="EO25" s="158"/>
      <c r="EP25" s="1503"/>
      <c r="EQ25" s="303"/>
      <c r="ER25" s="46"/>
    </row>
    <row r="26" spans="1:148" ht="10.199999999999999" customHeight="1">
      <c r="A26" s="43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695"/>
      <c r="R26" s="158"/>
      <c r="S26" s="158"/>
      <c r="T26" s="1301"/>
      <c r="U26" s="158"/>
      <c r="V26" s="158"/>
      <c r="W26" s="158"/>
      <c r="X26" s="695"/>
      <c r="Y26" s="158"/>
      <c r="Z26" s="158"/>
      <c r="AA26" s="1301"/>
      <c r="AB26" s="158"/>
      <c r="AC26" s="158"/>
      <c r="AD26" s="158"/>
      <c r="AE26" s="695"/>
      <c r="AF26" s="158"/>
      <c r="AG26" s="158"/>
      <c r="AH26" s="1301"/>
      <c r="AI26" s="158"/>
      <c r="AJ26" s="158"/>
      <c r="AK26" s="158"/>
      <c r="AL26" s="695"/>
      <c r="AM26" s="158"/>
      <c r="AN26" s="158"/>
      <c r="AO26" s="1301"/>
      <c r="AP26" s="158"/>
      <c r="AQ26" s="158"/>
      <c r="AR26" s="158"/>
      <c r="AS26" s="695"/>
      <c r="AT26" s="158"/>
      <c r="AU26" s="158"/>
      <c r="AV26" s="1301"/>
      <c r="AW26" s="158"/>
      <c r="AX26" s="158"/>
      <c r="AY26" s="158"/>
      <c r="AZ26" s="695"/>
      <c r="BA26" s="158"/>
      <c r="BB26" s="158"/>
      <c r="BC26" s="1301"/>
      <c r="BD26" s="158"/>
      <c r="BE26" s="158"/>
      <c r="BF26" s="158"/>
      <c r="BG26" s="695"/>
      <c r="BH26" s="158"/>
      <c r="BI26" s="158"/>
      <c r="BJ26" s="1301"/>
      <c r="BK26" s="158"/>
      <c r="BL26" s="158"/>
      <c r="BM26" s="158"/>
      <c r="BN26" s="695"/>
      <c r="BO26" s="158"/>
      <c r="BP26" s="158"/>
      <c r="BQ26" s="1301"/>
      <c r="BR26" s="158"/>
      <c r="BS26" s="158"/>
      <c r="BT26" s="158"/>
      <c r="BU26" s="695"/>
      <c r="BV26" s="158"/>
      <c r="BW26" s="158"/>
      <c r="BX26" s="1301"/>
      <c r="BY26" s="158"/>
      <c r="BZ26" s="158"/>
      <c r="CA26" s="158"/>
      <c r="CB26" s="695"/>
      <c r="CC26" s="158"/>
      <c r="CD26" s="158"/>
      <c r="CE26" s="1301"/>
      <c r="CF26" s="158"/>
      <c r="CG26" s="158"/>
      <c r="CH26" s="158"/>
      <c r="CI26" s="695"/>
      <c r="CJ26" s="158"/>
      <c r="CK26" s="158"/>
      <c r="CL26" s="1301"/>
      <c r="CM26" s="158"/>
      <c r="CN26" s="158"/>
      <c r="CO26" s="158"/>
      <c r="CP26" s="695"/>
      <c r="CQ26" s="158"/>
      <c r="CR26" s="158"/>
      <c r="CS26" s="1301"/>
      <c r="CT26" s="158"/>
      <c r="CU26" s="158"/>
      <c r="CV26" s="158"/>
      <c r="CW26" s="695"/>
      <c r="CX26" s="158"/>
      <c r="CY26" s="158"/>
      <c r="CZ26" s="1301"/>
      <c r="DA26" s="18"/>
      <c r="DB26" s="158"/>
      <c r="DC26" s="158"/>
      <c r="DD26" s="695"/>
      <c r="DE26" s="158"/>
      <c r="DF26" s="158"/>
      <c r="DG26" s="1301"/>
      <c r="DH26" s="818"/>
      <c r="DI26" s="158"/>
      <c r="DJ26" s="18"/>
      <c r="DK26" s="695"/>
      <c r="DL26" s="2006"/>
      <c r="DM26" s="158"/>
      <c r="DN26" s="1503"/>
      <c r="DO26" s="18"/>
      <c r="DP26" s="327"/>
      <c r="DQ26" s="18"/>
      <c r="DR26" s="695"/>
      <c r="DS26" s="18"/>
      <c r="DT26" s="158"/>
      <c r="DU26" s="1503"/>
      <c r="DV26" s="18"/>
      <c r="DW26" s="327"/>
      <c r="DX26" s="18"/>
      <c r="DY26" s="695"/>
      <c r="DZ26" s="18"/>
      <c r="EA26" s="158"/>
      <c r="EB26" s="1503"/>
      <c r="EC26" s="18"/>
      <c r="ED26" s="327"/>
      <c r="EE26" s="18"/>
      <c r="EF26" s="695"/>
      <c r="EG26" s="18"/>
      <c r="EH26" s="158"/>
      <c r="EI26" s="1503"/>
      <c r="EJ26" s="18"/>
      <c r="EK26" s="327"/>
      <c r="EL26" s="18"/>
      <c r="EM26" s="695"/>
      <c r="EN26" s="18"/>
      <c r="EO26" s="158"/>
      <c r="EP26" s="1503"/>
      <c r="EQ26" s="303"/>
      <c r="ER26" s="46"/>
    </row>
    <row r="27" spans="1:148" ht="10.199999999999999" customHeight="1">
      <c r="A27" s="43" t="s">
        <v>262</v>
      </c>
      <c r="B27" s="133">
        <v>4330</v>
      </c>
      <c r="C27" s="133">
        <v>2328</v>
      </c>
      <c r="D27" s="133">
        <v>1834</v>
      </c>
      <c r="E27" s="158">
        <v>2350</v>
      </c>
      <c r="F27" s="158">
        <v>2727</v>
      </c>
      <c r="G27" s="158">
        <v>3552</v>
      </c>
      <c r="H27" s="158">
        <v>4378</v>
      </c>
      <c r="I27" s="158">
        <v>4583</v>
      </c>
      <c r="J27" s="158">
        <v>5883</v>
      </c>
      <c r="K27" s="158">
        <v>5766</v>
      </c>
      <c r="L27" s="158">
        <v>5856</v>
      </c>
      <c r="M27" s="158">
        <v>6045</v>
      </c>
      <c r="N27" s="158"/>
      <c r="O27" s="158"/>
      <c r="P27" s="158"/>
      <c r="Q27" s="695"/>
      <c r="R27" s="158"/>
      <c r="S27" s="158"/>
      <c r="T27" s="1301">
        <v>5222</v>
      </c>
      <c r="U27" s="158">
        <v>4911</v>
      </c>
      <c r="V27" s="158">
        <f t="shared" ref="V27:V45" si="317">Y27</f>
        <v>4664</v>
      </c>
      <c r="W27" s="158">
        <v>4678</v>
      </c>
      <c r="X27" s="695">
        <f t="shared" ref="X27:X34" si="318">Z27</f>
        <v>5712</v>
      </c>
      <c r="Y27" s="158">
        <v>4664</v>
      </c>
      <c r="Z27" s="158">
        <f t="shared" ref="Z27:Z34" si="319">AA27</f>
        <v>5712</v>
      </c>
      <c r="AA27" s="1301">
        <v>5712</v>
      </c>
      <c r="AB27" s="158">
        <v>5395</v>
      </c>
      <c r="AC27" s="158">
        <f t="shared" ref="AC27:AC45" si="320">AF27</f>
        <v>4762</v>
      </c>
      <c r="AD27" s="158">
        <v>4841</v>
      </c>
      <c r="AE27" s="695">
        <f t="shared" ref="AE27:AE34" si="321">AG27</f>
        <v>5209</v>
      </c>
      <c r="AF27" s="158">
        <v>4762</v>
      </c>
      <c r="AG27" s="158">
        <f t="shared" ref="AG27:AG34" si="322">AH27</f>
        <v>5209</v>
      </c>
      <c r="AH27" s="1301">
        <v>5209</v>
      </c>
      <c r="AI27" s="158">
        <v>4754</v>
      </c>
      <c r="AJ27" s="158">
        <f t="shared" ref="AJ27:AJ45" si="323">AM27</f>
        <v>4994</v>
      </c>
      <c r="AK27" s="158">
        <v>5066</v>
      </c>
      <c r="AL27" s="695">
        <f t="shared" ref="AL27:AL34" si="324">AN27</f>
        <v>6143</v>
      </c>
      <c r="AM27" s="158">
        <v>4994</v>
      </c>
      <c r="AN27" s="158">
        <f t="shared" ref="AN27:AN34" si="325">AO27</f>
        <v>6143</v>
      </c>
      <c r="AO27" s="1301">
        <v>6143</v>
      </c>
      <c r="AP27" s="158">
        <v>5848</v>
      </c>
      <c r="AQ27" s="158">
        <f t="shared" ref="AQ27:AQ45" si="326">AT27</f>
        <v>5360</v>
      </c>
      <c r="AR27" s="158">
        <v>5228</v>
      </c>
      <c r="AS27" s="695">
        <f t="shared" ref="AS27:AS34" si="327">AU27</f>
        <v>6575</v>
      </c>
      <c r="AT27" s="158">
        <v>5360</v>
      </c>
      <c r="AU27" s="158">
        <f t="shared" ref="AU27:AU34" si="328">AV27</f>
        <v>6575</v>
      </c>
      <c r="AV27" s="1301">
        <v>6575</v>
      </c>
      <c r="AW27" s="158"/>
      <c r="AX27" s="158"/>
      <c r="AY27" s="158"/>
      <c r="AZ27" s="695"/>
      <c r="BA27" s="158"/>
      <c r="BB27" s="158"/>
      <c r="BC27" s="1301">
        <f>6272</f>
        <v>6272</v>
      </c>
      <c r="BD27" s="158">
        <v>5891</v>
      </c>
      <c r="BE27" s="158">
        <f t="shared" ref="BE27:BE45" si="329">BH27</f>
        <v>5684</v>
      </c>
      <c r="BF27" s="158">
        <v>5510</v>
      </c>
      <c r="BG27" s="695">
        <f t="shared" ref="BG27:BG34" si="330">BI27</f>
        <v>7317</v>
      </c>
      <c r="BH27" s="158">
        <v>5684</v>
      </c>
      <c r="BI27" s="158">
        <f t="shared" ref="BI27:BI34" si="331">BJ27</f>
        <v>7317</v>
      </c>
      <c r="BJ27" s="1301">
        <v>7317</v>
      </c>
      <c r="BK27" s="158">
        <v>6197</v>
      </c>
      <c r="BL27" s="158">
        <f t="shared" ref="BL27:BL45" si="332">BO27</f>
        <v>5998</v>
      </c>
      <c r="BM27" s="158">
        <v>5714</v>
      </c>
      <c r="BN27" s="695">
        <f t="shared" ref="BN27:BN34" si="333">BP27</f>
        <v>6372</v>
      </c>
      <c r="BO27" s="158">
        <v>5998</v>
      </c>
      <c r="BP27" s="158">
        <f t="shared" ref="BP27:BP34" si="334">BQ27</f>
        <v>6372</v>
      </c>
      <c r="BQ27" s="1301">
        <v>6372</v>
      </c>
      <c r="BR27" s="158">
        <v>6033</v>
      </c>
      <c r="BS27" s="158">
        <f t="shared" ref="BS27:BS45" si="335">BV27</f>
        <v>6030</v>
      </c>
      <c r="BT27" s="158">
        <v>7081</v>
      </c>
      <c r="BU27" s="695">
        <f t="shared" ref="BU27:BU34" si="336">BW27</f>
        <v>6545</v>
      </c>
      <c r="BV27" s="158">
        <v>6030</v>
      </c>
      <c r="BW27" s="158">
        <f t="shared" ref="BW27:BW34" si="337">BX27</f>
        <v>6545</v>
      </c>
      <c r="BX27" s="1301">
        <v>6545</v>
      </c>
      <c r="BY27" s="158">
        <v>6104</v>
      </c>
      <c r="BZ27" s="158">
        <f t="shared" ref="BZ27:BZ45" si="338">CC27</f>
        <v>5319</v>
      </c>
      <c r="CA27" s="158">
        <v>5197</v>
      </c>
      <c r="CB27" s="695">
        <f t="shared" ref="CB27:CB34" si="339">CD27</f>
        <v>4510</v>
      </c>
      <c r="CC27" s="158">
        <v>5319</v>
      </c>
      <c r="CD27" s="158">
        <f t="shared" ref="CD27:CD34" si="340">CE27</f>
        <v>4510</v>
      </c>
      <c r="CE27" s="1301">
        <v>4510</v>
      </c>
      <c r="CF27" s="158">
        <v>4447</v>
      </c>
      <c r="CG27" s="158">
        <f t="shared" ref="CG27:CG45" si="341">CJ27</f>
        <v>4080</v>
      </c>
      <c r="CH27" s="158">
        <v>4277</v>
      </c>
      <c r="CI27" s="695">
        <f t="shared" ref="CI27:CI34" si="342">CK27</f>
        <v>4127</v>
      </c>
      <c r="CJ27" s="158">
        <v>4080</v>
      </c>
      <c r="CK27" s="158">
        <f t="shared" ref="CK27:CK34" si="343">CL27</f>
        <v>4127</v>
      </c>
      <c r="CL27" s="1301">
        <v>4127</v>
      </c>
      <c r="CM27" s="158">
        <v>4008</v>
      </c>
      <c r="CN27" s="158">
        <f t="shared" ref="CN27:CN45" si="344">CQ27</f>
        <v>3713</v>
      </c>
      <c r="CO27" s="158">
        <v>3930</v>
      </c>
      <c r="CP27" s="695">
        <f t="shared" ref="CP27:CP34" si="345">CR27</f>
        <v>4161</v>
      </c>
      <c r="CQ27" s="158">
        <v>3713</v>
      </c>
      <c r="CR27" s="158">
        <f t="shared" ref="CR27:CR34" si="346">CS27</f>
        <v>4161</v>
      </c>
      <c r="CS27" s="1301">
        <v>4161</v>
      </c>
      <c r="CT27" s="158">
        <v>4125</v>
      </c>
      <c r="CU27" s="158">
        <f t="shared" ref="CU27:CU45" si="347">CX27</f>
        <v>4182</v>
      </c>
      <c r="CV27" s="158">
        <v>4049</v>
      </c>
      <c r="CW27" s="695">
        <f t="shared" ref="CW27:CW34" si="348">CY27</f>
        <v>4307</v>
      </c>
      <c r="CX27" s="158">
        <v>4182</v>
      </c>
      <c r="CY27" s="158">
        <f t="shared" ref="CY27:CY34" si="349">CZ27</f>
        <v>4307</v>
      </c>
      <c r="CZ27" s="1301">
        <v>4307</v>
      </c>
      <c r="DA27" s="2097">
        <v>4275</v>
      </c>
      <c r="DB27" s="158">
        <f t="shared" ref="DB27:DB45" si="350">DE27</f>
        <v>4106</v>
      </c>
      <c r="DC27" s="158">
        <v>4163</v>
      </c>
      <c r="DD27" s="695">
        <f t="shared" ref="DD27:DD34" si="351">DF27</f>
        <v>4369</v>
      </c>
      <c r="DE27" s="1808">
        <v>4106</v>
      </c>
      <c r="DF27" s="158">
        <f t="shared" ref="DF27:DF34" si="352">DG27</f>
        <v>4369</v>
      </c>
      <c r="DG27" s="1364">
        <v>4369</v>
      </c>
      <c r="DH27" s="818">
        <v>4163</v>
      </c>
      <c r="DI27" s="158">
        <f t="shared" ref="DI27:DI45" si="353">DL27</f>
        <v>3735</v>
      </c>
      <c r="DJ27" s="819">
        <f t="shared" ref="DJ27" si="354">DJ252-DJ37</f>
        <v>3663.5</v>
      </c>
      <c r="DK27" s="453">
        <f t="shared" ref="DK27:DK34" si="355">DM27</f>
        <v>3767</v>
      </c>
      <c r="DL27" s="2006">
        <v>3735</v>
      </c>
      <c r="DM27" s="327">
        <f t="shared" ref="DM27:DM34" si="356">DN27</f>
        <v>3767</v>
      </c>
      <c r="DN27" s="1544">
        <f t="shared" ref="DN27:EP27" si="357">DN252-DN37</f>
        <v>3767</v>
      </c>
      <c r="DO27" s="819">
        <f t="shared" si="357"/>
        <v>3692</v>
      </c>
      <c r="DP27" s="327">
        <f t="shared" ref="DP27:DP34" si="358">DS27</f>
        <v>3617</v>
      </c>
      <c r="DQ27" s="819">
        <f t="shared" ref="DQ27" si="359">DQ252-DQ37</f>
        <v>3542</v>
      </c>
      <c r="DR27" s="453">
        <f t="shared" ref="DR27:DR34" si="360">DT27</f>
        <v>3467</v>
      </c>
      <c r="DS27" s="819">
        <f t="shared" ref="DS27" si="361">DS252-DS37</f>
        <v>3617</v>
      </c>
      <c r="DT27" s="327">
        <f t="shared" ref="DT27:DT34" si="362">DU27</f>
        <v>3467</v>
      </c>
      <c r="DU27" s="1544">
        <f t="shared" si="357"/>
        <v>3467</v>
      </c>
      <c r="DV27" s="819">
        <f t="shared" si="357"/>
        <v>3392</v>
      </c>
      <c r="DW27" s="327">
        <f t="shared" ref="DW27:DW34" si="363">DZ27</f>
        <v>3317</v>
      </c>
      <c r="DX27" s="819">
        <f t="shared" ref="DX27" si="364">DX252-DX37</f>
        <v>3242</v>
      </c>
      <c r="DY27" s="453">
        <f t="shared" ref="DY27:DY34" si="365">EA27</f>
        <v>3167</v>
      </c>
      <c r="DZ27" s="819">
        <f t="shared" ref="DZ27" si="366">DZ252-DZ37</f>
        <v>3317</v>
      </c>
      <c r="EA27" s="327">
        <f t="shared" ref="EA27:EA34" si="367">EB27</f>
        <v>3167</v>
      </c>
      <c r="EB27" s="1544">
        <f t="shared" si="357"/>
        <v>3167</v>
      </c>
      <c r="EC27" s="819">
        <f t="shared" si="357"/>
        <v>3092</v>
      </c>
      <c r="ED27" s="327">
        <f t="shared" ref="ED27:ED34" si="368">EG27</f>
        <v>3017</v>
      </c>
      <c r="EE27" s="819">
        <f t="shared" ref="EE27" si="369">EE252-EE37</f>
        <v>2942</v>
      </c>
      <c r="EF27" s="453">
        <f t="shared" ref="EF27:EF34" si="370">EH27</f>
        <v>2867</v>
      </c>
      <c r="EG27" s="819">
        <f t="shared" ref="EG27" si="371">EG252-EG37</f>
        <v>3017</v>
      </c>
      <c r="EH27" s="327">
        <f t="shared" ref="EH27:EH34" si="372">EI27</f>
        <v>2867</v>
      </c>
      <c r="EI27" s="1544">
        <f t="shared" si="357"/>
        <v>2867</v>
      </c>
      <c r="EJ27" s="819">
        <f t="shared" si="357"/>
        <v>2792</v>
      </c>
      <c r="EK27" s="327">
        <f t="shared" ref="EK27:EK34" si="373">EN27</f>
        <v>2717</v>
      </c>
      <c r="EL27" s="819">
        <f t="shared" ref="EL27" si="374">EL252-EL37</f>
        <v>2642</v>
      </c>
      <c r="EM27" s="453">
        <f t="shared" ref="EM27:EM34" si="375">EO27</f>
        <v>2567</v>
      </c>
      <c r="EN27" s="819">
        <f t="shared" ref="EN27" si="376">EN252-EN37</f>
        <v>2717</v>
      </c>
      <c r="EO27" s="327">
        <f t="shared" ref="EO27:EO34" si="377">EP27</f>
        <v>2567</v>
      </c>
      <c r="EP27" s="1544">
        <f t="shared" si="357"/>
        <v>2567</v>
      </c>
      <c r="EQ27" s="303"/>
      <c r="ER27" s="46"/>
    </row>
    <row r="28" spans="1:148" ht="10.199999999999999" customHeight="1">
      <c r="A28" s="43" t="s">
        <v>208</v>
      </c>
      <c r="B28" s="133">
        <v>1462</v>
      </c>
      <c r="C28" s="158">
        <v>1185</v>
      </c>
      <c r="D28" s="158">
        <v>978</v>
      </c>
      <c r="E28" s="133">
        <v>818</v>
      </c>
      <c r="F28" s="133">
        <v>908</v>
      </c>
      <c r="G28" s="133">
        <v>2196</v>
      </c>
      <c r="H28" s="133">
        <v>1724</v>
      </c>
      <c r="I28" s="133">
        <v>1458</v>
      </c>
      <c r="J28" s="133">
        <v>2429</v>
      </c>
      <c r="K28" s="158">
        <v>1408</v>
      </c>
      <c r="L28" s="158">
        <v>1476</v>
      </c>
      <c r="M28" s="158">
        <v>1273</v>
      </c>
      <c r="N28" s="158"/>
      <c r="O28" s="158"/>
      <c r="P28" s="158"/>
      <c r="Q28" s="695"/>
      <c r="R28" s="158"/>
      <c r="S28" s="158"/>
      <c r="T28" s="1301">
        <v>1826</v>
      </c>
      <c r="U28" s="158">
        <v>2794</v>
      </c>
      <c r="V28" s="158">
        <f t="shared" si="317"/>
        <v>3297</v>
      </c>
      <c r="W28" s="158">
        <v>1893</v>
      </c>
      <c r="X28" s="695">
        <f t="shared" si="318"/>
        <v>1073</v>
      </c>
      <c r="Y28" s="158">
        <v>3297</v>
      </c>
      <c r="Z28" s="158">
        <f t="shared" si="319"/>
        <v>1073</v>
      </c>
      <c r="AA28" s="1301">
        <v>1073</v>
      </c>
      <c r="AB28" s="158">
        <v>1177</v>
      </c>
      <c r="AC28" s="158">
        <f t="shared" si="320"/>
        <v>1717</v>
      </c>
      <c r="AD28" s="158">
        <v>3373</v>
      </c>
      <c r="AE28" s="695">
        <f t="shared" si="321"/>
        <v>2790</v>
      </c>
      <c r="AF28" s="158">
        <v>1717</v>
      </c>
      <c r="AG28" s="158">
        <f t="shared" si="322"/>
        <v>2790</v>
      </c>
      <c r="AH28" s="1301">
        <v>2790</v>
      </c>
      <c r="AI28" s="158">
        <v>5241</v>
      </c>
      <c r="AJ28" s="158">
        <f t="shared" si="323"/>
        <v>3411</v>
      </c>
      <c r="AK28" s="158">
        <v>2494</v>
      </c>
      <c r="AL28" s="695">
        <f t="shared" si="324"/>
        <v>1687</v>
      </c>
      <c r="AM28" s="158">
        <v>3411</v>
      </c>
      <c r="AN28" s="158">
        <f t="shared" si="325"/>
        <v>1687</v>
      </c>
      <c r="AO28" s="1301">
        <v>1687</v>
      </c>
      <c r="AP28" s="158">
        <v>1839</v>
      </c>
      <c r="AQ28" s="158">
        <f t="shared" si="326"/>
        <v>1678</v>
      </c>
      <c r="AR28" s="158">
        <v>1748</v>
      </c>
      <c r="AS28" s="695">
        <f t="shared" si="327"/>
        <v>2212</v>
      </c>
      <c r="AT28" s="158">
        <v>1678</v>
      </c>
      <c r="AU28" s="158">
        <f t="shared" si="328"/>
        <v>2212</v>
      </c>
      <c r="AV28" s="1301">
        <v>2212</v>
      </c>
      <c r="AW28" s="158"/>
      <c r="AX28" s="158"/>
      <c r="AY28" s="158"/>
      <c r="AZ28" s="695"/>
      <c r="BA28" s="158"/>
      <c r="BB28" s="158"/>
      <c r="BC28" s="1301">
        <f>2212</f>
        <v>2212</v>
      </c>
      <c r="BD28" s="158">
        <v>2326</v>
      </c>
      <c r="BE28" s="158">
        <f t="shared" si="329"/>
        <v>2071</v>
      </c>
      <c r="BF28" s="158">
        <v>3638</v>
      </c>
      <c r="BG28" s="695">
        <f t="shared" si="330"/>
        <v>1463</v>
      </c>
      <c r="BH28" s="158">
        <v>2071</v>
      </c>
      <c r="BI28" s="158">
        <f t="shared" si="331"/>
        <v>1463</v>
      </c>
      <c r="BJ28" s="1301">
        <v>1463</v>
      </c>
      <c r="BK28" s="158">
        <v>2323</v>
      </c>
      <c r="BL28" s="158">
        <f t="shared" si="332"/>
        <v>2649</v>
      </c>
      <c r="BM28" s="158">
        <v>3416</v>
      </c>
      <c r="BN28" s="695">
        <f t="shared" si="333"/>
        <v>1959</v>
      </c>
      <c r="BO28" s="158">
        <v>2649</v>
      </c>
      <c r="BP28" s="158">
        <f t="shared" si="334"/>
        <v>1959</v>
      </c>
      <c r="BQ28" s="1301">
        <v>1959</v>
      </c>
      <c r="BR28" s="158">
        <v>6397</v>
      </c>
      <c r="BS28" s="158">
        <f t="shared" si="335"/>
        <v>4629</v>
      </c>
      <c r="BT28" s="158">
        <v>4364</v>
      </c>
      <c r="BU28" s="695">
        <f t="shared" si="336"/>
        <v>3013</v>
      </c>
      <c r="BV28" s="158">
        <v>4629</v>
      </c>
      <c r="BW28" s="158">
        <f t="shared" si="337"/>
        <v>3013</v>
      </c>
      <c r="BX28" s="1301">
        <v>3013</v>
      </c>
      <c r="BY28" s="158">
        <v>2934</v>
      </c>
      <c r="BZ28" s="158">
        <f t="shared" si="338"/>
        <v>1902</v>
      </c>
      <c r="CA28" s="158">
        <v>1898</v>
      </c>
      <c r="CB28" s="695">
        <f t="shared" si="339"/>
        <v>1946</v>
      </c>
      <c r="CC28" s="158">
        <v>1902</v>
      </c>
      <c r="CD28" s="158">
        <f t="shared" si="340"/>
        <v>1946</v>
      </c>
      <c r="CE28" s="1301">
        <v>1946</v>
      </c>
      <c r="CF28" s="158">
        <v>2045</v>
      </c>
      <c r="CG28" s="158">
        <f t="shared" si="341"/>
        <v>2053</v>
      </c>
      <c r="CH28" s="158">
        <v>2009</v>
      </c>
      <c r="CI28" s="695">
        <f t="shared" si="342"/>
        <v>2142</v>
      </c>
      <c r="CJ28" s="158">
        <v>2053</v>
      </c>
      <c r="CK28" s="158">
        <f t="shared" si="343"/>
        <v>2142</v>
      </c>
      <c r="CL28" s="1301">
        <v>2142</v>
      </c>
      <c r="CM28" s="158">
        <v>2102</v>
      </c>
      <c r="CN28" s="158">
        <f t="shared" si="344"/>
        <v>2186</v>
      </c>
      <c r="CO28" s="158">
        <v>3141</v>
      </c>
      <c r="CP28" s="695">
        <f t="shared" si="345"/>
        <v>3389</v>
      </c>
      <c r="CQ28" s="158">
        <v>2186</v>
      </c>
      <c r="CR28" s="158">
        <f t="shared" si="346"/>
        <v>3389</v>
      </c>
      <c r="CS28" s="1301">
        <v>3389</v>
      </c>
      <c r="CT28" s="158">
        <v>3393</v>
      </c>
      <c r="CU28" s="158">
        <f t="shared" si="347"/>
        <v>3113</v>
      </c>
      <c r="CV28" s="158">
        <v>2976</v>
      </c>
      <c r="CW28" s="695">
        <f t="shared" si="348"/>
        <v>3924</v>
      </c>
      <c r="CX28" s="158">
        <v>3113</v>
      </c>
      <c r="CY28" s="158">
        <f t="shared" si="349"/>
        <v>3924</v>
      </c>
      <c r="CZ28" s="1301">
        <v>3924</v>
      </c>
      <c r="DA28" s="2097">
        <v>3963</v>
      </c>
      <c r="DB28" s="158">
        <f t="shared" si="350"/>
        <v>4404</v>
      </c>
      <c r="DC28" s="158">
        <v>4373</v>
      </c>
      <c r="DD28" s="695">
        <f t="shared" si="351"/>
        <v>5186</v>
      </c>
      <c r="DE28" s="1808">
        <v>4404</v>
      </c>
      <c r="DF28" s="158">
        <f t="shared" si="352"/>
        <v>5186</v>
      </c>
      <c r="DG28" s="1364">
        <v>5186</v>
      </c>
      <c r="DH28" s="818">
        <v>5515</v>
      </c>
      <c r="DI28" s="158">
        <f t="shared" si="353"/>
        <v>4851</v>
      </c>
      <c r="DJ28" s="819">
        <f>DI28</f>
        <v>4851</v>
      </c>
      <c r="DK28" s="453">
        <f t="shared" si="355"/>
        <v>5186</v>
      </c>
      <c r="DL28" s="2006">
        <v>4851</v>
      </c>
      <c r="DM28" s="327">
        <f t="shared" si="356"/>
        <v>5186</v>
      </c>
      <c r="DN28" s="1544">
        <f>DG28</f>
        <v>5186</v>
      </c>
      <c r="DO28" s="819">
        <f>DN28</f>
        <v>5186</v>
      </c>
      <c r="DP28" s="327">
        <f t="shared" si="358"/>
        <v>5186</v>
      </c>
      <c r="DQ28" s="819">
        <f>DP28</f>
        <v>5186</v>
      </c>
      <c r="DR28" s="453">
        <f t="shared" si="360"/>
        <v>5186</v>
      </c>
      <c r="DS28" s="819">
        <f>DN28</f>
        <v>5186</v>
      </c>
      <c r="DT28" s="327">
        <f t="shared" si="362"/>
        <v>5186</v>
      </c>
      <c r="DU28" s="1544">
        <f>DN28</f>
        <v>5186</v>
      </c>
      <c r="DV28" s="819">
        <f>DU28</f>
        <v>5186</v>
      </c>
      <c r="DW28" s="327">
        <f t="shared" si="363"/>
        <v>5186</v>
      </c>
      <c r="DX28" s="819">
        <f>DW28</f>
        <v>5186</v>
      </c>
      <c r="DY28" s="453">
        <f t="shared" si="365"/>
        <v>5186</v>
      </c>
      <c r="DZ28" s="819">
        <f>DU28</f>
        <v>5186</v>
      </c>
      <c r="EA28" s="327">
        <f t="shared" si="367"/>
        <v>5186</v>
      </c>
      <c r="EB28" s="1544">
        <f>DU28</f>
        <v>5186</v>
      </c>
      <c r="EC28" s="819">
        <f>EB28</f>
        <v>5186</v>
      </c>
      <c r="ED28" s="327">
        <f t="shared" si="368"/>
        <v>5186</v>
      </c>
      <c r="EE28" s="819">
        <f>ED28</f>
        <v>5186</v>
      </c>
      <c r="EF28" s="453">
        <f t="shared" si="370"/>
        <v>5186</v>
      </c>
      <c r="EG28" s="819">
        <f>EB28</f>
        <v>5186</v>
      </c>
      <c r="EH28" s="327">
        <f t="shared" si="372"/>
        <v>5186</v>
      </c>
      <c r="EI28" s="1544">
        <f>EB28</f>
        <v>5186</v>
      </c>
      <c r="EJ28" s="819">
        <f>EI28</f>
        <v>5186</v>
      </c>
      <c r="EK28" s="327">
        <f t="shared" si="373"/>
        <v>5186</v>
      </c>
      <c r="EL28" s="819">
        <f>EK28</f>
        <v>5186</v>
      </c>
      <c r="EM28" s="453">
        <f t="shared" si="375"/>
        <v>5186</v>
      </c>
      <c r="EN28" s="819">
        <f>EI28</f>
        <v>5186</v>
      </c>
      <c r="EO28" s="327">
        <f t="shared" si="377"/>
        <v>5186</v>
      </c>
      <c r="EP28" s="1544">
        <f t="shared" ref="EP28" si="378">EI28</f>
        <v>5186</v>
      </c>
      <c r="EQ28" s="303"/>
      <c r="ER28" s="46"/>
    </row>
    <row r="29" spans="1:148" ht="10.199999999999999" customHeight="1">
      <c r="A29" s="43" t="s">
        <v>263</v>
      </c>
      <c r="B29" s="133">
        <v>5466</v>
      </c>
      <c r="C29" s="158">
        <v>5070</v>
      </c>
      <c r="D29" s="158">
        <v>5117</v>
      </c>
      <c r="E29" s="133">
        <v>5860</v>
      </c>
      <c r="F29" s="133">
        <v>6634</v>
      </c>
      <c r="G29" s="133">
        <v>7461</v>
      </c>
      <c r="H29" s="133">
        <v>7398</v>
      </c>
      <c r="I29" s="133">
        <v>7824</v>
      </c>
      <c r="J29" s="133">
        <v>8217</v>
      </c>
      <c r="K29" s="158">
        <v>8546</v>
      </c>
      <c r="L29" s="158">
        <v>9630</v>
      </c>
      <c r="M29" s="158">
        <v>9917</v>
      </c>
      <c r="N29" s="158"/>
      <c r="O29" s="158"/>
      <c r="P29" s="158"/>
      <c r="Q29" s="695"/>
      <c r="R29" s="158"/>
      <c r="S29" s="158"/>
      <c r="T29" s="1301">
        <v>9668</v>
      </c>
      <c r="U29" s="158">
        <v>9059</v>
      </c>
      <c r="V29" s="158">
        <f t="shared" si="317"/>
        <v>8781</v>
      </c>
      <c r="W29" s="158">
        <v>9627</v>
      </c>
      <c r="X29" s="695">
        <f t="shared" si="318"/>
        <v>10183</v>
      </c>
      <c r="Y29" s="158">
        <v>8781</v>
      </c>
      <c r="Z29" s="158">
        <f t="shared" si="319"/>
        <v>10183</v>
      </c>
      <c r="AA29" s="1301">
        <v>10183</v>
      </c>
      <c r="AB29" s="158">
        <v>11707</v>
      </c>
      <c r="AC29" s="158">
        <f t="shared" si="320"/>
        <v>11643</v>
      </c>
      <c r="AD29" s="158">
        <v>11416</v>
      </c>
      <c r="AE29" s="695">
        <f t="shared" si="321"/>
        <v>11763</v>
      </c>
      <c r="AF29" s="158">
        <v>11643</v>
      </c>
      <c r="AG29" s="158">
        <f t="shared" si="322"/>
        <v>11763</v>
      </c>
      <c r="AH29" s="1301">
        <v>11763</v>
      </c>
      <c r="AI29" s="158">
        <v>11529</v>
      </c>
      <c r="AJ29" s="158">
        <f t="shared" si="323"/>
        <v>11782</v>
      </c>
      <c r="AK29" s="158">
        <v>11762</v>
      </c>
      <c r="AL29" s="695">
        <f t="shared" si="324"/>
        <v>12532</v>
      </c>
      <c r="AM29" s="158">
        <v>11782</v>
      </c>
      <c r="AN29" s="158">
        <f t="shared" si="325"/>
        <v>12532</v>
      </c>
      <c r="AO29" s="1301">
        <v>12532</v>
      </c>
      <c r="AP29" s="158">
        <v>13510</v>
      </c>
      <c r="AQ29" s="158">
        <f t="shared" si="326"/>
        <v>13510</v>
      </c>
      <c r="AR29" s="158">
        <v>12192</v>
      </c>
      <c r="AS29" s="695">
        <f t="shared" si="327"/>
        <v>13444</v>
      </c>
      <c r="AT29" s="158">
        <v>13510</v>
      </c>
      <c r="AU29" s="158">
        <f t="shared" si="328"/>
        <v>13444</v>
      </c>
      <c r="AV29" s="1301">
        <v>13444</v>
      </c>
      <c r="AW29" s="158"/>
      <c r="AX29" s="158"/>
      <c r="AY29" s="158"/>
      <c r="AZ29" s="695"/>
      <c r="BA29" s="158"/>
      <c r="BB29" s="158"/>
      <c r="BC29" s="1301">
        <v>13406</v>
      </c>
      <c r="BD29" s="158">
        <v>12200</v>
      </c>
      <c r="BE29" s="158">
        <f t="shared" si="329"/>
        <v>13617</v>
      </c>
      <c r="BF29" s="158">
        <v>13526</v>
      </c>
      <c r="BG29" s="695">
        <f t="shared" si="330"/>
        <v>16237</v>
      </c>
      <c r="BH29" s="158">
        <v>13617</v>
      </c>
      <c r="BI29" s="158">
        <f t="shared" si="331"/>
        <v>16237</v>
      </c>
      <c r="BJ29" s="1301">
        <v>16237</v>
      </c>
      <c r="BK29" s="158">
        <v>13833</v>
      </c>
      <c r="BL29" s="158">
        <f t="shared" si="332"/>
        <v>13069</v>
      </c>
      <c r="BM29" s="158">
        <v>13066</v>
      </c>
      <c r="BN29" s="695">
        <f t="shared" si="333"/>
        <v>14808</v>
      </c>
      <c r="BO29" s="158">
        <v>13069</v>
      </c>
      <c r="BP29" s="158">
        <f t="shared" si="334"/>
        <v>14808</v>
      </c>
      <c r="BQ29" s="1301">
        <v>14808</v>
      </c>
      <c r="BR29" s="158">
        <v>13728</v>
      </c>
      <c r="BS29" s="158">
        <f t="shared" si="335"/>
        <v>10590</v>
      </c>
      <c r="BT29" s="158">
        <v>9526</v>
      </c>
      <c r="BU29" s="695">
        <f t="shared" si="336"/>
        <v>8722</v>
      </c>
      <c r="BV29" s="158">
        <v>10590</v>
      </c>
      <c r="BW29" s="158">
        <f t="shared" si="337"/>
        <v>8722</v>
      </c>
      <c r="BX29" s="1301">
        <v>8722</v>
      </c>
      <c r="BY29" s="158">
        <v>11226</v>
      </c>
      <c r="BZ29" s="158">
        <f t="shared" si="338"/>
        <v>10565</v>
      </c>
      <c r="CA29" s="158">
        <v>11037</v>
      </c>
      <c r="CB29" s="695">
        <f t="shared" si="339"/>
        <v>9693</v>
      </c>
      <c r="CC29" s="158">
        <v>10565</v>
      </c>
      <c r="CD29" s="158">
        <f t="shared" si="340"/>
        <v>9693</v>
      </c>
      <c r="CE29" s="1301">
        <v>9693</v>
      </c>
      <c r="CF29" s="158">
        <v>10296</v>
      </c>
      <c r="CG29" s="158">
        <f t="shared" si="341"/>
        <v>11692</v>
      </c>
      <c r="CH29" s="158">
        <v>13860</v>
      </c>
      <c r="CI29" s="695">
        <f t="shared" si="342"/>
        <v>13261</v>
      </c>
      <c r="CJ29" s="158">
        <v>11692</v>
      </c>
      <c r="CK29" s="158">
        <f t="shared" si="343"/>
        <v>13261</v>
      </c>
      <c r="CL29" s="1301">
        <v>13261</v>
      </c>
      <c r="CM29" s="158">
        <v>13800</v>
      </c>
      <c r="CN29" s="158">
        <f t="shared" si="344"/>
        <v>13924</v>
      </c>
      <c r="CO29" s="158">
        <v>14548</v>
      </c>
      <c r="CP29" s="695">
        <f t="shared" si="345"/>
        <v>14323</v>
      </c>
      <c r="CQ29" s="158">
        <v>13924</v>
      </c>
      <c r="CR29" s="158">
        <f t="shared" si="346"/>
        <v>14323</v>
      </c>
      <c r="CS29" s="1301">
        <v>14323</v>
      </c>
      <c r="CT29" s="158">
        <v>14202</v>
      </c>
      <c r="CU29" s="158">
        <f t="shared" si="347"/>
        <v>14384</v>
      </c>
      <c r="CV29" s="158">
        <v>14329</v>
      </c>
      <c r="CW29" s="695">
        <f t="shared" si="348"/>
        <v>13791</v>
      </c>
      <c r="CX29" s="158">
        <v>14384</v>
      </c>
      <c r="CY29" s="158">
        <f t="shared" si="349"/>
        <v>13791</v>
      </c>
      <c r="CZ29" s="1301">
        <v>13791</v>
      </c>
      <c r="DA29" s="158">
        <v>14134</v>
      </c>
      <c r="DB29" s="158">
        <f t="shared" si="350"/>
        <v>14066</v>
      </c>
      <c r="DC29" s="158">
        <v>15018</v>
      </c>
      <c r="DD29" s="695">
        <f t="shared" si="351"/>
        <v>15878</v>
      </c>
      <c r="DE29" s="2097">
        <v>14066</v>
      </c>
      <c r="DF29" s="158">
        <f t="shared" si="352"/>
        <v>15878</v>
      </c>
      <c r="DG29" s="1364">
        <v>15878</v>
      </c>
      <c r="DH29" s="818">
        <v>16337</v>
      </c>
      <c r="DI29" s="158">
        <f t="shared" si="353"/>
        <v>16546</v>
      </c>
      <c r="DJ29" s="819">
        <f t="shared" ref="DJ29" si="379">DJ170</f>
        <v>13578.096530817407</v>
      </c>
      <c r="DK29" s="453">
        <f t="shared" si="355"/>
        <v>17320.000923591295</v>
      </c>
      <c r="DL29" s="2006">
        <v>16546</v>
      </c>
      <c r="DM29" s="327">
        <f t="shared" si="356"/>
        <v>17320.000923591295</v>
      </c>
      <c r="DN29" s="1544">
        <f t="shared" ref="DN29:EP29" si="380">DN170</f>
        <v>17320.000923591295</v>
      </c>
      <c r="DO29" s="819">
        <f t="shared" si="380"/>
        <v>17353.522304243237</v>
      </c>
      <c r="DP29" s="327">
        <f t="shared" si="358"/>
        <v>18252.175481370752</v>
      </c>
      <c r="DQ29" s="819">
        <f t="shared" ref="DQ29" si="381">DQ170</f>
        <v>19060.937640171411</v>
      </c>
      <c r="DR29" s="453">
        <f t="shared" si="360"/>
        <v>19276.252212650244</v>
      </c>
      <c r="DS29" s="819">
        <f t="shared" ref="DS29" si="382">DS170</f>
        <v>18252.175481370752</v>
      </c>
      <c r="DT29" s="327">
        <f t="shared" si="362"/>
        <v>19276.252212650244</v>
      </c>
      <c r="DU29" s="1544">
        <f t="shared" si="380"/>
        <v>19276.252212650244</v>
      </c>
      <c r="DV29" s="819">
        <f t="shared" si="380"/>
        <v>18834.806087969395</v>
      </c>
      <c r="DW29" s="327">
        <f t="shared" si="363"/>
        <v>19816.698821039088</v>
      </c>
      <c r="DX29" s="819">
        <f t="shared" ref="DX29" si="383">DX170</f>
        <v>20704.617988852238</v>
      </c>
      <c r="DY29" s="453">
        <f t="shared" si="365"/>
        <v>20987.212341371138</v>
      </c>
      <c r="DZ29" s="819">
        <f t="shared" ref="DZ29" si="384">DZ170</f>
        <v>19816.698821039088</v>
      </c>
      <c r="EA29" s="327">
        <f t="shared" si="367"/>
        <v>20987.212341371138</v>
      </c>
      <c r="EB29" s="1544">
        <f t="shared" si="380"/>
        <v>20987.212341371138</v>
      </c>
      <c r="EC29" s="819">
        <f t="shared" si="380"/>
        <v>20205.600290037455</v>
      </c>
      <c r="ED29" s="327">
        <f t="shared" si="368"/>
        <v>20885.977817509905</v>
      </c>
      <c r="EE29" s="819">
        <f t="shared" ref="EE29" si="385">EE170</f>
        <v>21467.44614724848</v>
      </c>
      <c r="EF29" s="453">
        <f t="shared" si="370"/>
        <v>21933.915389784812</v>
      </c>
      <c r="EG29" s="819">
        <f t="shared" ref="EG29" si="386">EG170</f>
        <v>20885.977817509905</v>
      </c>
      <c r="EH29" s="327">
        <f t="shared" si="372"/>
        <v>21933.915389784812</v>
      </c>
      <c r="EI29" s="1544">
        <f t="shared" si="380"/>
        <v>21933.915389784812</v>
      </c>
      <c r="EJ29" s="819">
        <f t="shared" si="380"/>
        <v>20882.122504566443</v>
      </c>
      <c r="EK29" s="327">
        <f t="shared" si="373"/>
        <v>21596.623604604534</v>
      </c>
      <c r="EL29" s="819">
        <f t="shared" ref="EL29" si="387">EL170</f>
        <v>22207.751758571034</v>
      </c>
      <c r="EM29" s="453">
        <f t="shared" si="375"/>
        <v>22689.83518668935</v>
      </c>
      <c r="EN29" s="819">
        <f t="shared" ref="EN29" si="388">EN170</f>
        <v>21596.623604604534</v>
      </c>
      <c r="EO29" s="327">
        <f t="shared" si="377"/>
        <v>22689.83518668935</v>
      </c>
      <c r="EP29" s="1544">
        <f t="shared" si="380"/>
        <v>22689.83518668935</v>
      </c>
      <c r="EQ29" s="909"/>
      <c r="ER29" s="46"/>
    </row>
    <row r="30" spans="1:148" ht="10.199999999999999" customHeight="1">
      <c r="A30" s="43" t="s">
        <v>118</v>
      </c>
      <c r="B30" s="133">
        <v>0</v>
      </c>
      <c r="C30" s="133">
        <v>0</v>
      </c>
      <c r="D30" s="133">
        <v>0</v>
      </c>
      <c r="E30" s="158">
        <v>10884</v>
      </c>
      <c r="F30" s="158">
        <v>14078</v>
      </c>
      <c r="G30" s="158">
        <v>14172</v>
      </c>
      <c r="H30" s="158">
        <v>16214</v>
      </c>
      <c r="I30" s="158">
        <v>17802</v>
      </c>
      <c r="J30" s="158">
        <v>21271</v>
      </c>
      <c r="K30" s="158">
        <v>23285</v>
      </c>
      <c r="L30" s="158">
        <v>27670</v>
      </c>
      <c r="M30" s="158">
        <v>28183</v>
      </c>
      <c r="N30" s="158"/>
      <c r="O30" s="158"/>
      <c r="P30" s="158"/>
      <c r="Q30" s="695"/>
      <c r="R30" s="158"/>
      <c r="S30" s="158"/>
      <c r="T30" s="1301">
        <v>23723</v>
      </c>
      <c r="U30" s="158">
        <f>T30</f>
        <v>23723</v>
      </c>
      <c r="V30" s="158">
        <f t="shared" si="317"/>
        <v>23723</v>
      </c>
      <c r="W30" s="158">
        <f>V30</f>
        <v>23723</v>
      </c>
      <c r="X30" s="695">
        <f t="shared" si="318"/>
        <v>22174</v>
      </c>
      <c r="Y30" s="158">
        <f>T30</f>
        <v>23723</v>
      </c>
      <c r="Z30" s="158">
        <f t="shared" si="319"/>
        <v>22174</v>
      </c>
      <c r="AA30" s="1301">
        <v>22174</v>
      </c>
      <c r="AB30" s="158">
        <f>AA30</f>
        <v>22174</v>
      </c>
      <c r="AC30" s="158">
        <f t="shared" si="320"/>
        <v>22174</v>
      </c>
      <c r="AD30" s="158">
        <f>AC30</f>
        <v>22174</v>
      </c>
      <c r="AE30" s="695">
        <f t="shared" si="321"/>
        <v>23612</v>
      </c>
      <c r="AF30" s="158">
        <f>AA30</f>
        <v>22174</v>
      </c>
      <c r="AG30" s="158">
        <f t="shared" si="322"/>
        <v>23612</v>
      </c>
      <c r="AH30" s="1301">
        <v>23612</v>
      </c>
      <c r="AI30" s="158">
        <v>24342</v>
      </c>
      <c r="AJ30" s="158">
        <f t="shared" si="323"/>
        <v>23490</v>
      </c>
      <c r="AK30" s="158">
        <v>23900</v>
      </c>
      <c r="AL30" s="695">
        <f t="shared" si="324"/>
        <v>24115</v>
      </c>
      <c r="AM30" s="158">
        <v>23490</v>
      </c>
      <c r="AN30" s="158">
        <f t="shared" si="325"/>
        <v>24115</v>
      </c>
      <c r="AO30" s="1301">
        <v>24115</v>
      </c>
      <c r="AP30" s="158">
        <v>25776</v>
      </c>
      <c r="AQ30" s="158">
        <f t="shared" si="326"/>
        <v>25573</v>
      </c>
      <c r="AR30" s="158">
        <v>26250</v>
      </c>
      <c r="AS30" s="695">
        <f t="shared" si="327"/>
        <v>25284</v>
      </c>
      <c r="AT30" s="158">
        <v>25573</v>
      </c>
      <c r="AU30" s="158">
        <f t="shared" si="328"/>
        <v>25284</v>
      </c>
      <c r="AV30" s="1301">
        <v>25284</v>
      </c>
      <c r="AW30" s="158"/>
      <c r="AX30" s="158"/>
      <c r="AY30" s="158"/>
      <c r="AZ30" s="695"/>
      <c r="BA30" s="158"/>
      <c r="BB30" s="158"/>
      <c r="BC30" s="1301">
        <v>25943</v>
      </c>
      <c r="BD30" s="158">
        <v>29767</v>
      </c>
      <c r="BE30" s="158">
        <f t="shared" si="329"/>
        <v>28797</v>
      </c>
      <c r="BF30" s="158">
        <v>29201</v>
      </c>
      <c r="BG30" s="695">
        <f t="shared" si="330"/>
        <v>26229</v>
      </c>
      <c r="BH30" s="158">
        <v>28797</v>
      </c>
      <c r="BI30" s="158">
        <f t="shared" si="331"/>
        <v>26229</v>
      </c>
      <c r="BJ30" s="1301">
        <v>26229</v>
      </c>
      <c r="BK30" s="158">
        <v>27169</v>
      </c>
      <c r="BL30" s="158">
        <f t="shared" si="332"/>
        <v>26141</v>
      </c>
      <c r="BM30" s="158">
        <v>24742</v>
      </c>
      <c r="BN30" s="695">
        <f t="shared" si="333"/>
        <v>26426</v>
      </c>
      <c r="BO30" s="158">
        <v>26141</v>
      </c>
      <c r="BP30" s="158">
        <f t="shared" si="334"/>
        <v>26426</v>
      </c>
      <c r="BQ30" s="1301">
        <v>26426</v>
      </c>
      <c r="BR30" s="158">
        <v>27258</v>
      </c>
      <c r="BS30" s="158">
        <f t="shared" si="335"/>
        <v>28843</v>
      </c>
      <c r="BT30" s="158">
        <v>26542</v>
      </c>
      <c r="BU30" s="695">
        <f t="shared" si="336"/>
        <v>24675</v>
      </c>
      <c r="BV30" s="158">
        <v>28843</v>
      </c>
      <c r="BW30" s="158">
        <f t="shared" si="337"/>
        <v>24675</v>
      </c>
      <c r="BX30" s="1301">
        <v>24675</v>
      </c>
      <c r="BY30" s="158">
        <v>25391</v>
      </c>
      <c r="BZ30" s="158">
        <f t="shared" si="338"/>
        <v>23998</v>
      </c>
      <c r="CA30" s="158">
        <v>24409</v>
      </c>
      <c r="CB30" s="695">
        <f t="shared" si="339"/>
        <v>23906</v>
      </c>
      <c r="CC30" s="158">
        <v>23998</v>
      </c>
      <c r="CD30" s="158">
        <f t="shared" si="340"/>
        <v>23906</v>
      </c>
      <c r="CE30" s="1301">
        <v>23906</v>
      </c>
      <c r="CF30" s="158">
        <v>24594</v>
      </c>
      <c r="CG30" s="158">
        <f t="shared" si="341"/>
        <v>26312</v>
      </c>
      <c r="CH30" s="158">
        <v>26063</v>
      </c>
      <c r="CI30" s="695">
        <f t="shared" si="342"/>
        <v>23869</v>
      </c>
      <c r="CJ30" s="158">
        <v>26312</v>
      </c>
      <c r="CK30" s="158">
        <f t="shared" si="343"/>
        <v>23869</v>
      </c>
      <c r="CL30" s="1301">
        <v>23869</v>
      </c>
      <c r="CM30" s="158">
        <v>25873</v>
      </c>
      <c r="CN30" s="158">
        <f t="shared" si="344"/>
        <v>25725</v>
      </c>
      <c r="CO30" s="158">
        <v>25452</v>
      </c>
      <c r="CP30" s="695">
        <f t="shared" si="345"/>
        <v>24537</v>
      </c>
      <c r="CQ30" s="158">
        <v>25725</v>
      </c>
      <c r="CR30" s="158">
        <f t="shared" si="346"/>
        <v>24537</v>
      </c>
      <c r="CS30" s="1301">
        <v>24537</v>
      </c>
      <c r="CT30" s="158">
        <v>27125</v>
      </c>
      <c r="CU30" s="158">
        <f t="shared" si="347"/>
        <v>28358</v>
      </c>
      <c r="CV30" s="158">
        <v>28043</v>
      </c>
      <c r="CW30" s="695">
        <f t="shared" si="348"/>
        <v>30136</v>
      </c>
      <c r="CX30" s="158">
        <v>28358</v>
      </c>
      <c r="CY30" s="158">
        <f t="shared" si="349"/>
        <v>30136</v>
      </c>
      <c r="CZ30" s="1301">
        <v>30136</v>
      </c>
      <c r="DA30" s="158">
        <v>30474</v>
      </c>
      <c r="DB30" s="158">
        <f t="shared" si="350"/>
        <v>30733</v>
      </c>
      <c r="DC30" s="158">
        <v>31145</v>
      </c>
      <c r="DD30" s="695">
        <f t="shared" si="351"/>
        <v>32112</v>
      </c>
      <c r="DE30" s="2097">
        <v>30733</v>
      </c>
      <c r="DF30" s="158">
        <f t="shared" si="352"/>
        <v>32112</v>
      </c>
      <c r="DG30" s="1364">
        <v>32112</v>
      </c>
      <c r="DH30" s="818">
        <v>33859</v>
      </c>
      <c r="DI30" s="158">
        <f t="shared" si="353"/>
        <v>32854</v>
      </c>
      <c r="DJ30" s="819">
        <f t="shared" ref="DJ30" si="389">DJ173</f>
        <v>30243.63080196326</v>
      </c>
      <c r="DK30" s="453">
        <f t="shared" si="355"/>
        <v>33110.832412068194</v>
      </c>
      <c r="DL30" s="2006">
        <v>32854</v>
      </c>
      <c r="DM30" s="327">
        <f t="shared" si="356"/>
        <v>33110.832412068194</v>
      </c>
      <c r="DN30" s="1544">
        <f t="shared" ref="DN30:EP30" si="390">DN173</f>
        <v>33110.832412068194</v>
      </c>
      <c r="DO30" s="819">
        <f t="shared" si="390"/>
        <v>30520.922348962824</v>
      </c>
      <c r="DP30" s="327">
        <f t="shared" si="358"/>
        <v>32101.45011484763</v>
      </c>
      <c r="DQ30" s="819">
        <f t="shared" ref="DQ30" si="391">DQ173</f>
        <v>33523.879902574277</v>
      </c>
      <c r="DR30" s="453">
        <f t="shared" si="360"/>
        <v>33902.569556006754</v>
      </c>
      <c r="DS30" s="819">
        <f t="shared" ref="DS30" si="392">DS173</f>
        <v>32101.45011484763</v>
      </c>
      <c r="DT30" s="327">
        <f t="shared" si="362"/>
        <v>33902.569556006754</v>
      </c>
      <c r="DU30" s="1544">
        <f t="shared" si="390"/>
        <v>33902.569556006754</v>
      </c>
      <c r="DV30" s="819">
        <f t="shared" si="390"/>
        <v>30965.763521240689</v>
      </c>
      <c r="DW30" s="327">
        <f t="shared" si="363"/>
        <v>32580.065151607982</v>
      </c>
      <c r="DX30" s="819">
        <f t="shared" ref="DX30" si="393">DX173</f>
        <v>34039.867543417109</v>
      </c>
      <c r="DY30" s="453">
        <f t="shared" si="365"/>
        <v>34504.472798797353</v>
      </c>
      <c r="DZ30" s="819">
        <f t="shared" ref="DZ30" si="394">DZ173</f>
        <v>32580.065151607982</v>
      </c>
      <c r="EA30" s="327">
        <f t="shared" si="367"/>
        <v>34504.472798797353</v>
      </c>
      <c r="EB30" s="1544">
        <f t="shared" si="390"/>
        <v>34504.472798797353</v>
      </c>
      <c r="EC30" s="819">
        <f t="shared" si="390"/>
        <v>32704.41669851173</v>
      </c>
      <c r="ED30" s="327">
        <f t="shared" si="368"/>
        <v>33805.663375242897</v>
      </c>
      <c r="EE30" s="819">
        <f t="shared" ref="EE30" si="395">EE173</f>
        <v>34746.81742559468</v>
      </c>
      <c r="EF30" s="453">
        <f t="shared" si="370"/>
        <v>35501.836047460092</v>
      </c>
      <c r="EG30" s="819">
        <f t="shared" ref="EG30" si="396">EG173</f>
        <v>33805.663375242897</v>
      </c>
      <c r="EH30" s="327">
        <f t="shared" si="372"/>
        <v>35501.836047460092</v>
      </c>
      <c r="EI30" s="1544">
        <f t="shared" si="390"/>
        <v>35501.836047460092</v>
      </c>
      <c r="EJ30" s="819">
        <f t="shared" si="390"/>
        <v>33533.28604508139</v>
      </c>
      <c r="EK30" s="327">
        <f t="shared" si="373"/>
        <v>34680.65838531468</v>
      </c>
      <c r="EL30" s="819">
        <f t="shared" ref="EL30" si="397">EL173</f>
        <v>35662.030618557721</v>
      </c>
      <c r="EM30" s="453">
        <f t="shared" si="375"/>
        <v>36436.178049650982</v>
      </c>
      <c r="EN30" s="819">
        <f t="shared" ref="EN30" si="398">EN173</f>
        <v>34680.65838531468</v>
      </c>
      <c r="EO30" s="327">
        <f t="shared" si="377"/>
        <v>36436.178049650982</v>
      </c>
      <c r="EP30" s="1544">
        <f t="shared" si="390"/>
        <v>36436.178049650982</v>
      </c>
      <c r="EQ30" s="303"/>
      <c r="ER30" s="46"/>
    </row>
    <row r="31" spans="1:148" ht="10.199999999999999" customHeight="1">
      <c r="A31" s="43" t="s">
        <v>271</v>
      </c>
      <c r="B31" s="133">
        <v>0</v>
      </c>
      <c r="C31" s="133">
        <v>0</v>
      </c>
      <c r="D31" s="133">
        <v>0</v>
      </c>
      <c r="E31" s="158">
        <v>178</v>
      </c>
      <c r="F31" s="158">
        <v>174</v>
      </c>
      <c r="G31" s="133">
        <v>218</v>
      </c>
      <c r="H31" s="133">
        <v>179</v>
      </c>
      <c r="I31" s="133">
        <v>201</v>
      </c>
      <c r="J31" s="133">
        <v>220</v>
      </c>
      <c r="K31" s="158">
        <v>254</v>
      </c>
      <c r="L31" s="158">
        <v>308</v>
      </c>
      <c r="M31" s="158">
        <v>458</v>
      </c>
      <c r="N31" s="158"/>
      <c r="O31" s="158"/>
      <c r="P31" s="158"/>
      <c r="Q31" s="695"/>
      <c r="R31" s="158"/>
      <c r="S31" s="158"/>
      <c r="T31" s="1301">
        <v>616</v>
      </c>
      <c r="U31" s="158">
        <v>620</v>
      </c>
      <c r="V31" s="158">
        <f t="shared" si="317"/>
        <v>573</v>
      </c>
      <c r="W31" s="158">
        <v>609</v>
      </c>
      <c r="X31" s="695">
        <f t="shared" si="318"/>
        <v>738</v>
      </c>
      <c r="Y31" s="158">
        <v>573</v>
      </c>
      <c r="Z31" s="158">
        <f t="shared" si="319"/>
        <v>738</v>
      </c>
      <c r="AA31" s="1301">
        <v>738</v>
      </c>
      <c r="AB31" s="158">
        <v>868</v>
      </c>
      <c r="AC31" s="158">
        <f t="shared" si="320"/>
        <v>538</v>
      </c>
      <c r="AD31" s="158">
        <v>543</v>
      </c>
      <c r="AE31" s="695">
        <f t="shared" si="321"/>
        <v>908</v>
      </c>
      <c r="AF31" s="158">
        <v>538</v>
      </c>
      <c r="AG31" s="158">
        <f t="shared" si="322"/>
        <v>908</v>
      </c>
      <c r="AH31" s="1301">
        <v>908</v>
      </c>
      <c r="AI31" s="158">
        <v>913</v>
      </c>
      <c r="AJ31" s="158">
        <f t="shared" si="323"/>
        <v>1060</v>
      </c>
      <c r="AK31" s="158">
        <v>908</v>
      </c>
      <c r="AL31" s="695">
        <f t="shared" si="324"/>
        <v>1126</v>
      </c>
      <c r="AM31" s="158">
        <v>1060</v>
      </c>
      <c r="AN31" s="158">
        <f t="shared" si="325"/>
        <v>1126</v>
      </c>
      <c r="AO31" s="1301">
        <v>1126</v>
      </c>
      <c r="AP31" s="158">
        <v>916</v>
      </c>
      <c r="AQ31" s="158">
        <f t="shared" si="326"/>
        <v>1044</v>
      </c>
      <c r="AR31" s="158">
        <v>1278</v>
      </c>
      <c r="AS31" s="695">
        <f t="shared" si="327"/>
        <v>1481</v>
      </c>
      <c r="AT31" s="158">
        <v>1044</v>
      </c>
      <c r="AU31" s="158">
        <f t="shared" si="328"/>
        <v>1481</v>
      </c>
      <c r="AV31" s="1301">
        <v>1481</v>
      </c>
      <c r="AW31" s="158"/>
      <c r="AX31" s="158"/>
      <c r="AY31" s="158"/>
      <c r="AZ31" s="695"/>
      <c r="BA31" s="158"/>
      <c r="BB31" s="158"/>
      <c r="BC31" s="1301">
        <v>1481</v>
      </c>
      <c r="BD31" s="158">
        <v>1315</v>
      </c>
      <c r="BE31" s="158">
        <f t="shared" si="329"/>
        <v>1557</v>
      </c>
      <c r="BF31" s="158">
        <v>1447</v>
      </c>
      <c r="BG31" s="695">
        <f t="shared" si="330"/>
        <v>732</v>
      </c>
      <c r="BH31" s="158">
        <v>1557</v>
      </c>
      <c r="BI31" s="158">
        <f t="shared" si="331"/>
        <v>732</v>
      </c>
      <c r="BJ31" s="1301">
        <v>732</v>
      </c>
      <c r="BK31" s="158">
        <v>1312</v>
      </c>
      <c r="BL31" s="158">
        <f t="shared" si="332"/>
        <v>966</v>
      </c>
      <c r="BM31" s="158">
        <v>986</v>
      </c>
      <c r="BN31" s="695">
        <f t="shared" si="333"/>
        <v>2780</v>
      </c>
      <c r="BO31" s="158">
        <v>966</v>
      </c>
      <c r="BP31" s="158">
        <f t="shared" si="334"/>
        <v>2780</v>
      </c>
      <c r="BQ31" s="1301">
        <v>2780</v>
      </c>
      <c r="BR31" s="158">
        <v>2833</v>
      </c>
      <c r="BS31" s="158">
        <f t="shared" si="335"/>
        <v>3025</v>
      </c>
      <c r="BT31" s="158">
        <v>2892</v>
      </c>
      <c r="BU31" s="695">
        <f t="shared" si="336"/>
        <v>1311</v>
      </c>
      <c r="BV31" s="158">
        <v>3025</v>
      </c>
      <c r="BW31" s="158">
        <f t="shared" si="337"/>
        <v>1311</v>
      </c>
      <c r="BX31" s="1301">
        <v>1311</v>
      </c>
      <c r="BY31" s="158">
        <v>1539</v>
      </c>
      <c r="BZ31" s="158">
        <f t="shared" si="338"/>
        <v>1606</v>
      </c>
      <c r="CA31" s="158">
        <v>1809</v>
      </c>
      <c r="CB31" s="695">
        <f t="shared" si="339"/>
        <v>1057</v>
      </c>
      <c r="CC31" s="158">
        <v>1606</v>
      </c>
      <c r="CD31" s="158">
        <f t="shared" si="340"/>
        <v>1057</v>
      </c>
      <c r="CE31" s="1301">
        <v>1057</v>
      </c>
      <c r="CF31" s="158">
        <v>1351</v>
      </c>
      <c r="CG31" s="158">
        <f t="shared" si="341"/>
        <v>1840</v>
      </c>
      <c r="CH31" s="158">
        <v>2292</v>
      </c>
      <c r="CI31" s="695">
        <f t="shared" si="342"/>
        <v>817</v>
      </c>
      <c r="CJ31" s="158">
        <v>1840</v>
      </c>
      <c r="CK31" s="158">
        <f t="shared" si="343"/>
        <v>817</v>
      </c>
      <c r="CL31" s="1301">
        <v>817</v>
      </c>
      <c r="CM31" s="158">
        <v>734</v>
      </c>
      <c r="CN31" s="158">
        <f t="shared" si="344"/>
        <v>925</v>
      </c>
      <c r="CO31" s="158">
        <v>1777</v>
      </c>
      <c r="CP31" s="695">
        <f t="shared" si="345"/>
        <v>740</v>
      </c>
      <c r="CQ31" s="158">
        <v>925</v>
      </c>
      <c r="CR31" s="158">
        <f t="shared" si="346"/>
        <v>740</v>
      </c>
      <c r="CS31" s="1301">
        <v>740</v>
      </c>
      <c r="CT31" s="158">
        <v>697</v>
      </c>
      <c r="CU31" s="158">
        <f t="shared" si="347"/>
        <v>1386</v>
      </c>
      <c r="CV31" s="158">
        <v>1711</v>
      </c>
      <c r="CW31" s="695">
        <f t="shared" si="348"/>
        <v>593</v>
      </c>
      <c r="CX31" s="158">
        <v>1386</v>
      </c>
      <c r="CY31" s="158">
        <f t="shared" si="349"/>
        <v>593</v>
      </c>
      <c r="CZ31" s="1301">
        <v>593</v>
      </c>
      <c r="DA31" s="158">
        <v>826</v>
      </c>
      <c r="DB31" s="158">
        <f t="shared" si="350"/>
        <v>485</v>
      </c>
      <c r="DC31" s="158">
        <v>229</v>
      </c>
      <c r="DD31" s="695">
        <f t="shared" si="351"/>
        <v>133</v>
      </c>
      <c r="DE31" s="2097">
        <v>485</v>
      </c>
      <c r="DF31" s="158">
        <f t="shared" si="352"/>
        <v>133</v>
      </c>
      <c r="DG31" s="1364">
        <v>133</v>
      </c>
      <c r="DH31" s="818">
        <v>224</v>
      </c>
      <c r="DI31" s="158">
        <f t="shared" si="353"/>
        <v>1187</v>
      </c>
      <c r="DJ31" s="819">
        <f>DI31</f>
        <v>1187</v>
      </c>
      <c r="DK31" s="453">
        <f t="shared" si="355"/>
        <v>133</v>
      </c>
      <c r="DL31" s="2006">
        <v>1187</v>
      </c>
      <c r="DM31" s="327">
        <f t="shared" si="356"/>
        <v>133</v>
      </c>
      <c r="DN31" s="1544">
        <f>DG31</f>
        <v>133</v>
      </c>
      <c r="DO31" s="819">
        <f>DN31</f>
        <v>133</v>
      </c>
      <c r="DP31" s="327">
        <f t="shared" si="358"/>
        <v>133</v>
      </c>
      <c r="DQ31" s="819">
        <f>DP31</f>
        <v>133</v>
      </c>
      <c r="DR31" s="453">
        <f t="shared" si="360"/>
        <v>133</v>
      </c>
      <c r="DS31" s="819">
        <f>DN31</f>
        <v>133</v>
      </c>
      <c r="DT31" s="327">
        <f t="shared" si="362"/>
        <v>133</v>
      </c>
      <c r="DU31" s="1544">
        <f>DN31</f>
        <v>133</v>
      </c>
      <c r="DV31" s="819">
        <f>DU31</f>
        <v>133</v>
      </c>
      <c r="DW31" s="327">
        <f t="shared" si="363"/>
        <v>133</v>
      </c>
      <c r="DX31" s="819">
        <f>DW31</f>
        <v>133</v>
      </c>
      <c r="DY31" s="453">
        <f t="shared" si="365"/>
        <v>133</v>
      </c>
      <c r="DZ31" s="819">
        <f>DU31</f>
        <v>133</v>
      </c>
      <c r="EA31" s="327">
        <f t="shared" si="367"/>
        <v>133</v>
      </c>
      <c r="EB31" s="1544">
        <f>DU31</f>
        <v>133</v>
      </c>
      <c r="EC31" s="819">
        <f>EB31</f>
        <v>133</v>
      </c>
      <c r="ED31" s="327">
        <f t="shared" si="368"/>
        <v>133</v>
      </c>
      <c r="EE31" s="819">
        <f>ED31</f>
        <v>133</v>
      </c>
      <c r="EF31" s="453">
        <f t="shared" si="370"/>
        <v>133</v>
      </c>
      <c r="EG31" s="819">
        <f>EB31</f>
        <v>133</v>
      </c>
      <c r="EH31" s="327">
        <f t="shared" si="372"/>
        <v>133</v>
      </c>
      <c r="EI31" s="1544">
        <f>EB31</f>
        <v>133</v>
      </c>
      <c r="EJ31" s="819">
        <f>EI31</f>
        <v>133</v>
      </c>
      <c r="EK31" s="327">
        <f t="shared" si="373"/>
        <v>133</v>
      </c>
      <c r="EL31" s="819">
        <f>EK31</f>
        <v>133</v>
      </c>
      <c r="EM31" s="453">
        <f t="shared" si="375"/>
        <v>133</v>
      </c>
      <c r="EN31" s="819">
        <f>EI31</f>
        <v>133</v>
      </c>
      <c r="EO31" s="327">
        <f t="shared" si="377"/>
        <v>133</v>
      </c>
      <c r="EP31" s="1544">
        <f t="shared" ref="EP31:EP33" si="399">EI31</f>
        <v>133</v>
      </c>
      <c r="EQ31" s="303"/>
      <c r="ER31" s="46"/>
    </row>
    <row r="32" spans="1:148" ht="10.199999999999999" customHeight="1">
      <c r="A32" s="43" t="s">
        <v>225</v>
      </c>
      <c r="B32" s="158">
        <f>C32</f>
        <v>501</v>
      </c>
      <c r="C32" s="158">
        <f>D32</f>
        <v>501</v>
      </c>
      <c r="D32" s="158">
        <f>E32</f>
        <v>501</v>
      </c>
      <c r="E32" s="133">
        <v>501</v>
      </c>
      <c r="F32" s="133">
        <v>573</v>
      </c>
      <c r="G32" s="133">
        <v>486</v>
      </c>
      <c r="H32" s="133">
        <v>706</v>
      </c>
      <c r="I32" s="133">
        <v>822</v>
      </c>
      <c r="J32" s="133">
        <v>880</v>
      </c>
      <c r="K32" s="158">
        <v>790</v>
      </c>
      <c r="L32" s="158">
        <v>875</v>
      </c>
      <c r="M32" s="158">
        <v>1057</v>
      </c>
      <c r="N32" s="158"/>
      <c r="O32" s="158"/>
      <c r="P32" s="158"/>
      <c r="Q32" s="695"/>
      <c r="R32" s="158"/>
      <c r="S32" s="158"/>
      <c r="T32" s="1301">
        <v>984</v>
      </c>
      <c r="U32" s="158">
        <f>T32</f>
        <v>984</v>
      </c>
      <c r="V32" s="158">
        <f t="shared" si="317"/>
        <v>984</v>
      </c>
      <c r="W32" s="158">
        <f>V32</f>
        <v>984</v>
      </c>
      <c r="X32" s="695">
        <f t="shared" si="318"/>
        <v>1089</v>
      </c>
      <c r="Y32" s="158">
        <f>T32</f>
        <v>984</v>
      </c>
      <c r="Z32" s="158">
        <f t="shared" si="319"/>
        <v>1089</v>
      </c>
      <c r="AA32" s="1301">
        <v>1089</v>
      </c>
      <c r="AB32" s="158">
        <f>AA32</f>
        <v>1089</v>
      </c>
      <c r="AC32" s="158">
        <f t="shared" si="320"/>
        <v>1089</v>
      </c>
      <c r="AD32" s="158">
        <f>AC32</f>
        <v>1089</v>
      </c>
      <c r="AE32" s="695">
        <f t="shared" si="321"/>
        <v>1049</v>
      </c>
      <c r="AF32" s="158">
        <f>AA32</f>
        <v>1089</v>
      </c>
      <c r="AG32" s="158">
        <f t="shared" si="322"/>
        <v>1049</v>
      </c>
      <c r="AH32" s="1301">
        <v>1049</v>
      </c>
      <c r="AI32" s="158">
        <v>1025</v>
      </c>
      <c r="AJ32" s="158">
        <f t="shared" si="323"/>
        <v>1004</v>
      </c>
      <c r="AK32" s="158">
        <v>1062</v>
      </c>
      <c r="AL32" s="695">
        <f t="shared" si="324"/>
        <v>917</v>
      </c>
      <c r="AM32" s="158">
        <v>1004</v>
      </c>
      <c r="AN32" s="158">
        <f t="shared" si="325"/>
        <v>917</v>
      </c>
      <c r="AO32" s="1301">
        <v>917</v>
      </c>
      <c r="AP32" s="158">
        <v>988</v>
      </c>
      <c r="AQ32" s="158">
        <f t="shared" si="326"/>
        <v>875</v>
      </c>
      <c r="AR32" s="158">
        <v>851</v>
      </c>
      <c r="AS32" s="695">
        <f t="shared" si="327"/>
        <v>935</v>
      </c>
      <c r="AT32" s="158">
        <v>875</v>
      </c>
      <c r="AU32" s="158">
        <f t="shared" si="328"/>
        <v>935</v>
      </c>
      <c r="AV32" s="1301">
        <v>935</v>
      </c>
      <c r="AW32" s="158"/>
      <c r="AX32" s="158"/>
      <c r="AY32" s="158"/>
      <c r="AZ32" s="695"/>
      <c r="BA32" s="158"/>
      <c r="BB32" s="158"/>
      <c r="BC32" s="1301">
        <v>506</v>
      </c>
      <c r="BD32" s="158">
        <v>542</v>
      </c>
      <c r="BE32" s="158">
        <f t="shared" si="329"/>
        <v>545</v>
      </c>
      <c r="BF32" s="158">
        <v>596</v>
      </c>
      <c r="BG32" s="695">
        <f t="shared" si="330"/>
        <v>626</v>
      </c>
      <c r="BH32" s="158">
        <v>545</v>
      </c>
      <c r="BI32" s="158">
        <f t="shared" si="331"/>
        <v>626</v>
      </c>
      <c r="BJ32" s="1301">
        <v>626</v>
      </c>
      <c r="BK32" s="158">
        <v>674</v>
      </c>
      <c r="BL32" s="158">
        <f t="shared" si="332"/>
        <v>699</v>
      </c>
      <c r="BM32" s="158">
        <v>683</v>
      </c>
      <c r="BN32" s="695">
        <f t="shared" si="333"/>
        <v>565</v>
      </c>
      <c r="BO32" s="158">
        <v>699</v>
      </c>
      <c r="BP32" s="158">
        <f t="shared" si="334"/>
        <v>565</v>
      </c>
      <c r="BQ32" s="1301">
        <v>565</v>
      </c>
      <c r="BR32" s="158">
        <v>569</v>
      </c>
      <c r="BS32" s="158">
        <f t="shared" si="335"/>
        <v>526</v>
      </c>
      <c r="BT32" s="158">
        <v>672</v>
      </c>
      <c r="BU32" s="695">
        <f t="shared" si="336"/>
        <v>576</v>
      </c>
      <c r="BV32" s="158">
        <v>526</v>
      </c>
      <c r="BW32" s="158">
        <f t="shared" si="337"/>
        <v>576</v>
      </c>
      <c r="BX32" s="1301">
        <v>576</v>
      </c>
      <c r="BY32" s="158">
        <v>599</v>
      </c>
      <c r="BZ32" s="158">
        <f t="shared" si="338"/>
        <v>650</v>
      </c>
      <c r="CA32" s="158">
        <v>595</v>
      </c>
      <c r="CB32" s="695">
        <f t="shared" si="339"/>
        <v>631</v>
      </c>
      <c r="CC32" s="158">
        <v>650</v>
      </c>
      <c r="CD32" s="158">
        <f t="shared" si="340"/>
        <v>631</v>
      </c>
      <c r="CE32" s="1301">
        <v>631</v>
      </c>
      <c r="CF32" s="158">
        <v>728</v>
      </c>
      <c r="CG32" s="158">
        <f t="shared" si="341"/>
        <v>771</v>
      </c>
      <c r="CH32" s="158">
        <v>742</v>
      </c>
      <c r="CI32" s="695">
        <f t="shared" si="342"/>
        <v>503</v>
      </c>
      <c r="CJ32" s="158">
        <v>771</v>
      </c>
      <c r="CK32" s="158">
        <f t="shared" si="343"/>
        <v>503</v>
      </c>
      <c r="CL32" s="1301">
        <v>503</v>
      </c>
      <c r="CM32" s="158">
        <v>550</v>
      </c>
      <c r="CN32" s="158">
        <f t="shared" si="344"/>
        <v>547</v>
      </c>
      <c r="CO32" s="158">
        <v>442</v>
      </c>
      <c r="CP32" s="695">
        <f t="shared" si="345"/>
        <v>450</v>
      </c>
      <c r="CQ32" s="158">
        <v>547</v>
      </c>
      <c r="CR32" s="158">
        <f t="shared" si="346"/>
        <v>450</v>
      </c>
      <c r="CS32" s="1301">
        <v>450</v>
      </c>
      <c r="CT32" s="158">
        <v>528</v>
      </c>
      <c r="CU32" s="158">
        <f t="shared" si="347"/>
        <v>539</v>
      </c>
      <c r="CV32" s="158">
        <v>559</v>
      </c>
      <c r="CW32" s="695">
        <f t="shared" si="348"/>
        <v>725</v>
      </c>
      <c r="CX32" s="158">
        <v>539</v>
      </c>
      <c r="CY32" s="158">
        <f t="shared" si="349"/>
        <v>725</v>
      </c>
      <c r="CZ32" s="1301">
        <v>725</v>
      </c>
      <c r="DA32" s="158">
        <v>720</v>
      </c>
      <c r="DB32" s="158">
        <f t="shared" si="350"/>
        <v>634</v>
      </c>
      <c r="DC32" s="158">
        <v>558</v>
      </c>
      <c r="DD32" s="695">
        <f t="shared" si="351"/>
        <v>528</v>
      </c>
      <c r="DE32" s="2097">
        <v>634</v>
      </c>
      <c r="DF32" s="158">
        <f t="shared" si="352"/>
        <v>528</v>
      </c>
      <c r="DG32" s="1364">
        <v>528</v>
      </c>
      <c r="DH32" s="818">
        <v>560</v>
      </c>
      <c r="DI32" s="158">
        <f t="shared" si="353"/>
        <v>576</v>
      </c>
      <c r="DJ32" s="819">
        <f>DI32</f>
        <v>576</v>
      </c>
      <c r="DK32" s="453">
        <f t="shared" si="355"/>
        <v>528</v>
      </c>
      <c r="DL32" s="2006">
        <v>576</v>
      </c>
      <c r="DM32" s="327">
        <f t="shared" si="356"/>
        <v>528</v>
      </c>
      <c r="DN32" s="1544">
        <f>DG32</f>
        <v>528</v>
      </c>
      <c r="DO32" s="819">
        <f>DN32</f>
        <v>528</v>
      </c>
      <c r="DP32" s="327">
        <f t="shared" si="358"/>
        <v>528</v>
      </c>
      <c r="DQ32" s="819">
        <f>DP32</f>
        <v>528</v>
      </c>
      <c r="DR32" s="453">
        <f t="shared" si="360"/>
        <v>528</v>
      </c>
      <c r="DS32" s="819">
        <f>DN32</f>
        <v>528</v>
      </c>
      <c r="DT32" s="327">
        <f t="shared" si="362"/>
        <v>528</v>
      </c>
      <c r="DU32" s="1544">
        <f>DN32</f>
        <v>528</v>
      </c>
      <c r="DV32" s="819">
        <f>DU32</f>
        <v>528</v>
      </c>
      <c r="DW32" s="327">
        <f t="shared" si="363"/>
        <v>528</v>
      </c>
      <c r="DX32" s="819">
        <f>DW32</f>
        <v>528</v>
      </c>
      <c r="DY32" s="453">
        <f t="shared" si="365"/>
        <v>528</v>
      </c>
      <c r="DZ32" s="819">
        <f>DU32</f>
        <v>528</v>
      </c>
      <c r="EA32" s="327">
        <f t="shared" si="367"/>
        <v>528</v>
      </c>
      <c r="EB32" s="1544">
        <f>DU32</f>
        <v>528</v>
      </c>
      <c r="EC32" s="819">
        <f>EB32</f>
        <v>528</v>
      </c>
      <c r="ED32" s="327">
        <f t="shared" si="368"/>
        <v>528</v>
      </c>
      <c r="EE32" s="819">
        <f>ED32</f>
        <v>528</v>
      </c>
      <c r="EF32" s="453">
        <f t="shared" si="370"/>
        <v>528</v>
      </c>
      <c r="EG32" s="819">
        <f>EB32</f>
        <v>528</v>
      </c>
      <c r="EH32" s="327">
        <f t="shared" si="372"/>
        <v>528</v>
      </c>
      <c r="EI32" s="1544">
        <f>EB32</f>
        <v>528</v>
      </c>
      <c r="EJ32" s="819">
        <f>EI32</f>
        <v>528</v>
      </c>
      <c r="EK32" s="327">
        <f t="shared" si="373"/>
        <v>528</v>
      </c>
      <c r="EL32" s="819">
        <f>EK32</f>
        <v>528</v>
      </c>
      <c r="EM32" s="453">
        <f t="shared" si="375"/>
        <v>528</v>
      </c>
      <c r="EN32" s="819">
        <f>EI32</f>
        <v>528</v>
      </c>
      <c r="EO32" s="327">
        <f t="shared" si="377"/>
        <v>528</v>
      </c>
      <c r="EP32" s="1544">
        <f t="shared" si="399"/>
        <v>528</v>
      </c>
      <c r="EQ32" s="303"/>
      <c r="ER32" s="46"/>
    </row>
    <row r="33" spans="1:148" ht="10.199999999999999" customHeight="1">
      <c r="A33" s="43" t="s">
        <v>292</v>
      </c>
      <c r="B33" s="158">
        <v>0</v>
      </c>
      <c r="C33" s="158">
        <v>0</v>
      </c>
      <c r="D33" s="158">
        <v>0</v>
      </c>
      <c r="E33" s="133">
        <v>3500</v>
      </c>
      <c r="F33" s="133">
        <f>3500+64</f>
        <v>3564</v>
      </c>
      <c r="G33" s="133">
        <f>79+64</f>
        <v>143</v>
      </c>
      <c r="H33" s="133">
        <v>1514</v>
      </c>
      <c r="I33" s="133">
        <f>1714+155</f>
        <v>1869</v>
      </c>
      <c r="J33" s="133">
        <v>1200</v>
      </c>
      <c r="K33" s="158">
        <v>1234</v>
      </c>
      <c r="L33" s="158">
        <v>1687</v>
      </c>
      <c r="M33" s="158">
        <v>1715</v>
      </c>
      <c r="N33" s="158"/>
      <c r="O33" s="158"/>
      <c r="P33" s="158"/>
      <c r="Q33" s="695"/>
      <c r="R33" s="158"/>
      <c r="S33" s="158"/>
      <c r="T33" s="1301">
        <v>1465</v>
      </c>
      <c r="U33" s="158">
        <f>T33</f>
        <v>1465</v>
      </c>
      <c r="V33" s="158">
        <f t="shared" si="317"/>
        <v>1465</v>
      </c>
      <c r="W33" s="158">
        <f>V33</f>
        <v>1465</v>
      </c>
      <c r="X33" s="695">
        <f t="shared" si="318"/>
        <v>3480</v>
      </c>
      <c r="Y33" s="158">
        <f>T33</f>
        <v>1465</v>
      </c>
      <c r="Z33" s="158">
        <f t="shared" si="319"/>
        <v>3480</v>
      </c>
      <c r="AA33" s="1301">
        <v>3480</v>
      </c>
      <c r="AB33" s="158">
        <f>AA33</f>
        <v>3480</v>
      </c>
      <c r="AC33" s="158">
        <f t="shared" si="320"/>
        <v>5084</v>
      </c>
      <c r="AD33" s="158">
        <v>5012</v>
      </c>
      <c r="AE33" s="695">
        <f t="shared" si="321"/>
        <v>5021</v>
      </c>
      <c r="AF33" s="158">
        <v>5084</v>
      </c>
      <c r="AG33" s="158">
        <f t="shared" si="322"/>
        <v>5021</v>
      </c>
      <c r="AH33" s="1301">
        <v>5021</v>
      </c>
      <c r="AI33" s="158">
        <v>4200</v>
      </c>
      <c r="AJ33" s="158">
        <f t="shared" si="323"/>
        <v>4706</v>
      </c>
      <c r="AK33" s="158">
        <v>4567</v>
      </c>
      <c r="AL33" s="695">
        <f t="shared" si="324"/>
        <v>5761</v>
      </c>
      <c r="AM33" s="158">
        <v>4706</v>
      </c>
      <c r="AN33" s="158">
        <f t="shared" si="325"/>
        <v>5761</v>
      </c>
      <c r="AO33" s="1301">
        <v>5761</v>
      </c>
      <c r="AP33" s="158">
        <v>5211</v>
      </c>
      <c r="AQ33" s="158">
        <f t="shared" si="326"/>
        <v>3844</v>
      </c>
      <c r="AR33" s="158">
        <v>2751</v>
      </c>
      <c r="AS33" s="695">
        <f t="shared" si="327"/>
        <v>2185</v>
      </c>
      <c r="AT33" s="158">
        <v>3844</v>
      </c>
      <c r="AU33" s="158">
        <f t="shared" si="328"/>
        <v>2185</v>
      </c>
      <c r="AV33" s="1301">
        <v>2185</v>
      </c>
      <c r="AW33" s="158"/>
      <c r="AX33" s="158"/>
      <c r="AY33" s="158"/>
      <c r="AZ33" s="695"/>
      <c r="BA33" s="158"/>
      <c r="BB33" s="158"/>
      <c r="BC33" s="1301">
        <v>2050</v>
      </c>
      <c r="BD33" s="158">
        <v>1792</v>
      </c>
      <c r="BE33" s="158">
        <f t="shared" si="329"/>
        <v>2243</v>
      </c>
      <c r="BF33" s="158">
        <v>2500</v>
      </c>
      <c r="BG33" s="695">
        <f t="shared" si="330"/>
        <v>2462</v>
      </c>
      <c r="BH33" s="158">
        <v>2243</v>
      </c>
      <c r="BI33" s="158">
        <f t="shared" si="331"/>
        <v>2462</v>
      </c>
      <c r="BJ33" s="1301">
        <v>2462</v>
      </c>
      <c r="BK33" s="158">
        <v>3594</v>
      </c>
      <c r="BL33" s="158">
        <f t="shared" si="332"/>
        <v>2153</v>
      </c>
      <c r="BM33" s="158">
        <v>3302</v>
      </c>
      <c r="BN33" s="695">
        <f t="shared" si="333"/>
        <v>2647</v>
      </c>
      <c r="BO33" s="158">
        <v>2153</v>
      </c>
      <c r="BP33" s="158">
        <f t="shared" si="334"/>
        <v>2647</v>
      </c>
      <c r="BQ33" s="1301">
        <v>2647</v>
      </c>
      <c r="BR33" s="158">
        <v>3458</v>
      </c>
      <c r="BS33" s="158">
        <f t="shared" si="335"/>
        <v>2887</v>
      </c>
      <c r="BT33" s="158">
        <v>3081</v>
      </c>
      <c r="BU33" s="695">
        <f t="shared" si="336"/>
        <v>1769</v>
      </c>
      <c r="BV33" s="158">
        <v>2887</v>
      </c>
      <c r="BW33" s="158">
        <f t="shared" si="337"/>
        <v>1769</v>
      </c>
      <c r="BX33" s="1301">
        <v>1769</v>
      </c>
      <c r="BY33" s="158">
        <v>2172</v>
      </c>
      <c r="BZ33" s="158">
        <f t="shared" si="338"/>
        <v>1863</v>
      </c>
      <c r="CA33" s="158">
        <v>2063</v>
      </c>
      <c r="CB33" s="695">
        <f t="shared" si="339"/>
        <v>2532</v>
      </c>
      <c r="CC33" s="158">
        <v>1863</v>
      </c>
      <c r="CD33" s="158">
        <f t="shared" si="340"/>
        <v>2532</v>
      </c>
      <c r="CE33" s="1301">
        <v>2532</v>
      </c>
      <c r="CF33" s="158">
        <v>2993</v>
      </c>
      <c r="CG33" s="158">
        <f t="shared" si="341"/>
        <v>5120</v>
      </c>
      <c r="CH33" s="158">
        <v>7113</v>
      </c>
      <c r="CI33" s="695">
        <f t="shared" si="342"/>
        <v>4073</v>
      </c>
      <c r="CJ33" s="158">
        <v>5120</v>
      </c>
      <c r="CK33" s="158">
        <f t="shared" si="343"/>
        <v>4073</v>
      </c>
      <c r="CL33" s="1301">
        <v>4073</v>
      </c>
      <c r="CM33" s="158">
        <v>3451</v>
      </c>
      <c r="CN33" s="158">
        <f t="shared" si="344"/>
        <v>2801</v>
      </c>
      <c r="CO33" s="158">
        <v>3125</v>
      </c>
      <c r="CP33" s="695">
        <f t="shared" si="345"/>
        <v>2569</v>
      </c>
      <c r="CQ33" s="158">
        <v>2801</v>
      </c>
      <c r="CR33" s="158">
        <f t="shared" si="346"/>
        <v>2569</v>
      </c>
      <c r="CS33" s="1301">
        <v>2569</v>
      </c>
      <c r="CT33" s="158">
        <v>2707</v>
      </c>
      <c r="CU33" s="158">
        <f t="shared" si="347"/>
        <v>2772</v>
      </c>
      <c r="CV33" s="158">
        <v>1721</v>
      </c>
      <c r="CW33" s="695">
        <f t="shared" si="348"/>
        <v>3050</v>
      </c>
      <c r="CX33" s="158">
        <v>2772</v>
      </c>
      <c r="CY33" s="158">
        <f t="shared" si="349"/>
        <v>3050</v>
      </c>
      <c r="CZ33" s="1301">
        <v>3050</v>
      </c>
      <c r="DA33" s="2097">
        <v>2077</v>
      </c>
      <c r="DB33" s="158">
        <f t="shared" si="350"/>
        <v>983</v>
      </c>
      <c r="DC33" s="158">
        <v>847</v>
      </c>
      <c r="DD33" s="695">
        <f t="shared" si="351"/>
        <v>1000</v>
      </c>
      <c r="DE33" s="1808">
        <v>983</v>
      </c>
      <c r="DF33" s="158">
        <f t="shared" si="352"/>
        <v>1000</v>
      </c>
      <c r="DG33" s="1364">
        <v>1000</v>
      </c>
      <c r="DH33" s="818">
        <v>1264</v>
      </c>
      <c r="DI33" s="158">
        <f t="shared" si="353"/>
        <v>1510</v>
      </c>
      <c r="DJ33" s="819">
        <f>DI33</f>
        <v>1510</v>
      </c>
      <c r="DK33" s="453">
        <f t="shared" si="355"/>
        <v>1000</v>
      </c>
      <c r="DL33" s="2006">
        <v>1510</v>
      </c>
      <c r="DM33" s="327">
        <f t="shared" si="356"/>
        <v>1000</v>
      </c>
      <c r="DN33" s="1544">
        <f>DG33</f>
        <v>1000</v>
      </c>
      <c r="DO33" s="819">
        <f>DN33</f>
        <v>1000</v>
      </c>
      <c r="DP33" s="327">
        <f t="shared" si="358"/>
        <v>1000</v>
      </c>
      <c r="DQ33" s="819">
        <f>DP33</f>
        <v>1000</v>
      </c>
      <c r="DR33" s="453">
        <f t="shared" si="360"/>
        <v>1000</v>
      </c>
      <c r="DS33" s="819">
        <f>DN33</f>
        <v>1000</v>
      </c>
      <c r="DT33" s="327">
        <f t="shared" si="362"/>
        <v>1000</v>
      </c>
      <c r="DU33" s="1544">
        <f>DN33</f>
        <v>1000</v>
      </c>
      <c r="DV33" s="819">
        <f>DU33</f>
        <v>1000</v>
      </c>
      <c r="DW33" s="327">
        <f t="shared" si="363"/>
        <v>1000</v>
      </c>
      <c r="DX33" s="819">
        <f>DW33</f>
        <v>1000</v>
      </c>
      <c r="DY33" s="453">
        <f t="shared" si="365"/>
        <v>1000</v>
      </c>
      <c r="DZ33" s="819">
        <f>DU33</f>
        <v>1000</v>
      </c>
      <c r="EA33" s="327">
        <f t="shared" si="367"/>
        <v>1000</v>
      </c>
      <c r="EB33" s="1544">
        <f>DU33</f>
        <v>1000</v>
      </c>
      <c r="EC33" s="819">
        <f>EB33</f>
        <v>1000</v>
      </c>
      <c r="ED33" s="327">
        <f t="shared" si="368"/>
        <v>1000</v>
      </c>
      <c r="EE33" s="819">
        <f>ED33</f>
        <v>1000</v>
      </c>
      <c r="EF33" s="453">
        <f t="shared" si="370"/>
        <v>1000</v>
      </c>
      <c r="EG33" s="819">
        <f>EB33</f>
        <v>1000</v>
      </c>
      <c r="EH33" s="327">
        <f t="shared" si="372"/>
        <v>1000</v>
      </c>
      <c r="EI33" s="1544">
        <f>EB33</f>
        <v>1000</v>
      </c>
      <c r="EJ33" s="819">
        <f>EI33</f>
        <v>1000</v>
      </c>
      <c r="EK33" s="327">
        <f t="shared" si="373"/>
        <v>1000</v>
      </c>
      <c r="EL33" s="819">
        <f>EK33</f>
        <v>1000</v>
      </c>
      <c r="EM33" s="453">
        <f t="shared" si="375"/>
        <v>1000</v>
      </c>
      <c r="EN33" s="819">
        <f>EI33</f>
        <v>1000</v>
      </c>
      <c r="EO33" s="327">
        <f t="shared" si="377"/>
        <v>1000</v>
      </c>
      <c r="EP33" s="1544">
        <f t="shared" si="399"/>
        <v>1000</v>
      </c>
      <c r="EQ33" s="303"/>
      <c r="ER33" s="91"/>
    </row>
    <row r="34" spans="1:148" ht="10.199999999999999" customHeight="1">
      <c r="A34" s="43" t="s">
        <v>293</v>
      </c>
      <c r="B34" s="212">
        <v>3982</v>
      </c>
      <c r="C34" s="212">
        <v>2403</v>
      </c>
      <c r="D34" s="212">
        <v>2660</v>
      </c>
      <c r="E34" s="212">
        <f t="shared" ref="E34:CL34" si="400">E35-SUM(E27:E33)</f>
        <v>2838</v>
      </c>
      <c r="F34" s="212">
        <f t="shared" si="400"/>
        <v>3086</v>
      </c>
      <c r="G34" s="212">
        <f t="shared" si="400"/>
        <v>2988</v>
      </c>
      <c r="H34" s="212">
        <f t="shared" si="400"/>
        <v>1955</v>
      </c>
      <c r="I34" s="212">
        <f t="shared" si="400"/>
        <v>2166</v>
      </c>
      <c r="J34" s="212">
        <f t="shared" si="400"/>
        <v>2276</v>
      </c>
      <c r="K34" s="212">
        <f t="shared" si="400"/>
        <v>2487</v>
      </c>
      <c r="L34" s="212">
        <f t="shared" si="400"/>
        <v>0</v>
      </c>
      <c r="M34" s="212">
        <f t="shared" si="400"/>
        <v>0</v>
      </c>
      <c r="N34" s="1562"/>
      <c r="O34" s="1562"/>
      <c r="P34" s="1562"/>
      <c r="Q34" s="1578"/>
      <c r="R34" s="1562"/>
      <c r="S34" s="1562"/>
      <c r="T34" s="1594">
        <f t="shared" si="400"/>
        <v>2847</v>
      </c>
      <c r="U34" s="1562">
        <f t="shared" ref="U34" si="401">U35-SUM(U27:U33)</f>
        <v>2436</v>
      </c>
      <c r="V34" s="1562">
        <f t="shared" si="317"/>
        <v>2468</v>
      </c>
      <c r="W34" s="1562">
        <f t="shared" ref="W34" si="402">W35-SUM(W27:W33)</f>
        <v>2781</v>
      </c>
      <c r="X34" s="1578">
        <f t="shared" si="318"/>
        <v>3728</v>
      </c>
      <c r="Y34" s="1562">
        <f t="shared" ref="Y34" si="403">Y35-SUM(Y27:Y33)</f>
        <v>2468</v>
      </c>
      <c r="Z34" s="1562">
        <f t="shared" si="319"/>
        <v>3728</v>
      </c>
      <c r="AA34" s="1594">
        <f t="shared" si="400"/>
        <v>3728</v>
      </c>
      <c r="AB34" s="1562">
        <f t="shared" ref="AB34" si="404">AB35-SUM(AB27:AB33)</f>
        <v>6385</v>
      </c>
      <c r="AC34" s="1562">
        <f t="shared" si="320"/>
        <v>3882</v>
      </c>
      <c r="AD34" s="1562">
        <f t="shared" ref="AD34" si="405">AD35-SUM(AD27:AD33)</f>
        <v>3975</v>
      </c>
      <c r="AE34" s="1578">
        <f t="shared" si="321"/>
        <v>3656</v>
      </c>
      <c r="AF34" s="1562">
        <f t="shared" ref="AF34" si="406">AF35-SUM(AF27:AF33)</f>
        <v>3882</v>
      </c>
      <c r="AG34" s="1562">
        <f t="shared" si="322"/>
        <v>3656</v>
      </c>
      <c r="AH34" s="1594">
        <f t="shared" si="400"/>
        <v>3656</v>
      </c>
      <c r="AI34" s="1562">
        <f t="shared" ref="AI34" si="407">AI35-SUM(AI27:AI33)</f>
        <v>4997</v>
      </c>
      <c r="AJ34" s="1562">
        <f t="shared" si="323"/>
        <v>4432</v>
      </c>
      <c r="AK34" s="1562">
        <f t="shared" ref="AK34" si="408">AK35-SUM(AK27:AK33)</f>
        <v>4787</v>
      </c>
      <c r="AL34" s="1578">
        <f t="shared" si="324"/>
        <v>4411</v>
      </c>
      <c r="AM34" s="1562">
        <f t="shared" ref="AM34" si="409">AM35-SUM(AM27:AM33)</f>
        <v>4432</v>
      </c>
      <c r="AN34" s="1562">
        <f t="shared" si="325"/>
        <v>4411</v>
      </c>
      <c r="AO34" s="1594">
        <f t="shared" si="400"/>
        <v>4411</v>
      </c>
      <c r="AP34" s="1562">
        <f t="shared" ref="AP34" si="410">AP35-SUM(AP27:AP33)</f>
        <v>4288</v>
      </c>
      <c r="AQ34" s="1562">
        <f t="shared" si="326"/>
        <v>4317</v>
      </c>
      <c r="AR34" s="1562">
        <f t="shared" ref="AR34" si="411">AR35-SUM(AR27:AR33)</f>
        <v>4359</v>
      </c>
      <c r="AS34" s="1578">
        <f t="shared" si="327"/>
        <v>4015</v>
      </c>
      <c r="AT34" s="1562">
        <f t="shared" ref="AT34" si="412">AT35-SUM(AT27:AT33)</f>
        <v>4317</v>
      </c>
      <c r="AU34" s="1562">
        <f t="shared" si="328"/>
        <v>4015</v>
      </c>
      <c r="AV34" s="1594">
        <f t="shared" si="400"/>
        <v>4015</v>
      </c>
      <c r="AW34" s="1562"/>
      <c r="AX34" s="1562"/>
      <c r="AY34" s="1562"/>
      <c r="AZ34" s="1578"/>
      <c r="BA34" s="1562"/>
      <c r="BB34" s="1562"/>
      <c r="BC34" s="1594">
        <f t="shared" si="400"/>
        <v>4015</v>
      </c>
      <c r="BD34" s="1562">
        <f t="shared" ref="BD34" si="413">BD35-SUM(BD27:BD33)</f>
        <v>5248</v>
      </c>
      <c r="BE34" s="1562">
        <f t="shared" si="329"/>
        <v>4528</v>
      </c>
      <c r="BF34" s="1562">
        <f t="shared" ref="BF34" si="414">BF35-SUM(BF27:BF33)</f>
        <v>5192</v>
      </c>
      <c r="BG34" s="1578">
        <f t="shared" si="330"/>
        <v>5720</v>
      </c>
      <c r="BH34" s="1562">
        <f t="shared" ref="BH34" si="415">BH35-SUM(BH27:BH33)</f>
        <v>4528</v>
      </c>
      <c r="BI34" s="1562">
        <f t="shared" si="331"/>
        <v>5720</v>
      </c>
      <c r="BJ34" s="1594">
        <f t="shared" si="400"/>
        <v>5720</v>
      </c>
      <c r="BK34" s="1562">
        <f t="shared" ref="BK34" si="416">BK35-SUM(BK27:BK33)</f>
        <v>7084</v>
      </c>
      <c r="BL34" s="1562">
        <f t="shared" si="332"/>
        <v>4817</v>
      </c>
      <c r="BM34" s="1562">
        <f t="shared" ref="BM34" si="417">BM35-SUM(BM27:BM33)</f>
        <v>4471</v>
      </c>
      <c r="BN34" s="1578">
        <f t="shared" si="333"/>
        <v>6817</v>
      </c>
      <c r="BO34" s="1562">
        <f t="shared" ref="BO34" si="418">BO35-SUM(BO27:BO33)</f>
        <v>4817</v>
      </c>
      <c r="BP34" s="1562">
        <f t="shared" si="334"/>
        <v>6817</v>
      </c>
      <c r="BQ34" s="1594">
        <f t="shared" si="400"/>
        <v>6817</v>
      </c>
      <c r="BR34" s="1562">
        <f t="shared" ref="BR34" si="419">BR35-SUM(BR27:BR33)</f>
        <v>4095</v>
      </c>
      <c r="BS34" s="1562">
        <f t="shared" si="335"/>
        <v>2861</v>
      </c>
      <c r="BT34" s="1562">
        <f t="shared" ref="BT34" si="420">BT35-SUM(BT27:BT33)</f>
        <v>3184</v>
      </c>
      <c r="BU34" s="1578">
        <f t="shared" si="336"/>
        <v>3160</v>
      </c>
      <c r="BV34" s="1562">
        <f t="shared" ref="BV34" si="421">BV35-SUM(BV27:BV33)</f>
        <v>2861</v>
      </c>
      <c r="BW34" s="1562">
        <f t="shared" si="337"/>
        <v>3160</v>
      </c>
      <c r="BX34" s="1594">
        <f t="shared" si="400"/>
        <v>3160</v>
      </c>
      <c r="BY34" s="1562">
        <f t="shared" ref="BY34" si="422">BY35-SUM(BY27:BY33)</f>
        <v>3473</v>
      </c>
      <c r="BZ34" s="1562">
        <f t="shared" si="338"/>
        <v>3419</v>
      </c>
      <c r="CA34" s="1562">
        <f t="shared" ref="CA34" si="423">CA35-SUM(CA27:CA33)</f>
        <v>3488</v>
      </c>
      <c r="CB34" s="1578">
        <f t="shared" si="339"/>
        <v>3532</v>
      </c>
      <c r="CC34" s="1562">
        <f t="shared" ref="CC34" si="424">CC35-SUM(CC27:CC33)</f>
        <v>3419</v>
      </c>
      <c r="CD34" s="1562">
        <f t="shared" si="340"/>
        <v>3532</v>
      </c>
      <c r="CE34" s="1594">
        <f t="shared" si="400"/>
        <v>3532</v>
      </c>
      <c r="CF34" s="1562">
        <f t="shared" ref="CF34" si="425">CF35-SUM(CF27:CF33)</f>
        <v>3971</v>
      </c>
      <c r="CG34" s="1562">
        <f t="shared" si="341"/>
        <v>3381</v>
      </c>
      <c r="CH34" s="1562">
        <f t="shared" ref="CH34" si="426">CH35-SUM(CH27:CH33)</f>
        <v>4005</v>
      </c>
      <c r="CI34" s="1578">
        <f t="shared" si="342"/>
        <v>3803</v>
      </c>
      <c r="CJ34" s="1562">
        <f t="shared" ref="CJ34" si="427">CJ35-SUM(CJ27:CJ33)</f>
        <v>3381</v>
      </c>
      <c r="CK34" s="1562">
        <f t="shared" si="343"/>
        <v>3803</v>
      </c>
      <c r="CL34" s="1594">
        <f t="shared" si="400"/>
        <v>3803</v>
      </c>
      <c r="CM34" s="1562">
        <f t="shared" ref="CM34" si="428">CM35-SUM(CM27:CM33)</f>
        <v>4545</v>
      </c>
      <c r="CN34" s="1562">
        <f t="shared" si="344"/>
        <v>4708</v>
      </c>
      <c r="CO34" s="1562">
        <f t="shared" ref="CO34" si="429">CO35-SUM(CO27:CO33)</f>
        <v>4345</v>
      </c>
      <c r="CP34" s="1578">
        <f t="shared" si="345"/>
        <v>3581</v>
      </c>
      <c r="CQ34" s="1562">
        <f t="shared" ref="CQ34" si="430">CQ35-SUM(CQ27:CQ33)</f>
        <v>4708</v>
      </c>
      <c r="CR34" s="1562">
        <f t="shared" si="346"/>
        <v>3581</v>
      </c>
      <c r="CS34" s="1594">
        <f t="shared" ref="CS34:CT34" si="431">CS35-SUM(CS27:CS33)</f>
        <v>3581</v>
      </c>
      <c r="CT34" s="1562">
        <f t="shared" si="431"/>
        <v>4438</v>
      </c>
      <c r="CU34" s="1562">
        <f t="shared" si="347"/>
        <v>4374</v>
      </c>
      <c r="CV34" s="1562">
        <f t="shared" ref="CV34" si="432">CV35-SUM(CV27:CV33)</f>
        <v>4279</v>
      </c>
      <c r="CW34" s="1578">
        <f t="shared" si="348"/>
        <v>4097</v>
      </c>
      <c r="CX34" s="1562">
        <f t="shared" ref="CX34" si="433">CX35-SUM(CX27:CX33)</f>
        <v>4374</v>
      </c>
      <c r="CY34" s="1562">
        <f t="shared" si="349"/>
        <v>4097</v>
      </c>
      <c r="CZ34" s="1594">
        <f t="shared" ref="CZ34:DC34" si="434">CZ35-SUM(CZ27:CZ33)</f>
        <v>4097</v>
      </c>
      <c r="DA34" s="1562">
        <f t="shared" si="434"/>
        <v>5032</v>
      </c>
      <c r="DB34" s="1562">
        <f t="shared" si="350"/>
        <v>4723</v>
      </c>
      <c r="DC34" s="1562">
        <f t="shared" si="434"/>
        <v>4688</v>
      </c>
      <c r="DD34" s="1578">
        <f t="shared" si="351"/>
        <v>4305</v>
      </c>
      <c r="DE34" s="1562">
        <f t="shared" ref="DE34" si="435">DE35-SUM(DE27:DE33)</f>
        <v>4723</v>
      </c>
      <c r="DF34" s="1562">
        <f t="shared" si="352"/>
        <v>4305</v>
      </c>
      <c r="DG34" s="1852">
        <f t="shared" ref="DG34:DH34" si="436">DG35-SUM(DG27:DG33)</f>
        <v>4305</v>
      </c>
      <c r="DH34" s="1807">
        <f t="shared" si="436"/>
        <v>5376</v>
      </c>
      <c r="DI34" s="1562">
        <f t="shared" si="353"/>
        <v>4846</v>
      </c>
      <c r="DJ34" s="1572">
        <f t="shared" ref="DJ34" si="437">+DJ178</f>
        <v>4655.3473819945393</v>
      </c>
      <c r="DK34" s="1688">
        <f t="shared" si="355"/>
        <v>4833.4886298394313</v>
      </c>
      <c r="DL34" s="2007">
        <f t="shared" ref="DL34" si="438">DL35-SUM(DL27:DL33)</f>
        <v>4846</v>
      </c>
      <c r="DM34" s="1687">
        <f t="shared" si="356"/>
        <v>4833.4886298394313</v>
      </c>
      <c r="DN34" s="1613">
        <f t="shared" ref="DN34:EP34" si="439">+DN178</f>
        <v>4833.4886298394313</v>
      </c>
      <c r="DO34" s="1572">
        <f t="shared" si="439"/>
        <v>4842.8434337422987</v>
      </c>
      <c r="DP34" s="1687">
        <f t="shared" si="358"/>
        <v>5093.6303668941637</v>
      </c>
      <c r="DQ34" s="1572">
        <f t="shared" ref="DQ34" si="440">+DQ178</f>
        <v>5319.3314344664395</v>
      </c>
      <c r="DR34" s="1688">
        <f t="shared" si="360"/>
        <v>5379.4192221349522</v>
      </c>
      <c r="DS34" s="1572">
        <f t="shared" ref="DS34" si="441">+DS178</f>
        <v>5093.6303668941637</v>
      </c>
      <c r="DT34" s="1687">
        <f t="shared" si="362"/>
        <v>5379.4192221349522</v>
      </c>
      <c r="DU34" s="1613">
        <f t="shared" si="439"/>
        <v>5379.4192221349522</v>
      </c>
      <c r="DV34" s="1572">
        <f t="shared" si="439"/>
        <v>5256.2249547821566</v>
      </c>
      <c r="DW34" s="1687">
        <f t="shared" si="363"/>
        <v>5530.241531452768</v>
      </c>
      <c r="DX34" s="1572">
        <f t="shared" ref="DX34" si="442">+DX178</f>
        <v>5778.0329271215551</v>
      </c>
      <c r="DY34" s="1688">
        <f t="shared" si="365"/>
        <v>5856.8964673593873</v>
      </c>
      <c r="DZ34" s="1572">
        <f t="shared" ref="DZ34" si="443">+DZ178</f>
        <v>5530.241531452768</v>
      </c>
      <c r="EA34" s="1687">
        <f t="shared" si="367"/>
        <v>5856.8964673593873</v>
      </c>
      <c r="EB34" s="1613">
        <f t="shared" si="439"/>
        <v>5856.8964673593873</v>
      </c>
      <c r="EC34" s="1572">
        <f t="shared" si="439"/>
        <v>5638.772173963941</v>
      </c>
      <c r="ED34" s="1687">
        <f t="shared" si="368"/>
        <v>5828.6449723283458</v>
      </c>
      <c r="EE34" s="1572">
        <f t="shared" ref="EE34" si="444">+EE178</f>
        <v>5990.9152038832963</v>
      </c>
      <c r="EF34" s="1688">
        <f t="shared" si="370"/>
        <v>6121.092666916692</v>
      </c>
      <c r="EG34" s="1572">
        <f t="shared" ref="EG34" si="445">+EG178</f>
        <v>5828.6449723283458</v>
      </c>
      <c r="EH34" s="1687">
        <f t="shared" si="372"/>
        <v>6121.092666916692</v>
      </c>
      <c r="EI34" s="1613">
        <f t="shared" si="439"/>
        <v>6121.092666916692</v>
      </c>
      <c r="EJ34" s="1572">
        <f t="shared" si="439"/>
        <v>5827.5690710417975</v>
      </c>
      <c r="EK34" s="1687">
        <f t="shared" si="373"/>
        <v>6026.9647268663812</v>
      </c>
      <c r="EL34" s="1572">
        <f t="shared" ref="EL34" si="446">+EL178</f>
        <v>6197.5121186709857</v>
      </c>
      <c r="EM34" s="1688">
        <f t="shared" si="375"/>
        <v>6332.0470288435399</v>
      </c>
      <c r="EN34" s="1572">
        <f t="shared" ref="EN34" si="447">+EN178</f>
        <v>6026.9647268663812</v>
      </c>
      <c r="EO34" s="1687">
        <f t="shared" si="377"/>
        <v>6332.0470288435399</v>
      </c>
      <c r="EP34" s="1613">
        <f t="shared" si="439"/>
        <v>6332.0470288435399</v>
      </c>
      <c r="EQ34" s="303"/>
      <c r="ER34" s="46"/>
    </row>
    <row r="35" spans="1:148" ht="10.199999999999999" customHeight="1">
      <c r="A35" s="92" t="s">
        <v>264</v>
      </c>
      <c r="B35" s="119">
        <f>SUM(B27:B34)</f>
        <v>15741</v>
      </c>
      <c r="C35" s="119">
        <f>SUM(C27:C34)</f>
        <v>11487</v>
      </c>
      <c r="D35" s="119">
        <f>SUM(D27:D34)</f>
        <v>11090</v>
      </c>
      <c r="E35" s="119">
        <v>26929</v>
      </c>
      <c r="F35" s="119">
        <v>31744</v>
      </c>
      <c r="G35" s="119">
        <v>31216</v>
      </c>
      <c r="H35" s="119">
        <v>34068</v>
      </c>
      <c r="I35" s="119">
        <v>36725</v>
      </c>
      <c r="J35" s="119">
        <v>42376</v>
      </c>
      <c r="K35" s="119">
        <v>43770</v>
      </c>
      <c r="L35" s="119">
        <v>47502</v>
      </c>
      <c r="M35" s="119">
        <v>48648</v>
      </c>
      <c r="N35" s="119"/>
      <c r="O35" s="119"/>
      <c r="P35" s="119"/>
      <c r="Q35" s="702"/>
      <c r="R35" s="119"/>
      <c r="S35" s="119"/>
      <c r="T35" s="349">
        <v>46351</v>
      </c>
      <c r="U35" s="119">
        <v>45992</v>
      </c>
      <c r="V35" s="119">
        <f>SUM(V27:V34)</f>
        <v>45955</v>
      </c>
      <c r="W35" s="119">
        <v>45760</v>
      </c>
      <c r="X35" s="702">
        <f t="shared" ref="X35" si="448">SUM(X27:X34)</f>
        <v>48177</v>
      </c>
      <c r="Y35" s="119">
        <f>45852+103</f>
        <v>45955</v>
      </c>
      <c r="Z35" s="119">
        <f t="shared" ref="Z35" si="449">SUM(Z27:Z34)</f>
        <v>48177</v>
      </c>
      <c r="AA35" s="349">
        <f>47497+680</f>
        <v>48177</v>
      </c>
      <c r="AB35" s="119">
        <v>52275</v>
      </c>
      <c r="AC35" s="119">
        <f>SUM(AC27:AC34)</f>
        <v>50889</v>
      </c>
      <c r="AD35" s="119">
        <f>52220+203</f>
        <v>52423</v>
      </c>
      <c r="AE35" s="702">
        <f t="shared" ref="AE35" si="450">SUM(AE27:AE34)</f>
        <v>54008</v>
      </c>
      <c r="AF35" s="119">
        <f>50692+197</f>
        <v>50889</v>
      </c>
      <c r="AG35" s="119">
        <f t="shared" ref="AG35" si="451">SUM(AG27:AG34)</f>
        <v>54008</v>
      </c>
      <c r="AH35" s="349">
        <f>53777+231</f>
        <v>54008</v>
      </c>
      <c r="AI35" s="119">
        <f>55845+1156</f>
        <v>57001</v>
      </c>
      <c r="AJ35" s="119">
        <f>SUM(AJ27:AJ34)</f>
        <v>54879</v>
      </c>
      <c r="AK35" s="119">
        <f>53600+946</f>
        <v>54546</v>
      </c>
      <c r="AL35" s="702">
        <f t="shared" ref="AL35" si="452">SUM(AL27:AL34)</f>
        <v>56692</v>
      </c>
      <c r="AM35" s="119">
        <f>53925+954</f>
        <v>54879</v>
      </c>
      <c r="AN35" s="119">
        <f t="shared" ref="AN35" si="453">SUM(AN27:AN34)</f>
        <v>56692</v>
      </c>
      <c r="AO35" s="349">
        <f>55701+991</f>
        <v>56692</v>
      </c>
      <c r="AP35" s="119">
        <f>58359+17</f>
        <v>58376</v>
      </c>
      <c r="AQ35" s="119">
        <f>SUM(AQ27:AQ34)</f>
        <v>56201</v>
      </c>
      <c r="AR35" s="119">
        <f>54184+473</f>
        <v>54657</v>
      </c>
      <c r="AS35" s="702">
        <f t="shared" ref="AS35" si="454">SUM(AS27:AS34)</f>
        <v>56131</v>
      </c>
      <c r="AT35" s="119">
        <f>55718+483</f>
        <v>56201</v>
      </c>
      <c r="AU35" s="119">
        <f t="shared" ref="AU35" si="455">SUM(AU27:AU34)</f>
        <v>56131</v>
      </c>
      <c r="AV35" s="349">
        <f>56025+106</f>
        <v>56131</v>
      </c>
      <c r="AW35" s="119"/>
      <c r="AX35" s="119"/>
      <c r="AY35" s="119"/>
      <c r="AZ35" s="702"/>
      <c r="BA35" s="119"/>
      <c r="BB35" s="119"/>
      <c r="BC35" s="349">
        <f>55779+106</f>
        <v>55885</v>
      </c>
      <c r="BD35" s="119">
        <f>59059+22</f>
        <v>59081</v>
      </c>
      <c r="BE35" s="119">
        <f>SUM(BE27:BE34)</f>
        <v>59042</v>
      </c>
      <c r="BF35" s="119">
        <v>61610</v>
      </c>
      <c r="BG35" s="702">
        <f t="shared" ref="BG35" si="456">SUM(BG27:BG34)</f>
        <v>60786</v>
      </c>
      <c r="BH35" s="119">
        <v>59042</v>
      </c>
      <c r="BI35" s="119">
        <f t="shared" ref="BI35" si="457">SUM(BI27:BI34)</f>
        <v>60786</v>
      </c>
      <c r="BJ35" s="349">
        <f>60354+432</f>
        <v>60786</v>
      </c>
      <c r="BK35" s="119">
        <f>61863+323</f>
        <v>62186</v>
      </c>
      <c r="BL35" s="119">
        <f>SUM(BL27:BL34)</f>
        <v>56492</v>
      </c>
      <c r="BM35" s="119">
        <f>56078+302</f>
        <v>56380</v>
      </c>
      <c r="BN35" s="702">
        <f t="shared" ref="BN35" si="458">SUM(BN27:BN34)</f>
        <v>62374</v>
      </c>
      <c r="BO35" s="119">
        <f>56179+313</f>
        <v>56492</v>
      </c>
      <c r="BP35" s="119">
        <f t="shared" ref="BP35" si="459">SUM(BP27:BP34)</f>
        <v>62374</v>
      </c>
      <c r="BQ35" s="349">
        <v>62374</v>
      </c>
      <c r="BR35" s="119">
        <v>64371</v>
      </c>
      <c r="BS35" s="119">
        <f>SUM(BS27:BS34)</f>
        <v>59391</v>
      </c>
      <c r="BT35" s="119">
        <v>57342</v>
      </c>
      <c r="BU35" s="702">
        <f t="shared" ref="BU35" si="460">SUM(BU27:BU34)</f>
        <v>49771</v>
      </c>
      <c r="BV35" s="119">
        <v>59391</v>
      </c>
      <c r="BW35" s="119">
        <f t="shared" ref="BW35" si="461">SUM(BW27:BW34)</f>
        <v>49771</v>
      </c>
      <c r="BX35" s="349">
        <v>49771</v>
      </c>
      <c r="BY35" s="119">
        <v>53438</v>
      </c>
      <c r="BZ35" s="119">
        <f>SUM(BZ27:BZ34)</f>
        <v>49322</v>
      </c>
      <c r="CA35" s="119">
        <v>50496</v>
      </c>
      <c r="CB35" s="702">
        <f t="shared" ref="CB35" si="462">SUM(CB27:CB34)</f>
        <v>47807</v>
      </c>
      <c r="CC35" s="119">
        <v>49322</v>
      </c>
      <c r="CD35" s="119">
        <f t="shared" ref="CD35" si="463">SUM(CD27:CD34)</f>
        <v>47807</v>
      </c>
      <c r="CE35" s="349">
        <v>47807</v>
      </c>
      <c r="CF35" s="119">
        <v>50425</v>
      </c>
      <c r="CG35" s="119">
        <f>SUM(CG27:CG34)</f>
        <v>55249</v>
      </c>
      <c r="CH35" s="119">
        <v>60361</v>
      </c>
      <c r="CI35" s="702">
        <f t="shared" ref="CI35" si="464">SUM(CI27:CI34)</f>
        <v>52595</v>
      </c>
      <c r="CJ35" s="119">
        <v>55249</v>
      </c>
      <c r="CK35" s="119">
        <f t="shared" ref="CK35" si="465">SUM(CK27:CK34)</f>
        <v>52595</v>
      </c>
      <c r="CL35" s="349">
        <v>52595</v>
      </c>
      <c r="CM35" s="119">
        <f>54975+88</f>
        <v>55063</v>
      </c>
      <c r="CN35" s="119">
        <f>SUM(CN27:CN34)</f>
        <v>54529</v>
      </c>
      <c r="CO35" s="119">
        <f>56672+88</f>
        <v>56760</v>
      </c>
      <c r="CP35" s="702">
        <f t="shared" ref="CP35" si="466">SUM(CP27:CP34)</f>
        <v>53750</v>
      </c>
      <c r="CQ35" s="119">
        <f>54443+86</f>
        <v>54529</v>
      </c>
      <c r="CR35" s="119">
        <f t="shared" ref="CR35" si="467">SUM(CR27:CR34)</f>
        <v>53750</v>
      </c>
      <c r="CS35" s="349">
        <f>53676+74</f>
        <v>53750</v>
      </c>
      <c r="CT35" s="119">
        <f>57141+74</f>
        <v>57215</v>
      </c>
      <c r="CU35" s="119">
        <f>SUM(CU27:CU34)</f>
        <v>59108</v>
      </c>
      <c r="CV35" s="119">
        <f>57590+77</f>
        <v>57667</v>
      </c>
      <c r="CW35" s="702">
        <f t="shared" ref="CW35" si="468">SUM(CW27:CW34)</f>
        <v>60623</v>
      </c>
      <c r="CX35" s="119">
        <f>59034+74</f>
        <v>59108</v>
      </c>
      <c r="CY35" s="119">
        <f t="shared" ref="CY35" si="469">SUM(CY27:CY34)</f>
        <v>60623</v>
      </c>
      <c r="CZ35" s="349">
        <f>60548+75</f>
        <v>60623</v>
      </c>
      <c r="DA35" s="119">
        <f>61421+80</f>
        <v>61501</v>
      </c>
      <c r="DB35" s="119">
        <f>SUM(DB27:DB34)</f>
        <v>60134</v>
      </c>
      <c r="DC35" s="119">
        <f>60942+79</f>
        <v>61021</v>
      </c>
      <c r="DD35" s="702">
        <f t="shared" ref="DD35" si="470">SUM(DD27:DD34)</f>
        <v>63511</v>
      </c>
      <c r="DE35" s="119">
        <f>60055+79</f>
        <v>60134</v>
      </c>
      <c r="DF35" s="119">
        <f t="shared" ref="DF35" si="471">SUM(DF27:DF34)</f>
        <v>63511</v>
      </c>
      <c r="DG35" s="1355">
        <f>63429+82</f>
        <v>63511</v>
      </c>
      <c r="DH35" s="24">
        <f>67213+85</f>
        <v>67298</v>
      </c>
      <c r="DI35" s="119">
        <f>SUM(DI27:DI34)</f>
        <v>66105</v>
      </c>
      <c r="DJ35" s="464">
        <f t="shared" ref="DJ35:DM35" si="472">SUM(DJ27:DJ34)</f>
        <v>60264.574714775197</v>
      </c>
      <c r="DK35" s="465">
        <f t="shared" si="472"/>
        <v>65878.321965498923</v>
      </c>
      <c r="DL35" s="2008">
        <f>66019+86</f>
        <v>66105</v>
      </c>
      <c r="DM35" s="464">
        <f t="shared" si="472"/>
        <v>65878.321965498923</v>
      </c>
      <c r="DN35" s="1614">
        <f t="shared" ref="DN35:EP35" si="473">SUM(DN27:DN34)</f>
        <v>65878.321965498923</v>
      </c>
      <c r="DO35" s="464">
        <f t="shared" si="473"/>
        <v>63256.288086948363</v>
      </c>
      <c r="DP35" s="462">
        <f>SUM(DP27:DP34)</f>
        <v>65911.255963112548</v>
      </c>
      <c r="DQ35" s="464">
        <f t="shared" ref="DQ35:DT35" si="474">SUM(DQ27:DQ34)</f>
        <v>68293.148977212128</v>
      </c>
      <c r="DR35" s="465">
        <f t="shared" si="474"/>
        <v>68872.24099079195</v>
      </c>
      <c r="DS35" s="464">
        <f t="shared" si="474"/>
        <v>65911.255963112548</v>
      </c>
      <c r="DT35" s="464">
        <f t="shared" si="474"/>
        <v>68872.24099079195</v>
      </c>
      <c r="DU35" s="1614">
        <f t="shared" si="473"/>
        <v>68872.24099079195</v>
      </c>
      <c r="DV35" s="464">
        <f t="shared" si="473"/>
        <v>65295.79456399224</v>
      </c>
      <c r="DW35" s="462">
        <f>SUM(DW27:DW34)</f>
        <v>68091.005504099827</v>
      </c>
      <c r="DX35" s="464">
        <f t="shared" ref="DX35:EA35" si="475">SUM(DX27:DX34)</f>
        <v>70611.518459390907</v>
      </c>
      <c r="DY35" s="465">
        <f t="shared" si="475"/>
        <v>71362.581607527885</v>
      </c>
      <c r="DZ35" s="464">
        <f t="shared" si="475"/>
        <v>68091.005504099827</v>
      </c>
      <c r="EA35" s="464">
        <f t="shared" si="475"/>
        <v>71362.581607527885</v>
      </c>
      <c r="EB35" s="1614">
        <f t="shared" si="473"/>
        <v>71362.581607527885</v>
      </c>
      <c r="EC35" s="464">
        <f t="shared" si="473"/>
        <v>68487.789162513131</v>
      </c>
      <c r="ED35" s="462">
        <f>SUM(ED27:ED34)</f>
        <v>70384.286165081154</v>
      </c>
      <c r="EE35" s="464">
        <f t="shared" ref="EE35:EH35" si="476">SUM(EE27:EE34)</f>
        <v>71994.178776726461</v>
      </c>
      <c r="EF35" s="465">
        <f t="shared" si="476"/>
        <v>73270.844104161602</v>
      </c>
      <c r="EG35" s="464">
        <f t="shared" si="476"/>
        <v>70384.286165081154</v>
      </c>
      <c r="EH35" s="464">
        <f t="shared" si="476"/>
        <v>73270.844104161602</v>
      </c>
      <c r="EI35" s="1614">
        <f t="shared" si="473"/>
        <v>73270.844104161602</v>
      </c>
      <c r="EJ35" s="464">
        <f t="shared" si="473"/>
        <v>69881.977620689635</v>
      </c>
      <c r="EK35" s="462">
        <f>SUM(EK27:EK34)</f>
        <v>71868.246716785594</v>
      </c>
      <c r="EL35" s="464">
        <f t="shared" ref="EL35:EO35" si="477">SUM(EL27:EL34)</f>
        <v>73556.294495799739</v>
      </c>
      <c r="EM35" s="465">
        <f t="shared" si="477"/>
        <v>74872.060265183885</v>
      </c>
      <c r="EN35" s="464">
        <f t="shared" si="477"/>
        <v>71868.246716785594</v>
      </c>
      <c r="EO35" s="464">
        <f t="shared" si="477"/>
        <v>74872.060265183885</v>
      </c>
      <c r="EP35" s="1614">
        <f t="shared" si="473"/>
        <v>74872.060265183885</v>
      </c>
      <c r="EQ35" s="303"/>
      <c r="ER35" s="46"/>
    </row>
    <row r="36" spans="1:148" ht="10.199999999999999" customHeight="1">
      <c r="A36" s="43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695"/>
      <c r="R36" s="158"/>
      <c r="S36" s="158"/>
      <c r="T36" s="1301"/>
      <c r="U36" s="158"/>
      <c r="V36" s="158"/>
      <c r="W36" s="158"/>
      <c r="X36" s="695"/>
      <c r="Y36" s="158"/>
      <c r="Z36" s="158"/>
      <c r="AA36" s="1301"/>
      <c r="AB36" s="158"/>
      <c r="AC36" s="158"/>
      <c r="AD36" s="158"/>
      <c r="AE36" s="695"/>
      <c r="AF36" s="158"/>
      <c r="AG36" s="158"/>
      <c r="AH36" s="1301"/>
      <c r="AI36" s="158"/>
      <c r="AJ36" s="158"/>
      <c r="AK36" s="158"/>
      <c r="AL36" s="695"/>
      <c r="AM36" s="158"/>
      <c r="AN36" s="158"/>
      <c r="AO36" s="1301"/>
      <c r="AP36" s="158"/>
      <c r="AQ36" s="158"/>
      <c r="AR36" s="158"/>
      <c r="AS36" s="695"/>
      <c r="AT36" s="158"/>
      <c r="AU36" s="158"/>
      <c r="AV36" s="1301"/>
      <c r="AW36" s="158"/>
      <c r="AX36" s="158"/>
      <c r="AY36" s="158"/>
      <c r="AZ36" s="695"/>
      <c r="BA36" s="158"/>
      <c r="BB36" s="158"/>
      <c r="BC36" s="1301"/>
      <c r="BD36" s="158"/>
      <c r="BE36" s="158"/>
      <c r="BF36" s="158"/>
      <c r="BG36" s="695"/>
      <c r="BH36" s="158"/>
      <c r="BI36" s="158"/>
      <c r="BJ36" s="1301"/>
      <c r="BK36" s="158"/>
      <c r="BL36" s="158"/>
      <c r="BM36" s="158"/>
      <c r="BN36" s="695"/>
      <c r="BO36" s="158"/>
      <c r="BP36" s="158"/>
      <c r="BQ36" s="1301"/>
      <c r="BR36" s="158"/>
      <c r="BS36" s="158"/>
      <c r="BT36" s="158"/>
      <c r="BU36" s="695"/>
      <c r="BV36" s="158"/>
      <c r="BW36" s="158"/>
      <c r="BX36" s="1301"/>
      <c r="BY36" s="158"/>
      <c r="BZ36" s="158"/>
      <c r="CA36" s="158"/>
      <c r="CB36" s="695"/>
      <c r="CC36" s="158"/>
      <c r="CD36" s="158"/>
      <c r="CE36" s="1301"/>
      <c r="CF36" s="158"/>
      <c r="CG36" s="158"/>
      <c r="CH36" s="158"/>
      <c r="CI36" s="695"/>
      <c r="CJ36" s="158"/>
      <c r="CK36" s="158"/>
      <c r="CL36" s="1301"/>
      <c r="CM36" s="158"/>
      <c r="CN36" s="158"/>
      <c r="CO36" s="158"/>
      <c r="CP36" s="695"/>
      <c r="CQ36" s="158"/>
      <c r="CR36" s="158"/>
      <c r="CS36" s="1301"/>
      <c r="CT36" s="158"/>
      <c r="CU36" s="158"/>
      <c r="CV36" s="158"/>
      <c r="CW36" s="695"/>
      <c r="CX36" s="158"/>
      <c r="CY36" s="158"/>
      <c r="CZ36" s="1301"/>
      <c r="DA36" s="18"/>
      <c r="DB36" s="158"/>
      <c r="DC36" s="18"/>
      <c r="DD36" s="695"/>
      <c r="DE36" s="158"/>
      <c r="DF36" s="158"/>
      <c r="DG36" s="1364"/>
      <c r="DH36" s="818"/>
      <c r="DI36" s="158"/>
      <c r="DJ36" s="18"/>
      <c r="DK36" s="695"/>
      <c r="DL36" s="2006"/>
      <c r="DM36" s="158"/>
      <c r="DN36" s="1503"/>
      <c r="DO36" s="18"/>
      <c r="DP36" s="327"/>
      <c r="DQ36" s="18"/>
      <c r="DR36" s="695"/>
      <c r="DS36" s="18"/>
      <c r="DT36" s="158"/>
      <c r="DU36" s="1503"/>
      <c r="DV36" s="18"/>
      <c r="DW36" s="327"/>
      <c r="DX36" s="18"/>
      <c r="DY36" s="695"/>
      <c r="DZ36" s="18"/>
      <c r="EA36" s="158"/>
      <c r="EB36" s="1503"/>
      <c r="EC36" s="18"/>
      <c r="ED36" s="327"/>
      <c r="EE36" s="18"/>
      <c r="EF36" s="695"/>
      <c r="EG36" s="18"/>
      <c r="EH36" s="158"/>
      <c r="EI36" s="1503"/>
      <c r="EJ36" s="18"/>
      <c r="EK36" s="327"/>
      <c r="EL36" s="18"/>
      <c r="EM36" s="695"/>
      <c r="EN36" s="18"/>
      <c r="EO36" s="158"/>
      <c r="EP36" s="1503"/>
      <c r="EQ36" s="303"/>
      <c r="ER36" s="46"/>
    </row>
    <row r="37" spans="1:148" ht="10.199999999999999" customHeight="1">
      <c r="A37" s="43" t="s">
        <v>205</v>
      </c>
      <c r="B37" s="158">
        <f>11918-B27</f>
        <v>7588</v>
      </c>
      <c r="C37" s="158">
        <f>8248-C27</f>
        <v>5920</v>
      </c>
      <c r="D37" s="158">
        <f>8726-D27-D39</f>
        <v>2790</v>
      </c>
      <c r="E37" s="158">
        <f>6074-E39</f>
        <v>1539</v>
      </c>
      <c r="F37" s="158">
        <f>6879-F39</f>
        <v>1751</v>
      </c>
      <c r="G37" s="158">
        <f>8911-G39</f>
        <v>3160</v>
      </c>
      <c r="H37" s="158">
        <f>8055-H39</f>
        <v>3513</v>
      </c>
      <c r="I37" s="158">
        <f>7479-I39</f>
        <v>3037</v>
      </c>
      <c r="J37" s="158">
        <f>8137-J39</f>
        <v>2998</v>
      </c>
      <c r="K37" s="158">
        <f>8213-K39</f>
        <v>3230</v>
      </c>
      <c r="L37" s="158">
        <f>9144-L39</f>
        <v>3640</v>
      </c>
      <c r="M37" s="158">
        <f>9816-M39</f>
        <v>3792</v>
      </c>
      <c r="N37" s="158"/>
      <c r="O37" s="158"/>
      <c r="P37" s="158"/>
      <c r="Q37" s="695"/>
      <c r="R37" s="158"/>
      <c r="S37" s="158"/>
      <c r="T37" s="1301">
        <f>9604-T39</f>
        <v>3738</v>
      </c>
      <c r="U37" s="158">
        <f>9506-U39</f>
        <v>3585</v>
      </c>
      <c r="V37" s="158">
        <f t="shared" si="317"/>
        <v>3280</v>
      </c>
      <c r="W37" s="158">
        <f>9710-W39</f>
        <v>3122</v>
      </c>
      <c r="X37" s="695">
        <f t="shared" ref="X37:X45" si="478">Z37</f>
        <v>2536</v>
      </c>
      <c r="Y37" s="158">
        <f>9479-Y39</f>
        <v>3280</v>
      </c>
      <c r="Z37" s="158">
        <f t="shared" ref="Z37:Z45" si="479">AA37</f>
        <v>2536</v>
      </c>
      <c r="AA37" s="1301">
        <f>10400-AA39</f>
        <v>2536</v>
      </c>
      <c r="AB37" s="158">
        <f>11206-AB39</f>
        <v>2684</v>
      </c>
      <c r="AC37" s="158">
        <f t="shared" si="320"/>
        <v>2240</v>
      </c>
      <c r="AD37" s="158">
        <f>10237-AD39</f>
        <v>2313</v>
      </c>
      <c r="AE37" s="695">
        <f t="shared" ref="AE37:AE45" si="480">AG37</f>
        <v>2699</v>
      </c>
      <c r="AF37" s="158">
        <f>10254-AF39</f>
        <v>2240</v>
      </c>
      <c r="AG37" s="158">
        <f t="shared" ref="AG37:AG45" si="481">AH37</f>
        <v>2699</v>
      </c>
      <c r="AH37" s="1301">
        <f>9871-AH39</f>
        <v>2699</v>
      </c>
      <c r="AI37" s="158">
        <f>9917-AI39</f>
        <v>1894</v>
      </c>
      <c r="AJ37" s="158">
        <f t="shared" si="323"/>
        <v>2284</v>
      </c>
      <c r="AK37" s="158">
        <f>11139-AK39</f>
        <v>1875</v>
      </c>
      <c r="AL37" s="695">
        <f t="shared" ref="AL37:AL45" si="482">AN37</f>
        <v>2170</v>
      </c>
      <c r="AM37" s="158">
        <f>11065-AM39</f>
        <v>2284</v>
      </c>
      <c r="AN37" s="158">
        <f t="shared" ref="AN37:AN45" si="483">AO37</f>
        <v>2170</v>
      </c>
      <c r="AO37" s="1301">
        <f>10826-AO39</f>
        <v>2170</v>
      </c>
      <c r="AP37" s="158">
        <f>10651-AP39</f>
        <v>2095</v>
      </c>
      <c r="AQ37" s="158">
        <f t="shared" si="326"/>
        <v>2072</v>
      </c>
      <c r="AR37" s="158">
        <f>10391-AR39</f>
        <v>1999</v>
      </c>
      <c r="AS37" s="695">
        <f t="shared" ref="AS37:AS45" si="484">AU37</f>
        <v>1792</v>
      </c>
      <c r="AT37" s="158">
        <f>10353-AT39</f>
        <v>2072</v>
      </c>
      <c r="AU37" s="158">
        <f t="shared" ref="AU37:AU45" si="485">AV37</f>
        <v>1792</v>
      </c>
      <c r="AV37" s="1301">
        <f>10153-AV39</f>
        <v>1792</v>
      </c>
      <c r="AW37" s="158"/>
      <c r="AX37" s="158"/>
      <c r="AY37" s="158"/>
      <c r="AZ37" s="695"/>
      <c r="BA37" s="158"/>
      <c r="BB37" s="158"/>
      <c r="BC37" s="1301">
        <f>9779-BC39</f>
        <v>1418</v>
      </c>
      <c r="BD37" s="158">
        <f>10147-BD39</f>
        <v>1478</v>
      </c>
      <c r="BE37" s="158">
        <f t="shared" si="329"/>
        <v>1396</v>
      </c>
      <c r="BF37" s="158">
        <f>11547-BF39</f>
        <v>3870</v>
      </c>
      <c r="BG37" s="695">
        <f t="shared" ref="BG37:BG45" si="486">BI37</f>
        <v>4499</v>
      </c>
      <c r="BH37" s="158">
        <f>9843-BH39</f>
        <v>1396</v>
      </c>
      <c r="BI37" s="158">
        <f t="shared" ref="BI37:BI45" si="487">BJ37</f>
        <v>4499</v>
      </c>
      <c r="BJ37" s="1301">
        <f>11571-BJ39</f>
        <v>4499</v>
      </c>
      <c r="BK37" s="158">
        <f>12542-BK39</f>
        <v>4733</v>
      </c>
      <c r="BL37" s="158">
        <f t="shared" si="332"/>
        <v>4390</v>
      </c>
      <c r="BM37" s="158">
        <f>15683-BM39</f>
        <v>4328</v>
      </c>
      <c r="BN37" s="695">
        <f t="shared" ref="BN37:BN45" si="488">BP37</f>
        <v>4189</v>
      </c>
      <c r="BO37" s="158">
        <f>14465-BO39</f>
        <v>4390</v>
      </c>
      <c r="BP37" s="158">
        <f t="shared" ref="BP37:BP45" si="489">BQ37</f>
        <v>4189</v>
      </c>
      <c r="BQ37" s="1301">
        <f>12542-BQ39</f>
        <v>4189</v>
      </c>
      <c r="BR37" s="158">
        <f>10773-BR39</f>
        <v>4076</v>
      </c>
      <c r="BS37" s="158">
        <f t="shared" si="335"/>
        <v>4317</v>
      </c>
      <c r="BT37" s="158">
        <f>13760-BT39</f>
        <v>4258</v>
      </c>
      <c r="BU37" s="695">
        <f t="shared" ref="BU37:BU45" si="490">BW37</f>
        <v>4018</v>
      </c>
      <c r="BV37" s="158">
        <f>13527-BV39</f>
        <v>4317</v>
      </c>
      <c r="BW37" s="158">
        <f t="shared" ref="BW37:BW45" si="491">BX37</f>
        <v>4018</v>
      </c>
      <c r="BX37" s="1301">
        <f>13998-BX39</f>
        <v>4018</v>
      </c>
      <c r="BY37" s="158">
        <f>11640-BY39</f>
        <v>4047</v>
      </c>
      <c r="BZ37" s="158">
        <f t="shared" si="338"/>
        <v>3620</v>
      </c>
      <c r="CA37" s="158">
        <f>10682-CA39</f>
        <v>3485</v>
      </c>
      <c r="CB37" s="695">
        <f t="shared" ref="CB37:CB45" si="492">CD37</f>
        <v>3699</v>
      </c>
      <c r="CC37" s="158">
        <f>11189-CC39</f>
        <v>3620</v>
      </c>
      <c r="CD37" s="158">
        <f t="shared" ref="CD37:CD45" si="493">CE37</f>
        <v>3699</v>
      </c>
      <c r="CE37" s="1301">
        <f>10771-CE39</f>
        <v>3699</v>
      </c>
      <c r="CF37" s="158">
        <f>9332-CF39</f>
        <v>3672</v>
      </c>
      <c r="CG37" s="158">
        <f t="shared" si="341"/>
        <v>3660</v>
      </c>
      <c r="CH37" s="158">
        <f>7477-CH39</f>
        <v>3841</v>
      </c>
      <c r="CI37" s="695">
        <f t="shared" ref="CI37:CI45" si="494">CK37</f>
        <v>3387</v>
      </c>
      <c r="CJ37" s="158">
        <f>7206-CJ39</f>
        <v>3660</v>
      </c>
      <c r="CK37" s="158">
        <f t="shared" ref="CK37:CK45" si="495">CL37</f>
        <v>3387</v>
      </c>
      <c r="CL37" s="1301">
        <f>6896-CL39</f>
        <v>3387</v>
      </c>
      <c r="CM37" s="158">
        <f>6716-CM39</f>
        <v>3358</v>
      </c>
      <c r="CN37" s="158">
        <f t="shared" si="344"/>
        <v>3206</v>
      </c>
      <c r="CO37" s="158">
        <f>5839-CO39</f>
        <v>3088</v>
      </c>
      <c r="CP37" s="695">
        <f t="shared" ref="CP37:CP45" si="496">CR37</f>
        <v>2952</v>
      </c>
      <c r="CQ37" s="158">
        <f>6212-CQ39</f>
        <v>3206</v>
      </c>
      <c r="CR37" s="158">
        <f t="shared" ref="CR37:CR45" si="497">CS37</f>
        <v>2952</v>
      </c>
      <c r="CS37" s="1301">
        <f>5667-CS39</f>
        <v>2952</v>
      </c>
      <c r="CT37" s="158">
        <f>5515-CT39</f>
        <v>3016</v>
      </c>
      <c r="CU37" s="158">
        <f t="shared" si="347"/>
        <v>3045</v>
      </c>
      <c r="CV37" s="158">
        <f>5164-CV39</f>
        <v>3009</v>
      </c>
      <c r="CW37" s="695">
        <f t="shared" ref="CW37:CW45" si="498">CY37</f>
        <v>2809</v>
      </c>
      <c r="CX37" s="158">
        <f>5190-CX39</f>
        <v>3045</v>
      </c>
      <c r="CY37" s="158">
        <f t="shared" ref="CY37:CY45" si="499">CZ37</f>
        <v>2809</v>
      </c>
      <c r="CZ37" s="1301">
        <f>4630-CZ39</f>
        <v>2809</v>
      </c>
      <c r="DA37" s="2101">
        <f>4436-DA39</f>
        <v>2820</v>
      </c>
      <c r="DB37" s="158">
        <f t="shared" si="350"/>
        <v>2790</v>
      </c>
      <c r="DC37" s="158">
        <f>4311-1445</f>
        <v>2866</v>
      </c>
      <c r="DD37" s="695">
        <f t="shared" ref="DD37:DD45" si="500">DF37</f>
        <v>2721</v>
      </c>
      <c r="DE37" s="158">
        <f>4423-DE39</f>
        <v>2790</v>
      </c>
      <c r="DF37" s="158">
        <f t="shared" ref="DF37:DF45" si="501">DG37</f>
        <v>2721</v>
      </c>
      <c r="DG37" s="1364">
        <f>3976-DG39</f>
        <v>2721</v>
      </c>
      <c r="DH37" s="818">
        <f>3759-DH39</f>
        <v>2644</v>
      </c>
      <c r="DI37" s="158">
        <f t="shared" si="353"/>
        <v>2736</v>
      </c>
      <c r="DJ37" s="819">
        <f>DI37</f>
        <v>2736</v>
      </c>
      <c r="DK37" s="453">
        <f t="shared" ref="DK37:DK45" si="502">DM37</f>
        <v>2721</v>
      </c>
      <c r="DL37" s="2006">
        <f>3829-DL39</f>
        <v>2736</v>
      </c>
      <c r="DM37" s="327">
        <f t="shared" ref="DM37:DM45" si="503">DN37</f>
        <v>2721</v>
      </c>
      <c r="DN37" s="1544">
        <f>DG37</f>
        <v>2721</v>
      </c>
      <c r="DO37" s="819">
        <f>DN37</f>
        <v>2721</v>
      </c>
      <c r="DP37" s="327">
        <f t="shared" ref="DP37:DP45" si="504">DS37</f>
        <v>2721</v>
      </c>
      <c r="DQ37" s="819">
        <f>DP37</f>
        <v>2721</v>
      </c>
      <c r="DR37" s="453">
        <f t="shared" ref="DR37:DR45" si="505">DT37</f>
        <v>2721</v>
      </c>
      <c r="DS37" s="819">
        <f>DN37</f>
        <v>2721</v>
      </c>
      <c r="DT37" s="327">
        <f t="shared" ref="DT37:DT45" si="506">DU37</f>
        <v>2721</v>
      </c>
      <c r="DU37" s="1544">
        <f>DN37</f>
        <v>2721</v>
      </c>
      <c r="DV37" s="819">
        <f>DU37</f>
        <v>2721</v>
      </c>
      <c r="DW37" s="327">
        <f t="shared" ref="DW37:DW45" si="507">DZ37</f>
        <v>2721</v>
      </c>
      <c r="DX37" s="819">
        <f>DW37</f>
        <v>2721</v>
      </c>
      <c r="DY37" s="453">
        <f t="shared" ref="DY37:DY45" si="508">EA37</f>
        <v>2721</v>
      </c>
      <c r="DZ37" s="819">
        <f>DU37</f>
        <v>2721</v>
      </c>
      <c r="EA37" s="327">
        <f t="shared" ref="EA37:EA45" si="509">EB37</f>
        <v>2721</v>
      </c>
      <c r="EB37" s="1544">
        <f>DU37</f>
        <v>2721</v>
      </c>
      <c r="EC37" s="819">
        <f>EB37</f>
        <v>2721</v>
      </c>
      <c r="ED37" s="327">
        <f t="shared" ref="ED37:ED45" si="510">EG37</f>
        <v>2721</v>
      </c>
      <c r="EE37" s="819">
        <f>ED37</f>
        <v>2721</v>
      </c>
      <c r="EF37" s="453">
        <f t="shared" ref="EF37:EF45" si="511">EH37</f>
        <v>2721</v>
      </c>
      <c r="EG37" s="819">
        <f>EB37</f>
        <v>2721</v>
      </c>
      <c r="EH37" s="327">
        <f t="shared" ref="EH37:EH45" si="512">EI37</f>
        <v>2721</v>
      </c>
      <c r="EI37" s="1544">
        <f>EB37</f>
        <v>2721</v>
      </c>
      <c r="EJ37" s="819">
        <f>EI37</f>
        <v>2721</v>
      </c>
      <c r="EK37" s="327">
        <f t="shared" ref="EK37:EK45" si="513">EN37</f>
        <v>2721</v>
      </c>
      <c r="EL37" s="819">
        <f>EK37</f>
        <v>2721</v>
      </c>
      <c r="EM37" s="453">
        <f t="shared" ref="EM37:EM45" si="514">EO37</f>
        <v>2721</v>
      </c>
      <c r="EN37" s="819">
        <f>EI37</f>
        <v>2721</v>
      </c>
      <c r="EO37" s="327">
        <f t="shared" ref="EO37:EO45" si="515">EP37</f>
        <v>2721</v>
      </c>
      <c r="EP37" s="1544">
        <f t="shared" ref="EP37:EP38" si="516">EI37</f>
        <v>2721</v>
      </c>
      <c r="EQ37" s="303"/>
      <c r="ER37" s="46"/>
    </row>
    <row r="38" spans="1:148" ht="10.199999999999999" customHeight="1">
      <c r="A38" s="43" t="s">
        <v>11</v>
      </c>
      <c r="B38" s="158">
        <v>5038</v>
      </c>
      <c r="C38" s="158">
        <v>2645</v>
      </c>
      <c r="D38" s="158">
        <v>3789</v>
      </c>
      <c r="E38" s="133">
        <v>4405</v>
      </c>
      <c r="F38" s="133">
        <v>4189</v>
      </c>
      <c r="G38" s="133">
        <v>3561</v>
      </c>
      <c r="H38" s="133">
        <v>3090</v>
      </c>
      <c r="I38" s="133">
        <v>3046</v>
      </c>
      <c r="J38" s="133">
        <v>2867</v>
      </c>
      <c r="K38" s="158">
        <v>2870</v>
      </c>
      <c r="L38" s="158">
        <v>3628</v>
      </c>
      <c r="M38" s="158">
        <v>3506</v>
      </c>
      <c r="N38" s="158"/>
      <c r="O38" s="158"/>
      <c r="P38" s="158"/>
      <c r="Q38" s="695"/>
      <c r="R38" s="158"/>
      <c r="S38" s="158"/>
      <c r="T38" s="1301">
        <v>3804</v>
      </c>
      <c r="U38" s="158">
        <v>3813</v>
      </c>
      <c r="V38" s="158">
        <f t="shared" si="317"/>
        <v>4827</v>
      </c>
      <c r="W38" s="158">
        <v>5180</v>
      </c>
      <c r="X38" s="695">
        <f t="shared" si="478"/>
        <v>6278</v>
      </c>
      <c r="Y38" s="158">
        <v>4827</v>
      </c>
      <c r="Z38" s="158">
        <f t="shared" si="479"/>
        <v>6278</v>
      </c>
      <c r="AA38" s="1301">
        <v>6278</v>
      </c>
      <c r="AB38" s="158">
        <v>6705</v>
      </c>
      <c r="AC38" s="158">
        <f t="shared" si="320"/>
        <v>6689</v>
      </c>
      <c r="AD38" s="158">
        <v>6066</v>
      </c>
      <c r="AE38" s="695">
        <f t="shared" si="480"/>
        <v>6335</v>
      </c>
      <c r="AF38" s="158">
        <v>6689</v>
      </c>
      <c r="AG38" s="158">
        <f t="shared" si="481"/>
        <v>6335</v>
      </c>
      <c r="AH38" s="1301">
        <v>6335</v>
      </c>
      <c r="AI38" s="158">
        <v>6310</v>
      </c>
      <c r="AJ38" s="158">
        <f t="shared" si="323"/>
        <v>8933</v>
      </c>
      <c r="AK38" s="158">
        <v>8825</v>
      </c>
      <c r="AL38" s="695">
        <f t="shared" si="482"/>
        <v>8791</v>
      </c>
      <c r="AM38" s="158">
        <v>8933</v>
      </c>
      <c r="AN38" s="158">
        <f t="shared" si="483"/>
        <v>8791</v>
      </c>
      <c r="AO38" s="1301">
        <v>8791</v>
      </c>
      <c r="AP38" s="158">
        <v>8735</v>
      </c>
      <c r="AQ38" s="158">
        <f t="shared" si="326"/>
        <v>9764</v>
      </c>
      <c r="AR38" s="158">
        <v>9514</v>
      </c>
      <c r="AS38" s="695">
        <f t="shared" si="484"/>
        <v>8984</v>
      </c>
      <c r="AT38" s="158">
        <v>9764</v>
      </c>
      <c r="AU38" s="158">
        <f t="shared" si="485"/>
        <v>8984</v>
      </c>
      <c r="AV38" s="1301">
        <v>8984</v>
      </c>
      <c r="AW38" s="158"/>
      <c r="AX38" s="158"/>
      <c r="AY38" s="158"/>
      <c r="AZ38" s="695"/>
      <c r="BA38" s="158"/>
      <c r="BB38" s="158"/>
      <c r="BC38" s="1301">
        <v>8984</v>
      </c>
      <c r="BD38" s="158">
        <v>8828</v>
      </c>
      <c r="BE38" s="158">
        <f t="shared" si="329"/>
        <v>7636</v>
      </c>
      <c r="BF38" s="158">
        <v>7500</v>
      </c>
      <c r="BG38" s="695">
        <f t="shared" si="486"/>
        <v>7463</v>
      </c>
      <c r="BH38" s="158">
        <v>7636</v>
      </c>
      <c r="BI38" s="158">
        <f t="shared" si="487"/>
        <v>7463</v>
      </c>
      <c r="BJ38" s="1301">
        <v>7463</v>
      </c>
      <c r="BK38" s="158">
        <v>8696</v>
      </c>
      <c r="BL38" s="158">
        <f t="shared" si="332"/>
        <v>8635</v>
      </c>
      <c r="BM38" s="158">
        <v>8783</v>
      </c>
      <c r="BN38" s="695">
        <f t="shared" si="488"/>
        <v>8189</v>
      </c>
      <c r="BO38" s="158">
        <v>8635</v>
      </c>
      <c r="BP38" s="158">
        <f t="shared" si="489"/>
        <v>8189</v>
      </c>
      <c r="BQ38" s="1301">
        <v>8189</v>
      </c>
      <c r="BR38" s="158">
        <v>8420</v>
      </c>
      <c r="BS38" s="158">
        <f t="shared" si="335"/>
        <v>13441</v>
      </c>
      <c r="BT38" s="158">
        <v>13973</v>
      </c>
      <c r="BU38" s="695">
        <f t="shared" si="490"/>
        <v>14082</v>
      </c>
      <c r="BV38" s="158">
        <v>13441</v>
      </c>
      <c r="BW38" s="158">
        <f t="shared" si="491"/>
        <v>14082</v>
      </c>
      <c r="BX38" s="1301">
        <v>14082</v>
      </c>
      <c r="BY38" s="158">
        <v>14041</v>
      </c>
      <c r="BZ38" s="158">
        <f t="shared" si="338"/>
        <v>13054</v>
      </c>
      <c r="CA38" s="158">
        <v>13025</v>
      </c>
      <c r="CB38" s="695">
        <f t="shared" si="492"/>
        <v>13094</v>
      </c>
      <c r="CC38" s="158">
        <v>13054</v>
      </c>
      <c r="CD38" s="158">
        <f t="shared" si="493"/>
        <v>13094</v>
      </c>
      <c r="CE38" s="1301">
        <v>13094</v>
      </c>
      <c r="CF38" s="158">
        <v>12527</v>
      </c>
      <c r="CG38" s="158">
        <f t="shared" si="341"/>
        <v>11244</v>
      </c>
      <c r="CH38" s="158">
        <v>11000</v>
      </c>
      <c r="CI38" s="695">
        <f t="shared" si="494"/>
        <v>10631</v>
      </c>
      <c r="CJ38" s="158">
        <v>11244</v>
      </c>
      <c r="CK38" s="158">
        <f t="shared" si="495"/>
        <v>10631</v>
      </c>
      <c r="CL38" s="1301">
        <v>10631</v>
      </c>
      <c r="CM38" s="158">
        <v>10650</v>
      </c>
      <c r="CN38" s="158">
        <f t="shared" si="344"/>
        <v>10363</v>
      </c>
      <c r="CO38" s="158">
        <v>9526</v>
      </c>
      <c r="CP38" s="695">
        <f t="shared" si="496"/>
        <v>10202</v>
      </c>
      <c r="CQ38" s="158">
        <v>10363</v>
      </c>
      <c r="CR38" s="158">
        <f t="shared" si="497"/>
        <v>10202</v>
      </c>
      <c r="CS38" s="1301">
        <v>10202</v>
      </c>
      <c r="CT38" s="158">
        <v>10286</v>
      </c>
      <c r="CU38" s="158">
        <f t="shared" si="347"/>
        <v>9765</v>
      </c>
      <c r="CV38" s="158">
        <v>10144</v>
      </c>
      <c r="CW38" s="695">
        <f t="shared" si="498"/>
        <v>10355</v>
      </c>
      <c r="CX38" s="158">
        <v>9765</v>
      </c>
      <c r="CY38" s="158">
        <f t="shared" si="499"/>
        <v>10355</v>
      </c>
      <c r="CZ38" s="1301">
        <v>10355</v>
      </c>
      <c r="DA38" s="2097">
        <v>10306</v>
      </c>
      <c r="DB38" s="158">
        <f t="shared" si="350"/>
        <v>8951</v>
      </c>
      <c r="DC38" s="158">
        <v>9148</v>
      </c>
      <c r="DD38" s="695">
        <f t="shared" si="500"/>
        <v>9063</v>
      </c>
      <c r="DE38" s="1808">
        <v>8951</v>
      </c>
      <c r="DF38" s="158">
        <f t="shared" si="501"/>
        <v>9063</v>
      </c>
      <c r="DG38" s="1364">
        <v>9063</v>
      </c>
      <c r="DH38" s="818">
        <v>9055</v>
      </c>
      <c r="DI38" s="158">
        <f t="shared" si="353"/>
        <v>9425</v>
      </c>
      <c r="DJ38" s="819">
        <f>DI38</f>
        <v>9425</v>
      </c>
      <c r="DK38" s="453">
        <f t="shared" si="502"/>
        <v>9063</v>
      </c>
      <c r="DL38" s="2006">
        <v>9425</v>
      </c>
      <c r="DM38" s="327">
        <f t="shared" si="503"/>
        <v>9063</v>
      </c>
      <c r="DN38" s="1544">
        <f>DG38</f>
        <v>9063</v>
      </c>
      <c r="DO38" s="819">
        <f>DN38</f>
        <v>9063</v>
      </c>
      <c r="DP38" s="327">
        <f t="shared" si="504"/>
        <v>9063</v>
      </c>
      <c r="DQ38" s="819">
        <f>DP38</f>
        <v>9063</v>
      </c>
      <c r="DR38" s="453">
        <f t="shared" si="505"/>
        <v>9063</v>
      </c>
      <c r="DS38" s="819">
        <f>DN38</f>
        <v>9063</v>
      </c>
      <c r="DT38" s="327">
        <f t="shared" si="506"/>
        <v>9063</v>
      </c>
      <c r="DU38" s="1544">
        <f>DN38</f>
        <v>9063</v>
      </c>
      <c r="DV38" s="819">
        <f>DU38</f>
        <v>9063</v>
      </c>
      <c r="DW38" s="327">
        <f t="shared" si="507"/>
        <v>9063</v>
      </c>
      <c r="DX38" s="819">
        <f>DW38</f>
        <v>9063</v>
      </c>
      <c r="DY38" s="453">
        <f t="shared" si="508"/>
        <v>9063</v>
      </c>
      <c r="DZ38" s="819">
        <f>DU38</f>
        <v>9063</v>
      </c>
      <c r="EA38" s="327">
        <f t="shared" si="509"/>
        <v>9063</v>
      </c>
      <c r="EB38" s="1544">
        <f>DU38</f>
        <v>9063</v>
      </c>
      <c r="EC38" s="819">
        <f>EB38</f>
        <v>9063</v>
      </c>
      <c r="ED38" s="327">
        <f t="shared" si="510"/>
        <v>9063</v>
      </c>
      <c r="EE38" s="819">
        <f>ED38</f>
        <v>9063</v>
      </c>
      <c r="EF38" s="453">
        <f t="shared" si="511"/>
        <v>9063</v>
      </c>
      <c r="EG38" s="819">
        <f>EB38</f>
        <v>9063</v>
      </c>
      <c r="EH38" s="327">
        <f t="shared" si="512"/>
        <v>9063</v>
      </c>
      <c r="EI38" s="1544">
        <f>EB38</f>
        <v>9063</v>
      </c>
      <c r="EJ38" s="819">
        <f>EI38</f>
        <v>9063</v>
      </c>
      <c r="EK38" s="327">
        <f t="shared" si="513"/>
        <v>9063</v>
      </c>
      <c r="EL38" s="819">
        <f>EK38</f>
        <v>9063</v>
      </c>
      <c r="EM38" s="453">
        <f t="shared" si="514"/>
        <v>9063</v>
      </c>
      <c r="EN38" s="819">
        <f>EI38</f>
        <v>9063</v>
      </c>
      <c r="EO38" s="327">
        <f t="shared" si="515"/>
        <v>9063</v>
      </c>
      <c r="EP38" s="1544">
        <f t="shared" si="516"/>
        <v>9063</v>
      </c>
      <c r="EQ38" s="303"/>
      <c r="ER38" s="46"/>
    </row>
    <row r="39" spans="1:148" ht="10.199999999999999" customHeight="1">
      <c r="A39" s="43" t="s">
        <v>266</v>
      </c>
      <c r="B39" s="133">
        <v>0</v>
      </c>
      <c r="C39" s="133">
        <v>0</v>
      </c>
      <c r="D39" s="158">
        <v>4102</v>
      </c>
      <c r="E39" s="158">
        <v>4535</v>
      </c>
      <c r="F39" s="158">
        <v>5128</v>
      </c>
      <c r="G39" s="158">
        <v>5751</v>
      </c>
      <c r="H39" s="158">
        <v>4542</v>
      </c>
      <c r="I39" s="158">
        <v>4442</v>
      </c>
      <c r="J39" s="158">
        <v>5139</v>
      </c>
      <c r="K39" s="158">
        <v>4983</v>
      </c>
      <c r="L39" s="158">
        <v>5504</v>
      </c>
      <c r="M39" s="158">
        <v>6024</v>
      </c>
      <c r="N39" s="158"/>
      <c r="O39" s="158"/>
      <c r="P39" s="158"/>
      <c r="Q39" s="695"/>
      <c r="R39" s="158"/>
      <c r="S39" s="158"/>
      <c r="T39" s="1301">
        <v>5866</v>
      </c>
      <c r="U39" s="158">
        <v>5921</v>
      </c>
      <c r="V39" s="158">
        <f t="shared" si="317"/>
        <v>6199</v>
      </c>
      <c r="W39" s="158">
        <v>6588</v>
      </c>
      <c r="X39" s="695">
        <f t="shared" si="478"/>
        <v>7864</v>
      </c>
      <c r="Y39" s="158">
        <v>6199</v>
      </c>
      <c r="Z39" s="158">
        <f t="shared" si="479"/>
        <v>7864</v>
      </c>
      <c r="AA39" s="1301">
        <v>7864</v>
      </c>
      <c r="AB39" s="158">
        <v>8522</v>
      </c>
      <c r="AC39" s="158">
        <f t="shared" si="320"/>
        <v>8014</v>
      </c>
      <c r="AD39" s="158">
        <v>7924</v>
      </c>
      <c r="AE39" s="695">
        <f t="shared" si="480"/>
        <v>7172</v>
      </c>
      <c r="AF39" s="158">
        <v>8014</v>
      </c>
      <c r="AG39" s="158">
        <f t="shared" si="481"/>
        <v>7172</v>
      </c>
      <c r="AH39" s="1301">
        <v>7172</v>
      </c>
      <c r="AI39" s="158">
        <v>8023</v>
      </c>
      <c r="AJ39" s="158">
        <f t="shared" si="323"/>
        <v>8781</v>
      </c>
      <c r="AK39" s="158">
        <v>9264</v>
      </c>
      <c r="AL39" s="695">
        <f t="shared" si="482"/>
        <v>8656</v>
      </c>
      <c r="AM39" s="158">
        <v>8781</v>
      </c>
      <c r="AN39" s="158">
        <f t="shared" si="483"/>
        <v>8656</v>
      </c>
      <c r="AO39" s="1301">
        <v>8656</v>
      </c>
      <c r="AP39" s="158">
        <v>8556</v>
      </c>
      <c r="AQ39" s="158">
        <f t="shared" si="326"/>
        <v>8281</v>
      </c>
      <c r="AR39" s="158">
        <v>8392</v>
      </c>
      <c r="AS39" s="695">
        <f t="shared" si="484"/>
        <v>8361</v>
      </c>
      <c r="AT39" s="158">
        <v>8281</v>
      </c>
      <c r="AU39" s="158">
        <f t="shared" si="485"/>
        <v>8361</v>
      </c>
      <c r="AV39" s="1301">
        <v>8361</v>
      </c>
      <c r="AW39" s="158"/>
      <c r="AX39" s="158"/>
      <c r="AY39" s="158"/>
      <c r="AZ39" s="695"/>
      <c r="BA39" s="158"/>
      <c r="BB39" s="158"/>
      <c r="BC39" s="1301">
        <v>8361</v>
      </c>
      <c r="BD39" s="158">
        <v>8669</v>
      </c>
      <c r="BE39" s="158">
        <f t="shared" si="329"/>
        <v>8447</v>
      </c>
      <c r="BF39" s="158">
        <v>7677</v>
      </c>
      <c r="BG39" s="695">
        <f t="shared" si="486"/>
        <v>7072</v>
      </c>
      <c r="BH39" s="158">
        <v>8447</v>
      </c>
      <c r="BI39" s="158">
        <f t="shared" si="487"/>
        <v>7072</v>
      </c>
      <c r="BJ39" s="1301">
        <v>7072</v>
      </c>
      <c r="BK39" s="158">
        <v>7809</v>
      </c>
      <c r="BL39" s="158">
        <f t="shared" si="332"/>
        <v>10075</v>
      </c>
      <c r="BM39" s="158">
        <v>11355</v>
      </c>
      <c r="BN39" s="695">
        <f t="shared" si="488"/>
        <v>8353</v>
      </c>
      <c r="BO39" s="158">
        <v>10075</v>
      </c>
      <c r="BP39" s="158">
        <f t="shared" si="489"/>
        <v>8353</v>
      </c>
      <c r="BQ39" s="1301">
        <v>8353</v>
      </c>
      <c r="BR39" s="158">
        <v>6697</v>
      </c>
      <c r="BS39" s="158">
        <f t="shared" si="335"/>
        <v>9210</v>
      </c>
      <c r="BT39" s="158">
        <v>9502</v>
      </c>
      <c r="BU39" s="695">
        <f t="shared" si="490"/>
        <v>9980</v>
      </c>
      <c r="BV39" s="158">
        <v>9210</v>
      </c>
      <c r="BW39" s="158">
        <f t="shared" si="491"/>
        <v>9980</v>
      </c>
      <c r="BX39" s="1301">
        <v>9980</v>
      </c>
      <c r="BY39" s="158">
        <v>7593</v>
      </c>
      <c r="BZ39" s="158">
        <f t="shared" si="338"/>
        <v>7569</v>
      </c>
      <c r="CA39" s="158">
        <v>7197</v>
      </c>
      <c r="CB39" s="695">
        <f t="shared" si="492"/>
        <v>7072</v>
      </c>
      <c r="CC39" s="158">
        <v>7569</v>
      </c>
      <c r="CD39" s="158">
        <f t="shared" si="493"/>
        <v>7072</v>
      </c>
      <c r="CE39" s="1301">
        <v>7072</v>
      </c>
      <c r="CF39" s="158">
        <v>5660</v>
      </c>
      <c r="CG39" s="158">
        <f t="shared" si="341"/>
        <v>3546</v>
      </c>
      <c r="CH39" s="158">
        <v>3636</v>
      </c>
      <c r="CI39" s="695">
        <f t="shared" si="494"/>
        <v>3509</v>
      </c>
      <c r="CJ39" s="158">
        <v>3546</v>
      </c>
      <c r="CK39" s="158">
        <f t="shared" si="495"/>
        <v>3509</v>
      </c>
      <c r="CL39" s="1301">
        <v>3509</v>
      </c>
      <c r="CM39" s="158">
        <v>3358</v>
      </c>
      <c r="CN39" s="158">
        <f t="shared" si="344"/>
        <v>3006</v>
      </c>
      <c r="CO39" s="158">
        <v>2751</v>
      </c>
      <c r="CP39" s="695">
        <f t="shared" si="496"/>
        <v>2715</v>
      </c>
      <c r="CQ39" s="158">
        <v>3006</v>
      </c>
      <c r="CR39" s="158">
        <f t="shared" si="497"/>
        <v>2715</v>
      </c>
      <c r="CS39" s="1301">
        <v>2715</v>
      </c>
      <c r="CT39" s="158">
        <v>2499</v>
      </c>
      <c r="CU39" s="158">
        <f t="shared" si="347"/>
        <v>2145</v>
      </c>
      <c r="CV39" s="158">
        <v>2155</v>
      </c>
      <c r="CW39" s="695">
        <f t="shared" si="498"/>
        <v>1821</v>
      </c>
      <c r="CX39" s="158">
        <v>2145</v>
      </c>
      <c r="CY39" s="158">
        <f t="shared" si="499"/>
        <v>1821</v>
      </c>
      <c r="CZ39" s="1301">
        <v>1821</v>
      </c>
      <c r="DA39" s="158">
        <v>1616</v>
      </c>
      <c r="DB39" s="158">
        <f t="shared" si="350"/>
        <v>1633</v>
      </c>
      <c r="DC39" s="158">
        <v>1445</v>
      </c>
      <c r="DD39" s="695">
        <f t="shared" si="500"/>
        <v>1255</v>
      </c>
      <c r="DE39" s="2097">
        <v>1633</v>
      </c>
      <c r="DF39" s="158">
        <f t="shared" si="501"/>
        <v>1255</v>
      </c>
      <c r="DG39" s="1364">
        <v>1255</v>
      </c>
      <c r="DH39" s="818">
        <v>1115</v>
      </c>
      <c r="DI39" s="158">
        <f t="shared" si="353"/>
        <v>1093</v>
      </c>
      <c r="DJ39" s="819">
        <f>DI39+CFS!DJ29</f>
        <v>1093</v>
      </c>
      <c r="DK39" s="453">
        <f t="shared" si="502"/>
        <v>1255</v>
      </c>
      <c r="DL39" s="2006">
        <v>1093</v>
      </c>
      <c r="DM39" s="327">
        <f t="shared" si="503"/>
        <v>1255</v>
      </c>
      <c r="DN39" s="1544">
        <f>DG39+CFS!DN29</f>
        <v>1255</v>
      </c>
      <c r="DO39" s="819">
        <f>DN39+CFS!DO29</f>
        <v>1255</v>
      </c>
      <c r="DP39" s="327">
        <f t="shared" si="504"/>
        <v>1255</v>
      </c>
      <c r="DQ39" s="819">
        <f>DP39+CFS!DQ29</f>
        <v>1255</v>
      </c>
      <c r="DR39" s="453">
        <f t="shared" si="505"/>
        <v>1255</v>
      </c>
      <c r="DS39" s="819">
        <f>DN39+CFS!DS29</f>
        <v>1255</v>
      </c>
      <c r="DT39" s="327">
        <f t="shared" si="506"/>
        <v>1255</v>
      </c>
      <c r="DU39" s="1544">
        <f>DN39+CFS!DU29</f>
        <v>1255</v>
      </c>
      <c r="DV39" s="819">
        <f>DU39+CFS!DV29</f>
        <v>1255</v>
      </c>
      <c r="DW39" s="327">
        <f t="shared" si="507"/>
        <v>1255</v>
      </c>
      <c r="DX39" s="819">
        <f>DW39+CFS!DX29</f>
        <v>1255</v>
      </c>
      <c r="DY39" s="453">
        <f t="shared" si="508"/>
        <v>1255</v>
      </c>
      <c r="DZ39" s="819">
        <f>DU39+CFS!DZ29</f>
        <v>1255</v>
      </c>
      <c r="EA39" s="327">
        <f t="shared" si="509"/>
        <v>1255</v>
      </c>
      <c r="EB39" s="1544">
        <f>DU39+CFS!EB29</f>
        <v>1255</v>
      </c>
      <c r="EC39" s="819">
        <f>EB39+CFS!EC29</f>
        <v>1255</v>
      </c>
      <c r="ED39" s="327">
        <f t="shared" si="510"/>
        <v>1255</v>
      </c>
      <c r="EE39" s="819">
        <f>ED39+CFS!EE29</f>
        <v>1255</v>
      </c>
      <c r="EF39" s="453">
        <f t="shared" si="511"/>
        <v>1255</v>
      </c>
      <c r="EG39" s="819">
        <f>EB39+CFS!EG29</f>
        <v>1255</v>
      </c>
      <c r="EH39" s="327">
        <f t="shared" si="512"/>
        <v>1255</v>
      </c>
      <c r="EI39" s="1544">
        <f>EB39+CFS!EI29</f>
        <v>1255</v>
      </c>
      <c r="EJ39" s="819">
        <f>EI39+CFS!EJ29</f>
        <v>1255</v>
      </c>
      <c r="EK39" s="327">
        <f t="shared" si="513"/>
        <v>1255</v>
      </c>
      <c r="EL39" s="819">
        <f>EK39+CFS!EL29</f>
        <v>1255</v>
      </c>
      <c r="EM39" s="453">
        <f t="shared" si="514"/>
        <v>1255</v>
      </c>
      <c r="EN39" s="819">
        <f>EI39+CFS!EN29</f>
        <v>1255</v>
      </c>
      <c r="EO39" s="327">
        <f t="shared" si="515"/>
        <v>1255</v>
      </c>
      <c r="EP39" s="1544">
        <f>EI39+CFS!EP29</f>
        <v>1255</v>
      </c>
      <c r="EQ39" s="303"/>
      <c r="ER39" s="46"/>
    </row>
    <row r="40" spans="1:148" ht="10.199999999999999" customHeight="1">
      <c r="A40" s="43" t="s">
        <v>118</v>
      </c>
      <c r="B40" s="158">
        <v>3180</v>
      </c>
      <c r="C40" s="158">
        <v>3578</v>
      </c>
      <c r="D40" s="158">
        <v>3807</v>
      </c>
      <c r="E40" s="158">
        <v>3985</v>
      </c>
      <c r="F40" s="158">
        <v>4911</v>
      </c>
      <c r="G40" s="158">
        <v>6308</v>
      </c>
      <c r="H40" s="158">
        <v>8420</v>
      </c>
      <c r="I40" s="158">
        <v>8843</v>
      </c>
      <c r="J40" s="158">
        <v>8579</v>
      </c>
      <c r="K40" s="158">
        <v>8817</v>
      </c>
      <c r="L40" s="158">
        <v>9256</v>
      </c>
      <c r="M40" s="158">
        <v>9881</v>
      </c>
      <c r="N40" s="158"/>
      <c r="O40" s="158"/>
      <c r="P40" s="158"/>
      <c r="Q40" s="695"/>
      <c r="R40" s="158"/>
      <c r="S40" s="158"/>
      <c r="T40" s="1301">
        <v>10203</v>
      </c>
      <c r="U40" s="158">
        <f>T40</f>
        <v>10203</v>
      </c>
      <c r="V40" s="158">
        <f t="shared" si="317"/>
        <v>10203</v>
      </c>
      <c r="W40" s="158">
        <f>V40</f>
        <v>10203</v>
      </c>
      <c r="X40" s="695">
        <f t="shared" si="478"/>
        <v>12231</v>
      </c>
      <c r="Y40" s="158">
        <f>T40</f>
        <v>10203</v>
      </c>
      <c r="Z40" s="158">
        <f t="shared" si="479"/>
        <v>12231</v>
      </c>
      <c r="AA40" s="1301">
        <v>12231</v>
      </c>
      <c r="AB40" s="158">
        <f>AA40</f>
        <v>12231</v>
      </c>
      <c r="AC40" s="158">
        <f t="shared" si="320"/>
        <v>13190</v>
      </c>
      <c r="AD40" s="158">
        <f>36072-AD30</f>
        <v>13898</v>
      </c>
      <c r="AE40" s="695">
        <f t="shared" si="480"/>
        <v>14472</v>
      </c>
      <c r="AF40" s="158">
        <f>35364-AF30</f>
        <v>13190</v>
      </c>
      <c r="AG40" s="158">
        <f t="shared" si="481"/>
        <v>14472</v>
      </c>
      <c r="AH40" s="1301">
        <v>14472</v>
      </c>
      <c r="AI40" s="158">
        <v>14376</v>
      </c>
      <c r="AJ40" s="158">
        <f t="shared" si="323"/>
        <v>14382</v>
      </c>
      <c r="AK40" s="158">
        <v>14977</v>
      </c>
      <c r="AL40" s="695">
        <f t="shared" si="482"/>
        <v>15714</v>
      </c>
      <c r="AM40" s="158">
        <v>14382</v>
      </c>
      <c r="AN40" s="158">
        <f t="shared" si="483"/>
        <v>15714</v>
      </c>
      <c r="AO40" s="1301">
        <v>15714</v>
      </c>
      <c r="AP40" s="158">
        <v>16001</v>
      </c>
      <c r="AQ40" s="158">
        <f t="shared" si="326"/>
        <v>16352</v>
      </c>
      <c r="AR40" s="158">
        <v>16092</v>
      </c>
      <c r="AS40" s="695">
        <f t="shared" si="484"/>
        <v>16659</v>
      </c>
      <c r="AT40" s="158">
        <v>16352</v>
      </c>
      <c r="AU40" s="158">
        <f t="shared" si="485"/>
        <v>16659</v>
      </c>
      <c r="AV40" s="1301">
        <v>16659</v>
      </c>
      <c r="AW40" s="158"/>
      <c r="AX40" s="158"/>
      <c r="AY40" s="158"/>
      <c r="AZ40" s="695"/>
      <c r="BA40" s="158"/>
      <c r="BB40" s="158"/>
      <c r="BC40" s="1301">
        <v>16013</v>
      </c>
      <c r="BD40" s="158">
        <v>13975</v>
      </c>
      <c r="BE40" s="158">
        <f t="shared" si="329"/>
        <v>14670</v>
      </c>
      <c r="BF40" s="158">
        <v>14684</v>
      </c>
      <c r="BG40" s="695">
        <f t="shared" si="486"/>
        <v>15832</v>
      </c>
      <c r="BH40" s="158">
        <v>14670</v>
      </c>
      <c r="BI40" s="158">
        <f t="shared" si="487"/>
        <v>15832</v>
      </c>
      <c r="BJ40" s="1301">
        <v>15832</v>
      </c>
      <c r="BK40" s="158">
        <v>15637</v>
      </c>
      <c r="BL40" s="158">
        <f t="shared" si="332"/>
        <v>15551</v>
      </c>
      <c r="BM40" s="158">
        <v>15729</v>
      </c>
      <c r="BN40" s="695">
        <f t="shared" si="488"/>
        <v>16980</v>
      </c>
      <c r="BO40" s="158">
        <v>15551</v>
      </c>
      <c r="BP40" s="158">
        <f t="shared" si="489"/>
        <v>16980</v>
      </c>
      <c r="BQ40" s="1301">
        <v>16980</v>
      </c>
      <c r="BR40" s="158">
        <v>16891</v>
      </c>
      <c r="BS40" s="158">
        <f t="shared" si="335"/>
        <v>16549</v>
      </c>
      <c r="BT40" s="158">
        <v>19256</v>
      </c>
      <c r="BU40" s="695">
        <f t="shared" si="490"/>
        <v>19212</v>
      </c>
      <c r="BV40" s="158">
        <v>16549</v>
      </c>
      <c r="BW40" s="158">
        <f t="shared" si="491"/>
        <v>19212</v>
      </c>
      <c r="BX40" s="1301">
        <v>19212</v>
      </c>
      <c r="BY40" s="158">
        <v>18539</v>
      </c>
      <c r="BZ40" s="158">
        <f t="shared" si="338"/>
        <v>18509</v>
      </c>
      <c r="CA40" s="158">
        <v>18437</v>
      </c>
      <c r="CB40" s="695">
        <f t="shared" si="492"/>
        <v>18620</v>
      </c>
      <c r="CC40" s="158">
        <v>18509</v>
      </c>
      <c r="CD40" s="158">
        <f t="shared" si="493"/>
        <v>18620</v>
      </c>
      <c r="CE40" s="1301">
        <v>18620</v>
      </c>
      <c r="CF40" s="158">
        <v>19123</v>
      </c>
      <c r="CG40" s="158">
        <f t="shared" si="341"/>
        <v>19312</v>
      </c>
      <c r="CH40" s="158">
        <v>20302</v>
      </c>
      <c r="CI40" s="695">
        <f t="shared" si="494"/>
        <v>22044</v>
      </c>
      <c r="CJ40" s="158">
        <v>19312</v>
      </c>
      <c r="CK40" s="158">
        <f t="shared" si="495"/>
        <v>22044</v>
      </c>
      <c r="CL40" s="1301">
        <v>22044</v>
      </c>
      <c r="CM40" s="158">
        <v>21274</v>
      </c>
      <c r="CN40" s="158">
        <f t="shared" si="344"/>
        <v>23816</v>
      </c>
      <c r="CO40" s="158">
        <v>23792</v>
      </c>
      <c r="CP40" s="695">
        <f t="shared" si="496"/>
        <v>23961</v>
      </c>
      <c r="CQ40" s="158">
        <v>23816</v>
      </c>
      <c r="CR40" s="158">
        <f t="shared" si="497"/>
        <v>23961</v>
      </c>
      <c r="CS40" s="1301">
        <v>23961</v>
      </c>
      <c r="CT40" s="158">
        <v>23540</v>
      </c>
      <c r="CU40" s="158">
        <f t="shared" si="347"/>
        <v>24507</v>
      </c>
      <c r="CV40" s="158">
        <v>25055</v>
      </c>
      <c r="CW40" s="695">
        <f t="shared" si="498"/>
        <v>25572</v>
      </c>
      <c r="CX40" s="158">
        <v>24507</v>
      </c>
      <c r="CY40" s="158">
        <f t="shared" si="499"/>
        <v>25572</v>
      </c>
      <c r="CZ40" s="1301">
        <v>25572</v>
      </c>
      <c r="DA40" s="158">
        <v>27069</v>
      </c>
      <c r="DB40" s="158">
        <f t="shared" si="350"/>
        <v>26827</v>
      </c>
      <c r="DC40" s="158">
        <v>25798</v>
      </c>
      <c r="DD40" s="695">
        <f t="shared" si="500"/>
        <v>26484</v>
      </c>
      <c r="DE40" s="2097">
        <v>26827</v>
      </c>
      <c r="DF40" s="158">
        <f t="shared" si="501"/>
        <v>26484</v>
      </c>
      <c r="DG40" s="1364">
        <v>26484</v>
      </c>
      <c r="DH40" s="818">
        <v>26468</v>
      </c>
      <c r="DI40" s="158">
        <f t="shared" si="353"/>
        <v>27909</v>
      </c>
      <c r="DJ40" s="819">
        <f t="shared" ref="DJ40" si="517">DJ174</f>
        <v>25691.528947829564</v>
      </c>
      <c r="DK40" s="453">
        <f t="shared" si="502"/>
        <v>27307.775460924706</v>
      </c>
      <c r="DL40" s="2006">
        <v>27909</v>
      </c>
      <c r="DM40" s="327">
        <f t="shared" si="503"/>
        <v>27307.775460924706</v>
      </c>
      <c r="DN40" s="1544">
        <f t="shared" ref="DN40:EP40" si="518">DN174</f>
        <v>27307.775460924706</v>
      </c>
      <c r="DO40" s="819">
        <f t="shared" si="518"/>
        <v>25171.777139073605</v>
      </c>
      <c r="DP40" s="327">
        <f t="shared" si="504"/>
        <v>26475.299104435249</v>
      </c>
      <c r="DQ40" s="819">
        <f t="shared" ref="DQ40" si="519">DQ174</f>
        <v>27648.431593789777</v>
      </c>
      <c r="DR40" s="453">
        <f t="shared" si="505"/>
        <v>27960.751498545193</v>
      </c>
      <c r="DS40" s="819">
        <f t="shared" ref="DS40" si="520">DS174</f>
        <v>26475.299104435249</v>
      </c>
      <c r="DT40" s="327">
        <f t="shared" si="506"/>
        <v>27960.751498545193</v>
      </c>
      <c r="DU40" s="1544">
        <f t="shared" si="518"/>
        <v>27960.751498545193</v>
      </c>
      <c r="DV40" s="819">
        <f t="shared" si="518"/>
        <v>25538.654742667495</v>
      </c>
      <c r="DW40" s="327">
        <f t="shared" si="507"/>
        <v>26870.031311509279</v>
      </c>
      <c r="DX40" s="819">
        <f t="shared" ref="DX40" si="521">DX174</f>
        <v>28073.986423139606</v>
      </c>
      <c r="DY40" s="453">
        <f t="shared" si="508"/>
        <v>28457.164225316061</v>
      </c>
      <c r="DZ40" s="819">
        <f t="shared" ref="DZ40" si="522">DZ174</f>
        <v>26870.031311509279</v>
      </c>
      <c r="EA40" s="327">
        <f t="shared" si="509"/>
        <v>28457.164225316061</v>
      </c>
      <c r="EB40" s="1544">
        <f t="shared" si="518"/>
        <v>28457.164225316061</v>
      </c>
      <c r="EC40" s="819">
        <f t="shared" si="518"/>
        <v>26972.588809273318</v>
      </c>
      <c r="ED40" s="327">
        <f t="shared" si="510"/>
        <v>27880.829248565431</v>
      </c>
      <c r="EE40" s="819">
        <f t="shared" ref="EE40" si="523">EE174</f>
        <v>28657.035148836876</v>
      </c>
      <c r="EF40" s="453">
        <f t="shared" si="511"/>
        <v>29279.728010741565</v>
      </c>
      <c r="EG40" s="819">
        <f t="shared" ref="EG40" si="524">EG174</f>
        <v>27880.829248565431</v>
      </c>
      <c r="EH40" s="327">
        <f t="shared" si="512"/>
        <v>29279.728010741565</v>
      </c>
      <c r="EI40" s="1544">
        <f t="shared" si="518"/>
        <v>29279.728010741565</v>
      </c>
      <c r="EJ40" s="819">
        <f t="shared" si="518"/>
        <v>27656.189200857487</v>
      </c>
      <c r="EK40" s="327">
        <f t="shared" si="513"/>
        <v>28602.471246782326</v>
      </c>
      <c r="EL40" s="819">
        <f t="shared" ref="EL40" si="525">EL174</f>
        <v>29411.846627487634</v>
      </c>
      <c r="EM40" s="453">
        <f t="shared" si="514"/>
        <v>30050.315753206181</v>
      </c>
      <c r="EN40" s="819">
        <f t="shared" ref="EN40" si="526">EN174</f>
        <v>28602.471246782326</v>
      </c>
      <c r="EO40" s="327">
        <f t="shared" si="515"/>
        <v>30050.315753206181</v>
      </c>
      <c r="EP40" s="1544">
        <f t="shared" si="518"/>
        <v>30050.315753206181</v>
      </c>
      <c r="EQ40" s="909"/>
      <c r="ER40" s="46"/>
    </row>
    <row r="41" spans="1:148" ht="10.199999999999999" customHeight="1">
      <c r="A41" s="43" t="s">
        <v>265</v>
      </c>
      <c r="B41" s="158">
        <v>3469</v>
      </c>
      <c r="C41" s="158">
        <v>4265</v>
      </c>
      <c r="D41" s="158">
        <v>4851</v>
      </c>
      <c r="E41" s="158">
        <v>5119</v>
      </c>
      <c r="F41" s="158">
        <v>4950</v>
      </c>
      <c r="G41" s="158">
        <v>5029</v>
      </c>
      <c r="H41" s="158">
        <v>4854</v>
      </c>
      <c r="I41" s="158">
        <v>4563</v>
      </c>
      <c r="J41" s="158">
        <v>4882</v>
      </c>
      <c r="K41" s="158">
        <v>5968</v>
      </c>
      <c r="L41" s="158">
        <v>5526</v>
      </c>
      <c r="M41" s="158">
        <v>5754</v>
      </c>
      <c r="N41" s="158"/>
      <c r="O41" s="158"/>
      <c r="P41" s="158"/>
      <c r="Q41" s="695"/>
      <c r="R41" s="158"/>
      <c r="S41" s="158"/>
      <c r="T41" s="1301">
        <v>5907</v>
      </c>
      <c r="U41" s="158">
        <f>T41</f>
        <v>5907</v>
      </c>
      <c r="V41" s="158">
        <f t="shared" si="317"/>
        <v>5907</v>
      </c>
      <c r="W41" s="158">
        <f>V41</f>
        <v>5907</v>
      </c>
      <c r="X41" s="695">
        <f t="shared" si="478"/>
        <v>6020</v>
      </c>
      <c r="Y41" s="158">
        <f>T41</f>
        <v>5907</v>
      </c>
      <c r="Z41" s="158">
        <f t="shared" si="479"/>
        <v>6020</v>
      </c>
      <c r="AA41" s="1301">
        <v>6020</v>
      </c>
      <c r="AB41" s="158">
        <f>AA41</f>
        <v>6020</v>
      </c>
      <c r="AC41" s="158">
        <f t="shared" si="320"/>
        <v>6487</v>
      </c>
      <c r="AD41" s="158">
        <v>6454</v>
      </c>
      <c r="AE41" s="695">
        <f t="shared" si="480"/>
        <v>6716</v>
      </c>
      <c r="AF41" s="158">
        <v>6487</v>
      </c>
      <c r="AG41" s="158">
        <f t="shared" si="481"/>
        <v>6716</v>
      </c>
      <c r="AH41" s="1301">
        <v>6716</v>
      </c>
      <c r="AI41" s="158">
        <v>6573</v>
      </c>
      <c r="AJ41" s="158">
        <f t="shared" si="323"/>
        <v>6466</v>
      </c>
      <c r="AK41" s="158">
        <v>6427</v>
      </c>
      <c r="AL41" s="695">
        <f t="shared" si="482"/>
        <v>6340</v>
      </c>
      <c r="AM41" s="158">
        <v>6466</v>
      </c>
      <c r="AN41" s="158">
        <f t="shared" si="483"/>
        <v>6340</v>
      </c>
      <c r="AO41" s="1301">
        <v>6340</v>
      </c>
      <c r="AP41" s="158">
        <v>6610</v>
      </c>
      <c r="AQ41" s="158">
        <f t="shared" si="326"/>
        <v>6564</v>
      </c>
      <c r="AR41" s="158">
        <v>6569</v>
      </c>
      <c r="AS41" s="695">
        <f t="shared" si="484"/>
        <v>5537</v>
      </c>
      <c r="AT41" s="158">
        <v>6564</v>
      </c>
      <c r="AU41" s="158">
        <f t="shared" si="485"/>
        <v>5537</v>
      </c>
      <c r="AV41" s="1301">
        <v>5537</v>
      </c>
      <c r="AW41" s="158"/>
      <c r="AX41" s="158"/>
      <c r="AY41" s="158"/>
      <c r="AZ41" s="695"/>
      <c r="BA41" s="158"/>
      <c r="BB41" s="158"/>
      <c r="BC41" s="1301">
        <v>5537</v>
      </c>
      <c r="BD41" s="158">
        <v>5527</v>
      </c>
      <c r="BE41" s="158">
        <f t="shared" si="329"/>
        <v>5359</v>
      </c>
      <c r="BF41" s="158">
        <v>5752</v>
      </c>
      <c r="BG41" s="695">
        <f t="shared" si="486"/>
        <v>4233</v>
      </c>
      <c r="BH41" s="158">
        <v>5359</v>
      </c>
      <c r="BI41" s="158">
        <f t="shared" si="487"/>
        <v>4233</v>
      </c>
      <c r="BJ41" s="1301">
        <v>4233</v>
      </c>
      <c r="BK41" s="158">
        <v>2994</v>
      </c>
      <c r="BL41" s="158">
        <f t="shared" si="332"/>
        <v>3658</v>
      </c>
      <c r="BM41" s="158">
        <v>3816</v>
      </c>
      <c r="BN41" s="695">
        <f t="shared" si="488"/>
        <v>3725</v>
      </c>
      <c r="BO41" s="158">
        <v>3658</v>
      </c>
      <c r="BP41" s="158">
        <f t="shared" si="489"/>
        <v>3725</v>
      </c>
      <c r="BQ41" s="1301">
        <v>3725</v>
      </c>
      <c r="BR41" s="158">
        <v>3520</v>
      </c>
      <c r="BS41" s="158">
        <f t="shared" si="335"/>
        <v>3481</v>
      </c>
      <c r="BT41" s="158">
        <v>3779</v>
      </c>
      <c r="BU41" s="695">
        <f t="shared" si="490"/>
        <v>3712</v>
      </c>
      <c r="BV41" s="158">
        <v>3481</v>
      </c>
      <c r="BW41" s="158">
        <f t="shared" si="491"/>
        <v>3712</v>
      </c>
      <c r="BX41" s="1301">
        <v>3712</v>
      </c>
      <c r="BY41" s="158">
        <v>3730</v>
      </c>
      <c r="BZ41" s="158">
        <f t="shared" si="338"/>
        <v>3747</v>
      </c>
      <c r="CA41" s="158">
        <v>3751</v>
      </c>
      <c r="CB41" s="695">
        <f t="shared" si="492"/>
        <v>3730</v>
      </c>
      <c r="CC41" s="158">
        <v>3747</v>
      </c>
      <c r="CD41" s="158">
        <f t="shared" si="493"/>
        <v>3730</v>
      </c>
      <c r="CE41" s="1301">
        <v>3730</v>
      </c>
      <c r="CF41" s="158">
        <v>3742</v>
      </c>
      <c r="CG41" s="158">
        <f t="shared" si="341"/>
        <v>3772</v>
      </c>
      <c r="CH41" s="158">
        <v>3782</v>
      </c>
      <c r="CI41" s="695">
        <f t="shared" si="494"/>
        <v>3717</v>
      </c>
      <c r="CJ41" s="158">
        <v>3772</v>
      </c>
      <c r="CK41" s="158">
        <f t="shared" si="495"/>
        <v>3717</v>
      </c>
      <c r="CL41" s="1301">
        <v>3717</v>
      </c>
      <c r="CM41" s="158">
        <v>3709</v>
      </c>
      <c r="CN41" s="158">
        <f t="shared" si="344"/>
        <v>3719</v>
      </c>
      <c r="CO41" s="158">
        <v>3722</v>
      </c>
      <c r="CP41" s="695">
        <f t="shared" si="496"/>
        <v>3671</v>
      </c>
      <c r="CQ41" s="158">
        <v>3719</v>
      </c>
      <c r="CR41" s="158">
        <f t="shared" si="497"/>
        <v>3671</v>
      </c>
      <c r="CS41" s="1301">
        <v>3671</v>
      </c>
      <c r="CT41" s="158">
        <v>3660</v>
      </c>
      <c r="CU41" s="158">
        <f t="shared" si="347"/>
        <v>3683</v>
      </c>
      <c r="CV41" s="158">
        <v>3684</v>
      </c>
      <c r="CW41" s="695">
        <f t="shared" si="498"/>
        <v>3698</v>
      </c>
      <c r="CX41" s="158">
        <v>3683</v>
      </c>
      <c r="CY41" s="158">
        <f t="shared" si="499"/>
        <v>3698</v>
      </c>
      <c r="CZ41" s="1301">
        <v>3698</v>
      </c>
      <c r="DA41" s="158">
        <v>3694</v>
      </c>
      <c r="DB41" s="158">
        <f t="shared" si="350"/>
        <v>3658</v>
      </c>
      <c r="DC41" s="158">
        <v>3648</v>
      </c>
      <c r="DD41" s="695">
        <f t="shared" si="500"/>
        <v>3620</v>
      </c>
      <c r="DE41" s="2097">
        <v>3658</v>
      </c>
      <c r="DF41" s="158">
        <f t="shared" si="501"/>
        <v>3620</v>
      </c>
      <c r="DG41" s="1364">
        <v>3620</v>
      </c>
      <c r="DH41" s="818">
        <v>3611</v>
      </c>
      <c r="DI41" s="158">
        <f t="shared" si="353"/>
        <v>3608</v>
      </c>
      <c r="DJ41" s="819">
        <f t="shared" ref="DJ41" si="527">DJ273</f>
        <v>3620</v>
      </c>
      <c r="DK41" s="1554">
        <f t="shared" si="502"/>
        <v>3620</v>
      </c>
      <c r="DL41" s="2006">
        <v>3608</v>
      </c>
      <c r="DM41" s="819">
        <f t="shared" si="503"/>
        <v>3620</v>
      </c>
      <c r="DN41" s="1544">
        <f t="shared" ref="DN41:EP41" si="528">DN273</f>
        <v>3620</v>
      </c>
      <c r="DO41" s="819">
        <f t="shared" si="528"/>
        <v>3620</v>
      </c>
      <c r="DP41" s="819">
        <f t="shared" si="504"/>
        <v>3620</v>
      </c>
      <c r="DQ41" s="819">
        <f t="shared" ref="DQ41" si="529">DQ273</f>
        <v>3620</v>
      </c>
      <c r="DR41" s="1554">
        <f t="shared" si="505"/>
        <v>3620</v>
      </c>
      <c r="DS41" s="819">
        <f t="shared" ref="DS41" si="530">DS273</f>
        <v>3620</v>
      </c>
      <c r="DT41" s="819">
        <f t="shared" si="506"/>
        <v>3620</v>
      </c>
      <c r="DU41" s="1544">
        <f t="shared" si="528"/>
        <v>3620</v>
      </c>
      <c r="DV41" s="819">
        <f t="shared" si="528"/>
        <v>3620</v>
      </c>
      <c r="DW41" s="819">
        <f t="shared" si="507"/>
        <v>3620</v>
      </c>
      <c r="DX41" s="819">
        <f t="shared" ref="DX41" si="531">DX273</f>
        <v>3620</v>
      </c>
      <c r="DY41" s="1554">
        <f t="shared" si="508"/>
        <v>3620</v>
      </c>
      <c r="DZ41" s="819">
        <f t="shared" ref="DZ41" si="532">DZ273</f>
        <v>3620</v>
      </c>
      <c r="EA41" s="819">
        <f t="shared" si="509"/>
        <v>3620</v>
      </c>
      <c r="EB41" s="1544">
        <f t="shared" si="528"/>
        <v>3620</v>
      </c>
      <c r="EC41" s="819">
        <f t="shared" si="528"/>
        <v>3620</v>
      </c>
      <c r="ED41" s="819">
        <f t="shared" si="510"/>
        <v>3620</v>
      </c>
      <c r="EE41" s="819">
        <f t="shared" ref="EE41" si="533">EE273</f>
        <v>3620</v>
      </c>
      <c r="EF41" s="1554">
        <f t="shared" si="511"/>
        <v>3620</v>
      </c>
      <c r="EG41" s="819">
        <f t="shared" ref="EG41" si="534">EG273</f>
        <v>3620</v>
      </c>
      <c r="EH41" s="819">
        <f t="shared" si="512"/>
        <v>3620</v>
      </c>
      <c r="EI41" s="1544">
        <f t="shared" si="528"/>
        <v>3620</v>
      </c>
      <c r="EJ41" s="819">
        <f t="shared" si="528"/>
        <v>3620</v>
      </c>
      <c r="EK41" s="819">
        <f t="shared" si="513"/>
        <v>3620</v>
      </c>
      <c r="EL41" s="819">
        <f t="shared" ref="EL41" si="535">EL273</f>
        <v>3620</v>
      </c>
      <c r="EM41" s="1554">
        <f t="shared" si="514"/>
        <v>3620</v>
      </c>
      <c r="EN41" s="819">
        <f t="shared" ref="EN41" si="536">EN273</f>
        <v>3620</v>
      </c>
      <c r="EO41" s="819">
        <f t="shared" si="515"/>
        <v>3620</v>
      </c>
      <c r="EP41" s="1544">
        <f t="shared" si="528"/>
        <v>3620</v>
      </c>
      <c r="EQ41" s="909"/>
      <c r="ER41" s="46"/>
    </row>
    <row r="42" spans="1:148" ht="10.199999999999999" customHeight="1">
      <c r="A42" s="43" t="s">
        <v>138</v>
      </c>
      <c r="B42" s="158">
        <v>806</v>
      </c>
      <c r="C42" s="158">
        <v>2014</v>
      </c>
      <c r="D42" s="158">
        <v>3664</v>
      </c>
      <c r="E42" s="133">
        <v>4134</v>
      </c>
      <c r="F42" s="133">
        <v>2376</v>
      </c>
      <c r="G42" s="133">
        <v>2465</v>
      </c>
      <c r="H42" s="133">
        <v>2188</v>
      </c>
      <c r="I42" s="133">
        <v>953</v>
      </c>
      <c r="J42" s="133">
        <v>751</v>
      </c>
      <c r="K42" s="133">
        <v>1195</v>
      </c>
      <c r="L42" s="133">
        <v>1050</v>
      </c>
      <c r="M42" s="133">
        <v>1223</v>
      </c>
      <c r="N42" s="133"/>
      <c r="O42" s="133"/>
      <c r="P42" s="133"/>
      <c r="Q42" s="688"/>
      <c r="R42" s="133"/>
      <c r="S42" s="133"/>
      <c r="T42" s="339">
        <v>1454</v>
      </c>
      <c r="U42" s="197">
        <v>1473</v>
      </c>
      <c r="V42" s="133">
        <f t="shared" si="317"/>
        <v>1436</v>
      </c>
      <c r="W42" s="197">
        <v>1169</v>
      </c>
      <c r="X42" s="688">
        <f t="shared" si="478"/>
        <v>1130</v>
      </c>
      <c r="Y42" s="197">
        <v>1436</v>
      </c>
      <c r="Z42" s="133">
        <f t="shared" si="479"/>
        <v>1130</v>
      </c>
      <c r="AA42" s="339">
        <v>1130</v>
      </c>
      <c r="AB42" s="197">
        <v>1759</v>
      </c>
      <c r="AC42" s="133">
        <f t="shared" si="320"/>
        <v>2198</v>
      </c>
      <c r="AD42" s="197">
        <v>2307</v>
      </c>
      <c r="AE42" s="688">
        <f t="shared" si="480"/>
        <v>1200</v>
      </c>
      <c r="AF42" s="197">
        <v>2198</v>
      </c>
      <c r="AG42" s="133">
        <f t="shared" si="481"/>
        <v>1200</v>
      </c>
      <c r="AH42" s="339">
        <v>1200</v>
      </c>
      <c r="AI42" s="197">
        <v>1787</v>
      </c>
      <c r="AJ42" s="133">
        <f t="shared" si="323"/>
        <v>1507</v>
      </c>
      <c r="AK42" s="197">
        <v>1802</v>
      </c>
      <c r="AL42" s="688">
        <f t="shared" si="482"/>
        <v>1292</v>
      </c>
      <c r="AM42" s="197">
        <v>1507</v>
      </c>
      <c r="AN42" s="133">
        <f t="shared" si="483"/>
        <v>1292</v>
      </c>
      <c r="AO42" s="339">
        <v>1292</v>
      </c>
      <c r="AP42" s="197">
        <v>1604</v>
      </c>
      <c r="AQ42" s="133">
        <f t="shared" si="326"/>
        <v>2041</v>
      </c>
      <c r="AR42" s="197">
        <v>2143</v>
      </c>
      <c r="AS42" s="688">
        <f t="shared" si="484"/>
        <v>981</v>
      </c>
      <c r="AT42" s="197">
        <v>2041</v>
      </c>
      <c r="AU42" s="133">
        <f t="shared" si="485"/>
        <v>981</v>
      </c>
      <c r="AV42" s="339">
        <v>981</v>
      </c>
      <c r="AW42" s="133"/>
      <c r="AX42" s="133"/>
      <c r="AY42" s="133"/>
      <c r="AZ42" s="688"/>
      <c r="BA42" s="133"/>
      <c r="BB42" s="133"/>
      <c r="BC42" s="339">
        <v>1002</v>
      </c>
      <c r="BD42" s="197">
        <v>1507</v>
      </c>
      <c r="BE42" s="133">
        <f t="shared" si="329"/>
        <v>1298</v>
      </c>
      <c r="BF42" s="197">
        <v>1321</v>
      </c>
      <c r="BG42" s="688">
        <f t="shared" si="486"/>
        <v>1318</v>
      </c>
      <c r="BH42" s="197">
        <v>1298</v>
      </c>
      <c r="BI42" s="133">
        <f t="shared" si="487"/>
        <v>1318</v>
      </c>
      <c r="BJ42" s="339">
        <v>1318</v>
      </c>
      <c r="BK42" s="197">
        <v>1442</v>
      </c>
      <c r="BL42" s="133">
        <f t="shared" si="332"/>
        <v>1288</v>
      </c>
      <c r="BM42" s="197">
        <v>1676</v>
      </c>
      <c r="BN42" s="688">
        <f t="shared" si="488"/>
        <v>398</v>
      </c>
      <c r="BO42" s="197">
        <v>1288</v>
      </c>
      <c r="BP42" s="133">
        <f t="shared" si="489"/>
        <v>398</v>
      </c>
      <c r="BQ42" s="339">
        <v>398</v>
      </c>
      <c r="BR42" s="197">
        <v>488</v>
      </c>
      <c r="BS42" s="133">
        <f t="shared" si="335"/>
        <v>423</v>
      </c>
      <c r="BT42" s="197">
        <v>370</v>
      </c>
      <c r="BU42" s="688">
        <f t="shared" si="490"/>
        <v>451</v>
      </c>
      <c r="BV42" s="197">
        <v>423</v>
      </c>
      <c r="BW42" s="133">
        <f t="shared" si="491"/>
        <v>451</v>
      </c>
      <c r="BX42" s="339">
        <v>451</v>
      </c>
      <c r="BY42" s="197">
        <v>549</v>
      </c>
      <c r="BZ42" s="133">
        <f t="shared" si="338"/>
        <v>480</v>
      </c>
      <c r="CA42" s="197">
        <v>513</v>
      </c>
      <c r="CB42" s="688">
        <f t="shared" si="492"/>
        <v>116</v>
      </c>
      <c r="CC42" s="197">
        <v>480</v>
      </c>
      <c r="CD42" s="133">
        <f t="shared" si="493"/>
        <v>116</v>
      </c>
      <c r="CE42" s="339">
        <v>116</v>
      </c>
      <c r="CF42" s="197">
        <v>119</v>
      </c>
      <c r="CG42" s="133">
        <f t="shared" si="341"/>
        <v>117</v>
      </c>
      <c r="CH42" s="197">
        <v>180</v>
      </c>
      <c r="CI42" s="688">
        <f t="shared" si="494"/>
        <v>164</v>
      </c>
      <c r="CJ42" s="197">
        <v>117</v>
      </c>
      <c r="CK42" s="133">
        <f t="shared" si="495"/>
        <v>164</v>
      </c>
      <c r="CL42" s="339">
        <v>164</v>
      </c>
      <c r="CM42" s="197">
        <v>205</v>
      </c>
      <c r="CN42" s="133">
        <f t="shared" si="344"/>
        <v>185</v>
      </c>
      <c r="CO42" s="197">
        <v>191</v>
      </c>
      <c r="CP42" s="688">
        <f t="shared" si="496"/>
        <v>361</v>
      </c>
      <c r="CQ42" s="197">
        <v>185</v>
      </c>
      <c r="CR42" s="133">
        <f t="shared" si="497"/>
        <v>361</v>
      </c>
      <c r="CS42" s="339">
        <v>361</v>
      </c>
      <c r="CT42" s="197">
        <v>249</v>
      </c>
      <c r="CU42" s="133">
        <f t="shared" si="347"/>
        <v>176</v>
      </c>
      <c r="CV42" s="197">
        <v>284</v>
      </c>
      <c r="CW42" s="688">
        <f t="shared" si="498"/>
        <v>271</v>
      </c>
      <c r="CX42" s="197">
        <v>176</v>
      </c>
      <c r="CY42" s="133">
        <f t="shared" si="499"/>
        <v>271</v>
      </c>
      <c r="CZ42" s="339">
        <v>271</v>
      </c>
      <c r="DA42" s="197">
        <v>316</v>
      </c>
      <c r="DB42" s="133">
        <f t="shared" si="350"/>
        <v>324</v>
      </c>
      <c r="DC42" s="197">
        <v>334</v>
      </c>
      <c r="DD42" s="688">
        <f t="shared" si="500"/>
        <v>428</v>
      </c>
      <c r="DE42" s="2080">
        <v>324</v>
      </c>
      <c r="DF42" s="133">
        <f t="shared" si="501"/>
        <v>428</v>
      </c>
      <c r="DG42" s="1278">
        <v>428</v>
      </c>
      <c r="DH42" s="530">
        <v>387</v>
      </c>
      <c r="DI42" s="133">
        <f t="shared" si="353"/>
        <v>377</v>
      </c>
      <c r="DJ42" s="460">
        <f>DI42+DJ195</f>
        <v>377</v>
      </c>
      <c r="DK42" s="1554">
        <f t="shared" si="502"/>
        <v>428</v>
      </c>
      <c r="DL42" s="2009">
        <v>377</v>
      </c>
      <c r="DM42" s="819">
        <f t="shared" si="503"/>
        <v>428</v>
      </c>
      <c r="DN42" s="592">
        <f>DG42+DN195</f>
        <v>428</v>
      </c>
      <c r="DO42" s="460">
        <f>DN42+DO195</f>
        <v>428</v>
      </c>
      <c r="DP42" s="886">
        <f t="shared" si="504"/>
        <v>428</v>
      </c>
      <c r="DQ42" s="460">
        <f>DP42+DQ195</f>
        <v>428</v>
      </c>
      <c r="DR42" s="1554">
        <f t="shared" si="505"/>
        <v>428</v>
      </c>
      <c r="DS42" s="460">
        <f>DN42+DS195</f>
        <v>428</v>
      </c>
      <c r="DT42" s="819">
        <f t="shared" si="506"/>
        <v>428</v>
      </c>
      <c r="DU42" s="592">
        <f>DN42+DU195</f>
        <v>428</v>
      </c>
      <c r="DV42" s="460">
        <f>DU42+DV195</f>
        <v>428</v>
      </c>
      <c r="DW42" s="886">
        <f t="shared" si="507"/>
        <v>428</v>
      </c>
      <c r="DX42" s="460">
        <f>DW42+DX195</f>
        <v>428</v>
      </c>
      <c r="DY42" s="1554">
        <f t="shared" si="508"/>
        <v>428</v>
      </c>
      <c r="DZ42" s="460">
        <f>DU42+DZ195</f>
        <v>428</v>
      </c>
      <c r="EA42" s="819">
        <f t="shared" si="509"/>
        <v>428</v>
      </c>
      <c r="EB42" s="592">
        <f>DU42+EB195</f>
        <v>428</v>
      </c>
      <c r="EC42" s="460">
        <f>EB42+EC195</f>
        <v>428</v>
      </c>
      <c r="ED42" s="886">
        <f t="shared" si="510"/>
        <v>428</v>
      </c>
      <c r="EE42" s="460">
        <f>ED42+EE195</f>
        <v>428</v>
      </c>
      <c r="EF42" s="1554">
        <f t="shared" si="511"/>
        <v>428</v>
      </c>
      <c r="EG42" s="460">
        <f>EB42+EG195</f>
        <v>428</v>
      </c>
      <c r="EH42" s="819">
        <f t="shared" si="512"/>
        <v>428</v>
      </c>
      <c r="EI42" s="592">
        <f>EB42+EI195</f>
        <v>428</v>
      </c>
      <c r="EJ42" s="460">
        <f>EI42+EJ195</f>
        <v>428</v>
      </c>
      <c r="EK42" s="886">
        <f t="shared" si="513"/>
        <v>428</v>
      </c>
      <c r="EL42" s="460">
        <f>EK42+EL195</f>
        <v>428</v>
      </c>
      <c r="EM42" s="1554">
        <f t="shared" si="514"/>
        <v>428</v>
      </c>
      <c r="EN42" s="460">
        <f>EI42+EN195</f>
        <v>428</v>
      </c>
      <c r="EO42" s="819">
        <f t="shared" si="515"/>
        <v>428</v>
      </c>
      <c r="EP42" s="592">
        <f t="shared" ref="EP42" si="537">EI42+EP195</f>
        <v>428</v>
      </c>
      <c r="EQ42" s="303"/>
      <c r="ER42" s="46"/>
    </row>
    <row r="43" spans="1:148" ht="10.199999999999999" customHeight="1">
      <c r="A43" s="43" t="s">
        <v>225</v>
      </c>
      <c r="B43" s="158">
        <f>2958-B32</f>
        <v>2457</v>
      </c>
      <c r="C43" s="158">
        <f>2720-C32</f>
        <v>2219</v>
      </c>
      <c r="D43" s="158">
        <f>2458-D32</f>
        <v>1957</v>
      </c>
      <c r="E43" s="158">
        <v>1490</v>
      </c>
      <c r="F43" s="158">
        <v>1324</v>
      </c>
      <c r="G43" s="158">
        <v>1110</v>
      </c>
      <c r="H43" s="158">
        <v>753</v>
      </c>
      <c r="I43" s="158">
        <v>418</v>
      </c>
      <c r="J43" s="158">
        <v>266</v>
      </c>
      <c r="K43" s="158">
        <v>315</v>
      </c>
      <c r="L43" s="158">
        <v>290</v>
      </c>
      <c r="M43" s="158">
        <v>212</v>
      </c>
      <c r="N43" s="158"/>
      <c r="O43" s="158"/>
      <c r="P43" s="158"/>
      <c r="Q43" s="695"/>
      <c r="R43" s="158"/>
      <c r="S43" s="158"/>
      <c r="T43" s="1301">
        <v>237</v>
      </c>
      <c r="U43" s="158">
        <f>T43</f>
        <v>237</v>
      </c>
      <c r="V43" s="158">
        <f t="shared" si="317"/>
        <v>237</v>
      </c>
      <c r="W43" s="158">
        <f>V43</f>
        <v>237</v>
      </c>
      <c r="X43" s="695">
        <f t="shared" si="478"/>
        <v>267</v>
      </c>
      <c r="Y43" s="158">
        <f>T43</f>
        <v>237</v>
      </c>
      <c r="Z43" s="158">
        <f t="shared" si="479"/>
        <v>267</v>
      </c>
      <c r="AA43" s="1301">
        <v>267</v>
      </c>
      <c r="AB43" s="158">
        <f>AA43</f>
        <v>267</v>
      </c>
      <c r="AC43" s="158">
        <f t="shared" si="320"/>
        <v>272</v>
      </c>
      <c r="AD43" s="158">
        <f>1448-AD32</f>
        <v>359</v>
      </c>
      <c r="AE43" s="695">
        <f t="shared" si="480"/>
        <v>263</v>
      </c>
      <c r="AF43" s="158">
        <f>1361-AF32</f>
        <v>272</v>
      </c>
      <c r="AG43" s="158">
        <f t="shared" si="481"/>
        <v>263</v>
      </c>
      <c r="AH43" s="1301">
        <v>263</v>
      </c>
      <c r="AI43" s="158">
        <v>248</v>
      </c>
      <c r="AJ43" s="158">
        <f t="shared" si="323"/>
        <v>250</v>
      </c>
      <c r="AK43" s="158">
        <v>238</v>
      </c>
      <c r="AL43" s="695">
        <f t="shared" si="482"/>
        <v>288</v>
      </c>
      <c r="AM43" s="158">
        <v>250</v>
      </c>
      <c r="AN43" s="158">
        <f t="shared" si="483"/>
        <v>288</v>
      </c>
      <c r="AO43" s="1301">
        <v>288</v>
      </c>
      <c r="AP43" s="158">
        <v>283</v>
      </c>
      <c r="AQ43" s="158">
        <f t="shared" si="326"/>
        <v>248</v>
      </c>
      <c r="AR43" s="158">
        <v>246</v>
      </c>
      <c r="AS43" s="695">
        <f t="shared" si="484"/>
        <v>199</v>
      </c>
      <c r="AT43" s="158">
        <v>248</v>
      </c>
      <c r="AU43" s="158">
        <f t="shared" si="485"/>
        <v>199</v>
      </c>
      <c r="AV43" s="1301">
        <v>199</v>
      </c>
      <c r="AW43" s="158"/>
      <c r="AX43" s="158"/>
      <c r="AY43" s="158"/>
      <c r="AZ43" s="695"/>
      <c r="BA43" s="158"/>
      <c r="BB43" s="158"/>
      <c r="BC43" s="1301">
        <v>42</v>
      </c>
      <c r="BD43" s="158">
        <v>48</v>
      </c>
      <c r="BE43" s="158">
        <f t="shared" si="329"/>
        <v>47</v>
      </c>
      <c r="BF43" s="158">
        <v>53</v>
      </c>
      <c r="BG43" s="695">
        <f t="shared" si="486"/>
        <v>40</v>
      </c>
      <c r="BH43" s="158">
        <v>47</v>
      </c>
      <c r="BI43" s="158">
        <f t="shared" si="487"/>
        <v>40</v>
      </c>
      <c r="BJ43" s="1301">
        <v>40</v>
      </c>
      <c r="BK43" s="158">
        <v>41</v>
      </c>
      <c r="BL43" s="158">
        <f t="shared" si="332"/>
        <v>44</v>
      </c>
      <c r="BM43" s="158">
        <v>35</v>
      </c>
      <c r="BN43" s="695">
        <f t="shared" si="488"/>
        <v>54</v>
      </c>
      <c r="BO43" s="158">
        <v>44</v>
      </c>
      <c r="BP43" s="158">
        <f t="shared" si="489"/>
        <v>54</v>
      </c>
      <c r="BQ43" s="1301">
        <v>54</v>
      </c>
      <c r="BR43" s="158">
        <v>51</v>
      </c>
      <c r="BS43" s="158">
        <f t="shared" si="335"/>
        <v>43</v>
      </c>
      <c r="BT43" s="158">
        <v>45</v>
      </c>
      <c r="BU43" s="695">
        <f t="shared" si="490"/>
        <v>32</v>
      </c>
      <c r="BV43" s="158">
        <v>43</v>
      </c>
      <c r="BW43" s="158">
        <f t="shared" si="491"/>
        <v>32</v>
      </c>
      <c r="BX43" s="1301">
        <v>32</v>
      </c>
      <c r="BY43" s="158">
        <v>27</v>
      </c>
      <c r="BZ43" s="158">
        <f t="shared" si="338"/>
        <v>29</v>
      </c>
      <c r="CA43" s="158">
        <v>27</v>
      </c>
      <c r="CB43" s="695">
        <f t="shared" si="492"/>
        <v>8</v>
      </c>
      <c r="CC43" s="158">
        <v>29</v>
      </c>
      <c r="CD43" s="158">
        <f t="shared" si="493"/>
        <v>8</v>
      </c>
      <c r="CE43" s="1301">
        <v>8</v>
      </c>
      <c r="CF43" s="158">
        <v>5</v>
      </c>
      <c r="CG43" s="158">
        <f t="shared" si="341"/>
        <v>6</v>
      </c>
      <c r="CH43" s="158">
        <v>4</v>
      </c>
      <c r="CI43" s="695">
        <f t="shared" si="494"/>
        <v>17</v>
      </c>
      <c r="CJ43" s="158">
        <v>6</v>
      </c>
      <c r="CK43" s="158">
        <f t="shared" si="495"/>
        <v>17</v>
      </c>
      <c r="CL43" s="1301">
        <v>17</v>
      </c>
      <c r="CM43" s="158">
        <v>25</v>
      </c>
      <c r="CN43" s="158">
        <f t="shared" si="344"/>
        <v>23</v>
      </c>
      <c r="CO43" s="158">
        <v>28</v>
      </c>
      <c r="CP43" s="695">
        <f t="shared" si="496"/>
        <v>35</v>
      </c>
      <c r="CQ43" s="158">
        <v>23</v>
      </c>
      <c r="CR43" s="158">
        <f t="shared" si="497"/>
        <v>35</v>
      </c>
      <c r="CS43" s="1301">
        <v>35</v>
      </c>
      <c r="CT43" s="158">
        <v>40</v>
      </c>
      <c r="CU43" s="158">
        <f t="shared" si="347"/>
        <v>40</v>
      </c>
      <c r="CV43" s="158">
        <v>36</v>
      </c>
      <c r="CW43" s="695">
        <f t="shared" si="498"/>
        <v>27</v>
      </c>
      <c r="CX43" s="158">
        <v>40</v>
      </c>
      <c r="CY43" s="158">
        <f t="shared" si="499"/>
        <v>27</v>
      </c>
      <c r="CZ43" s="1301">
        <v>27</v>
      </c>
      <c r="DA43" s="158">
        <v>17</v>
      </c>
      <c r="DB43" s="158">
        <f t="shared" si="350"/>
        <v>6</v>
      </c>
      <c r="DC43" s="158">
        <v>6</v>
      </c>
      <c r="DD43" s="695">
        <f t="shared" si="500"/>
        <v>7</v>
      </c>
      <c r="DE43" s="2097">
        <v>6</v>
      </c>
      <c r="DF43" s="158">
        <f t="shared" si="501"/>
        <v>7</v>
      </c>
      <c r="DG43" s="1364">
        <v>7</v>
      </c>
      <c r="DH43" s="818">
        <v>7</v>
      </c>
      <c r="DI43" s="158">
        <f t="shared" si="353"/>
        <v>7</v>
      </c>
      <c r="DJ43" s="819">
        <f>DI43</f>
        <v>7</v>
      </c>
      <c r="DK43" s="453">
        <f t="shared" si="502"/>
        <v>7</v>
      </c>
      <c r="DL43" s="2006">
        <v>7</v>
      </c>
      <c r="DM43" s="327">
        <f t="shared" si="503"/>
        <v>7</v>
      </c>
      <c r="DN43" s="1544">
        <f>DG43</f>
        <v>7</v>
      </c>
      <c r="DO43" s="819">
        <f>DN43</f>
        <v>7</v>
      </c>
      <c r="DP43" s="327">
        <f t="shared" si="504"/>
        <v>7</v>
      </c>
      <c r="DQ43" s="819">
        <f>DP43</f>
        <v>7</v>
      </c>
      <c r="DR43" s="453">
        <f t="shared" si="505"/>
        <v>7</v>
      </c>
      <c r="DS43" s="819">
        <f>DN43</f>
        <v>7</v>
      </c>
      <c r="DT43" s="327">
        <f t="shared" si="506"/>
        <v>7</v>
      </c>
      <c r="DU43" s="1544">
        <f>DN43</f>
        <v>7</v>
      </c>
      <c r="DV43" s="819">
        <f>DU43</f>
        <v>7</v>
      </c>
      <c r="DW43" s="327">
        <f t="shared" si="507"/>
        <v>7</v>
      </c>
      <c r="DX43" s="819">
        <f>DW43</f>
        <v>7</v>
      </c>
      <c r="DY43" s="453">
        <f t="shared" si="508"/>
        <v>7</v>
      </c>
      <c r="DZ43" s="819">
        <f>DU43</f>
        <v>7</v>
      </c>
      <c r="EA43" s="327">
        <f t="shared" si="509"/>
        <v>7</v>
      </c>
      <c r="EB43" s="1544">
        <f>DU43</f>
        <v>7</v>
      </c>
      <c r="EC43" s="819">
        <f>EB43</f>
        <v>7</v>
      </c>
      <c r="ED43" s="327">
        <f t="shared" si="510"/>
        <v>7</v>
      </c>
      <c r="EE43" s="819">
        <f>ED43</f>
        <v>7</v>
      </c>
      <c r="EF43" s="453">
        <f t="shared" si="511"/>
        <v>7</v>
      </c>
      <c r="EG43" s="819">
        <f>EB43</f>
        <v>7</v>
      </c>
      <c r="EH43" s="327">
        <f t="shared" si="512"/>
        <v>7</v>
      </c>
      <c r="EI43" s="1544">
        <f>EB43</f>
        <v>7</v>
      </c>
      <c r="EJ43" s="819">
        <f>EI43</f>
        <v>7</v>
      </c>
      <c r="EK43" s="327">
        <f t="shared" si="513"/>
        <v>7</v>
      </c>
      <c r="EL43" s="819">
        <f>EK43</f>
        <v>7</v>
      </c>
      <c r="EM43" s="453">
        <f t="shared" si="514"/>
        <v>7</v>
      </c>
      <c r="EN43" s="819">
        <f>EI43</f>
        <v>7</v>
      </c>
      <c r="EO43" s="327">
        <f t="shared" si="515"/>
        <v>7</v>
      </c>
      <c r="EP43" s="1544">
        <f t="shared" ref="EP43:EP44" si="538">EI43</f>
        <v>7</v>
      </c>
      <c r="EQ43" s="303"/>
      <c r="ER43" s="46"/>
    </row>
    <row r="44" spans="1:148" ht="10.199999999999999" customHeight="1">
      <c r="A44" s="43" t="s">
        <v>292</v>
      </c>
      <c r="B44" s="158">
        <v>0</v>
      </c>
      <c r="C44" s="158">
        <v>0</v>
      </c>
      <c r="D44" s="158">
        <v>0</v>
      </c>
      <c r="E44" s="133">
        <v>0</v>
      </c>
      <c r="F44" s="133">
        <v>0</v>
      </c>
      <c r="G44" s="133">
        <v>152</v>
      </c>
      <c r="H44" s="133">
        <f>258+541</f>
        <v>799</v>
      </c>
      <c r="I44" s="133">
        <f>2208+728</f>
        <v>2936</v>
      </c>
      <c r="J44" s="133">
        <f>732+561</f>
        <v>1293</v>
      </c>
      <c r="K44" s="133">
        <f>2109+547</f>
        <v>2656</v>
      </c>
      <c r="L44" s="133">
        <f>2140+527</f>
        <v>2667</v>
      </c>
      <c r="M44" s="133">
        <f>1159+545</f>
        <v>1704</v>
      </c>
      <c r="N44" s="133"/>
      <c r="O44" s="133"/>
      <c r="P44" s="133"/>
      <c r="Q44" s="688"/>
      <c r="R44" s="133"/>
      <c r="S44" s="133"/>
      <c r="T44" s="339">
        <f>671+576</f>
        <v>1247</v>
      </c>
      <c r="U44" s="197">
        <f>T44</f>
        <v>1247</v>
      </c>
      <c r="V44" s="133">
        <f t="shared" si="317"/>
        <v>1247</v>
      </c>
      <c r="W44" s="197">
        <f>V44</f>
        <v>1247</v>
      </c>
      <c r="X44" s="688">
        <f t="shared" si="478"/>
        <v>3902</v>
      </c>
      <c r="Y44" s="158">
        <f>T44</f>
        <v>1247</v>
      </c>
      <c r="Z44" s="133">
        <f t="shared" si="479"/>
        <v>3902</v>
      </c>
      <c r="AA44" s="339">
        <f>3271+631</f>
        <v>3902</v>
      </c>
      <c r="AB44" s="197">
        <f>AA44</f>
        <v>3902</v>
      </c>
      <c r="AC44" s="133">
        <f t="shared" si="320"/>
        <v>6966</v>
      </c>
      <c r="AD44" s="197">
        <f>6133+599</f>
        <v>6732</v>
      </c>
      <c r="AE44" s="688">
        <f t="shared" si="480"/>
        <v>7322</v>
      </c>
      <c r="AF44" s="197">
        <f>6345+621</f>
        <v>6966</v>
      </c>
      <c r="AG44" s="133">
        <f t="shared" si="481"/>
        <v>7322</v>
      </c>
      <c r="AH44" s="339">
        <f>6703+619</f>
        <v>7322</v>
      </c>
      <c r="AI44" s="197">
        <f>4161+685</f>
        <v>4846</v>
      </c>
      <c r="AJ44" s="133">
        <f t="shared" si="323"/>
        <v>5446</v>
      </c>
      <c r="AK44" s="197">
        <f>4100+550</f>
        <v>4650</v>
      </c>
      <c r="AL44" s="688">
        <f t="shared" si="482"/>
        <v>6973</v>
      </c>
      <c r="AM44" s="197">
        <f>4884+562</f>
        <v>5446</v>
      </c>
      <c r="AN44" s="133">
        <f t="shared" si="483"/>
        <v>6973</v>
      </c>
      <c r="AO44" s="339">
        <f>6544+429</f>
        <v>6973</v>
      </c>
      <c r="AP44" s="197">
        <f>4886+416</f>
        <v>5302</v>
      </c>
      <c r="AQ44" s="133">
        <f t="shared" si="326"/>
        <v>2267</v>
      </c>
      <c r="AR44" s="197">
        <f>1451+354</f>
        <v>1805</v>
      </c>
      <c r="AS44" s="688">
        <f t="shared" si="484"/>
        <v>1410</v>
      </c>
      <c r="AT44" s="197">
        <f>1865+402</f>
        <v>2267</v>
      </c>
      <c r="AU44" s="133">
        <f t="shared" si="485"/>
        <v>1410</v>
      </c>
      <c r="AV44" s="339">
        <f>1127+283</f>
        <v>1410</v>
      </c>
      <c r="AW44" s="133"/>
      <c r="AX44" s="133"/>
      <c r="AY44" s="133"/>
      <c r="AZ44" s="688"/>
      <c r="BA44" s="133"/>
      <c r="BB44" s="133"/>
      <c r="BC44" s="339">
        <v>298</v>
      </c>
      <c r="BD44" s="197">
        <v>411</v>
      </c>
      <c r="BE44" s="133">
        <f t="shared" si="329"/>
        <v>310</v>
      </c>
      <c r="BF44" s="197">
        <v>289</v>
      </c>
      <c r="BG44" s="688">
        <f t="shared" si="486"/>
        <v>460</v>
      </c>
      <c r="BH44" s="197">
        <v>310</v>
      </c>
      <c r="BI44" s="133">
        <f t="shared" si="487"/>
        <v>460</v>
      </c>
      <c r="BJ44" s="339">
        <f>460</f>
        <v>460</v>
      </c>
      <c r="BK44" s="197">
        <v>421</v>
      </c>
      <c r="BL44" s="133">
        <f t="shared" si="332"/>
        <v>398</v>
      </c>
      <c r="BM44" s="197">
        <v>359</v>
      </c>
      <c r="BN44" s="688">
        <f t="shared" si="488"/>
        <v>384</v>
      </c>
      <c r="BO44" s="197">
        <v>398</v>
      </c>
      <c r="BP44" s="133">
        <f t="shared" si="489"/>
        <v>384</v>
      </c>
      <c r="BQ44" s="339">
        <v>384</v>
      </c>
      <c r="BR44" s="197">
        <v>370</v>
      </c>
      <c r="BS44" s="133">
        <f t="shared" si="335"/>
        <v>373</v>
      </c>
      <c r="BT44" s="197">
        <v>375</v>
      </c>
      <c r="BU44" s="688">
        <f t="shared" si="490"/>
        <v>436</v>
      </c>
      <c r="BV44" s="197">
        <v>373</v>
      </c>
      <c r="BW44" s="133">
        <f t="shared" si="491"/>
        <v>436</v>
      </c>
      <c r="BX44" s="339">
        <v>436</v>
      </c>
      <c r="BY44" s="197">
        <v>421</v>
      </c>
      <c r="BZ44" s="133">
        <f t="shared" si="338"/>
        <v>422</v>
      </c>
      <c r="CA44" s="197">
        <v>412</v>
      </c>
      <c r="CB44" s="688">
        <f t="shared" si="492"/>
        <v>583</v>
      </c>
      <c r="CC44" s="197">
        <v>422</v>
      </c>
      <c r="CD44" s="133">
        <f t="shared" si="493"/>
        <v>583</v>
      </c>
      <c r="CE44" s="339">
        <v>583</v>
      </c>
      <c r="CF44" s="197">
        <v>554</v>
      </c>
      <c r="CG44" s="133">
        <f t="shared" si="341"/>
        <v>485</v>
      </c>
      <c r="CH44" s="197">
        <v>494</v>
      </c>
      <c r="CI44" s="688">
        <f t="shared" si="494"/>
        <v>498</v>
      </c>
      <c r="CJ44" s="197">
        <v>485</v>
      </c>
      <c r="CK44" s="133">
        <f t="shared" si="495"/>
        <v>498</v>
      </c>
      <c r="CL44" s="339">
        <v>498</v>
      </c>
      <c r="CM44" s="197">
        <v>446</v>
      </c>
      <c r="CN44" s="133">
        <f t="shared" si="344"/>
        <v>473</v>
      </c>
      <c r="CO44" s="197">
        <v>482</v>
      </c>
      <c r="CP44" s="688">
        <f t="shared" si="496"/>
        <v>450</v>
      </c>
      <c r="CQ44" s="197">
        <v>473</v>
      </c>
      <c r="CR44" s="133">
        <f t="shared" si="497"/>
        <v>450</v>
      </c>
      <c r="CS44" s="339">
        <v>450</v>
      </c>
      <c r="CT44" s="197">
        <v>410</v>
      </c>
      <c r="CU44" s="133">
        <f t="shared" si="347"/>
        <v>395</v>
      </c>
      <c r="CV44" s="197">
        <v>387</v>
      </c>
      <c r="CW44" s="688">
        <f t="shared" si="498"/>
        <v>463</v>
      </c>
      <c r="CX44" s="197">
        <v>395</v>
      </c>
      <c r="CY44" s="133">
        <f t="shared" si="499"/>
        <v>463</v>
      </c>
      <c r="CZ44" s="339">
        <v>463</v>
      </c>
      <c r="DA44" s="197">
        <v>400</v>
      </c>
      <c r="DB44" s="133">
        <f t="shared" si="350"/>
        <v>431</v>
      </c>
      <c r="DC44" s="197">
        <v>421</v>
      </c>
      <c r="DD44" s="688">
        <f t="shared" si="500"/>
        <v>477</v>
      </c>
      <c r="DE44" s="2080">
        <v>431</v>
      </c>
      <c r="DF44" s="133">
        <f t="shared" si="501"/>
        <v>477</v>
      </c>
      <c r="DG44" s="1278">
        <v>477</v>
      </c>
      <c r="DH44" s="530">
        <v>450</v>
      </c>
      <c r="DI44" s="133">
        <f t="shared" si="353"/>
        <v>469</v>
      </c>
      <c r="DJ44" s="460">
        <f>DI44</f>
        <v>469</v>
      </c>
      <c r="DK44" s="453">
        <f t="shared" si="502"/>
        <v>477</v>
      </c>
      <c r="DL44" s="2009">
        <v>469</v>
      </c>
      <c r="DM44" s="327">
        <f t="shared" si="503"/>
        <v>477</v>
      </c>
      <c r="DN44" s="592">
        <f>DG44</f>
        <v>477</v>
      </c>
      <c r="DO44" s="460">
        <f>DN44</f>
        <v>477</v>
      </c>
      <c r="DP44" s="1692">
        <f t="shared" si="504"/>
        <v>477</v>
      </c>
      <c r="DQ44" s="460">
        <f>DP44</f>
        <v>477</v>
      </c>
      <c r="DR44" s="453">
        <f t="shared" si="505"/>
        <v>477</v>
      </c>
      <c r="DS44" s="460">
        <f>DN44</f>
        <v>477</v>
      </c>
      <c r="DT44" s="327">
        <f t="shared" si="506"/>
        <v>477</v>
      </c>
      <c r="DU44" s="592">
        <f>DN44</f>
        <v>477</v>
      </c>
      <c r="DV44" s="460">
        <f>DU44</f>
        <v>477</v>
      </c>
      <c r="DW44" s="1692">
        <f t="shared" si="507"/>
        <v>477</v>
      </c>
      <c r="DX44" s="460">
        <f>DW44</f>
        <v>477</v>
      </c>
      <c r="DY44" s="453">
        <f t="shared" si="508"/>
        <v>477</v>
      </c>
      <c r="DZ44" s="460">
        <f>DU44</f>
        <v>477</v>
      </c>
      <c r="EA44" s="327">
        <f t="shared" si="509"/>
        <v>477</v>
      </c>
      <c r="EB44" s="592">
        <f>DU44</f>
        <v>477</v>
      </c>
      <c r="EC44" s="460">
        <f>EB44</f>
        <v>477</v>
      </c>
      <c r="ED44" s="1692">
        <f t="shared" si="510"/>
        <v>477</v>
      </c>
      <c r="EE44" s="460">
        <f>ED44</f>
        <v>477</v>
      </c>
      <c r="EF44" s="453">
        <f t="shared" si="511"/>
        <v>477</v>
      </c>
      <c r="EG44" s="460">
        <f>EB44</f>
        <v>477</v>
      </c>
      <c r="EH44" s="327">
        <f t="shared" si="512"/>
        <v>477</v>
      </c>
      <c r="EI44" s="592">
        <f>EB44</f>
        <v>477</v>
      </c>
      <c r="EJ44" s="460">
        <f>EI44</f>
        <v>477</v>
      </c>
      <c r="EK44" s="1692">
        <f t="shared" si="513"/>
        <v>477</v>
      </c>
      <c r="EL44" s="460">
        <f>EK44</f>
        <v>477</v>
      </c>
      <c r="EM44" s="453">
        <f t="shared" si="514"/>
        <v>477</v>
      </c>
      <c r="EN44" s="460">
        <f>EI44</f>
        <v>477</v>
      </c>
      <c r="EO44" s="327">
        <f t="shared" si="515"/>
        <v>477</v>
      </c>
      <c r="EP44" s="592">
        <f t="shared" si="538"/>
        <v>477</v>
      </c>
      <c r="EQ44" s="303"/>
      <c r="ER44" s="46"/>
    </row>
    <row r="45" spans="1:148" ht="10.199999999999999" customHeight="1">
      <c r="A45" s="43" t="s">
        <v>293</v>
      </c>
      <c r="B45" s="829">
        <v>0</v>
      </c>
      <c r="C45" s="829">
        <v>0</v>
      </c>
      <c r="D45" s="829">
        <v>0</v>
      </c>
      <c r="E45" s="212">
        <f>E47-SUM(E37:E44)+338</f>
        <v>11</v>
      </c>
      <c r="F45" s="212">
        <f t="shared" ref="F45:CL45" si="539">F47-SUM(F37:F44)</f>
        <v>110</v>
      </c>
      <c r="G45" s="212">
        <f t="shared" si="539"/>
        <v>233</v>
      </c>
      <c r="H45" s="212">
        <f t="shared" si="539"/>
        <v>54</v>
      </c>
      <c r="I45" s="212">
        <f t="shared" si="539"/>
        <v>64</v>
      </c>
      <c r="J45" s="212">
        <f t="shared" si="539"/>
        <v>512</v>
      </c>
      <c r="K45" s="212">
        <f t="shared" si="539"/>
        <v>447</v>
      </c>
      <c r="L45" s="212">
        <f t="shared" si="539"/>
        <v>554</v>
      </c>
      <c r="M45" s="212">
        <f t="shared" si="539"/>
        <v>924</v>
      </c>
      <c r="N45" s="1562"/>
      <c r="O45" s="1562"/>
      <c r="P45" s="1562"/>
      <c r="Q45" s="1578"/>
      <c r="R45" s="1562"/>
      <c r="S45" s="1562"/>
      <c r="T45" s="1594">
        <f t="shared" si="539"/>
        <v>561</v>
      </c>
      <c r="U45" s="1562">
        <f t="shared" ref="U45" si="540">U47-SUM(U37:U44)</f>
        <v>1119</v>
      </c>
      <c r="V45" s="1562">
        <f t="shared" si="317"/>
        <v>942</v>
      </c>
      <c r="W45" s="1562">
        <f t="shared" ref="W45" si="541">W47-SUM(W37:W44)</f>
        <v>3157</v>
      </c>
      <c r="X45" s="1578">
        <f t="shared" si="478"/>
        <v>618</v>
      </c>
      <c r="Y45" s="1562">
        <f t="shared" ref="Y45" si="542">Y47-SUM(Y37:Y44)</f>
        <v>942</v>
      </c>
      <c r="Z45" s="1562">
        <f t="shared" si="479"/>
        <v>618</v>
      </c>
      <c r="AA45" s="1594">
        <f t="shared" si="539"/>
        <v>618</v>
      </c>
      <c r="AB45" s="1562">
        <f t="shared" ref="AB45" si="543">AB47-SUM(AB37:AB44)</f>
        <v>8112</v>
      </c>
      <c r="AC45" s="1562">
        <f t="shared" si="320"/>
        <v>485</v>
      </c>
      <c r="AD45" s="1562">
        <f t="shared" ref="AD45" si="544">AD47-SUM(AD37:AD44)</f>
        <v>117</v>
      </c>
      <c r="AE45" s="1578">
        <f t="shared" si="480"/>
        <v>521</v>
      </c>
      <c r="AF45" s="1562">
        <f t="shared" ref="AF45" si="545">AF47-SUM(AF37:AF44)</f>
        <v>485</v>
      </c>
      <c r="AG45" s="1562">
        <f t="shared" si="481"/>
        <v>521</v>
      </c>
      <c r="AH45" s="1594">
        <f t="shared" si="539"/>
        <v>521</v>
      </c>
      <c r="AI45" s="1562">
        <f t="shared" ref="AI45" si="546">AI47-SUM(AI37:AI44)</f>
        <v>469</v>
      </c>
      <c r="AJ45" s="1562">
        <f t="shared" si="323"/>
        <v>501</v>
      </c>
      <c r="AK45" s="1562">
        <f t="shared" ref="AK45" si="547">AK47-SUM(AK37:AK44)</f>
        <v>506</v>
      </c>
      <c r="AL45" s="1578">
        <f t="shared" si="482"/>
        <v>565</v>
      </c>
      <c r="AM45" s="1562">
        <f t="shared" ref="AM45" si="548">AM47-SUM(AM37:AM44)</f>
        <v>501</v>
      </c>
      <c r="AN45" s="1562">
        <f t="shared" si="483"/>
        <v>565</v>
      </c>
      <c r="AO45" s="1594">
        <f t="shared" si="539"/>
        <v>565</v>
      </c>
      <c r="AP45" s="1562">
        <f t="shared" ref="AP45" si="549">AP47-SUM(AP37:AP44)</f>
        <v>595</v>
      </c>
      <c r="AQ45" s="1562">
        <f t="shared" si="326"/>
        <v>599</v>
      </c>
      <c r="AR45" s="1562">
        <f t="shared" ref="AR45" si="550">AR47-SUM(AR37:AR44)</f>
        <v>547</v>
      </c>
      <c r="AS45" s="1578">
        <f t="shared" si="484"/>
        <v>532</v>
      </c>
      <c r="AT45" s="1562">
        <f t="shared" ref="AT45" si="551">AT47-SUM(AT37:AT44)</f>
        <v>599</v>
      </c>
      <c r="AU45" s="1562">
        <f t="shared" si="485"/>
        <v>532</v>
      </c>
      <c r="AV45" s="1594">
        <f t="shared" si="539"/>
        <v>532</v>
      </c>
      <c r="AW45" s="1562"/>
      <c r="AX45" s="1562"/>
      <c r="AY45" s="1562"/>
      <c r="AZ45" s="1578"/>
      <c r="BA45" s="1562"/>
      <c r="BB45" s="1562"/>
      <c r="BC45" s="1594">
        <f t="shared" si="539"/>
        <v>1167</v>
      </c>
      <c r="BD45" s="1562">
        <f t="shared" ref="BD45" si="552">BD47-SUM(BD37:BD44)</f>
        <v>887</v>
      </c>
      <c r="BE45" s="1562">
        <f t="shared" si="329"/>
        <v>891</v>
      </c>
      <c r="BF45" s="1562">
        <f t="shared" ref="BF45" si="553">BF47-SUM(BF37:BF44)</f>
        <v>3764</v>
      </c>
      <c r="BG45" s="1578">
        <f t="shared" si="486"/>
        <v>3776</v>
      </c>
      <c r="BH45" s="1562">
        <f t="shared" ref="BH45" si="554">BH47-SUM(BH37:BH44)</f>
        <v>891</v>
      </c>
      <c r="BI45" s="1562">
        <f t="shared" si="487"/>
        <v>3776</v>
      </c>
      <c r="BJ45" s="1594">
        <f t="shared" si="539"/>
        <v>3776</v>
      </c>
      <c r="BK45" s="1562">
        <f t="shared" ref="BK45" si="555">BK47-SUM(BK37:BK44)</f>
        <v>4598</v>
      </c>
      <c r="BL45" s="1562">
        <f t="shared" si="332"/>
        <v>4493</v>
      </c>
      <c r="BM45" s="1562">
        <f t="shared" ref="BM45" si="556">BM47-SUM(BM37:BM44)</f>
        <v>7101</v>
      </c>
      <c r="BN45" s="1578">
        <f t="shared" si="488"/>
        <v>3773</v>
      </c>
      <c r="BO45" s="1562">
        <f t="shared" ref="BO45" si="557">BO47-SUM(BO37:BO44)</f>
        <v>4493</v>
      </c>
      <c r="BP45" s="1562">
        <f t="shared" si="489"/>
        <v>3773</v>
      </c>
      <c r="BQ45" s="1594">
        <f t="shared" si="539"/>
        <v>3773</v>
      </c>
      <c r="BR45" s="1562">
        <f t="shared" ref="BR45" si="558">BR47-SUM(BR37:BR44)</f>
        <v>5591</v>
      </c>
      <c r="BS45" s="1562">
        <f t="shared" si="335"/>
        <v>4312</v>
      </c>
      <c r="BT45" s="1562">
        <f t="shared" ref="BT45" si="559">BT47-SUM(BT37:BT44)</f>
        <v>2482</v>
      </c>
      <c r="BU45" s="1578">
        <f t="shared" si="490"/>
        <v>1945</v>
      </c>
      <c r="BV45" s="1562">
        <f t="shared" ref="BV45" si="560">BV47-SUM(BV37:BV44)</f>
        <v>4312</v>
      </c>
      <c r="BW45" s="1562">
        <f t="shared" si="491"/>
        <v>1945</v>
      </c>
      <c r="BX45" s="1594">
        <f t="shared" si="539"/>
        <v>1945</v>
      </c>
      <c r="BY45" s="1562">
        <f t="shared" ref="BY45" si="561">BY47-SUM(BY37:BY44)</f>
        <v>1794</v>
      </c>
      <c r="BZ45" s="1562">
        <f t="shared" si="338"/>
        <v>1393</v>
      </c>
      <c r="CA45" s="1562">
        <f t="shared" ref="CA45" si="562">CA47-SUM(CA37:CA44)</f>
        <v>2049</v>
      </c>
      <c r="CB45" s="1578">
        <f t="shared" si="492"/>
        <v>2832</v>
      </c>
      <c r="CC45" s="1562">
        <f t="shared" ref="CC45" si="563">CC47-SUM(CC37:CC44)</f>
        <v>1393</v>
      </c>
      <c r="CD45" s="1562">
        <f t="shared" si="493"/>
        <v>2832</v>
      </c>
      <c r="CE45" s="1594">
        <f t="shared" si="539"/>
        <v>2832</v>
      </c>
      <c r="CF45" s="1562">
        <f t="shared" ref="CF45" si="564">CF47-SUM(CF37:CF44)</f>
        <v>3435</v>
      </c>
      <c r="CG45" s="1562">
        <f t="shared" si="341"/>
        <v>7547</v>
      </c>
      <c r="CH45" s="1562">
        <f t="shared" ref="CH45" si="565">CH47-SUM(CH37:CH44)</f>
        <v>11347</v>
      </c>
      <c r="CI45" s="1578">
        <f t="shared" si="494"/>
        <v>6400</v>
      </c>
      <c r="CJ45" s="1562">
        <f t="shared" ref="CJ45" si="566">CJ47-SUM(CJ37:CJ44)</f>
        <v>7547</v>
      </c>
      <c r="CK45" s="1562">
        <f t="shared" si="495"/>
        <v>6400</v>
      </c>
      <c r="CL45" s="1594">
        <f t="shared" si="539"/>
        <v>6400</v>
      </c>
      <c r="CM45" s="1562">
        <f t="shared" ref="CM45" si="567">CM47-SUM(CM37:CM44)</f>
        <v>5404</v>
      </c>
      <c r="CN45" s="1562">
        <f t="shared" si="344"/>
        <v>4613</v>
      </c>
      <c r="CO45" s="1562">
        <f t="shared" ref="CO45" si="568">CO47-SUM(CO37:CO44)</f>
        <v>5459</v>
      </c>
      <c r="CP45" s="1578">
        <f t="shared" si="496"/>
        <v>3044</v>
      </c>
      <c r="CQ45" s="1562">
        <f t="shared" ref="CQ45" si="569">CQ47-SUM(CQ37:CQ44)</f>
        <v>4613</v>
      </c>
      <c r="CR45" s="1562">
        <f t="shared" si="497"/>
        <v>3044</v>
      </c>
      <c r="CS45" s="1594">
        <f t="shared" ref="CS45:CT45" si="570">CS47-SUM(CS37:CS44)</f>
        <v>3044</v>
      </c>
      <c r="CT45" s="1562">
        <f t="shared" si="570"/>
        <v>3382</v>
      </c>
      <c r="CU45" s="1562">
        <f t="shared" si="347"/>
        <v>3596</v>
      </c>
      <c r="CV45" s="1562">
        <f t="shared" ref="CV45" si="571">CV47-SUM(CV37:CV44)</f>
        <v>2513</v>
      </c>
      <c r="CW45" s="1578">
        <f t="shared" si="498"/>
        <v>3878</v>
      </c>
      <c r="CX45" s="1562">
        <f t="shared" ref="CX45" si="572">CX47-SUM(CX37:CX44)</f>
        <v>3596</v>
      </c>
      <c r="CY45" s="1562">
        <f t="shared" si="499"/>
        <v>3878</v>
      </c>
      <c r="CZ45" s="1594">
        <f t="shared" ref="CZ45:DC45" si="573">CZ47-SUM(CZ37:CZ44)</f>
        <v>3878</v>
      </c>
      <c r="DA45" s="1562">
        <f t="shared" si="573"/>
        <v>2571</v>
      </c>
      <c r="DB45" s="1562">
        <f t="shared" si="350"/>
        <v>1138</v>
      </c>
      <c r="DC45" s="1562">
        <f t="shared" si="573"/>
        <v>1287</v>
      </c>
      <c r="DD45" s="1578">
        <f t="shared" si="500"/>
        <v>1189</v>
      </c>
      <c r="DE45" s="1562">
        <f t="shared" ref="DE45" si="574">DE47-SUM(DE37:DE44)</f>
        <v>1138</v>
      </c>
      <c r="DF45" s="1562">
        <f t="shared" si="501"/>
        <v>1189</v>
      </c>
      <c r="DG45" s="1852">
        <f t="shared" ref="DG45:DH45" si="575">DG47-SUM(DG37:DG44)</f>
        <v>1189</v>
      </c>
      <c r="DH45" s="1807">
        <f t="shared" si="575"/>
        <v>1486</v>
      </c>
      <c r="DI45" s="1562">
        <f t="shared" si="353"/>
        <v>1311</v>
      </c>
      <c r="DJ45" s="1572">
        <f>DI45+DJ182-DI182</f>
        <v>2052</v>
      </c>
      <c r="DK45" s="1688">
        <f t="shared" si="502"/>
        <v>1189</v>
      </c>
      <c r="DL45" s="2007">
        <f t="shared" ref="DL45" si="576">DL47-SUM(DL37:DL44)</f>
        <v>1311</v>
      </c>
      <c r="DM45" s="1687">
        <f t="shared" si="503"/>
        <v>1189</v>
      </c>
      <c r="DN45" s="1613">
        <f>DG45+DN182-DG182</f>
        <v>1189</v>
      </c>
      <c r="DO45" s="1572">
        <f>DN45+DO182-DN182</f>
        <v>1189</v>
      </c>
      <c r="DP45" s="1687">
        <f t="shared" si="504"/>
        <v>1189</v>
      </c>
      <c r="DQ45" s="1572">
        <f>DP45+DQ182-DP182</f>
        <v>1189</v>
      </c>
      <c r="DR45" s="1688">
        <f t="shared" si="505"/>
        <v>1189</v>
      </c>
      <c r="DS45" s="1572">
        <f>DN45+DS182-DN182</f>
        <v>1189</v>
      </c>
      <c r="DT45" s="1687">
        <f t="shared" si="506"/>
        <v>1189</v>
      </c>
      <c r="DU45" s="1613">
        <f>DN45+DU182-DN182</f>
        <v>1189</v>
      </c>
      <c r="DV45" s="1572">
        <f>DU45+DV182-DU182</f>
        <v>1189</v>
      </c>
      <c r="DW45" s="1687">
        <f t="shared" si="507"/>
        <v>1189</v>
      </c>
      <c r="DX45" s="1572">
        <f>DW45+DX182-DW182</f>
        <v>1189</v>
      </c>
      <c r="DY45" s="1688">
        <f t="shared" si="508"/>
        <v>1189</v>
      </c>
      <c r="DZ45" s="1572">
        <f>DU45+DZ182-DU182</f>
        <v>1189</v>
      </c>
      <c r="EA45" s="1687">
        <f t="shared" si="509"/>
        <v>1189</v>
      </c>
      <c r="EB45" s="1613">
        <f>DU45+EB182-DU182</f>
        <v>1189</v>
      </c>
      <c r="EC45" s="1572">
        <f>EB45+EC182-EB182</f>
        <v>1189</v>
      </c>
      <c r="ED45" s="1687">
        <f t="shared" si="510"/>
        <v>1189</v>
      </c>
      <c r="EE45" s="1572">
        <f>ED45+EE182-ED182</f>
        <v>1189</v>
      </c>
      <c r="EF45" s="1688">
        <f t="shared" si="511"/>
        <v>1189</v>
      </c>
      <c r="EG45" s="1572">
        <f>EB45+EG182-EB182</f>
        <v>1189</v>
      </c>
      <c r="EH45" s="1687">
        <f t="shared" si="512"/>
        <v>1189</v>
      </c>
      <c r="EI45" s="1613">
        <f>EB45+EI182-EB182</f>
        <v>1189</v>
      </c>
      <c r="EJ45" s="1572">
        <f>EI45+EJ182-EI182</f>
        <v>1189</v>
      </c>
      <c r="EK45" s="1687">
        <f t="shared" si="513"/>
        <v>1189</v>
      </c>
      <c r="EL45" s="1572">
        <f>EK45+EL182-EK182</f>
        <v>1189</v>
      </c>
      <c r="EM45" s="1688">
        <f t="shared" si="514"/>
        <v>1189</v>
      </c>
      <c r="EN45" s="1572">
        <f>EI45+EN182-EI182</f>
        <v>1189</v>
      </c>
      <c r="EO45" s="1687">
        <f t="shared" si="515"/>
        <v>1189</v>
      </c>
      <c r="EP45" s="1613">
        <f t="shared" ref="EP45" si="577">EI45+EP182-EI182</f>
        <v>1189</v>
      </c>
      <c r="EQ45" s="303"/>
      <c r="ER45" s="46"/>
    </row>
    <row r="46" spans="1:148" ht="10.199999999999999" customHeight="1">
      <c r="A46" s="43"/>
      <c r="B46" s="197"/>
      <c r="C46" s="197"/>
      <c r="D46" s="197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695"/>
      <c r="R46" s="158"/>
      <c r="S46" s="158"/>
      <c r="T46" s="1301"/>
      <c r="U46" s="158"/>
      <c r="V46" s="158"/>
      <c r="W46" s="158"/>
      <c r="X46" s="695"/>
      <c r="Y46" s="158"/>
      <c r="Z46" s="158"/>
      <c r="AA46" s="1301"/>
      <c r="AB46" s="158"/>
      <c r="AC46" s="158"/>
      <c r="AD46" s="158"/>
      <c r="AE46" s="695"/>
      <c r="AF46" s="158"/>
      <c r="AG46" s="158"/>
      <c r="AH46" s="1301"/>
      <c r="AI46" s="158"/>
      <c r="AJ46" s="158"/>
      <c r="AK46" s="158"/>
      <c r="AL46" s="695"/>
      <c r="AM46" s="158"/>
      <c r="AN46" s="158"/>
      <c r="AO46" s="1301"/>
      <c r="AP46" s="158"/>
      <c r="AQ46" s="158"/>
      <c r="AR46" s="158"/>
      <c r="AS46" s="695"/>
      <c r="AT46" s="158"/>
      <c r="AU46" s="158"/>
      <c r="AV46" s="1301"/>
      <c r="AW46" s="158"/>
      <c r="AX46" s="158"/>
      <c r="AY46" s="158"/>
      <c r="AZ46" s="695"/>
      <c r="BA46" s="158"/>
      <c r="BB46" s="158"/>
      <c r="BC46" s="1301"/>
      <c r="BD46" s="158"/>
      <c r="BE46" s="158"/>
      <c r="BF46" s="158"/>
      <c r="BG46" s="695"/>
      <c r="BH46" s="158"/>
      <c r="BI46" s="158"/>
      <c r="BJ46" s="1301"/>
      <c r="BK46" s="158"/>
      <c r="BL46" s="158"/>
      <c r="BM46" s="158"/>
      <c r="BN46" s="695"/>
      <c r="BO46" s="158"/>
      <c r="BP46" s="158"/>
      <c r="BQ46" s="1301"/>
      <c r="BR46" s="158"/>
      <c r="BS46" s="158"/>
      <c r="BT46" s="158"/>
      <c r="BU46" s="695"/>
      <c r="BV46" s="158"/>
      <c r="BW46" s="158"/>
      <c r="BX46" s="1301"/>
      <c r="BY46" s="158"/>
      <c r="BZ46" s="158"/>
      <c r="CA46" s="158"/>
      <c r="CB46" s="695"/>
      <c r="CC46" s="158"/>
      <c r="CD46" s="158"/>
      <c r="CE46" s="1301"/>
      <c r="CF46" s="158"/>
      <c r="CG46" s="158"/>
      <c r="CH46" s="158"/>
      <c r="CI46" s="695"/>
      <c r="CJ46" s="158"/>
      <c r="CK46" s="158"/>
      <c r="CL46" s="1301"/>
      <c r="CM46" s="158"/>
      <c r="CN46" s="158"/>
      <c r="CO46" s="158"/>
      <c r="CP46" s="695"/>
      <c r="CQ46" s="158"/>
      <c r="CR46" s="158"/>
      <c r="CS46" s="1301"/>
      <c r="CT46" s="158"/>
      <c r="CU46" s="158"/>
      <c r="CV46" s="158"/>
      <c r="CW46" s="695"/>
      <c r="CX46" s="158"/>
      <c r="CY46" s="158"/>
      <c r="CZ46" s="1301"/>
      <c r="DA46" s="158"/>
      <c r="DB46" s="158"/>
      <c r="DC46" s="158"/>
      <c r="DD46" s="695"/>
      <c r="DE46" s="158"/>
      <c r="DF46" s="158"/>
      <c r="DG46" s="1364"/>
      <c r="DH46" s="818"/>
      <c r="DI46" s="158"/>
      <c r="DJ46" s="18"/>
      <c r="DK46" s="695"/>
      <c r="DL46" s="2006"/>
      <c r="DM46" s="158"/>
      <c r="DN46" s="1503"/>
      <c r="DO46" s="18"/>
      <c r="DP46" s="327"/>
      <c r="DQ46" s="18"/>
      <c r="DR46" s="695"/>
      <c r="DS46" s="18"/>
      <c r="DT46" s="158"/>
      <c r="DU46" s="1503"/>
      <c r="DV46" s="18"/>
      <c r="DW46" s="327"/>
      <c r="DX46" s="18"/>
      <c r="DY46" s="695"/>
      <c r="DZ46" s="18"/>
      <c r="EA46" s="158"/>
      <c r="EB46" s="1503"/>
      <c r="EC46" s="18"/>
      <c r="ED46" s="327"/>
      <c r="EE46" s="18"/>
      <c r="EF46" s="695"/>
      <c r="EG46" s="18"/>
      <c r="EH46" s="158"/>
      <c r="EI46" s="1503"/>
      <c r="EJ46" s="18"/>
      <c r="EK46" s="327"/>
      <c r="EL46" s="18"/>
      <c r="EM46" s="695"/>
      <c r="EN46" s="18"/>
      <c r="EO46" s="158"/>
      <c r="EP46" s="1503"/>
      <c r="EQ46" s="303"/>
      <c r="ER46" s="46"/>
    </row>
    <row r="47" spans="1:148" ht="10.199999999999999" customHeight="1">
      <c r="A47" s="48" t="s">
        <v>267</v>
      </c>
      <c r="B47" s="119">
        <f>SUM(B37:B45)</f>
        <v>22538</v>
      </c>
      <c r="C47" s="119">
        <f>SUM(C37:C45)</f>
        <v>20641</v>
      </c>
      <c r="D47" s="119">
        <f>SUM(D37:D45)</f>
        <v>24960</v>
      </c>
      <c r="E47" s="119">
        <v>24880</v>
      </c>
      <c r="F47" s="119">
        <v>24739</v>
      </c>
      <c r="G47" s="119">
        <v>27769</v>
      </c>
      <c r="H47" s="119">
        <v>28213</v>
      </c>
      <c r="I47" s="119">
        <v>28302</v>
      </c>
      <c r="J47" s="119">
        <v>27287</v>
      </c>
      <c r="K47" s="119">
        <v>30481</v>
      </c>
      <c r="L47" s="119">
        <v>32115</v>
      </c>
      <c r="M47" s="119">
        <v>33020</v>
      </c>
      <c r="N47" s="119"/>
      <c r="O47" s="119"/>
      <c r="P47" s="119"/>
      <c r="Q47" s="702"/>
      <c r="R47" s="119"/>
      <c r="S47" s="119"/>
      <c r="T47" s="349">
        <v>33017</v>
      </c>
      <c r="U47" s="119">
        <v>33505</v>
      </c>
      <c r="V47" s="119">
        <f>SUM(V37:V45)</f>
        <v>34278</v>
      </c>
      <c r="W47" s="119">
        <v>36810</v>
      </c>
      <c r="X47" s="702">
        <f t="shared" ref="X47" si="578">SUM(X37:X45)</f>
        <v>40846</v>
      </c>
      <c r="Y47" s="119">
        <v>34278</v>
      </c>
      <c r="Z47" s="119">
        <f t="shared" ref="Z47" si="579">SUM(Z37:Z45)</f>
        <v>40846</v>
      </c>
      <c r="AA47" s="349">
        <v>40846</v>
      </c>
      <c r="AB47" s="119">
        <v>50202</v>
      </c>
      <c r="AC47" s="119">
        <f>SUM(AC37:AC45)</f>
        <v>46541</v>
      </c>
      <c r="AD47" s="119">
        <v>46170</v>
      </c>
      <c r="AE47" s="702">
        <f t="shared" ref="AE47" si="580">SUM(AE37:AE45)</f>
        <v>46700</v>
      </c>
      <c r="AF47" s="119">
        <v>46541</v>
      </c>
      <c r="AG47" s="119">
        <f t="shared" ref="AG47" si="581">SUM(AG37:AG45)</f>
        <v>46700</v>
      </c>
      <c r="AH47" s="349">
        <v>46700</v>
      </c>
      <c r="AI47" s="119">
        <v>44526</v>
      </c>
      <c r="AJ47" s="119">
        <f>SUM(AJ37:AJ45)</f>
        <v>48550</v>
      </c>
      <c r="AK47" s="119">
        <v>48564</v>
      </c>
      <c r="AL47" s="702">
        <f t="shared" ref="AL47" si="582">SUM(AL37:AL45)</f>
        <v>50789</v>
      </c>
      <c r="AM47" s="119">
        <v>48550</v>
      </c>
      <c r="AN47" s="119">
        <f t="shared" ref="AN47" si="583">SUM(AN37:AN45)</f>
        <v>50789</v>
      </c>
      <c r="AO47" s="349">
        <v>50789</v>
      </c>
      <c r="AP47" s="119">
        <v>49781</v>
      </c>
      <c r="AQ47" s="119">
        <f>SUM(AQ37:AQ45)</f>
        <v>48188</v>
      </c>
      <c r="AR47" s="119">
        <v>47307</v>
      </c>
      <c r="AS47" s="702">
        <f t="shared" ref="AS47" si="584">SUM(AS37:AS45)</f>
        <v>44455</v>
      </c>
      <c r="AT47" s="119">
        <v>48188</v>
      </c>
      <c r="AU47" s="119">
        <f t="shared" ref="AU47" si="585">SUM(AU37:AU45)</f>
        <v>44455</v>
      </c>
      <c r="AV47" s="349">
        <v>44455</v>
      </c>
      <c r="AW47" s="119"/>
      <c r="AX47" s="119"/>
      <c r="AY47" s="119"/>
      <c r="AZ47" s="702"/>
      <c r="BA47" s="119"/>
      <c r="BB47" s="119"/>
      <c r="BC47" s="349">
        <v>42822</v>
      </c>
      <c r="BD47" s="119">
        <v>41330</v>
      </c>
      <c r="BE47" s="119">
        <f>SUM(BE37:BE45)</f>
        <v>40054</v>
      </c>
      <c r="BF47" s="119">
        <v>44910</v>
      </c>
      <c r="BG47" s="702">
        <f t="shared" ref="BG47" si="586">SUM(BG37:BG45)</f>
        <v>44693</v>
      </c>
      <c r="BH47" s="119">
        <v>40054</v>
      </c>
      <c r="BI47" s="119">
        <f t="shared" ref="BI47" si="587">SUM(BI37:BI45)</f>
        <v>44693</v>
      </c>
      <c r="BJ47" s="349">
        <v>44693</v>
      </c>
      <c r="BK47" s="119">
        <v>46371</v>
      </c>
      <c r="BL47" s="119">
        <f>SUM(BL37:BL45)</f>
        <v>48532</v>
      </c>
      <c r="BM47" s="119">
        <v>53182</v>
      </c>
      <c r="BN47" s="702">
        <f t="shared" ref="BN47" si="588">SUM(BN37:BN45)</f>
        <v>46045</v>
      </c>
      <c r="BO47" s="119">
        <v>48532</v>
      </c>
      <c r="BP47" s="119">
        <f t="shared" ref="BP47" si="589">SUM(BP37:BP45)</f>
        <v>46045</v>
      </c>
      <c r="BQ47" s="349">
        <v>46045</v>
      </c>
      <c r="BR47" s="119">
        <v>46104</v>
      </c>
      <c r="BS47" s="119">
        <f>SUM(BS37:BS45)</f>
        <v>52149</v>
      </c>
      <c r="BT47" s="119">
        <v>54040</v>
      </c>
      <c r="BU47" s="702">
        <f t="shared" ref="BU47" si="590">SUM(BU37:BU45)</f>
        <v>53868</v>
      </c>
      <c r="BV47" s="119">
        <v>52149</v>
      </c>
      <c r="BW47" s="119">
        <f t="shared" ref="BW47" si="591">SUM(BW37:BW45)</f>
        <v>53868</v>
      </c>
      <c r="BX47" s="349">
        <v>53868</v>
      </c>
      <c r="BY47" s="119">
        <v>50741</v>
      </c>
      <c r="BZ47" s="119">
        <f>SUM(BZ37:BZ45)</f>
        <v>48823</v>
      </c>
      <c r="CA47" s="119">
        <v>48896</v>
      </c>
      <c r="CB47" s="702">
        <f t="shared" ref="CB47" si="592">SUM(CB37:CB45)</f>
        <v>49754</v>
      </c>
      <c r="CC47" s="119">
        <v>48823</v>
      </c>
      <c r="CD47" s="119">
        <f t="shared" ref="CD47" si="593">SUM(CD37:CD45)</f>
        <v>49754</v>
      </c>
      <c r="CE47" s="349">
        <v>49754</v>
      </c>
      <c r="CF47" s="119">
        <v>48837</v>
      </c>
      <c r="CG47" s="119">
        <f>SUM(CG37:CG45)</f>
        <v>49689</v>
      </c>
      <c r="CH47" s="119">
        <v>54586</v>
      </c>
      <c r="CI47" s="702">
        <f t="shared" ref="CI47" si="594">SUM(CI37:CI45)</f>
        <v>50367</v>
      </c>
      <c r="CJ47" s="119">
        <v>49689</v>
      </c>
      <c r="CK47" s="119">
        <f t="shared" ref="CK47" si="595">SUM(CK37:CK45)</f>
        <v>50367</v>
      </c>
      <c r="CL47" s="349">
        <v>50367</v>
      </c>
      <c r="CM47" s="119">
        <v>48429</v>
      </c>
      <c r="CN47" s="119">
        <f>SUM(CN37:CN45)</f>
        <v>49404</v>
      </c>
      <c r="CO47" s="119">
        <v>49039</v>
      </c>
      <c r="CP47" s="702">
        <f t="shared" ref="CP47" si="596">SUM(CP37:CP45)</f>
        <v>47391</v>
      </c>
      <c r="CQ47" s="119">
        <v>49404</v>
      </c>
      <c r="CR47" s="119">
        <f t="shared" ref="CR47" si="597">SUM(CR37:CR45)</f>
        <v>47391</v>
      </c>
      <c r="CS47" s="349">
        <v>47391</v>
      </c>
      <c r="CT47" s="119">
        <v>47082</v>
      </c>
      <c r="CU47" s="119">
        <f>SUM(CU37:CU45)</f>
        <v>47352</v>
      </c>
      <c r="CV47" s="119">
        <v>47267</v>
      </c>
      <c r="CW47" s="702">
        <f t="shared" ref="CW47" si="598">SUM(CW37:CW45)</f>
        <v>48894</v>
      </c>
      <c r="CX47" s="119">
        <v>47352</v>
      </c>
      <c r="CY47" s="119">
        <f t="shared" ref="CY47" si="599">SUM(CY37:CY45)</f>
        <v>48894</v>
      </c>
      <c r="CZ47" s="349">
        <v>48894</v>
      </c>
      <c r="DA47" s="119">
        <v>48809</v>
      </c>
      <c r="DB47" s="119">
        <f>SUM(DB37:DB45)</f>
        <v>45758</v>
      </c>
      <c r="DC47" s="119">
        <v>44953</v>
      </c>
      <c r="DD47" s="702">
        <f t="shared" ref="DD47" si="600">SUM(DD37:DD45)</f>
        <v>45244</v>
      </c>
      <c r="DE47" s="2098">
        <v>45758</v>
      </c>
      <c r="DF47" s="119">
        <f t="shared" ref="DF47" si="601">SUM(DF37:DF45)</f>
        <v>45244</v>
      </c>
      <c r="DG47" s="1355">
        <v>45244</v>
      </c>
      <c r="DH47" s="24">
        <v>45223</v>
      </c>
      <c r="DI47" s="119">
        <f>SUM(DI37:DI45)</f>
        <v>46935</v>
      </c>
      <c r="DJ47" s="464">
        <f t="shared" ref="DJ47:DM47" si="602">SUM(DJ37:DJ45)</f>
        <v>45470.52894782956</v>
      </c>
      <c r="DK47" s="465">
        <f t="shared" si="602"/>
        <v>46067.775460924706</v>
      </c>
      <c r="DL47" s="2008">
        <v>46935</v>
      </c>
      <c r="DM47" s="464">
        <f t="shared" si="602"/>
        <v>46067.775460924706</v>
      </c>
      <c r="DN47" s="1614">
        <f t="shared" ref="DN47:EP47" si="603">SUM(DN37:DN45)</f>
        <v>46067.775460924706</v>
      </c>
      <c r="DO47" s="464">
        <f t="shared" si="603"/>
        <v>43931.777139073602</v>
      </c>
      <c r="DP47" s="462">
        <f>SUM(DP37:DP45)</f>
        <v>45235.299104435253</v>
      </c>
      <c r="DQ47" s="464">
        <f t="shared" ref="DQ47:DT47" si="604">SUM(DQ37:DQ45)</f>
        <v>46408.431593789777</v>
      </c>
      <c r="DR47" s="465">
        <f t="shared" si="604"/>
        <v>46720.751498545193</v>
      </c>
      <c r="DS47" s="464">
        <f t="shared" si="604"/>
        <v>45235.299104435253</v>
      </c>
      <c r="DT47" s="464">
        <f t="shared" si="604"/>
        <v>46720.751498545193</v>
      </c>
      <c r="DU47" s="1614">
        <f t="shared" si="603"/>
        <v>46720.751498545193</v>
      </c>
      <c r="DV47" s="464">
        <f t="shared" si="603"/>
        <v>44298.654742667495</v>
      </c>
      <c r="DW47" s="462">
        <f>SUM(DW37:DW45)</f>
        <v>45630.031311509279</v>
      </c>
      <c r="DX47" s="464">
        <f t="shared" ref="DX47:EA47" si="605">SUM(DX37:DX45)</f>
        <v>46833.986423139606</v>
      </c>
      <c r="DY47" s="465">
        <f t="shared" si="605"/>
        <v>47217.164225316061</v>
      </c>
      <c r="DZ47" s="464">
        <f t="shared" si="605"/>
        <v>45630.031311509279</v>
      </c>
      <c r="EA47" s="464">
        <f t="shared" si="605"/>
        <v>47217.164225316061</v>
      </c>
      <c r="EB47" s="1614">
        <f t="shared" si="603"/>
        <v>47217.164225316061</v>
      </c>
      <c r="EC47" s="464">
        <f t="shared" si="603"/>
        <v>45732.588809273322</v>
      </c>
      <c r="ED47" s="462">
        <f>SUM(ED37:ED45)</f>
        <v>46640.829248565431</v>
      </c>
      <c r="EE47" s="464">
        <f t="shared" ref="EE47:EH47" si="606">SUM(EE37:EE45)</f>
        <v>47417.035148836876</v>
      </c>
      <c r="EF47" s="465">
        <f t="shared" si="606"/>
        <v>48039.728010741565</v>
      </c>
      <c r="EG47" s="464">
        <f t="shared" si="606"/>
        <v>46640.829248565431</v>
      </c>
      <c r="EH47" s="464">
        <f t="shared" si="606"/>
        <v>48039.728010741565</v>
      </c>
      <c r="EI47" s="1614">
        <f t="shared" si="603"/>
        <v>48039.728010741565</v>
      </c>
      <c r="EJ47" s="464">
        <f t="shared" si="603"/>
        <v>46416.189200857487</v>
      </c>
      <c r="EK47" s="462">
        <f>SUM(EK37:EK45)</f>
        <v>47362.471246782326</v>
      </c>
      <c r="EL47" s="464">
        <f t="shared" ref="EL47:EO47" si="607">SUM(EL37:EL45)</f>
        <v>48171.846627487634</v>
      </c>
      <c r="EM47" s="465">
        <f t="shared" si="607"/>
        <v>48810.315753206181</v>
      </c>
      <c r="EN47" s="464">
        <f t="shared" si="607"/>
        <v>47362.471246782326</v>
      </c>
      <c r="EO47" s="464">
        <f t="shared" si="607"/>
        <v>48810.315753206181</v>
      </c>
      <c r="EP47" s="1614">
        <f t="shared" si="603"/>
        <v>48810.315753206181</v>
      </c>
      <c r="EQ47" s="303"/>
      <c r="ER47" s="46"/>
    </row>
    <row r="48" spans="1:148" ht="10.199999999999999" customHeight="1">
      <c r="A48" s="43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695"/>
      <c r="R48" s="158"/>
      <c r="S48" s="158"/>
      <c r="T48" s="1301"/>
      <c r="U48" s="158"/>
      <c r="V48" s="158"/>
      <c r="W48" s="158"/>
      <c r="X48" s="695"/>
      <c r="Y48" s="158"/>
      <c r="Z48" s="158"/>
      <c r="AA48" s="1301"/>
      <c r="AB48" s="158"/>
      <c r="AC48" s="158"/>
      <c r="AD48" s="158"/>
      <c r="AE48" s="695"/>
      <c r="AF48" s="158"/>
      <c r="AG48" s="158"/>
      <c r="AH48" s="1301"/>
      <c r="AI48" s="158"/>
      <c r="AJ48" s="158"/>
      <c r="AK48" s="158"/>
      <c r="AL48" s="695"/>
      <c r="AM48" s="158"/>
      <c r="AN48" s="158"/>
      <c r="AO48" s="1301"/>
      <c r="AP48" s="158"/>
      <c r="AQ48" s="158"/>
      <c r="AR48" s="158"/>
      <c r="AS48" s="695"/>
      <c r="AT48" s="158"/>
      <c r="AU48" s="158"/>
      <c r="AV48" s="1301"/>
      <c r="AW48" s="158"/>
      <c r="AX48" s="158"/>
      <c r="AY48" s="158"/>
      <c r="AZ48" s="695"/>
      <c r="BA48" s="158"/>
      <c r="BB48" s="158"/>
      <c r="BC48" s="1301"/>
      <c r="BD48" s="158"/>
      <c r="BE48" s="158"/>
      <c r="BF48" s="158"/>
      <c r="BG48" s="695"/>
      <c r="BH48" s="158"/>
      <c r="BI48" s="158"/>
      <c r="BJ48" s="1301"/>
      <c r="BK48" s="158"/>
      <c r="BL48" s="158"/>
      <c r="BM48" s="158"/>
      <c r="BN48" s="695"/>
      <c r="BO48" s="158"/>
      <c r="BP48" s="158"/>
      <c r="BQ48" s="1301"/>
      <c r="BR48" s="158"/>
      <c r="BS48" s="158"/>
      <c r="BT48" s="158"/>
      <c r="BU48" s="695"/>
      <c r="BV48" s="158"/>
      <c r="BW48" s="158"/>
      <c r="BX48" s="1301"/>
      <c r="BY48" s="158"/>
      <c r="BZ48" s="158"/>
      <c r="CA48" s="158"/>
      <c r="CB48" s="695"/>
      <c r="CC48" s="158"/>
      <c r="CD48" s="158"/>
      <c r="CE48" s="1301"/>
      <c r="CF48" s="158"/>
      <c r="CG48" s="158"/>
      <c r="CH48" s="158"/>
      <c r="CI48" s="695"/>
      <c r="CJ48" s="158"/>
      <c r="CK48" s="158"/>
      <c r="CL48" s="1301"/>
      <c r="CM48" s="158"/>
      <c r="CN48" s="158"/>
      <c r="CO48" s="158"/>
      <c r="CP48" s="695"/>
      <c r="CQ48" s="158"/>
      <c r="CR48" s="158"/>
      <c r="CS48" s="1301"/>
      <c r="CT48" s="158"/>
      <c r="CU48" s="158"/>
      <c r="CV48" s="158"/>
      <c r="CW48" s="695"/>
      <c r="CX48" s="158"/>
      <c r="CY48" s="158"/>
      <c r="CZ48" s="1301"/>
      <c r="DA48" s="819"/>
      <c r="DB48" s="158"/>
      <c r="DC48" s="819"/>
      <c r="DD48" s="695"/>
      <c r="DE48" s="158"/>
      <c r="DF48" s="158"/>
      <c r="DG48" s="1364"/>
      <c r="DH48" s="818"/>
      <c r="DI48" s="158"/>
      <c r="DJ48" s="819"/>
      <c r="DK48" s="695"/>
      <c r="DL48" s="2006"/>
      <c r="DM48" s="158"/>
      <c r="DN48" s="1544"/>
      <c r="DO48" s="819"/>
      <c r="DP48" s="327"/>
      <c r="DQ48" s="819"/>
      <c r="DR48" s="695"/>
      <c r="DS48" s="819"/>
      <c r="DT48" s="158"/>
      <c r="DU48" s="1544"/>
      <c r="DV48" s="819"/>
      <c r="DW48" s="327"/>
      <c r="DX48" s="819"/>
      <c r="DY48" s="695"/>
      <c r="DZ48" s="819"/>
      <c r="EA48" s="158"/>
      <c r="EB48" s="1544"/>
      <c r="EC48" s="819"/>
      <c r="ED48" s="327"/>
      <c r="EE48" s="819"/>
      <c r="EF48" s="695"/>
      <c r="EG48" s="819"/>
      <c r="EH48" s="158"/>
      <c r="EI48" s="1544"/>
      <c r="EJ48" s="819"/>
      <c r="EK48" s="327"/>
      <c r="EL48" s="819"/>
      <c r="EM48" s="695"/>
      <c r="EN48" s="819"/>
      <c r="EO48" s="158"/>
      <c r="EP48" s="1544"/>
      <c r="EQ48" s="303"/>
      <c r="ER48" s="46"/>
    </row>
    <row r="49" spans="1:148" ht="10.199999999999999" customHeight="1">
      <c r="A49" s="48" t="s">
        <v>269</v>
      </c>
      <c r="B49" s="119">
        <f t="shared" ref="B49:EP49" si="608">B35+B47</f>
        <v>38279</v>
      </c>
      <c r="C49" s="119">
        <f t="shared" si="608"/>
        <v>32128</v>
      </c>
      <c r="D49" s="119">
        <f t="shared" si="608"/>
        <v>36050</v>
      </c>
      <c r="E49" s="119">
        <f t="shared" si="608"/>
        <v>51809</v>
      </c>
      <c r="F49" s="119">
        <f t="shared" si="608"/>
        <v>56483</v>
      </c>
      <c r="G49" s="119">
        <f t="shared" si="608"/>
        <v>58985</v>
      </c>
      <c r="H49" s="119">
        <f t="shared" si="608"/>
        <v>62281</v>
      </c>
      <c r="I49" s="119">
        <f t="shared" si="608"/>
        <v>65027</v>
      </c>
      <c r="J49" s="119">
        <f t="shared" si="608"/>
        <v>69663</v>
      </c>
      <c r="K49" s="119">
        <f t="shared" si="608"/>
        <v>74251</v>
      </c>
      <c r="L49" s="119">
        <f t="shared" si="608"/>
        <v>79617</v>
      </c>
      <c r="M49" s="119">
        <f t="shared" si="608"/>
        <v>81668</v>
      </c>
      <c r="N49" s="119"/>
      <c r="O49" s="119"/>
      <c r="P49" s="119"/>
      <c r="Q49" s="702"/>
      <c r="R49" s="119"/>
      <c r="S49" s="119"/>
      <c r="T49" s="349">
        <f t="shared" si="608"/>
        <v>79368</v>
      </c>
      <c r="U49" s="119">
        <f t="shared" ref="U49:X49" si="609">U35+U47</f>
        <v>79497</v>
      </c>
      <c r="V49" s="119">
        <f t="shared" si="609"/>
        <v>80233</v>
      </c>
      <c r="W49" s="119">
        <f t="shared" si="609"/>
        <v>82570</v>
      </c>
      <c r="X49" s="702">
        <f t="shared" si="609"/>
        <v>89023</v>
      </c>
      <c r="Y49" s="119">
        <f t="shared" ref="Y49:Z49" si="610">Y35+Y47</f>
        <v>80233</v>
      </c>
      <c r="Z49" s="119">
        <f t="shared" si="610"/>
        <v>89023</v>
      </c>
      <c r="AA49" s="349">
        <f t="shared" si="608"/>
        <v>89023</v>
      </c>
      <c r="AB49" s="119">
        <f t="shared" ref="AB49:AE49" si="611">AB35+AB47</f>
        <v>102477</v>
      </c>
      <c r="AC49" s="119">
        <f t="shared" si="611"/>
        <v>97430</v>
      </c>
      <c r="AD49" s="119">
        <f t="shared" si="611"/>
        <v>98593</v>
      </c>
      <c r="AE49" s="702">
        <f t="shared" si="611"/>
        <v>100708</v>
      </c>
      <c r="AF49" s="119">
        <f t="shared" ref="AF49:AG49" si="612">AF35+AF47</f>
        <v>97430</v>
      </c>
      <c r="AG49" s="119">
        <f t="shared" si="612"/>
        <v>100708</v>
      </c>
      <c r="AH49" s="349">
        <f t="shared" si="608"/>
        <v>100708</v>
      </c>
      <c r="AI49" s="119">
        <f t="shared" ref="AI49:AL49" si="613">AI35+AI47</f>
        <v>101527</v>
      </c>
      <c r="AJ49" s="119">
        <f t="shared" si="613"/>
        <v>103429</v>
      </c>
      <c r="AK49" s="119">
        <f t="shared" si="613"/>
        <v>103110</v>
      </c>
      <c r="AL49" s="702">
        <f t="shared" si="613"/>
        <v>107481</v>
      </c>
      <c r="AM49" s="119">
        <f t="shared" ref="AM49:AN49" si="614">AM35+AM47</f>
        <v>103429</v>
      </c>
      <c r="AN49" s="119">
        <f t="shared" si="614"/>
        <v>107481</v>
      </c>
      <c r="AO49" s="349">
        <f t="shared" si="608"/>
        <v>107481</v>
      </c>
      <c r="AP49" s="119">
        <f t="shared" ref="AP49:AS49" si="615">AP35+AP47</f>
        <v>108157</v>
      </c>
      <c r="AQ49" s="119">
        <f t="shared" si="615"/>
        <v>104389</v>
      </c>
      <c r="AR49" s="119">
        <f t="shared" si="615"/>
        <v>101964</v>
      </c>
      <c r="AS49" s="702">
        <f t="shared" si="615"/>
        <v>100586</v>
      </c>
      <c r="AT49" s="119">
        <f t="shared" ref="AT49:AU49" si="616">AT35+AT47</f>
        <v>104389</v>
      </c>
      <c r="AU49" s="119">
        <f t="shared" si="616"/>
        <v>100586</v>
      </c>
      <c r="AV49" s="349">
        <f t="shared" si="608"/>
        <v>100586</v>
      </c>
      <c r="AW49" s="119"/>
      <c r="AX49" s="119"/>
      <c r="AY49" s="119"/>
      <c r="AZ49" s="702"/>
      <c r="BA49" s="119"/>
      <c r="BB49" s="119"/>
      <c r="BC49" s="349">
        <f t="shared" si="608"/>
        <v>98707</v>
      </c>
      <c r="BD49" s="119">
        <f t="shared" ref="BD49:BG49" si="617">BD35+BD47</f>
        <v>100411</v>
      </c>
      <c r="BE49" s="119">
        <f t="shared" si="617"/>
        <v>99096</v>
      </c>
      <c r="BF49" s="119">
        <f t="shared" si="617"/>
        <v>106520</v>
      </c>
      <c r="BG49" s="702">
        <f t="shared" si="617"/>
        <v>105479</v>
      </c>
      <c r="BH49" s="119">
        <f t="shared" ref="BH49:BI49" si="618">BH35+BH47</f>
        <v>99096</v>
      </c>
      <c r="BI49" s="119">
        <f t="shared" si="618"/>
        <v>105479</v>
      </c>
      <c r="BJ49" s="349">
        <f t="shared" si="608"/>
        <v>105479</v>
      </c>
      <c r="BK49" s="119">
        <f t="shared" ref="BK49:BN49" si="619">BK35+BK47</f>
        <v>108557</v>
      </c>
      <c r="BL49" s="119">
        <f t="shared" si="619"/>
        <v>105024</v>
      </c>
      <c r="BM49" s="119">
        <f t="shared" si="619"/>
        <v>109562</v>
      </c>
      <c r="BN49" s="702">
        <f t="shared" si="619"/>
        <v>108419</v>
      </c>
      <c r="BO49" s="119">
        <f t="shared" ref="BO49:BP49" si="620">BO35+BO47</f>
        <v>105024</v>
      </c>
      <c r="BP49" s="119">
        <f t="shared" si="620"/>
        <v>108419</v>
      </c>
      <c r="BQ49" s="349">
        <f t="shared" si="608"/>
        <v>108419</v>
      </c>
      <c r="BR49" s="119">
        <f t="shared" ref="BR49:BU49" si="621">BR35+BR47</f>
        <v>110475</v>
      </c>
      <c r="BS49" s="119">
        <f t="shared" si="621"/>
        <v>111540</v>
      </c>
      <c r="BT49" s="119">
        <f t="shared" si="621"/>
        <v>111382</v>
      </c>
      <c r="BU49" s="702">
        <f t="shared" si="621"/>
        <v>103639</v>
      </c>
      <c r="BV49" s="119">
        <f t="shared" ref="BV49:BW49" si="622">BV35+BV47</f>
        <v>111540</v>
      </c>
      <c r="BW49" s="119">
        <f t="shared" si="622"/>
        <v>103639</v>
      </c>
      <c r="BX49" s="349">
        <f t="shared" si="608"/>
        <v>103639</v>
      </c>
      <c r="BY49" s="119">
        <f t="shared" ref="BY49:CB49" si="623">BY35+BY47</f>
        <v>104179</v>
      </c>
      <c r="BZ49" s="119">
        <f t="shared" si="623"/>
        <v>98145</v>
      </c>
      <c r="CA49" s="119">
        <f t="shared" si="623"/>
        <v>99392</v>
      </c>
      <c r="CB49" s="702">
        <f t="shared" si="623"/>
        <v>97561</v>
      </c>
      <c r="CC49" s="119">
        <f t="shared" ref="CC49:CD49" si="624">CC35+CC47</f>
        <v>98145</v>
      </c>
      <c r="CD49" s="119">
        <f t="shared" si="624"/>
        <v>97561</v>
      </c>
      <c r="CE49" s="349">
        <f t="shared" si="608"/>
        <v>97561</v>
      </c>
      <c r="CF49" s="119">
        <f t="shared" ref="CF49:CI49" si="625">CF35+CF47</f>
        <v>99262</v>
      </c>
      <c r="CG49" s="119">
        <f t="shared" si="625"/>
        <v>104938</v>
      </c>
      <c r="CH49" s="119">
        <f t="shared" si="625"/>
        <v>114947</v>
      </c>
      <c r="CI49" s="702">
        <f t="shared" si="625"/>
        <v>102962</v>
      </c>
      <c r="CJ49" s="119">
        <f t="shared" ref="CJ49:CK49" si="626">CJ35+CJ47</f>
        <v>104938</v>
      </c>
      <c r="CK49" s="119">
        <f t="shared" si="626"/>
        <v>102962</v>
      </c>
      <c r="CL49" s="349">
        <f t="shared" si="608"/>
        <v>102962</v>
      </c>
      <c r="CM49" s="119">
        <f t="shared" ref="CM49:CP49" si="627">CM35+CM47</f>
        <v>103492</v>
      </c>
      <c r="CN49" s="119">
        <f t="shared" si="627"/>
        <v>103933</v>
      </c>
      <c r="CO49" s="119">
        <f t="shared" si="627"/>
        <v>105799</v>
      </c>
      <c r="CP49" s="702">
        <f t="shared" si="627"/>
        <v>101141</v>
      </c>
      <c r="CQ49" s="119">
        <f t="shared" ref="CQ49:CR49" si="628">CQ35+CQ47</f>
        <v>103933</v>
      </c>
      <c r="CR49" s="119">
        <f t="shared" si="628"/>
        <v>101141</v>
      </c>
      <c r="CS49" s="349">
        <f t="shared" si="608"/>
        <v>101141</v>
      </c>
      <c r="CT49" s="119">
        <f t="shared" ref="CT49:CW49" si="629">CT35+CT47</f>
        <v>104297</v>
      </c>
      <c r="CU49" s="119">
        <f t="shared" si="629"/>
        <v>106460</v>
      </c>
      <c r="CV49" s="119">
        <f t="shared" si="629"/>
        <v>104934</v>
      </c>
      <c r="CW49" s="702">
        <f t="shared" si="629"/>
        <v>109517</v>
      </c>
      <c r="CX49" s="119">
        <f t="shared" ref="CX49:CY49" si="630">CX35+CX47</f>
        <v>106460</v>
      </c>
      <c r="CY49" s="119">
        <f t="shared" si="630"/>
        <v>109517</v>
      </c>
      <c r="CZ49" s="349">
        <f t="shared" ref="CZ49:DB49" si="631">CZ35+CZ47</f>
        <v>109517</v>
      </c>
      <c r="DA49" s="119">
        <f t="shared" si="631"/>
        <v>110310</v>
      </c>
      <c r="DB49" s="119">
        <f t="shared" si="631"/>
        <v>105892</v>
      </c>
      <c r="DC49" s="119">
        <v>105974</v>
      </c>
      <c r="DD49" s="702">
        <f t="shared" ref="DD49:DG49" si="632">DD35+DD47</f>
        <v>108755</v>
      </c>
      <c r="DE49" s="119">
        <f t="shared" si="632"/>
        <v>105892</v>
      </c>
      <c r="DF49" s="119">
        <f t="shared" si="632"/>
        <v>108755</v>
      </c>
      <c r="DG49" s="1355">
        <f t="shared" si="632"/>
        <v>108755</v>
      </c>
      <c r="DH49" s="24">
        <f t="shared" si="608"/>
        <v>112521</v>
      </c>
      <c r="DI49" s="119">
        <f t="shared" si="608"/>
        <v>113040</v>
      </c>
      <c r="DJ49" s="464">
        <f t="shared" si="608"/>
        <v>105735.10366260476</v>
      </c>
      <c r="DK49" s="465">
        <f t="shared" si="608"/>
        <v>111946.09742642363</v>
      </c>
      <c r="DL49" s="2008">
        <f t="shared" ref="DL49" si="633">DL35+DL47</f>
        <v>113040</v>
      </c>
      <c r="DM49" s="464">
        <f t="shared" si="608"/>
        <v>111946.09742642363</v>
      </c>
      <c r="DN49" s="1614">
        <f t="shared" si="608"/>
        <v>111946.09742642363</v>
      </c>
      <c r="DO49" s="464">
        <f t="shared" si="608"/>
        <v>107188.06522602196</v>
      </c>
      <c r="DP49" s="462">
        <f t="shared" si="608"/>
        <v>111146.5550675478</v>
      </c>
      <c r="DQ49" s="464">
        <f t="shared" si="608"/>
        <v>114701.5805710019</v>
      </c>
      <c r="DR49" s="465">
        <f t="shared" si="608"/>
        <v>115592.99248933714</v>
      </c>
      <c r="DS49" s="464">
        <f t="shared" si="608"/>
        <v>111146.5550675478</v>
      </c>
      <c r="DT49" s="464">
        <f t="shared" si="608"/>
        <v>115592.99248933714</v>
      </c>
      <c r="DU49" s="1614">
        <f t="shared" si="608"/>
        <v>115592.99248933714</v>
      </c>
      <c r="DV49" s="464">
        <f t="shared" si="608"/>
        <v>109594.44930665974</v>
      </c>
      <c r="DW49" s="462">
        <f t="shared" si="608"/>
        <v>113721.03681560911</v>
      </c>
      <c r="DX49" s="464">
        <f t="shared" si="608"/>
        <v>117445.50488253051</v>
      </c>
      <c r="DY49" s="465">
        <f t="shared" si="608"/>
        <v>118579.74583284394</v>
      </c>
      <c r="DZ49" s="464">
        <f t="shared" si="608"/>
        <v>113721.03681560911</v>
      </c>
      <c r="EA49" s="464">
        <f t="shared" si="608"/>
        <v>118579.74583284394</v>
      </c>
      <c r="EB49" s="1614">
        <f t="shared" si="608"/>
        <v>118579.74583284394</v>
      </c>
      <c r="EC49" s="464">
        <f t="shared" si="608"/>
        <v>114220.37797178645</v>
      </c>
      <c r="ED49" s="462">
        <f t="shared" si="608"/>
        <v>117025.11541364659</v>
      </c>
      <c r="EE49" s="464">
        <f t="shared" si="608"/>
        <v>119411.21392556334</v>
      </c>
      <c r="EF49" s="465">
        <f t="shared" si="608"/>
        <v>121310.57211490316</v>
      </c>
      <c r="EG49" s="464">
        <f t="shared" si="608"/>
        <v>117025.11541364659</v>
      </c>
      <c r="EH49" s="464">
        <f t="shared" si="608"/>
        <v>121310.57211490316</v>
      </c>
      <c r="EI49" s="1614">
        <f t="shared" si="608"/>
        <v>121310.57211490316</v>
      </c>
      <c r="EJ49" s="464">
        <f t="shared" si="608"/>
        <v>116298.16682154711</v>
      </c>
      <c r="EK49" s="462">
        <f t="shared" si="608"/>
        <v>119230.71796356792</v>
      </c>
      <c r="EL49" s="464">
        <f t="shared" si="608"/>
        <v>121728.14112328738</v>
      </c>
      <c r="EM49" s="465">
        <f t="shared" si="608"/>
        <v>123682.37601839006</v>
      </c>
      <c r="EN49" s="464">
        <f t="shared" si="608"/>
        <v>119230.71796356792</v>
      </c>
      <c r="EO49" s="464">
        <f t="shared" si="608"/>
        <v>123682.37601839006</v>
      </c>
      <c r="EP49" s="1614">
        <f t="shared" si="608"/>
        <v>123682.37601839006</v>
      </c>
      <c r="EQ49" s="303"/>
      <c r="ER49" s="46"/>
    </row>
    <row r="50" spans="1:148" ht="10.199999999999999" customHeight="1">
      <c r="A50" s="43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695"/>
      <c r="R50" s="158"/>
      <c r="S50" s="158"/>
      <c r="T50" s="1301"/>
      <c r="U50" s="158"/>
      <c r="V50" s="158"/>
      <c r="W50" s="158"/>
      <c r="X50" s="695"/>
      <c r="Y50" s="158"/>
      <c r="Z50" s="158"/>
      <c r="AA50" s="1301"/>
      <c r="AB50" s="158"/>
      <c r="AC50" s="158"/>
      <c r="AD50" s="158"/>
      <c r="AE50" s="695"/>
      <c r="AF50" s="158"/>
      <c r="AG50" s="158"/>
      <c r="AH50" s="1301"/>
      <c r="AI50" s="158"/>
      <c r="AJ50" s="158"/>
      <c r="AK50" s="158"/>
      <c r="AL50" s="695"/>
      <c r="AM50" s="158"/>
      <c r="AN50" s="158"/>
      <c r="AO50" s="1301"/>
      <c r="AP50" s="158"/>
      <c r="AQ50" s="158"/>
      <c r="AR50" s="158"/>
      <c r="AS50" s="695"/>
      <c r="AT50" s="158"/>
      <c r="AU50" s="158"/>
      <c r="AV50" s="1301"/>
      <c r="AW50" s="158"/>
      <c r="AX50" s="158"/>
      <c r="AY50" s="158"/>
      <c r="AZ50" s="695"/>
      <c r="BA50" s="158"/>
      <c r="BB50" s="158"/>
      <c r="BC50" s="1301"/>
      <c r="BD50" s="158"/>
      <c r="BE50" s="158"/>
      <c r="BF50" s="158"/>
      <c r="BG50" s="695"/>
      <c r="BH50" s="158"/>
      <c r="BI50" s="158"/>
      <c r="BJ50" s="1301"/>
      <c r="BK50" s="158"/>
      <c r="BL50" s="158"/>
      <c r="BM50" s="158"/>
      <c r="BN50" s="695"/>
      <c r="BO50" s="158"/>
      <c r="BP50" s="158"/>
      <c r="BQ50" s="1301"/>
      <c r="BR50" s="158"/>
      <c r="BS50" s="158"/>
      <c r="BT50" s="158"/>
      <c r="BU50" s="695"/>
      <c r="BV50" s="158"/>
      <c r="BW50" s="158"/>
      <c r="BX50" s="1301"/>
      <c r="BY50" s="158"/>
      <c r="BZ50" s="158"/>
      <c r="CA50" s="158"/>
      <c r="CB50" s="695"/>
      <c r="CC50" s="158"/>
      <c r="CD50" s="158"/>
      <c r="CE50" s="1301"/>
      <c r="CF50" s="158"/>
      <c r="CG50" s="158"/>
      <c r="CH50" s="158"/>
      <c r="CI50" s="695"/>
      <c r="CJ50" s="158"/>
      <c r="CK50" s="158"/>
      <c r="CL50" s="1301"/>
      <c r="CM50" s="158"/>
      <c r="CN50" s="158"/>
      <c r="CO50" s="158"/>
      <c r="CP50" s="695"/>
      <c r="CQ50" s="158"/>
      <c r="CR50" s="158"/>
      <c r="CS50" s="1301"/>
      <c r="CT50" s="158"/>
      <c r="CU50" s="158"/>
      <c r="CV50" s="158"/>
      <c r="CW50" s="695"/>
      <c r="CX50" s="158"/>
      <c r="CY50" s="158"/>
      <c r="CZ50" s="1301"/>
      <c r="DA50" s="158"/>
      <c r="DB50" s="158"/>
      <c r="DC50" s="158"/>
      <c r="DD50" s="695"/>
      <c r="DE50" s="158"/>
      <c r="DF50" s="158"/>
      <c r="DG50" s="1364"/>
      <c r="DH50" s="818"/>
      <c r="DI50" s="158"/>
      <c r="DJ50" s="819"/>
      <c r="DK50" s="695"/>
      <c r="DL50" s="2006"/>
      <c r="DM50" s="158"/>
      <c r="DN50" s="1544"/>
      <c r="DO50" s="819"/>
      <c r="DP50" s="327"/>
      <c r="DQ50" s="819"/>
      <c r="DR50" s="695"/>
      <c r="DS50" s="819"/>
      <c r="DT50" s="158"/>
      <c r="DU50" s="1544"/>
      <c r="DV50" s="819"/>
      <c r="DW50" s="327"/>
      <c r="DX50" s="819"/>
      <c r="DY50" s="695"/>
      <c r="DZ50" s="819"/>
      <c r="EA50" s="158"/>
      <c r="EB50" s="1544"/>
      <c r="EC50" s="819"/>
      <c r="ED50" s="327"/>
      <c r="EE50" s="819"/>
      <c r="EF50" s="695"/>
      <c r="EG50" s="819"/>
      <c r="EH50" s="158"/>
      <c r="EI50" s="1544"/>
      <c r="EJ50" s="819"/>
      <c r="EK50" s="327"/>
      <c r="EL50" s="819"/>
      <c r="EM50" s="695"/>
      <c r="EN50" s="819"/>
      <c r="EO50" s="158"/>
      <c r="EP50" s="1544"/>
      <c r="EQ50" s="303"/>
      <c r="ER50" s="46"/>
    </row>
    <row r="51" spans="1:148" ht="10.199999999999999" customHeight="1">
      <c r="A51" s="43" t="s">
        <v>213</v>
      </c>
      <c r="B51" s="158">
        <v>559</v>
      </c>
      <c r="C51" s="158">
        <v>1361</v>
      </c>
      <c r="D51" s="158">
        <v>2179</v>
      </c>
      <c r="E51" s="133">
        <v>144</v>
      </c>
      <c r="F51" s="133">
        <v>176</v>
      </c>
      <c r="G51" s="133">
        <v>137</v>
      </c>
      <c r="H51" s="133">
        <v>85</v>
      </c>
      <c r="I51" s="158">
        <v>104</v>
      </c>
      <c r="J51" s="158">
        <v>106</v>
      </c>
      <c r="K51" s="158">
        <v>95</v>
      </c>
      <c r="L51" s="158">
        <v>15</v>
      </c>
      <c r="M51" s="158">
        <v>25</v>
      </c>
      <c r="N51" s="158"/>
      <c r="O51" s="158"/>
      <c r="P51" s="158"/>
      <c r="Q51" s="695"/>
      <c r="R51" s="158"/>
      <c r="S51" s="158"/>
      <c r="T51" s="1301">
        <v>42</v>
      </c>
      <c r="U51" s="158">
        <v>39</v>
      </c>
      <c r="V51" s="158">
        <f>Y51</f>
        <v>49</v>
      </c>
      <c r="W51" s="158">
        <v>4</v>
      </c>
      <c r="X51" s="695">
        <f t="shared" ref="X51:X55" si="634">Z51</f>
        <v>18</v>
      </c>
      <c r="Y51" s="158">
        <v>49</v>
      </c>
      <c r="Z51" s="158">
        <f t="shared" ref="Z51:Z55" si="635">AA51</f>
        <v>18</v>
      </c>
      <c r="AA51" s="1301">
        <v>18</v>
      </c>
      <c r="AB51" s="158">
        <v>-1</v>
      </c>
      <c r="AC51" s="158">
        <f>AF51</f>
        <v>3</v>
      </c>
      <c r="AD51" s="158">
        <v>-7</v>
      </c>
      <c r="AE51" s="695">
        <f t="shared" ref="AE51:AE55" si="636">AG51</f>
        <v>7</v>
      </c>
      <c r="AF51" s="158">
        <v>3</v>
      </c>
      <c r="AG51" s="158">
        <f t="shared" ref="AG51:AG55" si="637">AH51</f>
        <v>7</v>
      </c>
      <c r="AH51" s="1301">
        <v>7</v>
      </c>
      <c r="AI51" s="158">
        <v>-16</v>
      </c>
      <c r="AJ51" s="158">
        <f>AM51</f>
        <v>1</v>
      </c>
      <c r="AK51" s="158">
        <v>8</v>
      </c>
      <c r="AL51" s="695">
        <f t="shared" ref="AL51:AL55" si="638">AN51</f>
        <v>-5</v>
      </c>
      <c r="AM51" s="158">
        <v>1</v>
      </c>
      <c r="AN51" s="158">
        <f t="shared" ref="AN51:AN55" si="639">AO51</f>
        <v>-5</v>
      </c>
      <c r="AO51" s="1301">
        <v>-5</v>
      </c>
      <c r="AP51" s="158">
        <v>-18</v>
      </c>
      <c r="AQ51" s="158">
        <f>AT51</f>
        <v>-5</v>
      </c>
      <c r="AR51" s="158">
        <v>0</v>
      </c>
      <c r="AS51" s="695">
        <f t="shared" ref="AS51:AS55" si="640">AU51</f>
        <v>3</v>
      </c>
      <c r="AT51" s="158">
        <v>-5</v>
      </c>
      <c r="AU51" s="158">
        <f t="shared" ref="AU51:AU55" si="641">AV51</f>
        <v>3</v>
      </c>
      <c r="AV51" s="1301">
        <v>3</v>
      </c>
      <c r="AW51" s="158"/>
      <c r="AX51" s="158"/>
      <c r="AY51" s="158"/>
      <c r="AZ51" s="695"/>
      <c r="BA51" s="158"/>
      <c r="BB51" s="158"/>
      <c r="BC51" s="1301">
        <v>2</v>
      </c>
      <c r="BD51" s="158">
        <v>10</v>
      </c>
      <c r="BE51" s="158">
        <f>BH51</f>
        <v>-8</v>
      </c>
      <c r="BF51" s="158">
        <v>-5</v>
      </c>
      <c r="BG51" s="695">
        <f t="shared" ref="BG51:BG55" si="642">BI51</f>
        <v>-5</v>
      </c>
      <c r="BH51" s="158">
        <v>-8</v>
      </c>
      <c r="BI51" s="158">
        <f t="shared" ref="BI51:BI55" si="643">BJ51</f>
        <v>-5</v>
      </c>
      <c r="BJ51" s="1301">
        <v>-5</v>
      </c>
      <c r="BK51" s="158">
        <v>3</v>
      </c>
      <c r="BL51" s="158">
        <f>BO51</f>
        <v>-2</v>
      </c>
      <c r="BM51" s="158">
        <v>12</v>
      </c>
      <c r="BN51" s="695">
        <f t="shared" ref="BN51:BN55" si="644">BP51</f>
        <v>15</v>
      </c>
      <c r="BO51" s="158">
        <v>-2</v>
      </c>
      <c r="BP51" s="158">
        <f t="shared" ref="BP51:BP55" si="645">BQ51</f>
        <v>15</v>
      </c>
      <c r="BQ51" s="1301">
        <v>15</v>
      </c>
      <c r="BR51" s="158">
        <v>11</v>
      </c>
      <c r="BS51" s="158">
        <f>BV51</f>
        <v>9</v>
      </c>
      <c r="BT51" s="158">
        <v>10</v>
      </c>
      <c r="BU51" s="695">
        <f t="shared" ref="BU51:BU55" si="646">BW51</f>
        <v>11</v>
      </c>
      <c r="BV51" s="158">
        <v>9</v>
      </c>
      <c r="BW51" s="158">
        <f t="shared" ref="BW51:BW55" si="647">BX51</f>
        <v>11</v>
      </c>
      <c r="BX51" s="1301">
        <v>11</v>
      </c>
      <c r="BY51" s="158">
        <v>16</v>
      </c>
      <c r="BZ51" s="158">
        <f>CC51</f>
        <v>18</v>
      </c>
      <c r="CA51" s="158">
        <v>17</v>
      </c>
      <c r="CB51" s="695">
        <f t="shared" ref="CB51:CB55" si="648">CD51</f>
        <v>20</v>
      </c>
      <c r="CC51" s="158">
        <v>18</v>
      </c>
      <c r="CD51" s="158">
        <f t="shared" ref="CD51:CD55" si="649">CE51</f>
        <v>20</v>
      </c>
      <c r="CE51" s="1301">
        <v>20</v>
      </c>
      <c r="CF51" s="158">
        <v>25</v>
      </c>
      <c r="CG51" s="158">
        <f>CJ51</f>
        <v>27</v>
      </c>
      <c r="CH51" s="158">
        <v>29</v>
      </c>
      <c r="CI51" s="695">
        <f t="shared" ref="CI51:CI55" si="650">CK51</f>
        <v>32</v>
      </c>
      <c r="CJ51" s="158">
        <v>27</v>
      </c>
      <c r="CK51" s="158">
        <f t="shared" ref="CK51:CK55" si="651">CL51</f>
        <v>32</v>
      </c>
      <c r="CL51" s="1301">
        <v>32</v>
      </c>
      <c r="CM51" s="158">
        <v>35</v>
      </c>
      <c r="CN51" s="158">
        <f>CQ51</f>
        <v>37</v>
      </c>
      <c r="CO51" s="158">
        <v>37</v>
      </c>
      <c r="CP51" s="695">
        <f t="shared" ref="CP51:CP55" si="652">CR51</f>
        <v>35</v>
      </c>
      <c r="CQ51" s="158">
        <v>37</v>
      </c>
      <c r="CR51" s="158">
        <f t="shared" ref="CR51:CR55" si="653">CS51</f>
        <v>35</v>
      </c>
      <c r="CS51" s="1301">
        <v>35</v>
      </c>
      <c r="CT51" s="158">
        <v>36</v>
      </c>
      <c r="CU51" s="158">
        <f>CX51</f>
        <v>35</v>
      </c>
      <c r="CV51" s="158">
        <v>41</v>
      </c>
      <c r="CW51" s="695">
        <f t="shared" ref="CW51:CW55" si="654">CY51</f>
        <v>90</v>
      </c>
      <c r="CX51" s="158">
        <v>35</v>
      </c>
      <c r="CY51" s="158">
        <f t="shared" ref="CY51:CY55" si="655">CZ51</f>
        <v>90</v>
      </c>
      <c r="CZ51" s="1301">
        <v>90</v>
      </c>
      <c r="DA51" s="158">
        <v>91</v>
      </c>
      <c r="DB51" s="158">
        <f>DE51</f>
        <v>87</v>
      </c>
      <c r="DC51" s="158">
        <v>90</v>
      </c>
      <c r="DD51" s="695">
        <f t="shared" ref="DD51:DD55" si="656">DF51</f>
        <v>80</v>
      </c>
      <c r="DE51" s="2097">
        <v>87</v>
      </c>
      <c r="DF51" s="158">
        <f t="shared" ref="DF51:DF55" si="657">DG51</f>
        <v>80</v>
      </c>
      <c r="DG51" s="1364">
        <v>80</v>
      </c>
      <c r="DH51" s="818">
        <v>88</v>
      </c>
      <c r="DI51" s="158">
        <f>DL51</f>
        <v>88</v>
      </c>
      <c r="DJ51" s="819">
        <f>DI51-IS!DJ44+CFS!DJ35+CFS!DJ36</f>
        <v>-5</v>
      </c>
      <c r="DK51" s="453">
        <f t="shared" ref="DK51" si="658">DM51</f>
        <v>-145</v>
      </c>
      <c r="DL51" s="2006">
        <v>88</v>
      </c>
      <c r="DM51" s="327">
        <f t="shared" ref="DM51" si="659">DN51</f>
        <v>-145</v>
      </c>
      <c r="DN51" s="1544">
        <f>DG51-IS!DN44+CFS!DN35+CFS!DN36</f>
        <v>-145</v>
      </c>
      <c r="DO51" s="819">
        <f>DN51-IS!DO44+CFS!DO35+CFS!DO36</f>
        <v>-207.5</v>
      </c>
      <c r="DP51" s="327">
        <f t="shared" ref="DP51" si="660">DS51</f>
        <v>-270</v>
      </c>
      <c r="DQ51" s="819">
        <f>DP51-IS!DQ44+CFS!DQ35+CFS!DQ36</f>
        <v>-332.5</v>
      </c>
      <c r="DR51" s="453">
        <f t="shared" ref="DR51" si="661">DT51</f>
        <v>-370</v>
      </c>
      <c r="DS51" s="819">
        <f>DN51-IS!DS44+CFS!DS35+CFS!DS36</f>
        <v>-270</v>
      </c>
      <c r="DT51" s="327">
        <f t="shared" ref="DT51" si="662">DU51</f>
        <v>-370</v>
      </c>
      <c r="DU51" s="1544">
        <f>DN51-IS!DU44+CFS!DU35+CFS!DU36</f>
        <v>-370</v>
      </c>
      <c r="DV51" s="819">
        <f>DU51-IS!DV44+CFS!DV35+CFS!DV36</f>
        <v>-432.5</v>
      </c>
      <c r="DW51" s="327">
        <f t="shared" ref="DW51" si="663">DZ51</f>
        <v>-495</v>
      </c>
      <c r="DX51" s="819">
        <f>DW51-IS!DX44+CFS!DX35+CFS!DX36</f>
        <v>-557.5</v>
      </c>
      <c r="DY51" s="453">
        <f t="shared" ref="DY51" si="664">EA51</f>
        <v>-595</v>
      </c>
      <c r="DZ51" s="819">
        <f>DU51-IS!DZ44+CFS!DZ35+CFS!DZ36</f>
        <v>-495</v>
      </c>
      <c r="EA51" s="327">
        <f t="shared" ref="EA51" si="665">EB51</f>
        <v>-595</v>
      </c>
      <c r="EB51" s="1544">
        <f>DU51-IS!EB44+CFS!EB35+CFS!EB36</f>
        <v>-595</v>
      </c>
      <c r="EC51" s="819">
        <f>EB51-IS!EC44+CFS!EC35+CFS!EC36</f>
        <v>-657.5</v>
      </c>
      <c r="ED51" s="327">
        <f t="shared" ref="ED51" si="666">EG51</f>
        <v>-720</v>
      </c>
      <c r="EE51" s="819">
        <f>ED51-IS!EE44+CFS!EE35+CFS!EE36</f>
        <v>-782.5</v>
      </c>
      <c r="EF51" s="453">
        <f t="shared" ref="EF51" si="667">EH51</f>
        <v>-820</v>
      </c>
      <c r="EG51" s="819">
        <f>EB51-IS!EG44+CFS!EG35+CFS!EG36</f>
        <v>-720</v>
      </c>
      <c r="EH51" s="327">
        <f t="shared" ref="EH51" si="668">EI51</f>
        <v>-820</v>
      </c>
      <c r="EI51" s="1544">
        <f>EB51-IS!EI44+CFS!EI35+CFS!EI36</f>
        <v>-820</v>
      </c>
      <c r="EJ51" s="819">
        <f>EI51-IS!EJ44+CFS!EJ35+CFS!EJ36</f>
        <v>-882.5</v>
      </c>
      <c r="EK51" s="327">
        <f t="shared" ref="EK51" si="669">EN51</f>
        <v>-945</v>
      </c>
      <c r="EL51" s="819">
        <f>EK51-IS!EL44+CFS!EL35+CFS!EL36</f>
        <v>-1007.5</v>
      </c>
      <c r="EM51" s="453">
        <f t="shared" ref="EM51" si="670">EO51</f>
        <v>-1045</v>
      </c>
      <c r="EN51" s="819">
        <f>EI51-IS!EN44+CFS!EN35+CFS!EN36</f>
        <v>-945</v>
      </c>
      <c r="EO51" s="327">
        <f t="shared" ref="EO51" si="671">EP51</f>
        <v>-1045</v>
      </c>
      <c r="EP51" s="1544">
        <f>EI51-IS!EP44+CFS!EP35+CFS!EP36</f>
        <v>-1045</v>
      </c>
      <c r="EQ51" s="303"/>
      <c r="ER51" s="46"/>
    </row>
    <row r="52" spans="1:148" ht="10.199999999999999" customHeight="1">
      <c r="A52" s="43" t="s">
        <v>107</v>
      </c>
      <c r="B52" s="158">
        <v>809</v>
      </c>
      <c r="C52" s="158">
        <v>811</v>
      </c>
      <c r="D52" s="158">
        <v>813</v>
      </c>
      <c r="E52" s="158">
        <v>810</v>
      </c>
      <c r="F52" s="158">
        <v>818</v>
      </c>
      <c r="G52" s="158">
        <v>816</v>
      </c>
      <c r="H52" s="158">
        <v>814</v>
      </c>
      <c r="I52" s="158">
        <v>815</v>
      </c>
      <c r="J52" s="158">
        <v>816</v>
      </c>
      <c r="K52" s="158">
        <v>816</v>
      </c>
      <c r="L52" s="158">
        <v>820</v>
      </c>
      <c r="M52" s="158">
        <v>827</v>
      </c>
      <c r="N52" s="158"/>
      <c r="O52" s="158"/>
      <c r="P52" s="158"/>
      <c r="Q52" s="695"/>
      <c r="R52" s="158"/>
      <c r="S52" s="158"/>
      <c r="T52" s="1301">
        <v>783</v>
      </c>
      <c r="U52" s="158">
        <v>784</v>
      </c>
      <c r="V52" s="158">
        <f t="shared" ref="V52:V55" si="672">Y52</f>
        <v>784</v>
      </c>
      <c r="W52" s="158">
        <v>785</v>
      </c>
      <c r="X52" s="695">
        <f t="shared" si="634"/>
        <v>785</v>
      </c>
      <c r="Y52" s="158">
        <v>784</v>
      </c>
      <c r="Z52" s="158">
        <f t="shared" si="635"/>
        <v>785</v>
      </c>
      <c r="AA52" s="1301">
        <v>785</v>
      </c>
      <c r="AB52" s="158">
        <v>786</v>
      </c>
      <c r="AC52" s="158">
        <f t="shared" ref="AC52:AC55" si="673">AF52</f>
        <v>788</v>
      </c>
      <c r="AD52" s="158">
        <v>788</v>
      </c>
      <c r="AE52" s="695">
        <f t="shared" si="636"/>
        <v>785</v>
      </c>
      <c r="AF52" s="158">
        <v>788</v>
      </c>
      <c r="AG52" s="158">
        <f t="shared" si="637"/>
        <v>785</v>
      </c>
      <c r="AH52" s="1301">
        <v>785</v>
      </c>
      <c r="AI52" s="158">
        <v>778</v>
      </c>
      <c r="AJ52" s="158">
        <f t="shared" ref="AJ52:AJ55" si="674">AM52</f>
        <v>773</v>
      </c>
      <c r="AK52" s="158">
        <v>773</v>
      </c>
      <c r="AL52" s="695">
        <f t="shared" si="638"/>
        <v>773</v>
      </c>
      <c r="AM52" s="158">
        <v>773</v>
      </c>
      <c r="AN52" s="158">
        <f t="shared" si="639"/>
        <v>773</v>
      </c>
      <c r="AO52" s="1301">
        <v>773</v>
      </c>
      <c r="AP52" s="158">
        <v>773</v>
      </c>
      <c r="AQ52" s="158">
        <f t="shared" ref="AQ52:AQ55" si="675">AT52</f>
        <v>775</v>
      </c>
      <c r="AR52" s="158">
        <v>775</v>
      </c>
      <c r="AS52" s="695">
        <f t="shared" si="640"/>
        <v>775</v>
      </c>
      <c r="AT52" s="158">
        <v>775</v>
      </c>
      <c r="AU52" s="158">
        <f t="shared" si="641"/>
        <v>775</v>
      </c>
      <c r="AV52" s="1301">
        <v>775</v>
      </c>
      <c r="AW52" s="158"/>
      <c r="AX52" s="158"/>
      <c r="AY52" s="158"/>
      <c r="AZ52" s="695"/>
      <c r="BA52" s="158"/>
      <c r="BB52" s="158"/>
      <c r="BC52" s="1301">
        <v>775</v>
      </c>
      <c r="BD52" s="158">
        <v>775</v>
      </c>
      <c r="BE52" s="158">
        <f t="shared" ref="BE52:BE55" si="676">BH52</f>
        <v>776</v>
      </c>
      <c r="BF52" s="158">
        <v>776</v>
      </c>
      <c r="BG52" s="695">
        <f t="shared" si="642"/>
        <v>777</v>
      </c>
      <c r="BH52" s="158">
        <v>776</v>
      </c>
      <c r="BI52" s="158">
        <f t="shared" si="643"/>
        <v>777</v>
      </c>
      <c r="BJ52" s="1301">
        <v>777</v>
      </c>
      <c r="BK52" s="158">
        <v>777</v>
      </c>
      <c r="BL52" s="158">
        <f t="shared" ref="BL52:BL55" si="677">BO52</f>
        <v>779</v>
      </c>
      <c r="BM52" s="158">
        <v>779</v>
      </c>
      <c r="BN52" s="695">
        <f t="shared" si="644"/>
        <v>784</v>
      </c>
      <c r="BO52" s="158">
        <v>779</v>
      </c>
      <c r="BP52" s="158">
        <f t="shared" si="645"/>
        <v>784</v>
      </c>
      <c r="BQ52" s="1301">
        <v>784</v>
      </c>
      <c r="BR52" s="158">
        <v>784</v>
      </c>
      <c r="BS52" s="158">
        <f t="shared" ref="BS52:BS55" si="678">BV52</f>
        <v>785</v>
      </c>
      <c r="BT52" s="158">
        <v>785</v>
      </c>
      <c r="BU52" s="695">
        <f t="shared" si="646"/>
        <v>785</v>
      </c>
      <c r="BV52" s="158">
        <v>785</v>
      </c>
      <c r="BW52" s="158">
        <f t="shared" si="647"/>
        <v>785</v>
      </c>
      <c r="BX52" s="1301">
        <v>785</v>
      </c>
      <c r="BY52" s="158">
        <v>787</v>
      </c>
      <c r="BZ52" s="158">
        <f t="shared" ref="BZ52:BZ55" si="679">CC52</f>
        <v>787</v>
      </c>
      <c r="CA52" s="158">
        <v>787</v>
      </c>
      <c r="CB52" s="695">
        <f t="shared" si="648"/>
        <v>787</v>
      </c>
      <c r="CC52" s="158">
        <v>787</v>
      </c>
      <c r="CD52" s="158">
        <f t="shared" si="649"/>
        <v>787</v>
      </c>
      <c r="CE52" s="1301">
        <v>787</v>
      </c>
      <c r="CF52" s="158">
        <v>789</v>
      </c>
      <c r="CG52" s="158">
        <f t="shared" ref="CG52:CG55" si="680">CJ52</f>
        <v>789</v>
      </c>
      <c r="CH52" s="158">
        <v>789</v>
      </c>
      <c r="CI52" s="695">
        <f t="shared" si="650"/>
        <v>789</v>
      </c>
      <c r="CJ52" s="158">
        <v>789</v>
      </c>
      <c r="CK52" s="158">
        <f t="shared" si="651"/>
        <v>789</v>
      </c>
      <c r="CL52" s="1301">
        <v>789</v>
      </c>
      <c r="CM52" s="158">
        <v>791</v>
      </c>
      <c r="CN52" s="158">
        <f t="shared" ref="CN52:CN55" si="681">CQ52</f>
        <v>791</v>
      </c>
      <c r="CO52" s="158">
        <v>791</v>
      </c>
      <c r="CP52" s="695">
        <f t="shared" si="652"/>
        <v>791</v>
      </c>
      <c r="CQ52" s="158">
        <v>791</v>
      </c>
      <c r="CR52" s="158">
        <f t="shared" si="653"/>
        <v>791</v>
      </c>
      <c r="CS52" s="1301">
        <v>791</v>
      </c>
      <c r="CT52" s="158">
        <v>793</v>
      </c>
      <c r="CU52" s="158">
        <f t="shared" ref="CU52:CU55" si="682">CX52</f>
        <v>793</v>
      </c>
      <c r="CV52" s="158">
        <v>793</v>
      </c>
      <c r="CW52" s="695">
        <f t="shared" si="654"/>
        <v>793</v>
      </c>
      <c r="CX52" s="158">
        <v>793</v>
      </c>
      <c r="CY52" s="158">
        <f t="shared" si="655"/>
        <v>793</v>
      </c>
      <c r="CZ52" s="1301">
        <v>793</v>
      </c>
      <c r="DA52" s="158">
        <v>793</v>
      </c>
      <c r="DB52" s="158">
        <f t="shared" ref="DB52:DB55" si="683">DE52</f>
        <v>793</v>
      </c>
      <c r="DC52" s="158">
        <v>793</v>
      </c>
      <c r="DD52" s="695">
        <f t="shared" si="656"/>
        <v>793</v>
      </c>
      <c r="DE52" s="2097">
        <v>793</v>
      </c>
      <c r="DF52" s="158">
        <f t="shared" si="657"/>
        <v>793</v>
      </c>
      <c r="DG52" s="1364">
        <v>793</v>
      </c>
      <c r="DH52" s="818">
        <v>793</v>
      </c>
      <c r="DI52" s="158">
        <f t="shared" ref="DI52:DI55" si="684">DL52</f>
        <v>793</v>
      </c>
      <c r="DJ52" s="819">
        <f>DI52</f>
        <v>793</v>
      </c>
      <c r="DK52" s="453">
        <f t="shared" ref="DK52:DK55" si="685">DM52</f>
        <v>793</v>
      </c>
      <c r="DL52" s="2006">
        <v>793</v>
      </c>
      <c r="DM52" s="327">
        <f t="shared" ref="DM52:DM55" si="686">DN52</f>
        <v>793</v>
      </c>
      <c r="DN52" s="1544">
        <f>DG52</f>
        <v>793</v>
      </c>
      <c r="DO52" s="819">
        <f>DN52</f>
        <v>793</v>
      </c>
      <c r="DP52" s="327">
        <f t="shared" ref="DP52:DP55" si="687">DS52</f>
        <v>793</v>
      </c>
      <c r="DQ52" s="819">
        <f>DP52</f>
        <v>793</v>
      </c>
      <c r="DR52" s="453">
        <f t="shared" ref="DR52:DR55" si="688">DT52</f>
        <v>793</v>
      </c>
      <c r="DS52" s="819">
        <f>DN52</f>
        <v>793</v>
      </c>
      <c r="DT52" s="327">
        <f t="shared" ref="DT52:DT55" si="689">DU52</f>
        <v>793</v>
      </c>
      <c r="DU52" s="1544">
        <f>DN52</f>
        <v>793</v>
      </c>
      <c r="DV52" s="819">
        <f>DU52</f>
        <v>793</v>
      </c>
      <c r="DW52" s="327">
        <f t="shared" ref="DW52:DW55" si="690">DZ52</f>
        <v>793</v>
      </c>
      <c r="DX52" s="819">
        <f>DW52</f>
        <v>793</v>
      </c>
      <c r="DY52" s="453">
        <f t="shared" ref="DY52:DY55" si="691">EA52</f>
        <v>793</v>
      </c>
      <c r="DZ52" s="819">
        <f>DU52</f>
        <v>793</v>
      </c>
      <c r="EA52" s="327">
        <f t="shared" ref="EA52:EA55" si="692">EB52</f>
        <v>793</v>
      </c>
      <c r="EB52" s="1544">
        <f>DU52</f>
        <v>793</v>
      </c>
      <c r="EC52" s="819">
        <f>EB52</f>
        <v>793</v>
      </c>
      <c r="ED52" s="327">
        <f t="shared" ref="ED52:ED55" si="693">EG52</f>
        <v>793</v>
      </c>
      <c r="EE52" s="819">
        <f>ED52</f>
        <v>793</v>
      </c>
      <c r="EF52" s="453">
        <f t="shared" ref="EF52:EF55" si="694">EH52</f>
        <v>793</v>
      </c>
      <c r="EG52" s="819">
        <f>EB52</f>
        <v>793</v>
      </c>
      <c r="EH52" s="327">
        <f t="shared" ref="EH52:EH55" si="695">EI52</f>
        <v>793</v>
      </c>
      <c r="EI52" s="1544">
        <f>EB52</f>
        <v>793</v>
      </c>
      <c r="EJ52" s="819">
        <f>EI52</f>
        <v>793</v>
      </c>
      <c r="EK52" s="327">
        <f t="shared" ref="EK52:EK55" si="696">EN52</f>
        <v>793</v>
      </c>
      <c r="EL52" s="819">
        <f>EK52</f>
        <v>793</v>
      </c>
      <c r="EM52" s="453">
        <f t="shared" ref="EM52:EM55" si="697">EO52</f>
        <v>793</v>
      </c>
      <c r="EN52" s="819">
        <f>EI52</f>
        <v>793</v>
      </c>
      <c r="EO52" s="327">
        <f t="shared" ref="EO52:EO55" si="698">EP52</f>
        <v>793</v>
      </c>
      <c r="EP52" s="1544">
        <f t="shared" ref="EP52" si="699">EI52</f>
        <v>793</v>
      </c>
      <c r="EQ52" s="303"/>
      <c r="ER52" s="46"/>
    </row>
    <row r="53" spans="1:148" ht="10.199999999999999" customHeight="1">
      <c r="A53" s="43" t="s">
        <v>310</v>
      </c>
      <c r="B53" s="158">
        <v>10346</v>
      </c>
      <c r="C53" s="158">
        <v>9658</v>
      </c>
      <c r="D53" s="158">
        <v>9589</v>
      </c>
      <c r="E53" s="158">
        <v>7899</v>
      </c>
      <c r="F53" s="158">
        <v>9371</v>
      </c>
      <c r="G53" s="158">
        <v>7593</v>
      </c>
      <c r="H53" s="158">
        <v>7406</v>
      </c>
      <c r="I53" s="158">
        <v>8558</v>
      </c>
      <c r="J53" s="158">
        <f>7683-501</f>
        <v>7182</v>
      </c>
      <c r="K53" s="158">
        <f>7645+46</f>
        <v>7691</v>
      </c>
      <c r="L53" s="158">
        <v>7519</v>
      </c>
      <c r="M53" s="158">
        <v>7253</v>
      </c>
      <c r="N53" s="158"/>
      <c r="O53" s="158"/>
      <c r="P53" s="158"/>
      <c r="Q53" s="695"/>
      <c r="R53" s="158"/>
      <c r="S53" s="158"/>
      <c r="T53" s="1301">
        <v>7202</v>
      </c>
      <c r="U53" s="158">
        <v>7737</v>
      </c>
      <c r="V53" s="158">
        <f t="shared" si="672"/>
        <v>7534</v>
      </c>
      <c r="W53" s="158">
        <v>7570</v>
      </c>
      <c r="X53" s="695">
        <f t="shared" si="634"/>
        <v>7489</v>
      </c>
      <c r="Y53" s="158">
        <v>7534</v>
      </c>
      <c r="Z53" s="158">
        <f t="shared" si="635"/>
        <v>7489</v>
      </c>
      <c r="AA53" s="1301">
        <v>7489</v>
      </c>
      <c r="AB53" s="158">
        <v>7930</v>
      </c>
      <c r="AC53" s="158">
        <f t="shared" si="673"/>
        <v>8547</v>
      </c>
      <c r="AD53" s="158">
        <v>8962</v>
      </c>
      <c r="AE53" s="695">
        <f t="shared" si="636"/>
        <v>9800</v>
      </c>
      <c r="AF53" s="158">
        <v>8547</v>
      </c>
      <c r="AG53" s="158">
        <f t="shared" si="637"/>
        <v>9800</v>
      </c>
      <c r="AH53" s="1301">
        <v>9800</v>
      </c>
      <c r="AI53" s="158">
        <v>9361</v>
      </c>
      <c r="AJ53" s="158">
        <f t="shared" si="674"/>
        <v>8653</v>
      </c>
      <c r="AK53" s="158">
        <v>8297</v>
      </c>
      <c r="AL53" s="695">
        <f t="shared" si="638"/>
        <v>7732</v>
      </c>
      <c r="AM53" s="158">
        <v>8653</v>
      </c>
      <c r="AN53" s="158">
        <f t="shared" si="639"/>
        <v>7732</v>
      </c>
      <c r="AO53" s="1301">
        <v>7732</v>
      </c>
      <c r="AP53" s="158">
        <v>8395</v>
      </c>
      <c r="AQ53" s="158">
        <f t="shared" si="675"/>
        <v>8553</v>
      </c>
      <c r="AR53" s="158">
        <v>8883</v>
      </c>
      <c r="AS53" s="695">
        <f t="shared" si="640"/>
        <v>9833</v>
      </c>
      <c r="AT53" s="158">
        <v>8553</v>
      </c>
      <c r="AU53" s="158">
        <f t="shared" si="641"/>
        <v>9833</v>
      </c>
      <c r="AV53" s="1301">
        <f>7007+2826</f>
        <v>9833</v>
      </c>
      <c r="AW53" s="158"/>
      <c r="AX53" s="158"/>
      <c r="AY53" s="158"/>
      <c r="AZ53" s="695"/>
      <c r="BA53" s="158"/>
      <c r="BB53" s="158"/>
      <c r="BC53" s="1301">
        <f>2826+4399</f>
        <v>7225</v>
      </c>
      <c r="BD53" s="158">
        <v>7338</v>
      </c>
      <c r="BE53" s="158">
        <f t="shared" si="676"/>
        <v>6908</v>
      </c>
      <c r="BF53" s="158">
        <v>7865</v>
      </c>
      <c r="BG53" s="695">
        <f t="shared" si="642"/>
        <v>8864</v>
      </c>
      <c r="BH53" s="158">
        <v>6908</v>
      </c>
      <c r="BI53" s="158">
        <f t="shared" si="643"/>
        <v>8864</v>
      </c>
      <c r="BJ53" s="1301">
        <f>2941+5923</f>
        <v>8864</v>
      </c>
      <c r="BK53" s="158">
        <f>2941+5400</f>
        <v>8341</v>
      </c>
      <c r="BL53" s="158">
        <f t="shared" si="677"/>
        <v>6449</v>
      </c>
      <c r="BM53" s="158">
        <f>3072+3262</f>
        <v>6334</v>
      </c>
      <c r="BN53" s="695">
        <f t="shared" si="644"/>
        <v>5796</v>
      </c>
      <c r="BO53" s="158">
        <f>3072+3377</f>
        <v>6449</v>
      </c>
      <c r="BP53" s="158">
        <f t="shared" si="645"/>
        <v>5796</v>
      </c>
      <c r="BQ53" s="1301">
        <f>3555+2241</f>
        <v>5796</v>
      </c>
      <c r="BR53" s="158">
        <f>3555+3186</f>
        <v>6741</v>
      </c>
      <c r="BS53" s="158">
        <f t="shared" si="678"/>
        <v>3298</v>
      </c>
      <c r="BT53" s="158">
        <f>3594-1252</f>
        <v>2342</v>
      </c>
      <c r="BU53" s="695">
        <f t="shared" si="646"/>
        <v>3849</v>
      </c>
      <c r="BV53" s="158">
        <f>3594-296</f>
        <v>3298</v>
      </c>
      <c r="BW53" s="158">
        <f t="shared" si="647"/>
        <v>3849</v>
      </c>
      <c r="BX53" s="1301">
        <f>3599+250</f>
        <v>3849</v>
      </c>
      <c r="BY53" s="158">
        <f>3727+2617</f>
        <v>6344</v>
      </c>
      <c r="BZ53" s="158">
        <f t="shared" si="679"/>
        <v>8288</v>
      </c>
      <c r="CA53" s="158">
        <f>3708+5321</f>
        <v>9029</v>
      </c>
      <c r="CB53" s="695">
        <f t="shared" si="648"/>
        <v>10546</v>
      </c>
      <c r="CC53" s="158">
        <f>3708+4580</f>
        <v>8288</v>
      </c>
      <c r="CD53" s="158">
        <f t="shared" si="649"/>
        <v>10546</v>
      </c>
      <c r="CE53" s="1301">
        <f>6834+3712</f>
        <v>10546</v>
      </c>
      <c r="CF53" s="158">
        <f>8883+3846</f>
        <v>12729</v>
      </c>
      <c r="CG53" s="158">
        <f t="shared" si="680"/>
        <v>14274</v>
      </c>
      <c r="CH53" s="158">
        <f>3833+11438</f>
        <v>15271</v>
      </c>
      <c r="CI53" s="695">
        <f t="shared" si="650"/>
        <v>17245</v>
      </c>
      <c r="CJ53" s="158">
        <f>10441+3833</f>
        <v>14274</v>
      </c>
      <c r="CK53" s="158">
        <f t="shared" si="651"/>
        <v>17245</v>
      </c>
      <c r="CL53" s="1301">
        <f>13408+3837</f>
        <v>17245</v>
      </c>
      <c r="CM53" s="158">
        <f>3991+14034</f>
        <v>18025</v>
      </c>
      <c r="CN53" s="158">
        <f t="shared" si="681"/>
        <v>18004</v>
      </c>
      <c r="CO53" s="158">
        <f>15142+3979</f>
        <v>19121</v>
      </c>
      <c r="CP53" s="695">
        <f t="shared" si="652"/>
        <v>19599</v>
      </c>
      <c r="CQ53" s="158">
        <f>3979+14025</f>
        <v>18004</v>
      </c>
      <c r="CR53" s="158">
        <f t="shared" si="653"/>
        <v>19599</v>
      </c>
      <c r="CS53" s="1301">
        <f>15616+3983</f>
        <v>19599</v>
      </c>
      <c r="CT53" s="158">
        <f>16674+4080</f>
        <v>20754</v>
      </c>
      <c r="CU53" s="158">
        <f t="shared" si="682"/>
        <v>18960</v>
      </c>
      <c r="CV53" s="158">
        <f>15875+4005</f>
        <v>19880</v>
      </c>
      <c r="CW53" s="695">
        <f t="shared" si="654"/>
        <v>22689</v>
      </c>
      <c r="CX53" s="158">
        <f>14955+4005</f>
        <v>18960</v>
      </c>
      <c r="CY53" s="158">
        <f t="shared" si="655"/>
        <v>22689</v>
      </c>
      <c r="CZ53" s="1301">
        <f>4002+18687</f>
        <v>22689</v>
      </c>
      <c r="DA53" s="158">
        <f>4002+19889</f>
        <v>23891</v>
      </c>
      <c r="DB53" s="158">
        <f t="shared" si="683"/>
        <v>22010</v>
      </c>
      <c r="DC53" s="158">
        <f>4002+19315</f>
        <v>23317</v>
      </c>
      <c r="DD53" s="695">
        <f t="shared" si="656"/>
        <v>26336</v>
      </c>
      <c r="DE53" s="2101">
        <f>4002+18008</f>
        <v>22010</v>
      </c>
      <c r="DF53" s="158">
        <f t="shared" si="657"/>
        <v>26336</v>
      </c>
      <c r="DG53" s="1364">
        <f>4002+22334</f>
        <v>26336</v>
      </c>
      <c r="DH53" s="818">
        <f>4002+23277</f>
        <v>27279</v>
      </c>
      <c r="DI53" s="158">
        <f t="shared" si="684"/>
        <v>26063</v>
      </c>
      <c r="DJ53" s="819">
        <f>DI53+IS!DJ46+CFS!DJ34+CFS!DJ37-IS!DJ34-IS!DJ32+CFS!DJ7+DJ90+DJ110</f>
        <v>27537.351923007016</v>
      </c>
      <c r="DK53" s="453">
        <f t="shared" si="685"/>
        <v>29879.294541989359</v>
      </c>
      <c r="DL53" s="2006">
        <f>4002+22061</f>
        <v>26063</v>
      </c>
      <c r="DM53" s="327">
        <f t="shared" si="686"/>
        <v>29879.294541989359</v>
      </c>
      <c r="DN53" s="1544">
        <f>DG53+IS!DN46+CFS!DN34+CFS!DN37-IS!DN34-IS!DN32+CFS!DN7+DN90+DN110</f>
        <v>29879.294541989359</v>
      </c>
      <c r="DO53" s="819">
        <f>DN53+IS!DO46+CFS!DO34+CFS!DO37-IS!DO34-IS!DO32+CFS!DO7+DO90+DO110</f>
        <v>31503.256579819932</v>
      </c>
      <c r="DP53" s="327">
        <f t="shared" si="687"/>
        <v>29429.549566334033</v>
      </c>
      <c r="DQ53" s="819">
        <f>DP53+IS!DQ46+CFS!DQ34+CFS!DQ37-IS!DQ34-IS!DQ32+CFS!DQ7+DQ90+DQ110</f>
        <v>31235.415774605703</v>
      </c>
      <c r="DR53" s="453">
        <f t="shared" si="688"/>
        <v>33255.958559370993</v>
      </c>
      <c r="DS53" s="819">
        <f>DN53+IS!DS46+CFS!DS34+CFS!DS37-IS!DS34-IS!DS32+CFS!DS7+DS90+DS110</f>
        <v>29429.549566334033</v>
      </c>
      <c r="DT53" s="327">
        <f t="shared" si="689"/>
        <v>33255.958559370993</v>
      </c>
      <c r="DU53" s="1544">
        <f>DN53+IS!DU46+CFS!DU34+CFS!DU37-IS!DU34-IS!DU32+CFS!DU7+DU90+DU110</f>
        <v>33255.958559370993</v>
      </c>
      <c r="DV53" s="819">
        <f>DU53+IS!DV46+CFS!DV34+CFS!DV37-IS!DV34-IS!DV32+CFS!DV7+DV90+DV110</f>
        <v>35290.271603021618</v>
      </c>
      <c r="DW53" s="327">
        <f t="shared" si="690"/>
        <v>33147.771215352332</v>
      </c>
      <c r="DX53" s="819">
        <f>DW53+IS!DX46+CFS!DX34+CFS!DX37-IS!DX34-IS!DX32+CFS!DX7+DX90+DX110</f>
        <v>35379.825271603462</v>
      </c>
      <c r="DY53" s="453">
        <f t="shared" si="691"/>
        <v>37906.389565146026</v>
      </c>
      <c r="DZ53" s="819">
        <f>DU53+IS!DZ46+CFS!DZ34+CFS!DZ37-IS!DZ34-IS!DZ32+CFS!DZ7+DZ90+DZ110</f>
        <v>33147.771215352332</v>
      </c>
      <c r="EA53" s="327">
        <f t="shared" si="692"/>
        <v>37906.389565146026</v>
      </c>
      <c r="EB53" s="1544">
        <f>DU53+IS!EB46+CFS!EB34+CFS!EB37-IS!EB34-IS!EB32+CFS!EB7+EB90+EB110</f>
        <v>37906.389565146026</v>
      </c>
      <c r="EC53" s="819">
        <f>EB53+IS!EC46+CFS!EC34+CFS!EC37-IS!EC34-IS!EC32+CFS!EC7+EC90+EC110</f>
        <v>40227.911881948501</v>
      </c>
      <c r="ED53" s="327">
        <f t="shared" si="693"/>
        <v>37552.093175341142</v>
      </c>
      <c r="EE53" s="819">
        <f>ED53+IS!EE46+CFS!EE34+CFS!EE37-IS!EE34-IS!EE32+CFS!EE7+EE90+EE110</f>
        <v>39954.420255690849</v>
      </c>
      <c r="EF53" s="453">
        <f t="shared" si="694"/>
        <v>42677.510376992359</v>
      </c>
      <c r="EG53" s="819">
        <f>EB53+IS!EG46+CFS!EG34+CFS!EG37-IS!EG34-IS!EG32+CFS!EG7+EG90+EG110</f>
        <v>37552.093175341142</v>
      </c>
      <c r="EH53" s="327">
        <f t="shared" si="695"/>
        <v>42677.510376992359</v>
      </c>
      <c r="EI53" s="1544">
        <f>EB53+IS!EI46+CFS!EI34+CFS!EI37-IS!EI34-IS!EI32+CFS!EI7+EI90+EI110</f>
        <v>42677.510376992359</v>
      </c>
      <c r="EJ53" s="819">
        <f>EI53+IS!EJ46+CFS!EJ34+CFS!EJ37-IS!EJ34-IS!EJ32+CFS!EJ7+EJ90+EJ110</f>
        <v>45155.032791132071</v>
      </c>
      <c r="EK53" s="327">
        <f t="shared" si="696"/>
        <v>43799.456873494695</v>
      </c>
      <c r="EL53" s="819">
        <f>EK53+IS!EL46+CFS!EL34+CFS!EL37-IS!EL34-IS!EL32+CFS!EL7+EL90+EL110</f>
        <v>46371.141768897469</v>
      </c>
      <c r="EM53" s="453">
        <f t="shared" si="697"/>
        <v>49261.227137789312</v>
      </c>
      <c r="EN53" s="819">
        <f>EI53+IS!EN46+CFS!EN34+CFS!EN37-IS!EN34-IS!EN32+CFS!EN7+EN90+EN110</f>
        <v>43799.456873494695</v>
      </c>
      <c r="EO53" s="327">
        <f t="shared" si="698"/>
        <v>49261.227137789312</v>
      </c>
      <c r="EP53" s="1544">
        <f>EI53+IS!EP46+CFS!EP34+CFS!EP37-IS!EP34-IS!EP32+CFS!EP7+EP90+EP110</f>
        <v>49261.227137789312</v>
      </c>
      <c r="EQ53" s="303"/>
      <c r="ER53" s="46"/>
    </row>
    <row r="54" spans="1:148" ht="10.199999999999999" customHeight="1">
      <c r="A54" s="43" t="s">
        <v>5</v>
      </c>
      <c r="B54" s="133">
        <v>-1278</v>
      </c>
      <c r="C54" s="158">
        <v>2452</v>
      </c>
      <c r="D54" s="158">
        <v>5934</v>
      </c>
      <c r="E54" s="158">
        <v>7678</v>
      </c>
      <c r="F54" s="158">
        <v>3982</v>
      </c>
      <c r="G54" s="158">
        <v>4955</v>
      </c>
      <c r="H54" s="158">
        <v>5076</v>
      </c>
      <c r="I54" s="158">
        <v>1758</v>
      </c>
      <c r="J54" s="158">
        <v>2646</v>
      </c>
      <c r="K54" s="158">
        <v>446</v>
      </c>
      <c r="L54" s="158">
        <f>-1207+3544-2746+1033</f>
        <v>624</v>
      </c>
      <c r="M54" s="158">
        <f>146+4143-3104+1228</f>
        <v>2413</v>
      </c>
      <c r="N54" s="158"/>
      <c r="O54" s="158"/>
      <c r="P54" s="158"/>
      <c r="Q54" s="695"/>
      <c r="R54" s="158"/>
      <c r="S54" s="158"/>
      <c r="T54" s="1301">
        <v>2929</v>
      </c>
      <c r="U54" s="158">
        <v>2846</v>
      </c>
      <c r="V54" s="158">
        <f t="shared" si="672"/>
        <v>2623</v>
      </c>
      <c r="W54" s="158">
        <v>212</v>
      </c>
      <c r="X54" s="695">
        <f t="shared" si="634"/>
        <v>-1205</v>
      </c>
      <c r="Y54" s="158">
        <v>2623</v>
      </c>
      <c r="Z54" s="158">
        <f t="shared" si="635"/>
        <v>-1205</v>
      </c>
      <c r="AA54" s="1301">
        <v>-1205</v>
      </c>
      <c r="AB54" s="158">
        <v>-6072</v>
      </c>
      <c r="AC54" s="158">
        <f t="shared" si="673"/>
        <v>-3615</v>
      </c>
      <c r="AD54" s="158">
        <v>-3348</v>
      </c>
      <c r="AE54" s="695">
        <f t="shared" si="636"/>
        <v>-4316</v>
      </c>
      <c r="AF54" s="158">
        <v>-3615</v>
      </c>
      <c r="AG54" s="158">
        <f t="shared" si="637"/>
        <v>-4316</v>
      </c>
      <c r="AH54" s="1301">
        <v>-4316</v>
      </c>
      <c r="AI54" s="158">
        <v>-2014</v>
      </c>
      <c r="AJ54" s="158">
        <f t="shared" si="674"/>
        <v>-3369</v>
      </c>
      <c r="AK54" s="158">
        <v>-2777</v>
      </c>
      <c r="AL54" s="695">
        <f t="shared" si="638"/>
        <v>-4845</v>
      </c>
      <c r="AM54" s="158">
        <v>-3369</v>
      </c>
      <c r="AN54" s="158">
        <f t="shared" si="639"/>
        <v>-4845</v>
      </c>
      <c r="AO54" s="1301">
        <v>-4845</v>
      </c>
      <c r="AP54" s="158">
        <v>-3542</v>
      </c>
      <c r="AQ54" s="158">
        <f t="shared" si="675"/>
        <v>-276</v>
      </c>
      <c r="AR54" s="158">
        <v>1844</v>
      </c>
      <c r="AS54" s="695">
        <f t="shared" si="640"/>
        <v>2742</v>
      </c>
      <c r="AT54" s="158">
        <v>-276</v>
      </c>
      <c r="AU54" s="158">
        <f t="shared" si="641"/>
        <v>2742</v>
      </c>
      <c r="AV54" s="1301">
        <v>2742</v>
      </c>
      <c r="AW54" s="158"/>
      <c r="AX54" s="158"/>
      <c r="AY54" s="158"/>
      <c r="AZ54" s="695"/>
      <c r="BA54" s="158"/>
      <c r="BB54" s="158"/>
      <c r="BC54" s="1301">
        <v>2742</v>
      </c>
      <c r="BD54" s="158">
        <v>3982</v>
      </c>
      <c r="BE54" s="158">
        <f t="shared" si="676"/>
        <v>1569</v>
      </c>
      <c r="BF54" s="158">
        <v>944</v>
      </c>
      <c r="BG54" s="695">
        <f t="shared" si="642"/>
        <v>134</v>
      </c>
      <c r="BH54" s="158">
        <v>1569</v>
      </c>
      <c r="BI54" s="158">
        <f t="shared" si="643"/>
        <v>134</v>
      </c>
      <c r="BJ54" s="1301">
        <v>134</v>
      </c>
      <c r="BK54" s="158">
        <v>-157</v>
      </c>
      <c r="BL54" s="158">
        <f t="shared" si="677"/>
        <v>253</v>
      </c>
      <c r="BM54" s="158">
        <v>-2339</v>
      </c>
      <c r="BN54" s="695">
        <f t="shared" si="644"/>
        <v>-523</v>
      </c>
      <c r="BO54" s="158">
        <v>253</v>
      </c>
      <c r="BP54" s="158">
        <f t="shared" si="645"/>
        <v>-523</v>
      </c>
      <c r="BQ54" s="1301">
        <v>-523</v>
      </c>
      <c r="BR54" s="158">
        <v>-3922</v>
      </c>
      <c r="BS54" s="158">
        <f t="shared" si="678"/>
        <v>-2719</v>
      </c>
      <c r="BT54" s="158">
        <v>-1171</v>
      </c>
      <c r="BU54" s="695">
        <f t="shared" si="646"/>
        <v>1853</v>
      </c>
      <c r="BV54" s="158">
        <v>-2719</v>
      </c>
      <c r="BW54" s="158">
        <f t="shared" si="647"/>
        <v>1853</v>
      </c>
      <c r="BX54" s="1301">
        <v>1853</v>
      </c>
      <c r="BY54" s="158">
        <v>-41</v>
      </c>
      <c r="BZ54" s="158">
        <f t="shared" si="679"/>
        <v>205</v>
      </c>
      <c r="CA54" s="158">
        <v>-1006</v>
      </c>
      <c r="CB54" s="695">
        <f t="shared" si="648"/>
        <v>-1822</v>
      </c>
      <c r="CC54" s="158">
        <v>205</v>
      </c>
      <c r="CD54" s="158">
        <f t="shared" si="649"/>
        <v>-1822</v>
      </c>
      <c r="CE54" s="1301">
        <v>-1822</v>
      </c>
      <c r="CF54" s="158">
        <v>-2567</v>
      </c>
      <c r="CG54" s="158">
        <f t="shared" si="680"/>
        <v>-6316</v>
      </c>
      <c r="CH54" s="158">
        <v>-9630</v>
      </c>
      <c r="CI54" s="695">
        <f t="shared" si="650"/>
        <v>-5016</v>
      </c>
      <c r="CJ54" s="158">
        <v>-6316</v>
      </c>
      <c r="CK54" s="158">
        <f t="shared" si="651"/>
        <v>-5016</v>
      </c>
      <c r="CL54" s="1301">
        <v>-5016</v>
      </c>
      <c r="CM54" s="158">
        <v>-4132</v>
      </c>
      <c r="CN54" s="158">
        <f t="shared" si="681"/>
        <v>-3537</v>
      </c>
      <c r="CO54" s="158">
        <v>-4510</v>
      </c>
      <c r="CP54" s="695">
        <f t="shared" si="652"/>
        <v>-2305</v>
      </c>
      <c r="CQ54" s="158">
        <v>-3537</v>
      </c>
      <c r="CR54" s="158">
        <f t="shared" si="653"/>
        <v>-2305</v>
      </c>
      <c r="CS54" s="1301">
        <v>-2305</v>
      </c>
      <c r="CT54" s="158">
        <v>-2949</v>
      </c>
      <c r="CU54" s="158">
        <f t="shared" si="682"/>
        <v>-3108</v>
      </c>
      <c r="CV54" s="158">
        <v>-1358</v>
      </c>
      <c r="CW54" s="695">
        <f t="shared" si="654"/>
        <v>-3286</v>
      </c>
      <c r="CX54" s="158">
        <v>-3108</v>
      </c>
      <c r="CY54" s="158">
        <f t="shared" si="655"/>
        <v>-3286</v>
      </c>
      <c r="CZ54" s="1301">
        <v>-3286</v>
      </c>
      <c r="DA54" s="158">
        <v>-1993</v>
      </c>
      <c r="DB54" s="158">
        <f t="shared" si="683"/>
        <v>409</v>
      </c>
      <c r="DC54" s="158">
        <v>14</v>
      </c>
      <c r="DD54" s="695">
        <f t="shared" si="656"/>
        <v>-70</v>
      </c>
      <c r="DE54" s="2097">
        <v>409</v>
      </c>
      <c r="DF54" s="158">
        <f t="shared" si="657"/>
        <v>-70</v>
      </c>
      <c r="DG54" s="1364">
        <v>-70</v>
      </c>
      <c r="DH54" s="818">
        <v>-1026</v>
      </c>
      <c r="DI54" s="158">
        <f t="shared" si="684"/>
        <v>-830</v>
      </c>
      <c r="DJ54" s="819">
        <f>DI54+CFS!DJ40</f>
        <v>-830</v>
      </c>
      <c r="DK54" s="453">
        <f t="shared" si="685"/>
        <v>94</v>
      </c>
      <c r="DL54" s="2006">
        <v>-830</v>
      </c>
      <c r="DM54" s="327">
        <f t="shared" si="686"/>
        <v>94</v>
      </c>
      <c r="DN54" s="1544">
        <f>DG54+CFS!DN40</f>
        <v>94</v>
      </c>
      <c r="DO54" s="819">
        <f>DN54+CFS!DO40</f>
        <v>94</v>
      </c>
      <c r="DP54" s="327">
        <f t="shared" si="687"/>
        <v>94</v>
      </c>
      <c r="DQ54" s="819">
        <f>DP54+CFS!DQ40</f>
        <v>94</v>
      </c>
      <c r="DR54" s="453">
        <f t="shared" si="688"/>
        <v>94</v>
      </c>
      <c r="DS54" s="819">
        <f>DN54+CFS!DS40</f>
        <v>94</v>
      </c>
      <c r="DT54" s="327">
        <f t="shared" si="689"/>
        <v>94</v>
      </c>
      <c r="DU54" s="1544">
        <f>DN54+CFS!DU40</f>
        <v>94</v>
      </c>
      <c r="DV54" s="819">
        <f>DU54+CFS!DV40</f>
        <v>94</v>
      </c>
      <c r="DW54" s="327">
        <f t="shared" si="690"/>
        <v>94</v>
      </c>
      <c r="DX54" s="819">
        <f>DW54+CFS!DX40</f>
        <v>94</v>
      </c>
      <c r="DY54" s="453">
        <f t="shared" si="691"/>
        <v>94</v>
      </c>
      <c r="DZ54" s="819">
        <f>DU54+CFS!DZ40</f>
        <v>94</v>
      </c>
      <c r="EA54" s="327">
        <f t="shared" si="692"/>
        <v>94</v>
      </c>
      <c r="EB54" s="1544">
        <f>DU54+CFS!EB40</f>
        <v>94</v>
      </c>
      <c r="EC54" s="819">
        <f>EB54+CFS!EC40</f>
        <v>94</v>
      </c>
      <c r="ED54" s="327">
        <f t="shared" si="693"/>
        <v>94</v>
      </c>
      <c r="EE54" s="819">
        <f>ED54+CFS!EE40</f>
        <v>94</v>
      </c>
      <c r="EF54" s="453">
        <f t="shared" si="694"/>
        <v>94</v>
      </c>
      <c r="EG54" s="819">
        <f>EB54+CFS!EG40</f>
        <v>94</v>
      </c>
      <c r="EH54" s="327">
        <f t="shared" si="695"/>
        <v>94</v>
      </c>
      <c r="EI54" s="1544">
        <f>EB54+CFS!EI40</f>
        <v>94</v>
      </c>
      <c r="EJ54" s="819">
        <f>EI54+CFS!EJ40</f>
        <v>94</v>
      </c>
      <c r="EK54" s="327">
        <f t="shared" si="696"/>
        <v>94</v>
      </c>
      <c r="EL54" s="819">
        <f>EK54+CFS!EL40</f>
        <v>94</v>
      </c>
      <c r="EM54" s="453">
        <f t="shared" si="697"/>
        <v>94</v>
      </c>
      <c r="EN54" s="819">
        <f>EI54+CFS!EN40</f>
        <v>94</v>
      </c>
      <c r="EO54" s="327">
        <f t="shared" si="698"/>
        <v>94</v>
      </c>
      <c r="EP54" s="1544">
        <f>EI54+CFS!EP40</f>
        <v>94</v>
      </c>
      <c r="EQ54" s="303"/>
      <c r="ER54" s="46"/>
    </row>
    <row r="55" spans="1:148" ht="10.199999999999999" customHeight="1">
      <c r="A55" s="43" t="s">
        <v>322</v>
      </c>
      <c r="B55" s="212">
        <v>0</v>
      </c>
      <c r="C55" s="212">
        <v>-156</v>
      </c>
      <c r="D55" s="212">
        <v>-187</v>
      </c>
      <c r="E55" s="212">
        <v>-177</v>
      </c>
      <c r="F55" s="212">
        <v>-445</v>
      </c>
      <c r="G55" s="212">
        <v>-349</v>
      </c>
      <c r="H55" s="212">
        <v>-206</v>
      </c>
      <c r="I55" s="212">
        <v>-109</v>
      </c>
      <c r="J55" s="212">
        <v>-109</v>
      </c>
      <c r="K55" s="212">
        <v>-112</v>
      </c>
      <c r="L55" s="212">
        <v>-113</v>
      </c>
      <c r="M55" s="212">
        <v>-84</v>
      </c>
      <c r="N55" s="1562"/>
      <c r="O55" s="1562"/>
      <c r="P55" s="1562"/>
      <c r="Q55" s="1578"/>
      <c r="R55" s="1562"/>
      <c r="S55" s="1562"/>
      <c r="T55" s="1594">
        <v>-50</v>
      </c>
      <c r="U55" s="1562">
        <v>-10</v>
      </c>
      <c r="V55" s="1562">
        <f t="shared" si="672"/>
        <v>-12</v>
      </c>
      <c r="W55" s="1562">
        <v>-18</v>
      </c>
      <c r="X55" s="1578">
        <f t="shared" si="634"/>
        <v>-8</v>
      </c>
      <c r="Y55" s="1562">
        <v>-12</v>
      </c>
      <c r="Z55" s="1562">
        <f t="shared" si="635"/>
        <v>-8</v>
      </c>
      <c r="AA55" s="1594">
        <v>-8</v>
      </c>
      <c r="AB55" s="1562">
        <v>-8</v>
      </c>
      <c r="AC55" s="1562">
        <f t="shared" si="673"/>
        <v>-8</v>
      </c>
      <c r="AD55" s="1562">
        <v>-8</v>
      </c>
      <c r="AE55" s="1578">
        <f t="shared" si="636"/>
        <v>-303</v>
      </c>
      <c r="AF55" s="1562">
        <v>-8</v>
      </c>
      <c r="AG55" s="1562">
        <f t="shared" si="637"/>
        <v>-303</v>
      </c>
      <c r="AH55" s="1594">
        <v>-303</v>
      </c>
      <c r="AI55" s="1562">
        <v>-246</v>
      </c>
      <c r="AJ55" s="1562">
        <f t="shared" si="674"/>
        <v>-5</v>
      </c>
      <c r="AK55" s="1562">
        <v>-5</v>
      </c>
      <c r="AL55" s="1578">
        <f t="shared" si="638"/>
        <v>-3</v>
      </c>
      <c r="AM55" s="1562">
        <v>-5</v>
      </c>
      <c r="AN55" s="1562">
        <f t="shared" si="639"/>
        <v>-3</v>
      </c>
      <c r="AO55" s="1594">
        <v>-3</v>
      </c>
      <c r="AP55" s="1562">
        <v>-3</v>
      </c>
      <c r="AQ55" s="1562">
        <f t="shared" si="675"/>
        <v>-3</v>
      </c>
      <c r="AR55" s="1562">
        <v>-3</v>
      </c>
      <c r="AS55" s="1578">
        <f t="shared" si="640"/>
        <v>-2</v>
      </c>
      <c r="AT55" s="1562">
        <v>-3</v>
      </c>
      <c r="AU55" s="1562">
        <f t="shared" si="641"/>
        <v>-2</v>
      </c>
      <c r="AV55" s="1594">
        <v>-2</v>
      </c>
      <c r="AW55" s="1562"/>
      <c r="AX55" s="1562"/>
      <c r="AY55" s="1562"/>
      <c r="AZ55" s="1578"/>
      <c r="BA55" s="1562"/>
      <c r="BB55" s="1562"/>
      <c r="BC55" s="1594">
        <v>-2</v>
      </c>
      <c r="BD55" s="1562">
        <v>-39</v>
      </c>
      <c r="BE55" s="1562">
        <f t="shared" si="676"/>
        <v>-54</v>
      </c>
      <c r="BF55" s="1562">
        <v>-54</v>
      </c>
      <c r="BG55" s="1578">
        <f t="shared" si="642"/>
        <v>-51</v>
      </c>
      <c r="BH55" s="1562">
        <v>-54</v>
      </c>
      <c r="BI55" s="1562">
        <f t="shared" si="643"/>
        <v>-51</v>
      </c>
      <c r="BJ55" s="1594">
        <v>-51</v>
      </c>
      <c r="BK55" s="1562">
        <v>-51</v>
      </c>
      <c r="BL55" s="1562">
        <f t="shared" si="677"/>
        <v>-47</v>
      </c>
      <c r="BM55" s="1562">
        <v>-47</v>
      </c>
      <c r="BN55" s="1578">
        <f t="shared" si="644"/>
        <v>-82</v>
      </c>
      <c r="BO55" s="1562">
        <v>-47</v>
      </c>
      <c r="BP55" s="1562">
        <f t="shared" si="645"/>
        <v>-82</v>
      </c>
      <c r="BQ55" s="1594">
        <v>-82</v>
      </c>
      <c r="BR55" s="1562">
        <v>-86</v>
      </c>
      <c r="BS55" s="1562">
        <f t="shared" si="678"/>
        <v>-42</v>
      </c>
      <c r="BT55" s="1562">
        <v>-42</v>
      </c>
      <c r="BU55" s="1578">
        <f t="shared" si="646"/>
        <v>-42</v>
      </c>
      <c r="BV55" s="1562">
        <v>-42</v>
      </c>
      <c r="BW55" s="1562">
        <f t="shared" si="647"/>
        <v>-42</v>
      </c>
      <c r="BX55" s="1594">
        <v>-42</v>
      </c>
      <c r="BY55" s="1562">
        <v>-42</v>
      </c>
      <c r="BZ55" s="1562">
        <f t="shared" si="679"/>
        <v>-23</v>
      </c>
      <c r="CA55" s="1562">
        <v>-23</v>
      </c>
      <c r="CB55" s="1578">
        <f t="shared" si="648"/>
        <v>-45</v>
      </c>
      <c r="CC55" s="1562">
        <v>-23</v>
      </c>
      <c r="CD55" s="1562">
        <f t="shared" si="649"/>
        <v>-45</v>
      </c>
      <c r="CE55" s="1594">
        <v>-45</v>
      </c>
      <c r="CF55" s="1562">
        <v>-81</v>
      </c>
      <c r="CG55" s="1562">
        <f t="shared" si="680"/>
        <v>-68</v>
      </c>
      <c r="CH55" s="1562">
        <v>-68</v>
      </c>
      <c r="CI55" s="1578">
        <f t="shared" si="650"/>
        <v>-68</v>
      </c>
      <c r="CJ55" s="1562">
        <v>-68</v>
      </c>
      <c r="CK55" s="1562">
        <f t="shared" si="651"/>
        <v>-68</v>
      </c>
      <c r="CL55" s="1594">
        <v>-68</v>
      </c>
      <c r="CM55" s="1562">
        <v>-151</v>
      </c>
      <c r="CN55" s="1562">
        <f t="shared" si="681"/>
        <v>-139</v>
      </c>
      <c r="CO55" s="1562">
        <v>-139</v>
      </c>
      <c r="CP55" s="1578">
        <f t="shared" si="652"/>
        <v>-390</v>
      </c>
      <c r="CQ55" s="1562">
        <v>-139</v>
      </c>
      <c r="CR55" s="1562">
        <f t="shared" si="653"/>
        <v>-390</v>
      </c>
      <c r="CS55" s="1594">
        <v>-390</v>
      </c>
      <c r="CT55" s="1562">
        <v>-174</v>
      </c>
      <c r="CU55" s="1562">
        <f t="shared" si="682"/>
        <v>-100</v>
      </c>
      <c r="CV55" s="1562">
        <v>-232</v>
      </c>
      <c r="CW55" s="1578">
        <f t="shared" si="654"/>
        <v>-590</v>
      </c>
      <c r="CX55" s="1562">
        <v>-100</v>
      </c>
      <c r="CY55" s="1562">
        <f t="shared" si="655"/>
        <v>-590</v>
      </c>
      <c r="CZ55" s="1594">
        <v>-590</v>
      </c>
      <c r="DA55" s="1562">
        <v>-692</v>
      </c>
      <c r="DB55" s="1562">
        <f t="shared" si="683"/>
        <v>-151</v>
      </c>
      <c r="DC55" s="1562">
        <v>-518</v>
      </c>
      <c r="DD55" s="1578">
        <f t="shared" si="656"/>
        <v>-955</v>
      </c>
      <c r="DE55" s="2099">
        <v>-151</v>
      </c>
      <c r="DF55" s="1562">
        <f t="shared" si="657"/>
        <v>-955</v>
      </c>
      <c r="DG55" s="1852">
        <v>-955</v>
      </c>
      <c r="DH55" s="1807">
        <v>-955</v>
      </c>
      <c r="DI55" s="1562">
        <f t="shared" si="684"/>
        <v>-152</v>
      </c>
      <c r="DJ55" s="1572">
        <f>DI55</f>
        <v>-152</v>
      </c>
      <c r="DK55" s="1688">
        <f t="shared" si="685"/>
        <v>-955</v>
      </c>
      <c r="DL55" s="2007">
        <v>-152</v>
      </c>
      <c r="DM55" s="1687">
        <f t="shared" si="686"/>
        <v>-955</v>
      </c>
      <c r="DN55" s="1613">
        <f>DG55</f>
        <v>-955</v>
      </c>
      <c r="DO55" s="1572">
        <f>DN55</f>
        <v>-955</v>
      </c>
      <c r="DP55" s="1687">
        <f t="shared" si="687"/>
        <v>-955</v>
      </c>
      <c r="DQ55" s="1572">
        <f>DP55</f>
        <v>-955</v>
      </c>
      <c r="DR55" s="1688">
        <f t="shared" si="688"/>
        <v>-955</v>
      </c>
      <c r="DS55" s="1572">
        <f>DN55</f>
        <v>-955</v>
      </c>
      <c r="DT55" s="1687">
        <f t="shared" si="689"/>
        <v>-955</v>
      </c>
      <c r="DU55" s="1613">
        <f>DN55</f>
        <v>-955</v>
      </c>
      <c r="DV55" s="1572">
        <f>DU55</f>
        <v>-955</v>
      </c>
      <c r="DW55" s="1687">
        <f t="shared" si="690"/>
        <v>-955</v>
      </c>
      <c r="DX55" s="1572">
        <f>DW55</f>
        <v>-955</v>
      </c>
      <c r="DY55" s="1688">
        <f t="shared" si="691"/>
        <v>-955</v>
      </c>
      <c r="DZ55" s="1572">
        <f>DU55</f>
        <v>-955</v>
      </c>
      <c r="EA55" s="1687">
        <f t="shared" si="692"/>
        <v>-955</v>
      </c>
      <c r="EB55" s="1613">
        <f>DU55</f>
        <v>-955</v>
      </c>
      <c r="EC55" s="1572">
        <f>EB55</f>
        <v>-955</v>
      </c>
      <c r="ED55" s="1687">
        <f t="shared" si="693"/>
        <v>-955</v>
      </c>
      <c r="EE55" s="1572">
        <f>ED55</f>
        <v>-955</v>
      </c>
      <c r="EF55" s="1688">
        <f t="shared" si="694"/>
        <v>-955</v>
      </c>
      <c r="EG55" s="1572">
        <f>EB55</f>
        <v>-955</v>
      </c>
      <c r="EH55" s="1687">
        <f t="shared" si="695"/>
        <v>-955</v>
      </c>
      <c r="EI55" s="1613">
        <f>EB55</f>
        <v>-955</v>
      </c>
      <c r="EJ55" s="1572">
        <f>EI55</f>
        <v>-955</v>
      </c>
      <c r="EK55" s="1687">
        <f t="shared" si="696"/>
        <v>-955</v>
      </c>
      <c r="EL55" s="1572">
        <f>EK55</f>
        <v>-955</v>
      </c>
      <c r="EM55" s="1688">
        <f t="shared" si="697"/>
        <v>-955</v>
      </c>
      <c r="EN55" s="1572">
        <f>EI55</f>
        <v>-955</v>
      </c>
      <c r="EO55" s="1687">
        <f t="shared" si="698"/>
        <v>-955</v>
      </c>
      <c r="EP55" s="1613">
        <f t="shared" ref="EP55" si="700">EI55</f>
        <v>-955</v>
      </c>
      <c r="EQ55" s="303"/>
      <c r="ER55" s="46"/>
    </row>
    <row r="56" spans="1:148" ht="10.199999999999999" customHeight="1">
      <c r="A56" s="48" t="s">
        <v>261</v>
      </c>
      <c r="B56" s="113">
        <f t="shared" ref="B56:EP56" si="701">SUM(B51:B55)</f>
        <v>10436</v>
      </c>
      <c r="C56" s="113">
        <f t="shared" si="701"/>
        <v>14126</v>
      </c>
      <c r="D56" s="113">
        <f t="shared" si="701"/>
        <v>18328</v>
      </c>
      <c r="E56" s="113">
        <f t="shared" si="701"/>
        <v>16354</v>
      </c>
      <c r="F56" s="113">
        <f t="shared" si="701"/>
        <v>13902</v>
      </c>
      <c r="G56" s="113">
        <f t="shared" si="701"/>
        <v>13152</v>
      </c>
      <c r="H56" s="113">
        <f t="shared" si="701"/>
        <v>13175</v>
      </c>
      <c r="I56" s="113">
        <f t="shared" si="701"/>
        <v>11126</v>
      </c>
      <c r="J56" s="113">
        <f t="shared" si="701"/>
        <v>10641</v>
      </c>
      <c r="K56" s="113">
        <f t="shared" si="701"/>
        <v>8936</v>
      </c>
      <c r="L56" s="113">
        <f t="shared" si="701"/>
        <v>8865</v>
      </c>
      <c r="M56" s="113">
        <f t="shared" si="701"/>
        <v>10434</v>
      </c>
      <c r="N56" s="113"/>
      <c r="O56" s="113"/>
      <c r="P56" s="113"/>
      <c r="Q56" s="682"/>
      <c r="R56" s="113"/>
      <c r="S56" s="113"/>
      <c r="T56" s="340">
        <f t="shared" si="701"/>
        <v>10906</v>
      </c>
      <c r="U56" s="111">
        <f t="shared" ref="U56" si="702">SUM(U51:U55)</f>
        <v>11396</v>
      </c>
      <c r="V56" s="111">
        <f t="shared" ref="V56" si="703">SUM(V51:V55)</f>
        <v>10978</v>
      </c>
      <c r="W56" s="111">
        <f t="shared" ref="W56" si="704">SUM(W51:W55)</f>
        <v>8553</v>
      </c>
      <c r="X56" s="682">
        <f t="shared" ref="X56" si="705">SUM(X51:X55)</f>
        <v>7079</v>
      </c>
      <c r="Y56" s="111">
        <f t="shared" ref="Y56" si="706">SUM(Y51:Y55)</f>
        <v>10978</v>
      </c>
      <c r="Z56" s="113">
        <f t="shared" ref="Z56" si="707">SUM(Z51:Z55)</f>
        <v>7079</v>
      </c>
      <c r="AA56" s="340">
        <f t="shared" si="701"/>
        <v>7079</v>
      </c>
      <c r="AB56" s="111">
        <f t="shared" ref="AB56" si="708">SUM(AB51:AB55)</f>
        <v>2635</v>
      </c>
      <c r="AC56" s="111">
        <f t="shared" ref="AC56" si="709">SUM(AC51:AC55)</f>
        <v>5715</v>
      </c>
      <c r="AD56" s="111">
        <f t="shared" ref="AD56" si="710">SUM(AD51:AD55)</f>
        <v>6387</v>
      </c>
      <c r="AE56" s="682">
        <f t="shared" ref="AE56" si="711">SUM(AE51:AE55)</f>
        <v>5973</v>
      </c>
      <c r="AF56" s="111">
        <f t="shared" ref="AF56" si="712">SUM(AF51:AF55)</f>
        <v>5715</v>
      </c>
      <c r="AG56" s="113">
        <f t="shared" ref="AG56" si="713">SUM(AG51:AG55)</f>
        <v>5973</v>
      </c>
      <c r="AH56" s="340">
        <f t="shared" si="701"/>
        <v>5973</v>
      </c>
      <c r="AI56" s="111">
        <f t="shared" ref="AI56" si="714">SUM(AI51:AI55)</f>
        <v>7863</v>
      </c>
      <c r="AJ56" s="111">
        <f t="shared" ref="AJ56" si="715">SUM(AJ51:AJ55)</f>
        <v>6053</v>
      </c>
      <c r="AK56" s="111">
        <f t="shared" ref="AK56" si="716">SUM(AK51:AK55)</f>
        <v>6296</v>
      </c>
      <c r="AL56" s="682">
        <f t="shared" ref="AL56" si="717">SUM(AL51:AL55)</f>
        <v>3652</v>
      </c>
      <c r="AM56" s="111">
        <f t="shared" ref="AM56" si="718">SUM(AM51:AM55)</f>
        <v>6053</v>
      </c>
      <c r="AN56" s="113">
        <f t="shared" ref="AN56" si="719">SUM(AN51:AN55)</f>
        <v>3652</v>
      </c>
      <c r="AO56" s="340">
        <f t="shared" si="701"/>
        <v>3652</v>
      </c>
      <c r="AP56" s="111">
        <f t="shared" ref="AP56" si="720">SUM(AP51:AP55)</f>
        <v>5605</v>
      </c>
      <c r="AQ56" s="111">
        <f t="shared" ref="AQ56" si="721">SUM(AQ51:AQ55)</f>
        <v>9044</v>
      </c>
      <c r="AR56" s="111">
        <f t="shared" ref="AR56" si="722">SUM(AR51:AR55)</f>
        <v>11499</v>
      </c>
      <c r="AS56" s="682">
        <f t="shared" ref="AS56" si="723">SUM(AS51:AS55)</f>
        <v>13351</v>
      </c>
      <c r="AT56" s="111">
        <f t="shared" ref="AT56" si="724">SUM(AT51:AT55)</f>
        <v>9044</v>
      </c>
      <c r="AU56" s="113">
        <f t="shared" ref="AU56" si="725">SUM(AU51:AU55)</f>
        <v>13351</v>
      </c>
      <c r="AV56" s="340">
        <f t="shared" si="701"/>
        <v>13351</v>
      </c>
      <c r="AW56" s="113"/>
      <c r="AX56" s="113"/>
      <c r="AY56" s="113"/>
      <c r="AZ56" s="682"/>
      <c r="BA56" s="113"/>
      <c r="BB56" s="113"/>
      <c r="BC56" s="340">
        <f t="shared" si="701"/>
        <v>10742</v>
      </c>
      <c r="BD56" s="111">
        <f t="shared" ref="BD56:BE56" si="726">SUM(BD51:BD55)</f>
        <v>12066</v>
      </c>
      <c r="BE56" s="111">
        <f t="shared" si="726"/>
        <v>9191</v>
      </c>
      <c r="BF56" s="111">
        <f t="shared" ref="BF56" si="727">SUM(BF51:BF55)</f>
        <v>9526</v>
      </c>
      <c r="BG56" s="682">
        <f t="shared" ref="BG56" si="728">SUM(BG51:BG55)</f>
        <v>9719</v>
      </c>
      <c r="BH56" s="111">
        <f t="shared" ref="BH56" si="729">SUM(BH51:BH55)</f>
        <v>9191</v>
      </c>
      <c r="BI56" s="113">
        <f t="shared" ref="BI56" si="730">SUM(BI51:BI55)</f>
        <v>9719</v>
      </c>
      <c r="BJ56" s="340">
        <f t="shared" si="701"/>
        <v>9719</v>
      </c>
      <c r="BK56" s="111">
        <f t="shared" ref="BK56" si="731">SUM(BK51:BK55)</f>
        <v>8913</v>
      </c>
      <c r="BL56" s="111">
        <f t="shared" ref="BL56" si="732">SUM(BL51:BL55)</f>
        <v>7432</v>
      </c>
      <c r="BM56" s="111">
        <f t="shared" ref="BM56:BN56" si="733">SUM(BM51:BM55)</f>
        <v>4739</v>
      </c>
      <c r="BN56" s="682">
        <f t="shared" si="733"/>
        <v>5990</v>
      </c>
      <c r="BO56" s="111">
        <f t="shared" ref="BO56:BP56" si="734">SUM(BO51:BO55)</f>
        <v>7432</v>
      </c>
      <c r="BP56" s="113">
        <f t="shared" si="734"/>
        <v>5990</v>
      </c>
      <c r="BQ56" s="340">
        <f t="shared" si="701"/>
        <v>5990</v>
      </c>
      <c r="BR56" s="111">
        <f t="shared" ref="BR56" si="735">SUM(BR51:BR55)</f>
        <v>3528</v>
      </c>
      <c r="BS56" s="111">
        <f t="shared" ref="BS56" si="736">SUM(BS51:BS55)</f>
        <v>1331</v>
      </c>
      <c r="BT56" s="111">
        <f t="shared" ref="BT56" si="737">SUM(BT51:BT55)</f>
        <v>1924</v>
      </c>
      <c r="BU56" s="682">
        <f t="shared" ref="BU56" si="738">SUM(BU51:BU55)</f>
        <v>6456</v>
      </c>
      <c r="BV56" s="111">
        <f t="shared" ref="BV56" si="739">SUM(BV51:BV55)</f>
        <v>1331</v>
      </c>
      <c r="BW56" s="113">
        <f t="shared" ref="BW56" si="740">SUM(BW51:BW55)</f>
        <v>6456</v>
      </c>
      <c r="BX56" s="340">
        <f t="shared" si="701"/>
        <v>6456</v>
      </c>
      <c r="BY56" s="111">
        <f t="shared" ref="BY56" si="741">SUM(BY51:BY55)</f>
        <v>7064</v>
      </c>
      <c r="BZ56" s="111">
        <f t="shared" ref="BZ56" si="742">SUM(BZ51:BZ55)</f>
        <v>9275</v>
      </c>
      <c r="CA56" s="111">
        <f t="shared" ref="CA56" si="743">SUM(CA51:CA55)</f>
        <v>8804</v>
      </c>
      <c r="CB56" s="682">
        <f t="shared" ref="CB56" si="744">SUM(CB51:CB55)</f>
        <v>9486</v>
      </c>
      <c r="CC56" s="111">
        <f t="shared" ref="CC56" si="745">SUM(CC51:CC55)</f>
        <v>9275</v>
      </c>
      <c r="CD56" s="113">
        <f t="shared" ref="CD56" si="746">SUM(CD51:CD55)</f>
        <v>9486</v>
      </c>
      <c r="CE56" s="340">
        <f t="shared" si="701"/>
        <v>9486</v>
      </c>
      <c r="CF56" s="111">
        <f t="shared" ref="CF56:CG56" si="747">SUM(CF51:CF55)</f>
        <v>10895</v>
      </c>
      <c r="CG56" s="111">
        <f t="shared" si="747"/>
        <v>8706</v>
      </c>
      <c r="CH56" s="111">
        <f t="shared" ref="CH56" si="748">SUM(CH51:CH55)</f>
        <v>6391</v>
      </c>
      <c r="CI56" s="682">
        <f t="shared" ref="CI56" si="749">SUM(CI51:CI55)</f>
        <v>12982</v>
      </c>
      <c r="CJ56" s="111">
        <f t="shared" ref="CJ56" si="750">SUM(CJ51:CJ55)</f>
        <v>8706</v>
      </c>
      <c r="CK56" s="113">
        <f t="shared" ref="CK56" si="751">SUM(CK51:CK55)</f>
        <v>12982</v>
      </c>
      <c r="CL56" s="340">
        <f t="shared" si="701"/>
        <v>12982</v>
      </c>
      <c r="CM56" s="111">
        <f t="shared" ref="CM56:CN56" si="752">SUM(CM51:CM55)</f>
        <v>14568</v>
      </c>
      <c r="CN56" s="111">
        <f t="shared" si="752"/>
        <v>15156</v>
      </c>
      <c r="CO56" s="111">
        <f t="shared" ref="CO56:CP56" si="753">SUM(CO51:CO55)</f>
        <v>15300</v>
      </c>
      <c r="CP56" s="682">
        <f t="shared" si="753"/>
        <v>17730</v>
      </c>
      <c r="CQ56" s="111">
        <f t="shared" ref="CQ56:CR56" si="754">SUM(CQ51:CQ55)</f>
        <v>15156</v>
      </c>
      <c r="CR56" s="113">
        <f t="shared" si="754"/>
        <v>17730</v>
      </c>
      <c r="CS56" s="340">
        <f t="shared" si="701"/>
        <v>17730</v>
      </c>
      <c r="CT56" s="111">
        <f t="shared" ref="CT56:CW56" si="755">SUM(CT51:CT55)</f>
        <v>18460</v>
      </c>
      <c r="CU56" s="111">
        <f t="shared" si="755"/>
        <v>16580</v>
      </c>
      <c r="CV56" s="111">
        <f t="shared" si="755"/>
        <v>19124</v>
      </c>
      <c r="CW56" s="682">
        <f t="shared" si="755"/>
        <v>19696</v>
      </c>
      <c r="CX56" s="111">
        <f t="shared" ref="CX56:CY56" si="756">SUM(CX51:CX55)</f>
        <v>16580</v>
      </c>
      <c r="CY56" s="113">
        <f t="shared" si="756"/>
        <v>19696</v>
      </c>
      <c r="CZ56" s="340">
        <f t="shared" ref="CZ56:DB56" si="757">SUM(CZ51:CZ55)</f>
        <v>19696</v>
      </c>
      <c r="DA56" s="111">
        <f t="shared" si="757"/>
        <v>22090</v>
      </c>
      <c r="DB56" s="111">
        <f t="shared" si="757"/>
        <v>23148</v>
      </c>
      <c r="DC56" s="111">
        <f t="shared" ref="DC56:DG56" si="758">SUM(DC51:DC55)</f>
        <v>23696</v>
      </c>
      <c r="DD56" s="682">
        <f t="shared" si="758"/>
        <v>26184</v>
      </c>
      <c r="DE56" s="111">
        <f t="shared" si="758"/>
        <v>23148</v>
      </c>
      <c r="DF56" s="113">
        <f t="shared" si="758"/>
        <v>26184</v>
      </c>
      <c r="DG56" s="1273">
        <f t="shared" si="758"/>
        <v>26184</v>
      </c>
      <c r="DH56" s="549">
        <f t="shared" ref="DH56:DM56" si="759">SUM(DH51:DH55)</f>
        <v>26179</v>
      </c>
      <c r="DI56" s="111">
        <f t="shared" si="759"/>
        <v>25962</v>
      </c>
      <c r="DJ56" s="551">
        <f t="shared" si="759"/>
        <v>27343.351923007016</v>
      </c>
      <c r="DK56" s="552">
        <f t="shared" si="759"/>
        <v>29666.294541989359</v>
      </c>
      <c r="DL56" s="2010">
        <f t="shared" ref="DL56" si="760">SUM(DL51:DL55)</f>
        <v>25962</v>
      </c>
      <c r="DM56" s="551">
        <f t="shared" si="759"/>
        <v>29666.294541989359</v>
      </c>
      <c r="DN56" s="664">
        <f t="shared" si="701"/>
        <v>29666.294541989359</v>
      </c>
      <c r="DO56" s="551">
        <f t="shared" ref="DO56:DT56" si="761">SUM(DO51:DO55)</f>
        <v>31227.756579819932</v>
      </c>
      <c r="DP56" s="401">
        <f t="shared" si="761"/>
        <v>29091.549566334033</v>
      </c>
      <c r="DQ56" s="551">
        <f t="shared" si="761"/>
        <v>30834.915774605703</v>
      </c>
      <c r="DR56" s="552">
        <f t="shared" si="761"/>
        <v>32817.958559370993</v>
      </c>
      <c r="DS56" s="551">
        <f t="shared" si="761"/>
        <v>29091.549566334033</v>
      </c>
      <c r="DT56" s="551">
        <f t="shared" si="761"/>
        <v>32817.958559370993</v>
      </c>
      <c r="DU56" s="664">
        <f t="shared" si="701"/>
        <v>32817.958559370993</v>
      </c>
      <c r="DV56" s="551">
        <f t="shared" ref="DV56:EA56" si="762">SUM(DV51:DV55)</f>
        <v>34789.771603021618</v>
      </c>
      <c r="DW56" s="401">
        <f t="shared" si="762"/>
        <v>32584.771215352332</v>
      </c>
      <c r="DX56" s="551">
        <f t="shared" si="762"/>
        <v>34754.325271603462</v>
      </c>
      <c r="DY56" s="552">
        <f t="shared" si="762"/>
        <v>37243.389565146026</v>
      </c>
      <c r="DZ56" s="551">
        <f t="shared" si="762"/>
        <v>32584.771215352332</v>
      </c>
      <c r="EA56" s="551">
        <f t="shared" si="762"/>
        <v>37243.389565146026</v>
      </c>
      <c r="EB56" s="664">
        <f t="shared" si="701"/>
        <v>37243.389565146026</v>
      </c>
      <c r="EC56" s="551">
        <f t="shared" ref="EC56:EH56" si="763">SUM(EC51:EC55)</f>
        <v>39502.411881948501</v>
      </c>
      <c r="ED56" s="401">
        <f t="shared" si="763"/>
        <v>36764.093175341142</v>
      </c>
      <c r="EE56" s="551">
        <f t="shared" si="763"/>
        <v>39103.920255690849</v>
      </c>
      <c r="EF56" s="552">
        <f t="shared" si="763"/>
        <v>41789.510376992359</v>
      </c>
      <c r="EG56" s="551">
        <f t="shared" si="763"/>
        <v>36764.093175341142</v>
      </c>
      <c r="EH56" s="551">
        <f t="shared" si="763"/>
        <v>41789.510376992359</v>
      </c>
      <c r="EI56" s="664">
        <f t="shared" si="701"/>
        <v>41789.510376992359</v>
      </c>
      <c r="EJ56" s="551">
        <f t="shared" ref="EJ56:EO56" si="764">SUM(EJ51:EJ55)</f>
        <v>44204.532791132071</v>
      </c>
      <c r="EK56" s="401">
        <f t="shared" si="764"/>
        <v>42786.456873494695</v>
      </c>
      <c r="EL56" s="551">
        <f t="shared" si="764"/>
        <v>45295.641768897469</v>
      </c>
      <c r="EM56" s="552">
        <f t="shared" si="764"/>
        <v>48148.227137789312</v>
      </c>
      <c r="EN56" s="551">
        <f t="shared" si="764"/>
        <v>42786.456873494695</v>
      </c>
      <c r="EO56" s="551">
        <f t="shared" si="764"/>
        <v>48148.227137789312</v>
      </c>
      <c r="EP56" s="664">
        <f t="shared" si="701"/>
        <v>48148.227137789312</v>
      </c>
      <c r="EQ56" s="303"/>
      <c r="ER56" s="46"/>
    </row>
    <row r="57" spans="1:148" ht="10.199999999999999" customHeight="1">
      <c r="A57" s="43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695"/>
      <c r="R57" s="158"/>
      <c r="S57" s="158"/>
      <c r="T57" s="1301"/>
      <c r="U57" s="158"/>
      <c r="V57" s="158"/>
      <c r="W57" s="158"/>
      <c r="X57" s="695"/>
      <c r="Y57" s="158"/>
      <c r="Z57" s="158"/>
      <c r="AA57" s="1301"/>
      <c r="AB57" s="158"/>
      <c r="AC57" s="158"/>
      <c r="AD57" s="158"/>
      <c r="AE57" s="695"/>
      <c r="AF57" s="158"/>
      <c r="AG57" s="158"/>
      <c r="AH57" s="1301"/>
      <c r="AI57" s="158"/>
      <c r="AJ57" s="158"/>
      <c r="AK57" s="158"/>
      <c r="AL57" s="695"/>
      <c r="AM57" s="158"/>
      <c r="AN57" s="158"/>
      <c r="AO57" s="1301"/>
      <c r="AP57" s="158"/>
      <c r="AQ57" s="158"/>
      <c r="AR57" s="158"/>
      <c r="AS57" s="695"/>
      <c r="AT57" s="158"/>
      <c r="AU57" s="158"/>
      <c r="AV57" s="1301"/>
      <c r="AW57" s="158"/>
      <c r="AX57" s="158"/>
      <c r="AY57" s="158"/>
      <c r="AZ57" s="695"/>
      <c r="BA57" s="158"/>
      <c r="BB57" s="158"/>
      <c r="BC57" s="1301"/>
      <c r="BD57" s="158"/>
      <c r="BE57" s="158"/>
      <c r="BF57" s="158"/>
      <c r="BG57" s="695"/>
      <c r="BH57" s="158"/>
      <c r="BI57" s="158"/>
      <c r="BJ57" s="1301"/>
      <c r="BK57" s="158"/>
      <c r="BL57" s="158"/>
      <c r="BM57" s="158"/>
      <c r="BN57" s="695"/>
      <c r="BO57" s="158"/>
      <c r="BP57" s="158"/>
      <c r="BQ57" s="1301"/>
      <c r="BR57" s="158"/>
      <c r="BS57" s="158"/>
      <c r="BT57" s="158"/>
      <c r="BU57" s="695"/>
      <c r="BV57" s="158"/>
      <c r="BW57" s="158"/>
      <c r="BX57" s="1301"/>
      <c r="BY57" s="158"/>
      <c r="BZ57" s="158"/>
      <c r="CA57" s="158"/>
      <c r="CB57" s="695"/>
      <c r="CC57" s="158"/>
      <c r="CD57" s="158"/>
      <c r="CE57" s="1301"/>
      <c r="CF57" s="158"/>
      <c r="CG57" s="158"/>
      <c r="CH57" s="158"/>
      <c r="CI57" s="695"/>
      <c r="CJ57" s="158"/>
      <c r="CK57" s="158"/>
      <c r="CL57" s="1301"/>
      <c r="CM57" s="158"/>
      <c r="CN57" s="158"/>
      <c r="CO57" s="158"/>
      <c r="CP57" s="695"/>
      <c r="CQ57" s="158"/>
      <c r="CR57" s="158"/>
      <c r="CS57" s="1301"/>
      <c r="CT57" s="158"/>
      <c r="CU57" s="158"/>
      <c r="CV57" s="158"/>
      <c r="CW57" s="695"/>
      <c r="CX57" s="158"/>
      <c r="CY57" s="158"/>
      <c r="CZ57" s="1301"/>
      <c r="DA57" s="158"/>
      <c r="DB57" s="158"/>
      <c r="DC57" s="158"/>
      <c r="DD57" s="695"/>
      <c r="DE57" s="158"/>
      <c r="DF57" s="158"/>
      <c r="DG57" s="1364"/>
      <c r="DH57" s="818"/>
      <c r="DI57" s="158"/>
      <c r="DJ57" s="18"/>
      <c r="DK57" s="1530"/>
      <c r="DL57" s="2006"/>
      <c r="DM57" s="18"/>
      <c r="DN57" s="1503"/>
      <c r="DO57" s="18"/>
      <c r="DP57" s="327"/>
      <c r="DQ57" s="18"/>
      <c r="DR57" s="1530"/>
      <c r="DS57" s="18"/>
      <c r="DT57" s="18"/>
      <c r="DU57" s="1503"/>
      <c r="DV57" s="18"/>
      <c r="DW57" s="327"/>
      <c r="DX57" s="18"/>
      <c r="DY57" s="1530"/>
      <c r="DZ57" s="18"/>
      <c r="EA57" s="18"/>
      <c r="EB57" s="1503"/>
      <c r="EC57" s="18"/>
      <c r="ED57" s="327"/>
      <c r="EE57" s="18"/>
      <c r="EF57" s="1530"/>
      <c r="EG57" s="18"/>
      <c r="EH57" s="18"/>
      <c r="EI57" s="1503"/>
      <c r="EJ57" s="18"/>
      <c r="EK57" s="327"/>
      <c r="EL57" s="18"/>
      <c r="EM57" s="1530"/>
      <c r="EN57" s="18"/>
      <c r="EO57" s="18"/>
      <c r="EP57" s="1503"/>
      <c r="EQ57" s="303"/>
      <c r="ER57" s="46"/>
    </row>
    <row r="58" spans="1:148" ht="10.199999999999999" customHeight="1">
      <c r="A58" s="48" t="s">
        <v>268</v>
      </c>
      <c r="B58" s="119">
        <f t="shared" ref="B58:EP58" si="765">B49+B56</f>
        <v>48715</v>
      </c>
      <c r="C58" s="119">
        <f t="shared" si="765"/>
        <v>46254</v>
      </c>
      <c r="D58" s="119">
        <f t="shared" si="765"/>
        <v>54378</v>
      </c>
      <c r="E58" s="119">
        <f t="shared" si="765"/>
        <v>68163</v>
      </c>
      <c r="F58" s="119">
        <f t="shared" si="765"/>
        <v>70385</v>
      </c>
      <c r="G58" s="119">
        <f t="shared" si="765"/>
        <v>72137</v>
      </c>
      <c r="H58" s="119">
        <f t="shared" si="765"/>
        <v>75456</v>
      </c>
      <c r="I58" s="119">
        <f t="shared" si="765"/>
        <v>76153</v>
      </c>
      <c r="J58" s="119">
        <f t="shared" si="765"/>
        <v>80304</v>
      </c>
      <c r="K58" s="119">
        <f t="shared" si="765"/>
        <v>83187</v>
      </c>
      <c r="L58" s="119">
        <f t="shared" si="765"/>
        <v>88482</v>
      </c>
      <c r="M58" s="119">
        <f t="shared" si="765"/>
        <v>92102</v>
      </c>
      <c r="N58" s="119"/>
      <c r="O58" s="119"/>
      <c r="P58" s="119"/>
      <c r="Q58" s="702"/>
      <c r="R58" s="119"/>
      <c r="S58" s="119"/>
      <c r="T58" s="349">
        <f t="shared" si="765"/>
        <v>90274</v>
      </c>
      <c r="U58" s="119">
        <f t="shared" ref="U58:X58" si="766">U49+U56</f>
        <v>90893</v>
      </c>
      <c r="V58" s="119">
        <f t="shared" si="766"/>
        <v>91211</v>
      </c>
      <c r="W58" s="119">
        <f t="shared" si="766"/>
        <v>91123</v>
      </c>
      <c r="X58" s="702">
        <f t="shared" si="766"/>
        <v>96102</v>
      </c>
      <c r="Y58" s="119">
        <f t="shared" ref="Y58:Z58" si="767">Y49+Y56</f>
        <v>91211</v>
      </c>
      <c r="Z58" s="119">
        <f t="shared" si="767"/>
        <v>96102</v>
      </c>
      <c r="AA58" s="349">
        <f t="shared" si="765"/>
        <v>96102</v>
      </c>
      <c r="AB58" s="119">
        <f t="shared" ref="AB58:AE58" si="768">AB49+AB56</f>
        <v>105112</v>
      </c>
      <c r="AC58" s="119">
        <f t="shared" si="768"/>
        <v>103145</v>
      </c>
      <c r="AD58" s="119">
        <f t="shared" si="768"/>
        <v>104980</v>
      </c>
      <c r="AE58" s="702">
        <f t="shared" si="768"/>
        <v>106681</v>
      </c>
      <c r="AF58" s="119">
        <f t="shared" ref="AF58:AG58" si="769">AF49+AF56</f>
        <v>103145</v>
      </c>
      <c r="AG58" s="119">
        <f t="shared" si="769"/>
        <v>106681</v>
      </c>
      <c r="AH58" s="349">
        <f t="shared" si="765"/>
        <v>106681</v>
      </c>
      <c r="AI58" s="119">
        <f t="shared" ref="AI58:AL58" si="770">AI49+AI56</f>
        <v>109390</v>
      </c>
      <c r="AJ58" s="119">
        <f t="shared" si="770"/>
        <v>109482</v>
      </c>
      <c r="AK58" s="119">
        <f t="shared" si="770"/>
        <v>109406</v>
      </c>
      <c r="AL58" s="702">
        <f t="shared" si="770"/>
        <v>111133</v>
      </c>
      <c r="AM58" s="119">
        <f t="shared" ref="AM58:AN58" si="771">AM49+AM56</f>
        <v>109482</v>
      </c>
      <c r="AN58" s="119">
        <f t="shared" si="771"/>
        <v>111133</v>
      </c>
      <c r="AO58" s="349">
        <f t="shared" si="765"/>
        <v>111133</v>
      </c>
      <c r="AP58" s="119">
        <f t="shared" ref="AP58:AS58" si="772">AP49+AP56</f>
        <v>113762</v>
      </c>
      <c r="AQ58" s="119">
        <f t="shared" si="772"/>
        <v>113433</v>
      </c>
      <c r="AR58" s="119">
        <f t="shared" si="772"/>
        <v>113463</v>
      </c>
      <c r="AS58" s="702">
        <f t="shared" si="772"/>
        <v>113937</v>
      </c>
      <c r="AT58" s="119">
        <f t="shared" ref="AT58:AU58" si="773">AT49+AT56</f>
        <v>113433</v>
      </c>
      <c r="AU58" s="119">
        <f t="shared" si="773"/>
        <v>113937</v>
      </c>
      <c r="AV58" s="349">
        <f t="shared" si="765"/>
        <v>113937</v>
      </c>
      <c r="AW58" s="119"/>
      <c r="AX58" s="119"/>
      <c r="AY58" s="119"/>
      <c r="AZ58" s="702"/>
      <c r="BA58" s="119"/>
      <c r="BB58" s="119"/>
      <c r="BC58" s="349">
        <f t="shared" si="765"/>
        <v>109449</v>
      </c>
      <c r="BD58" s="119">
        <f t="shared" ref="BD58:BG58" si="774">BD49+BD56</f>
        <v>112477</v>
      </c>
      <c r="BE58" s="119">
        <f t="shared" si="774"/>
        <v>108287</v>
      </c>
      <c r="BF58" s="119">
        <f t="shared" si="774"/>
        <v>116046</v>
      </c>
      <c r="BG58" s="702">
        <f t="shared" si="774"/>
        <v>115198</v>
      </c>
      <c r="BH58" s="119">
        <f t="shared" ref="BH58:BI58" si="775">BH49+BH56</f>
        <v>108287</v>
      </c>
      <c r="BI58" s="119">
        <f t="shared" si="775"/>
        <v>115198</v>
      </c>
      <c r="BJ58" s="349">
        <f t="shared" si="765"/>
        <v>115198</v>
      </c>
      <c r="BK58" s="119">
        <f t="shared" ref="BK58:BN58" si="776">BK49+BK56</f>
        <v>117470</v>
      </c>
      <c r="BL58" s="119">
        <f t="shared" si="776"/>
        <v>112456</v>
      </c>
      <c r="BM58" s="119">
        <f t="shared" si="776"/>
        <v>114301</v>
      </c>
      <c r="BN58" s="702">
        <f t="shared" si="776"/>
        <v>114409</v>
      </c>
      <c r="BO58" s="119">
        <f t="shared" ref="BO58:BP58" si="777">BO49+BO56</f>
        <v>112456</v>
      </c>
      <c r="BP58" s="119">
        <f t="shared" si="777"/>
        <v>114409</v>
      </c>
      <c r="BQ58" s="349">
        <f t="shared" si="765"/>
        <v>114409</v>
      </c>
      <c r="BR58" s="119">
        <f t="shared" ref="BR58:BU58" si="778">BR49+BR56</f>
        <v>114003</v>
      </c>
      <c r="BS58" s="119">
        <f t="shared" si="778"/>
        <v>112871</v>
      </c>
      <c r="BT58" s="119">
        <f t="shared" si="778"/>
        <v>113306</v>
      </c>
      <c r="BU58" s="702">
        <f t="shared" si="778"/>
        <v>110095</v>
      </c>
      <c r="BV58" s="119">
        <f t="shared" ref="BV58:BW58" si="779">BV49+BV56</f>
        <v>112871</v>
      </c>
      <c r="BW58" s="119">
        <f t="shared" si="779"/>
        <v>110095</v>
      </c>
      <c r="BX58" s="349">
        <f t="shared" si="765"/>
        <v>110095</v>
      </c>
      <c r="BY58" s="119">
        <f t="shared" ref="BY58:CB58" si="780">BY49+BY56</f>
        <v>111243</v>
      </c>
      <c r="BZ58" s="119">
        <f t="shared" si="780"/>
        <v>107420</v>
      </c>
      <c r="CA58" s="119">
        <f t="shared" si="780"/>
        <v>108196</v>
      </c>
      <c r="CB58" s="702">
        <f t="shared" si="780"/>
        <v>107047</v>
      </c>
      <c r="CC58" s="119">
        <f t="shared" ref="CC58:CD58" si="781">CC49+CC56</f>
        <v>107420</v>
      </c>
      <c r="CD58" s="119">
        <f t="shared" si="781"/>
        <v>107047</v>
      </c>
      <c r="CE58" s="349">
        <f t="shared" si="765"/>
        <v>107047</v>
      </c>
      <c r="CF58" s="119">
        <f t="shared" ref="CF58:CI58" si="782">CF49+CF56</f>
        <v>110157</v>
      </c>
      <c r="CG58" s="119">
        <f t="shared" si="782"/>
        <v>113644</v>
      </c>
      <c r="CH58" s="119">
        <f t="shared" si="782"/>
        <v>121338</v>
      </c>
      <c r="CI58" s="702">
        <f t="shared" si="782"/>
        <v>115944</v>
      </c>
      <c r="CJ58" s="119">
        <f t="shared" ref="CJ58:CK58" si="783">CJ49+CJ56</f>
        <v>113644</v>
      </c>
      <c r="CK58" s="119">
        <f t="shared" si="783"/>
        <v>115944</v>
      </c>
      <c r="CL58" s="349">
        <f t="shared" si="765"/>
        <v>115944</v>
      </c>
      <c r="CM58" s="119">
        <f t="shared" ref="CM58:CP58" si="784">CM49+CM56</f>
        <v>118060</v>
      </c>
      <c r="CN58" s="119">
        <f t="shared" si="784"/>
        <v>119089</v>
      </c>
      <c r="CO58" s="119">
        <f t="shared" si="784"/>
        <v>121099</v>
      </c>
      <c r="CP58" s="702">
        <f t="shared" si="784"/>
        <v>118871</v>
      </c>
      <c r="CQ58" s="119">
        <f t="shared" ref="CQ58:CR58" si="785">CQ49+CQ56</f>
        <v>119089</v>
      </c>
      <c r="CR58" s="119">
        <f t="shared" si="785"/>
        <v>118871</v>
      </c>
      <c r="CS58" s="349">
        <f t="shared" si="765"/>
        <v>118871</v>
      </c>
      <c r="CT58" s="119">
        <f t="shared" ref="CT58:CW58" si="786">CT49+CT56</f>
        <v>122757</v>
      </c>
      <c r="CU58" s="119">
        <f t="shared" si="786"/>
        <v>123040</v>
      </c>
      <c r="CV58" s="119">
        <f t="shared" si="786"/>
        <v>124058</v>
      </c>
      <c r="CW58" s="702">
        <f t="shared" si="786"/>
        <v>129213</v>
      </c>
      <c r="CX58" s="119">
        <f t="shared" ref="CX58:DB58" si="787">CX49+CX56</f>
        <v>123040</v>
      </c>
      <c r="CY58" s="119">
        <f t="shared" si="787"/>
        <v>129213</v>
      </c>
      <c r="CZ58" s="349">
        <f t="shared" si="787"/>
        <v>129213</v>
      </c>
      <c r="DA58" s="119">
        <f t="shared" si="787"/>
        <v>132400</v>
      </c>
      <c r="DB58" s="119">
        <f t="shared" si="787"/>
        <v>129040</v>
      </c>
      <c r="DC58" s="119">
        <f t="shared" ref="DC58:DG58" si="788">DC49+DC56</f>
        <v>129670</v>
      </c>
      <c r="DD58" s="702">
        <f t="shared" si="788"/>
        <v>134939</v>
      </c>
      <c r="DE58" s="119">
        <f t="shared" si="788"/>
        <v>129040</v>
      </c>
      <c r="DF58" s="119">
        <f t="shared" si="788"/>
        <v>134939</v>
      </c>
      <c r="DG58" s="349">
        <f t="shared" si="788"/>
        <v>134939</v>
      </c>
      <c r="DH58" s="24">
        <f t="shared" si="765"/>
        <v>138700</v>
      </c>
      <c r="DI58" s="119">
        <f t="shared" si="765"/>
        <v>139002</v>
      </c>
      <c r="DJ58" s="464">
        <f t="shared" si="765"/>
        <v>133078.45558561178</v>
      </c>
      <c r="DK58" s="465">
        <f t="shared" si="765"/>
        <v>141612.39196841299</v>
      </c>
      <c r="DL58" s="2008">
        <f t="shared" ref="DL58" si="789">DL49+DL56</f>
        <v>139002</v>
      </c>
      <c r="DM58" s="464">
        <f t="shared" si="765"/>
        <v>141612.39196841299</v>
      </c>
      <c r="DN58" s="1614">
        <f t="shared" si="765"/>
        <v>141612.39196841299</v>
      </c>
      <c r="DO58" s="464">
        <f t="shared" si="765"/>
        <v>138415.8218058419</v>
      </c>
      <c r="DP58" s="462">
        <f t="shared" si="765"/>
        <v>140238.10463388183</v>
      </c>
      <c r="DQ58" s="464">
        <f t="shared" si="765"/>
        <v>145536.49634560762</v>
      </c>
      <c r="DR58" s="465">
        <f t="shared" si="765"/>
        <v>148410.95104870811</v>
      </c>
      <c r="DS58" s="464">
        <f t="shared" si="765"/>
        <v>140238.10463388183</v>
      </c>
      <c r="DT58" s="464">
        <f t="shared" si="765"/>
        <v>148410.95104870811</v>
      </c>
      <c r="DU58" s="1614">
        <f t="shared" si="765"/>
        <v>148410.95104870811</v>
      </c>
      <c r="DV58" s="464">
        <f t="shared" si="765"/>
        <v>144384.22090968135</v>
      </c>
      <c r="DW58" s="462">
        <f t="shared" si="765"/>
        <v>146305.80803096143</v>
      </c>
      <c r="DX58" s="464">
        <f t="shared" si="765"/>
        <v>152199.83015413396</v>
      </c>
      <c r="DY58" s="465">
        <f t="shared" si="765"/>
        <v>155823.13539798997</v>
      </c>
      <c r="DZ58" s="464">
        <f t="shared" si="765"/>
        <v>146305.80803096143</v>
      </c>
      <c r="EA58" s="464">
        <f t="shared" si="765"/>
        <v>155823.13539798997</v>
      </c>
      <c r="EB58" s="1614">
        <f t="shared" si="765"/>
        <v>155823.13539798997</v>
      </c>
      <c r="EC58" s="464">
        <f t="shared" si="765"/>
        <v>153722.78985373495</v>
      </c>
      <c r="ED58" s="462">
        <f t="shared" si="765"/>
        <v>153789.20858898773</v>
      </c>
      <c r="EE58" s="464">
        <f t="shared" si="765"/>
        <v>158515.13418125419</v>
      </c>
      <c r="EF58" s="465">
        <f t="shared" si="765"/>
        <v>163100.08249189553</v>
      </c>
      <c r="EG58" s="464">
        <f t="shared" si="765"/>
        <v>153789.20858898773</v>
      </c>
      <c r="EH58" s="464">
        <f t="shared" si="765"/>
        <v>163100.08249189553</v>
      </c>
      <c r="EI58" s="1614">
        <f t="shared" si="765"/>
        <v>163100.08249189553</v>
      </c>
      <c r="EJ58" s="464">
        <f t="shared" si="765"/>
        <v>160502.69961267919</v>
      </c>
      <c r="EK58" s="462">
        <f t="shared" si="765"/>
        <v>162017.1748370626</v>
      </c>
      <c r="EL58" s="464">
        <f t="shared" si="765"/>
        <v>167023.78289218486</v>
      </c>
      <c r="EM58" s="465">
        <f t="shared" si="765"/>
        <v>171830.60315617936</v>
      </c>
      <c r="EN58" s="464">
        <f t="shared" si="765"/>
        <v>162017.1748370626</v>
      </c>
      <c r="EO58" s="464">
        <f t="shared" si="765"/>
        <v>171830.60315617936</v>
      </c>
      <c r="EP58" s="1614">
        <f t="shared" si="765"/>
        <v>171830.60315617936</v>
      </c>
      <c r="EQ58" s="303"/>
      <c r="ER58" s="46"/>
    </row>
    <row r="59" spans="1:148" ht="10.199999999999999" customHeight="1">
      <c r="A59" s="1206" t="s">
        <v>270</v>
      </c>
      <c r="B59" s="1682">
        <f t="shared" ref="B59:L59" si="790">B24-B58</f>
        <v>0</v>
      </c>
      <c r="C59" s="1682">
        <f t="shared" si="790"/>
        <v>0</v>
      </c>
      <c r="D59" s="1683">
        <f t="shared" si="790"/>
        <v>0</v>
      </c>
      <c r="E59" s="1683">
        <f t="shared" si="790"/>
        <v>0</v>
      </c>
      <c r="F59" s="1683">
        <f t="shared" si="790"/>
        <v>0</v>
      </c>
      <c r="G59" s="1683">
        <f t="shared" si="790"/>
        <v>0</v>
      </c>
      <c r="H59" s="1683">
        <f t="shared" si="790"/>
        <v>0</v>
      </c>
      <c r="I59" s="1683">
        <f t="shared" si="790"/>
        <v>0</v>
      </c>
      <c r="J59" s="1683">
        <f t="shared" si="790"/>
        <v>0</v>
      </c>
      <c r="K59" s="1683">
        <f t="shared" si="790"/>
        <v>0</v>
      </c>
      <c r="L59" s="1683">
        <f t="shared" si="790"/>
        <v>0</v>
      </c>
      <c r="M59" s="1682">
        <f t="shared" ref="M59:CS59" si="791">ROUND(M58-M24,2)</f>
        <v>0</v>
      </c>
      <c r="N59" s="1682"/>
      <c r="O59" s="1682"/>
      <c r="P59" s="1682"/>
      <c r="Q59" s="1352"/>
      <c r="R59" s="1682"/>
      <c r="S59" s="1682"/>
      <c r="T59" s="748">
        <f t="shared" si="791"/>
        <v>0</v>
      </c>
      <c r="U59" s="767">
        <f t="shared" ref="U59" si="792">ROUND(U58-U24,2)</f>
        <v>0</v>
      </c>
      <c r="V59" s="767">
        <f t="shared" ref="V59" si="793">V58-V24</f>
        <v>0</v>
      </c>
      <c r="W59" s="767">
        <f t="shared" ref="W59" si="794">ROUND(W58-W24,2)</f>
        <v>0</v>
      </c>
      <c r="X59" s="1352">
        <f t="shared" ref="X59" si="795">X58-X24</f>
        <v>0</v>
      </c>
      <c r="Y59" s="767">
        <f t="shared" ref="Y59" si="796">ROUND(Y58-Y24,2)</f>
        <v>0</v>
      </c>
      <c r="Z59" s="1682">
        <f t="shared" ref="Z59" si="797">Z58-Z24</f>
        <v>0</v>
      </c>
      <c r="AA59" s="748">
        <f t="shared" si="791"/>
        <v>0</v>
      </c>
      <c r="AB59" s="767">
        <f t="shared" ref="AB59" si="798">ROUND(AB58-AB24,2)</f>
        <v>0</v>
      </c>
      <c r="AC59" s="767">
        <f t="shared" ref="AC59" si="799">AC58-AC24</f>
        <v>0</v>
      </c>
      <c r="AD59" s="767">
        <f t="shared" ref="AD59" si="800">ROUND(AD58-AD24,2)</f>
        <v>0</v>
      </c>
      <c r="AE59" s="1352">
        <f t="shared" ref="AE59" si="801">AE58-AE24</f>
        <v>0</v>
      </c>
      <c r="AF59" s="767">
        <f t="shared" ref="AF59" si="802">ROUND(AF58-AF24,2)</f>
        <v>0</v>
      </c>
      <c r="AG59" s="1682">
        <f t="shared" ref="AG59" si="803">AG58-AG24</f>
        <v>0</v>
      </c>
      <c r="AH59" s="748">
        <f t="shared" si="791"/>
        <v>0</v>
      </c>
      <c r="AI59" s="767">
        <f t="shared" ref="AI59" si="804">ROUND(AI58-AI24,2)</f>
        <v>0</v>
      </c>
      <c r="AJ59" s="767">
        <f t="shared" ref="AJ59" si="805">AJ58-AJ24</f>
        <v>0</v>
      </c>
      <c r="AK59" s="767">
        <f t="shared" ref="AK59" si="806">ROUND(AK58-AK24,2)</f>
        <v>0</v>
      </c>
      <c r="AL59" s="1352">
        <f t="shared" ref="AL59" si="807">AL58-AL24</f>
        <v>0</v>
      </c>
      <c r="AM59" s="767">
        <f t="shared" ref="AM59" si="808">ROUND(AM58-AM24,2)</f>
        <v>0</v>
      </c>
      <c r="AN59" s="1682">
        <f t="shared" ref="AN59" si="809">AN58-AN24</f>
        <v>0</v>
      </c>
      <c r="AO59" s="748">
        <f t="shared" si="791"/>
        <v>0</v>
      </c>
      <c r="AP59" s="767">
        <f t="shared" ref="AP59" si="810">ROUND(AP58-AP24,2)</f>
        <v>0</v>
      </c>
      <c r="AQ59" s="767">
        <f t="shared" ref="AQ59" si="811">AQ58-AQ24</f>
        <v>0</v>
      </c>
      <c r="AR59" s="767">
        <f t="shared" ref="AR59" si="812">ROUND(AR58-AR24,2)</f>
        <v>0</v>
      </c>
      <c r="AS59" s="1352">
        <f t="shared" ref="AS59" si="813">AS58-AS24</f>
        <v>0</v>
      </c>
      <c r="AT59" s="767">
        <f t="shared" ref="AT59" si="814">ROUND(AT58-AT24,2)</f>
        <v>0</v>
      </c>
      <c r="AU59" s="1682">
        <f t="shared" ref="AU59" si="815">AU58-AU24</f>
        <v>0</v>
      </c>
      <c r="AV59" s="748">
        <f t="shared" si="791"/>
        <v>0</v>
      </c>
      <c r="AW59" s="1682"/>
      <c r="AX59" s="1682"/>
      <c r="AY59" s="1682"/>
      <c r="AZ59" s="1352"/>
      <c r="BA59" s="1682"/>
      <c r="BB59" s="1682"/>
      <c r="BC59" s="748">
        <f t="shared" si="791"/>
        <v>0</v>
      </c>
      <c r="BD59" s="767">
        <f t="shared" ref="BD59" si="816">ROUND(BD58-BD24,2)</f>
        <v>0</v>
      </c>
      <c r="BE59" s="767">
        <f t="shared" ref="BE59" si="817">BE58-BE24</f>
        <v>0</v>
      </c>
      <c r="BF59" s="767">
        <f t="shared" ref="BF59" si="818">ROUND(BF58-BF24,2)</f>
        <v>0</v>
      </c>
      <c r="BG59" s="1352">
        <f t="shared" ref="BG59" si="819">BG58-BG24</f>
        <v>0</v>
      </c>
      <c r="BH59" s="767">
        <f t="shared" ref="BH59" si="820">ROUND(BH58-BH24,2)</f>
        <v>0</v>
      </c>
      <c r="BI59" s="1682">
        <f t="shared" ref="BI59" si="821">BI58-BI24</f>
        <v>0</v>
      </c>
      <c r="BJ59" s="748">
        <f t="shared" si="791"/>
        <v>0</v>
      </c>
      <c r="BK59" s="767">
        <f t="shared" ref="BK59" si="822">ROUND(BK58-BK24,2)</f>
        <v>0</v>
      </c>
      <c r="BL59" s="767">
        <f t="shared" ref="BL59" si="823">BL58-BL24</f>
        <v>0</v>
      </c>
      <c r="BM59" s="767">
        <f t="shared" ref="BM59" si="824">ROUND(BM58-BM24,2)</f>
        <v>0</v>
      </c>
      <c r="BN59" s="1352">
        <f t="shared" ref="BN59" si="825">BN58-BN24</f>
        <v>0</v>
      </c>
      <c r="BO59" s="767">
        <f t="shared" ref="BO59" si="826">ROUND(BO58-BO24,2)</f>
        <v>0</v>
      </c>
      <c r="BP59" s="1682">
        <f t="shared" ref="BP59" si="827">BP58-BP24</f>
        <v>0</v>
      </c>
      <c r="BQ59" s="748">
        <f t="shared" si="791"/>
        <v>0</v>
      </c>
      <c r="BR59" s="767">
        <f t="shared" ref="BR59" si="828">ROUND(BR58-BR24,2)</f>
        <v>0</v>
      </c>
      <c r="BS59" s="767">
        <f t="shared" ref="BS59" si="829">BS58-BS24</f>
        <v>0</v>
      </c>
      <c r="BT59" s="767">
        <f t="shared" ref="BT59" si="830">ROUND(BT58-BT24,2)</f>
        <v>0</v>
      </c>
      <c r="BU59" s="1352">
        <f t="shared" ref="BU59" si="831">BU58-BU24</f>
        <v>0</v>
      </c>
      <c r="BV59" s="767">
        <f t="shared" ref="BV59" si="832">ROUND(BV58-BV24,2)</f>
        <v>0</v>
      </c>
      <c r="BW59" s="1682">
        <f t="shared" ref="BW59" si="833">BW58-BW24</f>
        <v>0</v>
      </c>
      <c r="BX59" s="748">
        <f t="shared" si="791"/>
        <v>0</v>
      </c>
      <c r="BY59" s="767">
        <f t="shared" ref="BY59" si="834">ROUND(BY58-BY24,2)</f>
        <v>0</v>
      </c>
      <c r="BZ59" s="767">
        <f t="shared" ref="BZ59" si="835">BZ58-BZ24</f>
        <v>0</v>
      </c>
      <c r="CA59" s="767">
        <f t="shared" ref="CA59" si="836">ROUND(CA58-CA24,2)</f>
        <v>0</v>
      </c>
      <c r="CB59" s="1352">
        <f t="shared" ref="CB59" si="837">CB58-CB24</f>
        <v>0</v>
      </c>
      <c r="CC59" s="767">
        <f t="shared" ref="CC59" si="838">ROUND(CC58-CC24,2)</f>
        <v>0</v>
      </c>
      <c r="CD59" s="1682">
        <f t="shared" ref="CD59" si="839">CD58-CD24</f>
        <v>0</v>
      </c>
      <c r="CE59" s="748">
        <f t="shared" si="791"/>
        <v>0</v>
      </c>
      <c r="CF59" s="767">
        <f t="shared" ref="CF59" si="840">ROUND(CF58-CF24,2)</f>
        <v>0</v>
      </c>
      <c r="CG59" s="767">
        <f t="shared" ref="CG59" si="841">CG58-CG24</f>
        <v>0</v>
      </c>
      <c r="CH59" s="767">
        <f t="shared" ref="CH59" si="842">ROUND(CH58-CH24,2)</f>
        <v>0</v>
      </c>
      <c r="CI59" s="1352">
        <f t="shared" ref="CI59" si="843">CI58-CI24</f>
        <v>0</v>
      </c>
      <c r="CJ59" s="767">
        <f t="shared" ref="CJ59" si="844">ROUND(CJ58-CJ24,2)</f>
        <v>0</v>
      </c>
      <c r="CK59" s="1682">
        <f t="shared" ref="CK59" si="845">CK58-CK24</f>
        <v>0</v>
      </c>
      <c r="CL59" s="748">
        <f t="shared" si="791"/>
        <v>0</v>
      </c>
      <c r="CM59" s="767">
        <f t="shared" ref="CM59" si="846">ROUND(CM58-CM24,2)</f>
        <v>0</v>
      </c>
      <c r="CN59" s="767">
        <f t="shared" ref="CN59" si="847">CN58-CN24</f>
        <v>0</v>
      </c>
      <c r="CO59" s="767">
        <f t="shared" ref="CO59" si="848">ROUND(CO58-CO24,2)</f>
        <v>0</v>
      </c>
      <c r="CP59" s="1352">
        <f t="shared" ref="CP59" si="849">CP58-CP24</f>
        <v>0</v>
      </c>
      <c r="CQ59" s="767">
        <f t="shared" ref="CQ59" si="850">ROUND(CQ58-CQ24,2)</f>
        <v>0</v>
      </c>
      <c r="CR59" s="1682">
        <f t="shared" ref="CR59" si="851">CR58-CR24</f>
        <v>0</v>
      </c>
      <c r="CS59" s="748">
        <f t="shared" si="791"/>
        <v>0</v>
      </c>
      <c r="CT59" s="767">
        <f>CT58-CT24</f>
        <v>0</v>
      </c>
      <c r="CU59" s="767">
        <f t="shared" ref="CU59:EP59" si="852">CU58-CU24</f>
        <v>0</v>
      </c>
      <c r="CV59" s="767">
        <f t="shared" si="852"/>
        <v>0</v>
      </c>
      <c r="CW59" s="1352">
        <f t="shared" si="852"/>
        <v>0</v>
      </c>
      <c r="CX59" s="767">
        <f t="shared" si="852"/>
        <v>0</v>
      </c>
      <c r="CY59" s="1682">
        <f t="shared" si="852"/>
        <v>0</v>
      </c>
      <c r="CZ59" s="748">
        <f t="shared" ref="CZ59" si="853">ROUND(CZ58-CZ24,2)</f>
        <v>0</v>
      </c>
      <c r="DA59" s="654">
        <f t="shared" si="852"/>
        <v>0</v>
      </c>
      <c r="DB59" s="767">
        <f t="shared" ref="DB59" si="854">DB58-DB24</f>
        <v>0</v>
      </c>
      <c r="DC59" s="767">
        <f t="shared" ref="DC59:DD59" si="855">DC58-DC24</f>
        <v>0</v>
      </c>
      <c r="DD59" s="1352">
        <f t="shared" si="855"/>
        <v>0</v>
      </c>
      <c r="DE59" s="654">
        <f t="shared" si="852"/>
        <v>0</v>
      </c>
      <c r="DF59" s="1682">
        <f t="shared" ref="DF59" si="856">DF58-DF24</f>
        <v>0</v>
      </c>
      <c r="DG59" s="748">
        <f t="shared" ref="DG59" si="857">ROUND(DG58-DG24,2)</f>
        <v>0</v>
      </c>
      <c r="DH59" s="530">
        <f t="shared" ref="DH59:DM59" si="858">DH58-DH24</f>
        <v>0</v>
      </c>
      <c r="DI59" s="767">
        <f t="shared" si="858"/>
        <v>0</v>
      </c>
      <c r="DJ59" s="654">
        <f t="shared" si="858"/>
        <v>0</v>
      </c>
      <c r="DK59" s="1352">
        <f t="shared" si="858"/>
        <v>0</v>
      </c>
      <c r="DL59" s="654">
        <f t="shared" ref="DL59" si="859">DL58-DL24</f>
        <v>0</v>
      </c>
      <c r="DM59" s="654">
        <f t="shared" si="858"/>
        <v>0</v>
      </c>
      <c r="DN59" s="386">
        <f t="shared" si="852"/>
        <v>0</v>
      </c>
      <c r="DO59" s="654">
        <f t="shared" ref="DO59:DT59" si="860">DO58-DO24</f>
        <v>0</v>
      </c>
      <c r="DP59" s="767">
        <f t="shared" si="860"/>
        <v>0</v>
      </c>
      <c r="DQ59" s="654">
        <f t="shared" si="860"/>
        <v>0</v>
      </c>
      <c r="DR59" s="1352">
        <f t="shared" si="860"/>
        <v>0</v>
      </c>
      <c r="DS59" s="654">
        <f t="shared" si="860"/>
        <v>0</v>
      </c>
      <c r="DT59" s="654">
        <f t="shared" si="860"/>
        <v>0</v>
      </c>
      <c r="DU59" s="386">
        <f t="shared" si="852"/>
        <v>0</v>
      </c>
      <c r="DV59" s="654">
        <f t="shared" ref="DV59:EA59" si="861">DV58-DV24</f>
        <v>0</v>
      </c>
      <c r="DW59" s="767">
        <f t="shared" si="861"/>
        <v>0</v>
      </c>
      <c r="DX59" s="654">
        <f t="shared" si="861"/>
        <v>0</v>
      </c>
      <c r="DY59" s="1352">
        <f t="shared" si="861"/>
        <v>0</v>
      </c>
      <c r="DZ59" s="654">
        <f t="shared" si="861"/>
        <v>0</v>
      </c>
      <c r="EA59" s="654">
        <f t="shared" si="861"/>
        <v>0</v>
      </c>
      <c r="EB59" s="386">
        <f t="shared" si="852"/>
        <v>0</v>
      </c>
      <c r="EC59" s="654">
        <f t="shared" ref="EC59:EH59" si="862">EC58-EC24</f>
        <v>0</v>
      </c>
      <c r="ED59" s="767">
        <f t="shared" si="862"/>
        <v>0</v>
      </c>
      <c r="EE59" s="654">
        <f t="shared" si="862"/>
        <v>0</v>
      </c>
      <c r="EF59" s="1352">
        <f t="shared" si="862"/>
        <v>0</v>
      </c>
      <c r="EG59" s="654">
        <f t="shared" si="862"/>
        <v>0</v>
      </c>
      <c r="EH59" s="654">
        <f t="shared" si="862"/>
        <v>0</v>
      </c>
      <c r="EI59" s="386">
        <f t="shared" si="852"/>
        <v>0</v>
      </c>
      <c r="EJ59" s="654">
        <f t="shared" ref="EJ59:EO59" si="863">EJ58-EJ24</f>
        <v>0</v>
      </c>
      <c r="EK59" s="767">
        <f t="shared" si="863"/>
        <v>0</v>
      </c>
      <c r="EL59" s="654">
        <f t="shared" si="863"/>
        <v>0</v>
      </c>
      <c r="EM59" s="1352">
        <f t="shared" si="863"/>
        <v>0</v>
      </c>
      <c r="EN59" s="654">
        <f t="shared" si="863"/>
        <v>0</v>
      </c>
      <c r="EO59" s="654">
        <f t="shared" si="863"/>
        <v>0</v>
      </c>
      <c r="EP59" s="386">
        <f t="shared" si="852"/>
        <v>0</v>
      </c>
      <c r="EQ59" s="1684"/>
      <c r="ER59" s="1685"/>
    </row>
    <row r="60" spans="1:148" ht="10.199999999999999" customHeight="1">
      <c r="A60" s="43"/>
      <c r="B60" s="108"/>
      <c r="C60" s="130"/>
      <c r="D60" s="130"/>
      <c r="E60" s="135"/>
      <c r="F60" s="203"/>
      <c r="G60" s="203"/>
      <c r="H60" s="130"/>
      <c r="I60" s="130"/>
      <c r="J60" s="130"/>
      <c r="K60" s="130"/>
      <c r="L60" s="130"/>
      <c r="M60" s="130"/>
      <c r="N60" s="130"/>
      <c r="O60" s="130"/>
      <c r="P60" s="130"/>
      <c r="Q60" s="698"/>
      <c r="R60" s="130"/>
      <c r="S60" s="130"/>
      <c r="T60" s="619"/>
      <c r="U60" s="130"/>
      <c r="V60" s="130"/>
      <c r="W60" s="130"/>
      <c r="X60" s="698"/>
      <c r="Y60" s="130"/>
      <c r="Z60" s="130"/>
      <c r="AA60" s="619"/>
      <c r="AB60" s="130"/>
      <c r="AC60" s="130"/>
      <c r="AD60" s="130"/>
      <c r="AE60" s="698"/>
      <c r="AF60" s="130"/>
      <c r="AG60" s="130"/>
      <c r="AH60" s="619"/>
      <c r="AI60" s="130"/>
      <c r="AJ60" s="130"/>
      <c r="AK60" s="130"/>
      <c r="AL60" s="698"/>
      <c r="AM60" s="130"/>
      <c r="AN60" s="130"/>
      <c r="AO60" s="619"/>
      <c r="AP60" s="130"/>
      <c r="AQ60" s="130"/>
      <c r="AR60" s="130"/>
      <c r="AS60" s="698"/>
      <c r="AT60" s="130"/>
      <c r="AU60" s="130"/>
      <c r="AV60" s="619"/>
      <c r="AW60" s="130"/>
      <c r="AX60" s="130"/>
      <c r="AY60" s="130"/>
      <c r="AZ60" s="698"/>
      <c r="BA60" s="130"/>
      <c r="BB60" s="130"/>
      <c r="BC60" s="619"/>
      <c r="BD60" s="130"/>
      <c r="BE60" s="130"/>
      <c r="BF60" s="130"/>
      <c r="BG60" s="698"/>
      <c r="BH60" s="130"/>
      <c r="BI60" s="130"/>
      <c r="BJ60" s="619"/>
      <c r="BK60" s="130"/>
      <c r="BL60" s="130"/>
      <c r="BM60" s="130"/>
      <c r="BN60" s="698"/>
      <c r="BO60" s="130"/>
      <c r="BP60" s="130"/>
      <c r="BQ60" s="619"/>
      <c r="BR60" s="130"/>
      <c r="BS60" s="130"/>
      <c r="BT60" s="130"/>
      <c r="BU60" s="698"/>
      <c r="BV60" s="130"/>
      <c r="BW60" s="130"/>
      <c r="BX60" s="619"/>
      <c r="BY60" s="130"/>
      <c r="BZ60" s="130"/>
      <c r="CA60" s="130"/>
      <c r="CB60" s="698"/>
      <c r="CC60" s="130"/>
      <c r="CD60" s="130"/>
      <c r="CE60" s="619"/>
      <c r="CF60" s="130"/>
      <c r="CG60" s="130"/>
      <c r="CH60" s="130"/>
      <c r="CI60" s="698"/>
      <c r="CJ60" s="130"/>
      <c r="CK60" s="130"/>
      <c r="CL60" s="619"/>
      <c r="CM60" s="130"/>
      <c r="CN60" s="130"/>
      <c r="CO60" s="130"/>
      <c r="CP60" s="698"/>
      <c r="CQ60" s="130"/>
      <c r="CR60" s="130"/>
      <c r="CS60" s="619"/>
      <c r="CT60" s="130"/>
      <c r="CU60" s="130"/>
      <c r="CV60" s="130"/>
      <c r="CW60" s="698"/>
      <c r="CX60" s="130"/>
      <c r="CY60" s="130"/>
      <c r="CZ60" s="742"/>
      <c r="DA60" s="6"/>
      <c r="DB60" s="6"/>
      <c r="DC60" s="6"/>
      <c r="DD60" s="740"/>
      <c r="DE60" s="6"/>
      <c r="DF60" s="130"/>
      <c r="DG60" s="742"/>
      <c r="DH60" s="6"/>
      <c r="DI60" s="6"/>
      <c r="DJ60" s="6"/>
      <c r="DK60" s="740"/>
      <c r="DL60" s="6"/>
      <c r="DM60" s="6"/>
      <c r="DN60" s="742"/>
      <c r="DO60" s="6"/>
      <c r="DP60" s="6"/>
      <c r="DQ60" s="6"/>
      <c r="DR60" s="740"/>
      <c r="DS60" s="6"/>
      <c r="DT60" s="6"/>
      <c r="DU60" s="742"/>
      <c r="DV60" s="6"/>
      <c r="DW60" s="6"/>
      <c r="DX60" s="6"/>
      <c r="DY60" s="740"/>
      <c r="DZ60" s="6"/>
      <c r="EA60" s="6"/>
      <c r="EB60" s="742"/>
      <c r="EC60" s="6"/>
      <c r="ED60" s="6"/>
      <c r="EE60" s="6"/>
      <c r="EF60" s="740"/>
      <c r="EG60" s="6"/>
      <c r="EH60" s="6"/>
      <c r="EI60" s="742"/>
      <c r="EJ60" s="6"/>
      <c r="EK60" s="6"/>
      <c r="EL60" s="6"/>
      <c r="EM60" s="740"/>
      <c r="EN60" s="6"/>
      <c r="EO60" s="6"/>
      <c r="EP60" s="742"/>
      <c r="EQ60" s="303"/>
      <c r="ER60" s="46"/>
    </row>
    <row r="61" spans="1:148" ht="10.199999999999999" customHeight="1">
      <c r="A61" s="48" t="s">
        <v>700</v>
      </c>
      <c r="B61" s="108"/>
      <c r="C61" s="130"/>
      <c r="D61" s="130"/>
      <c r="E61" s="135"/>
      <c r="F61" s="203"/>
      <c r="G61" s="203"/>
      <c r="H61" s="130"/>
      <c r="I61" s="130"/>
      <c r="J61" s="130"/>
      <c r="K61" s="130"/>
      <c r="L61" s="130"/>
      <c r="M61" s="130"/>
      <c r="N61" s="130"/>
      <c r="O61" s="130"/>
      <c r="P61" s="130"/>
      <c r="Q61" s="698"/>
      <c r="R61" s="130"/>
      <c r="S61" s="130"/>
      <c r="T61" s="619"/>
      <c r="U61" s="130"/>
      <c r="V61" s="130"/>
      <c r="W61" s="130"/>
      <c r="X61" s="698"/>
      <c r="Y61" s="130"/>
      <c r="Z61" s="130"/>
      <c r="AA61" s="619"/>
      <c r="AB61" s="130"/>
      <c r="AC61" s="130"/>
      <c r="AD61" s="130"/>
      <c r="AE61" s="698"/>
      <c r="AF61" s="130"/>
      <c r="AG61" s="130"/>
      <c r="AH61" s="619"/>
      <c r="AI61" s="130"/>
      <c r="AJ61" s="130"/>
      <c r="AK61" s="130"/>
      <c r="AL61" s="698"/>
      <c r="AM61" s="130"/>
      <c r="AN61" s="130"/>
      <c r="AO61" s="619"/>
      <c r="AP61" s="130"/>
      <c r="AQ61" s="130"/>
      <c r="AR61" s="130"/>
      <c r="AS61" s="698"/>
      <c r="AT61" s="130"/>
      <c r="AU61" s="130"/>
      <c r="AV61" s="619"/>
      <c r="AW61" s="130"/>
      <c r="AX61" s="130"/>
      <c r="AY61" s="130"/>
      <c r="AZ61" s="698"/>
      <c r="BA61" s="130"/>
      <c r="BB61" s="130"/>
      <c r="BC61" s="619"/>
      <c r="BD61" s="130"/>
      <c r="BE61" s="130"/>
      <c r="BF61" s="130"/>
      <c r="BG61" s="698"/>
      <c r="BH61" s="130"/>
      <c r="BI61" s="130"/>
      <c r="BJ61" s="619"/>
      <c r="BK61" s="130"/>
      <c r="BL61" s="130"/>
      <c r="BM61" s="130"/>
      <c r="BN61" s="698"/>
      <c r="BO61" s="130"/>
      <c r="BP61" s="130"/>
      <c r="BQ61" s="619"/>
      <c r="BR61" s="130"/>
      <c r="BS61" s="130"/>
      <c r="BT61" s="130"/>
      <c r="BU61" s="698"/>
      <c r="BV61" s="130"/>
      <c r="BW61" s="130"/>
      <c r="BX61" s="619"/>
      <c r="BY61" s="130"/>
      <c r="BZ61" s="130"/>
      <c r="CA61" s="130"/>
      <c r="CB61" s="698"/>
      <c r="CC61" s="130"/>
      <c r="CD61" s="130"/>
      <c r="CE61" s="619"/>
      <c r="CF61" s="130"/>
      <c r="CG61" s="130"/>
      <c r="CH61" s="130"/>
      <c r="CI61" s="698"/>
      <c r="CJ61" s="130"/>
      <c r="CK61" s="130"/>
      <c r="CL61" s="619"/>
      <c r="CM61" s="130"/>
      <c r="CN61" s="130"/>
      <c r="CO61" s="130"/>
      <c r="CP61" s="698"/>
      <c r="CQ61" s="130"/>
      <c r="CR61" s="130"/>
      <c r="CS61" s="619"/>
      <c r="CT61" s="130"/>
      <c r="CU61" s="130"/>
      <c r="CV61" s="130"/>
      <c r="CW61" s="698"/>
      <c r="CX61" s="130"/>
      <c r="CY61" s="130"/>
      <c r="CZ61" s="742"/>
      <c r="DA61" s="6"/>
      <c r="DB61" s="6"/>
      <c r="DC61" s="6"/>
      <c r="DD61" s="740"/>
      <c r="DE61" s="6"/>
      <c r="DF61" s="130"/>
      <c r="DG61" s="742"/>
      <c r="DH61" s="6"/>
      <c r="DI61" s="6"/>
      <c r="DJ61" s="6"/>
      <c r="DK61" s="740"/>
      <c r="DL61" s="6"/>
      <c r="DM61" s="6"/>
      <c r="DN61" s="742"/>
      <c r="DO61" s="6"/>
      <c r="DP61" s="6"/>
      <c r="DQ61" s="6"/>
      <c r="DR61" s="740"/>
      <c r="DS61" s="6"/>
      <c r="DT61" s="6"/>
      <c r="DU61" s="742"/>
      <c r="DV61" s="6"/>
      <c r="DW61" s="6"/>
      <c r="DX61" s="6"/>
      <c r="DY61" s="740"/>
      <c r="DZ61" s="6"/>
      <c r="EA61" s="6"/>
      <c r="EB61" s="742"/>
      <c r="EC61" s="6"/>
      <c r="ED61" s="6"/>
      <c r="EE61" s="6"/>
      <c r="EF61" s="740"/>
      <c r="EG61" s="6"/>
      <c r="EH61" s="6"/>
      <c r="EI61" s="742"/>
      <c r="EJ61" s="6"/>
      <c r="EK61" s="6"/>
      <c r="EL61" s="6"/>
      <c r="EM61" s="740"/>
      <c r="EN61" s="6"/>
      <c r="EO61" s="6"/>
      <c r="EP61" s="742"/>
      <c r="EQ61" s="303"/>
      <c r="ER61" s="46"/>
    </row>
    <row r="62" spans="1:148" ht="10.199999999999999" customHeight="1">
      <c r="A62" s="48"/>
      <c r="B62" s="48"/>
      <c r="C62" s="48"/>
      <c r="D62" s="48"/>
      <c r="E62" s="48"/>
      <c r="F62" s="120"/>
      <c r="G62" s="120"/>
      <c r="H62" s="48"/>
      <c r="I62" s="48"/>
      <c r="J62" s="48"/>
      <c r="K62" s="48"/>
      <c r="L62" s="48"/>
      <c r="M62" s="48"/>
      <c r="N62" s="48"/>
      <c r="O62" s="48"/>
      <c r="P62" s="48"/>
      <c r="Q62" s="701"/>
      <c r="R62" s="48"/>
      <c r="S62" s="48"/>
      <c r="T62" s="1595"/>
      <c r="U62" s="48"/>
      <c r="V62" s="48"/>
      <c r="W62" s="48"/>
      <c r="X62" s="701"/>
      <c r="Y62" s="48"/>
      <c r="Z62" s="48"/>
      <c r="AA62" s="1595"/>
      <c r="AB62" s="48"/>
      <c r="AC62" s="48"/>
      <c r="AD62" s="48"/>
      <c r="AE62" s="701"/>
      <c r="AF62" s="48"/>
      <c r="AG62" s="48"/>
      <c r="AH62" s="1595"/>
      <c r="AI62" s="48"/>
      <c r="AJ62" s="48"/>
      <c r="AK62" s="48"/>
      <c r="AL62" s="701"/>
      <c r="AM62" s="48"/>
      <c r="AN62" s="48"/>
      <c r="AO62" s="1595"/>
      <c r="AP62" s="48"/>
      <c r="AQ62" s="48"/>
      <c r="AR62" s="48"/>
      <c r="AS62" s="701"/>
      <c r="AT62" s="48"/>
      <c r="AU62" s="48"/>
      <c r="AV62" s="1595"/>
      <c r="AW62" s="48"/>
      <c r="AX62" s="48"/>
      <c r="AY62" s="48"/>
      <c r="AZ62" s="701"/>
      <c r="BA62" s="48"/>
      <c r="BB62" s="48"/>
      <c r="BC62" s="1595"/>
      <c r="BD62" s="48"/>
      <c r="BE62" s="48"/>
      <c r="BF62" s="48"/>
      <c r="BG62" s="701"/>
      <c r="BH62" s="48"/>
      <c r="BI62" s="48"/>
      <c r="BJ62" s="1595"/>
      <c r="BK62" s="48"/>
      <c r="BL62" s="48"/>
      <c r="BM62" s="48"/>
      <c r="BN62" s="701"/>
      <c r="BO62" s="48"/>
      <c r="BP62" s="48"/>
      <c r="BQ62" s="1595"/>
      <c r="BR62" s="48"/>
      <c r="BS62" s="48"/>
      <c r="BT62" s="48"/>
      <c r="BU62" s="701"/>
      <c r="BV62" s="48"/>
      <c r="BW62" s="48"/>
      <c r="BX62" s="1595"/>
      <c r="BY62" s="48"/>
      <c r="BZ62" s="48"/>
      <c r="CA62" s="48"/>
      <c r="CB62" s="701"/>
      <c r="CC62" s="48"/>
      <c r="CD62" s="48"/>
      <c r="CE62" s="1595"/>
      <c r="CF62" s="48"/>
      <c r="CG62" s="48"/>
      <c r="CH62" s="48"/>
      <c r="CI62" s="701"/>
      <c r="CJ62" s="48"/>
      <c r="CK62" s="48"/>
      <c r="CL62" s="1595"/>
      <c r="CM62" s="48"/>
      <c r="CN62" s="48"/>
      <c r="CO62" s="48"/>
      <c r="CP62" s="701"/>
      <c r="CQ62" s="48"/>
      <c r="CR62" s="48"/>
      <c r="CS62" s="1595"/>
      <c r="CT62" s="48"/>
      <c r="CU62" s="48"/>
      <c r="CV62" s="48"/>
      <c r="CW62" s="701"/>
      <c r="CX62" s="48"/>
      <c r="CY62" s="48"/>
      <c r="CZ62" s="1615"/>
      <c r="DA62" s="861"/>
      <c r="DB62" s="861"/>
      <c r="DC62" s="861"/>
      <c r="DD62" s="1645"/>
      <c r="DE62" s="861"/>
      <c r="DF62" s="48"/>
      <c r="DG62" s="1615"/>
      <c r="DH62" s="861"/>
      <c r="DI62" s="861"/>
      <c r="DJ62" s="861"/>
      <c r="DK62" s="1645"/>
      <c r="DL62" s="861"/>
      <c r="DM62" s="861"/>
      <c r="DN62" s="1615"/>
      <c r="DO62" s="861"/>
      <c r="DP62" s="861"/>
      <c r="DQ62" s="861"/>
      <c r="DR62" s="1645"/>
      <c r="DS62" s="861"/>
      <c r="DT62" s="861"/>
      <c r="DU62" s="1615"/>
      <c r="DV62" s="861"/>
      <c r="DW62" s="861"/>
      <c r="DX62" s="861"/>
      <c r="DY62" s="1645"/>
      <c r="DZ62" s="861"/>
      <c r="EA62" s="861"/>
      <c r="EB62" s="1615"/>
      <c r="EC62" s="861"/>
      <c r="ED62" s="861"/>
      <c r="EE62" s="861"/>
      <c r="EF62" s="1645"/>
      <c r="EG62" s="861"/>
      <c r="EH62" s="861"/>
      <c r="EI62" s="1615"/>
      <c r="EJ62" s="861"/>
      <c r="EK62" s="861"/>
      <c r="EL62" s="861"/>
      <c r="EM62" s="1645"/>
      <c r="EN62" s="861"/>
      <c r="EO62" s="861"/>
      <c r="EP62" s="1615"/>
      <c r="EQ62" s="303"/>
      <c r="ER62" s="46"/>
    </row>
    <row r="63" spans="1:148" ht="10.199999999999999" customHeight="1">
      <c r="A63" s="178" t="s">
        <v>392</v>
      </c>
      <c r="B63" s="178"/>
      <c r="C63" s="178"/>
      <c r="D63" s="178"/>
      <c r="E63" s="178"/>
      <c r="F63" s="204"/>
      <c r="G63" s="204"/>
      <c r="H63" s="178"/>
      <c r="I63" s="178"/>
      <c r="J63" s="178"/>
      <c r="K63" s="178"/>
      <c r="L63" s="178"/>
      <c r="M63" s="178"/>
      <c r="N63" s="178"/>
      <c r="O63" s="178"/>
      <c r="P63" s="178"/>
      <c r="Q63" s="707"/>
      <c r="R63" s="178"/>
      <c r="S63" s="178"/>
      <c r="T63" s="1596"/>
      <c r="U63" s="178"/>
      <c r="V63" s="178"/>
      <c r="W63" s="178"/>
      <c r="X63" s="707"/>
      <c r="Y63" s="178"/>
      <c r="Z63" s="178"/>
      <c r="AA63" s="1596"/>
      <c r="AB63" s="178"/>
      <c r="AC63" s="178"/>
      <c r="AD63" s="178"/>
      <c r="AE63" s="707"/>
      <c r="AF63" s="178"/>
      <c r="AG63" s="178"/>
      <c r="AH63" s="1596"/>
      <c r="AI63" s="178"/>
      <c r="AJ63" s="178"/>
      <c r="AK63" s="178"/>
      <c r="AL63" s="707"/>
      <c r="AM63" s="178"/>
      <c r="AN63" s="178"/>
      <c r="AO63" s="1596"/>
      <c r="AP63" s="178"/>
      <c r="AQ63" s="178"/>
      <c r="AR63" s="178"/>
      <c r="AS63" s="707"/>
      <c r="AT63" s="178"/>
      <c r="AU63" s="178"/>
      <c r="AV63" s="1596"/>
      <c r="AW63" s="178"/>
      <c r="AX63" s="178"/>
      <c r="AY63" s="178"/>
      <c r="AZ63" s="707"/>
      <c r="BA63" s="178"/>
      <c r="BB63" s="178"/>
      <c r="BC63" s="1596"/>
      <c r="BD63" s="178"/>
      <c r="BE63" s="178"/>
      <c r="BF63" s="178"/>
      <c r="BG63" s="707"/>
      <c r="BH63" s="178"/>
      <c r="BI63" s="178"/>
      <c r="BJ63" s="1596"/>
      <c r="BK63" s="178"/>
      <c r="BL63" s="178"/>
      <c r="BM63" s="178"/>
      <c r="BN63" s="707"/>
      <c r="BO63" s="178"/>
      <c r="BP63" s="178"/>
      <c r="BQ63" s="1596"/>
      <c r="BR63" s="178"/>
      <c r="BS63" s="178"/>
      <c r="BT63" s="178"/>
      <c r="BU63" s="707"/>
      <c r="BV63" s="178"/>
      <c r="BW63" s="178"/>
      <c r="BX63" s="1596"/>
      <c r="BY63" s="178"/>
      <c r="BZ63" s="178"/>
      <c r="CA63" s="178"/>
      <c r="CB63" s="707"/>
      <c r="CC63" s="178"/>
      <c r="CD63" s="178"/>
      <c r="CE63" s="1596"/>
      <c r="CF63" s="178"/>
      <c r="CG63" s="178"/>
      <c r="CH63" s="178"/>
      <c r="CI63" s="707"/>
      <c r="CJ63" s="178"/>
      <c r="CK63" s="178"/>
      <c r="CL63" s="1596"/>
      <c r="CM63" s="178"/>
      <c r="CN63" s="178"/>
      <c r="CO63" s="178"/>
      <c r="CP63" s="707"/>
      <c r="CQ63" s="178"/>
      <c r="CR63" s="178"/>
      <c r="CS63" s="1616"/>
      <c r="CT63" s="178"/>
      <c r="CU63" s="178"/>
      <c r="CV63" s="178"/>
      <c r="CW63" s="707"/>
      <c r="CX63" s="178"/>
      <c r="CY63" s="178"/>
      <c r="CZ63" s="1616"/>
      <c r="DA63" s="204"/>
      <c r="DB63" s="204"/>
      <c r="DC63" s="204"/>
      <c r="DD63" s="1612"/>
      <c r="DE63" s="204"/>
      <c r="DF63" s="178"/>
      <c r="DG63" s="1616"/>
      <c r="DH63" s="204"/>
      <c r="DI63" s="204"/>
      <c r="DJ63" s="204"/>
      <c r="DK63" s="1612"/>
      <c r="DL63" s="204"/>
      <c r="DM63" s="204"/>
      <c r="DN63" s="1616"/>
      <c r="DO63" s="204"/>
      <c r="DP63" s="204"/>
      <c r="DQ63" s="204"/>
      <c r="DR63" s="1612"/>
      <c r="DS63" s="204"/>
      <c r="DT63" s="204"/>
      <c r="DU63" s="1616"/>
      <c r="DV63" s="204"/>
      <c r="DW63" s="204"/>
      <c r="DX63" s="204"/>
      <c r="DY63" s="1612"/>
      <c r="DZ63" s="204"/>
      <c r="EA63" s="204"/>
      <c r="EB63" s="1616"/>
      <c r="EC63" s="204"/>
      <c r="ED63" s="204"/>
      <c r="EE63" s="204"/>
      <c r="EF63" s="1612"/>
      <c r="EG63" s="204"/>
      <c r="EH63" s="204"/>
      <c r="EI63" s="1616"/>
      <c r="EJ63" s="204"/>
      <c r="EK63" s="204"/>
      <c r="EL63" s="204"/>
      <c r="EM63" s="1612"/>
      <c r="EN63" s="204"/>
      <c r="EO63" s="204"/>
      <c r="EP63" s="1616"/>
      <c r="EQ63" s="303"/>
      <c r="ER63" s="46"/>
    </row>
    <row r="64" spans="1:148" ht="10.199999999999999" customHeight="1">
      <c r="A64" s="43" t="s">
        <v>318</v>
      </c>
      <c r="B64" s="108"/>
      <c r="C64" s="108"/>
      <c r="D64" s="135">
        <f t="shared" ref="D64:BC64" si="864">+D72</f>
        <v>12710</v>
      </c>
      <c r="E64" s="135">
        <f t="shared" si="864"/>
        <v>10607</v>
      </c>
      <c r="F64" s="135">
        <f t="shared" si="864"/>
        <v>11306</v>
      </c>
      <c r="G64" s="135">
        <f t="shared" si="864"/>
        <v>10710</v>
      </c>
      <c r="H64" s="135">
        <f t="shared" si="864"/>
        <v>10649</v>
      </c>
      <c r="I64" s="135">
        <f t="shared" si="864"/>
        <v>10863</v>
      </c>
      <c r="J64" s="135">
        <f t="shared" si="864"/>
        <v>10859</v>
      </c>
      <c r="K64" s="135">
        <f t="shared" si="864"/>
        <v>10934</v>
      </c>
      <c r="L64" s="135">
        <f t="shared" si="864"/>
        <v>11965</v>
      </c>
      <c r="M64" s="135">
        <f t="shared" si="864"/>
        <v>12191</v>
      </c>
      <c r="N64" s="135"/>
      <c r="O64" s="135"/>
      <c r="P64" s="135"/>
      <c r="Q64" s="961"/>
      <c r="R64" s="135"/>
      <c r="S64" s="135"/>
      <c r="T64" s="948">
        <f t="shared" si="864"/>
        <v>11061</v>
      </c>
      <c r="U64" s="135"/>
      <c r="V64" s="135"/>
      <c r="W64" s="135"/>
      <c r="X64" s="961"/>
      <c r="Y64" s="135"/>
      <c r="Z64" s="135"/>
      <c r="AA64" s="948">
        <f t="shared" si="864"/>
        <v>11077</v>
      </c>
      <c r="AB64" s="135"/>
      <c r="AC64" s="135"/>
      <c r="AD64" s="135"/>
      <c r="AE64" s="961"/>
      <c r="AF64" s="135"/>
      <c r="AG64" s="135"/>
      <c r="AH64" s="948">
        <f t="shared" si="864"/>
        <v>10995</v>
      </c>
      <c r="AI64" s="135"/>
      <c r="AJ64" s="135"/>
      <c r="AK64" s="135"/>
      <c r="AL64" s="961"/>
      <c r="AM64" s="135"/>
      <c r="AN64" s="135"/>
      <c r="AO64" s="948">
        <f t="shared" si="864"/>
        <v>10498</v>
      </c>
      <c r="AP64" s="135"/>
      <c r="AQ64" s="135"/>
      <c r="AR64" s="135"/>
      <c r="AS64" s="961"/>
      <c r="AT64" s="135"/>
      <c r="AU64" s="135"/>
      <c r="AV64" s="948">
        <f t="shared" si="864"/>
        <v>10180</v>
      </c>
      <c r="AW64" s="135"/>
      <c r="AX64" s="135"/>
      <c r="AY64" s="135"/>
      <c r="AZ64" s="961"/>
      <c r="BA64" s="135"/>
      <c r="BB64" s="135"/>
      <c r="BC64" s="948">
        <f t="shared" si="864"/>
        <v>10180</v>
      </c>
      <c r="BD64" s="135"/>
      <c r="BE64" s="135"/>
      <c r="BF64" s="135"/>
      <c r="BG64" s="961"/>
      <c r="BH64" s="135"/>
      <c r="BI64" s="135"/>
      <c r="BJ64" s="948">
        <v>14077</v>
      </c>
      <c r="BK64" s="135"/>
      <c r="BL64" s="135"/>
      <c r="BM64" s="135"/>
      <c r="BN64" s="961"/>
      <c r="BO64" s="135"/>
      <c r="BP64" s="135"/>
      <c r="BQ64" s="948">
        <f t="shared" ref="BQ64:EP64" si="865">+BQ72</f>
        <v>14062</v>
      </c>
      <c r="BR64" s="135"/>
      <c r="BS64" s="135"/>
      <c r="BT64" s="135"/>
      <c r="BU64" s="961"/>
      <c r="BV64" s="135"/>
      <c r="BW64" s="135"/>
      <c r="BX64" s="948">
        <f t="shared" si="865"/>
        <v>14039</v>
      </c>
      <c r="BY64" s="135"/>
      <c r="BZ64" s="135"/>
      <c r="CA64" s="135"/>
      <c r="CB64" s="961"/>
      <c r="CC64" s="135"/>
      <c r="CD64" s="135"/>
      <c r="CE64" s="948">
        <f t="shared" si="865"/>
        <v>14072</v>
      </c>
      <c r="CF64" s="135"/>
      <c r="CG64" s="135"/>
      <c r="CH64" s="135"/>
      <c r="CI64" s="961"/>
      <c r="CJ64" s="135"/>
      <c r="CK64" s="135"/>
      <c r="CL64" s="948">
        <f t="shared" si="865"/>
        <v>14205</v>
      </c>
      <c r="CM64" s="135"/>
      <c r="CN64" s="135"/>
      <c r="CO64" s="135"/>
      <c r="CP64" s="961"/>
      <c r="CQ64" s="135"/>
      <c r="CR64" s="135"/>
      <c r="CS64" s="948">
        <f t="shared" ref="CS64" si="866">+CS72</f>
        <v>14183</v>
      </c>
      <c r="CT64" s="135"/>
      <c r="CU64" s="135"/>
      <c r="CV64" s="135"/>
      <c r="CW64" s="961"/>
      <c r="CX64" s="135"/>
      <c r="CY64" s="135"/>
      <c r="CZ64" s="948">
        <f t="shared" ref="CZ64" si="867">+CZ72</f>
        <v>14494</v>
      </c>
      <c r="DA64" s="865">
        <f t="shared" ref="DA64:DB64" si="868">+DA72</f>
        <v>14520</v>
      </c>
      <c r="DB64" s="865">
        <f t="shared" si="868"/>
        <v>14546</v>
      </c>
      <c r="DC64" s="865">
        <f t="shared" ref="DC64:DE64" si="869">+DC72</f>
        <v>14546</v>
      </c>
      <c r="DD64" s="1102">
        <f t="shared" si="869"/>
        <v>14546</v>
      </c>
      <c r="DE64" s="865">
        <f t="shared" si="869"/>
        <v>14546</v>
      </c>
      <c r="DF64" s="135"/>
      <c r="DG64" s="948">
        <f t="shared" ref="DG64:DI64" si="870">+DG72</f>
        <v>14598</v>
      </c>
      <c r="DH64" s="865">
        <f t="shared" si="870"/>
        <v>14598</v>
      </c>
      <c r="DI64" s="865">
        <f t="shared" si="870"/>
        <v>14598</v>
      </c>
      <c r="DJ64" s="897">
        <f t="shared" si="865"/>
        <v>14598</v>
      </c>
      <c r="DK64" s="1117">
        <f t="shared" si="865"/>
        <v>14598</v>
      </c>
      <c r="DL64" s="865">
        <f t="shared" si="865"/>
        <v>14598</v>
      </c>
      <c r="DM64" s="897">
        <f t="shared" si="865"/>
        <v>14598</v>
      </c>
      <c r="DN64" s="1116">
        <f t="shared" si="865"/>
        <v>14598</v>
      </c>
      <c r="DO64" s="897">
        <f t="shared" si="865"/>
        <v>14598</v>
      </c>
      <c r="DP64" s="897">
        <f t="shared" si="865"/>
        <v>14598</v>
      </c>
      <c r="DQ64" s="897">
        <f t="shared" si="865"/>
        <v>14598</v>
      </c>
      <c r="DR64" s="1117">
        <f t="shared" si="865"/>
        <v>14598</v>
      </c>
      <c r="DS64" s="897">
        <f t="shared" si="865"/>
        <v>14598</v>
      </c>
      <c r="DT64" s="897">
        <f t="shared" si="865"/>
        <v>14598</v>
      </c>
      <c r="DU64" s="1116">
        <f t="shared" si="865"/>
        <v>14598</v>
      </c>
      <c r="DV64" s="897">
        <f t="shared" si="865"/>
        <v>14598</v>
      </c>
      <c r="DW64" s="897">
        <f t="shared" si="865"/>
        <v>14598</v>
      </c>
      <c r="DX64" s="897">
        <f t="shared" si="865"/>
        <v>14598</v>
      </c>
      <c r="DY64" s="1117">
        <f t="shared" si="865"/>
        <v>14598</v>
      </c>
      <c r="DZ64" s="897">
        <f t="shared" si="865"/>
        <v>14598</v>
      </c>
      <c r="EA64" s="897">
        <f t="shared" si="865"/>
        <v>14598</v>
      </c>
      <c r="EB64" s="1116">
        <f t="shared" si="865"/>
        <v>14598</v>
      </c>
      <c r="EC64" s="897">
        <f t="shared" si="865"/>
        <v>14598</v>
      </c>
      <c r="ED64" s="897">
        <f t="shared" si="865"/>
        <v>14598</v>
      </c>
      <c r="EE64" s="897">
        <f t="shared" si="865"/>
        <v>14598</v>
      </c>
      <c r="EF64" s="1117">
        <f t="shared" si="865"/>
        <v>14598</v>
      </c>
      <c r="EG64" s="897">
        <f t="shared" si="865"/>
        <v>14598</v>
      </c>
      <c r="EH64" s="897">
        <f t="shared" si="865"/>
        <v>14598</v>
      </c>
      <c r="EI64" s="1116">
        <f t="shared" si="865"/>
        <v>14598</v>
      </c>
      <c r="EJ64" s="897">
        <f t="shared" si="865"/>
        <v>14598</v>
      </c>
      <c r="EK64" s="897">
        <f t="shared" si="865"/>
        <v>14598</v>
      </c>
      <c r="EL64" s="897">
        <f t="shared" si="865"/>
        <v>14598</v>
      </c>
      <c r="EM64" s="1117">
        <f t="shared" si="865"/>
        <v>14598</v>
      </c>
      <c r="EN64" s="897">
        <f t="shared" si="865"/>
        <v>14598</v>
      </c>
      <c r="EO64" s="897">
        <f t="shared" si="865"/>
        <v>14598</v>
      </c>
      <c r="EP64" s="1116">
        <f t="shared" si="865"/>
        <v>14598</v>
      </c>
      <c r="EQ64" s="303"/>
      <c r="ER64" s="46"/>
    </row>
    <row r="65" spans="1:148" ht="10.199999999999999" customHeight="1">
      <c r="A65" s="43" t="s">
        <v>108</v>
      </c>
      <c r="B65" s="108"/>
      <c r="C65" s="108"/>
      <c r="D65" s="206">
        <f t="shared" ref="D65:BC65" si="871">+D79</f>
        <v>3338</v>
      </c>
      <c r="E65" s="206">
        <f t="shared" si="871"/>
        <v>1147</v>
      </c>
      <c r="F65" s="206">
        <f t="shared" si="871"/>
        <v>1147</v>
      </c>
      <c r="G65" s="206">
        <f t="shared" si="871"/>
        <v>1139</v>
      </c>
      <c r="H65" s="206">
        <f t="shared" si="871"/>
        <v>1130</v>
      </c>
      <c r="I65" s="206">
        <f t="shared" si="871"/>
        <v>1103</v>
      </c>
      <c r="J65" s="206">
        <f t="shared" si="871"/>
        <v>1118</v>
      </c>
      <c r="K65" s="206">
        <f t="shared" si="871"/>
        <v>1125</v>
      </c>
      <c r="L65" s="206">
        <f t="shared" si="871"/>
        <v>1153</v>
      </c>
      <c r="M65" s="206">
        <f t="shared" si="871"/>
        <v>1174</v>
      </c>
      <c r="N65" s="1563"/>
      <c r="O65" s="1563"/>
      <c r="P65" s="1563"/>
      <c r="Q65" s="1579"/>
      <c r="R65" s="1563"/>
      <c r="S65" s="1563"/>
      <c r="T65" s="1597">
        <f t="shared" si="871"/>
        <v>1189</v>
      </c>
      <c r="U65" s="1563"/>
      <c r="V65" s="1563"/>
      <c r="W65" s="1563"/>
      <c r="X65" s="1579"/>
      <c r="Y65" s="1563"/>
      <c r="Z65" s="1563"/>
      <c r="AA65" s="1597">
        <f t="shared" si="871"/>
        <v>1098</v>
      </c>
      <c r="AB65" s="1563"/>
      <c r="AC65" s="1563"/>
      <c r="AD65" s="1563"/>
      <c r="AE65" s="1579"/>
      <c r="AF65" s="1563"/>
      <c r="AG65" s="1563"/>
      <c r="AH65" s="1597">
        <f t="shared" si="871"/>
        <v>1088</v>
      </c>
      <c r="AI65" s="1563"/>
      <c r="AJ65" s="1563"/>
      <c r="AK65" s="1563"/>
      <c r="AL65" s="1579"/>
      <c r="AM65" s="1563"/>
      <c r="AN65" s="1563"/>
      <c r="AO65" s="1597">
        <f t="shared" si="871"/>
        <v>1073</v>
      </c>
      <c r="AP65" s="1563"/>
      <c r="AQ65" s="1563"/>
      <c r="AR65" s="1563"/>
      <c r="AS65" s="1579"/>
      <c r="AT65" s="1563"/>
      <c r="AU65" s="1563"/>
      <c r="AV65" s="1597">
        <f t="shared" si="871"/>
        <v>1039</v>
      </c>
      <c r="AW65" s="1563"/>
      <c r="AX65" s="1563"/>
      <c r="AY65" s="1563"/>
      <c r="AZ65" s="1579"/>
      <c r="BA65" s="1563"/>
      <c r="BB65" s="1563"/>
      <c r="BC65" s="1597">
        <f t="shared" si="871"/>
        <v>1039</v>
      </c>
      <c r="BD65" s="1563"/>
      <c r="BE65" s="1563"/>
      <c r="BF65" s="1563"/>
      <c r="BG65" s="1579"/>
      <c r="BH65" s="1563"/>
      <c r="BI65" s="1563"/>
      <c r="BJ65" s="1597">
        <v>1038</v>
      </c>
      <c r="BK65" s="1563"/>
      <c r="BL65" s="1563"/>
      <c r="BM65" s="1563"/>
      <c r="BN65" s="1579"/>
      <c r="BO65" s="1563"/>
      <c r="BP65" s="1563"/>
      <c r="BQ65" s="1597">
        <f t="shared" ref="BQ65:EP65" si="872">+BQ79</f>
        <v>1043</v>
      </c>
      <c r="BR65" s="1563"/>
      <c r="BS65" s="1563"/>
      <c r="BT65" s="1563"/>
      <c r="BU65" s="1579"/>
      <c r="BV65" s="1563"/>
      <c r="BW65" s="1563"/>
      <c r="BX65" s="1597">
        <f t="shared" si="872"/>
        <v>1040</v>
      </c>
      <c r="BY65" s="1563"/>
      <c r="BZ65" s="1563"/>
      <c r="CA65" s="1563"/>
      <c r="CB65" s="1579"/>
      <c r="CC65" s="1563"/>
      <c r="CD65" s="1563"/>
      <c r="CE65" s="1597">
        <f t="shared" si="872"/>
        <v>1044</v>
      </c>
      <c r="CF65" s="1563"/>
      <c r="CG65" s="1563"/>
      <c r="CH65" s="1563"/>
      <c r="CI65" s="1579"/>
      <c r="CJ65" s="1563"/>
      <c r="CK65" s="1563"/>
      <c r="CL65" s="1597">
        <f t="shared" si="872"/>
        <v>1040</v>
      </c>
      <c r="CM65" s="1563"/>
      <c r="CN65" s="1563"/>
      <c r="CO65" s="1563"/>
      <c r="CP65" s="1579"/>
      <c r="CQ65" s="1563"/>
      <c r="CR65" s="1563"/>
      <c r="CS65" s="1597">
        <f t="shared" ref="CS65" si="873">+CS79</f>
        <v>1042</v>
      </c>
      <c r="CT65" s="1563"/>
      <c r="CU65" s="1563"/>
      <c r="CV65" s="1563"/>
      <c r="CW65" s="1646"/>
      <c r="CX65" s="1563"/>
      <c r="CY65" s="1573"/>
      <c r="CZ65" s="1597">
        <f t="shared" ref="CZ65" si="874">+CZ79</f>
        <v>1045</v>
      </c>
      <c r="DA65" s="1568">
        <f t="shared" ref="DA65:DB65" si="875">+DA79</f>
        <v>1044.25</v>
      </c>
      <c r="DB65" s="1568">
        <f t="shared" si="875"/>
        <v>1043.5</v>
      </c>
      <c r="DC65" s="1568">
        <f t="shared" ref="DC65:DE65" si="876">+DC79</f>
        <v>1043.5</v>
      </c>
      <c r="DD65" s="1586">
        <f t="shared" si="876"/>
        <v>1043.5</v>
      </c>
      <c r="DE65" s="1568">
        <f t="shared" si="876"/>
        <v>1043.5</v>
      </c>
      <c r="DF65" s="1573"/>
      <c r="DG65" s="1853">
        <f t="shared" ref="DG65:DI65" si="877">+DG79</f>
        <v>1042</v>
      </c>
      <c r="DH65" s="1568">
        <f t="shared" si="877"/>
        <v>1042</v>
      </c>
      <c r="DI65" s="1568">
        <f t="shared" si="877"/>
        <v>1042</v>
      </c>
      <c r="DJ65" s="1573">
        <f t="shared" si="872"/>
        <v>1042</v>
      </c>
      <c r="DK65" s="1646">
        <f t="shared" si="872"/>
        <v>1042</v>
      </c>
      <c r="DL65" s="1568">
        <f t="shared" si="872"/>
        <v>1042</v>
      </c>
      <c r="DM65" s="1573">
        <f t="shared" si="872"/>
        <v>1042</v>
      </c>
      <c r="DN65" s="1617">
        <f t="shared" si="872"/>
        <v>1042</v>
      </c>
      <c r="DO65" s="1573">
        <f t="shared" si="872"/>
        <v>1042</v>
      </c>
      <c r="DP65" s="1573">
        <f t="shared" si="872"/>
        <v>1042</v>
      </c>
      <c r="DQ65" s="1573">
        <f t="shared" si="872"/>
        <v>1042</v>
      </c>
      <c r="DR65" s="1646">
        <f t="shared" si="872"/>
        <v>1042</v>
      </c>
      <c r="DS65" s="1573">
        <f t="shared" si="872"/>
        <v>1042</v>
      </c>
      <c r="DT65" s="1573">
        <f t="shared" si="872"/>
        <v>1042</v>
      </c>
      <c r="DU65" s="1617">
        <f t="shared" si="872"/>
        <v>1042</v>
      </c>
      <c r="DV65" s="1573">
        <f t="shared" si="872"/>
        <v>1042</v>
      </c>
      <c r="DW65" s="1573">
        <f t="shared" si="872"/>
        <v>1042</v>
      </c>
      <c r="DX65" s="1573">
        <f t="shared" si="872"/>
        <v>1042</v>
      </c>
      <c r="DY65" s="1646">
        <f t="shared" si="872"/>
        <v>1042</v>
      </c>
      <c r="DZ65" s="1573">
        <f t="shared" si="872"/>
        <v>1042</v>
      </c>
      <c r="EA65" s="1573">
        <f t="shared" si="872"/>
        <v>1042</v>
      </c>
      <c r="EB65" s="1617">
        <f t="shared" si="872"/>
        <v>1042</v>
      </c>
      <c r="EC65" s="1573">
        <f t="shared" si="872"/>
        <v>1042</v>
      </c>
      <c r="ED65" s="1573">
        <f t="shared" si="872"/>
        <v>1042</v>
      </c>
      <c r="EE65" s="1573">
        <f t="shared" si="872"/>
        <v>1042</v>
      </c>
      <c r="EF65" s="1646">
        <f t="shared" si="872"/>
        <v>1042</v>
      </c>
      <c r="EG65" s="1573">
        <f t="shared" si="872"/>
        <v>1042</v>
      </c>
      <c r="EH65" s="1573">
        <f t="shared" si="872"/>
        <v>1042</v>
      </c>
      <c r="EI65" s="1617">
        <f t="shared" si="872"/>
        <v>1042</v>
      </c>
      <c r="EJ65" s="1573">
        <f t="shared" si="872"/>
        <v>1042</v>
      </c>
      <c r="EK65" s="1573">
        <f t="shared" si="872"/>
        <v>1042</v>
      </c>
      <c r="EL65" s="1573">
        <f t="shared" si="872"/>
        <v>1042</v>
      </c>
      <c r="EM65" s="1646">
        <f t="shared" si="872"/>
        <v>1042</v>
      </c>
      <c r="EN65" s="1573">
        <f t="shared" si="872"/>
        <v>1042</v>
      </c>
      <c r="EO65" s="1573">
        <f t="shared" si="872"/>
        <v>1042</v>
      </c>
      <c r="EP65" s="1617">
        <f t="shared" si="872"/>
        <v>1042</v>
      </c>
      <c r="EQ65" s="303"/>
      <c r="ER65" s="46"/>
    </row>
    <row r="66" spans="1:148" ht="10.199999999999999" customHeight="1">
      <c r="A66" s="43" t="s">
        <v>226</v>
      </c>
      <c r="B66" s="108"/>
      <c r="C66" s="108"/>
      <c r="D66" s="135">
        <f t="shared" ref="D66:AO66" si="878">+D64-D65</f>
        <v>9372</v>
      </c>
      <c r="E66" s="135">
        <f t="shared" si="878"/>
        <v>9460</v>
      </c>
      <c r="F66" s="135">
        <f t="shared" si="878"/>
        <v>10159</v>
      </c>
      <c r="G66" s="135">
        <f t="shared" si="878"/>
        <v>9571</v>
      </c>
      <c r="H66" s="135">
        <f t="shared" si="878"/>
        <v>9519</v>
      </c>
      <c r="I66" s="135">
        <f t="shared" si="878"/>
        <v>9760</v>
      </c>
      <c r="J66" s="135">
        <f t="shared" si="878"/>
        <v>9741</v>
      </c>
      <c r="K66" s="135">
        <f t="shared" si="878"/>
        <v>9809</v>
      </c>
      <c r="L66" s="135">
        <f t="shared" si="878"/>
        <v>10812</v>
      </c>
      <c r="M66" s="135">
        <f t="shared" si="878"/>
        <v>11017</v>
      </c>
      <c r="N66" s="135"/>
      <c r="O66" s="135"/>
      <c r="P66" s="135"/>
      <c r="Q66" s="961"/>
      <c r="R66" s="135"/>
      <c r="S66" s="135"/>
      <c r="T66" s="948">
        <f t="shared" si="878"/>
        <v>9872</v>
      </c>
      <c r="U66" s="135"/>
      <c r="V66" s="135"/>
      <c r="W66" s="135"/>
      <c r="X66" s="961"/>
      <c r="Y66" s="135"/>
      <c r="Z66" s="135"/>
      <c r="AA66" s="948">
        <f t="shared" si="878"/>
        <v>9979</v>
      </c>
      <c r="AB66" s="135"/>
      <c r="AC66" s="135"/>
      <c r="AD66" s="135"/>
      <c r="AE66" s="961"/>
      <c r="AF66" s="135"/>
      <c r="AG66" s="135"/>
      <c r="AH66" s="948">
        <f t="shared" si="878"/>
        <v>9907</v>
      </c>
      <c r="AI66" s="135"/>
      <c r="AJ66" s="135"/>
      <c r="AK66" s="135"/>
      <c r="AL66" s="961"/>
      <c r="AM66" s="135"/>
      <c r="AN66" s="135"/>
      <c r="AO66" s="948">
        <f t="shared" si="878"/>
        <v>9425</v>
      </c>
      <c r="AP66" s="135"/>
      <c r="AQ66" s="135"/>
      <c r="AR66" s="135"/>
      <c r="AS66" s="961"/>
      <c r="AT66" s="135"/>
      <c r="AU66" s="135"/>
      <c r="AV66" s="948">
        <v>9141</v>
      </c>
      <c r="AW66" s="135"/>
      <c r="AX66" s="135"/>
      <c r="AY66" s="135"/>
      <c r="AZ66" s="961"/>
      <c r="BA66" s="135"/>
      <c r="BB66" s="135"/>
      <c r="BC66" s="948">
        <f>9141</f>
        <v>9141</v>
      </c>
      <c r="BD66" s="135"/>
      <c r="BE66" s="135"/>
      <c r="BF66" s="135"/>
      <c r="BG66" s="961"/>
      <c r="BH66" s="135"/>
      <c r="BI66" s="135"/>
      <c r="BJ66" s="948">
        <v>13039</v>
      </c>
      <c r="BK66" s="135"/>
      <c r="BL66" s="135"/>
      <c r="BM66" s="135"/>
      <c r="BN66" s="961"/>
      <c r="BO66" s="135"/>
      <c r="BP66" s="135"/>
      <c r="BQ66" s="948">
        <v>13019</v>
      </c>
      <c r="BR66" s="135"/>
      <c r="BS66" s="135"/>
      <c r="BT66" s="135"/>
      <c r="BU66" s="961"/>
      <c r="BV66" s="135"/>
      <c r="BW66" s="135"/>
      <c r="BX66" s="948">
        <v>12999</v>
      </c>
      <c r="BY66" s="135"/>
      <c r="BZ66" s="135"/>
      <c r="CA66" s="135"/>
      <c r="CB66" s="961"/>
      <c r="CC66" s="135"/>
      <c r="CD66" s="135"/>
      <c r="CE66" s="948">
        <v>13028</v>
      </c>
      <c r="CF66" s="135"/>
      <c r="CG66" s="135"/>
      <c r="CH66" s="135"/>
      <c r="CI66" s="961"/>
      <c r="CJ66" s="135"/>
      <c r="CK66" s="135"/>
      <c r="CL66" s="948">
        <v>13165</v>
      </c>
      <c r="CM66" s="135"/>
      <c r="CN66" s="135"/>
      <c r="CO66" s="135"/>
      <c r="CP66" s="961"/>
      <c r="CQ66" s="135"/>
      <c r="CR66" s="135"/>
      <c r="CS66" s="948">
        <v>13141</v>
      </c>
      <c r="CT66" s="135"/>
      <c r="CU66" s="135"/>
      <c r="CV66" s="135"/>
      <c r="CW66" s="1117"/>
      <c r="CX66" s="135"/>
      <c r="CY66" s="897"/>
      <c r="CZ66" s="2102">
        <v>13449</v>
      </c>
      <c r="DA66" s="865">
        <f t="shared" ref="DA66:DB66" si="879">+DA64-DA65</f>
        <v>13475.75</v>
      </c>
      <c r="DB66" s="865">
        <f t="shared" si="879"/>
        <v>13502.5</v>
      </c>
      <c r="DC66" s="865">
        <f t="shared" ref="DC66:DE66" si="880">+DC64-DC65</f>
        <v>13502.5</v>
      </c>
      <c r="DD66" s="1102">
        <f t="shared" si="880"/>
        <v>13502.5</v>
      </c>
      <c r="DE66" s="865">
        <f t="shared" si="880"/>
        <v>13502.5</v>
      </c>
      <c r="DF66" s="897"/>
      <c r="DG66" s="1854">
        <v>13556</v>
      </c>
      <c r="DH66" s="865">
        <f t="shared" ref="DH66:DI66" si="881">+DH64-DH65</f>
        <v>13556</v>
      </c>
      <c r="DI66" s="865">
        <f t="shared" si="881"/>
        <v>13556</v>
      </c>
      <c r="DJ66" s="897">
        <f t="shared" ref="DJ66:EP66" si="882">+DJ64-DJ65</f>
        <v>13556</v>
      </c>
      <c r="DK66" s="1117">
        <f t="shared" si="882"/>
        <v>13556</v>
      </c>
      <c r="DL66" s="865">
        <f t="shared" si="882"/>
        <v>13556</v>
      </c>
      <c r="DM66" s="897">
        <f t="shared" si="882"/>
        <v>13556</v>
      </c>
      <c r="DN66" s="1116">
        <f t="shared" si="882"/>
        <v>13556</v>
      </c>
      <c r="DO66" s="897">
        <f t="shared" si="882"/>
        <v>13556</v>
      </c>
      <c r="DP66" s="897">
        <f t="shared" si="882"/>
        <v>13556</v>
      </c>
      <c r="DQ66" s="897">
        <f t="shared" si="882"/>
        <v>13556</v>
      </c>
      <c r="DR66" s="1117">
        <f t="shared" si="882"/>
        <v>13556</v>
      </c>
      <c r="DS66" s="897">
        <f t="shared" si="882"/>
        <v>13556</v>
      </c>
      <c r="DT66" s="897">
        <f t="shared" si="882"/>
        <v>13556</v>
      </c>
      <c r="DU66" s="1116">
        <f t="shared" si="882"/>
        <v>13556</v>
      </c>
      <c r="DV66" s="897">
        <f t="shared" si="882"/>
        <v>13556</v>
      </c>
      <c r="DW66" s="897">
        <f t="shared" si="882"/>
        <v>13556</v>
      </c>
      <c r="DX66" s="897">
        <f t="shared" si="882"/>
        <v>13556</v>
      </c>
      <c r="DY66" s="1117">
        <f t="shared" si="882"/>
        <v>13556</v>
      </c>
      <c r="DZ66" s="897">
        <f t="shared" si="882"/>
        <v>13556</v>
      </c>
      <c r="EA66" s="897">
        <f t="shared" si="882"/>
        <v>13556</v>
      </c>
      <c r="EB66" s="1116">
        <f t="shared" si="882"/>
        <v>13556</v>
      </c>
      <c r="EC66" s="897">
        <f t="shared" si="882"/>
        <v>13556</v>
      </c>
      <c r="ED66" s="897">
        <f t="shared" si="882"/>
        <v>13556</v>
      </c>
      <c r="EE66" s="897">
        <f t="shared" si="882"/>
        <v>13556</v>
      </c>
      <c r="EF66" s="1117">
        <f t="shared" si="882"/>
        <v>13556</v>
      </c>
      <c r="EG66" s="897">
        <f t="shared" si="882"/>
        <v>13556</v>
      </c>
      <c r="EH66" s="897">
        <f t="shared" si="882"/>
        <v>13556</v>
      </c>
      <c r="EI66" s="1116">
        <f t="shared" si="882"/>
        <v>13556</v>
      </c>
      <c r="EJ66" s="897">
        <f t="shared" si="882"/>
        <v>13556</v>
      </c>
      <c r="EK66" s="897">
        <f t="shared" si="882"/>
        <v>13556</v>
      </c>
      <c r="EL66" s="897">
        <f t="shared" si="882"/>
        <v>13556</v>
      </c>
      <c r="EM66" s="1117">
        <f t="shared" si="882"/>
        <v>13556</v>
      </c>
      <c r="EN66" s="897">
        <f t="shared" si="882"/>
        <v>13556</v>
      </c>
      <c r="EO66" s="897">
        <f t="shared" si="882"/>
        <v>13556</v>
      </c>
      <c r="EP66" s="1116">
        <f t="shared" si="882"/>
        <v>13556</v>
      </c>
      <c r="EQ66" s="303"/>
      <c r="ER66" s="46"/>
    </row>
    <row r="67" spans="1:148" ht="10.199999999999999" customHeight="1">
      <c r="A67" s="43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35"/>
      <c r="M67" s="224"/>
      <c r="N67" s="224"/>
      <c r="O67" s="224"/>
      <c r="P67" s="224"/>
      <c r="Q67" s="718"/>
      <c r="R67" s="224"/>
      <c r="S67" s="224"/>
      <c r="T67" s="538"/>
      <c r="U67" s="224"/>
      <c r="V67" s="224"/>
      <c r="W67" s="224"/>
      <c r="X67" s="718"/>
      <c r="Y67" s="224"/>
      <c r="Z67" s="224"/>
      <c r="AA67" s="538"/>
      <c r="AB67" s="224"/>
      <c r="AC67" s="224"/>
      <c r="AD67" s="224"/>
      <c r="AE67" s="718"/>
      <c r="AF67" s="224"/>
      <c r="AG67" s="224"/>
      <c r="AH67" s="538"/>
      <c r="AI67" s="224"/>
      <c r="AJ67" s="224"/>
      <c r="AK67" s="224"/>
      <c r="AL67" s="718"/>
      <c r="AM67" s="224"/>
      <c r="AN67" s="224"/>
      <c r="AO67" s="538"/>
      <c r="AP67" s="224"/>
      <c r="AQ67" s="224"/>
      <c r="AR67" s="224"/>
      <c r="AS67" s="718"/>
      <c r="AT67" s="224"/>
      <c r="AU67" s="224"/>
      <c r="AV67" s="538"/>
      <c r="AW67" s="224"/>
      <c r="AX67" s="224"/>
      <c r="AY67" s="224"/>
      <c r="AZ67" s="718"/>
      <c r="BA67" s="224"/>
      <c r="BB67" s="224"/>
      <c r="BC67" s="538"/>
      <c r="BD67" s="224"/>
      <c r="BE67" s="224"/>
      <c r="BF67" s="224"/>
      <c r="BG67" s="718"/>
      <c r="BH67" s="224"/>
      <c r="BI67" s="224"/>
      <c r="BJ67" s="538"/>
      <c r="BK67" s="224"/>
      <c r="BL67" s="224"/>
      <c r="BM67" s="224"/>
      <c r="BN67" s="718"/>
      <c r="BO67" s="224"/>
      <c r="BP67" s="224"/>
      <c r="BQ67" s="538"/>
      <c r="BR67" s="224"/>
      <c r="BS67" s="224"/>
      <c r="BT67" s="224"/>
      <c r="BU67" s="718"/>
      <c r="BV67" s="224"/>
      <c r="BW67" s="224"/>
      <c r="BX67" s="538"/>
      <c r="BY67" s="224"/>
      <c r="BZ67" s="224"/>
      <c r="CA67" s="224"/>
      <c r="CB67" s="718"/>
      <c r="CC67" s="224"/>
      <c r="CD67" s="224"/>
      <c r="CE67" s="538"/>
      <c r="CF67" s="224"/>
      <c r="CG67" s="224"/>
      <c r="CH67" s="224"/>
      <c r="CI67" s="718"/>
      <c r="CJ67" s="224"/>
      <c r="CK67" s="224"/>
      <c r="CL67" s="538"/>
      <c r="CM67" s="224"/>
      <c r="CN67" s="224"/>
      <c r="CO67" s="224"/>
      <c r="CP67" s="718"/>
      <c r="CQ67" s="224"/>
      <c r="CR67" s="224"/>
      <c r="CS67" s="538"/>
      <c r="CT67" s="108"/>
      <c r="CU67" s="224"/>
      <c r="CV67" s="108"/>
      <c r="CW67" s="718"/>
      <c r="CX67" s="108"/>
      <c r="CY67" s="224"/>
      <c r="CZ67" s="538"/>
      <c r="DA67" s="1"/>
      <c r="DB67" s="224"/>
      <c r="DC67" s="1"/>
      <c r="DD67" s="1094"/>
      <c r="DE67" s="3"/>
      <c r="DF67" s="224"/>
      <c r="DG67" s="1855"/>
      <c r="DH67" s="1"/>
      <c r="DI67" s="224"/>
      <c r="DJ67" s="3"/>
      <c r="DK67" s="1509"/>
      <c r="DL67" s="3"/>
      <c r="DM67" s="3"/>
      <c r="DN67" s="1479"/>
      <c r="DO67" s="3"/>
      <c r="DP67" s="1714"/>
      <c r="DQ67" s="3"/>
      <c r="DR67" s="1509"/>
      <c r="DS67" s="3"/>
      <c r="DT67" s="3"/>
      <c r="DU67" s="1479"/>
      <c r="DV67" s="3"/>
      <c r="DW67" s="1714"/>
      <c r="DX67" s="3"/>
      <c r="DY67" s="1509"/>
      <c r="DZ67" s="3"/>
      <c r="EA67" s="3"/>
      <c r="EB67" s="1479"/>
      <c r="EC67" s="3"/>
      <c r="ED67" s="1714"/>
      <c r="EE67" s="3"/>
      <c r="EF67" s="1509"/>
      <c r="EG67" s="3"/>
      <c r="EH67" s="3"/>
      <c r="EI67" s="1479"/>
      <c r="EJ67" s="3"/>
      <c r="EK67" s="1714"/>
      <c r="EL67" s="3"/>
      <c r="EM67" s="1509"/>
      <c r="EN67" s="3"/>
      <c r="EO67" s="3"/>
      <c r="EP67" s="1479"/>
      <c r="EQ67" s="303"/>
      <c r="ER67" s="46"/>
    </row>
    <row r="68" spans="1:148" ht="10.199999999999999" customHeight="1">
      <c r="A68" s="48" t="s">
        <v>393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700"/>
      <c r="R68" s="108"/>
      <c r="S68" s="108"/>
      <c r="T68" s="538"/>
      <c r="U68" s="108"/>
      <c r="V68" s="108"/>
      <c r="W68" s="108"/>
      <c r="X68" s="700"/>
      <c r="Y68" s="108"/>
      <c r="Z68" s="108"/>
      <c r="AA68" s="538"/>
      <c r="AB68" s="108"/>
      <c r="AC68" s="108"/>
      <c r="AD68" s="108"/>
      <c r="AE68" s="700"/>
      <c r="AF68" s="108"/>
      <c r="AG68" s="108"/>
      <c r="AH68" s="538"/>
      <c r="AI68" s="108"/>
      <c r="AJ68" s="108"/>
      <c r="AK68" s="108"/>
      <c r="AL68" s="700"/>
      <c r="AM68" s="108"/>
      <c r="AN68" s="108"/>
      <c r="AO68" s="538"/>
      <c r="AP68" s="108"/>
      <c r="AQ68" s="108"/>
      <c r="AR68" s="108"/>
      <c r="AS68" s="700"/>
      <c r="AT68" s="108"/>
      <c r="AU68" s="108"/>
      <c r="AV68" s="538"/>
      <c r="AW68" s="108"/>
      <c r="AX68" s="108"/>
      <c r="AY68" s="108"/>
      <c r="AZ68" s="700"/>
      <c r="BA68" s="108"/>
      <c r="BB68" s="108"/>
      <c r="BC68" s="538"/>
      <c r="BD68" s="108"/>
      <c r="BE68" s="108"/>
      <c r="BF68" s="108"/>
      <c r="BG68" s="700"/>
      <c r="BH68" s="108"/>
      <c r="BI68" s="108"/>
      <c r="BJ68" s="538"/>
      <c r="BK68" s="108"/>
      <c r="BL68" s="108"/>
      <c r="BM68" s="108"/>
      <c r="BN68" s="700"/>
      <c r="BO68" s="108"/>
      <c r="BP68" s="108"/>
      <c r="BQ68" s="538"/>
      <c r="BR68" s="108"/>
      <c r="BS68" s="108"/>
      <c r="BT68" s="108"/>
      <c r="BU68" s="700"/>
      <c r="BV68" s="108"/>
      <c r="BW68" s="108"/>
      <c r="BX68" s="538"/>
      <c r="BY68" s="108"/>
      <c r="BZ68" s="108"/>
      <c r="CA68" s="108"/>
      <c r="CB68" s="700"/>
      <c r="CC68" s="108"/>
      <c r="CD68" s="108"/>
      <c r="CE68" s="538"/>
      <c r="CF68" s="108"/>
      <c r="CG68" s="108"/>
      <c r="CH68" s="108"/>
      <c r="CI68" s="700"/>
      <c r="CJ68" s="108"/>
      <c r="CK68" s="108"/>
      <c r="CL68" s="538"/>
      <c r="CM68" s="108"/>
      <c r="CN68" s="108"/>
      <c r="CO68" s="108"/>
      <c r="CP68" s="700"/>
      <c r="CQ68" s="108"/>
      <c r="CR68" s="108"/>
      <c r="CS68" s="538"/>
      <c r="CT68" s="108"/>
      <c r="CU68" s="108"/>
      <c r="CV68" s="108"/>
      <c r="CW68" s="700"/>
      <c r="CX68" s="108"/>
      <c r="CY68" s="108"/>
      <c r="CZ68" s="538"/>
      <c r="DA68" s="1"/>
      <c r="DB68" s="108"/>
      <c r="DC68" s="1"/>
      <c r="DD68" s="1094"/>
      <c r="DE68" s="3"/>
      <c r="DF68" s="108"/>
      <c r="DG68" s="1855"/>
      <c r="DH68" s="1"/>
      <c r="DI68" s="108"/>
      <c r="DJ68" s="3"/>
      <c r="DK68" s="1509"/>
      <c r="DL68" s="3"/>
      <c r="DM68" s="3"/>
      <c r="DN68" s="1479"/>
      <c r="DO68" s="3"/>
      <c r="DP68" s="456"/>
      <c r="DQ68" s="3"/>
      <c r="DR68" s="1509"/>
      <c r="DS68" s="3"/>
      <c r="DT68" s="3"/>
      <c r="DU68" s="1479"/>
      <c r="DV68" s="3"/>
      <c r="DW68" s="456"/>
      <c r="DX68" s="3"/>
      <c r="DY68" s="1509"/>
      <c r="DZ68" s="3"/>
      <c r="EA68" s="3"/>
      <c r="EB68" s="1479"/>
      <c r="EC68" s="3"/>
      <c r="ED68" s="456"/>
      <c r="EE68" s="3"/>
      <c r="EF68" s="1509"/>
      <c r="EG68" s="3"/>
      <c r="EH68" s="3"/>
      <c r="EI68" s="1479"/>
      <c r="EJ68" s="3"/>
      <c r="EK68" s="456"/>
      <c r="EL68" s="3"/>
      <c r="EM68" s="1509"/>
      <c r="EN68" s="3"/>
      <c r="EO68" s="3"/>
      <c r="EP68" s="1479"/>
      <c r="EQ68" s="303"/>
      <c r="ER68" s="46"/>
    </row>
    <row r="69" spans="1:148" ht="10.199999999999999" customHeight="1">
      <c r="A69" s="43" t="s">
        <v>128</v>
      </c>
      <c r="B69" s="108"/>
      <c r="C69" s="108"/>
      <c r="D69" s="191">
        <v>12339</v>
      </c>
      <c r="E69" s="135">
        <f>+D72</f>
        <v>12710</v>
      </c>
      <c r="F69" s="135">
        <f>E72</f>
        <v>10607</v>
      </c>
      <c r="G69" s="135">
        <f>F72</f>
        <v>11306</v>
      </c>
      <c r="H69" s="135">
        <f>G72</f>
        <v>10710</v>
      </c>
      <c r="I69" s="135">
        <f>H72</f>
        <v>10649</v>
      </c>
      <c r="J69" s="135">
        <f>I72</f>
        <v>10863</v>
      </c>
      <c r="K69" s="135">
        <f>+J72</f>
        <v>10859</v>
      </c>
      <c r="L69" s="135">
        <f>+K72</f>
        <v>10934</v>
      </c>
      <c r="M69" s="135">
        <f>+L72</f>
        <v>11965</v>
      </c>
      <c r="N69" s="135"/>
      <c r="O69" s="135"/>
      <c r="P69" s="135"/>
      <c r="Q69" s="961"/>
      <c r="R69" s="135"/>
      <c r="S69" s="135"/>
      <c r="T69" s="948">
        <v>11100</v>
      </c>
      <c r="U69" s="135"/>
      <c r="V69" s="135"/>
      <c r="W69" s="135"/>
      <c r="X69" s="961"/>
      <c r="Y69" s="135"/>
      <c r="Z69" s="135"/>
      <c r="AA69" s="948">
        <f>T72</f>
        <v>11061</v>
      </c>
      <c r="AB69" s="135"/>
      <c r="AC69" s="135"/>
      <c r="AD69" s="135"/>
      <c r="AE69" s="961"/>
      <c r="AF69" s="135"/>
      <c r="AG69" s="135"/>
      <c r="AH69" s="948">
        <f>+AA72</f>
        <v>11077</v>
      </c>
      <c r="AI69" s="135"/>
      <c r="AJ69" s="135"/>
      <c r="AK69" s="135"/>
      <c r="AL69" s="961"/>
      <c r="AM69" s="135"/>
      <c r="AN69" s="135"/>
      <c r="AO69" s="948">
        <f>+AH72</f>
        <v>10995</v>
      </c>
      <c r="AP69" s="135"/>
      <c r="AQ69" s="135"/>
      <c r="AR69" s="135"/>
      <c r="AS69" s="961"/>
      <c r="AT69" s="135"/>
      <c r="AU69" s="135"/>
      <c r="AV69" s="948">
        <f>+AO72</f>
        <v>10498</v>
      </c>
      <c r="AW69" s="135"/>
      <c r="AX69" s="135"/>
      <c r="AY69" s="135"/>
      <c r="AZ69" s="961"/>
      <c r="BA69" s="135"/>
      <c r="BB69" s="135"/>
      <c r="BC69" s="948">
        <f>BC72-BC71</f>
        <v>10464</v>
      </c>
      <c r="BD69" s="135"/>
      <c r="BE69" s="135"/>
      <c r="BF69" s="135"/>
      <c r="BG69" s="961"/>
      <c r="BH69" s="135"/>
      <c r="BI69" s="135"/>
      <c r="BJ69" s="948">
        <f>+BC72</f>
        <v>10180</v>
      </c>
      <c r="BK69" s="135"/>
      <c r="BL69" s="135"/>
      <c r="BM69" s="135"/>
      <c r="BN69" s="961"/>
      <c r="BO69" s="135"/>
      <c r="BP69" s="135"/>
      <c r="BQ69" s="948">
        <f>+BJ72</f>
        <v>14077</v>
      </c>
      <c r="BR69" s="135"/>
      <c r="BS69" s="135"/>
      <c r="BT69" s="135"/>
      <c r="BU69" s="961"/>
      <c r="BV69" s="135"/>
      <c r="BW69" s="135"/>
      <c r="BX69" s="948">
        <f>+BQ72</f>
        <v>14062</v>
      </c>
      <c r="BY69" s="135"/>
      <c r="BZ69" s="135"/>
      <c r="CA69" s="135"/>
      <c r="CB69" s="961"/>
      <c r="CC69" s="135"/>
      <c r="CD69" s="135"/>
      <c r="CE69" s="948">
        <f>+BX72</f>
        <v>14039</v>
      </c>
      <c r="CF69" s="135"/>
      <c r="CG69" s="135"/>
      <c r="CH69" s="135"/>
      <c r="CI69" s="961"/>
      <c r="CJ69" s="135"/>
      <c r="CK69" s="135"/>
      <c r="CL69" s="948">
        <f>+CE72</f>
        <v>14072</v>
      </c>
      <c r="CM69" s="135"/>
      <c r="CN69" s="135"/>
      <c r="CO69" s="135"/>
      <c r="CP69" s="961"/>
      <c r="CQ69" s="135"/>
      <c r="CR69" s="135"/>
      <c r="CS69" s="948">
        <f>+CL72</f>
        <v>14205</v>
      </c>
      <c r="CT69" s="135"/>
      <c r="CU69" s="135"/>
      <c r="CV69" s="135"/>
      <c r="CW69" s="1117"/>
      <c r="CX69" s="135"/>
      <c r="CY69" s="897"/>
      <c r="CZ69" s="948">
        <f>+CS72</f>
        <v>14183</v>
      </c>
      <c r="DA69" s="865">
        <f>+CZ72</f>
        <v>14494</v>
      </c>
      <c r="DB69" s="135">
        <f>+DA72</f>
        <v>14520</v>
      </c>
      <c r="DC69" s="865">
        <f>+DB72</f>
        <v>14546</v>
      </c>
      <c r="DD69" s="1102">
        <f>+DC72</f>
        <v>14546</v>
      </c>
      <c r="DE69" s="865">
        <f>+CZ72</f>
        <v>14494</v>
      </c>
      <c r="DF69" s="897"/>
      <c r="DG69" s="1856">
        <f>+CZ72</f>
        <v>14494</v>
      </c>
      <c r="DH69" s="865">
        <f>+DG72</f>
        <v>14598</v>
      </c>
      <c r="DI69" s="135">
        <f>+DH72</f>
        <v>14598</v>
      </c>
      <c r="DJ69" s="897">
        <f>+DI72</f>
        <v>14598</v>
      </c>
      <c r="DK69" s="1117">
        <f>+DJ72</f>
        <v>14598</v>
      </c>
      <c r="DL69" s="865">
        <f>+DG72</f>
        <v>14598</v>
      </c>
      <c r="DM69" s="897">
        <f>+DL72</f>
        <v>14598</v>
      </c>
      <c r="DN69" s="1116">
        <f>+DG72</f>
        <v>14598</v>
      </c>
      <c r="DO69" s="897">
        <f>+DN72</f>
        <v>14598</v>
      </c>
      <c r="DP69" s="442">
        <f>+DO72</f>
        <v>14598</v>
      </c>
      <c r="DQ69" s="897">
        <f>+DP72</f>
        <v>14598</v>
      </c>
      <c r="DR69" s="1117">
        <f>+DQ72</f>
        <v>14598</v>
      </c>
      <c r="DS69" s="897">
        <f>+DN72</f>
        <v>14598</v>
      </c>
      <c r="DT69" s="897">
        <f>+DS72</f>
        <v>14598</v>
      </c>
      <c r="DU69" s="1116">
        <f>+DN72</f>
        <v>14598</v>
      </c>
      <c r="DV69" s="897">
        <f>+DU72</f>
        <v>14598</v>
      </c>
      <c r="DW69" s="442">
        <f>+DV72</f>
        <v>14598</v>
      </c>
      <c r="DX69" s="897">
        <f>+DW72</f>
        <v>14598</v>
      </c>
      <c r="DY69" s="1117">
        <f>+DX72</f>
        <v>14598</v>
      </c>
      <c r="DZ69" s="897">
        <f>+DU72</f>
        <v>14598</v>
      </c>
      <c r="EA69" s="897">
        <f>+DZ72</f>
        <v>14598</v>
      </c>
      <c r="EB69" s="1116">
        <f>+DU72</f>
        <v>14598</v>
      </c>
      <c r="EC69" s="897">
        <f>+EB72</f>
        <v>14598</v>
      </c>
      <c r="ED69" s="442">
        <f>+EC72</f>
        <v>14598</v>
      </c>
      <c r="EE69" s="897">
        <f>+ED72</f>
        <v>14598</v>
      </c>
      <c r="EF69" s="1117">
        <f>+EE72</f>
        <v>14598</v>
      </c>
      <c r="EG69" s="897">
        <f>+EB72</f>
        <v>14598</v>
      </c>
      <c r="EH69" s="897">
        <f>+EG72</f>
        <v>14598</v>
      </c>
      <c r="EI69" s="1116">
        <f>+EB72</f>
        <v>14598</v>
      </c>
      <c r="EJ69" s="897">
        <f>+EI72</f>
        <v>14598</v>
      </c>
      <c r="EK69" s="442">
        <f>+EJ72</f>
        <v>14598</v>
      </c>
      <c r="EL69" s="897">
        <f>+EK72</f>
        <v>14598</v>
      </c>
      <c r="EM69" s="1117">
        <f>+EL72</f>
        <v>14598</v>
      </c>
      <c r="EN69" s="897">
        <f>+EI72</f>
        <v>14598</v>
      </c>
      <c r="EO69" s="897">
        <f>+EN72</f>
        <v>14598</v>
      </c>
      <c r="EP69" s="1116">
        <f t="shared" ref="EP69" si="883">+EI72</f>
        <v>14598</v>
      </c>
      <c r="EQ69" s="303"/>
      <c r="ER69" s="46"/>
    </row>
    <row r="70" spans="1:148" ht="10.199999999999999" customHeight="1">
      <c r="A70" s="3" t="s">
        <v>181</v>
      </c>
      <c r="B70" s="1"/>
      <c r="C70" s="1"/>
      <c r="D70" s="863">
        <f>334+52</f>
        <v>386</v>
      </c>
      <c r="E70" s="834">
        <v>83</v>
      </c>
      <c r="F70" s="1">
        <f>168-9-2</f>
        <v>157</v>
      </c>
      <c r="G70" s="877">
        <f>64+15-677</f>
        <v>-598</v>
      </c>
      <c r="H70" s="877">
        <f>9-29-12</f>
        <v>-32</v>
      </c>
      <c r="I70" s="1">
        <f>10+259</f>
        <v>269</v>
      </c>
      <c r="J70" s="877">
        <f>16-24</f>
        <v>-8</v>
      </c>
      <c r="K70" s="834">
        <v>34</v>
      </c>
      <c r="L70" s="834">
        <v>0</v>
      </c>
      <c r="M70" s="834">
        <v>5</v>
      </c>
      <c r="N70" s="834"/>
      <c r="O70" s="834"/>
      <c r="P70" s="834"/>
      <c r="Q70" s="1095"/>
      <c r="R70" s="834"/>
      <c r="S70" s="834"/>
      <c r="T70" s="1269">
        <v>0</v>
      </c>
      <c r="U70" s="834"/>
      <c r="V70" s="834"/>
      <c r="W70" s="834"/>
      <c r="X70" s="1095"/>
      <c r="Y70" s="834"/>
      <c r="Z70" s="834"/>
      <c r="AA70" s="1269">
        <v>0</v>
      </c>
      <c r="AB70" s="834"/>
      <c r="AC70" s="834"/>
      <c r="AD70" s="834"/>
      <c r="AE70" s="1095"/>
      <c r="AF70" s="834"/>
      <c r="AG70" s="834"/>
      <c r="AH70" s="1269">
        <v>0</v>
      </c>
      <c r="AI70" s="834"/>
      <c r="AJ70" s="834"/>
      <c r="AK70" s="834"/>
      <c r="AL70" s="1095"/>
      <c r="AM70" s="834"/>
      <c r="AN70" s="834"/>
      <c r="AO70" s="1269">
        <v>89</v>
      </c>
      <c r="AP70" s="834"/>
      <c r="AQ70" s="834"/>
      <c r="AR70" s="834"/>
      <c r="AS70" s="1095"/>
      <c r="AT70" s="834"/>
      <c r="AU70" s="834"/>
      <c r="AV70" s="1269">
        <v>0</v>
      </c>
      <c r="AW70" s="834"/>
      <c r="AX70" s="834"/>
      <c r="AY70" s="834"/>
      <c r="AZ70" s="1095"/>
      <c r="BA70" s="834"/>
      <c r="BB70" s="834"/>
      <c r="BC70" s="1269">
        <v>0</v>
      </c>
      <c r="BD70" s="834"/>
      <c r="BE70" s="834"/>
      <c r="BF70" s="834"/>
      <c r="BG70" s="1095"/>
      <c r="BH70" s="834"/>
      <c r="BI70" s="834"/>
      <c r="BJ70" s="1269">
        <f>BJ72-BJ71-BJ69</f>
        <v>3897</v>
      </c>
      <c r="BK70" s="834"/>
      <c r="BL70" s="834"/>
      <c r="BM70" s="834"/>
      <c r="BN70" s="1095"/>
      <c r="BO70" s="834"/>
      <c r="BP70" s="834"/>
      <c r="BQ70" s="1269">
        <f>BQ72-BQ71-BQ69</f>
        <v>-15</v>
      </c>
      <c r="BR70" s="834"/>
      <c r="BS70" s="834"/>
      <c r="BT70" s="834"/>
      <c r="BU70" s="1095"/>
      <c r="BV70" s="834"/>
      <c r="BW70" s="834"/>
      <c r="BX70" s="1269">
        <v>0</v>
      </c>
      <c r="BY70" s="834"/>
      <c r="BZ70" s="834"/>
      <c r="CA70" s="834"/>
      <c r="CB70" s="1095"/>
      <c r="CC70" s="834"/>
      <c r="CD70" s="834"/>
      <c r="CE70" s="1269">
        <v>0</v>
      </c>
      <c r="CF70" s="834"/>
      <c r="CG70" s="834"/>
      <c r="CH70" s="834"/>
      <c r="CI70" s="1095"/>
      <c r="CJ70" s="834"/>
      <c r="CK70" s="834"/>
      <c r="CL70" s="1269">
        <v>0</v>
      </c>
      <c r="CM70" s="834"/>
      <c r="CN70" s="834"/>
      <c r="CO70" s="834"/>
      <c r="CP70" s="1095"/>
      <c r="CQ70" s="834"/>
      <c r="CR70" s="834"/>
      <c r="CS70" s="1269">
        <v>0</v>
      </c>
      <c r="CT70" s="834"/>
      <c r="CU70" s="834"/>
      <c r="CV70" s="834"/>
      <c r="CW70" s="1109"/>
      <c r="CX70" s="834"/>
      <c r="CY70" s="860"/>
      <c r="CZ70" s="1269">
        <v>0</v>
      </c>
      <c r="DA70" s="834">
        <f>DE70/2</f>
        <v>0</v>
      </c>
      <c r="DB70" s="834">
        <f>DE70-DA70</f>
        <v>0</v>
      </c>
      <c r="DC70" s="834">
        <f>DF70/2</f>
        <v>0</v>
      </c>
      <c r="DD70" s="1095">
        <f>DF70-DC70</f>
        <v>0</v>
      </c>
      <c r="DE70" s="834">
        <f>DG70/2</f>
        <v>0</v>
      </c>
      <c r="DF70" s="860"/>
      <c r="DG70" s="1857">
        <v>0</v>
      </c>
      <c r="DH70" s="834">
        <f>DL70/2</f>
        <v>0</v>
      </c>
      <c r="DI70" s="834">
        <f>DL70-DH70</f>
        <v>0</v>
      </c>
      <c r="DJ70" s="860">
        <f>DM70/2</f>
        <v>0</v>
      </c>
      <c r="DK70" s="1109">
        <f>DM70-DJ70</f>
        <v>0</v>
      </c>
      <c r="DL70" s="834">
        <f>DN70/2</f>
        <v>0</v>
      </c>
      <c r="DM70" s="860">
        <f>DN70-DL70</f>
        <v>0</v>
      </c>
      <c r="DN70" s="1484">
        <v>0</v>
      </c>
      <c r="DO70" s="860">
        <f>DS70/2</f>
        <v>0</v>
      </c>
      <c r="DP70" s="860">
        <f>DS70-DO70</f>
        <v>0</v>
      </c>
      <c r="DQ70" s="860">
        <f>DT70/2</f>
        <v>0</v>
      </c>
      <c r="DR70" s="1109">
        <f>DT70-DQ70</f>
        <v>0</v>
      </c>
      <c r="DS70" s="860">
        <f>DU70/2</f>
        <v>0</v>
      </c>
      <c r="DT70" s="860">
        <f>DU70-DS70</f>
        <v>0</v>
      </c>
      <c r="DU70" s="1484">
        <v>0</v>
      </c>
      <c r="DV70" s="860">
        <f>DZ70/2</f>
        <v>0</v>
      </c>
      <c r="DW70" s="860">
        <f>DZ70-DV70</f>
        <v>0</v>
      </c>
      <c r="DX70" s="860">
        <f>EA70/2</f>
        <v>0</v>
      </c>
      <c r="DY70" s="1109">
        <f>EA70-DX70</f>
        <v>0</v>
      </c>
      <c r="DZ70" s="860">
        <f>EB70/2</f>
        <v>0</v>
      </c>
      <c r="EA70" s="860">
        <f>EB70-DZ70</f>
        <v>0</v>
      </c>
      <c r="EB70" s="1484">
        <v>0</v>
      </c>
      <c r="EC70" s="860">
        <f>EG70/2</f>
        <v>0</v>
      </c>
      <c r="ED70" s="860">
        <f>EG70-EC70</f>
        <v>0</v>
      </c>
      <c r="EE70" s="860">
        <f>EH70/2</f>
        <v>0</v>
      </c>
      <c r="EF70" s="1109">
        <f>EH70-EE70</f>
        <v>0</v>
      </c>
      <c r="EG70" s="860">
        <f>EI70/2</f>
        <v>0</v>
      </c>
      <c r="EH70" s="860">
        <f>EI70-EG70</f>
        <v>0</v>
      </c>
      <c r="EI70" s="1484">
        <v>0</v>
      </c>
      <c r="EJ70" s="860">
        <f>EN70/2</f>
        <v>0</v>
      </c>
      <c r="EK70" s="860">
        <f>EN70-EJ70</f>
        <v>0</v>
      </c>
      <c r="EL70" s="860">
        <f>EO70/2</f>
        <v>0</v>
      </c>
      <c r="EM70" s="1109">
        <f>EO70-EL70</f>
        <v>0</v>
      </c>
      <c r="EN70" s="860">
        <f>EP70/2</f>
        <v>0</v>
      </c>
      <c r="EO70" s="860">
        <f>EP70-EN70</f>
        <v>0</v>
      </c>
      <c r="EP70" s="1484">
        <v>0</v>
      </c>
      <c r="EQ70" s="851"/>
      <c r="ER70" s="875"/>
    </row>
    <row r="71" spans="1:148" ht="10.199999999999999" customHeight="1">
      <c r="A71" s="3" t="s">
        <v>89</v>
      </c>
      <c r="B71" s="1"/>
      <c r="C71" s="1"/>
      <c r="D71" s="878">
        <v>-15</v>
      </c>
      <c r="E71" s="878">
        <f>-2198-1+13</f>
        <v>-2186</v>
      </c>
      <c r="F71" s="316">
        <f>541+1</f>
        <v>542</v>
      </c>
      <c r="G71" s="316">
        <v>2</v>
      </c>
      <c r="H71" s="878">
        <v>-29</v>
      </c>
      <c r="I71" s="878">
        <v>-55</v>
      </c>
      <c r="J71" s="316">
        <v>4</v>
      </c>
      <c r="K71" s="836">
        <v>41</v>
      </c>
      <c r="L71" s="836">
        <f>33+1020-22</f>
        <v>1031</v>
      </c>
      <c r="M71" s="836">
        <f>4+213+4</f>
        <v>221</v>
      </c>
      <c r="N71" s="1564"/>
      <c r="O71" s="1564"/>
      <c r="P71" s="1564"/>
      <c r="Q71" s="1580"/>
      <c r="R71" s="1564"/>
      <c r="S71" s="1564"/>
      <c r="T71" s="1598">
        <f>-50+11</f>
        <v>-39</v>
      </c>
      <c r="U71" s="1564"/>
      <c r="V71" s="1564"/>
      <c r="W71" s="1564"/>
      <c r="X71" s="1580"/>
      <c r="Y71" s="1564"/>
      <c r="Z71" s="1564"/>
      <c r="AA71" s="1598">
        <f>90+54-23-105</f>
        <v>16</v>
      </c>
      <c r="AB71" s="1564"/>
      <c r="AC71" s="1564"/>
      <c r="AD71" s="1564"/>
      <c r="AE71" s="1580"/>
      <c r="AF71" s="1564"/>
      <c r="AG71" s="1564"/>
      <c r="AH71" s="1598">
        <v>-82</v>
      </c>
      <c r="AI71" s="1564"/>
      <c r="AJ71" s="1564"/>
      <c r="AK71" s="1564"/>
      <c r="AL71" s="1580"/>
      <c r="AM71" s="1564"/>
      <c r="AN71" s="1564"/>
      <c r="AO71" s="1598">
        <v>-586</v>
      </c>
      <c r="AP71" s="1564"/>
      <c r="AQ71" s="1564"/>
      <c r="AR71" s="1564"/>
      <c r="AS71" s="1580"/>
      <c r="AT71" s="1564"/>
      <c r="AU71" s="1564"/>
      <c r="AV71" s="1598">
        <f>AV72-AV70-AV69</f>
        <v>-318</v>
      </c>
      <c r="AW71" s="1564"/>
      <c r="AX71" s="1564"/>
      <c r="AY71" s="1564"/>
      <c r="AZ71" s="1580"/>
      <c r="BA71" s="1564"/>
      <c r="BB71" s="1564"/>
      <c r="BC71" s="1598">
        <v>-284</v>
      </c>
      <c r="BD71" s="1564"/>
      <c r="BE71" s="1564"/>
      <c r="BF71" s="1564"/>
      <c r="BG71" s="1580"/>
      <c r="BH71" s="1564"/>
      <c r="BI71" s="1564"/>
      <c r="BJ71" s="1598">
        <v>0</v>
      </c>
      <c r="BK71" s="1564"/>
      <c r="BL71" s="1564"/>
      <c r="BM71" s="1564"/>
      <c r="BN71" s="1580"/>
      <c r="BO71" s="1564"/>
      <c r="BP71" s="1564"/>
      <c r="BQ71" s="1598">
        <v>0</v>
      </c>
      <c r="BR71" s="1564"/>
      <c r="BS71" s="1564"/>
      <c r="BT71" s="1564"/>
      <c r="BU71" s="1580"/>
      <c r="BV71" s="1564"/>
      <c r="BW71" s="1564"/>
      <c r="BX71" s="1598">
        <f>BX72-BX70-BX69</f>
        <v>-23</v>
      </c>
      <c r="BY71" s="1564"/>
      <c r="BZ71" s="1564"/>
      <c r="CA71" s="1564"/>
      <c r="CB71" s="1580"/>
      <c r="CC71" s="1564"/>
      <c r="CD71" s="1564"/>
      <c r="CE71" s="1598">
        <f>CE72-CE70-CE69</f>
        <v>33</v>
      </c>
      <c r="CF71" s="1564"/>
      <c r="CG71" s="1564"/>
      <c r="CH71" s="1564"/>
      <c r="CI71" s="1580"/>
      <c r="CJ71" s="1564"/>
      <c r="CK71" s="1564"/>
      <c r="CL71" s="1598">
        <f>CL72-CL70-CL69</f>
        <v>133</v>
      </c>
      <c r="CM71" s="1564"/>
      <c r="CN71" s="1564"/>
      <c r="CO71" s="1564"/>
      <c r="CP71" s="1580"/>
      <c r="CQ71" s="1564"/>
      <c r="CR71" s="1564"/>
      <c r="CS71" s="1598">
        <f>CS72-CS70-CS69</f>
        <v>-22</v>
      </c>
      <c r="CT71" s="1564"/>
      <c r="CU71" s="1564"/>
      <c r="CV71" s="1564"/>
      <c r="CW71" s="1516"/>
      <c r="CX71" s="1564"/>
      <c r="CY71" s="1410"/>
      <c r="CZ71" s="1598">
        <f>CZ72-CZ70-CZ69</f>
        <v>311</v>
      </c>
      <c r="DA71" s="1564">
        <f>DE71/2</f>
        <v>26</v>
      </c>
      <c r="DB71" s="1564">
        <f>DE71-DA71</f>
        <v>26</v>
      </c>
      <c r="DC71" s="1564">
        <f>DF71/2</f>
        <v>0</v>
      </c>
      <c r="DD71" s="1580">
        <f>DF71-DC71</f>
        <v>0</v>
      </c>
      <c r="DE71" s="1564">
        <f>DG71/2</f>
        <v>52</v>
      </c>
      <c r="DF71" s="1410"/>
      <c r="DG71" s="1858">
        <f>DG72-DG70-DG69</f>
        <v>104</v>
      </c>
      <c r="DH71" s="1564">
        <f>DL71/2</f>
        <v>0</v>
      </c>
      <c r="DI71" s="1564">
        <f>DL71-DH71</f>
        <v>0</v>
      </c>
      <c r="DJ71" s="1410">
        <f>DM71/2</f>
        <v>0</v>
      </c>
      <c r="DK71" s="1516">
        <f>DM71-DJ71</f>
        <v>0</v>
      </c>
      <c r="DL71" s="1564">
        <f>DN71/2</f>
        <v>0</v>
      </c>
      <c r="DM71" s="1410">
        <f>DN71-DL71</f>
        <v>0</v>
      </c>
      <c r="DN71" s="1485">
        <v>0</v>
      </c>
      <c r="DO71" s="1410">
        <f>DS71/2</f>
        <v>0</v>
      </c>
      <c r="DP71" s="1410">
        <f>DS71-DO71</f>
        <v>0</v>
      </c>
      <c r="DQ71" s="1410">
        <f>DT71/2</f>
        <v>0</v>
      </c>
      <c r="DR71" s="1516">
        <f>DT71-DQ71</f>
        <v>0</v>
      </c>
      <c r="DS71" s="1410">
        <f>DU71/2</f>
        <v>0</v>
      </c>
      <c r="DT71" s="1410">
        <f>DU71-DS71</f>
        <v>0</v>
      </c>
      <c r="DU71" s="1485">
        <v>0</v>
      </c>
      <c r="DV71" s="1410">
        <f>DZ71/2</f>
        <v>0</v>
      </c>
      <c r="DW71" s="1410">
        <f>DZ71-DV71</f>
        <v>0</v>
      </c>
      <c r="DX71" s="1410">
        <f>EA71/2</f>
        <v>0</v>
      </c>
      <c r="DY71" s="1516">
        <f>EA71-DX71</f>
        <v>0</v>
      </c>
      <c r="DZ71" s="1410">
        <f>EB71/2</f>
        <v>0</v>
      </c>
      <c r="EA71" s="1410">
        <f>EB71-DZ71</f>
        <v>0</v>
      </c>
      <c r="EB71" s="1485">
        <v>0</v>
      </c>
      <c r="EC71" s="1410">
        <f>EG71/2</f>
        <v>0</v>
      </c>
      <c r="ED71" s="1410">
        <f>EG71-EC71</f>
        <v>0</v>
      </c>
      <c r="EE71" s="1410">
        <f>EH71/2</f>
        <v>0</v>
      </c>
      <c r="EF71" s="1516">
        <f>EH71-EE71</f>
        <v>0</v>
      </c>
      <c r="EG71" s="1410">
        <f>EI71/2</f>
        <v>0</v>
      </c>
      <c r="EH71" s="1410">
        <f>EI71-EG71</f>
        <v>0</v>
      </c>
      <c r="EI71" s="1485">
        <v>0</v>
      </c>
      <c r="EJ71" s="1410">
        <f>EN71/2</f>
        <v>0</v>
      </c>
      <c r="EK71" s="1410">
        <f>EN71-EJ71</f>
        <v>0</v>
      </c>
      <c r="EL71" s="1410">
        <f>EO71/2</f>
        <v>0</v>
      </c>
      <c r="EM71" s="1516">
        <f>EO71-EL71</f>
        <v>0</v>
      </c>
      <c r="EN71" s="1410">
        <f>EP71/2</f>
        <v>0</v>
      </c>
      <c r="EO71" s="1410">
        <f>EP71-EN71</f>
        <v>0</v>
      </c>
      <c r="EP71" s="1485">
        <v>0</v>
      </c>
      <c r="EQ71" s="851"/>
      <c r="ER71" s="875"/>
    </row>
    <row r="72" spans="1:148" ht="10.199999999999999" customHeight="1">
      <c r="A72" s="43" t="s">
        <v>90</v>
      </c>
      <c r="B72" s="108"/>
      <c r="C72" s="108"/>
      <c r="D72" s="135">
        <f t="shared" ref="D72:AO72" si="884">+D69+D70+D71</f>
        <v>12710</v>
      </c>
      <c r="E72" s="135">
        <f t="shared" si="884"/>
        <v>10607</v>
      </c>
      <c r="F72" s="135">
        <f t="shared" si="884"/>
        <v>11306</v>
      </c>
      <c r="G72" s="135">
        <f t="shared" si="884"/>
        <v>10710</v>
      </c>
      <c r="H72" s="135">
        <f t="shared" si="884"/>
        <v>10649</v>
      </c>
      <c r="I72" s="135">
        <f t="shared" si="884"/>
        <v>10863</v>
      </c>
      <c r="J72" s="135">
        <f t="shared" si="884"/>
        <v>10859</v>
      </c>
      <c r="K72" s="135">
        <f t="shared" si="884"/>
        <v>10934</v>
      </c>
      <c r="L72" s="135">
        <f t="shared" si="884"/>
        <v>11965</v>
      </c>
      <c r="M72" s="135">
        <f t="shared" si="884"/>
        <v>12191</v>
      </c>
      <c r="N72" s="135"/>
      <c r="O72" s="135"/>
      <c r="P72" s="135"/>
      <c r="Q72" s="961"/>
      <c r="R72" s="135"/>
      <c r="S72" s="135"/>
      <c r="T72" s="948">
        <f t="shared" si="884"/>
        <v>11061</v>
      </c>
      <c r="U72" s="135"/>
      <c r="V72" s="135"/>
      <c r="W72" s="135"/>
      <c r="X72" s="961"/>
      <c r="Y72" s="135"/>
      <c r="Z72" s="135"/>
      <c r="AA72" s="948">
        <f t="shared" si="884"/>
        <v>11077</v>
      </c>
      <c r="AB72" s="135"/>
      <c r="AC72" s="135"/>
      <c r="AD72" s="135"/>
      <c r="AE72" s="961"/>
      <c r="AF72" s="135"/>
      <c r="AG72" s="135"/>
      <c r="AH72" s="948">
        <f t="shared" si="884"/>
        <v>10995</v>
      </c>
      <c r="AI72" s="135"/>
      <c r="AJ72" s="135"/>
      <c r="AK72" s="135"/>
      <c r="AL72" s="961"/>
      <c r="AM72" s="135"/>
      <c r="AN72" s="135"/>
      <c r="AO72" s="948">
        <f t="shared" si="884"/>
        <v>10498</v>
      </c>
      <c r="AP72" s="135"/>
      <c r="AQ72" s="135"/>
      <c r="AR72" s="135"/>
      <c r="AS72" s="961"/>
      <c r="AT72" s="135"/>
      <c r="AU72" s="135"/>
      <c r="AV72" s="948">
        <v>10180</v>
      </c>
      <c r="AW72" s="135"/>
      <c r="AX72" s="135"/>
      <c r="AY72" s="135"/>
      <c r="AZ72" s="961"/>
      <c r="BA72" s="135"/>
      <c r="BB72" s="135"/>
      <c r="BC72" s="948">
        <v>10180</v>
      </c>
      <c r="BD72" s="135"/>
      <c r="BE72" s="135"/>
      <c r="BF72" s="135"/>
      <c r="BG72" s="961"/>
      <c r="BH72" s="135"/>
      <c r="BI72" s="135"/>
      <c r="BJ72" s="948">
        <f>BJ64</f>
        <v>14077</v>
      </c>
      <c r="BK72" s="135"/>
      <c r="BL72" s="135"/>
      <c r="BM72" s="135"/>
      <c r="BN72" s="961"/>
      <c r="BO72" s="135"/>
      <c r="BP72" s="135"/>
      <c r="BQ72" s="948">
        <f>BQ66+BQ65</f>
        <v>14062</v>
      </c>
      <c r="BR72" s="135"/>
      <c r="BS72" s="135"/>
      <c r="BT72" s="135"/>
      <c r="BU72" s="961"/>
      <c r="BV72" s="135"/>
      <c r="BW72" s="135"/>
      <c r="BX72" s="948">
        <f>BX66+BX65</f>
        <v>14039</v>
      </c>
      <c r="BY72" s="135"/>
      <c r="BZ72" s="135"/>
      <c r="CA72" s="135"/>
      <c r="CB72" s="961"/>
      <c r="CC72" s="135"/>
      <c r="CD72" s="135"/>
      <c r="CE72" s="948">
        <f>CE66+CE65</f>
        <v>14072</v>
      </c>
      <c r="CF72" s="135"/>
      <c r="CG72" s="135"/>
      <c r="CH72" s="135"/>
      <c r="CI72" s="961"/>
      <c r="CJ72" s="135"/>
      <c r="CK72" s="135"/>
      <c r="CL72" s="948">
        <f>CL65+CL66</f>
        <v>14205</v>
      </c>
      <c r="CM72" s="135"/>
      <c r="CN72" s="135"/>
      <c r="CO72" s="135"/>
      <c r="CP72" s="961"/>
      <c r="CQ72" s="135"/>
      <c r="CR72" s="135"/>
      <c r="CS72" s="948">
        <f>CS65+CS66</f>
        <v>14183</v>
      </c>
      <c r="CT72" s="135"/>
      <c r="CU72" s="135"/>
      <c r="CV72" s="135"/>
      <c r="CW72" s="1117"/>
      <c r="CX72" s="135"/>
      <c r="CY72" s="897"/>
      <c r="CZ72" s="948">
        <f>CZ65+CZ66</f>
        <v>14494</v>
      </c>
      <c r="DA72" s="865">
        <f t="shared" ref="DA72:DB72" si="885">+DA69+DA70+DA71</f>
        <v>14520</v>
      </c>
      <c r="DB72" s="135">
        <f t="shared" si="885"/>
        <v>14546</v>
      </c>
      <c r="DC72" s="865">
        <f t="shared" ref="DC72:DD72" si="886">+DC69+DC70+DC71</f>
        <v>14546</v>
      </c>
      <c r="DD72" s="1102">
        <f t="shared" si="886"/>
        <v>14546</v>
      </c>
      <c r="DE72" s="865">
        <f t="shared" ref="DE72" si="887">+DE69+DE70+DE71</f>
        <v>14546</v>
      </c>
      <c r="DF72" s="897"/>
      <c r="DG72" s="1856">
        <f>DG65+DG66</f>
        <v>14598</v>
      </c>
      <c r="DH72" s="865">
        <f t="shared" ref="DH72:DI72" si="888">+DH69+DH70+DH71</f>
        <v>14598</v>
      </c>
      <c r="DI72" s="135">
        <f t="shared" si="888"/>
        <v>14598</v>
      </c>
      <c r="DJ72" s="897">
        <f t="shared" ref="DJ72:EP72" si="889">+DJ69+DJ70+DJ71</f>
        <v>14598</v>
      </c>
      <c r="DK72" s="1117">
        <f t="shared" si="889"/>
        <v>14598</v>
      </c>
      <c r="DL72" s="865">
        <f t="shared" si="889"/>
        <v>14598</v>
      </c>
      <c r="DM72" s="897">
        <f t="shared" si="889"/>
        <v>14598</v>
      </c>
      <c r="DN72" s="1116">
        <f t="shared" si="889"/>
        <v>14598</v>
      </c>
      <c r="DO72" s="897">
        <f t="shared" si="889"/>
        <v>14598</v>
      </c>
      <c r="DP72" s="442">
        <f t="shared" si="889"/>
        <v>14598</v>
      </c>
      <c r="DQ72" s="897">
        <f t="shared" si="889"/>
        <v>14598</v>
      </c>
      <c r="DR72" s="1117">
        <f t="shared" si="889"/>
        <v>14598</v>
      </c>
      <c r="DS72" s="897">
        <f t="shared" si="889"/>
        <v>14598</v>
      </c>
      <c r="DT72" s="897">
        <f t="shared" si="889"/>
        <v>14598</v>
      </c>
      <c r="DU72" s="1116">
        <f t="shared" si="889"/>
        <v>14598</v>
      </c>
      <c r="DV72" s="897">
        <f t="shared" si="889"/>
        <v>14598</v>
      </c>
      <c r="DW72" s="442">
        <f t="shared" si="889"/>
        <v>14598</v>
      </c>
      <c r="DX72" s="897">
        <f t="shared" si="889"/>
        <v>14598</v>
      </c>
      <c r="DY72" s="1117">
        <f t="shared" si="889"/>
        <v>14598</v>
      </c>
      <c r="DZ72" s="897">
        <f t="shared" si="889"/>
        <v>14598</v>
      </c>
      <c r="EA72" s="897">
        <f t="shared" si="889"/>
        <v>14598</v>
      </c>
      <c r="EB72" s="1116">
        <f t="shared" si="889"/>
        <v>14598</v>
      </c>
      <c r="EC72" s="897">
        <f t="shared" si="889"/>
        <v>14598</v>
      </c>
      <c r="ED72" s="442">
        <f t="shared" si="889"/>
        <v>14598</v>
      </c>
      <c r="EE72" s="897">
        <f t="shared" si="889"/>
        <v>14598</v>
      </c>
      <c r="EF72" s="1117">
        <f t="shared" si="889"/>
        <v>14598</v>
      </c>
      <c r="EG72" s="897">
        <f t="shared" si="889"/>
        <v>14598</v>
      </c>
      <c r="EH72" s="897">
        <f t="shared" si="889"/>
        <v>14598</v>
      </c>
      <c r="EI72" s="1116">
        <f t="shared" si="889"/>
        <v>14598</v>
      </c>
      <c r="EJ72" s="897">
        <f t="shared" si="889"/>
        <v>14598</v>
      </c>
      <c r="EK72" s="442">
        <f t="shared" si="889"/>
        <v>14598</v>
      </c>
      <c r="EL72" s="897">
        <f t="shared" si="889"/>
        <v>14598</v>
      </c>
      <c r="EM72" s="1117">
        <f t="shared" si="889"/>
        <v>14598</v>
      </c>
      <c r="EN72" s="897">
        <f t="shared" si="889"/>
        <v>14598</v>
      </c>
      <c r="EO72" s="897">
        <f t="shared" si="889"/>
        <v>14598</v>
      </c>
      <c r="EP72" s="1116">
        <f t="shared" si="889"/>
        <v>14598</v>
      </c>
      <c r="EQ72" s="303"/>
      <c r="ER72" s="46"/>
    </row>
    <row r="73" spans="1:148" ht="10.199999999999999" customHeight="1">
      <c r="A73" s="43" t="s">
        <v>171</v>
      </c>
      <c r="B73" s="108"/>
      <c r="C73" s="108"/>
      <c r="D73" s="135">
        <f t="shared" ref="D73:EP73" si="890">+AVERAGE(D72,D69)</f>
        <v>12524.5</v>
      </c>
      <c r="E73" s="135">
        <f t="shared" si="890"/>
        <v>11658.5</v>
      </c>
      <c r="F73" s="135">
        <f t="shared" si="890"/>
        <v>10956.5</v>
      </c>
      <c r="G73" s="135">
        <f t="shared" si="890"/>
        <v>11008</v>
      </c>
      <c r="H73" s="135">
        <f t="shared" si="890"/>
        <v>10679.5</v>
      </c>
      <c r="I73" s="135">
        <f t="shared" si="890"/>
        <v>10756</v>
      </c>
      <c r="J73" s="135">
        <f t="shared" si="890"/>
        <v>10861</v>
      </c>
      <c r="K73" s="135">
        <f t="shared" si="890"/>
        <v>10896.5</v>
      </c>
      <c r="L73" s="135">
        <f t="shared" si="890"/>
        <v>11449.5</v>
      </c>
      <c r="M73" s="135">
        <f t="shared" si="890"/>
        <v>12078</v>
      </c>
      <c r="N73" s="135"/>
      <c r="O73" s="135"/>
      <c r="P73" s="135"/>
      <c r="Q73" s="961"/>
      <c r="R73" s="135"/>
      <c r="S73" s="135"/>
      <c r="T73" s="948">
        <f t="shared" si="890"/>
        <v>11080.5</v>
      </c>
      <c r="U73" s="135"/>
      <c r="V73" s="135"/>
      <c r="W73" s="135"/>
      <c r="X73" s="961"/>
      <c r="Y73" s="135"/>
      <c r="Z73" s="135"/>
      <c r="AA73" s="948">
        <f t="shared" si="890"/>
        <v>11069</v>
      </c>
      <c r="AB73" s="135"/>
      <c r="AC73" s="135"/>
      <c r="AD73" s="135"/>
      <c r="AE73" s="961"/>
      <c r="AF73" s="135"/>
      <c r="AG73" s="135"/>
      <c r="AH73" s="948">
        <f t="shared" si="890"/>
        <v>11036</v>
      </c>
      <c r="AI73" s="135"/>
      <c r="AJ73" s="135"/>
      <c r="AK73" s="135"/>
      <c r="AL73" s="961"/>
      <c r="AM73" s="135"/>
      <c r="AN73" s="135"/>
      <c r="AO73" s="948">
        <f t="shared" si="890"/>
        <v>10746.5</v>
      </c>
      <c r="AP73" s="135"/>
      <c r="AQ73" s="135"/>
      <c r="AR73" s="135"/>
      <c r="AS73" s="961"/>
      <c r="AT73" s="135"/>
      <c r="AU73" s="135"/>
      <c r="AV73" s="948">
        <f t="shared" si="890"/>
        <v>10339</v>
      </c>
      <c r="AW73" s="135"/>
      <c r="AX73" s="135"/>
      <c r="AY73" s="135"/>
      <c r="AZ73" s="961"/>
      <c r="BA73" s="135"/>
      <c r="BB73" s="135"/>
      <c r="BC73" s="948">
        <f t="shared" si="890"/>
        <v>10322</v>
      </c>
      <c r="BD73" s="135"/>
      <c r="BE73" s="135"/>
      <c r="BF73" s="135"/>
      <c r="BG73" s="961"/>
      <c r="BH73" s="135"/>
      <c r="BI73" s="135"/>
      <c r="BJ73" s="948">
        <f t="shared" si="890"/>
        <v>12128.5</v>
      </c>
      <c r="BK73" s="135"/>
      <c r="BL73" s="135"/>
      <c r="BM73" s="135"/>
      <c r="BN73" s="961"/>
      <c r="BO73" s="135"/>
      <c r="BP73" s="135"/>
      <c r="BQ73" s="948">
        <f t="shared" si="890"/>
        <v>14069.5</v>
      </c>
      <c r="BR73" s="135"/>
      <c r="BS73" s="135"/>
      <c r="BT73" s="135"/>
      <c r="BU73" s="961"/>
      <c r="BV73" s="135"/>
      <c r="BW73" s="135"/>
      <c r="BX73" s="948">
        <f t="shared" si="890"/>
        <v>14050.5</v>
      </c>
      <c r="BY73" s="135"/>
      <c r="BZ73" s="135"/>
      <c r="CA73" s="135"/>
      <c r="CB73" s="961"/>
      <c r="CC73" s="135"/>
      <c r="CD73" s="135"/>
      <c r="CE73" s="948">
        <f t="shared" si="890"/>
        <v>14055.5</v>
      </c>
      <c r="CF73" s="135"/>
      <c r="CG73" s="135"/>
      <c r="CH73" s="135"/>
      <c r="CI73" s="961"/>
      <c r="CJ73" s="135"/>
      <c r="CK73" s="135"/>
      <c r="CL73" s="948">
        <f t="shared" si="890"/>
        <v>14138.5</v>
      </c>
      <c r="CM73" s="135"/>
      <c r="CN73" s="135"/>
      <c r="CO73" s="135"/>
      <c r="CP73" s="961"/>
      <c r="CQ73" s="135"/>
      <c r="CR73" s="135"/>
      <c r="CS73" s="948">
        <f t="shared" ref="CS73" si="891">+AVERAGE(CS72,CS69)</f>
        <v>14194</v>
      </c>
      <c r="CT73" s="135"/>
      <c r="CU73" s="135"/>
      <c r="CV73" s="135"/>
      <c r="CW73" s="1117"/>
      <c r="CX73" s="135"/>
      <c r="CY73" s="897"/>
      <c r="CZ73" s="948">
        <f t="shared" ref="CZ73" si="892">+AVERAGE(CZ72,CZ69)</f>
        <v>14338.5</v>
      </c>
      <c r="DA73" s="865">
        <f t="shared" ref="DA73:DB73" si="893">+AVERAGE(DA72,DA69)</f>
        <v>14507</v>
      </c>
      <c r="DB73" s="135">
        <f t="shared" si="893"/>
        <v>14533</v>
      </c>
      <c r="DC73" s="865">
        <f t="shared" ref="DC73:DD73" si="894">+AVERAGE(DC72,DC69)</f>
        <v>14546</v>
      </c>
      <c r="DD73" s="1102">
        <f t="shared" si="894"/>
        <v>14546</v>
      </c>
      <c r="DE73" s="865">
        <f t="shared" ref="DE73" si="895">+AVERAGE(DE72,DE69)</f>
        <v>14520</v>
      </c>
      <c r="DF73" s="897"/>
      <c r="DG73" s="1856">
        <f t="shared" ref="DG73:DI73" si="896">+AVERAGE(DG72,DG69)</f>
        <v>14546</v>
      </c>
      <c r="DH73" s="865">
        <f t="shared" si="896"/>
        <v>14598</v>
      </c>
      <c r="DI73" s="135">
        <f t="shared" si="896"/>
        <v>14598</v>
      </c>
      <c r="DJ73" s="897">
        <f t="shared" si="890"/>
        <v>14598</v>
      </c>
      <c r="DK73" s="1117">
        <f t="shared" si="890"/>
        <v>14598</v>
      </c>
      <c r="DL73" s="865">
        <f t="shared" si="890"/>
        <v>14598</v>
      </c>
      <c r="DM73" s="897">
        <f t="shared" si="890"/>
        <v>14598</v>
      </c>
      <c r="DN73" s="1116">
        <f t="shared" si="890"/>
        <v>14598</v>
      </c>
      <c r="DO73" s="897">
        <f t="shared" si="890"/>
        <v>14598</v>
      </c>
      <c r="DP73" s="442">
        <f t="shared" si="890"/>
        <v>14598</v>
      </c>
      <c r="DQ73" s="897">
        <f t="shared" si="890"/>
        <v>14598</v>
      </c>
      <c r="DR73" s="1117">
        <f t="shared" si="890"/>
        <v>14598</v>
      </c>
      <c r="DS73" s="897">
        <f t="shared" si="890"/>
        <v>14598</v>
      </c>
      <c r="DT73" s="897">
        <f t="shared" si="890"/>
        <v>14598</v>
      </c>
      <c r="DU73" s="1116">
        <f t="shared" si="890"/>
        <v>14598</v>
      </c>
      <c r="DV73" s="897">
        <f t="shared" si="890"/>
        <v>14598</v>
      </c>
      <c r="DW73" s="442">
        <f t="shared" si="890"/>
        <v>14598</v>
      </c>
      <c r="DX73" s="897">
        <f t="shared" si="890"/>
        <v>14598</v>
      </c>
      <c r="DY73" s="1117">
        <f t="shared" si="890"/>
        <v>14598</v>
      </c>
      <c r="DZ73" s="897">
        <f t="shared" si="890"/>
        <v>14598</v>
      </c>
      <c r="EA73" s="897">
        <f t="shared" si="890"/>
        <v>14598</v>
      </c>
      <c r="EB73" s="1116">
        <f t="shared" si="890"/>
        <v>14598</v>
      </c>
      <c r="EC73" s="897">
        <f t="shared" si="890"/>
        <v>14598</v>
      </c>
      <c r="ED73" s="442">
        <f t="shared" si="890"/>
        <v>14598</v>
      </c>
      <c r="EE73" s="897">
        <f t="shared" si="890"/>
        <v>14598</v>
      </c>
      <c r="EF73" s="1117">
        <f t="shared" si="890"/>
        <v>14598</v>
      </c>
      <c r="EG73" s="897">
        <f t="shared" si="890"/>
        <v>14598</v>
      </c>
      <c r="EH73" s="897">
        <f t="shared" si="890"/>
        <v>14598</v>
      </c>
      <c r="EI73" s="1116">
        <f t="shared" si="890"/>
        <v>14598</v>
      </c>
      <c r="EJ73" s="897">
        <f t="shared" si="890"/>
        <v>14598</v>
      </c>
      <c r="EK73" s="442">
        <f t="shared" si="890"/>
        <v>14598</v>
      </c>
      <c r="EL73" s="897">
        <f t="shared" si="890"/>
        <v>14598</v>
      </c>
      <c r="EM73" s="1117">
        <f t="shared" si="890"/>
        <v>14598</v>
      </c>
      <c r="EN73" s="897">
        <f t="shared" si="890"/>
        <v>14598</v>
      </c>
      <c r="EO73" s="897">
        <f t="shared" si="890"/>
        <v>14598</v>
      </c>
      <c r="EP73" s="1116">
        <f t="shared" si="890"/>
        <v>14598</v>
      </c>
      <c r="EQ73" s="303"/>
      <c r="ER73" s="46"/>
    </row>
    <row r="74" spans="1:148" ht="10.199999999999999" customHeight="1">
      <c r="A74" s="43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700"/>
      <c r="R74" s="108"/>
      <c r="S74" s="108"/>
      <c r="T74" s="538"/>
      <c r="U74" s="108"/>
      <c r="V74" s="108"/>
      <c r="W74" s="108"/>
      <c r="X74" s="700"/>
      <c r="Y74" s="108"/>
      <c r="Z74" s="108"/>
      <c r="AA74" s="538"/>
      <c r="AB74" s="108"/>
      <c r="AC74" s="108"/>
      <c r="AD74" s="108"/>
      <c r="AE74" s="700"/>
      <c r="AF74" s="108"/>
      <c r="AG74" s="108"/>
      <c r="AH74" s="538"/>
      <c r="AI74" s="108"/>
      <c r="AJ74" s="108"/>
      <c r="AK74" s="108"/>
      <c r="AL74" s="700"/>
      <c r="AM74" s="108"/>
      <c r="AN74" s="108"/>
      <c r="AO74" s="538"/>
      <c r="AP74" s="108"/>
      <c r="AQ74" s="108"/>
      <c r="AR74" s="108"/>
      <c r="AS74" s="700"/>
      <c r="AT74" s="108"/>
      <c r="AU74" s="108"/>
      <c r="AV74" s="538"/>
      <c r="AW74" s="108"/>
      <c r="AX74" s="108"/>
      <c r="AY74" s="108"/>
      <c r="AZ74" s="700"/>
      <c r="BA74" s="108"/>
      <c r="BB74" s="108"/>
      <c r="BC74" s="538"/>
      <c r="BD74" s="108"/>
      <c r="BE74" s="108"/>
      <c r="BF74" s="108"/>
      <c r="BG74" s="700"/>
      <c r="BH74" s="108"/>
      <c r="BI74" s="108"/>
      <c r="BJ74" s="538"/>
      <c r="BK74" s="108"/>
      <c r="BL74" s="108"/>
      <c r="BM74" s="108"/>
      <c r="BN74" s="700"/>
      <c r="BO74" s="108"/>
      <c r="BP74" s="108"/>
      <c r="BQ74" s="538"/>
      <c r="BR74" s="108"/>
      <c r="BS74" s="108"/>
      <c r="BT74" s="108"/>
      <c r="BU74" s="700"/>
      <c r="BV74" s="108"/>
      <c r="BW74" s="108"/>
      <c r="BX74" s="538"/>
      <c r="BY74" s="108"/>
      <c r="BZ74" s="108"/>
      <c r="CA74" s="108"/>
      <c r="CB74" s="700"/>
      <c r="CC74" s="108"/>
      <c r="CD74" s="108"/>
      <c r="CE74" s="538"/>
      <c r="CF74" s="108"/>
      <c r="CG74" s="108"/>
      <c r="CH74" s="108"/>
      <c r="CI74" s="700"/>
      <c r="CJ74" s="108"/>
      <c r="CK74" s="108"/>
      <c r="CL74" s="538"/>
      <c r="CM74" s="108"/>
      <c r="CN74" s="108"/>
      <c r="CO74" s="108"/>
      <c r="CP74" s="700"/>
      <c r="CQ74" s="108"/>
      <c r="CR74" s="108"/>
      <c r="CS74" s="538"/>
      <c r="CT74" s="108"/>
      <c r="CU74" s="108"/>
      <c r="CV74" s="108"/>
      <c r="CW74" s="700"/>
      <c r="CX74" s="108"/>
      <c r="CY74" s="108"/>
      <c r="CZ74" s="1479"/>
      <c r="DA74" s="1"/>
      <c r="DB74" s="108"/>
      <c r="DC74" s="1"/>
      <c r="DD74" s="1094"/>
      <c r="DE74" s="3"/>
      <c r="DF74" s="108"/>
      <c r="DG74" s="1855"/>
      <c r="DH74" s="1"/>
      <c r="DI74" s="108"/>
      <c r="DJ74" s="3"/>
      <c r="DK74" s="1509"/>
      <c r="DL74" s="3"/>
      <c r="DM74" s="3"/>
      <c r="DN74" s="1479"/>
      <c r="DO74" s="3"/>
      <c r="DP74" s="456"/>
      <c r="DQ74" s="3"/>
      <c r="DR74" s="1509"/>
      <c r="DS74" s="3"/>
      <c r="DT74" s="3"/>
      <c r="DU74" s="1479"/>
      <c r="DV74" s="3"/>
      <c r="DW74" s="456"/>
      <c r="DX74" s="3"/>
      <c r="DY74" s="1509"/>
      <c r="DZ74" s="3"/>
      <c r="EA74" s="3"/>
      <c r="EB74" s="1479"/>
      <c r="EC74" s="3"/>
      <c r="ED74" s="456"/>
      <c r="EE74" s="3"/>
      <c r="EF74" s="1509"/>
      <c r="EG74" s="3"/>
      <c r="EH74" s="3"/>
      <c r="EI74" s="1479"/>
      <c r="EJ74" s="3"/>
      <c r="EK74" s="456"/>
      <c r="EL74" s="3"/>
      <c r="EM74" s="1509"/>
      <c r="EN74" s="3"/>
      <c r="EO74" s="3"/>
      <c r="EP74" s="1479"/>
      <c r="EQ74" s="303"/>
      <c r="ER74" s="46"/>
    </row>
    <row r="75" spans="1:148" ht="10.199999999999999" customHeight="1">
      <c r="A75" s="48" t="s">
        <v>394</v>
      </c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700"/>
      <c r="R75" s="108"/>
      <c r="S75" s="108"/>
      <c r="T75" s="538"/>
      <c r="U75" s="108"/>
      <c r="V75" s="108"/>
      <c r="W75" s="108"/>
      <c r="X75" s="700"/>
      <c r="Y75" s="108"/>
      <c r="Z75" s="108"/>
      <c r="AA75" s="538"/>
      <c r="AB75" s="108"/>
      <c r="AC75" s="108"/>
      <c r="AD75" s="108"/>
      <c r="AE75" s="700"/>
      <c r="AF75" s="108"/>
      <c r="AG75" s="108"/>
      <c r="AH75" s="538"/>
      <c r="AI75" s="108"/>
      <c r="AJ75" s="108"/>
      <c r="AK75" s="108"/>
      <c r="AL75" s="700"/>
      <c r="AM75" s="108"/>
      <c r="AN75" s="108"/>
      <c r="AO75" s="538"/>
      <c r="AP75" s="108"/>
      <c r="AQ75" s="108"/>
      <c r="AR75" s="108"/>
      <c r="AS75" s="700"/>
      <c r="AT75" s="108"/>
      <c r="AU75" s="108"/>
      <c r="AV75" s="538"/>
      <c r="AW75" s="108"/>
      <c r="AX75" s="108"/>
      <c r="AY75" s="108"/>
      <c r="AZ75" s="700"/>
      <c r="BA75" s="108"/>
      <c r="BB75" s="108"/>
      <c r="BC75" s="538"/>
      <c r="BD75" s="108"/>
      <c r="BE75" s="108"/>
      <c r="BF75" s="108"/>
      <c r="BG75" s="700"/>
      <c r="BH75" s="108"/>
      <c r="BI75" s="108"/>
      <c r="BJ75" s="538"/>
      <c r="BK75" s="108"/>
      <c r="BL75" s="108"/>
      <c r="BM75" s="108"/>
      <c r="BN75" s="700"/>
      <c r="BO75" s="108"/>
      <c r="BP75" s="108"/>
      <c r="BQ75" s="538"/>
      <c r="BR75" s="108"/>
      <c r="BS75" s="108"/>
      <c r="BT75" s="108"/>
      <c r="BU75" s="700"/>
      <c r="BV75" s="108"/>
      <c r="BW75" s="108"/>
      <c r="BX75" s="538"/>
      <c r="BY75" s="108"/>
      <c r="BZ75" s="108"/>
      <c r="CA75" s="108"/>
      <c r="CB75" s="700"/>
      <c r="CC75" s="108"/>
      <c r="CD75" s="108"/>
      <c r="CE75" s="538"/>
      <c r="CF75" s="108"/>
      <c r="CG75" s="108"/>
      <c r="CH75" s="108"/>
      <c r="CI75" s="700"/>
      <c r="CJ75" s="108"/>
      <c r="CK75" s="108"/>
      <c r="CL75" s="538"/>
      <c r="CM75" s="108"/>
      <c r="CN75" s="108"/>
      <c r="CO75" s="108"/>
      <c r="CP75" s="700"/>
      <c r="CQ75" s="108"/>
      <c r="CR75" s="108"/>
      <c r="CS75" s="538"/>
      <c r="CT75" s="108"/>
      <c r="CU75" s="108"/>
      <c r="CV75" s="108"/>
      <c r="CW75" s="700"/>
      <c r="CX75" s="108"/>
      <c r="CY75" s="108"/>
      <c r="CZ75" s="1479"/>
      <c r="DA75" s="1"/>
      <c r="DB75" s="108"/>
      <c r="DC75" s="1"/>
      <c r="DD75" s="1094"/>
      <c r="DE75" s="3"/>
      <c r="DF75" s="108"/>
      <c r="DG75" s="1855"/>
      <c r="DH75" s="1"/>
      <c r="DI75" s="108"/>
      <c r="DJ75" s="3"/>
      <c r="DK75" s="1509"/>
      <c r="DL75" s="3"/>
      <c r="DM75" s="3"/>
      <c r="DN75" s="1479"/>
      <c r="DO75" s="3"/>
      <c r="DP75" s="456"/>
      <c r="DQ75" s="3"/>
      <c r="DR75" s="1509"/>
      <c r="DS75" s="3"/>
      <c r="DT75" s="3"/>
      <c r="DU75" s="1479"/>
      <c r="DV75" s="3"/>
      <c r="DW75" s="456"/>
      <c r="DX75" s="3"/>
      <c r="DY75" s="1509"/>
      <c r="DZ75" s="3"/>
      <c r="EA75" s="3"/>
      <c r="EB75" s="1479"/>
      <c r="EC75" s="3"/>
      <c r="ED75" s="456"/>
      <c r="EE75" s="3"/>
      <c r="EF75" s="1509"/>
      <c r="EG75" s="3"/>
      <c r="EH75" s="3"/>
      <c r="EI75" s="1479"/>
      <c r="EJ75" s="3"/>
      <c r="EK75" s="456"/>
      <c r="EL75" s="3"/>
      <c r="EM75" s="1509"/>
      <c r="EN75" s="3"/>
      <c r="EO75" s="3"/>
      <c r="EP75" s="1479"/>
      <c r="EQ75" s="303"/>
      <c r="ER75" s="46"/>
    </row>
    <row r="76" spans="1:148" ht="10.199999999999999" customHeight="1">
      <c r="A76" s="43" t="s">
        <v>172</v>
      </c>
      <c r="B76" s="108"/>
      <c r="C76" s="108"/>
      <c r="D76" s="191">
        <v>2753</v>
      </c>
      <c r="E76" s="135">
        <f>+D79</f>
        <v>3338</v>
      </c>
      <c r="F76" s="135">
        <f>+E79</f>
        <v>1147</v>
      </c>
      <c r="G76" s="135">
        <f>+F79</f>
        <v>1147</v>
      </c>
      <c r="H76" s="135">
        <v>1145</v>
      </c>
      <c r="I76" s="135">
        <f t="shared" ref="I76:M76" si="897">+H79</f>
        <v>1130</v>
      </c>
      <c r="J76" s="135">
        <f t="shared" si="897"/>
        <v>1103</v>
      </c>
      <c r="K76" s="135">
        <f t="shared" si="897"/>
        <v>1118</v>
      </c>
      <c r="L76" s="135">
        <f t="shared" si="897"/>
        <v>1125</v>
      </c>
      <c r="M76" s="135">
        <f t="shared" si="897"/>
        <v>1153</v>
      </c>
      <c r="N76" s="135"/>
      <c r="O76" s="135"/>
      <c r="P76" s="135"/>
      <c r="Q76" s="961"/>
      <c r="R76" s="135"/>
      <c r="S76" s="135"/>
      <c r="T76" s="948">
        <f>+M79</f>
        <v>1174</v>
      </c>
      <c r="U76" s="135"/>
      <c r="V76" s="135"/>
      <c r="W76" s="135"/>
      <c r="X76" s="961"/>
      <c r="Y76" s="135"/>
      <c r="Z76" s="135"/>
      <c r="AA76" s="948">
        <f>+T79</f>
        <v>1189</v>
      </c>
      <c r="AB76" s="135"/>
      <c r="AC76" s="135"/>
      <c r="AD76" s="135"/>
      <c r="AE76" s="961"/>
      <c r="AF76" s="135"/>
      <c r="AG76" s="135"/>
      <c r="AH76" s="948">
        <f>+AA79</f>
        <v>1098</v>
      </c>
      <c r="AI76" s="135"/>
      <c r="AJ76" s="135"/>
      <c r="AK76" s="135"/>
      <c r="AL76" s="961"/>
      <c r="AM76" s="135"/>
      <c r="AN76" s="135"/>
      <c r="AO76" s="948">
        <f>+AH79</f>
        <v>1088</v>
      </c>
      <c r="AP76" s="135"/>
      <c r="AQ76" s="135"/>
      <c r="AR76" s="135"/>
      <c r="AS76" s="961"/>
      <c r="AT76" s="135"/>
      <c r="AU76" s="135"/>
      <c r="AV76" s="948">
        <f>+AO79</f>
        <v>1073</v>
      </c>
      <c r="AW76" s="135"/>
      <c r="AX76" s="135"/>
      <c r="AY76" s="135"/>
      <c r="AZ76" s="961"/>
      <c r="BA76" s="135"/>
      <c r="BB76" s="135"/>
      <c r="BC76" s="948">
        <f>AV76</f>
        <v>1073</v>
      </c>
      <c r="BD76" s="135"/>
      <c r="BE76" s="135"/>
      <c r="BF76" s="135"/>
      <c r="BG76" s="961"/>
      <c r="BH76" s="135"/>
      <c r="BI76" s="135"/>
      <c r="BJ76" s="948">
        <f>BC79</f>
        <v>1039</v>
      </c>
      <c r="BK76" s="135"/>
      <c r="BL76" s="135"/>
      <c r="BM76" s="135"/>
      <c r="BN76" s="961"/>
      <c r="BO76" s="135"/>
      <c r="BP76" s="135"/>
      <c r="BQ76" s="948">
        <f>+BJ79</f>
        <v>1038</v>
      </c>
      <c r="BR76" s="135"/>
      <c r="BS76" s="135"/>
      <c r="BT76" s="135"/>
      <c r="BU76" s="961"/>
      <c r="BV76" s="135"/>
      <c r="BW76" s="135"/>
      <c r="BX76" s="948">
        <f>+BQ79</f>
        <v>1043</v>
      </c>
      <c r="BY76" s="135"/>
      <c r="BZ76" s="135"/>
      <c r="CA76" s="135"/>
      <c r="CB76" s="961"/>
      <c r="CC76" s="135"/>
      <c r="CD76" s="135"/>
      <c r="CE76" s="948">
        <f>+BX79</f>
        <v>1040</v>
      </c>
      <c r="CF76" s="135"/>
      <c r="CG76" s="135"/>
      <c r="CH76" s="135"/>
      <c r="CI76" s="961"/>
      <c r="CJ76" s="135"/>
      <c r="CK76" s="135"/>
      <c r="CL76" s="948">
        <f>+CE79</f>
        <v>1044</v>
      </c>
      <c r="CM76" s="135"/>
      <c r="CN76" s="135"/>
      <c r="CO76" s="135"/>
      <c r="CP76" s="961"/>
      <c r="CQ76" s="135"/>
      <c r="CR76" s="135"/>
      <c r="CS76" s="948">
        <f>+CL79</f>
        <v>1040</v>
      </c>
      <c r="CT76" s="135"/>
      <c r="CU76" s="135"/>
      <c r="CV76" s="135"/>
      <c r="CW76" s="1117"/>
      <c r="CX76" s="135"/>
      <c r="CY76" s="897"/>
      <c r="CZ76" s="948">
        <f>+CS79</f>
        <v>1042</v>
      </c>
      <c r="DA76" s="865">
        <f>+CZ79</f>
        <v>1045</v>
      </c>
      <c r="DB76" s="135">
        <f>+DA79</f>
        <v>1044.25</v>
      </c>
      <c r="DC76" s="865">
        <f>+DB79</f>
        <v>1043.5</v>
      </c>
      <c r="DD76" s="1102">
        <f>+DC79</f>
        <v>1043.5</v>
      </c>
      <c r="DE76" s="865">
        <f>+CZ79</f>
        <v>1045</v>
      </c>
      <c r="DF76" s="897"/>
      <c r="DG76" s="1856">
        <f>+CZ79</f>
        <v>1045</v>
      </c>
      <c r="DH76" s="865">
        <f>+DG79</f>
        <v>1042</v>
      </c>
      <c r="DI76" s="135">
        <f>+DH79</f>
        <v>1042</v>
      </c>
      <c r="DJ76" s="897">
        <f>+DI79</f>
        <v>1042</v>
      </c>
      <c r="DK76" s="1117">
        <f>+DJ79</f>
        <v>1042</v>
      </c>
      <c r="DL76" s="865">
        <f>+DG79</f>
        <v>1042</v>
      </c>
      <c r="DM76" s="897">
        <f>+DL79</f>
        <v>1042</v>
      </c>
      <c r="DN76" s="1116">
        <f>+DG79</f>
        <v>1042</v>
      </c>
      <c r="DO76" s="897">
        <f>+DN79</f>
        <v>1042</v>
      </c>
      <c r="DP76" s="442">
        <f>+DO79</f>
        <v>1042</v>
      </c>
      <c r="DQ76" s="897">
        <f>+DP79</f>
        <v>1042</v>
      </c>
      <c r="DR76" s="1117">
        <f>+DQ79</f>
        <v>1042</v>
      </c>
      <c r="DS76" s="897">
        <f>+DN79</f>
        <v>1042</v>
      </c>
      <c r="DT76" s="897">
        <f>+DS79</f>
        <v>1042</v>
      </c>
      <c r="DU76" s="1116">
        <f>+DN79</f>
        <v>1042</v>
      </c>
      <c r="DV76" s="897">
        <f>+DU79</f>
        <v>1042</v>
      </c>
      <c r="DW76" s="442">
        <f>+DV79</f>
        <v>1042</v>
      </c>
      <c r="DX76" s="897">
        <f>+DW79</f>
        <v>1042</v>
      </c>
      <c r="DY76" s="1117">
        <f>+DX79</f>
        <v>1042</v>
      </c>
      <c r="DZ76" s="897">
        <f>+DU79</f>
        <v>1042</v>
      </c>
      <c r="EA76" s="897">
        <f>+DZ79</f>
        <v>1042</v>
      </c>
      <c r="EB76" s="1116">
        <f>+DU79</f>
        <v>1042</v>
      </c>
      <c r="EC76" s="897">
        <f>+EB79</f>
        <v>1042</v>
      </c>
      <c r="ED76" s="442">
        <f>+EC79</f>
        <v>1042</v>
      </c>
      <c r="EE76" s="897">
        <f>+ED79</f>
        <v>1042</v>
      </c>
      <c r="EF76" s="1117">
        <f>+EE79</f>
        <v>1042</v>
      </c>
      <c r="EG76" s="897">
        <f>+EB79</f>
        <v>1042</v>
      </c>
      <c r="EH76" s="897">
        <f>+EG79</f>
        <v>1042</v>
      </c>
      <c r="EI76" s="1116">
        <f>+EB79</f>
        <v>1042</v>
      </c>
      <c r="EJ76" s="897">
        <f>+EI79</f>
        <v>1042</v>
      </c>
      <c r="EK76" s="442">
        <f>+EJ79</f>
        <v>1042</v>
      </c>
      <c r="EL76" s="897">
        <f>+EK79</f>
        <v>1042</v>
      </c>
      <c r="EM76" s="1117">
        <f>+EL79</f>
        <v>1042</v>
      </c>
      <c r="EN76" s="897">
        <f>+EI79</f>
        <v>1042</v>
      </c>
      <c r="EO76" s="897">
        <f>+EN79</f>
        <v>1042</v>
      </c>
      <c r="EP76" s="1116">
        <f t="shared" ref="EP76" si="898">+EI79</f>
        <v>1042</v>
      </c>
      <c r="EQ76" s="303"/>
      <c r="ER76" s="46"/>
    </row>
    <row r="77" spans="1:148" ht="10.199999999999999" customHeight="1">
      <c r="A77" s="43" t="s">
        <v>173</v>
      </c>
      <c r="B77" s="108"/>
      <c r="C77" s="108"/>
      <c r="D77" s="191">
        <v>567</v>
      </c>
      <c r="E77" s="203">
        <f>-IS!E25-IS!E26</f>
        <v>0</v>
      </c>
      <c r="F77" s="203">
        <f>-IS!F25-IS!F26</f>
        <v>0</v>
      </c>
      <c r="G77" s="203">
        <f>-9-2</f>
        <v>-11</v>
      </c>
      <c r="H77" s="203">
        <v>-6</v>
      </c>
      <c r="I77" s="203">
        <v>0</v>
      </c>
      <c r="J77" s="203">
        <v>0</v>
      </c>
      <c r="K77" s="203">
        <v>0</v>
      </c>
      <c r="L77" s="203">
        <v>20</v>
      </c>
      <c r="M77" s="203">
        <v>17</v>
      </c>
      <c r="N77" s="203"/>
      <c r="O77" s="203"/>
      <c r="P77" s="203"/>
      <c r="Q77" s="1448"/>
      <c r="R77" s="203"/>
      <c r="S77" s="203"/>
      <c r="T77" s="1461">
        <v>15</v>
      </c>
      <c r="U77" s="203"/>
      <c r="V77" s="203"/>
      <c r="W77" s="203"/>
      <c r="X77" s="1448"/>
      <c r="Y77" s="203"/>
      <c r="Z77" s="203"/>
      <c r="AA77" s="1461">
        <v>0</v>
      </c>
      <c r="AB77" s="203"/>
      <c r="AC77" s="203"/>
      <c r="AD77" s="203"/>
      <c r="AE77" s="1448"/>
      <c r="AF77" s="203"/>
      <c r="AG77" s="203"/>
      <c r="AH77" s="1461">
        <v>0</v>
      </c>
      <c r="AI77" s="203"/>
      <c r="AJ77" s="203"/>
      <c r="AK77" s="203"/>
      <c r="AL77" s="1448"/>
      <c r="AM77" s="203"/>
      <c r="AN77" s="203"/>
      <c r="AO77" s="1461">
        <f>-IS!AO25-IS!AO26</f>
        <v>0</v>
      </c>
      <c r="AP77" s="203"/>
      <c r="AQ77" s="203"/>
      <c r="AR77" s="203"/>
      <c r="AS77" s="1448"/>
      <c r="AT77" s="203"/>
      <c r="AU77" s="203"/>
      <c r="AV77" s="1461">
        <f>-IS!AV25-IS!AV26</f>
        <v>0</v>
      </c>
      <c r="AW77" s="203"/>
      <c r="AX77" s="203"/>
      <c r="AY77" s="203"/>
      <c r="AZ77" s="1448"/>
      <c r="BA77" s="203"/>
      <c r="BB77" s="203"/>
      <c r="BC77" s="1461">
        <f>AV77</f>
        <v>0</v>
      </c>
      <c r="BD77" s="203"/>
      <c r="BE77" s="203"/>
      <c r="BF77" s="203"/>
      <c r="BG77" s="1448"/>
      <c r="BH77" s="203"/>
      <c r="BI77" s="203"/>
      <c r="BJ77" s="1461">
        <v>0</v>
      </c>
      <c r="BK77" s="203"/>
      <c r="BL77" s="203"/>
      <c r="BM77" s="203"/>
      <c r="BN77" s="1448"/>
      <c r="BO77" s="203"/>
      <c r="BP77" s="203"/>
      <c r="BQ77" s="1461">
        <f>-IS!BQ25-IS!BQ26</f>
        <v>0</v>
      </c>
      <c r="BR77" s="203"/>
      <c r="BS77" s="203"/>
      <c r="BT77" s="203"/>
      <c r="BU77" s="1448"/>
      <c r="BV77" s="203"/>
      <c r="BW77" s="203"/>
      <c r="BX77" s="1461">
        <f>-IS!BX25-IS!BX26</f>
        <v>0</v>
      </c>
      <c r="BY77" s="203"/>
      <c r="BZ77" s="203"/>
      <c r="CA77" s="203"/>
      <c r="CB77" s="1448"/>
      <c r="CC77" s="203"/>
      <c r="CD77" s="203"/>
      <c r="CE77" s="1461">
        <f>-IS!CE25-IS!CE26</f>
        <v>0</v>
      </c>
      <c r="CF77" s="203"/>
      <c r="CG77" s="203"/>
      <c r="CH77" s="203"/>
      <c r="CI77" s="1448"/>
      <c r="CJ77" s="203"/>
      <c r="CK77" s="203"/>
      <c r="CL77" s="1461">
        <f>-IS!CL25-IS!CL26</f>
        <v>0</v>
      </c>
      <c r="CM77" s="203"/>
      <c r="CN77" s="203"/>
      <c r="CO77" s="203"/>
      <c r="CP77" s="1448"/>
      <c r="CQ77" s="203"/>
      <c r="CR77" s="203"/>
      <c r="CS77" s="1461">
        <f>-IS!CS25-IS!CS26</f>
        <v>0</v>
      </c>
      <c r="CT77" s="203"/>
      <c r="CU77" s="203"/>
      <c r="CV77" s="203"/>
      <c r="CW77" s="1557"/>
      <c r="CX77" s="203"/>
      <c r="CY77" s="1422"/>
      <c r="CZ77" s="1461">
        <f>-IS!CZ25-IS!CZ26</f>
        <v>0</v>
      </c>
      <c r="DA77" s="834">
        <f>-IS!DA25-IS!DA26</f>
        <v>0</v>
      </c>
      <c r="DB77" s="203">
        <f>DE77-DA77</f>
        <v>0</v>
      </c>
      <c r="DC77" s="834">
        <f>-IS!DC25-IS!DC26</f>
        <v>0</v>
      </c>
      <c r="DD77" s="1095">
        <f>-IS!DD25-IS!DD26</f>
        <v>0</v>
      </c>
      <c r="DE77" s="834">
        <f>-IS!DE25-IS!DE26</f>
        <v>0</v>
      </c>
      <c r="DF77" s="1422"/>
      <c r="DG77" s="1857">
        <f>-IS!DG25-IS!DG26</f>
        <v>0</v>
      </c>
      <c r="DH77" s="834">
        <f>-IS!DH25-IS!DH26</f>
        <v>0</v>
      </c>
      <c r="DI77" s="203">
        <f>DL77-DH77</f>
        <v>0</v>
      </c>
      <c r="DJ77" s="860">
        <f>-IS!DJ25-IS!DJ26</f>
        <v>0</v>
      </c>
      <c r="DK77" s="1109">
        <f>-IS!DK25-IS!DK26</f>
        <v>0</v>
      </c>
      <c r="DL77" s="834">
        <f>-IS!DL25-IS!DL26</f>
        <v>0</v>
      </c>
      <c r="DM77" s="860">
        <f>-IS!DM25-IS!DM26</f>
        <v>0</v>
      </c>
      <c r="DN77" s="1119">
        <f>-IS!DN25-IS!DN26</f>
        <v>0</v>
      </c>
      <c r="DO77" s="860">
        <f>-IS!DO25-IS!DO26</f>
        <v>0</v>
      </c>
      <c r="DP77" s="1422">
        <f>DS77-DO77</f>
        <v>0</v>
      </c>
      <c r="DQ77" s="860">
        <f>-IS!DQ25-IS!DQ26</f>
        <v>0</v>
      </c>
      <c r="DR77" s="1109">
        <f>-IS!DR25-IS!DR26</f>
        <v>0</v>
      </c>
      <c r="DS77" s="860">
        <f>-IS!DS25-IS!DS26</f>
        <v>0</v>
      </c>
      <c r="DT77" s="860">
        <f>-IS!DT25-IS!DT26</f>
        <v>0</v>
      </c>
      <c r="DU77" s="1119">
        <f>-IS!DU25-IS!DU26</f>
        <v>0</v>
      </c>
      <c r="DV77" s="860">
        <f>-IS!DV25-IS!DV26</f>
        <v>0</v>
      </c>
      <c r="DW77" s="1422">
        <f>DZ77-DV77</f>
        <v>0</v>
      </c>
      <c r="DX77" s="860">
        <f>-IS!DX25-IS!DX26</f>
        <v>0</v>
      </c>
      <c r="DY77" s="1109">
        <f>-IS!DY25-IS!DY26</f>
        <v>0</v>
      </c>
      <c r="DZ77" s="860">
        <f>-IS!DZ25-IS!DZ26</f>
        <v>0</v>
      </c>
      <c r="EA77" s="860">
        <f>-IS!EA25-IS!EA26</f>
        <v>0</v>
      </c>
      <c r="EB77" s="1119">
        <f>-IS!EB25-IS!EB26</f>
        <v>0</v>
      </c>
      <c r="EC77" s="860">
        <f>-IS!EC25-IS!EC26</f>
        <v>0</v>
      </c>
      <c r="ED77" s="1422">
        <f>EG77-EC77</f>
        <v>0</v>
      </c>
      <c r="EE77" s="860">
        <f>-IS!EE25-IS!EE26</f>
        <v>0</v>
      </c>
      <c r="EF77" s="1109">
        <f>-IS!EF25-IS!EF26</f>
        <v>0</v>
      </c>
      <c r="EG77" s="860">
        <f>-IS!EG25-IS!EG26</f>
        <v>0</v>
      </c>
      <c r="EH77" s="860">
        <f>-IS!EH25-IS!EH26</f>
        <v>0</v>
      </c>
      <c r="EI77" s="1119">
        <f>-IS!EI25-IS!EI26</f>
        <v>0</v>
      </c>
      <c r="EJ77" s="860">
        <f>-IS!EJ25-IS!EJ26</f>
        <v>0</v>
      </c>
      <c r="EK77" s="1422">
        <f>EN77-EJ77</f>
        <v>0</v>
      </c>
      <c r="EL77" s="860">
        <f>-IS!EL25-IS!EL26</f>
        <v>0</v>
      </c>
      <c r="EM77" s="1109">
        <f>-IS!EM25-IS!EM26</f>
        <v>0</v>
      </c>
      <c r="EN77" s="860">
        <f>-IS!EN25-IS!EN26</f>
        <v>0</v>
      </c>
      <c r="EO77" s="860">
        <f>-IS!EO25-IS!EO26</f>
        <v>0</v>
      </c>
      <c r="EP77" s="1119">
        <f>-IS!EP25-IS!EP26</f>
        <v>0</v>
      </c>
      <c r="EQ77" s="303"/>
      <c r="ER77" s="46"/>
    </row>
    <row r="78" spans="1:148" ht="10.199999999999999" customHeight="1">
      <c r="A78" s="3" t="str">
        <f>+A71</f>
        <v>Exchange adjustments &amp; other</v>
      </c>
      <c r="B78" s="1"/>
      <c r="C78" s="1"/>
      <c r="D78" s="833">
        <f>+D79-D77-D76</f>
        <v>18</v>
      </c>
      <c r="E78" s="879">
        <f>+E79-E77-E76</f>
        <v>-2191</v>
      </c>
      <c r="F78" s="836">
        <v>0</v>
      </c>
      <c r="G78" s="836">
        <v>3</v>
      </c>
      <c r="H78" s="836">
        <v>-9</v>
      </c>
      <c r="I78" s="836">
        <v>-27</v>
      </c>
      <c r="J78" s="836">
        <v>15</v>
      </c>
      <c r="K78" s="836">
        <v>7</v>
      </c>
      <c r="L78" s="836">
        <v>8</v>
      </c>
      <c r="M78" s="836">
        <v>4</v>
      </c>
      <c r="N78" s="1564"/>
      <c r="O78" s="1564"/>
      <c r="P78" s="1564"/>
      <c r="Q78" s="1580"/>
      <c r="R78" s="1564"/>
      <c r="S78" s="1564"/>
      <c r="T78" s="1598">
        <v>0</v>
      </c>
      <c r="U78" s="1564"/>
      <c r="V78" s="1564"/>
      <c r="W78" s="1564"/>
      <c r="X78" s="1580"/>
      <c r="Y78" s="1564"/>
      <c r="Z78" s="1564"/>
      <c r="AA78" s="1598">
        <f>8-99</f>
        <v>-91</v>
      </c>
      <c r="AB78" s="1564"/>
      <c r="AC78" s="1564"/>
      <c r="AD78" s="1564"/>
      <c r="AE78" s="1580"/>
      <c r="AF78" s="1564"/>
      <c r="AG78" s="1564"/>
      <c r="AH78" s="1598">
        <v>-10</v>
      </c>
      <c r="AI78" s="1564"/>
      <c r="AJ78" s="1564"/>
      <c r="AK78" s="1564"/>
      <c r="AL78" s="1580"/>
      <c r="AM78" s="1564"/>
      <c r="AN78" s="1564"/>
      <c r="AO78" s="1598">
        <v>-15</v>
      </c>
      <c r="AP78" s="1564"/>
      <c r="AQ78" s="1564"/>
      <c r="AR78" s="1564"/>
      <c r="AS78" s="1580"/>
      <c r="AT78" s="1564"/>
      <c r="AU78" s="1564"/>
      <c r="AV78" s="1598">
        <f t="shared" ref="AV78:CS78" si="899">AV79-AV77-AV76</f>
        <v>-34</v>
      </c>
      <c r="AW78" s="1564"/>
      <c r="AX78" s="1564"/>
      <c r="AY78" s="1564"/>
      <c r="AZ78" s="1580"/>
      <c r="BA78" s="1564"/>
      <c r="BB78" s="1564"/>
      <c r="BC78" s="1598">
        <f t="shared" si="899"/>
        <v>-34</v>
      </c>
      <c r="BD78" s="1564"/>
      <c r="BE78" s="1564"/>
      <c r="BF78" s="1564"/>
      <c r="BG78" s="1580"/>
      <c r="BH78" s="1564"/>
      <c r="BI78" s="1564"/>
      <c r="BJ78" s="1598">
        <f t="shared" si="899"/>
        <v>-1</v>
      </c>
      <c r="BK78" s="1564"/>
      <c r="BL78" s="1564"/>
      <c r="BM78" s="1564"/>
      <c r="BN78" s="1580"/>
      <c r="BO78" s="1564"/>
      <c r="BP78" s="1564"/>
      <c r="BQ78" s="1598">
        <f t="shared" si="899"/>
        <v>5</v>
      </c>
      <c r="BR78" s="1564"/>
      <c r="BS78" s="1564"/>
      <c r="BT78" s="1564"/>
      <c r="BU78" s="1580"/>
      <c r="BV78" s="1564"/>
      <c r="BW78" s="1564"/>
      <c r="BX78" s="1598">
        <f t="shared" si="899"/>
        <v>-3</v>
      </c>
      <c r="BY78" s="1564"/>
      <c r="BZ78" s="1564"/>
      <c r="CA78" s="1564"/>
      <c r="CB78" s="1580"/>
      <c r="CC78" s="1564"/>
      <c r="CD78" s="1564"/>
      <c r="CE78" s="1598">
        <f t="shared" si="899"/>
        <v>4</v>
      </c>
      <c r="CF78" s="1564"/>
      <c r="CG78" s="1564"/>
      <c r="CH78" s="1564"/>
      <c r="CI78" s="1580"/>
      <c r="CJ78" s="1564"/>
      <c r="CK78" s="1564"/>
      <c r="CL78" s="1598">
        <f t="shared" si="899"/>
        <v>-4</v>
      </c>
      <c r="CM78" s="1564"/>
      <c r="CN78" s="1564"/>
      <c r="CO78" s="1564"/>
      <c r="CP78" s="1580"/>
      <c r="CQ78" s="1564"/>
      <c r="CR78" s="1564"/>
      <c r="CS78" s="1598">
        <f t="shared" si="899"/>
        <v>2</v>
      </c>
      <c r="CT78" s="1564"/>
      <c r="CU78" s="1442"/>
      <c r="CV78" s="1564"/>
      <c r="CW78" s="1669"/>
      <c r="CX78" s="1564"/>
      <c r="CY78" s="1668"/>
      <c r="CZ78" s="1598">
        <f t="shared" ref="CZ78" si="900">CZ79-CZ77-CZ76</f>
        <v>3</v>
      </c>
      <c r="DA78" s="1564">
        <f>DE78/2</f>
        <v>-0.75</v>
      </c>
      <c r="DB78" s="1442">
        <f>DE78-DA78</f>
        <v>-0.75</v>
      </c>
      <c r="DC78" s="1564">
        <f>DF78/2</f>
        <v>0</v>
      </c>
      <c r="DD78" s="1580">
        <f>DF78-DC78</f>
        <v>0</v>
      </c>
      <c r="DE78" s="1564">
        <f>DG78/2</f>
        <v>-1.5</v>
      </c>
      <c r="DF78" s="1668"/>
      <c r="DG78" s="1858">
        <f t="shared" ref="DG78" si="901">DG79-DG77-DG76</f>
        <v>-3</v>
      </c>
      <c r="DH78" s="1564">
        <f>DL78/2</f>
        <v>0</v>
      </c>
      <c r="DI78" s="1442">
        <f>DL78-DH78</f>
        <v>0</v>
      </c>
      <c r="DJ78" s="1410">
        <f>DM78/2</f>
        <v>0</v>
      </c>
      <c r="DK78" s="1516">
        <f>DM78-DJ78</f>
        <v>0</v>
      </c>
      <c r="DL78" s="1564">
        <f>DN78/2</f>
        <v>0</v>
      </c>
      <c r="DM78" s="1410">
        <f>DN78-DL78</f>
        <v>0</v>
      </c>
      <c r="DN78" s="1485">
        <v>0</v>
      </c>
      <c r="DO78" s="1410">
        <f>DS78/2</f>
        <v>0</v>
      </c>
      <c r="DP78" s="1668">
        <f>DS78-DO78</f>
        <v>0</v>
      </c>
      <c r="DQ78" s="1410">
        <f>DT78/2</f>
        <v>0</v>
      </c>
      <c r="DR78" s="1516">
        <f>DT78-DQ78</f>
        <v>0</v>
      </c>
      <c r="DS78" s="1410">
        <f>DU78/2</f>
        <v>0</v>
      </c>
      <c r="DT78" s="1410">
        <f>DU78-DS78</f>
        <v>0</v>
      </c>
      <c r="DU78" s="1485">
        <v>0</v>
      </c>
      <c r="DV78" s="1410">
        <f>DZ78/2</f>
        <v>0</v>
      </c>
      <c r="DW78" s="1668">
        <f>DZ78-DV78</f>
        <v>0</v>
      </c>
      <c r="DX78" s="1410">
        <f>EA78/2</f>
        <v>0</v>
      </c>
      <c r="DY78" s="1516">
        <f>EA78-DX78</f>
        <v>0</v>
      </c>
      <c r="DZ78" s="1410">
        <f>EB78/2</f>
        <v>0</v>
      </c>
      <c r="EA78" s="1410">
        <f>EB78-DZ78</f>
        <v>0</v>
      </c>
      <c r="EB78" s="1485">
        <v>0</v>
      </c>
      <c r="EC78" s="1410">
        <f>EG78/2</f>
        <v>0</v>
      </c>
      <c r="ED78" s="1668">
        <f>EG78-EC78</f>
        <v>0</v>
      </c>
      <c r="EE78" s="1410">
        <f>EH78/2</f>
        <v>0</v>
      </c>
      <c r="EF78" s="1516">
        <f>EH78-EE78</f>
        <v>0</v>
      </c>
      <c r="EG78" s="1410">
        <f>EI78/2</f>
        <v>0</v>
      </c>
      <c r="EH78" s="1410">
        <f>EI78-EG78</f>
        <v>0</v>
      </c>
      <c r="EI78" s="1485">
        <v>0</v>
      </c>
      <c r="EJ78" s="1410">
        <f>EN78/2</f>
        <v>0</v>
      </c>
      <c r="EK78" s="1668">
        <f>EN78-EJ78</f>
        <v>0</v>
      </c>
      <c r="EL78" s="1410">
        <f>EO78/2</f>
        <v>0</v>
      </c>
      <c r="EM78" s="1516">
        <f>EO78-EL78</f>
        <v>0</v>
      </c>
      <c r="EN78" s="1410">
        <f>EP78/2</f>
        <v>0</v>
      </c>
      <c r="EO78" s="1410">
        <f>EP78-EN78</f>
        <v>0</v>
      </c>
      <c r="EP78" s="1485">
        <v>0</v>
      </c>
      <c r="EQ78" s="851"/>
      <c r="ER78" s="875"/>
    </row>
    <row r="79" spans="1:148" ht="10.199999999999999" customHeight="1">
      <c r="A79" s="3" t="s">
        <v>174</v>
      </c>
      <c r="B79" s="1"/>
      <c r="C79" s="1"/>
      <c r="D79" s="863">
        <v>3338</v>
      </c>
      <c r="E79" s="865">
        <v>1147</v>
      </c>
      <c r="F79" s="865">
        <f t="shared" ref="F79:AO79" si="902">+SUM(F76:F78)</f>
        <v>1147</v>
      </c>
      <c r="G79" s="865">
        <f t="shared" si="902"/>
        <v>1139</v>
      </c>
      <c r="H79" s="865">
        <f t="shared" si="902"/>
        <v>1130</v>
      </c>
      <c r="I79" s="865">
        <f t="shared" si="902"/>
        <v>1103</v>
      </c>
      <c r="J79" s="865">
        <f t="shared" si="902"/>
        <v>1118</v>
      </c>
      <c r="K79" s="865">
        <f t="shared" si="902"/>
        <v>1125</v>
      </c>
      <c r="L79" s="865">
        <f t="shared" si="902"/>
        <v>1153</v>
      </c>
      <c r="M79" s="865">
        <f t="shared" si="902"/>
        <v>1174</v>
      </c>
      <c r="N79" s="865"/>
      <c r="O79" s="865"/>
      <c r="P79" s="865"/>
      <c r="Q79" s="1102"/>
      <c r="R79" s="865"/>
      <c r="S79" s="865"/>
      <c r="T79" s="1280">
        <f t="shared" si="902"/>
        <v>1189</v>
      </c>
      <c r="U79" s="865"/>
      <c r="V79" s="865"/>
      <c r="W79" s="865"/>
      <c r="X79" s="1102"/>
      <c r="Y79" s="865"/>
      <c r="Z79" s="865"/>
      <c r="AA79" s="1280">
        <f t="shared" si="902"/>
        <v>1098</v>
      </c>
      <c r="AB79" s="865"/>
      <c r="AC79" s="865"/>
      <c r="AD79" s="865"/>
      <c r="AE79" s="1102"/>
      <c r="AF79" s="865"/>
      <c r="AG79" s="865"/>
      <c r="AH79" s="1280">
        <f t="shared" si="902"/>
        <v>1088</v>
      </c>
      <c r="AI79" s="865"/>
      <c r="AJ79" s="865"/>
      <c r="AK79" s="865"/>
      <c r="AL79" s="1102"/>
      <c r="AM79" s="865"/>
      <c r="AN79" s="865"/>
      <c r="AO79" s="1280">
        <f t="shared" si="902"/>
        <v>1073</v>
      </c>
      <c r="AP79" s="865"/>
      <c r="AQ79" s="865"/>
      <c r="AR79" s="865"/>
      <c r="AS79" s="1102"/>
      <c r="AT79" s="865"/>
      <c r="AU79" s="865"/>
      <c r="AV79" s="1280">
        <f>AV72-AV66</f>
        <v>1039</v>
      </c>
      <c r="AW79" s="865"/>
      <c r="AX79" s="865"/>
      <c r="AY79" s="865"/>
      <c r="AZ79" s="1102"/>
      <c r="BA79" s="865"/>
      <c r="BB79" s="865"/>
      <c r="BC79" s="1280">
        <f>AV79</f>
        <v>1039</v>
      </c>
      <c r="BD79" s="865"/>
      <c r="BE79" s="865"/>
      <c r="BF79" s="865"/>
      <c r="BG79" s="1102"/>
      <c r="BH79" s="865"/>
      <c r="BI79" s="865"/>
      <c r="BJ79" s="1280">
        <f>BJ65</f>
        <v>1038</v>
      </c>
      <c r="BK79" s="865"/>
      <c r="BL79" s="865"/>
      <c r="BM79" s="865"/>
      <c r="BN79" s="1102"/>
      <c r="BO79" s="865"/>
      <c r="BP79" s="865"/>
      <c r="BQ79" s="1280">
        <v>1043</v>
      </c>
      <c r="BR79" s="865"/>
      <c r="BS79" s="865"/>
      <c r="BT79" s="865"/>
      <c r="BU79" s="1102"/>
      <c r="BV79" s="865"/>
      <c r="BW79" s="865"/>
      <c r="BX79" s="1280">
        <v>1040</v>
      </c>
      <c r="BY79" s="865"/>
      <c r="BZ79" s="865"/>
      <c r="CA79" s="865"/>
      <c r="CB79" s="1102"/>
      <c r="CC79" s="865"/>
      <c r="CD79" s="865"/>
      <c r="CE79" s="1280">
        <v>1044</v>
      </c>
      <c r="CF79" s="865"/>
      <c r="CG79" s="865"/>
      <c r="CH79" s="865"/>
      <c r="CI79" s="1102"/>
      <c r="CJ79" s="865"/>
      <c r="CK79" s="865"/>
      <c r="CL79" s="1280">
        <v>1040</v>
      </c>
      <c r="CM79" s="865"/>
      <c r="CN79" s="865"/>
      <c r="CO79" s="865"/>
      <c r="CP79" s="1102"/>
      <c r="CQ79" s="865"/>
      <c r="CR79" s="865"/>
      <c r="CS79" s="1280">
        <v>1042</v>
      </c>
      <c r="CT79" s="865"/>
      <c r="CU79" s="865"/>
      <c r="CV79" s="865"/>
      <c r="CW79" s="1117"/>
      <c r="CX79" s="865"/>
      <c r="CY79" s="897"/>
      <c r="CZ79" s="2102">
        <v>1045</v>
      </c>
      <c r="DA79" s="865">
        <f t="shared" ref="DA79:DD79" si="903">+SUM(DA76:DA78)</f>
        <v>1044.25</v>
      </c>
      <c r="DB79" s="865">
        <f t="shared" ref="DB79" si="904">+SUM(DB76:DB78)</f>
        <v>1043.5</v>
      </c>
      <c r="DC79" s="865">
        <f t="shared" si="903"/>
        <v>1043.5</v>
      </c>
      <c r="DD79" s="1102">
        <f t="shared" si="903"/>
        <v>1043.5</v>
      </c>
      <c r="DE79" s="865">
        <f t="shared" ref="DE79" si="905">+SUM(DE76:DE78)</f>
        <v>1043.5</v>
      </c>
      <c r="DF79" s="897"/>
      <c r="DG79" s="1854">
        <v>1042</v>
      </c>
      <c r="DH79" s="865">
        <f t="shared" ref="DH79:DI79" si="906">+SUM(DH76:DH78)</f>
        <v>1042</v>
      </c>
      <c r="DI79" s="865">
        <f t="shared" si="906"/>
        <v>1042</v>
      </c>
      <c r="DJ79" s="897">
        <f t="shared" ref="DJ79:EP79" si="907">+SUM(DJ76:DJ78)</f>
        <v>1042</v>
      </c>
      <c r="DK79" s="1117">
        <f t="shared" si="907"/>
        <v>1042</v>
      </c>
      <c r="DL79" s="865">
        <f t="shared" si="907"/>
        <v>1042</v>
      </c>
      <c r="DM79" s="897">
        <f t="shared" si="907"/>
        <v>1042</v>
      </c>
      <c r="DN79" s="1116">
        <f t="shared" si="907"/>
        <v>1042</v>
      </c>
      <c r="DO79" s="897">
        <f t="shared" si="907"/>
        <v>1042</v>
      </c>
      <c r="DP79" s="897">
        <f t="shared" si="907"/>
        <v>1042</v>
      </c>
      <c r="DQ79" s="897">
        <f t="shared" si="907"/>
        <v>1042</v>
      </c>
      <c r="DR79" s="1117">
        <f t="shared" si="907"/>
        <v>1042</v>
      </c>
      <c r="DS79" s="897">
        <f t="shared" si="907"/>
        <v>1042</v>
      </c>
      <c r="DT79" s="897">
        <f t="shared" si="907"/>
        <v>1042</v>
      </c>
      <c r="DU79" s="1116">
        <f t="shared" si="907"/>
        <v>1042</v>
      </c>
      <c r="DV79" s="897">
        <f t="shared" si="907"/>
        <v>1042</v>
      </c>
      <c r="DW79" s="897">
        <f t="shared" si="907"/>
        <v>1042</v>
      </c>
      <c r="DX79" s="897">
        <f t="shared" si="907"/>
        <v>1042</v>
      </c>
      <c r="DY79" s="1117">
        <f t="shared" si="907"/>
        <v>1042</v>
      </c>
      <c r="DZ79" s="897">
        <f t="shared" si="907"/>
        <v>1042</v>
      </c>
      <c r="EA79" s="897">
        <f t="shared" si="907"/>
        <v>1042</v>
      </c>
      <c r="EB79" s="1116">
        <f t="shared" si="907"/>
        <v>1042</v>
      </c>
      <c r="EC79" s="897">
        <f t="shared" si="907"/>
        <v>1042</v>
      </c>
      <c r="ED79" s="897">
        <f t="shared" si="907"/>
        <v>1042</v>
      </c>
      <c r="EE79" s="897">
        <f t="shared" si="907"/>
        <v>1042</v>
      </c>
      <c r="EF79" s="1117">
        <f t="shared" si="907"/>
        <v>1042</v>
      </c>
      <c r="EG79" s="897">
        <f t="shared" si="907"/>
        <v>1042</v>
      </c>
      <c r="EH79" s="897">
        <f t="shared" si="907"/>
        <v>1042</v>
      </c>
      <c r="EI79" s="1116">
        <f t="shared" si="907"/>
        <v>1042</v>
      </c>
      <c r="EJ79" s="897">
        <f t="shared" si="907"/>
        <v>1042</v>
      </c>
      <c r="EK79" s="897">
        <f t="shared" si="907"/>
        <v>1042</v>
      </c>
      <c r="EL79" s="897">
        <f t="shared" si="907"/>
        <v>1042</v>
      </c>
      <c r="EM79" s="1117">
        <f t="shared" si="907"/>
        <v>1042</v>
      </c>
      <c r="EN79" s="897">
        <f t="shared" si="907"/>
        <v>1042</v>
      </c>
      <c r="EO79" s="897">
        <f t="shared" si="907"/>
        <v>1042</v>
      </c>
      <c r="EP79" s="1116">
        <f t="shared" si="907"/>
        <v>1042</v>
      </c>
      <c r="EQ79" s="851"/>
      <c r="ER79" s="875"/>
    </row>
    <row r="80" spans="1:148" ht="10.199999999999999" customHeight="1">
      <c r="A80" s="43" t="s">
        <v>144</v>
      </c>
      <c r="B80" s="108"/>
      <c r="C80" s="108"/>
      <c r="D80" s="244">
        <f>+D73/D77</f>
        <v>22.089065255731921</v>
      </c>
      <c r="E80" s="208" t="s">
        <v>58</v>
      </c>
      <c r="F80" s="208" t="s">
        <v>58</v>
      </c>
      <c r="G80" s="208" t="s">
        <v>58</v>
      </c>
      <c r="H80" s="208" t="s">
        <v>58</v>
      </c>
      <c r="I80" s="208" t="s">
        <v>58</v>
      </c>
      <c r="J80" s="208" t="s">
        <v>58</v>
      </c>
      <c r="K80" s="208" t="s">
        <v>58</v>
      </c>
      <c r="L80" s="208" t="s">
        <v>58</v>
      </c>
      <c r="M80" s="208" t="s">
        <v>58</v>
      </c>
      <c r="N80" s="208"/>
      <c r="O80" s="208"/>
      <c r="P80" s="208"/>
      <c r="Q80" s="1581"/>
      <c r="R80" s="208"/>
      <c r="S80" s="208"/>
      <c r="T80" s="1599" t="s">
        <v>58</v>
      </c>
      <c r="U80" s="208"/>
      <c r="V80" s="208"/>
      <c r="W80" s="208"/>
      <c r="X80" s="1581"/>
      <c r="Y80" s="208"/>
      <c r="Z80" s="208"/>
      <c r="AA80" s="1599" t="s">
        <v>58</v>
      </c>
      <c r="AB80" s="208"/>
      <c r="AC80" s="208"/>
      <c r="AD80" s="208"/>
      <c r="AE80" s="1581"/>
      <c r="AF80" s="208"/>
      <c r="AG80" s="208"/>
      <c r="AH80" s="1599" t="s">
        <v>58</v>
      </c>
      <c r="AI80" s="208"/>
      <c r="AJ80" s="208"/>
      <c r="AK80" s="208"/>
      <c r="AL80" s="1581"/>
      <c r="AM80" s="208"/>
      <c r="AN80" s="208"/>
      <c r="AO80" s="1599" t="s">
        <v>58</v>
      </c>
      <c r="AP80" s="208"/>
      <c r="AQ80" s="208"/>
      <c r="AR80" s="208"/>
      <c r="AS80" s="1581"/>
      <c r="AT80" s="208"/>
      <c r="AU80" s="208"/>
      <c r="AV80" s="1599" t="s">
        <v>58</v>
      </c>
      <c r="AW80" s="208"/>
      <c r="AX80" s="208"/>
      <c r="AY80" s="208"/>
      <c r="AZ80" s="1581"/>
      <c r="BA80" s="208"/>
      <c r="BB80" s="208"/>
      <c r="BC80" s="1599" t="s">
        <v>58</v>
      </c>
      <c r="BD80" s="208"/>
      <c r="BE80" s="208"/>
      <c r="BF80" s="208"/>
      <c r="BG80" s="1581"/>
      <c r="BH80" s="208"/>
      <c r="BI80" s="208"/>
      <c r="BJ80" s="1599" t="s">
        <v>58</v>
      </c>
      <c r="BK80" s="208"/>
      <c r="BL80" s="208"/>
      <c r="BM80" s="208"/>
      <c r="BN80" s="1581"/>
      <c r="BO80" s="208"/>
      <c r="BP80" s="208"/>
      <c r="BQ80" s="1599" t="s">
        <v>58</v>
      </c>
      <c r="BR80" s="208"/>
      <c r="BS80" s="208"/>
      <c r="BT80" s="208"/>
      <c r="BU80" s="1581"/>
      <c r="BV80" s="208"/>
      <c r="BW80" s="208"/>
      <c r="BX80" s="1599" t="s">
        <v>58</v>
      </c>
      <c r="BY80" s="208"/>
      <c r="BZ80" s="208"/>
      <c r="CA80" s="208"/>
      <c r="CB80" s="1581"/>
      <c r="CC80" s="208"/>
      <c r="CD80" s="208"/>
      <c r="CE80" s="1599" t="s">
        <v>58</v>
      </c>
      <c r="CF80" s="208"/>
      <c r="CG80" s="208"/>
      <c r="CH80" s="208"/>
      <c r="CI80" s="1581"/>
      <c r="CJ80" s="208"/>
      <c r="CK80" s="208"/>
      <c r="CL80" s="1599" t="s">
        <v>58</v>
      </c>
      <c r="CM80" s="208"/>
      <c r="CN80" s="208"/>
      <c r="CO80" s="208"/>
      <c r="CP80" s="1581"/>
      <c r="CQ80" s="208"/>
      <c r="CR80" s="208"/>
      <c r="CS80" s="1599" t="s">
        <v>58</v>
      </c>
      <c r="CT80" s="837"/>
      <c r="CU80" s="837"/>
      <c r="CV80" s="837"/>
      <c r="CW80" s="1647"/>
      <c r="CX80" s="837"/>
      <c r="CY80" s="1689"/>
      <c r="CZ80" s="1599" t="s">
        <v>58</v>
      </c>
      <c r="DA80" s="1797" t="s">
        <v>58</v>
      </c>
      <c r="DB80" s="837" t="s">
        <v>58</v>
      </c>
      <c r="DC80" s="1797" t="s">
        <v>58</v>
      </c>
      <c r="DD80" s="1962" t="s">
        <v>58</v>
      </c>
      <c r="DE80" s="1797" t="s">
        <v>58</v>
      </c>
      <c r="DF80" s="1689"/>
      <c r="DG80" s="1599" t="s">
        <v>58</v>
      </c>
      <c r="DH80" s="1797" t="s">
        <v>58</v>
      </c>
      <c r="DI80" s="837" t="s">
        <v>58</v>
      </c>
      <c r="DJ80" s="1689" t="s">
        <v>58</v>
      </c>
      <c r="DK80" s="1647" t="s">
        <v>58</v>
      </c>
      <c r="DL80" s="1797" t="s">
        <v>58</v>
      </c>
      <c r="DM80" s="1689" t="s">
        <v>58</v>
      </c>
      <c r="DN80" s="1618" t="s">
        <v>58</v>
      </c>
      <c r="DO80" s="1689" t="s">
        <v>58</v>
      </c>
      <c r="DP80" s="1715" t="s">
        <v>58</v>
      </c>
      <c r="DQ80" s="1689" t="s">
        <v>58</v>
      </c>
      <c r="DR80" s="1647" t="s">
        <v>58</v>
      </c>
      <c r="DS80" s="1689" t="s">
        <v>58</v>
      </c>
      <c r="DT80" s="1689" t="s">
        <v>58</v>
      </c>
      <c r="DU80" s="1618" t="s">
        <v>58</v>
      </c>
      <c r="DV80" s="1689" t="s">
        <v>58</v>
      </c>
      <c r="DW80" s="1715" t="s">
        <v>58</v>
      </c>
      <c r="DX80" s="1689" t="s">
        <v>58</v>
      </c>
      <c r="DY80" s="1647" t="s">
        <v>58</v>
      </c>
      <c r="DZ80" s="1689" t="s">
        <v>58</v>
      </c>
      <c r="EA80" s="1689" t="s">
        <v>58</v>
      </c>
      <c r="EB80" s="1618" t="s">
        <v>58</v>
      </c>
      <c r="EC80" s="1689" t="s">
        <v>58</v>
      </c>
      <c r="ED80" s="1715" t="s">
        <v>58</v>
      </c>
      <c r="EE80" s="1689" t="s">
        <v>58</v>
      </c>
      <c r="EF80" s="1647" t="s">
        <v>58</v>
      </c>
      <c r="EG80" s="1689" t="s">
        <v>58</v>
      </c>
      <c r="EH80" s="1689" t="s">
        <v>58</v>
      </c>
      <c r="EI80" s="1618" t="s">
        <v>58</v>
      </c>
      <c r="EJ80" s="1689" t="s">
        <v>58</v>
      </c>
      <c r="EK80" s="1715" t="s">
        <v>58</v>
      </c>
      <c r="EL80" s="1689" t="s">
        <v>58</v>
      </c>
      <c r="EM80" s="1647" t="s">
        <v>58</v>
      </c>
      <c r="EN80" s="1689" t="s">
        <v>58</v>
      </c>
      <c r="EO80" s="1689" t="s">
        <v>58</v>
      </c>
      <c r="EP80" s="1618" t="s">
        <v>58</v>
      </c>
      <c r="EQ80" s="303"/>
      <c r="ER80" s="46"/>
    </row>
    <row r="81" spans="1:148" ht="10.199999999999999" customHeight="1">
      <c r="A81" s="43"/>
      <c r="B81" s="108"/>
      <c r="C81" s="108"/>
      <c r="D81" s="244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1581"/>
      <c r="R81" s="208"/>
      <c r="S81" s="208"/>
      <c r="T81" s="1599"/>
      <c r="U81" s="208"/>
      <c r="V81" s="208"/>
      <c r="W81" s="208"/>
      <c r="X81" s="1581"/>
      <c r="Y81" s="208"/>
      <c r="Z81" s="208"/>
      <c r="AA81" s="1599"/>
      <c r="AB81" s="208"/>
      <c r="AC81" s="208"/>
      <c r="AD81" s="208"/>
      <c r="AE81" s="1581"/>
      <c r="AF81" s="208"/>
      <c r="AG81" s="208"/>
      <c r="AH81" s="1599"/>
      <c r="AI81" s="208"/>
      <c r="AJ81" s="208"/>
      <c r="AK81" s="208"/>
      <c r="AL81" s="1581"/>
      <c r="AM81" s="208"/>
      <c r="AN81" s="208"/>
      <c r="AO81" s="1599"/>
      <c r="AP81" s="208"/>
      <c r="AQ81" s="208"/>
      <c r="AR81" s="208"/>
      <c r="AS81" s="1581"/>
      <c r="AT81" s="208"/>
      <c r="AU81" s="208"/>
      <c r="AV81" s="1599"/>
      <c r="AW81" s="208"/>
      <c r="AX81" s="208"/>
      <c r="AY81" s="208"/>
      <c r="AZ81" s="1581"/>
      <c r="BA81" s="208"/>
      <c r="BB81" s="208"/>
      <c r="BC81" s="1599"/>
      <c r="BD81" s="208"/>
      <c r="BE81" s="208"/>
      <c r="BF81" s="208"/>
      <c r="BG81" s="1581"/>
      <c r="BH81" s="208"/>
      <c r="BI81" s="208"/>
      <c r="BJ81" s="1599"/>
      <c r="BK81" s="208"/>
      <c r="BL81" s="208"/>
      <c r="BM81" s="208"/>
      <c r="BN81" s="1581"/>
      <c r="BO81" s="208"/>
      <c r="BP81" s="208"/>
      <c r="BQ81" s="1599"/>
      <c r="BR81" s="208"/>
      <c r="BS81" s="208"/>
      <c r="BT81" s="208"/>
      <c r="BU81" s="1581"/>
      <c r="BV81" s="208"/>
      <c r="BW81" s="208"/>
      <c r="BX81" s="1599"/>
      <c r="BY81" s="208"/>
      <c r="BZ81" s="208"/>
      <c r="CA81" s="208"/>
      <c r="CB81" s="1581"/>
      <c r="CC81" s="208"/>
      <c r="CD81" s="208"/>
      <c r="CE81" s="1599"/>
      <c r="CF81" s="208"/>
      <c r="CG81" s="208"/>
      <c r="CH81" s="208"/>
      <c r="CI81" s="1581"/>
      <c r="CJ81" s="208"/>
      <c r="CK81" s="208"/>
      <c r="CL81" s="1599"/>
      <c r="CM81" s="208"/>
      <c r="CN81" s="208"/>
      <c r="CO81" s="208"/>
      <c r="CP81" s="1581"/>
      <c r="CQ81" s="208"/>
      <c r="CR81" s="208"/>
      <c r="CS81" s="1599"/>
      <c r="CT81" s="208"/>
      <c r="CU81" s="208"/>
      <c r="CV81" s="208"/>
      <c r="CW81" s="1581"/>
      <c r="CX81" s="208"/>
      <c r="CY81" s="208"/>
      <c r="CZ81" s="1619"/>
      <c r="DA81" s="1703"/>
      <c r="DB81" s="862"/>
      <c r="DC81" s="1703"/>
      <c r="DD81" s="1648"/>
      <c r="DE81" s="1703"/>
      <c r="DF81" s="208"/>
      <c r="DG81" s="1619"/>
      <c r="DH81" s="1797"/>
      <c r="DI81" s="862"/>
      <c r="DJ81" s="1703"/>
      <c r="DK81" s="1648"/>
      <c r="DL81" s="1703"/>
      <c r="DM81" s="862"/>
      <c r="DN81" s="1619"/>
      <c r="DO81" s="1703"/>
      <c r="DP81" s="862"/>
      <c r="DQ81" s="1703"/>
      <c r="DR81" s="1648"/>
      <c r="DS81" s="1703"/>
      <c r="DT81" s="862"/>
      <c r="DU81" s="1619"/>
      <c r="DV81" s="1703"/>
      <c r="DW81" s="862"/>
      <c r="DX81" s="1703"/>
      <c r="DY81" s="1648"/>
      <c r="DZ81" s="1703"/>
      <c r="EA81" s="862"/>
      <c r="EB81" s="1619"/>
      <c r="EC81" s="1703"/>
      <c r="ED81" s="862"/>
      <c r="EE81" s="1703"/>
      <c r="EF81" s="1648"/>
      <c r="EG81" s="1703"/>
      <c r="EH81" s="862"/>
      <c r="EI81" s="1619"/>
      <c r="EJ81" s="1703"/>
      <c r="EK81" s="862"/>
      <c r="EL81" s="1703"/>
      <c r="EM81" s="1648"/>
      <c r="EN81" s="1703"/>
      <c r="EO81" s="862"/>
      <c r="EP81" s="1619"/>
      <c r="EQ81" s="303"/>
      <c r="ER81" s="46"/>
    </row>
    <row r="82" spans="1:148" ht="10.199999999999999" customHeight="1">
      <c r="A82" s="178" t="s">
        <v>395</v>
      </c>
      <c r="B82" s="209"/>
      <c r="C82" s="209"/>
      <c r="D82" s="209"/>
      <c r="E82" s="838"/>
      <c r="F82" s="838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1582"/>
      <c r="R82" s="209"/>
      <c r="S82" s="209"/>
      <c r="T82" s="1600"/>
      <c r="U82" s="209"/>
      <c r="V82" s="209"/>
      <c r="W82" s="209"/>
      <c r="X82" s="1582"/>
      <c r="Y82" s="209"/>
      <c r="Z82" s="209"/>
      <c r="AA82" s="1600"/>
      <c r="AB82" s="209"/>
      <c r="AC82" s="209"/>
      <c r="AD82" s="209"/>
      <c r="AE82" s="1582"/>
      <c r="AF82" s="209"/>
      <c r="AG82" s="209"/>
      <c r="AH82" s="1600"/>
      <c r="AI82" s="209"/>
      <c r="AJ82" s="209"/>
      <c r="AK82" s="209"/>
      <c r="AL82" s="1582"/>
      <c r="AM82" s="209"/>
      <c r="AN82" s="209"/>
      <c r="AO82" s="1600"/>
      <c r="AP82" s="209"/>
      <c r="AQ82" s="209"/>
      <c r="AR82" s="209"/>
      <c r="AS82" s="1582"/>
      <c r="AT82" s="209"/>
      <c r="AU82" s="209"/>
      <c r="AV82" s="1600"/>
      <c r="AW82" s="209"/>
      <c r="AX82" s="209"/>
      <c r="AY82" s="209"/>
      <c r="AZ82" s="1582"/>
      <c r="BA82" s="209"/>
      <c r="BB82" s="209"/>
      <c r="BC82" s="1600"/>
      <c r="BD82" s="209"/>
      <c r="BE82" s="209"/>
      <c r="BF82" s="209"/>
      <c r="BG82" s="1582"/>
      <c r="BH82" s="209"/>
      <c r="BI82" s="209"/>
      <c r="BJ82" s="1600"/>
      <c r="BK82" s="209"/>
      <c r="BL82" s="209"/>
      <c r="BM82" s="209"/>
      <c r="BN82" s="1582"/>
      <c r="BO82" s="209"/>
      <c r="BP82" s="209"/>
      <c r="BQ82" s="1600"/>
      <c r="BR82" s="209"/>
      <c r="BS82" s="209"/>
      <c r="BT82" s="209"/>
      <c r="BU82" s="1582"/>
      <c r="BV82" s="209"/>
      <c r="BW82" s="209"/>
      <c r="BX82" s="1600"/>
      <c r="BY82" s="209"/>
      <c r="BZ82" s="209"/>
      <c r="CA82" s="209"/>
      <c r="CB82" s="1582"/>
      <c r="CC82" s="209"/>
      <c r="CD82" s="209"/>
      <c r="CE82" s="1600"/>
      <c r="CF82" s="209"/>
      <c r="CG82" s="209"/>
      <c r="CH82" s="209"/>
      <c r="CI82" s="1582"/>
      <c r="CJ82" s="209"/>
      <c r="CK82" s="209"/>
      <c r="CL82" s="1600"/>
      <c r="CM82" s="209"/>
      <c r="CN82" s="209"/>
      <c r="CO82" s="209"/>
      <c r="CP82" s="1582"/>
      <c r="CQ82" s="209"/>
      <c r="CR82" s="209"/>
      <c r="CS82" s="1600"/>
      <c r="CT82" s="209"/>
      <c r="CU82" s="209"/>
      <c r="CV82" s="209"/>
      <c r="CW82" s="1582"/>
      <c r="CX82" s="209"/>
      <c r="CY82" s="209"/>
      <c r="CZ82" s="1616"/>
      <c r="DA82" s="204"/>
      <c r="DB82" s="204"/>
      <c r="DC82" s="204"/>
      <c r="DD82" s="1612"/>
      <c r="DE82" s="204"/>
      <c r="DF82" s="209"/>
      <c r="DG82" s="1616"/>
      <c r="DH82" s="204"/>
      <c r="DI82" s="204"/>
      <c r="DJ82" s="204"/>
      <c r="DK82" s="1612"/>
      <c r="DL82" s="204"/>
      <c r="DM82" s="204"/>
      <c r="DN82" s="1616"/>
      <c r="DO82" s="204"/>
      <c r="DP82" s="204"/>
      <c r="DQ82" s="204"/>
      <c r="DR82" s="1612"/>
      <c r="DS82" s="204"/>
      <c r="DT82" s="204"/>
      <c r="DU82" s="1616"/>
      <c r="DV82" s="204"/>
      <c r="DW82" s="204"/>
      <c r="DX82" s="204"/>
      <c r="DY82" s="1612"/>
      <c r="DZ82" s="204"/>
      <c r="EA82" s="204"/>
      <c r="EB82" s="1616"/>
      <c r="EC82" s="204"/>
      <c r="ED82" s="204"/>
      <c r="EE82" s="204"/>
      <c r="EF82" s="1612"/>
      <c r="EG82" s="204"/>
      <c r="EH82" s="204"/>
      <c r="EI82" s="1616"/>
      <c r="EJ82" s="204"/>
      <c r="EK82" s="204"/>
      <c r="EL82" s="204"/>
      <c r="EM82" s="1612"/>
      <c r="EN82" s="204"/>
      <c r="EO82" s="204"/>
      <c r="EP82" s="1616"/>
      <c r="EQ82" s="303"/>
      <c r="ER82" s="46"/>
    </row>
    <row r="83" spans="1:148" ht="10.199999999999999" customHeight="1">
      <c r="A83" s="3" t="s">
        <v>187</v>
      </c>
      <c r="B83" s="1"/>
      <c r="C83" s="1"/>
      <c r="D83" s="1">
        <f>+D91</f>
        <v>650</v>
      </c>
      <c r="E83" s="863">
        <f t="shared" ref="E83:T83" si="908">+E85+E84</f>
        <v>1009</v>
      </c>
      <c r="F83" s="863">
        <f t="shared" si="908"/>
        <v>1497</v>
      </c>
      <c r="G83" s="863">
        <f t="shared" si="908"/>
        <v>2019</v>
      </c>
      <c r="H83" s="863">
        <f t="shared" si="908"/>
        <v>2261</v>
      </c>
      <c r="I83" s="863">
        <f t="shared" si="908"/>
        <v>2510</v>
      </c>
      <c r="J83" s="863">
        <f t="shared" si="908"/>
        <v>2746</v>
      </c>
      <c r="K83" s="863">
        <f t="shared" si="908"/>
        <v>3089</v>
      </c>
      <c r="L83" s="863">
        <f t="shared" si="908"/>
        <v>3906</v>
      </c>
      <c r="M83" s="863">
        <f t="shared" si="908"/>
        <v>4677</v>
      </c>
      <c r="N83" s="863"/>
      <c r="O83" s="863"/>
      <c r="P83" s="863"/>
      <c r="Q83" s="708"/>
      <c r="R83" s="863"/>
      <c r="S83" s="863"/>
      <c r="T83" s="1601">
        <f t="shared" si="908"/>
        <v>5180</v>
      </c>
      <c r="U83" s="863"/>
      <c r="V83" s="863"/>
      <c r="W83" s="863"/>
      <c r="X83" s="708"/>
      <c r="Y83" s="863"/>
      <c r="Z83" s="863"/>
      <c r="AA83" s="1601">
        <f>+AA91</f>
        <v>5772</v>
      </c>
      <c r="AB83" s="863"/>
      <c r="AC83" s="863"/>
      <c r="AD83" s="863"/>
      <c r="AE83" s="708"/>
      <c r="AF83" s="863"/>
      <c r="AG83" s="863"/>
      <c r="AH83" s="1601">
        <f>+AH91</f>
        <v>6061</v>
      </c>
      <c r="AI83" s="863"/>
      <c r="AJ83" s="863"/>
      <c r="AK83" s="863"/>
      <c r="AL83" s="708"/>
      <c r="AM83" s="863"/>
      <c r="AN83" s="863"/>
      <c r="AO83" s="1601">
        <f>+AO91</f>
        <v>6270</v>
      </c>
      <c r="AP83" s="863"/>
      <c r="AQ83" s="863"/>
      <c r="AR83" s="863"/>
      <c r="AS83" s="708"/>
      <c r="AT83" s="863"/>
      <c r="AU83" s="863"/>
      <c r="AV83" s="1601">
        <f>+AV91</f>
        <v>6239</v>
      </c>
      <c r="AW83" s="863"/>
      <c r="AX83" s="863"/>
      <c r="AY83" s="863"/>
      <c r="AZ83" s="708"/>
      <c r="BA83" s="863"/>
      <c r="BB83" s="863"/>
      <c r="BC83" s="1601">
        <f>+BC91</f>
        <v>6239</v>
      </c>
      <c r="BD83" s="863"/>
      <c r="BE83" s="863"/>
      <c r="BF83" s="863"/>
      <c r="BG83" s="708"/>
      <c r="BH83" s="863"/>
      <c r="BI83" s="863"/>
      <c r="BJ83" s="1601">
        <f t="shared" ref="BJ83:CS83" si="909">BJ85+BJ84</f>
        <v>7642</v>
      </c>
      <c r="BK83" s="863"/>
      <c r="BL83" s="863"/>
      <c r="BM83" s="863"/>
      <c r="BN83" s="708"/>
      <c r="BO83" s="863"/>
      <c r="BP83" s="863"/>
      <c r="BQ83" s="1601">
        <f t="shared" si="909"/>
        <v>7994</v>
      </c>
      <c r="BR83" s="863"/>
      <c r="BS83" s="863"/>
      <c r="BT83" s="863"/>
      <c r="BU83" s="708"/>
      <c r="BV83" s="863"/>
      <c r="BW83" s="863"/>
      <c r="BX83" s="1601">
        <f t="shared" si="909"/>
        <v>8017</v>
      </c>
      <c r="BY83" s="863"/>
      <c r="BZ83" s="863"/>
      <c r="CA83" s="863"/>
      <c r="CB83" s="708"/>
      <c r="CC83" s="863"/>
      <c r="CD83" s="863"/>
      <c r="CE83" s="1601">
        <f t="shared" si="909"/>
        <v>7577</v>
      </c>
      <c r="CF83" s="863"/>
      <c r="CG83" s="863"/>
      <c r="CH83" s="863"/>
      <c r="CI83" s="708"/>
      <c r="CJ83" s="863"/>
      <c r="CK83" s="863"/>
      <c r="CL83" s="1601">
        <f t="shared" si="909"/>
        <v>8151</v>
      </c>
      <c r="CM83" s="863"/>
      <c r="CN83" s="863"/>
      <c r="CO83" s="863"/>
      <c r="CP83" s="708"/>
      <c r="CQ83" s="863"/>
      <c r="CR83" s="863"/>
      <c r="CS83" s="1601">
        <f t="shared" si="909"/>
        <v>8470</v>
      </c>
      <c r="CT83" s="593"/>
      <c r="CU83" s="593"/>
      <c r="CV83" s="593"/>
      <c r="CW83" s="1649"/>
      <c r="CX83" s="593"/>
      <c r="CY83" s="988"/>
      <c r="CZ83" s="1601">
        <f t="shared" ref="CZ83:DC83" si="910">CZ85+CZ84</f>
        <v>9261</v>
      </c>
      <c r="DA83" s="593">
        <f t="shared" si="910"/>
        <v>9161.5</v>
      </c>
      <c r="DB83" s="593">
        <f t="shared" ref="DB83" si="911">+DB91</f>
        <v>9005</v>
      </c>
      <c r="DC83" s="593">
        <f t="shared" si="910"/>
        <v>9087.25</v>
      </c>
      <c r="DD83" s="708">
        <f t="shared" ref="DD83" si="912">+DD91</f>
        <v>9312.5</v>
      </c>
      <c r="DE83" s="593">
        <f t="shared" ref="DE83" si="913">DE85+DE84</f>
        <v>9005</v>
      </c>
      <c r="DF83" s="988"/>
      <c r="DG83" s="1601">
        <f t="shared" ref="DG83:DH83" si="914">DG85+DG84</f>
        <v>9435</v>
      </c>
      <c r="DH83" s="593">
        <f t="shared" si="914"/>
        <v>9517.6594976640008</v>
      </c>
      <c r="DI83" s="593">
        <f t="shared" ref="DI83" si="915">+DI91</f>
        <v>9885.3189953280016</v>
      </c>
      <c r="DJ83" s="988">
        <f t="shared" ref="DJ83:EP83" si="916">+DJ91</f>
        <v>9892.4745229230848</v>
      </c>
      <c r="DK83" s="1649">
        <f t="shared" si="916"/>
        <v>9972.2271330977819</v>
      </c>
      <c r="DL83" s="593">
        <f t="shared" ref="DL83" si="917">DL85+DL84</f>
        <v>9885.3189953280034</v>
      </c>
      <c r="DM83" s="988">
        <f t="shared" si="916"/>
        <v>9972.2271330977837</v>
      </c>
      <c r="DN83" s="980">
        <f t="shared" si="916"/>
        <v>9972.2271330977819</v>
      </c>
      <c r="DO83" s="988">
        <f t="shared" si="916"/>
        <v>10116.882366441192</v>
      </c>
      <c r="DP83" s="988">
        <f t="shared" si="916"/>
        <v>10269.873177409196</v>
      </c>
      <c r="DQ83" s="988">
        <f t="shared" si="916"/>
        <v>10422.631808616579</v>
      </c>
      <c r="DR83" s="1649">
        <f t="shared" si="916"/>
        <v>10585.026715447861</v>
      </c>
      <c r="DS83" s="988">
        <f t="shared" si="916"/>
        <v>10269.873177409196</v>
      </c>
      <c r="DT83" s="988">
        <f t="shared" si="916"/>
        <v>10585.026715447861</v>
      </c>
      <c r="DU83" s="980">
        <f t="shared" si="916"/>
        <v>10585.026715447861</v>
      </c>
      <c r="DV83" s="988">
        <f t="shared" si="916"/>
        <v>10745.303553472115</v>
      </c>
      <c r="DW83" s="988">
        <f t="shared" si="916"/>
        <v>10915.125815682683</v>
      </c>
      <c r="DX83" s="988">
        <f t="shared" si="916"/>
        <v>11084.625890934209</v>
      </c>
      <c r="DY83" s="1649">
        <f t="shared" si="916"/>
        <v>11266.789751855389</v>
      </c>
      <c r="DZ83" s="988">
        <f t="shared" si="916"/>
        <v>10915.125815682683</v>
      </c>
      <c r="EA83" s="988">
        <f t="shared" si="916"/>
        <v>11266.789751855389</v>
      </c>
      <c r="EB83" s="980">
        <f t="shared" si="916"/>
        <v>11266.789751855389</v>
      </c>
      <c r="EC83" s="988">
        <f t="shared" si="916"/>
        <v>11439.941676363596</v>
      </c>
      <c r="ED83" s="988">
        <f t="shared" si="916"/>
        <v>11619.631656374608</v>
      </c>
      <c r="EE83" s="988">
        <f t="shared" si="916"/>
        <v>11798.897323667125</v>
      </c>
      <c r="EF83" s="1649">
        <f t="shared" si="916"/>
        <v>11992.247305249784</v>
      </c>
      <c r="EG83" s="988">
        <f t="shared" si="916"/>
        <v>11619.631656374608</v>
      </c>
      <c r="EH83" s="988">
        <f t="shared" si="916"/>
        <v>11992.247305249784</v>
      </c>
      <c r="EI83" s="980">
        <f t="shared" si="916"/>
        <v>11992.247305249784</v>
      </c>
      <c r="EJ83" s="988">
        <f t="shared" si="916"/>
        <v>12174.104996104597</v>
      </c>
      <c r="EK83" s="988">
        <f t="shared" si="916"/>
        <v>12363.236565363362</v>
      </c>
      <c r="EL83" s="988">
        <f t="shared" si="916"/>
        <v>12551.83632369417</v>
      </c>
      <c r="EM83" s="1649">
        <f t="shared" si="916"/>
        <v>12756.019088539528</v>
      </c>
      <c r="EN83" s="988">
        <f t="shared" si="916"/>
        <v>12363.236565363361</v>
      </c>
      <c r="EO83" s="988">
        <f t="shared" si="916"/>
        <v>12756.019088539524</v>
      </c>
      <c r="EP83" s="980">
        <f t="shared" si="916"/>
        <v>12756.019088539526</v>
      </c>
      <c r="EQ83" s="851"/>
      <c r="ER83" s="875"/>
    </row>
    <row r="84" spans="1:148" ht="10.199999999999999" customHeight="1">
      <c r="A84" s="3" t="str">
        <f>+A65</f>
        <v>Accumulated Amortization</v>
      </c>
      <c r="B84" s="1"/>
      <c r="C84" s="1"/>
      <c r="D84" s="316">
        <f t="shared" ref="D84:EP84" si="918">+D98</f>
        <v>328</v>
      </c>
      <c r="E84" s="880">
        <f t="shared" si="918"/>
        <v>461</v>
      </c>
      <c r="F84" s="880">
        <f t="shared" si="918"/>
        <v>604</v>
      </c>
      <c r="G84" s="880">
        <f t="shared" si="918"/>
        <v>735</v>
      </c>
      <c r="H84" s="880">
        <f t="shared" si="918"/>
        <v>948</v>
      </c>
      <c r="I84" s="880">
        <f t="shared" si="918"/>
        <v>1099</v>
      </c>
      <c r="J84" s="880">
        <f t="shared" si="918"/>
        <v>1427</v>
      </c>
      <c r="K84" s="880">
        <f t="shared" si="918"/>
        <v>1599</v>
      </c>
      <c r="L84" s="880">
        <f t="shared" si="918"/>
        <v>1932</v>
      </c>
      <c r="M84" s="880">
        <f t="shared" si="918"/>
        <v>2272</v>
      </c>
      <c r="N84" s="1565"/>
      <c r="O84" s="1565"/>
      <c r="P84" s="1565"/>
      <c r="Q84" s="1583"/>
      <c r="R84" s="1565"/>
      <c r="S84" s="1565"/>
      <c r="T84" s="1602">
        <f t="shared" si="918"/>
        <v>2552</v>
      </c>
      <c r="U84" s="1565"/>
      <c r="V84" s="1565"/>
      <c r="W84" s="1565"/>
      <c r="X84" s="1583"/>
      <c r="Y84" s="1565"/>
      <c r="Z84" s="1565"/>
      <c r="AA84" s="1602">
        <f t="shared" si="918"/>
        <v>2993</v>
      </c>
      <c r="AB84" s="1565"/>
      <c r="AC84" s="1565"/>
      <c r="AD84" s="1565"/>
      <c r="AE84" s="1583"/>
      <c r="AF84" s="1565"/>
      <c r="AG84" s="1565"/>
      <c r="AH84" s="1602">
        <f t="shared" si="918"/>
        <v>3413</v>
      </c>
      <c r="AI84" s="1565"/>
      <c r="AJ84" s="1565"/>
      <c r="AK84" s="1565"/>
      <c r="AL84" s="1583"/>
      <c r="AM84" s="1565"/>
      <c r="AN84" s="1565"/>
      <c r="AO84" s="1602">
        <f t="shared" si="918"/>
        <v>3627</v>
      </c>
      <c r="AP84" s="1565"/>
      <c r="AQ84" s="1565"/>
      <c r="AR84" s="1565"/>
      <c r="AS84" s="1583"/>
      <c r="AT84" s="1565"/>
      <c r="AU84" s="1565"/>
      <c r="AV84" s="1602">
        <f t="shared" si="918"/>
        <v>3751</v>
      </c>
      <c r="AW84" s="1565"/>
      <c r="AX84" s="1565"/>
      <c r="AY84" s="1565"/>
      <c r="AZ84" s="1583"/>
      <c r="BA84" s="1565"/>
      <c r="BB84" s="1565"/>
      <c r="BC84" s="1602">
        <f t="shared" si="918"/>
        <v>3751</v>
      </c>
      <c r="BD84" s="1565"/>
      <c r="BE84" s="1565"/>
      <c r="BF84" s="1565"/>
      <c r="BG84" s="1583"/>
      <c r="BH84" s="1565"/>
      <c r="BI84" s="1565"/>
      <c r="BJ84" s="1602">
        <f t="shared" si="918"/>
        <v>3955</v>
      </c>
      <c r="BK84" s="1565"/>
      <c r="BL84" s="1565"/>
      <c r="BM84" s="1565"/>
      <c r="BN84" s="1583"/>
      <c r="BO84" s="1565"/>
      <c r="BP84" s="1565"/>
      <c r="BQ84" s="1602">
        <f t="shared" si="918"/>
        <v>4422</v>
      </c>
      <c r="BR84" s="1565"/>
      <c r="BS84" s="1565"/>
      <c r="BT84" s="1565"/>
      <c r="BU84" s="1583"/>
      <c r="BV84" s="1565"/>
      <c r="BW84" s="1565"/>
      <c r="BX84" s="1602">
        <f t="shared" si="918"/>
        <v>4817</v>
      </c>
      <c r="BY84" s="1565"/>
      <c r="BZ84" s="1565"/>
      <c r="CA84" s="1565"/>
      <c r="CB84" s="1583"/>
      <c r="CC84" s="1565"/>
      <c r="CD84" s="1565"/>
      <c r="CE84" s="1602">
        <f t="shared" si="918"/>
        <v>4238</v>
      </c>
      <c r="CF84" s="1565"/>
      <c r="CG84" s="1565"/>
      <c r="CH84" s="1565"/>
      <c r="CI84" s="1583"/>
      <c r="CJ84" s="1565"/>
      <c r="CK84" s="1565"/>
      <c r="CL84" s="1602">
        <f t="shared" si="918"/>
        <v>4548</v>
      </c>
      <c r="CM84" s="1565"/>
      <c r="CN84" s="1565"/>
      <c r="CO84" s="1565"/>
      <c r="CP84" s="1583"/>
      <c r="CQ84" s="1565"/>
      <c r="CR84" s="1565"/>
      <c r="CS84" s="1602">
        <f t="shared" ref="CS84" si="919">+CS98</f>
        <v>4682</v>
      </c>
      <c r="CT84" s="1565"/>
      <c r="CU84" s="1565"/>
      <c r="CV84" s="1565"/>
      <c r="CW84" s="1510"/>
      <c r="CX84" s="1565"/>
      <c r="CY84" s="1408"/>
      <c r="CZ84" s="1602">
        <f t="shared" ref="CZ84:DC84" si="920">+CZ98</f>
        <v>5531</v>
      </c>
      <c r="DA84" s="1565">
        <f t="shared" si="920"/>
        <v>5538.25</v>
      </c>
      <c r="DB84" s="1565">
        <f t="shared" ref="DB84" si="921">+DB98</f>
        <v>5545.5</v>
      </c>
      <c r="DC84" s="1565">
        <f t="shared" si="920"/>
        <v>5634.75</v>
      </c>
      <c r="DD84" s="1583">
        <f t="shared" ref="DD84:DE84" si="922">+DD98</f>
        <v>5724</v>
      </c>
      <c r="DE84" s="1565">
        <f t="shared" si="922"/>
        <v>5545.5</v>
      </c>
      <c r="DF84" s="1408"/>
      <c r="DG84" s="1602">
        <f t="shared" ref="DG84:DI84" si="923">+DG98</f>
        <v>6144</v>
      </c>
      <c r="DH84" s="1565">
        <f t="shared" si="923"/>
        <v>6236.6594976640017</v>
      </c>
      <c r="DI84" s="1565">
        <f t="shared" si="923"/>
        <v>6329.3189953280034</v>
      </c>
      <c r="DJ84" s="1408">
        <f t="shared" si="918"/>
        <v>6421.9784929920052</v>
      </c>
      <c r="DK84" s="1510">
        <f t="shared" si="918"/>
        <v>6514.6379906560069</v>
      </c>
      <c r="DL84" s="1565">
        <f t="shared" si="918"/>
        <v>6329.3189953280034</v>
      </c>
      <c r="DM84" s="1408">
        <f t="shared" si="918"/>
        <v>6514.6379906560069</v>
      </c>
      <c r="DN84" s="1480">
        <f t="shared" si="918"/>
        <v>6514.6379906560069</v>
      </c>
      <c r="DO84" s="1408">
        <f t="shared" si="918"/>
        <v>6619.0544159576457</v>
      </c>
      <c r="DP84" s="1408">
        <f t="shared" si="918"/>
        <v>6723.4708412592845</v>
      </c>
      <c r="DQ84" s="1408">
        <f t="shared" si="918"/>
        <v>6827.8872665609233</v>
      </c>
      <c r="DR84" s="1510">
        <f t="shared" si="918"/>
        <v>6932.3036918625621</v>
      </c>
      <c r="DS84" s="1408">
        <f t="shared" si="918"/>
        <v>6723.4708412592836</v>
      </c>
      <c r="DT84" s="1408">
        <f t="shared" si="918"/>
        <v>6932.3036918625603</v>
      </c>
      <c r="DU84" s="1480">
        <f t="shared" si="918"/>
        <v>6932.3036918625603</v>
      </c>
      <c r="DV84" s="1408">
        <f t="shared" si="918"/>
        <v>7047.2514161054805</v>
      </c>
      <c r="DW84" s="1408">
        <f t="shared" si="918"/>
        <v>7162.1991403484008</v>
      </c>
      <c r="DX84" s="1408">
        <f t="shared" si="918"/>
        <v>7277.146864591321</v>
      </c>
      <c r="DY84" s="1510">
        <f t="shared" si="918"/>
        <v>7392.0945888342412</v>
      </c>
      <c r="DZ84" s="1408">
        <f t="shared" si="918"/>
        <v>7162.1991403484008</v>
      </c>
      <c r="EA84" s="1408">
        <f t="shared" si="918"/>
        <v>7392.0945888342412</v>
      </c>
      <c r="EB84" s="1480">
        <f t="shared" si="918"/>
        <v>7392.0945888342412</v>
      </c>
      <c r="EC84" s="1408">
        <f t="shared" si="918"/>
        <v>7513.3494033767238</v>
      </c>
      <c r="ED84" s="1408">
        <f t="shared" si="918"/>
        <v>7634.6042179192063</v>
      </c>
      <c r="EE84" s="1408">
        <f t="shared" si="918"/>
        <v>7755.8590324616889</v>
      </c>
      <c r="EF84" s="1510">
        <f t="shared" si="918"/>
        <v>7877.1138470041715</v>
      </c>
      <c r="EG84" s="1408">
        <f t="shared" si="918"/>
        <v>7634.6042179192063</v>
      </c>
      <c r="EH84" s="1408">
        <f t="shared" si="918"/>
        <v>7877.1138470041715</v>
      </c>
      <c r="EI84" s="1480">
        <f t="shared" si="918"/>
        <v>7877.1138470041715</v>
      </c>
      <c r="EJ84" s="1408">
        <f t="shared" si="918"/>
        <v>8003.7016781342372</v>
      </c>
      <c r="EK84" s="1408">
        <f t="shared" si="918"/>
        <v>8130.289509264303</v>
      </c>
      <c r="EL84" s="1408">
        <f t="shared" si="918"/>
        <v>8256.8773403943687</v>
      </c>
      <c r="EM84" s="1510">
        <f t="shared" si="918"/>
        <v>8383.4651715244345</v>
      </c>
      <c r="EN84" s="1408">
        <f t="shared" si="918"/>
        <v>8130.289509264303</v>
      </c>
      <c r="EO84" s="1408">
        <f t="shared" si="918"/>
        <v>8383.4651715244345</v>
      </c>
      <c r="EP84" s="1480">
        <f t="shared" si="918"/>
        <v>8383.4651715244345</v>
      </c>
      <c r="EQ84" s="851"/>
      <c r="ER84" s="875"/>
    </row>
    <row r="85" spans="1:148" ht="10.199999999999999" customHeight="1">
      <c r="A85" s="43" t="s">
        <v>188</v>
      </c>
      <c r="B85" s="108"/>
      <c r="C85" s="108"/>
      <c r="D85" s="108">
        <f>+D83-D84</f>
        <v>322</v>
      </c>
      <c r="E85" s="839">
        <f t="shared" ref="E85:CL85" si="924">E13-E66</f>
        <v>548</v>
      </c>
      <c r="F85" s="839">
        <f t="shared" si="924"/>
        <v>893</v>
      </c>
      <c r="G85" s="839">
        <f t="shared" si="924"/>
        <v>1284</v>
      </c>
      <c r="H85" s="839">
        <f t="shared" si="924"/>
        <v>1313</v>
      </c>
      <c r="I85" s="839">
        <f t="shared" si="924"/>
        <v>1411</v>
      </c>
      <c r="J85" s="839">
        <f t="shared" si="924"/>
        <v>1319</v>
      </c>
      <c r="K85" s="839">
        <f t="shared" si="924"/>
        <v>1490</v>
      </c>
      <c r="L85" s="839">
        <f t="shared" si="924"/>
        <v>1974</v>
      </c>
      <c r="M85" s="191">
        <f t="shared" si="924"/>
        <v>2405</v>
      </c>
      <c r="N85" s="191"/>
      <c r="O85" s="191"/>
      <c r="P85" s="191"/>
      <c r="Q85" s="709"/>
      <c r="R85" s="191"/>
      <c r="S85" s="191"/>
      <c r="T85" s="352">
        <f t="shared" si="924"/>
        <v>2628</v>
      </c>
      <c r="U85" s="191"/>
      <c r="V85" s="191"/>
      <c r="W85" s="191"/>
      <c r="X85" s="709"/>
      <c r="Y85" s="191"/>
      <c r="Z85" s="191"/>
      <c r="AA85" s="352">
        <f t="shared" si="924"/>
        <v>2779</v>
      </c>
      <c r="AB85" s="191"/>
      <c r="AC85" s="191"/>
      <c r="AD85" s="191"/>
      <c r="AE85" s="709"/>
      <c r="AF85" s="191"/>
      <c r="AG85" s="191"/>
      <c r="AH85" s="352">
        <f t="shared" si="924"/>
        <v>2648</v>
      </c>
      <c r="AI85" s="191"/>
      <c r="AJ85" s="191"/>
      <c r="AK85" s="191"/>
      <c r="AL85" s="709"/>
      <c r="AM85" s="191"/>
      <c r="AN85" s="191"/>
      <c r="AO85" s="352">
        <f t="shared" si="924"/>
        <v>2643</v>
      </c>
      <c r="AP85" s="191"/>
      <c r="AQ85" s="191"/>
      <c r="AR85" s="191"/>
      <c r="AS85" s="709"/>
      <c r="AT85" s="191"/>
      <c r="AU85" s="191"/>
      <c r="AV85" s="352">
        <f t="shared" si="924"/>
        <v>2488</v>
      </c>
      <c r="AW85" s="191"/>
      <c r="AX85" s="191"/>
      <c r="AY85" s="191"/>
      <c r="AZ85" s="709"/>
      <c r="BA85" s="191"/>
      <c r="BB85" s="191"/>
      <c r="BC85" s="352">
        <f t="shared" si="924"/>
        <v>2488</v>
      </c>
      <c r="BD85" s="191"/>
      <c r="BE85" s="191"/>
      <c r="BF85" s="191"/>
      <c r="BG85" s="709"/>
      <c r="BH85" s="191"/>
      <c r="BI85" s="191"/>
      <c r="BJ85" s="352">
        <f t="shared" si="924"/>
        <v>3687</v>
      </c>
      <c r="BK85" s="191"/>
      <c r="BL85" s="191"/>
      <c r="BM85" s="191"/>
      <c r="BN85" s="709"/>
      <c r="BO85" s="191"/>
      <c r="BP85" s="191"/>
      <c r="BQ85" s="352">
        <f t="shared" si="924"/>
        <v>3572</v>
      </c>
      <c r="BR85" s="191"/>
      <c r="BS85" s="191"/>
      <c r="BT85" s="191"/>
      <c r="BU85" s="709"/>
      <c r="BV85" s="191"/>
      <c r="BW85" s="191"/>
      <c r="BX85" s="352">
        <f t="shared" si="924"/>
        <v>3200</v>
      </c>
      <c r="BY85" s="191"/>
      <c r="BZ85" s="191"/>
      <c r="CA85" s="191"/>
      <c r="CB85" s="709"/>
      <c r="CC85" s="191"/>
      <c r="CD85" s="191"/>
      <c r="CE85" s="352">
        <f t="shared" si="924"/>
        <v>3339</v>
      </c>
      <c r="CF85" s="191"/>
      <c r="CG85" s="191"/>
      <c r="CH85" s="191"/>
      <c r="CI85" s="709"/>
      <c r="CJ85" s="191"/>
      <c r="CK85" s="191"/>
      <c r="CL85" s="352">
        <f t="shared" si="924"/>
        <v>3603</v>
      </c>
      <c r="CM85" s="191"/>
      <c r="CN85" s="191"/>
      <c r="CO85" s="191"/>
      <c r="CP85" s="709"/>
      <c r="CQ85" s="191"/>
      <c r="CR85" s="191"/>
      <c r="CS85" s="352">
        <f t="shared" ref="CS85" si="925">CS13-CS66</f>
        <v>3788</v>
      </c>
      <c r="CT85" s="176"/>
      <c r="CU85" s="176"/>
      <c r="CV85" s="176"/>
      <c r="CW85" s="1649"/>
      <c r="CX85" s="176"/>
      <c r="CY85" s="988"/>
      <c r="CZ85" s="352">
        <f>CZ13-CZ66</f>
        <v>3730</v>
      </c>
      <c r="DA85" s="176">
        <f>DA13-DA66</f>
        <v>3623.25</v>
      </c>
      <c r="DB85" s="593">
        <f t="shared" ref="DB85" si="926">+DB83-DB84</f>
        <v>3459.5</v>
      </c>
      <c r="DC85" s="176">
        <f>DC13-DC66</f>
        <v>3452.5</v>
      </c>
      <c r="DD85" s="708">
        <f t="shared" ref="DD85" si="927">+DD83-DD84</f>
        <v>3588.5</v>
      </c>
      <c r="DE85" s="176">
        <f>DE13-DE66</f>
        <v>3459.5</v>
      </c>
      <c r="DF85" s="988"/>
      <c r="DG85" s="352">
        <f>DG13-DG66</f>
        <v>3291</v>
      </c>
      <c r="DH85" s="593">
        <f>DH13-DH66</f>
        <v>3281</v>
      </c>
      <c r="DI85" s="593">
        <f t="shared" ref="DI85" si="928">+DI83-DI84</f>
        <v>3555.9999999999982</v>
      </c>
      <c r="DJ85" s="988">
        <f t="shared" ref="DJ85:EP85" si="929">+DJ83-DJ84</f>
        <v>3470.4960299310796</v>
      </c>
      <c r="DK85" s="1649">
        <f t="shared" si="929"/>
        <v>3457.589142441775</v>
      </c>
      <c r="DL85" s="176">
        <f>DL13-DL66</f>
        <v>3556</v>
      </c>
      <c r="DM85" s="988">
        <f t="shared" si="929"/>
        <v>3457.5891424417769</v>
      </c>
      <c r="DN85" s="980">
        <f t="shared" si="929"/>
        <v>3457.589142441775</v>
      </c>
      <c r="DO85" s="988">
        <f t="shared" si="929"/>
        <v>3497.8279504835464</v>
      </c>
      <c r="DP85" s="988">
        <f t="shared" si="929"/>
        <v>3546.4023361499112</v>
      </c>
      <c r="DQ85" s="988">
        <f t="shared" si="929"/>
        <v>3594.744542055656</v>
      </c>
      <c r="DR85" s="1649">
        <f t="shared" si="929"/>
        <v>3652.7230235852985</v>
      </c>
      <c r="DS85" s="988">
        <f t="shared" si="929"/>
        <v>3546.4023361499121</v>
      </c>
      <c r="DT85" s="988">
        <f t="shared" si="929"/>
        <v>3652.7230235853003</v>
      </c>
      <c r="DU85" s="980">
        <f t="shared" si="929"/>
        <v>3652.7230235853003</v>
      </c>
      <c r="DV85" s="988">
        <f t="shared" si="929"/>
        <v>3698.0521373666343</v>
      </c>
      <c r="DW85" s="988">
        <f t="shared" si="929"/>
        <v>3752.9266753342818</v>
      </c>
      <c r="DX85" s="988">
        <f t="shared" si="929"/>
        <v>3807.4790263428877</v>
      </c>
      <c r="DY85" s="1649">
        <f t="shared" si="929"/>
        <v>3874.6951630211479</v>
      </c>
      <c r="DZ85" s="988">
        <f t="shared" si="929"/>
        <v>3752.9266753342818</v>
      </c>
      <c r="EA85" s="988">
        <f t="shared" si="929"/>
        <v>3874.6951630211479</v>
      </c>
      <c r="EB85" s="980">
        <f t="shared" si="929"/>
        <v>3874.6951630211479</v>
      </c>
      <c r="EC85" s="988">
        <f t="shared" si="929"/>
        <v>3926.5922729868726</v>
      </c>
      <c r="ED85" s="988">
        <f t="shared" si="929"/>
        <v>3985.0274384554014</v>
      </c>
      <c r="EE85" s="988">
        <f t="shared" si="929"/>
        <v>4043.0382912054356</v>
      </c>
      <c r="EF85" s="1649">
        <f t="shared" si="929"/>
        <v>4115.1334582456129</v>
      </c>
      <c r="EG85" s="988">
        <f t="shared" si="929"/>
        <v>3985.0274384554014</v>
      </c>
      <c r="EH85" s="988">
        <f t="shared" si="929"/>
        <v>4115.1334582456129</v>
      </c>
      <c r="EI85" s="980">
        <f t="shared" si="929"/>
        <v>4115.1334582456129</v>
      </c>
      <c r="EJ85" s="988">
        <f t="shared" si="929"/>
        <v>4170.4033179703601</v>
      </c>
      <c r="EK85" s="988">
        <f t="shared" si="929"/>
        <v>4232.9470560990594</v>
      </c>
      <c r="EL85" s="988">
        <f t="shared" si="929"/>
        <v>4294.9589832998008</v>
      </c>
      <c r="EM85" s="1649">
        <f t="shared" si="929"/>
        <v>4372.5539170150932</v>
      </c>
      <c r="EN85" s="988">
        <f t="shared" si="929"/>
        <v>4232.9470560990576</v>
      </c>
      <c r="EO85" s="988">
        <f t="shared" si="929"/>
        <v>4372.5539170150896</v>
      </c>
      <c r="EP85" s="980">
        <f t="shared" si="929"/>
        <v>4372.5539170150914</v>
      </c>
      <c r="EQ85" s="303"/>
      <c r="ER85" s="46"/>
    </row>
    <row r="86" spans="1:148" ht="10.199999999999999" customHeight="1">
      <c r="A86" s="43"/>
      <c r="B86" s="108"/>
      <c r="C86" s="108"/>
      <c r="D86" s="108" t="s">
        <v>189</v>
      </c>
      <c r="E86" s="108"/>
      <c r="F86" s="108"/>
      <c r="G86" s="108"/>
      <c r="H86" s="108"/>
      <c r="I86" s="108"/>
      <c r="J86" s="108"/>
      <c r="K86" s="108"/>
      <c r="L86" s="108"/>
      <c r="M86" s="133"/>
      <c r="N86" s="133"/>
      <c r="O86" s="133"/>
      <c r="P86" s="133"/>
      <c r="Q86" s="688"/>
      <c r="R86" s="133"/>
      <c r="S86" s="133"/>
      <c r="T86" s="538"/>
      <c r="U86" s="133"/>
      <c r="V86" s="133"/>
      <c r="W86" s="133"/>
      <c r="X86" s="688"/>
      <c r="Y86" s="133"/>
      <c r="Z86" s="133"/>
      <c r="AA86" s="538"/>
      <c r="AB86" s="133"/>
      <c r="AC86" s="133"/>
      <c r="AD86" s="133"/>
      <c r="AE86" s="688"/>
      <c r="AF86" s="133"/>
      <c r="AG86" s="133"/>
      <c r="AH86" s="538"/>
      <c r="AI86" s="133"/>
      <c r="AJ86" s="133"/>
      <c r="AK86" s="133"/>
      <c r="AL86" s="688"/>
      <c r="AM86" s="133"/>
      <c r="AN86" s="133"/>
      <c r="AO86" s="538"/>
      <c r="AP86" s="133"/>
      <c r="AQ86" s="133"/>
      <c r="AR86" s="133"/>
      <c r="AS86" s="688"/>
      <c r="AT86" s="133"/>
      <c r="AU86" s="133"/>
      <c r="AV86" s="538"/>
      <c r="AW86" s="133"/>
      <c r="AX86" s="133"/>
      <c r="AY86" s="133"/>
      <c r="AZ86" s="688"/>
      <c r="BA86" s="133"/>
      <c r="BB86" s="133"/>
      <c r="BC86" s="538"/>
      <c r="BD86" s="133"/>
      <c r="BE86" s="133"/>
      <c r="BF86" s="133"/>
      <c r="BG86" s="688"/>
      <c r="BH86" s="133"/>
      <c r="BI86" s="133"/>
      <c r="BJ86" s="538"/>
      <c r="BK86" s="133"/>
      <c r="BL86" s="133"/>
      <c r="BM86" s="133"/>
      <c r="BN86" s="688"/>
      <c r="BO86" s="133"/>
      <c r="BP86" s="133"/>
      <c r="BQ86" s="538"/>
      <c r="BR86" s="133"/>
      <c r="BS86" s="133"/>
      <c r="BT86" s="133"/>
      <c r="BU86" s="688"/>
      <c r="BV86" s="133"/>
      <c r="BW86" s="133"/>
      <c r="BX86" s="538"/>
      <c r="BY86" s="133"/>
      <c r="BZ86" s="133"/>
      <c r="CA86" s="133"/>
      <c r="CB86" s="688"/>
      <c r="CC86" s="133"/>
      <c r="CD86" s="133"/>
      <c r="CE86" s="538"/>
      <c r="CF86" s="133"/>
      <c r="CG86" s="133"/>
      <c r="CH86" s="133"/>
      <c r="CI86" s="688"/>
      <c r="CJ86" s="133"/>
      <c r="CK86" s="133"/>
      <c r="CL86" s="538"/>
      <c r="CM86" s="133"/>
      <c r="CN86" s="133"/>
      <c r="CO86" s="133"/>
      <c r="CP86" s="688"/>
      <c r="CQ86" s="133"/>
      <c r="CR86" s="133"/>
      <c r="CS86" s="538"/>
      <c r="CT86" s="108"/>
      <c r="CU86" s="133"/>
      <c r="CV86" s="108"/>
      <c r="CW86" s="1509"/>
      <c r="CX86" s="133"/>
      <c r="CY86" s="3"/>
      <c r="CZ86" s="538"/>
      <c r="DA86" s="3"/>
      <c r="DB86" s="133"/>
      <c r="DC86" s="1"/>
      <c r="DD86" s="688"/>
      <c r="DE86" s="1"/>
      <c r="DF86" s="3"/>
      <c r="DG86" s="538"/>
      <c r="DH86" s="1"/>
      <c r="DI86" s="133"/>
      <c r="DJ86" s="3"/>
      <c r="DK86" s="430"/>
      <c r="DL86" s="1"/>
      <c r="DM86" s="1692"/>
      <c r="DN86" s="1479"/>
      <c r="DO86" s="3"/>
      <c r="DP86" s="1692"/>
      <c r="DQ86" s="3"/>
      <c r="DR86" s="430"/>
      <c r="DS86" s="3"/>
      <c r="DT86" s="1692"/>
      <c r="DU86" s="1479"/>
      <c r="DV86" s="3"/>
      <c r="DW86" s="1692"/>
      <c r="DX86" s="3"/>
      <c r="DY86" s="430"/>
      <c r="DZ86" s="3"/>
      <c r="EA86" s="1692"/>
      <c r="EB86" s="1479"/>
      <c r="EC86" s="3"/>
      <c r="ED86" s="1692"/>
      <c r="EE86" s="3"/>
      <c r="EF86" s="430"/>
      <c r="EG86" s="3"/>
      <c r="EH86" s="1692"/>
      <c r="EI86" s="1479"/>
      <c r="EJ86" s="3"/>
      <c r="EK86" s="1692"/>
      <c r="EL86" s="3"/>
      <c r="EM86" s="430"/>
      <c r="EN86" s="3"/>
      <c r="EO86" s="1692"/>
      <c r="EP86" s="1479"/>
      <c r="EQ86" s="303"/>
      <c r="ER86" s="46"/>
    </row>
    <row r="87" spans="1:148" ht="10.199999999999999" customHeight="1">
      <c r="A87" s="48" t="s">
        <v>396</v>
      </c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700"/>
      <c r="R87" s="108"/>
      <c r="S87" s="108"/>
      <c r="T87" s="538"/>
      <c r="U87" s="108"/>
      <c r="V87" s="108"/>
      <c r="W87" s="108"/>
      <c r="X87" s="700"/>
      <c r="Y87" s="108"/>
      <c r="Z87" s="108"/>
      <c r="AA87" s="538"/>
      <c r="AB87" s="108"/>
      <c r="AC87" s="108"/>
      <c r="AD87" s="108"/>
      <c r="AE87" s="700"/>
      <c r="AF87" s="108"/>
      <c r="AG87" s="108"/>
      <c r="AH87" s="538"/>
      <c r="AI87" s="108"/>
      <c r="AJ87" s="108"/>
      <c r="AK87" s="108"/>
      <c r="AL87" s="700"/>
      <c r="AM87" s="108"/>
      <c r="AN87" s="108"/>
      <c r="AO87" s="538"/>
      <c r="AP87" s="108"/>
      <c r="AQ87" s="108"/>
      <c r="AR87" s="108"/>
      <c r="AS87" s="700"/>
      <c r="AT87" s="108"/>
      <c r="AU87" s="108"/>
      <c r="AV87" s="538"/>
      <c r="AW87" s="108"/>
      <c r="AX87" s="108"/>
      <c r="AY87" s="108"/>
      <c r="AZ87" s="700"/>
      <c r="BA87" s="108"/>
      <c r="BB87" s="108"/>
      <c r="BC87" s="538"/>
      <c r="BD87" s="108"/>
      <c r="BE87" s="108"/>
      <c r="BF87" s="108"/>
      <c r="BG87" s="700"/>
      <c r="BH87" s="108"/>
      <c r="BI87" s="108"/>
      <c r="BJ87" s="538"/>
      <c r="BK87" s="108"/>
      <c r="BL87" s="108"/>
      <c r="BM87" s="108"/>
      <c r="BN87" s="700"/>
      <c r="BO87" s="108"/>
      <c r="BP87" s="108"/>
      <c r="BQ87" s="538"/>
      <c r="BR87" s="108"/>
      <c r="BS87" s="108"/>
      <c r="BT87" s="108"/>
      <c r="BU87" s="700"/>
      <c r="BV87" s="108"/>
      <c r="BW87" s="108"/>
      <c r="BX87" s="538"/>
      <c r="BY87" s="108"/>
      <c r="BZ87" s="108"/>
      <c r="CA87" s="108"/>
      <c r="CB87" s="700"/>
      <c r="CC87" s="108"/>
      <c r="CD87" s="108"/>
      <c r="CE87" s="538"/>
      <c r="CF87" s="108"/>
      <c r="CG87" s="108"/>
      <c r="CH87" s="108"/>
      <c r="CI87" s="700"/>
      <c r="CJ87" s="108"/>
      <c r="CK87" s="108"/>
      <c r="CL87" s="538"/>
      <c r="CM87" s="108"/>
      <c r="CN87" s="108"/>
      <c r="CO87" s="108"/>
      <c r="CP87" s="700"/>
      <c r="CQ87" s="108"/>
      <c r="CR87" s="108"/>
      <c r="CS87" s="538"/>
      <c r="CT87" s="108"/>
      <c r="CU87" s="108"/>
      <c r="CV87" s="108"/>
      <c r="CW87" s="1509"/>
      <c r="CX87" s="108"/>
      <c r="CY87" s="3"/>
      <c r="CZ87" s="538"/>
      <c r="DA87" s="3"/>
      <c r="DB87" s="108"/>
      <c r="DC87" s="1"/>
      <c r="DD87" s="700"/>
      <c r="DE87" s="1"/>
      <c r="DF87" s="3"/>
      <c r="DG87" s="538"/>
      <c r="DH87" s="1"/>
      <c r="DI87" s="108"/>
      <c r="DJ87" s="3"/>
      <c r="DK87" s="457"/>
      <c r="DL87" s="1"/>
      <c r="DM87" s="456"/>
      <c r="DN87" s="1479"/>
      <c r="DO87" s="3"/>
      <c r="DP87" s="456"/>
      <c r="DQ87" s="3"/>
      <c r="DR87" s="457"/>
      <c r="DS87" s="3"/>
      <c r="DT87" s="456"/>
      <c r="DU87" s="1479"/>
      <c r="DV87" s="3"/>
      <c r="DW87" s="456"/>
      <c r="DX87" s="3"/>
      <c r="DY87" s="457"/>
      <c r="DZ87" s="3"/>
      <c r="EA87" s="456"/>
      <c r="EB87" s="1479"/>
      <c r="EC87" s="3"/>
      <c r="ED87" s="456"/>
      <c r="EE87" s="3"/>
      <c r="EF87" s="457"/>
      <c r="EG87" s="3"/>
      <c r="EH87" s="456"/>
      <c r="EI87" s="1479"/>
      <c r="EJ87" s="3"/>
      <c r="EK87" s="456"/>
      <c r="EL87" s="3"/>
      <c r="EM87" s="457"/>
      <c r="EN87" s="3"/>
      <c r="EO87" s="456"/>
      <c r="EP87" s="1479"/>
      <c r="EQ87" s="303"/>
      <c r="ER87" s="46"/>
    </row>
    <row r="88" spans="1:148" ht="10.199999999999999" customHeight="1">
      <c r="A88" s="43" t="s">
        <v>190</v>
      </c>
      <c r="B88" s="108"/>
      <c r="C88" s="108"/>
      <c r="D88" s="108">
        <v>470</v>
      </c>
      <c r="E88" s="108">
        <f t="shared" ref="E88:L88" si="930">+D91</f>
        <v>650</v>
      </c>
      <c r="F88" s="191">
        <f t="shared" si="930"/>
        <v>1009</v>
      </c>
      <c r="G88" s="191">
        <f t="shared" si="930"/>
        <v>1497</v>
      </c>
      <c r="H88" s="191">
        <f t="shared" si="930"/>
        <v>2019</v>
      </c>
      <c r="I88" s="191">
        <f t="shared" si="930"/>
        <v>2261</v>
      </c>
      <c r="J88" s="191">
        <f t="shared" si="930"/>
        <v>2510</v>
      </c>
      <c r="K88" s="191">
        <f t="shared" si="930"/>
        <v>2746</v>
      </c>
      <c r="L88" s="191">
        <f t="shared" si="930"/>
        <v>3089</v>
      </c>
      <c r="M88" s="191">
        <f>1383+2523</f>
        <v>3906</v>
      </c>
      <c r="N88" s="191"/>
      <c r="O88" s="191"/>
      <c r="P88" s="191"/>
      <c r="Q88" s="709"/>
      <c r="R88" s="191"/>
      <c r="S88" s="191"/>
      <c r="T88" s="352">
        <f>2667+1915</f>
        <v>4582</v>
      </c>
      <c r="U88" s="191"/>
      <c r="V88" s="191"/>
      <c r="W88" s="191"/>
      <c r="X88" s="709"/>
      <c r="Y88" s="191"/>
      <c r="Z88" s="191"/>
      <c r="AA88" s="352">
        <f>T91</f>
        <v>5180</v>
      </c>
      <c r="AB88" s="191"/>
      <c r="AC88" s="191"/>
      <c r="AD88" s="191"/>
      <c r="AE88" s="709"/>
      <c r="AF88" s="191"/>
      <c r="AG88" s="191"/>
      <c r="AH88" s="352">
        <f>+AA91</f>
        <v>5772</v>
      </c>
      <c r="AI88" s="191"/>
      <c r="AJ88" s="191"/>
      <c r="AK88" s="191"/>
      <c r="AL88" s="709"/>
      <c r="AM88" s="191"/>
      <c r="AN88" s="191"/>
      <c r="AO88" s="352">
        <f>+AH91</f>
        <v>6061</v>
      </c>
      <c r="AP88" s="191"/>
      <c r="AQ88" s="191"/>
      <c r="AR88" s="191"/>
      <c r="AS88" s="709"/>
      <c r="AT88" s="191"/>
      <c r="AU88" s="191"/>
      <c r="AV88" s="352">
        <f>+AO91</f>
        <v>6270</v>
      </c>
      <c r="AW88" s="191"/>
      <c r="AX88" s="191"/>
      <c r="AY88" s="191"/>
      <c r="AZ88" s="709"/>
      <c r="BA88" s="191"/>
      <c r="BB88" s="191"/>
      <c r="BC88" s="352">
        <f>+AO91</f>
        <v>6270</v>
      </c>
      <c r="BD88" s="191"/>
      <c r="BE88" s="191"/>
      <c r="BF88" s="191"/>
      <c r="BG88" s="709"/>
      <c r="BH88" s="191"/>
      <c r="BI88" s="191"/>
      <c r="BJ88" s="352">
        <f>+BC91</f>
        <v>6239</v>
      </c>
      <c r="BK88" s="191"/>
      <c r="BL88" s="191"/>
      <c r="BM88" s="191"/>
      <c r="BN88" s="709"/>
      <c r="BO88" s="191"/>
      <c r="BP88" s="191"/>
      <c r="BQ88" s="352">
        <f>+BJ91</f>
        <v>7642</v>
      </c>
      <c r="BR88" s="191"/>
      <c r="BS88" s="191"/>
      <c r="BT88" s="191"/>
      <c r="BU88" s="709"/>
      <c r="BV88" s="191"/>
      <c r="BW88" s="191"/>
      <c r="BX88" s="352">
        <f>+BQ91</f>
        <v>7994</v>
      </c>
      <c r="BY88" s="191"/>
      <c r="BZ88" s="191"/>
      <c r="CA88" s="191"/>
      <c r="CB88" s="709"/>
      <c r="CC88" s="191"/>
      <c r="CD88" s="191"/>
      <c r="CE88" s="352">
        <f>+BX91</f>
        <v>8017</v>
      </c>
      <c r="CF88" s="191"/>
      <c r="CG88" s="191"/>
      <c r="CH88" s="191"/>
      <c r="CI88" s="709"/>
      <c r="CJ88" s="191"/>
      <c r="CK88" s="191"/>
      <c r="CL88" s="352">
        <f>+CE91</f>
        <v>7577</v>
      </c>
      <c r="CM88" s="191"/>
      <c r="CN88" s="191"/>
      <c r="CO88" s="191"/>
      <c r="CP88" s="709"/>
      <c r="CQ88" s="191"/>
      <c r="CR88" s="191"/>
      <c r="CS88" s="352">
        <f>+CL91</f>
        <v>8151</v>
      </c>
      <c r="CT88" s="176"/>
      <c r="CU88" s="176"/>
      <c r="CV88" s="176"/>
      <c r="CW88" s="1649"/>
      <c r="CX88" s="176"/>
      <c r="CY88" s="988"/>
      <c r="CZ88" s="352">
        <f>+CS91</f>
        <v>8470</v>
      </c>
      <c r="DA88" s="593">
        <f>+CZ91</f>
        <v>9261</v>
      </c>
      <c r="DB88" s="176">
        <f>+DA91</f>
        <v>9161.5</v>
      </c>
      <c r="DC88" s="593">
        <f>+DB91</f>
        <v>9005</v>
      </c>
      <c r="DD88" s="709">
        <f>+DC91</f>
        <v>9130.25</v>
      </c>
      <c r="DE88" s="593">
        <f>+CZ91</f>
        <v>9261</v>
      </c>
      <c r="DF88" s="988"/>
      <c r="DG88" s="352">
        <f>+CZ91</f>
        <v>9261</v>
      </c>
      <c r="DH88" s="593">
        <f>+DG91</f>
        <v>9435</v>
      </c>
      <c r="DI88" s="176">
        <f>+DH91</f>
        <v>9517.6594976640008</v>
      </c>
      <c r="DJ88" s="988">
        <f>+DI91</f>
        <v>9885.3189953280016</v>
      </c>
      <c r="DK88" s="445">
        <f>+DJ91</f>
        <v>9892.4745229230848</v>
      </c>
      <c r="DL88" s="593">
        <f>+DG91</f>
        <v>9435</v>
      </c>
      <c r="DM88" s="324">
        <f>+DL91</f>
        <v>9885.3189953280034</v>
      </c>
      <c r="DN88" s="980">
        <f>+DG91</f>
        <v>9435</v>
      </c>
      <c r="DO88" s="988">
        <f>+DN91</f>
        <v>9972.2271330977819</v>
      </c>
      <c r="DP88" s="324">
        <f>+DO91</f>
        <v>10116.882366441192</v>
      </c>
      <c r="DQ88" s="988">
        <f>+DP91</f>
        <v>10269.873177409196</v>
      </c>
      <c r="DR88" s="445">
        <f>+DQ91</f>
        <v>10422.631808616579</v>
      </c>
      <c r="DS88" s="988">
        <f>+DN91</f>
        <v>9972.2271330977819</v>
      </c>
      <c r="DT88" s="324">
        <f>+DS91</f>
        <v>10269.873177409196</v>
      </c>
      <c r="DU88" s="980">
        <f>+DN91</f>
        <v>9972.2271330977819</v>
      </c>
      <c r="DV88" s="988">
        <f>+DU91</f>
        <v>10585.026715447861</v>
      </c>
      <c r="DW88" s="324">
        <f>+DV91</f>
        <v>10745.303553472115</v>
      </c>
      <c r="DX88" s="988">
        <f>+DW91</f>
        <v>10915.125815682683</v>
      </c>
      <c r="DY88" s="445">
        <f>+DX91</f>
        <v>11084.625890934209</v>
      </c>
      <c r="DZ88" s="988">
        <f>+DU91</f>
        <v>10585.026715447861</v>
      </c>
      <c r="EA88" s="324">
        <f>+DZ91</f>
        <v>10915.125815682683</v>
      </c>
      <c r="EB88" s="980">
        <f>+DU91</f>
        <v>10585.026715447861</v>
      </c>
      <c r="EC88" s="988">
        <f>+EB91</f>
        <v>11266.789751855389</v>
      </c>
      <c r="ED88" s="324">
        <f>+EC91</f>
        <v>11439.941676363596</v>
      </c>
      <c r="EE88" s="988">
        <f>+ED91</f>
        <v>11619.631656374608</v>
      </c>
      <c r="EF88" s="445">
        <f>+EE91</f>
        <v>11798.897323667125</v>
      </c>
      <c r="EG88" s="988">
        <f>+EB91</f>
        <v>11266.789751855389</v>
      </c>
      <c r="EH88" s="324">
        <f>+EG91</f>
        <v>11619.631656374608</v>
      </c>
      <c r="EI88" s="980">
        <f>+EB91</f>
        <v>11266.789751855389</v>
      </c>
      <c r="EJ88" s="988">
        <f>+EI91</f>
        <v>11992.247305249784</v>
      </c>
      <c r="EK88" s="324">
        <f>+EJ91</f>
        <v>12174.104996104597</v>
      </c>
      <c r="EL88" s="988">
        <f>+EK91</f>
        <v>12363.236565363362</v>
      </c>
      <c r="EM88" s="445">
        <f>+EL91</f>
        <v>12551.83632369417</v>
      </c>
      <c r="EN88" s="988">
        <f>+EI91</f>
        <v>11992.247305249784</v>
      </c>
      <c r="EO88" s="324">
        <f>+EN91</f>
        <v>12363.236565363361</v>
      </c>
      <c r="EP88" s="980">
        <f t="shared" ref="EP88" si="931">+EI91</f>
        <v>11992.247305249784</v>
      </c>
      <c r="EQ88" s="303"/>
      <c r="ER88" s="46"/>
    </row>
    <row r="89" spans="1:148" ht="10.199999999999999" customHeight="1">
      <c r="A89" s="43" t="s">
        <v>191</v>
      </c>
      <c r="B89" s="108"/>
      <c r="C89" s="108"/>
      <c r="D89" s="108">
        <f>199+2-10</f>
        <v>191</v>
      </c>
      <c r="E89" s="108">
        <v>364</v>
      </c>
      <c r="F89" s="191">
        <f t="shared" ref="F89:L89" si="932">F91-F88</f>
        <v>488</v>
      </c>
      <c r="G89" s="191">
        <f t="shared" si="932"/>
        <v>522</v>
      </c>
      <c r="H89" s="191">
        <f t="shared" si="932"/>
        <v>242</v>
      </c>
      <c r="I89" s="191">
        <f t="shared" si="932"/>
        <v>249</v>
      </c>
      <c r="J89" s="191">
        <f t="shared" si="932"/>
        <v>236</v>
      </c>
      <c r="K89" s="191">
        <f t="shared" si="932"/>
        <v>343</v>
      </c>
      <c r="L89" s="191">
        <f t="shared" si="932"/>
        <v>817</v>
      </c>
      <c r="M89" s="191">
        <f>794</f>
        <v>794</v>
      </c>
      <c r="N89" s="191"/>
      <c r="O89" s="191"/>
      <c r="P89" s="191"/>
      <c r="Q89" s="709"/>
      <c r="R89" s="191"/>
      <c r="S89" s="191"/>
      <c r="T89" s="352">
        <f>417+225</f>
        <v>642</v>
      </c>
      <c r="U89" s="191"/>
      <c r="V89" s="191"/>
      <c r="W89" s="191"/>
      <c r="X89" s="709"/>
      <c r="Y89" s="191"/>
      <c r="Z89" s="191"/>
      <c r="AA89" s="352">
        <f>225+195</f>
        <v>420</v>
      </c>
      <c r="AB89" s="191"/>
      <c r="AC89" s="191"/>
      <c r="AD89" s="191"/>
      <c r="AE89" s="709"/>
      <c r="AF89" s="191"/>
      <c r="AG89" s="191"/>
      <c r="AH89" s="352">
        <f>154+211</f>
        <v>365</v>
      </c>
      <c r="AI89" s="191"/>
      <c r="AJ89" s="191"/>
      <c r="AK89" s="191"/>
      <c r="AL89" s="709"/>
      <c r="AM89" s="191"/>
      <c r="AN89" s="191"/>
      <c r="AO89" s="352">
        <f>311+199</f>
        <v>510</v>
      </c>
      <c r="AP89" s="191"/>
      <c r="AQ89" s="191"/>
      <c r="AR89" s="191"/>
      <c r="AS89" s="709"/>
      <c r="AT89" s="191"/>
      <c r="AU89" s="191"/>
      <c r="AV89" s="352">
        <f>220+189</f>
        <v>409</v>
      </c>
      <c r="AW89" s="191"/>
      <c r="AX89" s="191"/>
      <c r="AY89" s="191"/>
      <c r="AZ89" s="709"/>
      <c r="BA89" s="191"/>
      <c r="BB89" s="191"/>
      <c r="BC89" s="352">
        <f>Divisional!BC135+Divisional!BC153</f>
        <v>408</v>
      </c>
      <c r="BD89" s="191"/>
      <c r="BE89" s="191"/>
      <c r="BF89" s="191"/>
      <c r="BG89" s="709"/>
      <c r="BH89" s="191"/>
      <c r="BI89" s="191"/>
      <c r="BJ89" s="352">
        <f>Divisional!BJ135+Divisional!BJ153</f>
        <v>324</v>
      </c>
      <c r="BK89" s="191"/>
      <c r="BL89" s="191"/>
      <c r="BM89" s="191"/>
      <c r="BN89" s="709"/>
      <c r="BO89" s="191"/>
      <c r="BP89" s="191"/>
      <c r="BQ89" s="352">
        <f>Divisional!BQ135+Divisional!BQ153</f>
        <v>409</v>
      </c>
      <c r="BR89" s="191"/>
      <c r="BS89" s="191"/>
      <c r="BT89" s="191"/>
      <c r="BU89" s="709"/>
      <c r="BV89" s="191"/>
      <c r="BW89" s="191"/>
      <c r="BX89" s="352">
        <f>Divisional!CE135+Divisional!CE153</f>
        <v>300</v>
      </c>
      <c r="BY89" s="191"/>
      <c r="BZ89" s="191"/>
      <c r="CA89" s="191"/>
      <c r="CB89" s="709"/>
      <c r="CC89" s="191"/>
      <c r="CD89" s="191"/>
      <c r="CE89" s="352">
        <f>Divisional!CL135+Divisional!CL153</f>
        <v>351</v>
      </c>
      <c r="CF89" s="191"/>
      <c r="CG89" s="191"/>
      <c r="CH89" s="191"/>
      <c r="CI89" s="709"/>
      <c r="CJ89" s="191"/>
      <c r="CK89" s="191"/>
      <c r="CL89" s="352">
        <f>Divisional!CS135+Divisional!CS153</f>
        <v>479</v>
      </c>
      <c r="CM89" s="191"/>
      <c r="CN89" s="191"/>
      <c r="CO89" s="191"/>
      <c r="CP89" s="709"/>
      <c r="CQ89" s="191"/>
      <c r="CR89" s="191"/>
      <c r="CS89" s="352">
        <f>Divisional!CZ135+Divisional!CZ153</f>
        <v>584</v>
      </c>
      <c r="CT89" s="176"/>
      <c r="CU89" s="191"/>
      <c r="CV89" s="176"/>
      <c r="CW89" s="1649"/>
      <c r="CX89" s="191"/>
      <c r="CY89" s="988"/>
      <c r="CZ89" s="352">
        <f>Divisional!DG135+Divisional!DG153</f>
        <v>640</v>
      </c>
      <c r="DA89" s="593">
        <f>Divisional!DH135+Divisional!DH153</f>
        <v>112.25</v>
      </c>
      <c r="DB89" s="191">
        <f>DE89-DA89</f>
        <v>125.25</v>
      </c>
      <c r="DC89" s="593">
        <f>Divisional!DJ135+Divisional!DJ153</f>
        <v>125.25</v>
      </c>
      <c r="DD89" s="708">
        <f>Divisional!DK135+Divisional!DK153</f>
        <v>182.25</v>
      </c>
      <c r="DE89" s="593">
        <f>Divisional!DL135+Divisional!DL153</f>
        <v>237.5</v>
      </c>
      <c r="DF89" s="988"/>
      <c r="DG89" s="352">
        <f>Divisional!DN135+Divisional!DN153</f>
        <v>545</v>
      </c>
      <c r="DH89" s="593">
        <f>Divisional!DO135+Divisional!DO153</f>
        <v>98.576113832789389</v>
      </c>
      <c r="DI89" s="191">
        <f>DL89-DH89</f>
        <v>116.57611383278939</v>
      </c>
      <c r="DJ89" s="988">
        <f>Divisional!DQ135+Divisional!DQ153</f>
        <v>124.73891142629492</v>
      </c>
      <c r="DK89" s="1649">
        <f>Divisional!DR135+Divisional!DR153</f>
        <v>197.33599400590859</v>
      </c>
      <c r="DL89" s="593">
        <f>Divisional!DS135+Divisional!DS153</f>
        <v>215.15222766557878</v>
      </c>
      <c r="DM89" s="988">
        <f>Divisional!DT135+Divisional!DT153</f>
        <v>322.07490543220354</v>
      </c>
      <c r="DN89" s="980">
        <f>Divisional!DU135+Divisional!DU153</f>
        <v>537.22713309778226</v>
      </c>
      <c r="DO89" s="988">
        <f>Divisional!DV135+Divisional!DV153</f>
        <v>144.65523334340941</v>
      </c>
      <c r="DP89" s="1716">
        <f>DS89-DO89</f>
        <v>152.99081096800404</v>
      </c>
      <c r="DQ89" s="988">
        <f>Divisional!DX135+Divisional!DX153</f>
        <v>152.75863120738302</v>
      </c>
      <c r="DR89" s="1649">
        <f>Divisional!DY135+Divisional!DY153</f>
        <v>162.39490683128145</v>
      </c>
      <c r="DS89" s="988">
        <f>Divisional!DZ135+Divisional!DZ153</f>
        <v>297.64604431141345</v>
      </c>
      <c r="DT89" s="988">
        <f>Divisional!EA135+Divisional!EA153</f>
        <v>315.15353803866446</v>
      </c>
      <c r="DU89" s="980">
        <f>Divisional!EB135+Divisional!EB153</f>
        <v>612.79958235007791</v>
      </c>
      <c r="DV89" s="988">
        <f>Divisional!EC135+Divisional!EC153</f>
        <v>160.2768380242542</v>
      </c>
      <c r="DW89" s="1716">
        <f>DZ89-DV89</f>
        <v>169.82226221056757</v>
      </c>
      <c r="DX89" s="988">
        <f>Divisional!EE135+Divisional!EE153</f>
        <v>169.50007525152697</v>
      </c>
      <c r="DY89" s="1649">
        <f>Divisional!EF135+Divisional!EF153</f>
        <v>182.16386092117969</v>
      </c>
      <c r="DZ89" s="988">
        <f>Divisional!EG135+Divisional!EG153</f>
        <v>330.09910023482178</v>
      </c>
      <c r="EA89" s="988">
        <f>Divisional!EH135+Divisional!EH153</f>
        <v>351.66393617270666</v>
      </c>
      <c r="EB89" s="980">
        <f>Divisional!EI135+Divisional!EI153</f>
        <v>681.76303640752849</v>
      </c>
      <c r="EC89" s="988">
        <f>Divisional!EJ135+Divisional!EJ153</f>
        <v>173.15192450820703</v>
      </c>
      <c r="ED89" s="1716">
        <f>EG89-EC89</f>
        <v>179.68998001101099</v>
      </c>
      <c r="EE89" s="988">
        <f>Divisional!EL135+Divisional!EL153</f>
        <v>179.26566729251664</v>
      </c>
      <c r="EF89" s="1649">
        <f>Divisional!EM135+Divisional!EM153</f>
        <v>193.34998158266001</v>
      </c>
      <c r="EG89" s="988">
        <f>Divisional!EN135+Divisional!EN153</f>
        <v>352.84190451921802</v>
      </c>
      <c r="EH89" s="988">
        <f>Divisional!EO135+Divisional!EO153</f>
        <v>372.6156488751767</v>
      </c>
      <c r="EI89" s="980">
        <f>Divisional!EP135+Divisional!EP153</f>
        <v>725.45755339439461</v>
      </c>
      <c r="EJ89" s="988">
        <f>Divisional!EQ135+Divisional!EQ153</f>
        <v>181.85769085481257</v>
      </c>
      <c r="EK89" s="1716">
        <f>EN89-EJ89</f>
        <v>189.13156925876427</v>
      </c>
      <c r="EL89" s="988">
        <f>Divisional!ES135+Divisional!ES153</f>
        <v>188.59975833080662</v>
      </c>
      <c r="EM89" s="1649">
        <f>Divisional!ET135+Divisional!ET153</f>
        <v>204.18276484535764</v>
      </c>
      <c r="EN89" s="988">
        <f>Divisional!EU135+Divisional!EU153</f>
        <v>370.98926011357685</v>
      </c>
      <c r="EO89" s="988">
        <f>Divisional!EV135+Divisional!EV153</f>
        <v>392.78252317616426</v>
      </c>
      <c r="EP89" s="980">
        <f>Divisional!EW135+Divisional!EW153</f>
        <v>763.77178328974105</v>
      </c>
      <c r="EQ89" s="303"/>
      <c r="ER89" s="46"/>
    </row>
    <row r="90" spans="1:148" ht="10.199999999999999" customHeight="1">
      <c r="A90" s="43" t="s">
        <v>89</v>
      </c>
      <c r="B90" s="108"/>
      <c r="C90" s="108"/>
      <c r="D90" s="835">
        <v>-11</v>
      </c>
      <c r="E90" s="840">
        <f>+E91-E89-E88</f>
        <v>-5</v>
      </c>
      <c r="F90" s="840"/>
      <c r="G90" s="840"/>
      <c r="H90" s="840"/>
      <c r="I90" s="840"/>
      <c r="J90" s="840"/>
      <c r="K90" s="840"/>
      <c r="L90" s="840"/>
      <c r="M90" s="205">
        <f>M91-M89-M88</f>
        <v>-16</v>
      </c>
      <c r="N90" s="1566"/>
      <c r="O90" s="1566"/>
      <c r="P90" s="1566"/>
      <c r="Q90" s="1584"/>
      <c r="R90" s="1566"/>
      <c r="S90" s="1566"/>
      <c r="T90" s="1598">
        <f>-7-43+10-42+108-3-67</f>
        <v>-44</v>
      </c>
      <c r="U90" s="1566"/>
      <c r="V90" s="1566"/>
      <c r="W90" s="1566"/>
      <c r="X90" s="1584"/>
      <c r="Y90" s="1566"/>
      <c r="Z90" s="1566"/>
      <c r="AA90" s="1598">
        <f>27+55-16+117-5+35-4-37</f>
        <v>172</v>
      </c>
      <c r="AB90" s="1566"/>
      <c r="AC90" s="1566"/>
      <c r="AD90" s="1566"/>
      <c r="AE90" s="1584"/>
      <c r="AF90" s="1566"/>
      <c r="AG90" s="1566"/>
      <c r="AH90" s="1598">
        <v>-76</v>
      </c>
      <c r="AI90" s="1566"/>
      <c r="AJ90" s="1566"/>
      <c r="AK90" s="1566"/>
      <c r="AL90" s="1584"/>
      <c r="AM90" s="1566"/>
      <c r="AN90" s="1566"/>
      <c r="AO90" s="1598">
        <f t="shared" ref="AO90:CL90" si="933">AO91-AO89-AO88</f>
        <v>-301</v>
      </c>
      <c r="AP90" s="1566"/>
      <c r="AQ90" s="1566"/>
      <c r="AR90" s="1566"/>
      <c r="AS90" s="1584"/>
      <c r="AT90" s="1566"/>
      <c r="AU90" s="1566"/>
      <c r="AV90" s="1598">
        <f t="shared" si="933"/>
        <v>-440</v>
      </c>
      <c r="AW90" s="1566"/>
      <c r="AX90" s="1566"/>
      <c r="AY90" s="1566"/>
      <c r="AZ90" s="1584"/>
      <c r="BA90" s="1566"/>
      <c r="BB90" s="1566"/>
      <c r="BC90" s="1598">
        <f t="shared" si="933"/>
        <v>-439</v>
      </c>
      <c r="BD90" s="1566"/>
      <c r="BE90" s="1566"/>
      <c r="BF90" s="1566"/>
      <c r="BG90" s="1584"/>
      <c r="BH90" s="1566"/>
      <c r="BI90" s="1566"/>
      <c r="BJ90" s="1598">
        <f t="shared" si="933"/>
        <v>1079</v>
      </c>
      <c r="BK90" s="1566"/>
      <c r="BL90" s="1566"/>
      <c r="BM90" s="1566"/>
      <c r="BN90" s="1584"/>
      <c r="BO90" s="1566"/>
      <c r="BP90" s="1566"/>
      <c r="BQ90" s="1598">
        <f t="shared" si="933"/>
        <v>-57</v>
      </c>
      <c r="BR90" s="1566"/>
      <c r="BS90" s="1566"/>
      <c r="BT90" s="1566"/>
      <c r="BU90" s="1584"/>
      <c r="BV90" s="1566"/>
      <c r="BW90" s="1566"/>
      <c r="BX90" s="1598">
        <f t="shared" si="933"/>
        <v>-277</v>
      </c>
      <c r="BY90" s="1566"/>
      <c r="BZ90" s="1566"/>
      <c r="CA90" s="1566"/>
      <c r="CB90" s="1584"/>
      <c r="CC90" s="1566"/>
      <c r="CD90" s="1566"/>
      <c r="CE90" s="1598">
        <f t="shared" si="933"/>
        <v>-791</v>
      </c>
      <c r="CF90" s="1566"/>
      <c r="CG90" s="1566"/>
      <c r="CH90" s="1566"/>
      <c r="CI90" s="1584"/>
      <c r="CJ90" s="1566"/>
      <c r="CK90" s="1566"/>
      <c r="CL90" s="1598">
        <f t="shared" si="933"/>
        <v>95</v>
      </c>
      <c r="CM90" s="1566"/>
      <c r="CN90" s="1566"/>
      <c r="CO90" s="1566"/>
      <c r="CP90" s="1584"/>
      <c r="CQ90" s="1566"/>
      <c r="CR90" s="1566"/>
      <c r="CS90" s="1598">
        <f t="shared" ref="CS90" si="934">CS91-CS89-CS88</f>
        <v>-265</v>
      </c>
      <c r="CT90" s="1564"/>
      <c r="CU90" s="1564"/>
      <c r="CV90" s="1564"/>
      <c r="CW90" s="1516"/>
      <c r="CX90" s="1564"/>
      <c r="CY90" s="1408"/>
      <c r="CZ90" s="1598">
        <f t="shared" ref="CZ90:DA90" si="935">CZ91-CZ89-CZ88</f>
        <v>151</v>
      </c>
      <c r="DA90" s="1564">
        <f t="shared" si="935"/>
        <v>-211.75</v>
      </c>
      <c r="DB90" s="1564">
        <f>DE90-DA90</f>
        <v>-281.75</v>
      </c>
      <c r="DC90" s="1564">
        <f>DF90/2</f>
        <v>0</v>
      </c>
      <c r="DD90" s="1580">
        <f>DF90-DC90</f>
        <v>0</v>
      </c>
      <c r="DE90" s="1564">
        <f t="shared" ref="DE90" si="936">DE91-DE89-DE88</f>
        <v>-493.5</v>
      </c>
      <c r="DF90" s="1408"/>
      <c r="DG90" s="1598">
        <f t="shared" ref="DG90:DH90" si="937">DG91-DG89-DG88</f>
        <v>-371</v>
      </c>
      <c r="DH90" s="1564">
        <f t="shared" si="937"/>
        <v>-15.916616168788096</v>
      </c>
      <c r="DI90" s="1564">
        <f>DL90-DH90</f>
        <v>251.0833838312119</v>
      </c>
      <c r="DJ90" s="1410">
        <f>DM90/2</f>
        <v>-117.5833838312119</v>
      </c>
      <c r="DK90" s="1516">
        <f>DM90-DJ90</f>
        <v>-117.5833838312119</v>
      </c>
      <c r="DL90" s="1564">
        <f t="shared" ref="DL90" si="938">DL91-DL89-DL88</f>
        <v>235.16676766242381</v>
      </c>
      <c r="DM90" s="1410">
        <f>DN90-DL90</f>
        <v>-235.16676766242381</v>
      </c>
      <c r="DN90" s="1485">
        <v>0</v>
      </c>
      <c r="DO90" s="1410">
        <f>DS90/2</f>
        <v>0</v>
      </c>
      <c r="DP90" s="1410">
        <f>DS90-DO90</f>
        <v>0</v>
      </c>
      <c r="DQ90" s="1410">
        <f>DT90/2</f>
        <v>0</v>
      </c>
      <c r="DR90" s="1516">
        <f>DT90-DQ90</f>
        <v>0</v>
      </c>
      <c r="DS90" s="1410">
        <f>DU90/2</f>
        <v>0</v>
      </c>
      <c r="DT90" s="1410">
        <f>DU90-DS90</f>
        <v>0</v>
      </c>
      <c r="DU90" s="1485">
        <v>0</v>
      </c>
      <c r="DV90" s="1410">
        <f>DZ90/2</f>
        <v>0</v>
      </c>
      <c r="DW90" s="1410">
        <f>DZ90-DV90</f>
        <v>0</v>
      </c>
      <c r="DX90" s="1410">
        <f>EA90/2</f>
        <v>0</v>
      </c>
      <c r="DY90" s="1516">
        <f>EA90-DX90</f>
        <v>0</v>
      </c>
      <c r="DZ90" s="1410">
        <f>EB90/2</f>
        <v>0</v>
      </c>
      <c r="EA90" s="1410">
        <f>EB90-DZ90</f>
        <v>0</v>
      </c>
      <c r="EB90" s="1485">
        <v>0</v>
      </c>
      <c r="EC90" s="1410">
        <f>EG90/2</f>
        <v>0</v>
      </c>
      <c r="ED90" s="1410">
        <f>EG90-EC90</f>
        <v>0</v>
      </c>
      <c r="EE90" s="1410">
        <f>EH90/2</f>
        <v>0</v>
      </c>
      <c r="EF90" s="1516">
        <f>EH90-EE90</f>
        <v>0</v>
      </c>
      <c r="EG90" s="1410">
        <f>EI90/2</f>
        <v>0</v>
      </c>
      <c r="EH90" s="1410">
        <f>EI90-EG90</f>
        <v>0</v>
      </c>
      <c r="EI90" s="1485">
        <v>0</v>
      </c>
      <c r="EJ90" s="1410">
        <f>EN90/2</f>
        <v>0</v>
      </c>
      <c r="EK90" s="1410">
        <f>EN90-EJ90</f>
        <v>0</v>
      </c>
      <c r="EL90" s="1410">
        <f>EO90/2</f>
        <v>0</v>
      </c>
      <c r="EM90" s="1516">
        <f>EO90-EL90</f>
        <v>0</v>
      </c>
      <c r="EN90" s="1410">
        <f>EP90/2</f>
        <v>0</v>
      </c>
      <c r="EO90" s="1410">
        <f>EP90-EN90</f>
        <v>0</v>
      </c>
      <c r="EP90" s="1485">
        <v>0</v>
      </c>
      <c r="EQ90" s="303"/>
      <c r="ER90" s="46"/>
    </row>
    <row r="91" spans="1:148" ht="10.199999999999999" customHeight="1">
      <c r="A91" s="43" t="s">
        <v>192</v>
      </c>
      <c r="B91" s="108"/>
      <c r="C91" s="108"/>
      <c r="D91" s="191">
        <f>SUM(D88:D90)</f>
        <v>650</v>
      </c>
      <c r="E91" s="191">
        <v>1009</v>
      </c>
      <c r="F91" s="191">
        <f t="shared" ref="F91:L91" si="939">+F83</f>
        <v>1497</v>
      </c>
      <c r="G91" s="191">
        <f t="shared" si="939"/>
        <v>2019</v>
      </c>
      <c r="H91" s="191">
        <f t="shared" si="939"/>
        <v>2261</v>
      </c>
      <c r="I91" s="191">
        <f t="shared" si="939"/>
        <v>2510</v>
      </c>
      <c r="J91" s="191">
        <f t="shared" si="939"/>
        <v>2746</v>
      </c>
      <c r="K91" s="191">
        <f t="shared" si="939"/>
        <v>3089</v>
      </c>
      <c r="L91" s="191">
        <f t="shared" si="939"/>
        <v>3906</v>
      </c>
      <c r="M91" s="191">
        <f>1955+2729</f>
        <v>4684</v>
      </c>
      <c r="N91" s="191"/>
      <c r="O91" s="191"/>
      <c r="P91" s="191"/>
      <c r="Q91" s="709"/>
      <c r="R91" s="191"/>
      <c r="S91" s="191"/>
      <c r="T91" s="352">
        <f>+T88+T89+T90</f>
        <v>5180</v>
      </c>
      <c r="U91" s="191"/>
      <c r="V91" s="191"/>
      <c r="W91" s="191"/>
      <c r="X91" s="709"/>
      <c r="Y91" s="191"/>
      <c r="Z91" s="191"/>
      <c r="AA91" s="352">
        <f>+AA88+AA89+AA90</f>
        <v>5772</v>
      </c>
      <c r="AB91" s="191"/>
      <c r="AC91" s="191"/>
      <c r="AD91" s="191"/>
      <c r="AE91" s="709"/>
      <c r="AF91" s="191"/>
      <c r="AG91" s="191"/>
      <c r="AH91" s="352">
        <f>+AH88+AH89+AH90</f>
        <v>6061</v>
      </c>
      <c r="AI91" s="191"/>
      <c r="AJ91" s="191"/>
      <c r="AK91" s="191"/>
      <c r="AL91" s="709"/>
      <c r="AM91" s="191"/>
      <c r="AN91" s="191"/>
      <c r="AO91" s="352">
        <f>2871+3399</f>
        <v>6270</v>
      </c>
      <c r="AP91" s="191"/>
      <c r="AQ91" s="191"/>
      <c r="AR91" s="191"/>
      <c r="AS91" s="709"/>
      <c r="AT91" s="191"/>
      <c r="AU91" s="191"/>
      <c r="AV91" s="352">
        <f>3104+3135</f>
        <v>6239</v>
      </c>
      <c r="AW91" s="191"/>
      <c r="AX91" s="191"/>
      <c r="AY91" s="191"/>
      <c r="AZ91" s="709"/>
      <c r="BA91" s="191"/>
      <c r="BB91" s="191"/>
      <c r="BC91" s="352">
        <f>3104+3135</f>
        <v>6239</v>
      </c>
      <c r="BD91" s="191"/>
      <c r="BE91" s="191"/>
      <c r="BF91" s="191"/>
      <c r="BG91" s="709"/>
      <c r="BH91" s="191"/>
      <c r="BI91" s="191"/>
      <c r="BJ91" s="352">
        <f>3070+4572</f>
        <v>7642</v>
      </c>
      <c r="BK91" s="191"/>
      <c r="BL91" s="191"/>
      <c r="BM91" s="191"/>
      <c r="BN91" s="709"/>
      <c r="BO91" s="191"/>
      <c r="BP91" s="191"/>
      <c r="BQ91" s="352">
        <f>BQ83</f>
        <v>7994</v>
      </c>
      <c r="BR91" s="191"/>
      <c r="BS91" s="191"/>
      <c r="BT91" s="191"/>
      <c r="BU91" s="709"/>
      <c r="BV91" s="191"/>
      <c r="BW91" s="191"/>
      <c r="BX91" s="352">
        <f>BX83</f>
        <v>8017</v>
      </c>
      <c r="BY91" s="191"/>
      <c r="BZ91" s="191"/>
      <c r="CA91" s="191"/>
      <c r="CB91" s="709"/>
      <c r="CC91" s="191"/>
      <c r="CD91" s="191"/>
      <c r="CE91" s="352">
        <f>CE83</f>
        <v>7577</v>
      </c>
      <c r="CF91" s="191"/>
      <c r="CG91" s="191"/>
      <c r="CH91" s="191"/>
      <c r="CI91" s="709"/>
      <c r="CJ91" s="191"/>
      <c r="CK91" s="191"/>
      <c r="CL91" s="352">
        <f>CL83</f>
        <v>8151</v>
      </c>
      <c r="CM91" s="191"/>
      <c r="CN91" s="191"/>
      <c r="CO91" s="191"/>
      <c r="CP91" s="709"/>
      <c r="CQ91" s="191"/>
      <c r="CR91" s="191"/>
      <c r="CS91" s="352">
        <f>CS83</f>
        <v>8470</v>
      </c>
      <c r="CT91" s="176"/>
      <c r="CU91" s="191"/>
      <c r="CV91" s="176"/>
      <c r="CW91" s="1649"/>
      <c r="CX91" s="176"/>
      <c r="CY91" s="988"/>
      <c r="CZ91" s="352">
        <f>CZ83</f>
        <v>9261</v>
      </c>
      <c r="DA91" s="176">
        <f>DA83</f>
        <v>9161.5</v>
      </c>
      <c r="DB91" s="191">
        <f t="shared" ref="DB91" si="940">+DB88+DB89+DB90</f>
        <v>9005</v>
      </c>
      <c r="DC91" s="593">
        <f t="shared" ref="DC91:DD91" si="941">+DC88+DC89+DC90</f>
        <v>9130.25</v>
      </c>
      <c r="DD91" s="709">
        <f t="shared" si="941"/>
        <v>9312.5</v>
      </c>
      <c r="DE91" s="176">
        <f>DE83</f>
        <v>9005</v>
      </c>
      <c r="DF91" s="988"/>
      <c r="DG91" s="352">
        <f>DG83</f>
        <v>9435</v>
      </c>
      <c r="DH91" s="593">
        <f>DH83</f>
        <v>9517.6594976640008</v>
      </c>
      <c r="DI91" s="191">
        <f t="shared" ref="DI91" si="942">+DI88+DI89+DI90</f>
        <v>9885.3189953280016</v>
      </c>
      <c r="DJ91" s="988">
        <f t="shared" ref="DJ91:EP91" si="943">+DJ88+DJ89+DJ90</f>
        <v>9892.4745229230848</v>
      </c>
      <c r="DK91" s="445">
        <f t="shared" si="943"/>
        <v>9972.2271330977819</v>
      </c>
      <c r="DL91" s="176">
        <f>DL83</f>
        <v>9885.3189953280034</v>
      </c>
      <c r="DM91" s="1716">
        <f t="shared" si="943"/>
        <v>9972.2271330977837</v>
      </c>
      <c r="DN91" s="980">
        <f t="shared" si="943"/>
        <v>9972.2271330977819</v>
      </c>
      <c r="DO91" s="988">
        <f t="shared" si="943"/>
        <v>10116.882366441192</v>
      </c>
      <c r="DP91" s="1716">
        <f t="shared" si="943"/>
        <v>10269.873177409196</v>
      </c>
      <c r="DQ91" s="988">
        <f t="shared" si="943"/>
        <v>10422.631808616579</v>
      </c>
      <c r="DR91" s="445">
        <f t="shared" si="943"/>
        <v>10585.026715447861</v>
      </c>
      <c r="DS91" s="988">
        <f t="shared" si="943"/>
        <v>10269.873177409196</v>
      </c>
      <c r="DT91" s="1716">
        <f t="shared" si="943"/>
        <v>10585.026715447861</v>
      </c>
      <c r="DU91" s="980">
        <f t="shared" si="943"/>
        <v>10585.026715447861</v>
      </c>
      <c r="DV91" s="988">
        <f t="shared" si="943"/>
        <v>10745.303553472115</v>
      </c>
      <c r="DW91" s="1716">
        <f t="shared" si="943"/>
        <v>10915.125815682683</v>
      </c>
      <c r="DX91" s="988">
        <f t="shared" si="943"/>
        <v>11084.625890934209</v>
      </c>
      <c r="DY91" s="445">
        <f t="shared" si="943"/>
        <v>11266.789751855389</v>
      </c>
      <c r="DZ91" s="988">
        <f t="shared" si="943"/>
        <v>10915.125815682683</v>
      </c>
      <c r="EA91" s="1716">
        <f t="shared" si="943"/>
        <v>11266.789751855389</v>
      </c>
      <c r="EB91" s="980">
        <f t="shared" si="943"/>
        <v>11266.789751855389</v>
      </c>
      <c r="EC91" s="988">
        <f t="shared" si="943"/>
        <v>11439.941676363596</v>
      </c>
      <c r="ED91" s="1716">
        <f t="shared" si="943"/>
        <v>11619.631656374608</v>
      </c>
      <c r="EE91" s="988">
        <f t="shared" si="943"/>
        <v>11798.897323667125</v>
      </c>
      <c r="EF91" s="445">
        <f t="shared" si="943"/>
        <v>11992.247305249784</v>
      </c>
      <c r="EG91" s="988">
        <f t="shared" si="943"/>
        <v>11619.631656374608</v>
      </c>
      <c r="EH91" s="1716">
        <f t="shared" si="943"/>
        <v>11992.247305249784</v>
      </c>
      <c r="EI91" s="980">
        <f t="shared" si="943"/>
        <v>11992.247305249784</v>
      </c>
      <c r="EJ91" s="988">
        <f t="shared" si="943"/>
        <v>12174.104996104597</v>
      </c>
      <c r="EK91" s="1716">
        <f t="shared" si="943"/>
        <v>12363.236565363362</v>
      </c>
      <c r="EL91" s="988">
        <f t="shared" si="943"/>
        <v>12551.83632369417</v>
      </c>
      <c r="EM91" s="445">
        <f t="shared" si="943"/>
        <v>12756.019088539528</v>
      </c>
      <c r="EN91" s="988">
        <f t="shared" si="943"/>
        <v>12363.236565363361</v>
      </c>
      <c r="EO91" s="1716">
        <f t="shared" si="943"/>
        <v>12756.019088539524</v>
      </c>
      <c r="EP91" s="980">
        <f t="shared" si="943"/>
        <v>12756.019088539526</v>
      </c>
      <c r="EQ91" s="303"/>
      <c r="ER91" s="46"/>
    </row>
    <row r="92" spans="1:148" ht="10.199999999999999" customHeight="1">
      <c r="A92" s="43" t="s">
        <v>193</v>
      </c>
      <c r="B92" s="108"/>
      <c r="C92" s="108"/>
      <c r="D92" s="108">
        <f t="shared" ref="D92:EP92" si="944">+AVERAGE(D91,D88)</f>
        <v>560</v>
      </c>
      <c r="E92" s="191">
        <f t="shared" si="944"/>
        <v>829.5</v>
      </c>
      <c r="F92" s="191">
        <f t="shared" si="944"/>
        <v>1253</v>
      </c>
      <c r="G92" s="191">
        <f t="shared" si="944"/>
        <v>1758</v>
      </c>
      <c r="H92" s="191">
        <f t="shared" si="944"/>
        <v>2140</v>
      </c>
      <c r="I92" s="191">
        <f t="shared" si="944"/>
        <v>2385.5</v>
      </c>
      <c r="J92" s="191">
        <f t="shared" si="944"/>
        <v>2628</v>
      </c>
      <c r="K92" s="191">
        <f t="shared" si="944"/>
        <v>2917.5</v>
      </c>
      <c r="L92" s="191">
        <f t="shared" si="944"/>
        <v>3497.5</v>
      </c>
      <c r="M92" s="191">
        <f t="shared" si="944"/>
        <v>4295</v>
      </c>
      <c r="N92" s="191"/>
      <c r="O92" s="191"/>
      <c r="P92" s="191"/>
      <c r="Q92" s="709"/>
      <c r="R92" s="191"/>
      <c r="S92" s="191"/>
      <c r="T92" s="352">
        <f t="shared" si="944"/>
        <v>4881</v>
      </c>
      <c r="U92" s="191"/>
      <c r="V92" s="191"/>
      <c r="W92" s="191"/>
      <c r="X92" s="709"/>
      <c r="Y92" s="191"/>
      <c r="Z92" s="191"/>
      <c r="AA92" s="352">
        <f t="shared" si="944"/>
        <v>5476</v>
      </c>
      <c r="AB92" s="191"/>
      <c r="AC92" s="191"/>
      <c r="AD92" s="191"/>
      <c r="AE92" s="709"/>
      <c r="AF92" s="191"/>
      <c r="AG92" s="191"/>
      <c r="AH92" s="352">
        <f t="shared" si="944"/>
        <v>5916.5</v>
      </c>
      <c r="AI92" s="191"/>
      <c r="AJ92" s="191"/>
      <c r="AK92" s="191"/>
      <c r="AL92" s="709"/>
      <c r="AM92" s="191"/>
      <c r="AN92" s="191"/>
      <c r="AO92" s="352">
        <f t="shared" si="944"/>
        <v>6165.5</v>
      </c>
      <c r="AP92" s="191"/>
      <c r="AQ92" s="191"/>
      <c r="AR92" s="191"/>
      <c r="AS92" s="709"/>
      <c r="AT92" s="191"/>
      <c r="AU92" s="191"/>
      <c r="AV92" s="352">
        <f t="shared" si="944"/>
        <v>6254.5</v>
      </c>
      <c r="AW92" s="191"/>
      <c r="AX92" s="191"/>
      <c r="AY92" s="191"/>
      <c r="AZ92" s="709"/>
      <c r="BA92" s="191"/>
      <c r="BB92" s="191"/>
      <c r="BC92" s="352">
        <f t="shared" si="944"/>
        <v>6254.5</v>
      </c>
      <c r="BD92" s="191"/>
      <c r="BE92" s="191"/>
      <c r="BF92" s="191"/>
      <c r="BG92" s="709"/>
      <c r="BH92" s="191"/>
      <c r="BI92" s="191"/>
      <c r="BJ92" s="352">
        <f t="shared" si="944"/>
        <v>6940.5</v>
      </c>
      <c r="BK92" s="191"/>
      <c r="BL92" s="191"/>
      <c r="BM92" s="191"/>
      <c r="BN92" s="709"/>
      <c r="BO92" s="191"/>
      <c r="BP92" s="191"/>
      <c r="BQ92" s="352">
        <f t="shared" si="944"/>
        <v>7818</v>
      </c>
      <c r="BR92" s="191"/>
      <c r="BS92" s="191"/>
      <c r="BT92" s="191"/>
      <c r="BU92" s="709"/>
      <c r="BV92" s="191"/>
      <c r="BW92" s="191"/>
      <c r="BX92" s="352">
        <f t="shared" si="944"/>
        <v>8005.5</v>
      </c>
      <c r="BY92" s="191"/>
      <c r="BZ92" s="191"/>
      <c r="CA92" s="191"/>
      <c r="CB92" s="709"/>
      <c r="CC92" s="191"/>
      <c r="CD92" s="191"/>
      <c r="CE92" s="352">
        <f t="shared" si="944"/>
        <v>7797</v>
      </c>
      <c r="CF92" s="191"/>
      <c r="CG92" s="191"/>
      <c r="CH92" s="191"/>
      <c r="CI92" s="709"/>
      <c r="CJ92" s="191"/>
      <c r="CK92" s="191"/>
      <c r="CL92" s="352">
        <f t="shared" si="944"/>
        <v>7864</v>
      </c>
      <c r="CM92" s="191"/>
      <c r="CN92" s="191"/>
      <c r="CO92" s="191"/>
      <c r="CP92" s="709"/>
      <c r="CQ92" s="191"/>
      <c r="CR92" s="191"/>
      <c r="CS92" s="352">
        <f t="shared" ref="CS92" si="945">+AVERAGE(CS91,CS88)</f>
        <v>8310.5</v>
      </c>
      <c r="CT92" s="176"/>
      <c r="CU92" s="176"/>
      <c r="CV92" s="176"/>
      <c r="CW92" s="1649"/>
      <c r="CX92" s="176"/>
      <c r="CY92" s="988"/>
      <c r="CZ92" s="352">
        <f t="shared" ref="CZ92" si="946">+AVERAGE(CZ91,CZ88)</f>
        <v>8865.5</v>
      </c>
      <c r="DA92" s="593">
        <f t="shared" ref="DA92:DB92" si="947">+AVERAGE(DA91,DA88)</f>
        <v>9211.25</v>
      </c>
      <c r="DB92" s="176">
        <f t="shared" si="947"/>
        <v>9083.25</v>
      </c>
      <c r="DC92" s="593">
        <f t="shared" ref="DC92:DD92" si="948">+AVERAGE(DC91,DC88)</f>
        <v>9067.625</v>
      </c>
      <c r="DD92" s="709">
        <f t="shared" si="948"/>
        <v>9221.375</v>
      </c>
      <c r="DE92" s="593">
        <f t="shared" ref="DE92" si="949">+AVERAGE(DE91,DE88)</f>
        <v>9133</v>
      </c>
      <c r="DF92" s="988"/>
      <c r="DG92" s="352">
        <f t="shared" ref="DG92:DI92" si="950">+AVERAGE(DG91,DG88)</f>
        <v>9348</v>
      </c>
      <c r="DH92" s="593">
        <f t="shared" si="950"/>
        <v>9476.3297488320004</v>
      </c>
      <c r="DI92" s="176">
        <f t="shared" si="950"/>
        <v>9701.4892464960012</v>
      </c>
      <c r="DJ92" s="988">
        <f t="shared" si="944"/>
        <v>9888.8967591255423</v>
      </c>
      <c r="DK92" s="445">
        <f t="shared" si="944"/>
        <v>9932.3508280104325</v>
      </c>
      <c r="DL92" s="593">
        <f t="shared" si="944"/>
        <v>9660.1594976640008</v>
      </c>
      <c r="DM92" s="324">
        <f t="shared" si="944"/>
        <v>9928.7730642128936</v>
      </c>
      <c r="DN92" s="980">
        <f t="shared" si="944"/>
        <v>9703.613566548891</v>
      </c>
      <c r="DO92" s="988">
        <f t="shared" si="944"/>
        <v>10044.554749769486</v>
      </c>
      <c r="DP92" s="324">
        <f t="shared" si="944"/>
        <v>10193.377771925194</v>
      </c>
      <c r="DQ92" s="988">
        <f t="shared" si="944"/>
        <v>10346.252493012887</v>
      </c>
      <c r="DR92" s="445">
        <f t="shared" si="944"/>
        <v>10503.829262032221</v>
      </c>
      <c r="DS92" s="988">
        <f t="shared" si="944"/>
        <v>10121.050155253488</v>
      </c>
      <c r="DT92" s="324">
        <f t="shared" si="944"/>
        <v>10427.449946428529</v>
      </c>
      <c r="DU92" s="980">
        <f t="shared" si="944"/>
        <v>10278.626924272821</v>
      </c>
      <c r="DV92" s="988">
        <f t="shared" si="944"/>
        <v>10665.165134459989</v>
      </c>
      <c r="DW92" s="324">
        <f t="shared" si="944"/>
        <v>10830.214684577399</v>
      </c>
      <c r="DX92" s="988">
        <f t="shared" si="944"/>
        <v>10999.875853308446</v>
      </c>
      <c r="DY92" s="445">
        <f t="shared" si="944"/>
        <v>11175.707821394799</v>
      </c>
      <c r="DZ92" s="988">
        <f t="shared" si="944"/>
        <v>10750.076265565272</v>
      </c>
      <c r="EA92" s="324">
        <f t="shared" si="944"/>
        <v>11090.957783769036</v>
      </c>
      <c r="EB92" s="980">
        <f t="shared" si="944"/>
        <v>10925.908233651626</v>
      </c>
      <c r="EC92" s="988">
        <f t="shared" si="944"/>
        <v>11353.365714109492</v>
      </c>
      <c r="ED92" s="324">
        <f t="shared" si="944"/>
        <v>11529.786666369102</v>
      </c>
      <c r="EE92" s="988">
        <f t="shared" si="944"/>
        <v>11709.264490020865</v>
      </c>
      <c r="EF92" s="445">
        <f t="shared" si="944"/>
        <v>11895.572314458455</v>
      </c>
      <c r="EG92" s="988">
        <f t="shared" si="944"/>
        <v>11443.210704114997</v>
      </c>
      <c r="EH92" s="324">
        <f t="shared" si="944"/>
        <v>11805.939480812196</v>
      </c>
      <c r="EI92" s="980">
        <f t="shared" si="944"/>
        <v>11629.518528552588</v>
      </c>
      <c r="EJ92" s="988">
        <f t="shared" si="944"/>
        <v>12083.176150677191</v>
      </c>
      <c r="EK92" s="324">
        <f t="shared" si="944"/>
        <v>12268.670780733981</v>
      </c>
      <c r="EL92" s="988">
        <f t="shared" si="944"/>
        <v>12457.536444528767</v>
      </c>
      <c r="EM92" s="445">
        <f t="shared" si="944"/>
        <v>12653.927706116849</v>
      </c>
      <c r="EN92" s="988">
        <f t="shared" si="944"/>
        <v>12177.741935306572</v>
      </c>
      <c r="EO92" s="324">
        <f t="shared" si="944"/>
        <v>12559.627826951442</v>
      </c>
      <c r="EP92" s="980">
        <f t="shared" si="944"/>
        <v>12374.133196894654</v>
      </c>
      <c r="EQ92" s="303"/>
      <c r="ER92" s="46"/>
    </row>
    <row r="93" spans="1:148" ht="10.199999999999999" customHeight="1">
      <c r="A93" s="43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35"/>
      <c r="N93" s="135"/>
      <c r="O93" s="135"/>
      <c r="P93" s="135"/>
      <c r="Q93" s="961"/>
      <c r="R93" s="135"/>
      <c r="S93" s="135"/>
      <c r="T93" s="538"/>
      <c r="U93" s="135"/>
      <c r="V93" s="135"/>
      <c r="W93" s="135"/>
      <c r="X93" s="961"/>
      <c r="Y93" s="135"/>
      <c r="Z93" s="135"/>
      <c r="AA93" s="538"/>
      <c r="AB93" s="135"/>
      <c r="AC93" s="135"/>
      <c r="AD93" s="135"/>
      <c r="AE93" s="961"/>
      <c r="AF93" s="135"/>
      <c r="AG93" s="135"/>
      <c r="AH93" s="538"/>
      <c r="AI93" s="135"/>
      <c r="AJ93" s="135"/>
      <c r="AK93" s="135"/>
      <c r="AL93" s="961"/>
      <c r="AM93" s="135"/>
      <c r="AN93" s="135"/>
      <c r="AO93" s="538"/>
      <c r="AP93" s="135"/>
      <c r="AQ93" s="135"/>
      <c r="AR93" s="135"/>
      <c r="AS93" s="961"/>
      <c r="AT93" s="135"/>
      <c r="AU93" s="135"/>
      <c r="AV93" s="538"/>
      <c r="AW93" s="135"/>
      <c r="AX93" s="135"/>
      <c r="AY93" s="135"/>
      <c r="AZ93" s="961"/>
      <c r="BA93" s="135"/>
      <c r="BB93" s="135"/>
      <c r="BC93" s="538"/>
      <c r="BD93" s="135"/>
      <c r="BE93" s="135"/>
      <c r="BF93" s="135"/>
      <c r="BG93" s="961"/>
      <c r="BH93" s="135"/>
      <c r="BI93" s="135"/>
      <c r="BJ93" s="538"/>
      <c r="BK93" s="135"/>
      <c r="BL93" s="135"/>
      <c r="BM93" s="135"/>
      <c r="BN93" s="961"/>
      <c r="BO93" s="135"/>
      <c r="BP93" s="135"/>
      <c r="BQ93" s="538"/>
      <c r="BR93" s="135"/>
      <c r="BS93" s="135"/>
      <c r="BT93" s="135"/>
      <c r="BU93" s="961"/>
      <c r="BV93" s="135"/>
      <c r="BW93" s="135"/>
      <c r="BX93" s="538"/>
      <c r="BY93" s="135"/>
      <c r="BZ93" s="135"/>
      <c r="CA93" s="135"/>
      <c r="CB93" s="961"/>
      <c r="CC93" s="135"/>
      <c r="CD93" s="135"/>
      <c r="CE93" s="538"/>
      <c r="CF93" s="135"/>
      <c r="CG93" s="135"/>
      <c r="CH93" s="135"/>
      <c r="CI93" s="961"/>
      <c r="CJ93" s="135"/>
      <c r="CK93" s="135"/>
      <c r="CL93" s="538"/>
      <c r="CM93" s="135"/>
      <c r="CN93" s="135"/>
      <c r="CO93" s="135"/>
      <c r="CP93" s="961"/>
      <c r="CQ93" s="135"/>
      <c r="CR93" s="135"/>
      <c r="CS93" s="538"/>
      <c r="CT93" s="108"/>
      <c r="CU93" s="135"/>
      <c r="CV93" s="108"/>
      <c r="CW93" s="1509"/>
      <c r="CX93" s="135"/>
      <c r="CY93" s="3"/>
      <c r="CZ93" s="538"/>
      <c r="DA93" s="3"/>
      <c r="DB93" s="135"/>
      <c r="DC93" s="1"/>
      <c r="DD93" s="961"/>
      <c r="DE93" s="1"/>
      <c r="DF93" s="3"/>
      <c r="DG93" s="538"/>
      <c r="DH93" s="1"/>
      <c r="DI93" s="135"/>
      <c r="DJ93" s="3"/>
      <c r="DK93" s="443"/>
      <c r="DL93" s="1"/>
      <c r="DM93" s="442"/>
      <c r="DN93" s="1479"/>
      <c r="DO93" s="3"/>
      <c r="DP93" s="442"/>
      <c r="DQ93" s="3"/>
      <c r="DR93" s="443"/>
      <c r="DS93" s="3"/>
      <c r="DT93" s="442"/>
      <c r="DU93" s="1479"/>
      <c r="DV93" s="3"/>
      <c r="DW93" s="442"/>
      <c r="DX93" s="3"/>
      <c r="DY93" s="443"/>
      <c r="DZ93" s="3"/>
      <c r="EA93" s="442"/>
      <c r="EB93" s="1479"/>
      <c r="EC93" s="3"/>
      <c r="ED93" s="442"/>
      <c r="EE93" s="3"/>
      <c r="EF93" s="443"/>
      <c r="EG93" s="3"/>
      <c r="EH93" s="442"/>
      <c r="EI93" s="1479"/>
      <c r="EJ93" s="3"/>
      <c r="EK93" s="442"/>
      <c r="EL93" s="3"/>
      <c r="EM93" s="443"/>
      <c r="EN93" s="3"/>
      <c r="EO93" s="442"/>
      <c r="EP93" s="1479"/>
      <c r="EQ93" s="303"/>
      <c r="ER93" s="46"/>
    </row>
    <row r="94" spans="1:148" ht="10.199999999999999" customHeight="1">
      <c r="A94" s="48" t="s">
        <v>397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700"/>
      <c r="R94" s="108"/>
      <c r="S94" s="108"/>
      <c r="T94" s="538"/>
      <c r="U94" s="108"/>
      <c r="V94" s="108"/>
      <c r="W94" s="108"/>
      <c r="X94" s="700"/>
      <c r="Y94" s="108"/>
      <c r="Z94" s="108"/>
      <c r="AA94" s="538"/>
      <c r="AB94" s="108"/>
      <c r="AC94" s="108"/>
      <c r="AD94" s="108"/>
      <c r="AE94" s="700"/>
      <c r="AF94" s="108"/>
      <c r="AG94" s="108"/>
      <c r="AH94" s="538"/>
      <c r="AI94" s="108"/>
      <c r="AJ94" s="108"/>
      <c r="AK94" s="108"/>
      <c r="AL94" s="700"/>
      <c r="AM94" s="108"/>
      <c r="AN94" s="108"/>
      <c r="AO94" s="538"/>
      <c r="AP94" s="108"/>
      <c r="AQ94" s="108"/>
      <c r="AR94" s="108"/>
      <c r="AS94" s="700"/>
      <c r="AT94" s="108"/>
      <c r="AU94" s="108"/>
      <c r="AV94" s="538"/>
      <c r="AW94" s="108"/>
      <c r="AX94" s="108"/>
      <c r="AY94" s="108"/>
      <c r="AZ94" s="700"/>
      <c r="BA94" s="108"/>
      <c r="BB94" s="108"/>
      <c r="BC94" s="538"/>
      <c r="BD94" s="108"/>
      <c r="BE94" s="108"/>
      <c r="BF94" s="108"/>
      <c r="BG94" s="700"/>
      <c r="BH94" s="108"/>
      <c r="BI94" s="108"/>
      <c r="BJ94" s="538"/>
      <c r="BK94" s="108"/>
      <c r="BL94" s="108"/>
      <c r="BM94" s="108"/>
      <c r="BN94" s="700"/>
      <c r="BO94" s="108"/>
      <c r="BP94" s="108"/>
      <c r="BQ94" s="538"/>
      <c r="BR94" s="108"/>
      <c r="BS94" s="108"/>
      <c r="BT94" s="108"/>
      <c r="BU94" s="700"/>
      <c r="BV94" s="108"/>
      <c r="BW94" s="108"/>
      <c r="BX94" s="538"/>
      <c r="BY94" s="108"/>
      <c r="BZ94" s="108"/>
      <c r="CA94" s="108"/>
      <c r="CB94" s="700"/>
      <c r="CC94" s="108"/>
      <c r="CD94" s="108"/>
      <c r="CE94" s="538"/>
      <c r="CF94" s="108"/>
      <c r="CG94" s="108"/>
      <c r="CH94" s="108"/>
      <c r="CI94" s="700"/>
      <c r="CJ94" s="108"/>
      <c r="CK94" s="108"/>
      <c r="CL94" s="538"/>
      <c r="CM94" s="108"/>
      <c r="CN94" s="108"/>
      <c r="CO94" s="108"/>
      <c r="CP94" s="700"/>
      <c r="CQ94" s="108"/>
      <c r="CR94" s="108"/>
      <c r="CS94" s="538"/>
      <c r="CT94" s="108"/>
      <c r="CU94" s="108"/>
      <c r="CV94" s="108"/>
      <c r="CW94" s="1509"/>
      <c r="CX94" s="108"/>
      <c r="CY94" s="3"/>
      <c r="CZ94" s="538"/>
      <c r="DA94" s="3"/>
      <c r="DB94" s="108"/>
      <c r="DC94" s="1"/>
      <c r="DD94" s="700"/>
      <c r="DE94" s="1"/>
      <c r="DF94" s="3"/>
      <c r="DG94" s="538"/>
      <c r="DH94" s="1"/>
      <c r="DI94" s="108"/>
      <c r="DJ94" s="3"/>
      <c r="DK94" s="457"/>
      <c r="DL94" s="1"/>
      <c r="DM94" s="456"/>
      <c r="DN94" s="1479"/>
      <c r="DO94" s="3"/>
      <c r="DP94" s="456"/>
      <c r="DQ94" s="3"/>
      <c r="DR94" s="457"/>
      <c r="DS94" s="3"/>
      <c r="DT94" s="456"/>
      <c r="DU94" s="1479"/>
      <c r="DV94" s="3"/>
      <c r="DW94" s="456"/>
      <c r="DX94" s="3"/>
      <c r="DY94" s="457"/>
      <c r="DZ94" s="3"/>
      <c r="EA94" s="456"/>
      <c r="EB94" s="1479"/>
      <c r="EC94" s="3"/>
      <c r="ED94" s="456"/>
      <c r="EE94" s="3"/>
      <c r="EF94" s="457"/>
      <c r="EG94" s="3"/>
      <c r="EH94" s="456"/>
      <c r="EI94" s="1479"/>
      <c r="EJ94" s="3"/>
      <c r="EK94" s="456"/>
      <c r="EL94" s="3"/>
      <c r="EM94" s="457"/>
      <c r="EN94" s="3"/>
      <c r="EO94" s="456"/>
      <c r="EP94" s="1479"/>
      <c r="EQ94" s="303"/>
      <c r="ER94" s="46"/>
    </row>
    <row r="95" spans="1:148" ht="10.199999999999999" customHeight="1">
      <c r="A95" s="43" t="s">
        <v>172</v>
      </c>
      <c r="B95" s="108"/>
      <c r="C95" s="108"/>
      <c r="D95" s="108">
        <v>267</v>
      </c>
      <c r="E95" s="108">
        <f t="shared" ref="E95:L95" si="951">+D98</f>
        <v>328</v>
      </c>
      <c r="F95" s="191">
        <f t="shared" si="951"/>
        <v>461</v>
      </c>
      <c r="G95" s="191">
        <f t="shared" si="951"/>
        <v>604</v>
      </c>
      <c r="H95" s="191">
        <f t="shared" si="951"/>
        <v>735</v>
      </c>
      <c r="I95" s="191">
        <f t="shared" si="951"/>
        <v>948</v>
      </c>
      <c r="J95" s="191">
        <f t="shared" si="951"/>
        <v>1099</v>
      </c>
      <c r="K95" s="191">
        <f t="shared" si="951"/>
        <v>1427</v>
      </c>
      <c r="L95" s="191">
        <f t="shared" si="951"/>
        <v>1599</v>
      </c>
      <c r="M95" s="191">
        <f>418+1514</f>
        <v>1932</v>
      </c>
      <c r="N95" s="191"/>
      <c r="O95" s="191"/>
      <c r="P95" s="191"/>
      <c r="Q95" s="709"/>
      <c r="R95" s="191"/>
      <c r="S95" s="191"/>
      <c r="T95" s="352">
        <f>581+1656</f>
        <v>2237</v>
      </c>
      <c r="U95" s="191"/>
      <c r="V95" s="191"/>
      <c r="W95" s="191"/>
      <c r="X95" s="709"/>
      <c r="Y95" s="191"/>
      <c r="Z95" s="191"/>
      <c r="AA95" s="352">
        <f>T98</f>
        <v>2552</v>
      </c>
      <c r="AB95" s="191"/>
      <c r="AC95" s="191"/>
      <c r="AD95" s="191"/>
      <c r="AE95" s="709"/>
      <c r="AF95" s="191"/>
      <c r="AG95" s="191"/>
      <c r="AH95" s="352">
        <f>+AA98</f>
        <v>2993</v>
      </c>
      <c r="AI95" s="191"/>
      <c r="AJ95" s="191"/>
      <c r="AK95" s="191"/>
      <c r="AL95" s="709"/>
      <c r="AM95" s="191"/>
      <c r="AN95" s="191"/>
      <c r="AO95" s="352">
        <f>+AH98</f>
        <v>3413</v>
      </c>
      <c r="AP95" s="191"/>
      <c r="AQ95" s="191"/>
      <c r="AR95" s="191"/>
      <c r="AS95" s="709"/>
      <c r="AT95" s="191"/>
      <c r="AU95" s="191"/>
      <c r="AV95" s="352">
        <f>+AO98</f>
        <v>3627</v>
      </c>
      <c r="AW95" s="191"/>
      <c r="AX95" s="191"/>
      <c r="AY95" s="191"/>
      <c r="AZ95" s="709"/>
      <c r="BA95" s="191"/>
      <c r="BB95" s="191"/>
      <c r="BC95" s="352">
        <f>AO98</f>
        <v>3627</v>
      </c>
      <c r="BD95" s="191"/>
      <c r="BE95" s="191"/>
      <c r="BF95" s="191"/>
      <c r="BG95" s="709"/>
      <c r="BH95" s="191"/>
      <c r="BI95" s="191"/>
      <c r="BJ95" s="352">
        <f>+BC98</f>
        <v>3751</v>
      </c>
      <c r="BK95" s="191"/>
      <c r="BL95" s="191"/>
      <c r="BM95" s="191"/>
      <c r="BN95" s="709"/>
      <c r="BO95" s="191"/>
      <c r="BP95" s="191"/>
      <c r="BQ95" s="352">
        <f>+BJ98</f>
        <v>3955</v>
      </c>
      <c r="BR95" s="191"/>
      <c r="BS95" s="191"/>
      <c r="BT95" s="191"/>
      <c r="BU95" s="709"/>
      <c r="BV95" s="191"/>
      <c r="BW95" s="191"/>
      <c r="BX95" s="352">
        <f>+BQ98</f>
        <v>4422</v>
      </c>
      <c r="BY95" s="191"/>
      <c r="BZ95" s="191"/>
      <c r="CA95" s="191"/>
      <c r="CB95" s="709"/>
      <c r="CC95" s="191"/>
      <c r="CD95" s="191"/>
      <c r="CE95" s="352">
        <f>+BX98</f>
        <v>4817</v>
      </c>
      <c r="CF95" s="191"/>
      <c r="CG95" s="191"/>
      <c r="CH95" s="191"/>
      <c r="CI95" s="709"/>
      <c r="CJ95" s="191"/>
      <c r="CK95" s="191"/>
      <c r="CL95" s="352">
        <f>+CE98</f>
        <v>4238</v>
      </c>
      <c r="CM95" s="191"/>
      <c r="CN95" s="191"/>
      <c r="CO95" s="191"/>
      <c r="CP95" s="709"/>
      <c r="CQ95" s="191"/>
      <c r="CR95" s="191"/>
      <c r="CS95" s="352">
        <f>+CL98</f>
        <v>4548</v>
      </c>
      <c r="CT95" s="176"/>
      <c r="CU95" s="176"/>
      <c r="CV95" s="176"/>
      <c r="CW95" s="1649"/>
      <c r="CX95" s="176"/>
      <c r="CY95" s="988"/>
      <c r="CZ95" s="352">
        <f>+CS98</f>
        <v>4682</v>
      </c>
      <c r="DA95" s="593">
        <f>+CZ98</f>
        <v>5531</v>
      </c>
      <c r="DB95" s="176">
        <f>+DA98</f>
        <v>5538.25</v>
      </c>
      <c r="DC95" s="593">
        <f>+DB98</f>
        <v>5545.5</v>
      </c>
      <c r="DD95" s="709">
        <f>+DC98</f>
        <v>5634.75</v>
      </c>
      <c r="DE95" s="593">
        <f>+CZ98</f>
        <v>5531</v>
      </c>
      <c r="DF95" s="988"/>
      <c r="DG95" s="352">
        <f>+CZ98</f>
        <v>5531</v>
      </c>
      <c r="DH95" s="593">
        <f>+DG98</f>
        <v>6144</v>
      </c>
      <c r="DI95" s="176">
        <f>+DH98</f>
        <v>6236.6594976640017</v>
      </c>
      <c r="DJ95" s="988">
        <f>+DI98</f>
        <v>6329.3189953280034</v>
      </c>
      <c r="DK95" s="445">
        <f>+DJ98</f>
        <v>6421.9784929920052</v>
      </c>
      <c r="DL95" s="593">
        <f>+DG98</f>
        <v>6144</v>
      </c>
      <c r="DM95" s="324">
        <f>+DL98</f>
        <v>6329.3189953280034</v>
      </c>
      <c r="DN95" s="980">
        <f>+DG98</f>
        <v>6144</v>
      </c>
      <c r="DO95" s="988">
        <f>+DN98</f>
        <v>6514.6379906560069</v>
      </c>
      <c r="DP95" s="324">
        <f>+DO98</f>
        <v>6619.0544159576457</v>
      </c>
      <c r="DQ95" s="988">
        <f>+DP98</f>
        <v>6723.4708412592845</v>
      </c>
      <c r="DR95" s="445">
        <f>+DQ98</f>
        <v>6827.8872665609233</v>
      </c>
      <c r="DS95" s="988">
        <f>+DN98</f>
        <v>6514.6379906560069</v>
      </c>
      <c r="DT95" s="324">
        <f>+DS98</f>
        <v>6723.4708412592836</v>
      </c>
      <c r="DU95" s="980">
        <f>+DN98</f>
        <v>6514.6379906560069</v>
      </c>
      <c r="DV95" s="988">
        <f>+DU98</f>
        <v>6932.3036918625603</v>
      </c>
      <c r="DW95" s="324">
        <f>+DV98</f>
        <v>7047.2514161054805</v>
      </c>
      <c r="DX95" s="988">
        <f>+DW98</f>
        <v>7162.1991403484008</v>
      </c>
      <c r="DY95" s="445">
        <f>+DX98</f>
        <v>7277.146864591321</v>
      </c>
      <c r="DZ95" s="988">
        <f>+DU98</f>
        <v>6932.3036918625603</v>
      </c>
      <c r="EA95" s="324">
        <f>+DZ98</f>
        <v>7162.1991403484008</v>
      </c>
      <c r="EB95" s="980">
        <f>+DU98</f>
        <v>6932.3036918625603</v>
      </c>
      <c r="EC95" s="988">
        <f>+EB98</f>
        <v>7392.0945888342412</v>
      </c>
      <c r="ED95" s="324">
        <f>+EC98</f>
        <v>7513.3494033767238</v>
      </c>
      <c r="EE95" s="988">
        <f>+ED98</f>
        <v>7634.6042179192063</v>
      </c>
      <c r="EF95" s="445">
        <f>+EE98</f>
        <v>7755.8590324616889</v>
      </c>
      <c r="EG95" s="988">
        <f>+EB98</f>
        <v>7392.0945888342412</v>
      </c>
      <c r="EH95" s="324">
        <f>+EG98</f>
        <v>7634.6042179192063</v>
      </c>
      <c r="EI95" s="980">
        <f>+EB98</f>
        <v>7392.0945888342412</v>
      </c>
      <c r="EJ95" s="988">
        <f>+EI98</f>
        <v>7877.1138470041715</v>
      </c>
      <c r="EK95" s="324">
        <f>+EJ98</f>
        <v>8003.7016781342372</v>
      </c>
      <c r="EL95" s="988">
        <f>+EK98</f>
        <v>8130.289509264303</v>
      </c>
      <c r="EM95" s="445">
        <f>+EL98</f>
        <v>8256.8773403943687</v>
      </c>
      <c r="EN95" s="988">
        <f>+EI98</f>
        <v>7877.1138470041715</v>
      </c>
      <c r="EO95" s="324">
        <f>+EN98</f>
        <v>8130.289509264303</v>
      </c>
      <c r="EP95" s="980">
        <f t="shared" ref="EP95" si="952">+EI98</f>
        <v>7877.1138470041715</v>
      </c>
      <c r="EQ95" s="303"/>
      <c r="ER95" s="46"/>
    </row>
    <row r="96" spans="1:148" ht="10.199999999999999" customHeight="1">
      <c r="A96" s="43" t="s">
        <v>251</v>
      </c>
      <c r="B96" s="108"/>
      <c r="C96" s="108"/>
      <c r="D96" s="108">
        <v>74</v>
      </c>
      <c r="E96" s="191">
        <v>137</v>
      </c>
      <c r="F96" s="191">
        <f>2+185</f>
        <v>187</v>
      </c>
      <c r="G96" s="191">
        <f>7+196</f>
        <v>203</v>
      </c>
      <c r="H96" s="108">
        <f>46+181</f>
        <v>227</v>
      </c>
      <c r="I96" s="108">
        <f>56+180</f>
        <v>236</v>
      </c>
      <c r="J96" s="108">
        <f>146+217</f>
        <v>363</v>
      </c>
      <c r="K96" s="108">
        <f>34+185</f>
        <v>219</v>
      </c>
      <c r="L96" s="191">
        <f>116+241</f>
        <v>357</v>
      </c>
      <c r="M96" s="191">
        <f>171+243</f>
        <v>414</v>
      </c>
      <c r="N96" s="191"/>
      <c r="O96" s="191"/>
      <c r="P96" s="191"/>
      <c r="Q96" s="709"/>
      <c r="R96" s="191"/>
      <c r="S96" s="191"/>
      <c r="T96" s="352">
        <f>106+274</f>
        <v>380</v>
      </c>
      <c r="U96" s="191"/>
      <c r="V96" s="191"/>
      <c r="W96" s="191"/>
      <c r="X96" s="709"/>
      <c r="Y96" s="191"/>
      <c r="Z96" s="191"/>
      <c r="AA96" s="352">
        <f>137+282</f>
        <v>419</v>
      </c>
      <c r="AB96" s="191"/>
      <c r="AC96" s="191"/>
      <c r="AD96" s="191"/>
      <c r="AE96" s="709"/>
      <c r="AF96" s="191"/>
      <c r="AG96" s="191"/>
      <c r="AH96" s="352">
        <f>203+282</f>
        <v>485</v>
      </c>
      <c r="AI96" s="191"/>
      <c r="AJ96" s="191"/>
      <c r="AK96" s="191"/>
      <c r="AL96" s="709"/>
      <c r="AM96" s="191"/>
      <c r="AN96" s="191"/>
      <c r="AO96" s="352">
        <f>209+242</f>
        <v>451</v>
      </c>
      <c r="AP96" s="191"/>
      <c r="AQ96" s="191"/>
      <c r="AR96" s="191"/>
      <c r="AS96" s="709"/>
      <c r="AT96" s="191"/>
      <c r="AU96" s="191"/>
      <c r="AV96" s="352">
        <f>185+207</f>
        <v>392</v>
      </c>
      <c r="AW96" s="191"/>
      <c r="AX96" s="191"/>
      <c r="AY96" s="191"/>
      <c r="AZ96" s="709"/>
      <c r="BA96" s="191"/>
      <c r="BB96" s="191"/>
      <c r="BC96" s="352">
        <f>-Divisional!BC136-Divisional!BC154</f>
        <v>392</v>
      </c>
      <c r="BD96" s="191"/>
      <c r="BE96" s="191"/>
      <c r="BF96" s="191"/>
      <c r="BG96" s="709"/>
      <c r="BH96" s="191"/>
      <c r="BI96" s="191"/>
      <c r="BJ96" s="352">
        <f>-Divisional!BJ136-Divisional!BJ154</f>
        <v>458</v>
      </c>
      <c r="BK96" s="191"/>
      <c r="BL96" s="191"/>
      <c r="BM96" s="191"/>
      <c r="BN96" s="709"/>
      <c r="BO96" s="191"/>
      <c r="BP96" s="191"/>
      <c r="BQ96" s="352">
        <f>-Divisional!BQ136-Divisional!BQ154</f>
        <v>563</v>
      </c>
      <c r="BR96" s="191"/>
      <c r="BS96" s="191"/>
      <c r="BT96" s="191"/>
      <c r="BU96" s="709"/>
      <c r="BV96" s="191"/>
      <c r="BW96" s="191"/>
      <c r="BX96" s="352">
        <f>-Divisional!CE136-Divisional!CE154</f>
        <v>454</v>
      </c>
      <c r="BY96" s="191"/>
      <c r="BZ96" s="191"/>
      <c r="CA96" s="191"/>
      <c r="CB96" s="709"/>
      <c r="CC96" s="191"/>
      <c r="CD96" s="191"/>
      <c r="CE96" s="352">
        <f>-Divisional!CL136-Divisional!CL154</f>
        <v>317</v>
      </c>
      <c r="CF96" s="191"/>
      <c r="CG96" s="191"/>
      <c r="CH96" s="191"/>
      <c r="CI96" s="709"/>
      <c r="CJ96" s="191"/>
      <c r="CK96" s="191"/>
      <c r="CL96" s="352">
        <f>-Divisional!CS136-Divisional!CS154</f>
        <v>448</v>
      </c>
      <c r="CM96" s="191"/>
      <c r="CN96" s="191"/>
      <c r="CO96" s="191"/>
      <c r="CP96" s="709"/>
      <c r="CQ96" s="191"/>
      <c r="CR96" s="191"/>
      <c r="CS96" s="352">
        <f>-Divisional!CZ136-Divisional!CZ154</f>
        <v>394</v>
      </c>
      <c r="CT96" s="176"/>
      <c r="CU96" s="191"/>
      <c r="CV96" s="176"/>
      <c r="CW96" s="1649"/>
      <c r="CX96" s="191"/>
      <c r="CY96" s="988"/>
      <c r="CZ96" s="352">
        <f>-Divisional!DG136-Divisional!DG154</f>
        <v>879</v>
      </c>
      <c r="DA96" s="593">
        <f>-Divisional!DH136-Divisional!DH154</f>
        <v>89.25</v>
      </c>
      <c r="DB96" s="191">
        <f>DE96-DA96</f>
        <v>89.25</v>
      </c>
      <c r="DC96" s="593">
        <f>-Divisional!DJ136-Divisional!DJ154</f>
        <v>89.25</v>
      </c>
      <c r="DD96" s="708">
        <f>-Divisional!DK136-Divisional!DK154</f>
        <v>89.25</v>
      </c>
      <c r="DE96" s="593">
        <f>-Divisional!DL136-Divisional!DL154</f>
        <v>178.5</v>
      </c>
      <c r="DF96" s="988"/>
      <c r="DG96" s="352">
        <f>-Divisional!DN136-Divisional!DN154</f>
        <v>941</v>
      </c>
      <c r="DH96" s="593">
        <f>-Divisional!DO136-Divisional!DO154</f>
        <v>92.659497664001606</v>
      </c>
      <c r="DI96" s="191">
        <f>DL96-DH96</f>
        <v>92.659497664001606</v>
      </c>
      <c r="DJ96" s="988">
        <f>-Divisional!DQ136-Divisional!DQ154</f>
        <v>92.659497664001606</v>
      </c>
      <c r="DK96" s="1649">
        <f>-Divisional!DR136-Divisional!DR154</f>
        <v>92.659497664001606</v>
      </c>
      <c r="DL96" s="593">
        <f>-Divisional!DS136-Divisional!DS154</f>
        <v>185.31899532800321</v>
      </c>
      <c r="DM96" s="988">
        <f>-Divisional!DT136-Divisional!DT154</f>
        <v>185.31899532800321</v>
      </c>
      <c r="DN96" s="980">
        <f>-Divisional!DU136-Divisional!DU154</f>
        <v>370.63799065600642</v>
      </c>
      <c r="DO96" s="988">
        <f>-Divisional!DV136-Divisional!DV154</f>
        <v>104.41642530163837</v>
      </c>
      <c r="DP96" s="1716">
        <f>DS96-DO96</f>
        <v>104.41642530163837</v>
      </c>
      <c r="DQ96" s="988">
        <f>-Divisional!DX136-Divisional!DX154</f>
        <v>104.41642530163837</v>
      </c>
      <c r="DR96" s="1649">
        <f>-Divisional!DY136-Divisional!DY154</f>
        <v>104.41642530163837</v>
      </c>
      <c r="DS96" s="988">
        <f>-Divisional!DZ136-Divisional!DZ154</f>
        <v>208.83285060327674</v>
      </c>
      <c r="DT96" s="988">
        <f>-Divisional!EA136-Divisional!EA154</f>
        <v>208.83285060327674</v>
      </c>
      <c r="DU96" s="980">
        <f>-Divisional!EB136-Divisional!EB154</f>
        <v>417.66570120655348</v>
      </c>
      <c r="DV96" s="988">
        <f>-Divisional!EC136-Divisional!EC154</f>
        <v>114.94772424292012</v>
      </c>
      <c r="DW96" s="1716">
        <f>DZ96-DV96</f>
        <v>114.94772424292012</v>
      </c>
      <c r="DX96" s="988">
        <f>-Divisional!EE136-Divisional!EE154</f>
        <v>114.94772424292012</v>
      </c>
      <c r="DY96" s="1649">
        <f>-Divisional!EF136-Divisional!EF154</f>
        <v>114.94772424292012</v>
      </c>
      <c r="DZ96" s="988">
        <f>-Divisional!EG136-Divisional!EG154</f>
        <v>229.89544848584023</v>
      </c>
      <c r="EA96" s="988">
        <f>-Divisional!EH136-Divisional!EH154</f>
        <v>229.89544848584023</v>
      </c>
      <c r="EB96" s="980">
        <f>-Divisional!EI136-Divisional!EI154</f>
        <v>459.79089697168047</v>
      </c>
      <c r="EC96" s="988">
        <f>-Divisional!EJ136-Divisional!EJ154</f>
        <v>121.25481454248262</v>
      </c>
      <c r="ED96" s="1716">
        <f>EG96-EC96</f>
        <v>121.25481454248262</v>
      </c>
      <c r="EE96" s="988">
        <f>-Divisional!EL136-Divisional!EL154</f>
        <v>121.25481454248262</v>
      </c>
      <c r="EF96" s="1649">
        <f>-Divisional!EM136-Divisional!EM154</f>
        <v>121.25481454248262</v>
      </c>
      <c r="EG96" s="988">
        <f>-Divisional!EN136-Divisional!EN154</f>
        <v>242.50962908496524</v>
      </c>
      <c r="EH96" s="988">
        <f>-Divisional!EO136-Divisional!EO154</f>
        <v>242.50962908496524</v>
      </c>
      <c r="EI96" s="980">
        <f>-Divisional!EP136-Divisional!EP154</f>
        <v>485.01925816993048</v>
      </c>
      <c r="EJ96" s="988">
        <f>-Divisional!EQ136-Divisional!EQ154</f>
        <v>126.58783113006567</v>
      </c>
      <c r="EK96" s="1716">
        <f>EN96-EJ96</f>
        <v>126.58783113006567</v>
      </c>
      <c r="EL96" s="988">
        <f>-Divisional!ES136-Divisional!ES154</f>
        <v>126.58783113006567</v>
      </c>
      <c r="EM96" s="1649">
        <f>-Divisional!ET136-Divisional!ET154</f>
        <v>126.58783113006567</v>
      </c>
      <c r="EN96" s="988">
        <f>-Divisional!EU136-Divisional!EU154</f>
        <v>253.17566226013133</v>
      </c>
      <c r="EO96" s="988">
        <f>-Divisional!EV136-Divisional!EV154</f>
        <v>253.17566226013133</v>
      </c>
      <c r="EP96" s="980">
        <f>-Divisional!EW136-Divisional!EW154</f>
        <v>506.35132452026266</v>
      </c>
      <c r="EQ96" s="303"/>
      <c r="ER96" s="46"/>
    </row>
    <row r="97" spans="1:148" ht="10.199999999999999" customHeight="1">
      <c r="A97" s="3" t="s">
        <v>89</v>
      </c>
      <c r="B97" s="1"/>
      <c r="C97" s="1"/>
      <c r="D97" s="836">
        <v>-13</v>
      </c>
      <c r="E97" s="836">
        <f>1+3-8</f>
        <v>-4</v>
      </c>
      <c r="F97" s="881">
        <f>2-2+14-57-1</f>
        <v>-44</v>
      </c>
      <c r="G97" s="881">
        <f>-10+1-8-55</f>
        <v>-72</v>
      </c>
      <c r="H97" s="881">
        <f>-7-7+2-2</f>
        <v>-14</v>
      </c>
      <c r="I97" s="881">
        <f>-3-9-4-6-63</f>
        <v>-85</v>
      </c>
      <c r="J97" s="881">
        <f>1+2+1+4-43</f>
        <v>-35</v>
      </c>
      <c r="K97" s="881">
        <f>1+4+1+2-53-1-1</f>
        <v>-47</v>
      </c>
      <c r="L97" s="881">
        <f>5+21+13-64+1</f>
        <v>-24</v>
      </c>
      <c r="M97" s="881">
        <f>-74</f>
        <v>-74</v>
      </c>
      <c r="N97" s="1567"/>
      <c r="O97" s="1567"/>
      <c r="P97" s="1567"/>
      <c r="Q97" s="1585"/>
      <c r="R97" s="1567"/>
      <c r="S97" s="1567"/>
      <c r="T97" s="1603">
        <f>-4-12+3+10-62</f>
        <v>-65</v>
      </c>
      <c r="U97" s="1567"/>
      <c r="V97" s="1567"/>
      <c r="W97" s="1567"/>
      <c r="X97" s="1585"/>
      <c r="Y97" s="1567"/>
      <c r="Z97" s="1567"/>
      <c r="AA97" s="1603">
        <f>12+21-12+23+1+8-2-29</f>
        <v>22</v>
      </c>
      <c r="AB97" s="1567"/>
      <c r="AC97" s="1567"/>
      <c r="AD97" s="1567"/>
      <c r="AE97" s="1585"/>
      <c r="AF97" s="1567"/>
      <c r="AG97" s="1567"/>
      <c r="AH97" s="1603">
        <v>-65</v>
      </c>
      <c r="AI97" s="1567"/>
      <c r="AJ97" s="1567"/>
      <c r="AK97" s="1567"/>
      <c r="AL97" s="1585"/>
      <c r="AM97" s="1567"/>
      <c r="AN97" s="1567"/>
      <c r="AO97" s="1603">
        <f t="shared" ref="AO97:CS97" si="953">AO98-AO96-AO95</f>
        <v>-237</v>
      </c>
      <c r="AP97" s="1567"/>
      <c r="AQ97" s="1567"/>
      <c r="AR97" s="1567"/>
      <c r="AS97" s="1585"/>
      <c r="AT97" s="1567"/>
      <c r="AU97" s="1567"/>
      <c r="AV97" s="1603">
        <f t="shared" si="953"/>
        <v>-268</v>
      </c>
      <c r="AW97" s="1567"/>
      <c r="AX97" s="1567"/>
      <c r="AY97" s="1567"/>
      <c r="AZ97" s="1585"/>
      <c r="BA97" s="1567"/>
      <c r="BB97" s="1567"/>
      <c r="BC97" s="1603">
        <f t="shared" si="953"/>
        <v>-268</v>
      </c>
      <c r="BD97" s="1567"/>
      <c r="BE97" s="1567"/>
      <c r="BF97" s="1567"/>
      <c r="BG97" s="1585"/>
      <c r="BH97" s="1567"/>
      <c r="BI97" s="1567"/>
      <c r="BJ97" s="1603">
        <f t="shared" si="953"/>
        <v>-254</v>
      </c>
      <c r="BK97" s="1567"/>
      <c r="BL97" s="1567"/>
      <c r="BM97" s="1567"/>
      <c r="BN97" s="1585"/>
      <c r="BO97" s="1567"/>
      <c r="BP97" s="1567"/>
      <c r="BQ97" s="1603">
        <f t="shared" si="953"/>
        <v>-96</v>
      </c>
      <c r="BR97" s="1567"/>
      <c r="BS97" s="1567"/>
      <c r="BT97" s="1567"/>
      <c r="BU97" s="1585"/>
      <c r="BV97" s="1567"/>
      <c r="BW97" s="1567"/>
      <c r="BX97" s="1603">
        <f t="shared" si="953"/>
        <v>-59</v>
      </c>
      <c r="BY97" s="1567"/>
      <c r="BZ97" s="1567"/>
      <c r="CA97" s="1567"/>
      <c r="CB97" s="1585"/>
      <c r="CC97" s="1567"/>
      <c r="CD97" s="1567"/>
      <c r="CE97" s="1603">
        <f t="shared" si="953"/>
        <v>-896</v>
      </c>
      <c r="CF97" s="1567"/>
      <c r="CG97" s="1567"/>
      <c r="CH97" s="1567"/>
      <c r="CI97" s="1585"/>
      <c r="CJ97" s="1567"/>
      <c r="CK97" s="1567"/>
      <c r="CL97" s="1603">
        <f t="shared" si="953"/>
        <v>-138</v>
      </c>
      <c r="CM97" s="1567"/>
      <c r="CN97" s="1567"/>
      <c r="CO97" s="1567"/>
      <c r="CP97" s="1585"/>
      <c r="CQ97" s="1567"/>
      <c r="CR97" s="1567"/>
      <c r="CS97" s="1603">
        <f t="shared" si="953"/>
        <v>-260</v>
      </c>
      <c r="CT97" s="1567"/>
      <c r="CU97" s="1441"/>
      <c r="CV97" s="1567"/>
      <c r="CW97" s="1510"/>
      <c r="CX97" s="1441"/>
      <c r="CY97" s="1408"/>
      <c r="CZ97" s="1603">
        <f t="shared" ref="CZ97" si="954">CZ98-CZ96-CZ95</f>
        <v>-30</v>
      </c>
      <c r="DA97" s="1565">
        <f>DE97/2</f>
        <v>-82</v>
      </c>
      <c r="DB97" s="1441">
        <f>DE97-DA97</f>
        <v>-82</v>
      </c>
      <c r="DC97" s="1565">
        <f>DF97/2</f>
        <v>0</v>
      </c>
      <c r="DD97" s="1449">
        <f>DF97-DC97</f>
        <v>0</v>
      </c>
      <c r="DE97" s="1565">
        <f>DG97/2</f>
        <v>-164</v>
      </c>
      <c r="DF97" s="1408"/>
      <c r="DG97" s="1603">
        <f t="shared" ref="DG97" si="955">DG98-DG96-DG95</f>
        <v>-328</v>
      </c>
      <c r="DH97" s="1565">
        <f>DL97/2</f>
        <v>0</v>
      </c>
      <c r="DI97" s="1441">
        <f>DL97-DH97</f>
        <v>0</v>
      </c>
      <c r="DJ97" s="1408">
        <f>DM97/2</f>
        <v>0</v>
      </c>
      <c r="DK97" s="1723">
        <f>DM97-DJ97</f>
        <v>0</v>
      </c>
      <c r="DL97" s="1565">
        <f>DN97/2</f>
        <v>0</v>
      </c>
      <c r="DM97" s="1717">
        <f>DN97-DL97</f>
        <v>0</v>
      </c>
      <c r="DN97" s="1620">
        <v>0</v>
      </c>
      <c r="DO97" s="1408">
        <f>DS97/2</f>
        <v>0</v>
      </c>
      <c r="DP97" s="1717">
        <f>DS97-DO97</f>
        <v>0</v>
      </c>
      <c r="DQ97" s="1408">
        <f>DT97/2</f>
        <v>0</v>
      </c>
      <c r="DR97" s="1723">
        <f>DT97-DQ97</f>
        <v>0</v>
      </c>
      <c r="DS97" s="1408">
        <f>DU97/2</f>
        <v>0</v>
      </c>
      <c r="DT97" s="1717">
        <f>DU97-DS97</f>
        <v>0</v>
      </c>
      <c r="DU97" s="1620">
        <v>0</v>
      </c>
      <c r="DV97" s="1408">
        <f>DZ97/2</f>
        <v>0</v>
      </c>
      <c r="DW97" s="1717">
        <f>DZ97-DV97</f>
        <v>0</v>
      </c>
      <c r="DX97" s="1408">
        <f>EA97/2</f>
        <v>0</v>
      </c>
      <c r="DY97" s="1723">
        <f>EA97-DX97</f>
        <v>0</v>
      </c>
      <c r="DZ97" s="1408">
        <f>EB97/2</f>
        <v>0</v>
      </c>
      <c r="EA97" s="1717">
        <f>EB97-DZ97</f>
        <v>0</v>
      </c>
      <c r="EB97" s="1620">
        <v>0</v>
      </c>
      <c r="EC97" s="1408">
        <f>EG97/2</f>
        <v>0</v>
      </c>
      <c r="ED97" s="1717">
        <f>EG97-EC97</f>
        <v>0</v>
      </c>
      <c r="EE97" s="1408">
        <f>EH97/2</f>
        <v>0</v>
      </c>
      <c r="EF97" s="1723">
        <f>EH97-EE97</f>
        <v>0</v>
      </c>
      <c r="EG97" s="1408">
        <f>EI97/2</f>
        <v>0</v>
      </c>
      <c r="EH97" s="1717">
        <f>EI97-EG97</f>
        <v>0</v>
      </c>
      <c r="EI97" s="1620">
        <v>0</v>
      </c>
      <c r="EJ97" s="1408">
        <f>EN97/2</f>
        <v>0</v>
      </c>
      <c r="EK97" s="1717">
        <f>EN97-EJ97</f>
        <v>0</v>
      </c>
      <c r="EL97" s="1408">
        <f>EO97/2</f>
        <v>0</v>
      </c>
      <c r="EM97" s="1723">
        <f>EO97-EL97</f>
        <v>0</v>
      </c>
      <c r="EN97" s="1408">
        <f>EP97/2</f>
        <v>0</v>
      </c>
      <c r="EO97" s="1717">
        <f>EP97-EN97</f>
        <v>0</v>
      </c>
      <c r="EP97" s="1620">
        <v>0</v>
      </c>
      <c r="EQ97" s="851"/>
      <c r="ER97" s="875"/>
    </row>
    <row r="98" spans="1:148" ht="10.199999999999999" customHeight="1">
      <c r="A98" s="3" t="s">
        <v>174</v>
      </c>
      <c r="B98" s="1"/>
      <c r="C98" s="1"/>
      <c r="D98" s="863">
        <f t="shared" ref="D98:AA98" si="956">+SUM(D95:D97)</f>
        <v>328</v>
      </c>
      <c r="E98" s="863">
        <f t="shared" si="956"/>
        <v>461</v>
      </c>
      <c r="F98" s="863">
        <f t="shared" si="956"/>
        <v>604</v>
      </c>
      <c r="G98" s="863">
        <f t="shared" si="956"/>
        <v>735</v>
      </c>
      <c r="H98" s="863">
        <f t="shared" si="956"/>
        <v>948</v>
      </c>
      <c r="I98" s="863">
        <f t="shared" si="956"/>
        <v>1099</v>
      </c>
      <c r="J98" s="863">
        <f t="shared" si="956"/>
        <v>1427</v>
      </c>
      <c r="K98" s="863">
        <f t="shared" si="956"/>
        <v>1599</v>
      </c>
      <c r="L98" s="863">
        <f t="shared" si="956"/>
        <v>1932</v>
      </c>
      <c r="M98" s="863">
        <f t="shared" si="956"/>
        <v>2272</v>
      </c>
      <c r="N98" s="863"/>
      <c r="O98" s="863"/>
      <c r="P98" s="863"/>
      <c r="Q98" s="708"/>
      <c r="R98" s="863"/>
      <c r="S98" s="863"/>
      <c r="T98" s="1601">
        <f t="shared" si="956"/>
        <v>2552</v>
      </c>
      <c r="U98" s="863"/>
      <c r="V98" s="863"/>
      <c r="W98" s="863"/>
      <c r="X98" s="708"/>
      <c r="Y98" s="863"/>
      <c r="Z98" s="863"/>
      <c r="AA98" s="1601">
        <f t="shared" si="956"/>
        <v>2993</v>
      </c>
      <c r="AB98" s="863"/>
      <c r="AC98" s="863"/>
      <c r="AD98" s="863"/>
      <c r="AE98" s="708"/>
      <c r="AF98" s="863"/>
      <c r="AG98" s="863"/>
      <c r="AH98" s="1601">
        <f>AH95+AH96+AH97</f>
        <v>3413</v>
      </c>
      <c r="AI98" s="863"/>
      <c r="AJ98" s="863"/>
      <c r="AK98" s="863"/>
      <c r="AL98" s="708"/>
      <c r="AM98" s="863"/>
      <c r="AN98" s="863"/>
      <c r="AO98" s="1601">
        <f>1164+2463</f>
        <v>3627</v>
      </c>
      <c r="AP98" s="863"/>
      <c r="AQ98" s="863"/>
      <c r="AR98" s="863"/>
      <c r="AS98" s="708"/>
      <c r="AT98" s="863"/>
      <c r="AU98" s="863"/>
      <c r="AV98" s="1601">
        <f>AV91-AV85</f>
        <v>3751</v>
      </c>
      <c r="AW98" s="863"/>
      <c r="AX98" s="863"/>
      <c r="AY98" s="863"/>
      <c r="AZ98" s="708"/>
      <c r="BA98" s="863"/>
      <c r="BB98" s="863"/>
      <c r="BC98" s="1601">
        <f>BC91-BC85</f>
        <v>3751</v>
      </c>
      <c r="BD98" s="863"/>
      <c r="BE98" s="863"/>
      <c r="BF98" s="863"/>
      <c r="BG98" s="708"/>
      <c r="BH98" s="863"/>
      <c r="BI98" s="863"/>
      <c r="BJ98" s="1601">
        <f>1488+2467</f>
        <v>3955</v>
      </c>
      <c r="BK98" s="863"/>
      <c r="BL98" s="863"/>
      <c r="BM98" s="863"/>
      <c r="BN98" s="708"/>
      <c r="BO98" s="863"/>
      <c r="BP98" s="863"/>
      <c r="BQ98" s="1601">
        <f>1749+2673</f>
        <v>4422</v>
      </c>
      <c r="BR98" s="863"/>
      <c r="BS98" s="863"/>
      <c r="BT98" s="863"/>
      <c r="BU98" s="708"/>
      <c r="BV98" s="863"/>
      <c r="BW98" s="863"/>
      <c r="BX98" s="1601">
        <f>1952+2865</f>
        <v>4817</v>
      </c>
      <c r="BY98" s="863"/>
      <c r="BZ98" s="863"/>
      <c r="CA98" s="863"/>
      <c r="CB98" s="708"/>
      <c r="CC98" s="863"/>
      <c r="CD98" s="863"/>
      <c r="CE98" s="1601">
        <f>1248+2990</f>
        <v>4238</v>
      </c>
      <c r="CF98" s="863"/>
      <c r="CG98" s="863"/>
      <c r="CH98" s="863"/>
      <c r="CI98" s="708"/>
      <c r="CJ98" s="863"/>
      <c r="CK98" s="863"/>
      <c r="CL98" s="1601">
        <f>1319+3229</f>
        <v>4548</v>
      </c>
      <c r="CM98" s="863"/>
      <c r="CN98" s="863"/>
      <c r="CO98" s="863"/>
      <c r="CP98" s="708"/>
      <c r="CQ98" s="863"/>
      <c r="CR98" s="863"/>
      <c r="CS98" s="1601">
        <f>1459+3223</f>
        <v>4682</v>
      </c>
      <c r="CT98" s="593"/>
      <c r="CU98" s="593"/>
      <c r="CV98" s="593"/>
      <c r="CW98" s="1649"/>
      <c r="CX98" s="593"/>
      <c r="CY98" s="988"/>
      <c r="CZ98" s="2103">
        <f>2000+3531</f>
        <v>5531</v>
      </c>
      <c r="DA98" s="593">
        <f t="shared" ref="DA98:DD98" si="957">+SUM(DA95:DA97)</f>
        <v>5538.25</v>
      </c>
      <c r="DB98" s="593">
        <f t="shared" ref="DB98" si="958">+SUM(DB95:DB97)</f>
        <v>5545.5</v>
      </c>
      <c r="DC98" s="593">
        <f t="shared" si="957"/>
        <v>5634.75</v>
      </c>
      <c r="DD98" s="708">
        <f t="shared" si="957"/>
        <v>5724</v>
      </c>
      <c r="DE98" s="593">
        <f t="shared" ref="DE98" si="959">+SUM(DE95:DE97)</f>
        <v>5545.5</v>
      </c>
      <c r="DF98" s="988"/>
      <c r="DG98" s="1601">
        <f>2137+4007</f>
        <v>6144</v>
      </c>
      <c r="DH98" s="593">
        <f t="shared" ref="DH98:DI98" si="960">+SUM(DH95:DH97)</f>
        <v>6236.6594976640017</v>
      </c>
      <c r="DI98" s="593">
        <f t="shared" si="960"/>
        <v>6329.3189953280034</v>
      </c>
      <c r="DJ98" s="988">
        <f t="shared" ref="DJ98:EP98" si="961">+SUM(DJ95:DJ97)</f>
        <v>6421.9784929920052</v>
      </c>
      <c r="DK98" s="1649">
        <f t="shared" si="961"/>
        <v>6514.6379906560069</v>
      </c>
      <c r="DL98" s="593">
        <f t="shared" si="961"/>
        <v>6329.3189953280034</v>
      </c>
      <c r="DM98" s="988">
        <f t="shared" si="961"/>
        <v>6514.6379906560069</v>
      </c>
      <c r="DN98" s="980">
        <f t="shared" si="961"/>
        <v>6514.6379906560069</v>
      </c>
      <c r="DO98" s="988">
        <f t="shared" si="961"/>
        <v>6619.0544159576457</v>
      </c>
      <c r="DP98" s="988">
        <f t="shared" si="961"/>
        <v>6723.4708412592845</v>
      </c>
      <c r="DQ98" s="988">
        <f t="shared" si="961"/>
        <v>6827.8872665609233</v>
      </c>
      <c r="DR98" s="1649">
        <f t="shared" si="961"/>
        <v>6932.3036918625621</v>
      </c>
      <c r="DS98" s="988">
        <f t="shared" si="961"/>
        <v>6723.4708412592836</v>
      </c>
      <c r="DT98" s="988">
        <f t="shared" si="961"/>
        <v>6932.3036918625603</v>
      </c>
      <c r="DU98" s="980">
        <f t="shared" si="961"/>
        <v>6932.3036918625603</v>
      </c>
      <c r="DV98" s="988">
        <f t="shared" si="961"/>
        <v>7047.2514161054805</v>
      </c>
      <c r="DW98" s="988">
        <f t="shared" si="961"/>
        <v>7162.1991403484008</v>
      </c>
      <c r="DX98" s="988">
        <f t="shared" si="961"/>
        <v>7277.146864591321</v>
      </c>
      <c r="DY98" s="1649">
        <f t="shared" si="961"/>
        <v>7392.0945888342412</v>
      </c>
      <c r="DZ98" s="988">
        <f t="shared" si="961"/>
        <v>7162.1991403484008</v>
      </c>
      <c r="EA98" s="988">
        <f t="shared" si="961"/>
        <v>7392.0945888342412</v>
      </c>
      <c r="EB98" s="980">
        <f t="shared" si="961"/>
        <v>7392.0945888342412</v>
      </c>
      <c r="EC98" s="988">
        <f t="shared" si="961"/>
        <v>7513.3494033767238</v>
      </c>
      <c r="ED98" s="988">
        <f t="shared" si="961"/>
        <v>7634.6042179192063</v>
      </c>
      <c r="EE98" s="988">
        <f t="shared" si="961"/>
        <v>7755.8590324616889</v>
      </c>
      <c r="EF98" s="1649">
        <f t="shared" si="961"/>
        <v>7877.1138470041715</v>
      </c>
      <c r="EG98" s="988">
        <f t="shared" si="961"/>
        <v>7634.6042179192063</v>
      </c>
      <c r="EH98" s="988">
        <f t="shared" si="961"/>
        <v>7877.1138470041715</v>
      </c>
      <c r="EI98" s="980">
        <f t="shared" si="961"/>
        <v>7877.1138470041715</v>
      </c>
      <c r="EJ98" s="988">
        <f t="shared" si="961"/>
        <v>8003.7016781342372</v>
      </c>
      <c r="EK98" s="988">
        <f t="shared" si="961"/>
        <v>8130.289509264303</v>
      </c>
      <c r="EL98" s="988">
        <f t="shared" si="961"/>
        <v>8256.8773403943687</v>
      </c>
      <c r="EM98" s="1649">
        <f t="shared" si="961"/>
        <v>8383.4651715244345</v>
      </c>
      <c r="EN98" s="988">
        <f t="shared" si="961"/>
        <v>8130.289509264303</v>
      </c>
      <c r="EO98" s="988">
        <f t="shared" si="961"/>
        <v>8383.4651715244345</v>
      </c>
      <c r="EP98" s="980">
        <f t="shared" si="961"/>
        <v>8383.4651715244345</v>
      </c>
      <c r="EQ98" s="851"/>
      <c r="ER98" s="875"/>
    </row>
    <row r="99" spans="1:148" ht="10.199999999999999" customHeight="1">
      <c r="A99" s="43"/>
      <c r="B99" s="108"/>
      <c r="C99" s="108"/>
      <c r="D99" s="244"/>
      <c r="E99" s="244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1458"/>
      <c r="R99" s="292"/>
      <c r="S99" s="292"/>
      <c r="T99" s="358"/>
      <c r="U99" s="292"/>
      <c r="V99" s="292"/>
      <c r="W99" s="292"/>
      <c r="X99" s="1458"/>
      <c r="Y99" s="292"/>
      <c r="Z99" s="292"/>
      <c r="AA99" s="358"/>
      <c r="AB99" s="292"/>
      <c r="AC99" s="292"/>
      <c r="AD99" s="292"/>
      <c r="AE99" s="1458"/>
      <c r="AF99" s="292"/>
      <c r="AG99" s="292"/>
      <c r="AH99" s="358"/>
      <c r="AI99" s="292"/>
      <c r="AJ99" s="292"/>
      <c r="AK99" s="292"/>
      <c r="AL99" s="1458"/>
      <c r="AM99" s="292"/>
      <c r="AN99" s="292"/>
      <c r="AO99" s="358"/>
      <c r="AP99" s="292"/>
      <c r="AQ99" s="292"/>
      <c r="AR99" s="292"/>
      <c r="AS99" s="1458"/>
      <c r="AT99" s="292"/>
      <c r="AU99" s="292"/>
      <c r="AV99" s="358"/>
      <c r="AW99" s="292"/>
      <c r="AX99" s="292"/>
      <c r="AY99" s="292"/>
      <c r="AZ99" s="1458"/>
      <c r="BA99" s="292"/>
      <c r="BB99" s="292"/>
      <c r="BC99" s="358"/>
      <c r="BD99" s="292"/>
      <c r="BE99" s="292"/>
      <c r="BF99" s="292"/>
      <c r="BG99" s="1458"/>
      <c r="BH99" s="292"/>
      <c r="BI99" s="292"/>
      <c r="BJ99" s="358"/>
      <c r="BK99" s="292"/>
      <c r="BL99" s="292"/>
      <c r="BM99" s="292"/>
      <c r="BN99" s="1458"/>
      <c r="BO99" s="292"/>
      <c r="BP99" s="292"/>
      <c r="BQ99" s="358"/>
      <c r="BR99" s="292"/>
      <c r="BS99" s="292"/>
      <c r="BT99" s="292"/>
      <c r="BU99" s="1458"/>
      <c r="BV99" s="292"/>
      <c r="BW99" s="292"/>
      <c r="BX99" s="358"/>
      <c r="BY99" s="292"/>
      <c r="BZ99" s="292"/>
      <c r="CA99" s="292"/>
      <c r="CB99" s="1458"/>
      <c r="CC99" s="292"/>
      <c r="CD99" s="292"/>
      <c r="CE99" s="358"/>
      <c r="CF99" s="292"/>
      <c r="CG99" s="292"/>
      <c r="CH99" s="292"/>
      <c r="CI99" s="1458"/>
      <c r="CJ99" s="292"/>
      <c r="CK99" s="292"/>
      <c r="CL99" s="358"/>
      <c r="CM99" s="292"/>
      <c r="CN99" s="292"/>
      <c r="CO99" s="292"/>
      <c r="CP99" s="1458"/>
      <c r="CQ99" s="292"/>
      <c r="CR99" s="292"/>
      <c r="CS99" s="358"/>
      <c r="CT99" s="292"/>
      <c r="CU99" s="292"/>
      <c r="CV99" s="292"/>
      <c r="CW99" s="1458"/>
      <c r="CX99" s="292"/>
      <c r="CY99" s="864"/>
      <c r="CZ99" s="1621"/>
      <c r="DA99" s="864"/>
      <c r="DB99" s="864"/>
      <c r="DC99" s="864"/>
      <c r="DD99" s="1650"/>
      <c r="DE99" s="864"/>
      <c r="DF99" s="864"/>
      <c r="DG99" s="1621"/>
      <c r="DH99" s="874"/>
      <c r="DI99" s="864"/>
      <c r="DJ99" s="864"/>
      <c r="DK99" s="1650"/>
      <c r="DL99" s="864"/>
      <c r="DM99" s="864"/>
      <c r="DN99" s="1621"/>
      <c r="DO99" s="864"/>
      <c r="DP99" s="864"/>
      <c r="DQ99" s="864"/>
      <c r="DR99" s="1650"/>
      <c r="DS99" s="864"/>
      <c r="DT99" s="864"/>
      <c r="DU99" s="1621"/>
      <c r="DV99" s="864"/>
      <c r="DW99" s="864"/>
      <c r="DX99" s="864"/>
      <c r="DY99" s="1650"/>
      <c r="DZ99" s="864"/>
      <c r="EA99" s="864"/>
      <c r="EB99" s="1621"/>
      <c r="EC99" s="864"/>
      <c r="ED99" s="864"/>
      <c r="EE99" s="864"/>
      <c r="EF99" s="1650"/>
      <c r="EG99" s="864"/>
      <c r="EH99" s="864"/>
      <c r="EI99" s="1621"/>
      <c r="EJ99" s="864"/>
      <c r="EK99" s="864"/>
      <c r="EL99" s="864"/>
      <c r="EM99" s="1650"/>
      <c r="EN99" s="864"/>
      <c r="EO99" s="864"/>
      <c r="EP99" s="1621"/>
      <c r="EQ99" s="303"/>
      <c r="ER99" s="46"/>
    </row>
    <row r="100" spans="1:148" ht="10.199999999999999" customHeight="1">
      <c r="A100" s="48"/>
      <c r="B100" s="48"/>
      <c r="C100" s="48"/>
      <c r="D100" s="48"/>
      <c r="E100" s="48"/>
      <c r="F100" s="120"/>
      <c r="G100" s="120"/>
      <c r="H100" s="48"/>
      <c r="I100" s="48"/>
      <c r="J100" s="120"/>
      <c r="K100" s="48"/>
      <c r="L100" s="48"/>
      <c r="M100" s="48"/>
      <c r="N100" s="48"/>
      <c r="O100" s="48"/>
      <c r="P100" s="48"/>
      <c r="Q100" s="701"/>
      <c r="R100" s="48"/>
      <c r="S100" s="48"/>
      <c r="T100" s="1595"/>
      <c r="U100" s="48"/>
      <c r="V100" s="48"/>
      <c r="W100" s="48"/>
      <c r="X100" s="701"/>
      <c r="Y100" s="48"/>
      <c r="Z100" s="48"/>
      <c r="AA100" s="1595"/>
      <c r="AB100" s="48"/>
      <c r="AC100" s="48"/>
      <c r="AD100" s="48"/>
      <c r="AE100" s="701"/>
      <c r="AF100" s="48"/>
      <c r="AG100" s="48"/>
      <c r="AH100" s="1595"/>
      <c r="AI100" s="48"/>
      <c r="AJ100" s="48"/>
      <c r="AK100" s="48"/>
      <c r="AL100" s="701"/>
      <c r="AM100" s="48"/>
      <c r="AN100" s="48"/>
      <c r="AO100" s="1595"/>
      <c r="AP100" s="48"/>
      <c r="AQ100" s="48"/>
      <c r="AR100" s="48"/>
      <c r="AS100" s="701"/>
      <c r="AT100" s="48"/>
      <c r="AU100" s="48"/>
      <c r="AV100" s="1595"/>
      <c r="AW100" s="48"/>
      <c r="AX100" s="48"/>
      <c r="AY100" s="48"/>
      <c r="AZ100" s="701"/>
      <c r="BA100" s="48"/>
      <c r="BB100" s="48"/>
      <c r="BC100" s="1595"/>
      <c r="BD100" s="48"/>
      <c r="BE100" s="48"/>
      <c r="BF100" s="48"/>
      <c r="BG100" s="701"/>
      <c r="BH100" s="48"/>
      <c r="BI100" s="48"/>
      <c r="BJ100" s="1595"/>
      <c r="BK100" s="48"/>
      <c r="BL100" s="48"/>
      <c r="BM100" s="48"/>
      <c r="BN100" s="701"/>
      <c r="BO100" s="48"/>
      <c r="BP100" s="48"/>
      <c r="BQ100" s="1595"/>
      <c r="BR100" s="48"/>
      <c r="BS100" s="48"/>
      <c r="BT100" s="48"/>
      <c r="BU100" s="701"/>
      <c r="BV100" s="48"/>
      <c r="BW100" s="48"/>
      <c r="BX100" s="1595"/>
      <c r="BY100" s="48"/>
      <c r="BZ100" s="48"/>
      <c r="CA100" s="48"/>
      <c r="CB100" s="701"/>
      <c r="CC100" s="48"/>
      <c r="CD100" s="48"/>
      <c r="CE100" s="1595"/>
      <c r="CF100" s="48"/>
      <c r="CG100" s="48"/>
      <c r="CH100" s="48"/>
      <c r="CI100" s="701"/>
      <c r="CJ100" s="48"/>
      <c r="CK100" s="48"/>
      <c r="CL100" s="1595"/>
      <c r="CM100" s="48"/>
      <c r="CN100" s="48"/>
      <c r="CO100" s="48"/>
      <c r="CP100" s="701"/>
      <c r="CQ100" s="48"/>
      <c r="CR100" s="48"/>
      <c r="CS100" s="1595"/>
      <c r="CT100" s="48"/>
      <c r="CU100" s="48"/>
      <c r="CV100" s="48"/>
      <c r="CW100" s="701"/>
      <c r="CX100" s="48"/>
      <c r="CY100" s="861"/>
      <c r="CZ100" s="1615"/>
      <c r="DA100" s="861"/>
      <c r="DB100" s="861"/>
      <c r="DC100" s="861"/>
      <c r="DD100" s="1645"/>
      <c r="DE100" s="861"/>
      <c r="DF100" s="861"/>
      <c r="DG100" s="1615"/>
      <c r="DH100" s="2"/>
      <c r="DI100" s="861"/>
      <c r="DJ100" s="861"/>
      <c r="DK100" s="1645"/>
      <c r="DL100" s="861"/>
      <c r="DM100" s="861"/>
      <c r="DN100" s="1615"/>
      <c r="DO100" s="861"/>
      <c r="DP100" s="861"/>
      <c r="DQ100" s="861"/>
      <c r="DR100" s="1645"/>
      <c r="DS100" s="861"/>
      <c r="DT100" s="861"/>
      <c r="DU100" s="1615"/>
      <c r="DV100" s="861"/>
      <c r="DW100" s="861"/>
      <c r="DX100" s="861"/>
      <c r="DY100" s="1645"/>
      <c r="DZ100" s="861"/>
      <c r="EA100" s="861"/>
      <c r="EB100" s="1615"/>
      <c r="EC100" s="861"/>
      <c r="ED100" s="861"/>
      <c r="EE100" s="861"/>
      <c r="EF100" s="1645"/>
      <c r="EG100" s="861"/>
      <c r="EH100" s="861"/>
      <c r="EI100" s="1615"/>
      <c r="EJ100" s="861"/>
      <c r="EK100" s="861"/>
      <c r="EL100" s="861"/>
      <c r="EM100" s="1645"/>
      <c r="EN100" s="861"/>
      <c r="EO100" s="861"/>
      <c r="EP100" s="1615"/>
      <c r="EQ100" s="303"/>
      <c r="ER100" s="46"/>
    </row>
    <row r="101" spans="1:148" ht="10.199999999999999" customHeight="1">
      <c r="A101" s="178" t="s">
        <v>398</v>
      </c>
      <c r="B101" s="178"/>
      <c r="C101" s="178"/>
      <c r="D101" s="178"/>
      <c r="E101" s="178"/>
      <c r="F101" s="204"/>
      <c r="G101" s="204"/>
      <c r="H101" s="204"/>
      <c r="I101" s="178"/>
      <c r="J101" s="178"/>
      <c r="K101" s="178"/>
      <c r="L101" s="178"/>
      <c r="M101" s="178"/>
      <c r="N101" s="178"/>
      <c r="O101" s="178"/>
      <c r="P101" s="178"/>
      <c r="Q101" s="707"/>
      <c r="R101" s="178"/>
      <c r="S101" s="178"/>
      <c r="T101" s="1596"/>
      <c r="U101" s="178"/>
      <c r="V101" s="178"/>
      <c r="W101" s="178"/>
      <c r="X101" s="707"/>
      <c r="Y101" s="178"/>
      <c r="Z101" s="178"/>
      <c r="AA101" s="1596"/>
      <c r="AB101" s="178"/>
      <c r="AC101" s="178"/>
      <c r="AD101" s="178"/>
      <c r="AE101" s="707"/>
      <c r="AF101" s="178"/>
      <c r="AG101" s="178"/>
      <c r="AH101" s="1596"/>
      <c r="AI101" s="178"/>
      <c r="AJ101" s="178"/>
      <c r="AK101" s="178"/>
      <c r="AL101" s="707"/>
      <c r="AM101" s="178"/>
      <c r="AN101" s="178"/>
      <c r="AO101" s="1596"/>
      <c r="AP101" s="178"/>
      <c r="AQ101" s="178"/>
      <c r="AR101" s="178"/>
      <c r="AS101" s="707"/>
      <c r="AT101" s="178"/>
      <c r="AU101" s="178"/>
      <c r="AV101" s="1596"/>
      <c r="AW101" s="178"/>
      <c r="AX101" s="178"/>
      <c r="AY101" s="178"/>
      <c r="AZ101" s="707"/>
      <c r="BA101" s="178"/>
      <c r="BB101" s="178"/>
      <c r="BC101" s="1596"/>
      <c r="BD101" s="178"/>
      <c r="BE101" s="178"/>
      <c r="BF101" s="178"/>
      <c r="BG101" s="707"/>
      <c r="BH101" s="178"/>
      <c r="BI101" s="178"/>
      <c r="BJ101" s="1596"/>
      <c r="BK101" s="178"/>
      <c r="BL101" s="178"/>
      <c r="BM101" s="178"/>
      <c r="BN101" s="707"/>
      <c r="BO101" s="178"/>
      <c r="BP101" s="178"/>
      <c r="BQ101" s="1596"/>
      <c r="BR101" s="178"/>
      <c r="BS101" s="178"/>
      <c r="BT101" s="178"/>
      <c r="BU101" s="707"/>
      <c r="BV101" s="178"/>
      <c r="BW101" s="178"/>
      <c r="BX101" s="1596"/>
      <c r="BY101" s="178"/>
      <c r="BZ101" s="178"/>
      <c r="CA101" s="178"/>
      <c r="CB101" s="707"/>
      <c r="CC101" s="178"/>
      <c r="CD101" s="178"/>
      <c r="CE101" s="1596"/>
      <c r="CF101" s="178"/>
      <c r="CG101" s="178"/>
      <c r="CH101" s="178"/>
      <c r="CI101" s="707"/>
      <c r="CJ101" s="178"/>
      <c r="CK101" s="178"/>
      <c r="CL101" s="1596"/>
      <c r="CM101" s="178"/>
      <c r="CN101" s="178"/>
      <c r="CO101" s="178"/>
      <c r="CP101" s="707"/>
      <c r="CQ101" s="178"/>
      <c r="CR101" s="178"/>
      <c r="CS101" s="1596"/>
      <c r="CT101" s="178"/>
      <c r="CU101" s="178"/>
      <c r="CV101" s="178"/>
      <c r="CW101" s="707"/>
      <c r="CX101" s="178"/>
      <c r="CY101" s="178"/>
      <c r="CZ101" s="1616"/>
      <c r="DA101" s="204"/>
      <c r="DB101" s="204"/>
      <c r="DC101" s="204"/>
      <c r="DD101" s="1612"/>
      <c r="DE101" s="204"/>
      <c r="DF101" s="178"/>
      <c r="DG101" s="1616"/>
      <c r="DH101" s="204"/>
      <c r="DI101" s="204"/>
      <c r="DJ101" s="204"/>
      <c r="DK101" s="1612"/>
      <c r="DL101" s="204"/>
      <c r="DM101" s="204"/>
      <c r="DN101" s="1616"/>
      <c r="DO101" s="204"/>
      <c r="DP101" s="204"/>
      <c r="DQ101" s="204"/>
      <c r="DR101" s="1612"/>
      <c r="DS101" s="204"/>
      <c r="DT101" s="204"/>
      <c r="DU101" s="1616"/>
      <c r="DV101" s="204"/>
      <c r="DW101" s="204"/>
      <c r="DX101" s="204"/>
      <c r="DY101" s="1612"/>
      <c r="DZ101" s="204"/>
      <c r="EA101" s="204"/>
      <c r="EB101" s="1616"/>
      <c r="EC101" s="204"/>
      <c r="ED101" s="204"/>
      <c r="EE101" s="204"/>
      <c r="EF101" s="1612"/>
      <c r="EG101" s="204"/>
      <c r="EH101" s="204"/>
      <c r="EI101" s="1616"/>
      <c r="EJ101" s="204"/>
      <c r="EK101" s="204"/>
      <c r="EL101" s="204"/>
      <c r="EM101" s="1612"/>
      <c r="EN101" s="204"/>
      <c r="EO101" s="204"/>
      <c r="EP101" s="1616"/>
      <c r="EQ101" s="303"/>
      <c r="ER101" s="46"/>
    </row>
    <row r="102" spans="1:148" ht="10.199999999999999" customHeight="1">
      <c r="A102" s="3" t="s">
        <v>12</v>
      </c>
      <c r="B102" s="1"/>
      <c r="C102" s="1"/>
      <c r="D102" s="865">
        <f>+D111</f>
        <v>19537</v>
      </c>
      <c r="E102" s="865">
        <f>+E104+E103</f>
        <v>21735</v>
      </c>
      <c r="F102" s="865">
        <f t="shared" ref="F102:T102" si="962">+F103+F104</f>
        <v>23629</v>
      </c>
      <c r="G102" s="865">
        <f t="shared" si="962"/>
        <v>24890</v>
      </c>
      <c r="H102" s="865">
        <f t="shared" si="962"/>
        <v>23936</v>
      </c>
      <c r="I102" s="865">
        <f t="shared" si="962"/>
        <v>22487</v>
      </c>
      <c r="J102" s="865">
        <f t="shared" si="962"/>
        <v>24104</v>
      </c>
      <c r="K102" s="865">
        <f t="shared" si="962"/>
        <v>26110</v>
      </c>
      <c r="L102" s="865">
        <f t="shared" si="962"/>
        <v>28313</v>
      </c>
      <c r="M102" s="865">
        <f t="shared" si="962"/>
        <v>31122</v>
      </c>
      <c r="N102" s="865"/>
      <c r="O102" s="865"/>
      <c r="P102" s="865"/>
      <c r="Q102" s="1102"/>
      <c r="R102" s="865"/>
      <c r="S102" s="865"/>
      <c r="T102" s="1280">
        <f t="shared" si="962"/>
        <v>31692</v>
      </c>
      <c r="U102" s="865"/>
      <c r="V102" s="865"/>
      <c r="W102" s="865"/>
      <c r="X102" s="1102"/>
      <c r="Y102" s="865"/>
      <c r="Z102" s="865"/>
      <c r="AA102" s="1280">
        <f>+AA111</f>
        <v>34024</v>
      </c>
      <c r="AB102" s="865"/>
      <c r="AC102" s="865"/>
      <c r="AD102" s="865"/>
      <c r="AE102" s="1102"/>
      <c r="AF102" s="865"/>
      <c r="AG102" s="865"/>
      <c r="AH102" s="1280">
        <f>+AH111</f>
        <v>36712</v>
      </c>
      <c r="AI102" s="865"/>
      <c r="AJ102" s="865"/>
      <c r="AK102" s="865"/>
      <c r="AL102" s="1102"/>
      <c r="AM102" s="865"/>
      <c r="AN102" s="865"/>
      <c r="AO102" s="1280">
        <f>+AO111</f>
        <v>36180</v>
      </c>
      <c r="AP102" s="865"/>
      <c r="AQ102" s="865"/>
      <c r="AR102" s="865"/>
      <c r="AS102" s="1102"/>
      <c r="AT102" s="865"/>
      <c r="AU102" s="865"/>
      <c r="AV102" s="1280">
        <f>+AV111</f>
        <v>36753</v>
      </c>
      <c r="AW102" s="865"/>
      <c r="AX102" s="865"/>
      <c r="AY102" s="865"/>
      <c r="AZ102" s="1102"/>
      <c r="BA102" s="865"/>
      <c r="BB102" s="865"/>
      <c r="BC102" s="1280">
        <f>+BC111</f>
        <v>36754</v>
      </c>
      <c r="BD102" s="865"/>
      <c r="BE102" s="865"/>
      <c r="BF102" s="865"/>
      <c r="BG102" s="1102"/>
      <c r="BH102" s="865"/>
      <c r="BI102" s="865"/>
      <c r="BJ102" s="1280">
        <f t="shared" ref="BJ102:CS102" si="963">BJ103+BJ104</f>
        <v>38249</v>
      </c>
      <c r="BK102" s="865"/>
      <c r="BL102" s="865"/>
      <c r="BM102" s="865"/>
      <c r="BN102" s="1102"/>
      <c r="BO102" s="865"/>
      <c r="BP102" s="865"/>
      <c r="BQ102" s="1280">
        <f t="shared" si="963"/>
        <v>41312</v>
      </c>
      <c r="BR102" s="865"/>
      <c r="BS102" s="865"/>
      <c r="BT102" s="865"/>
      <c r="BU102" s="1102"/>
      <c r="BV102" s="865"/>
      <c r="BW102" s="865"/>
      <c r="BX102" s="1280">
        <f t="shared" si="963"/>
        <v>41852</v>
      </c>
      <c r="BY102" s="865"/>
      <c r="BZ102" s="865"/>
      <c r="CA102" s="865"/>
      <c r="CB102" s="1102"/>
      <c r="CC102" s="865"/>
      <c r="CD102" s="865"/>
      <c r="CE102" s="1280">
        <f t="shared" si="963"/>
        <v>42270</v>
      </c>
      <c r="CF102" s="865"/>
      <c r="CG102" s="865"/>
      <c r="CH102" s="865"/>
      <c r="CI102" s="1102"/>
      <c r="CJ102" s="865"/>
      <c r="CK102" s="865"/>
      <c r="CL102" s="1280">
        <f t="shared" si="963"/>
        <v>41269</v>
      </c>
      <c r="CM102" s="865"/>
      <c r="CN102" s="865"/>
      <c r="CO102" s="865"/>
      <c r="CP102" s="1102"/>
      <c r="CQ102" s="865"/>
      <c r="CR102" s="865"/>
      <c r="CS102" s="1280">
        <f t="shared" si="963"/>
        <v>42654</v>
      </c>
      <c r="CT102" s="865"/>
      <c r="CU102" s="865"/>
      <c r="CV102" s="865"/>
      <c r="CW102" s="1117"/>
      <c r="CX102" s="865"/>
      <c r="CY102" s="897"/>
      <c r="CZ102" s="1280">
        <f t="shared" ref="CZ102:DA102" si="964">CZ103+CZ104</f>
        <v>45542</v>
      </c>
      <c r="DA102" s="865">
        <f t="shared" si="964"/>
        <v>45974</v>
      </c>
      <c r="DB102" s="865">
        <f t="shared" ref="DB102" si="965">+DB111</f>
        <v>46464.000000000007</v>
      </c>
      <c r="DC102" s="865">
        <f t="shared" ref="DC102" si="966">DC103+DC104</f>
        <v>47555.75</v>
      </c>
      <c r="DD102" s="1102">
        <f t="shared" ref="DD102" si="967">+DD111</f>
        <v>48780.500000000007</v>
      </c>
      <c r="DE102" s="865">
        <f t="shared" ref="DE102" si="968">DE103+DE104</f>
        <v>46464</v>
      </c>
      <c r="DF102" s="897"/>
      <c r="DG102" s="1280">
        <f t="shared" ref="DG102:DH102" si="969">DG103+DG104</f>
        <v>49082</v>
      </c>
      <c r="DH102" s="865">
        <f t="shared" si="969"/>
        <v>49598.19755911945</v>
      </c>
      <c r="DI102" s="865">
        <f t="shared" ref="DI102" si="970">+DI111</f>
        <v>50260.395118238899</v>
      </c>
      <c r="DJ102" s="897">
        <f t="shared" ref="DJ102:EP102" si="971">+DJ111</f>
        <v>50910.874004987141</v>
      </c>
      <c r="DK102" s="1117">
        <f t="shared" si="971"/>
        <v>52436.419286599739</v>
      </c>
      <c r="DL102" s="865">
        <f t="shared" ref="DL102" si="972">DL103+DL104</f>
        <v>50260.395118238892</v>
      </c>
      <c r="DM102" s="897">
        <f t="shared" si="971"/>
        <v>52436.419286599732</v>
      </c>
      <c r="DN102" s="1116">
        <f t="shared" si="971"/>
        <v>52436.419286599739</v>
      </c>
      <c r="DO102" s="897">
        <f t="shared" si="971"/>
        <v>53153.911727014507</v>
      </c>
      <c r="DP102" s="897">
        <f t="shared" si="971"/>
        <v>53958.755767517818</v>
      </c>
      <c r="DQ102" s="897">
        <f t="shared" si="971"/>
        <v>54758.478818068412</v>
      </c>
      <c r="DR102" s="1117">
        <f t="shared" si="971"/>
        <v>55665.819456904108</v>
      </c>
      <c r="DS102" s="897">
        <f t="shared" si="971"/>
        <v>53958.755767517818</v>
      </c>
      <c r="DT102" s="897">
        <f t="shared" si="971"/>
        <v>55665.819456904108</v>
      </c>
      <c r="DU102" s="1116">
        <f t="shared" si="971"/>
        <v>55665.819456904101</v>
      </c>
      <c r="DV102" s="897">
        <f t="shared" si="971"/>
        <v>56400.970007218144</v>
      </c>
      <c r="DW102" s="897">
        <f t="shared" si="971"/>
        <v>57227.653466276264</v>
      </c>
      <c r="DX102" s="897">
        <f t="shared" si="971"/>
        <v>58048.940227399085</v>
      </c>
      <c r="DY102" s="1117">
        <f t="shared" si="971"/>
        <v>58993.40494069922</v>
      </c>
      <c r="DZ102" s="897">
        <f t="shared" si="971"/>
        <v>57227.653466276264</v>
      </c>
      <c r="EA102" s="897">
        <f t="shared" si="971"/>
        <v>58993.404940699227</v>
      </c>
      <c r="EB102" s="1116">
        <f t="shared" si="971"/>
        <v>58993.404940699227</v>
      </c>
      <c r="EC102" s="897">
        <f t="shared" si="971"/>
        <v>59740.199964618332</v>
      </c>
      <c r="ED102" s="897">
        <f t="shared" si="971"/>
        <v>60547.510249055544</v>
      </c>
      <c r="EE102" s="897">
        <f t="shared" si="971"/>
        <v>61349.120177752084</v>
      </c>
      <c r="EF102" s="1117">
        <f t="shared" si="971"/>
        <v>62278.299960143115</v>
      </c>
      <c r="EG102" s="897">
        <f t="shared" si="971"/>
        <v>60547.510249055529</v>
      </c>
      <c r="EH102" s="897">
        <f t="shared" si="971"/>
        <v>62278.299960143093</v>
      </c>
      <c r="EI102" s="1116">
        <f t="shared" si="971"/>
        <v>62278.299960143093</v>
      </c>
      <c r="EJ102" s="897">
        <f t="shared" si="971"/>
        <v>63043.801871050717</v>
      </c>
      <c r="EK102" s="897">
        <f t="shared" si="971"/>
        <v>63872.514031146929</v>
      </c>
      <c r="EL102" s="897">
        <f t="shared" si="971"/>
        <v>64695.352640474448</v>
      </c>
      <c r="EM102" s="1117">
        <f t="shared" si="971"/>
        <v>65650.026926557912</v>
      </c>
      <c r="EN102" s="897">
        <f t="shared" si="971"/>
        <v>63872.514031146929</v>
      </c>
      <c r="EO102" s="897">
        <f t="shared" si="971"/>
        <v>65650.026926557912</v>
      </c>
      <c r="EP102" s="1116">
        <f t="shared" si="971"/>
        <v>65650.026926557926</v>
      </c>
      <c r="EQ102" s="851"/>
      <c r="ER102" s="875"/>
    </row>
    <row r="103" spans="1:148" ht="10.199999999999999" customHeight="1">
      <c r="A103" s="3" t="s">
        <v>13</v>
      </c>
      <c r="B103" s="1"/>
      <c r="C103" s="1"/>
      <c r="D103" s="833">
        <f t="shared" ref="D103:EP103" si="973">+D119</f>
        <v>8089</v>
      </c>
      <c r="E103" s="833">
        <f t="shared" si="973"/>
        <v>8830</v>
      </c>
      <c r="F103" s="833">
        <f t="shared" si="973"/>
        <v>9812</v>
      </c>
      <c r="G103" s="833">
        <f t="shared" si="973"/>
        <v>10712</v>
      </c>
      <c r="H103" s="833">
        <f t="shared" si="973"/>
        <v>10543</v>
      </c>
      <c r="I103" s="833">
        <f t="shared" si="973"/>
        <v>10331</v>
      </c>
      <c r="J103" s="833">
        <f t="shared" si="973"/>
        <v>11596</v>
      </c>
      <c r="K103" s="833">
        <f t="shared" si="973"/>
        <v>12683</v>
      </c>
      <c r="L103" s="833">
        <f t="shared" si="973"/>
        <v>14167</v>
      </c>
      <c r="M103" s="833">
        <f t="shared" si="973"/>
        <v>15926</v>
      </c>
      <c r="N103" s="1568"/>
      <c r="O103" s="1568"/>
      <c r="P103" s="1568"/>
      <c r="Q103" s="1586"/>
      <c r="R103" s="1568"/>
      <c r="S103" s="1568"/>
      <c r="T103" s="1604">
        <f t="shared" si="973"/>
        <v>16107</v>
      </c>
      <c r="U103" s="1568"/>
      <c r="V103" s="1568"/>
      <c r="W103" s="1568"/>
      <c r="X103" s="1586"/>
      <c r="Y103" s="1568"/>
      <c r="Z103" s="1568"/>
      <c r="AA103" s="1604">
        <f t="shared" si="973"/>
        <v>17703</v>
      </c>
      <c r="AB103" s="1568"/>
      <c r="AC103" s="1568"/>
      <c r="AD103" s="1568"/>
      <c r="AE103" s="1586"/>
      <c r="AF103" s="1568"/>
      <c r="AG103" s="1568"/>
      <c r="AH103" s="1604">
        <f t="shared" si="973"/>
        <v>19585</v>
      </c>
      <c r="AI103" s="1568"/>
      <c r="AJ103" s="1568"/>
      <c r="AK103" s="1568"/>
      <c r="AL103" s="1586"/>
      <c r="AM103" s="1568"/>
      <c r="AN103" s="1568"/>
      <c r="AO103" s="1604">
        <f t="shared" si="973"/>
        <v>19267</v>
      </c>
      <c r="AP103" s="1568"/>
      <c r="AQ103" s="1568"/>
      <c r="AR103" s="1568"/>
      <c r="AS103" s="1586"/>
      <c r="AT103" s="1568"/>
      <c r="AU103" s="1568"/>
      <c r="AV103" s="1604">
        <f t="shared" si="973"/>
        <v>20143</v>
      </c>
      <c r="AW103" s="1568"/>
      <c r="AX103" s="1568"/>
      <c r="AY103" s="1568"/>
      <c r="AZ103" s="1586"/>
      <c r="BA103" s="1568"/>
      <c r="BB103" s="1568"/>
      <c r="BC103" s="1604">
        <f t="shared" si="973"/>
        <v>20144</v>
      </c>
      <c r="BD103" s="1568"/>
      <c r="BE103" s="1568"/>
      <c r="BF103" s="1568"/>
      <c r="BG103" s="1586"/>
      <c r="BH103" s="1568"/>
      <c r="BI103" s="1568"/>
      <c r="BJ103" s="1604">
        <f t="shared" si="973"/>
        <v>21476</v>
      </c>
      <c r="BK103" s="1568"/>
      <c r="BL103" s="1568"/>
      <c r="BM103" s="1568"/>
      <c r="BN103" s="1586"/>
      <c r="BO103" s="1568"/>
      <c r="BP103" s="1568"/>
      <c r="BQ103" s="1604">
        <f t="shared" si="973"/>
        <v>24018</v>
      </c>
      <c r="BR103" s="1568"/>
      <c r="BS103" s="1568"/>
      <c r="BT103" s="1568"/>
      <c r="BU103" s="1586"/>
      <c r="BV103" s="1568"/>
      <c r="BW103" s="1568"/>
      <c r="BX103" s="1604">
        <f t="shared" si="973"/>
        <v>25178</v>
      </c>
      <c r="BY103" s="1568"/>
      <c r="BZ103" s="1568"/>
      <c r="CA103" s="1568"/>
      <c r="CB103" s="1586"/>
      <c r="CC103" s="1568"/>
      <c r="CD103" s="1568"/>
      <c r="CE103" s="1604">
        <f t="shared" si="973"/>
        <v>25734</v>
      </c>
      <c r="CF103" s="1568"/>
      <c r="CG103" s="1568"/>
      <c r="CH103" s="1568"/>
      <c r="CI103" s="1586"/>
      <c r="CJ103" s="1568"/>
      <c r="CK103" s="1568"/>
      <c r="CL103" s="1604">
        <f t="shared" si="973"/>
        <v>24764</v>
      </c>
      <c r="CM103" s="1568"/>
      <c r="CN103" s="1568"/>
      <c r="CO103" s="1568"/>
      <c r="CP103" s="1586"/>
      <c r="CQ103" s="1568"/>
      <c r="CR103" s="1568"/>
      <c r="CS103" s="1604">
        <f t="shared" ref="CS103" si="974">+CS119</f>
        <v>25453</v>
      </c>
      <c r="CT103" s="1568"/>
      <c r="CU103" s="1568"/>
      <c r="CV103" s="1568"/>
      <c r="CW103" s="1646"/>
      <c r="CX103" s="1568"/>
      <c r="CY103" s="1573"/>
      <c r="CZ103" s="1604">
        <f t="shared" ref="CZ103:DA103" si="975">+CZ119</f>
        <v>26430</v>
      </c>
      <c r="DA103" s="1568">
        <f t="shared" si="975"/>
        <v>26848</v>
      </c>
      <c r="DB103" s="1568">
        <f t="shared" ref="DB103:DC103" si="976">+DB119</f>
        <v>27276</v>
      </c>
      <c r="DC103" s="1568">
        <f t="shared" si="976"/>
        <v>27839.75</v>
      </c>
      <c r="DD103" s="1586">
        <f t="shared" ref="DD103:DE103" si="977">+DD119</f>
        <v>29010.5</v>
      </c>
      <c r="DE103" s="1568">
        <f t="shared" si="977"/>
        <v>27276</v>
      </c>
      <c r="DF103" s="1573"/>
      <c r="DG103" s="1604">
        <f t="shared" ref="DG103:DI103" si="978">+DG119</f>
        <v>28189</v>
      </c>
      <c r="DH103" s="1568">
        <f t="shared" si="978"/>
        <v>28657.197559119446</v>
      </c>
      <c r="DI103" s="1568">
        <f t="shared" si="978"/>
        <v>29095.395118238892</v>
      </c>
      <c r="DJ103" s="1573">
        <f t="shared" si="973"/>
        <v>29613.494297981324</v>
      </c>
      <c r="DK103" s="1646">
        <f t="shared" si="973"/>
        <v>30950.730563614226</v>
      </c>
      <c r="DL103" s="1568">
        <f t="shared" si="973"/>
        <v>29095.395118238892</v>
      </c>
      <c r="DM103" s="1573">
        <f t="shared" si="973"/>
        <v>30950.730563614226</v>
      </c>
      <c r="DN103" s="1617">
        <f t="shared" si="973"/>
        <v>30950.730563614226</v>
      </c>
      <c r="DO103" s="1573">
        <f t="shared" si="973"/>
        <v>31631.662586438961</v>
      </c>
      <c r="DP103" s="1573">
        <f t="shared" si="973"/>
        <v>32402.758766275645</v>
      </c>
      <c r="DQ103" s="1573">
        <f t="shared" si="973"/>
        <v>33168.289819895654</v>
      </c>
      <c r="DR103" s="1646">
        <f t="shared" si="973"/>
        <v>34047.849164114756</v>
      </c>
      <c r="DS103" s="1573">
        <f t="shared" si="973"/>
        <v>32402.758766275638</v>
      </c>
      <c r="DT103" s="1573">
        <f t="shared" si="973"/>
        <v>34047.849164114748</v>
      </c>
      <c r="DU103" s="1617">
        <f t="shared" si="973"/>
        <v>34047.849164114748</v>
      </c>
      <c r="DV103" s="1573">
        <f t="shared" si="973"/>
        <v>34788.990916955787</v>
      </c>
      <c r="DW103" s="1573">
        <f t="shared" si="973"/>
        <v>35628.875968410335</v>
      </c>
      <c r="DX103" s="1573">
        <f t="shared" si="973"/>
        <v>36462.93950457195</v>
      </c>
      <c r="DY103" s="1646">
        <f t="shared" si="973"/>
        <v>37432.829433624771</v>
      </c>
      <c r="DZ103" s="1573">
        <f t="shared" si="973"/>
        <v>35628.875968410335</v>
      </c>
      <c r="EA103" s="1573">
        <f t="shared" si="973"/>
        <v>37432.829433624771</v>
      </c>
      <c r="EB103" s="1617">
        <f t="shared" si="973"/>
        <v>37432.829433624771</v>
      </c>
      <c r="EC103" s="1573">
        <f t="shared" si="973"/>
        <v>38231.521567509597</v>
      </c>
      <c r="ED103" s="1573">
        <f t="shared" si="973"/>
        <v>39097.267017415332</v>
      </c>
      <c r="EE103" s="1573">
        <f t="shared" si="973"/>
        <v>39956.887798861906</v>
      </c>
      <c r="EF103" s="1646">
        <f t="shared" si="973"/>
        <v>40958.162748293114</v>
      </c>
      <c r="EG103" s="1573">
        <f t="shared" si="973"/>
        <v>39097.267017415325</v>
      </c>
      <c r="EH103" s="1573">
        <f t="shared" si="973"/>
        <v>40958.1627482931</v>
      </c>
      <c r="EI103" s="1617">
        <f t="shared" si="973"/>
        <v>40958.1627482931</v>
      </c>
      <c r="EJ103" s="1573">
        <f t="shared" si="973"/>
        <v>41778.934518925467</v>
      </c>
      <c r="EK103" s="1573">
        <f t="shared" si="973"/>
        <v>42670.190417150377</v>
      </c>
      <c r="EL103" s="1573">
        <f t="shared" si="973"/>
        <v>43555.040953678639</v>
      </c>
      <c r="EM103" s="1646">
        <f t="shared" si="973"/>
        <v>44587.310173477395</v>
      </c>
      <c r="EN103" s="1573">
        <f t="shared" si="973"/>
        <v>42670.190417150385</v>
      </c>
      <c r="EO103" s="1573">
        <f t="shared" si="973"/>
        <v>44587.31017347741</v>
      </c>
      <c r="EP103" s="1617">
        <f t="shared" si="973"/>
        <v>44587.310173477403</v>
      </c>
      <c r="EQ103" s="851"/>
      <c r="ER103" s="875"/>
    </row>
    <row r="104" spans="1:148" ht="10.199999999999999" customHeight="1">
      <c r="A104" s="43" t="s">
        <v>14</v>
      </c>
      <c r="B104" s="108"/>
      <c r="C104" s="108"/>
      <c r="D104" s="135">
        <f>+D102-D103</f>
        <v>11448</v>
      </c>
      <c r="E104" s="135">
        <v>12905</v>
      </c>
      <c r="F104" s="135">
        <f t="shared" ref="F104:AA104" si="979">+F14</f>
        <v>13817</v>
      </c>
      <c r="G104" s="135">
        <f t="shared" si="979"/>
        <v>14178</v>
      </c>
      <c r="H104" s="135">
        <f t="shared" si="979"/>
        <v>13393</v>
      </c>
      <c r="I104" s="135">
        <f t="shared" si="979"/>
        <v>12156</v>
      </c>
      <c r="J104" s="135">
        <f t="shared" si="979"/>
        <v>12508</v>
      </c>
      <c r="K104" s="135">
        <f t="shared" si="979"/>
        <v>13427</v>
      </c>
      <c r="L104" s="135">
        <f t="shared" si="979"/>
        <v>14146</v>
      </c>
      <c r="M104" s="135">
        <f t="shared" si="979"/>
        <v>15196</v>
      </c>
      <c r="N104" s="135"/>
      <c r="O104" s="135"/>
      <c r="P104" s="135"/>
      <c r="Q104" s="961"/>
      <c r="R104" s="135"/>
      <c r="S104" s="135"/>
      <c r="T104" s="948">
        <f t="shared" si="979"/>
        <v>15585</v>
      </c>
      <c r="U104" s="135"/>
      <c r="V104" s="135"/>
      <c r="W104" s="135"/>
      <c r="X104" s="961"/>
      <c r="Y104" s="135"/>
      <c r="Z104" s="135"/>
      <c r="AA104" s="948">
        <f t="shared" si="979"/>
        <v>16321</v>
      </c>
      <c r="AB104" s="135"/>
      <c r="AC104" s="135"/>
      <c r="AD104" s="135"/>
      <c r="AE104" s="961"/>
      <c r="AF104" s="135"/>
      <c r="AG104" s="135"/>
      <c r="AH104" s="948">
        <f>+AH102-AH103</f>
        <v>17127</v>
      </c>
      <c r="AI104" s="135"/>
      <c r="AJ104" s="135"/>
      <c r="AK104" s="135"/>
      <c r="AL104" s="961"/>
      <c r="AM104" s="135"/>
      <c r="AN104" s="135"/>
      <c r="AO104" s="948">
        <f>+AO102-AO103</f>
        <v>16913</v>
      </c>
      <c r="AP104" s="135"/>
      <c r="AQ104" s="135"/>
      <c r="AR104" s="135"/>
      <c r="AS104" s="961"/>
      <c r="AT104" s="135"/>
      <c r="AU104" s="135"/>
      <c r="AV104" s="948">
        <f t="shared" ref="AV104:CL104" si="980">AV14</f>
        <v>16610</v>
      </c>
      <c r="AW104" s="135"/>
      <c r="AX104" s="135"/>
      <c r="AY104" s="135"/>
      <c r="AZ104" s="961"/>
      <c r="BA104" s="135"/>
      <c r="BB104" s="135"/>
      <c r="BC104" s="948">
        <f t="shared" si="980"/>
        <v>16610</v>
      </c>
      <c r="BD104" s="135"/>
      <c r="BE104" s="135"/>
      <c r="BF104" s="135"/>
      <c r="BG104" s="961"/>
      <c r="BH104" s="135"/>
      <c r="BI104" s="135"/>
      <c r="BJ104" s="948">
        <f t="shared" si="980"/>
        <v>16773</v>
      </c>
      <c r="BK104" s="135"/>
      <c r="BL104" s="135"/>
      <c r="BM104" s="135"/>
      <c r="BN104" s="961"/>
      <c r="BO104" s="135"/>
      <c r="BP104" s="135"/>
      <c r="BQ104" s="948">
        <f t="shared" si="980"/>
        <v>17294</v>
      </c>
      <c r="BR104" s="135"/>
      <c r="BS104" s="135"/>
      <c r="BT104" s="135"/>
      <c r="BU104" s="961"/>
      <c r="BV104" s="135"/>
      <c r="BW104" s="135"/>
      <c r="BX104" s="948">
        <f t="shared" si="980"/>
        <v>16674</v>
      </c>
      <c r="BY104" s="135"/>
      <c r="BZ104" s="135"/>
      <c r="CA104" s="135"/>
      <c r="CB104" s="961"/>
      <c r="CC104" s="135"/>
      <c r="CD104" s="135"/>
      <c r="CE104" s="948">
        <f t="shared" si="980"/>
        <v>16536</v>
      </c>
      <c r="CF104" s="135"/>
      <c r="CG104" s="135"/>
      <c r="CH104" s="135"/>
      <c r="CI104" s="961"/>
      <c r="CJ104" s="135"/>
      <c r="CK104" s="135"/>
      <c r="CL104" s="948">
        <f t="shared" si="980"/>
        <v>16505</v>
      </c>
      <c r="CM104" s="135"/>
      <c r="CN104" s="135"/>
      <c r="CO104" s="135"/>
      <c r="CP104" s="961"/>
      <c r="CQ104" s="135"/>
      <c r="CR104" s="135"/>
      <c r="CS104" s="948">
        <f t="shared" ref="CS104" si="981">CS14</f>
        <v>17201</v>
      </c>
      <c r="CT104" s="135"/>
      <c r="CU104" s="135"/>
      <c r="CV104" s="135"/>
      <c r="CW104" s="1117"/>
      <c r="CX104" s="135"/>
      <c r="CY104" s="897"/>
      <c r="CZ104" s="948">
        <f t="shared" ref="CZ104:DA104" si="982">CZ14</f>
        <v>19112</v>
      </c>
      <c r="DA104" s="135">
        <f t="shared" si="982"/>
        <v>19126</v>
      </c>
      <c r="DB104" s="865">
        <f t="shared" ref="DB104" si="983">+DB102-DB103</f>
        <v>19188.000000000007</v>
      </c>
      <c r="DC104" s="135">
        <f t="shared" ref="DC104" si="984">DC14</f>
        <v>19716</v>
      </c>
      <c r="DD104" s="1102">
        <f t="shared" ref="DD104" si="985">+DD102-DD103</f>
        <v>19770.000000000007</v>
      </c>
      <c r="DE104" s="135">
        <f t="shared" ref="DE104" si="986">DE14</f>
        <v>19188</v>
      </c>
      <c r="DF104" s="897"/>
      <c r="DG104" s="948">
        <f t="shared" ref="DG104:DH104" si="987">DG14</f>
        <v>20893</v>
      </c>
      <c r="DH104" s="865">
        <f t="shared" si="987"/>
        <v>20941</v>
      </c>
      <c r="DI104" s="865">
        <f t="shared" ref="DI104" si="988">+DI102-DI103</f>
        <v>21165.000000000007</v>
      </c>
      <c r="DJ104" s="897">
        <f t="shared" ref="DJ104:EP104" si="989">+DJ102-DJ103</f>
        <v>21297.379707005817</v>
      </c>
      <c r="DK104" s="1117">
        <f t="shared" si="989"/>
        <v>21485.688722985513</v>
      </c>
      <c r="DL104" s="135">
        <f t="shared" ref="DL104" si="990">DL14</f>
        <v>21165</v>
      </c>
      <c r="DM104" s="897">
        <f t="shared" si="989"/>
        <v>21485.688722985506</v>
      </c>
      <c r="DN104" s="1116">
        <f t="shared" si="989"/>
        <v>21485.688722985513</v>
      </c>
      <c r="DO104" s="897">
        <f t="shared" si="989"/>
        <v>21522.249140575546</v>
      </c>
      <c r="DP104" s="897">
        <f t="shared" si="989"/>
        <v>21555.997001242173</v>
      </c>
      <c r="DQ104" s="897">
        <f t="shared" si="989"/>
        <v>21590.188998172758</v>
      </c>
      <c r="DR104" s="1117">
        <f t="shared" si="989"/>
        <v>21617.970292789352</v>
      </c>
      <c r="DS104" s="897">
        <f t="shared" si="989"/>
        <v>21555.99700124218</v>
      </c>
      <c r="DT104" s="897">
        <f t="shared" si="989"/>
        <v>21617.97029278936</v>
      </c>
      <c r="DU104" s="1116">
        <f t="shared" si="989"/>
        <v>21617.970292789352</v>
      </c>
      <c r="DV104" s="897">
        <f t="shared" si="989"/>
        <v>21611.979090262357</v>
      </c>
      <c r="DW104" s="897">
        <f t="shared" si="989"/>
        <v>21598.777497865929</v>
      </c>
      <c r="DX104" s="897">
        <f t="shared" si="989"/>
        <v>21586.000722827135</v>
      </c>
      <c r="DY104" s="1117">
        <f t="shared" si="989"/>
        <v>21560.575507074449</v>
      </c>
      <c r="DZ104" s="897">
        <f t="shared" si="989"/>
        <v>21598.777497865929</v>
      </c>
      <c r="EA104" s="897">
        <f t="shared" si="989"/>
        <v>21560.575507074456</v>
      </c>
      <c r="EB104" s="1116">
        <f t="shared" si="989"/>
        <v>21560.575507074456</v>
      </c>
      <c r="EC104" s="897">
        <f t="shared" si="989"/>
        <v>21508.678397108735</v>
      </c>
      <c r="ED104" s="897">
        <f t="shared" si="989"/>
        <v>21450.243231640212</v>
      </c>
      <c r="EE104" s="897">
        <f t="shared" si="989"/>
        <v>21392.232378890178</v>
      </c>
      <c r="EF104" s="1117">
        <f t="shared" si="989"/>
        <v>21320.13721185</v>
      </c>
      <c r="EG104" s="897">
        <f t="shared" si="989"/>
        <v>21450.243231640205</v>
      </c>
      <c r="EH104" s="897">
        <f t="shared" si="989"/>
        <v>21320.137211849993</v>
      </c>
      <c r="EI104" s="1116">
        <f t="shared" si="989"/>
        <v>21320.137211849993</v>
      </c>
      <c r="EJ104" s="897">
        <f t="shared" si="989"/>
        <v>21264.867352125249</v>
      </c>
      <c r="EK104" s="897">
        <f t="shared" si="989"/>
        <v>21202.323613996552</v>
      </c>
      <c r="EL104" s="897">
        <f t="shared" si="989"/>
        <v>21140.311686795809</v>
      </c>
      <c r="EM104" s="1117">
        <f t="shared" si="989"/>
        <v>21062.716753080516</v>
      </c>
      <c r="EN104" s="897">
        <f t="shared" si="989"/>
        <v>21202.323613996545</v>
      </c>
      <c r="EO104" s="897">
        <f t="shared" si="989"/>
        <v>21062.716753080502</v>
      </c>
      <c r="EP104" s="1116">
        <f t="shared" si="989"/>
        <v>21062.716753080524</v>
      </c>
      <c r="EQ104" s="303"/>
      <c r="ER104" s="46"/>
    </row>
    <row r="105" spans="1:148" ht="10.199999999999999" customHeight="1">
      <c r="A105" s="43"/>
      <c r="B105" s="108"/>
      <c r="C105" s="108"/>
      <c r="D105" s="191"/>
      <c r="E105" s="108"/>
      <c r="F105" s="108"/>
      <c r="G105" s="108"/>
      <c r="H105" s="108"/>
      <c r="I105" s="108"/>
      <c r="J105" s="135"/>
      <c r="K105" s="108"/>
      <c r="L105" s="135"/>
      <c r="M105" s="108"/>
      <c r="N105" s="108"/>
      <c r="O105" s="108"/>
      <c r="P105" s="108"/>
      <c r="Q105" s="700"/>
      <c r="R105" s="108"/>
      <c r="S105" s="108"/>
      <c r="T105" s="538"/>
      <c r="U105" s="108"/>
      <c r="V105" s="108"/>
      <c r="W105" s="108"/>
      <c r="X105" s="700"/>
      <c r="Y105" s="108"/>
      <c r="Z105" s="108"/>
      <c r="AA105" s="538"/>
      <c r="AB105" s="108"/>
      <c r="AC105" s="108"/>
      <c r="AD105" s="108"/>
      <c r="AE105" s="700"/>
      <c r="AF105" s="108"/>
      <c r="AG105" s="108"/>
      <c r="AH105" s="538"/>
      <c r="AI105" s="108"/>
      <c r="AJ105" s="108"/>
      <c r="AK105" s="108"/>
      <c r="AL105" s="700"/>
      <c r="AM105" s="108"/>
      <c r="AN105" s="108"/>
      <c r="AO105" s="538"/>
      <c r="AP105" s="108"/>
      <c r="AQ105" s="108"/>
      <c r="AR105" s="108"/>
      <c r="AS105" s="700"/>
      <c r="AT105" s="108"/>
      <c r="AU105" s="108"/>
      <c r="AV105" s="538"/>
      <c r="AW105" s="108"/>
      <c r="AX105" s="108"/>
      <c r="AY105" s="108"/>
      <c r="AZ105" s="700"/>
      <c r="BA105" s="108"/>
      <c r="BB105" s="108"/>
      <c r="BC105" s="538"/>
      <c r="BD105" s="108"/>
      <c r="BE105" s="108"/>
      <c r="BF105" s="108"/>
      <c r="BG105" s="700"/>
      <c r="BH105" s="108"/>
      <c r="BI105" s="108"/>
      <c r="BJ105" s="538"/>
      <c r="BK105" s="108"/>
      <c r="BL105" s="108"/>
      <c r="BM105" s="108"/>
      <c r="BN105" s="700"/>
      <c r="BO105" s="108"/>
      <c r="BP105" s="108"/>
      <c r="BQ105" s="538"/>
      <c r="BR105" s="108"/>
      <c r="BS105" s="108"/>
      <c r="BT105" s="108"/>
      <c r="BU105" s="700"/>
      <c r="BV105" s="108"/>
      <c r="BW105" s="108"/>
      <c r="BX105" s="538"/>
      <c r="BY105" s="108"/>
      <c r="BZ105" s="108"/>
      <c r="CA105" s="108"/>
      <c r="CB105" s="700"/>
      <c r="CC105" s="108"/>
      <c r="CD105" s="108"/>
      <c r="CE105" s="538"/>
      <c r="CF105" s="108"/>
      <c r="CG105" s="108"/>
      <c r="CH105" s="108"/>
      <c r="CI105" s="700"/>
      <c r="CJ105" s="108"/>
      <c r="CK105" s="108"/>
      <c r="CL105" s="538"/>
      <c r="CM105" s="108"/>
      <c r="CN105" s="108"/>
      <c r="CO105" s="108"/>
      <c r="CP105" s="700"/>
      <c r="CQ105" s="108"/>
      <c r="CR105" s="108"/>
      <c r="CS105" s="538"/>
      <c r="CT105" s="108"/>
      <c r="CU105" s="108"/>
      <c r="CV105" s="108"/>
      <c r="CW105" s="1509"/>
      <c r="CX105" s="108"/>
      <c r="CY105" s="3"/>
      <c r="CZ105" s="538"/>
      <c r="DA105" s="3"/>
      <c r="DB105" s="108"/>
      <c r="DC105" s="1"/>
      <c r="DD105" s="700"/>
      <c r="DE105" s="1"/>
      <c r="DF105" s="3"/>
      <c r="DG105" s="538"/>
      <c r="DH105" s="1"/>
      <c r="DI105" s="108"/>
      <c r="DJ105" s="3"/>
      <c r="DK105" s="457"/>
      <c r="DL105" s="1"/>
      <c r="DM105" s="456"/>
      <c r="DN105" s="1479"/>
      <c r="DO105" s="3"/>
      <c r="DP105" s="456"/>
      <c r="DQ105" s="3"/>
      <c r="DR105" s="457"/>
      <c r="DS105" s="3"/>
      <c r="DT105" s="456"/>
      <c r="DU105" s="1479"/>
      <c r="DV105" s="3"/>
      <c r="DW105" s="456"/>
      <c r="DX105" s="3"/>
      <c r="DY105" s="457"/>
      <c r="DZ105" s="3"/>
      <c r="EA105" s="456"/>
      <c r="EB105" s="1479"/>
      <c r="EC105" s="3"/>
      <c r="ED105" s="456"/>
      <c r="EE105" s="3"/>
      <c r="EF105" s="457"/>
      <c r="EG105" s="3"/>
      <c r="EH105" s="456"/>
      <c r="EI105" s="1479"/>
      <c r="EJ105" s="3"/>
      <c r="EK105" s="456"/>
      <c r="EL105" s="3"/>
      <c r="EM105" s="457"/>
      <c r="EN105" s="3"/>
      <c r="EO105" s="456"/>
      <c r="EP105" s="1479"/>
      <c r="EQ105" s="303"/>
      <c r="ER105" s="46"/>
    </row>
    <row r="106" spans="1:148" ht="10.199999999999999" customHeight="1">
      <c r="A106" s="48" t="s">
        <v>12</v>
      </c>
      <c r="B106" s="108"/>
      <c r="C106" s="108"/>
      <c r="D106" s="191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700"/>
      <c r="R106" s="108"/>
      <c r="S106" s="108"/>
      <c r="T106" s="538"/>
      <c r="U106" s="108"/>
      <c r="V106" s="108"/>
      <c r="W106" s="108"/>
      <c r="X106" s="700"/>
      <c r="Y106" s="108"/>
      <c r="Z106" s="108"/>
      <c r="AA106" s="538"/>
      <c r="AB106" s="108"/>
      <c r="AC106" s="108"/>
      <c r="AD106" s="108"/>
      <c r="AE106" s="700"/>
      <c r="AF106" s="108"/>
      <c r="AG106" s="108"/>
      <c r="AH106" s="538"/>
      <c r="AI106" s="108"/>
      <c r="AJ106" s="108"/>
      <c r="AK106" s="108"/>
      <c r="AL106" s="700"/>
      <c r="AM106" s="108"/>
      <c r="AN106" s="108"/>
      <c r="AO106" s="538"/>
      <c r="AP106" s="108"/>
      <c r="AQ106" s="108"/>
      <c r="AR106" s="108"/>
      <c r="AS106" s="700"/>
      <c r="AT106" s="108"/>
      <c r="AU106" s="108"/>
      <c r="AV106" s="538"/>
      <c r="AW106" s="108"/>
      <c r="AX106" s="108"/>
      <c r="AY106" s="108"/>
      <c r="AZ106" s="700"/>
      <c r="BA106" s="108"/>
      <c r="BB106" s="108"/>
      <c r="BC106" s="538"/>
      <c r="BD106" s="108"/>
      <c r="BE106" s="108"/>
      <c r="BF106" s="108"/>
      <c r="BG106" s="700"/>
      <c r="BH106" s="108"/>
      <c r="BI106" s="108"/>
      <c r="BJ106" s="538"/>
      <c r="BK106" s="108"/>
      <c r="BL106" s="108"/>
      <c r="BM106" s="108"/>
      <c r="BN106" s="700"/>
      <c r="BO106" s="108"/>
      <c r="BP106" s="108"/>
      <c r="BQ106" s="538"/>
      <c r="BR106" s="108"/>
      <c r="BS106" s="108"/>
      <c r="BT106" s="108"/>
      <c r="BU106" s="700"/>
      <c r="BV106" s="108"/>
      <c r="BW106" s="108"/>
      <c r="BX106" s="538"/>
      <c r="BY106" s="108"/>
      <c r="BZ106" s="108"/>
      <c r="CA106" s="108"/>
      <c r="CB106" s="700"/>
      <c r="CC106" s="108"/>
      <c r="CD106" s="108"/>
      <c r="CE106" s="538"/>
      <c r="CF106" s="108"/>
      <c r="CG106" s="108"/>
      <c r="CH106" s="108"/>
      <c r="CI106" s="700"/>
      <c r="CJ106" s="108"/>
      <c r="CK106" s="108"/>
      <c r="CL106" s="538"/>
      <c r="CM106" s="108"/>
      <c r="CN106" s="108"/>
      <c r="CO106" s="108"/>
      <c r="CP106" s="700"/>
      <c r="CQ106" s="108"/>
      <c r="CR106" s="108"/>
      <c r="CS106" s="538"/>
      <c r="CT106" s="108"/>
      <c r="CU106" s="108"/>
      <c r="CV106" s="108"/>
      <c r="CW106" s="1509"/>
      <c r="CX106" s="108"/>
      <c r="CY106" s="3"/>
      <c r="CZ106" s="538"/>
      <c r="DA106" s="3"/>
      <c r="DB106" s="108"/>
      <c r="DC106" s="1"/>
      <c r="DD106" s="700"/>
      <c r="DE106" s="1"/>
      <c r="DF106" s="3"/>
      <c r="DG106" s="538"/>
      <c r="DH106" s="1"/>
      <c r="DI106" s="108"/>
      <c r="DJ106" s="3"/>
      <c r="DK106" s="457"/>
      <c r="DL106" s="1"/>
      <c r="DM106" s="456"/>
      <c r="DN106" s="1479"/>
      <c r="DO106" s="3"/>
      <c r="DP106" s="456"/>
      <c r="DQ106" s="3"/>
      <c r="DR106" s="457"/>
      <c r="DS106" s="3"/>
      <c r="DT106" s="456"/>
      <c r="DU106" s="1479"/>
      <c r="DV106" s="3"/>
      <c r="DW106" s="456"/>
      <c r="DX106" s="3"/>
      <c r="DY106" s="457"/>
      <c r="DZ106" s="3"/>
      <c r="EA106" s="456"/>
      <c r="EB106" s="1479"/>
      <c r="EC106" s="3"/>
      <c r="ED106" s="456"/>
      <c r="EE106" s="3"/>
      <c r="EF106" s="457"/>
      <c r="EG106" s="3"/>
      <c r="EH106" s="456"/>
      <c r="EI106" s="1479"/>
      <c r="EJ106" s="3"/>
      <c r="EK106" s="456"/>
      <c r="EL106" s="3"/>
      <c r="EM106" s="457"/>
      <c r="EN106" s="3"/>
      <c r="EO106" s="456"/>
      <c r="EP106" s="1479"/>
      <c r="EQ106" s="303"/>
      <c r="ER106" s="46"/>
    </row>
    <row r="107" spans="1:148" ht="10.199999999999999" customHeight="1">
      <c r="A107" s="43" t="s">
        <v>176</v>
      </c>
      <c r="B107" s="108"/>
      <c r="C107" s="108"/>
      <c r="D107" s="191">
        <v>17564</v>
      </c>
      <c r="E107" s="135">
        <f>+D111</f>
        <v>19537</v>
      </c>
      <c r="F107" s="135">
        <v>21735</v>
      </c>
      <c r="G107" s="135">
        <v>23629</v>
      </c>
      <c r="H107" s="135">
        <v>24890</v>
      </c>
      <c r="I107" s="135">
        <v>23936</v>
      </c>
      <c r="J107" s="135">
        <v>22487</v>
      </c>
      <c r="K107" s="135">
        <v>24104</v>
      </c>
      <c r="L107" s="135">
        <v>26110</v>
      </c>
      <c r="M107" s="135">
        <v>28313</v>
      </c>
      <c r="N107" s="135"/>
      <c r="O107" s="135"/>
      <c r="P107" s="135"/>
      <c r="Q107" s="961"/>
      <c r="R107" s="135"/>
      <c r="S107" s="135"/>
      <c r="T107" s="948">
        <v>30269</v>
      </c>
      <c r="U107" s="135"/>
      <c r="V107" s="135"/>
      <c r="W107" s="135"/>
      <c r="X107" s="961"/>
      <c r="Y107" s="135"/>
      <c r="Z107" s="135"/>
      <c r="AA107" s="948">
        <f>T111</f>
        <v>31692</v>
      </c>
      <c r="AB107" s="135"/>
      <c r="AC107" s="135"/>
      <c r="AD107" s="135"/>
      <c r="AE107" s="961"/>
      <c r="AF107" s="135"/>
      <c r="AG107" s="135"/>
      <c r="AH107" s="948">
        <f>+AA111</f>
        <v>34024</v>
      </c>
      <c r="AI107" s="135"/>
      <c r="AJ107" s="135"/>
      <c r="AK107" s="135"/>
      <c r="AL107" s="961"/>
      <c r="AM107" s="135"/>
      <c r="AN107" s="135"/>
      <c r="AO107" s="948">
        <f>+AH111</f>
        <v>36712</v>
      </c>
      <c r="AP107" s="135"/>
      <c r="AQ107" s="135"/>
      <c r="AR107" s="135"/>
      <c r="AS107" s="961"/>
      <c r="AT107" s="135"/>
      <c r="AU107" s="135"/>
      <c r="AV107" s="948">
        <f>+AO111</f>
        <v>36180</v>
      </c>
      <c r="AW107" s="135"/>
      <c r="AX107" s="135"/>
      <c r="AY107" s="135"/>
      <c r="AZ107" s="961"/>
      <c r="BA107" s="135"/>
      <c r="BB107" s="135"/>
      <c r="BC107" s="948">
        <f>+AO111</f>
        <v>36180</v>
      </c>
      <c r="BD107" s="135"/>
      <c r="BE107" s="135"/>
      <c r="BF107" s="135"/>
      <c r="BG107" s="961"/>
      <c r="BH107" s="135"/>
      <c r="BI107" s="135"/>
      <c r="BJ107" s="948">
        <f>BC111</f>
        <v>36754</v>
      </c>
      <c r="BK107" s="135"/>
      <c r="BL107" s="135"/>
      <c r="BM107" s="135"/>
      <c r="BN107" s="961"/>
      <c r="BO107" s="135"/>
      <c r="BP107" s="135"/>
      <c r="BQ107" s="948">
        <f>+BJ111</f>
        <v>38249</v>
      </c>
      <c r="BR107" s="135"/>
      <c r="BS107" s="135"/>
      <c r="BT107" s="135"/>
      <c r="BU107" s="961"/>
      <c r="BV107" s="135"/>
      <c r="BW107" s="135"/>
      <c r="BX107" s="948">
        <f>+BQ111</f>
        <v>41312</v>
      </c>
      <c r="BY107" s="135"/>
      <c r="BZ107" s="135"/>
      <c r="CA107" s="135"/>
      <c r="CB107" s="961"/>
      <c r="CC107" s="135"/>
      <c r="CD107" s="135"/>
      <c r="CE107" s="948">
        <f>+BX111</f>
        <v>41852</v>
      </c>
      <c r="CF107" s="135"/>
      <c r="CG107" s="135"/>
      <c r="CH107" s="135"/>
      <c r="CI107" s="961"/>
      <c r="CJ107" s="135"/>
      <c r="CK107" s="135"/>
      <c r="CL107" s="948">
        <f>+CE111</f>
        <v>42270</v>
      </c>
      <c r="CM107" s="135"/>
      <c r="CN107" s="135"/>
      <c r="CO107" s="135"/>
      <c r="CP107" s="961"/>
      <c r="CQ107" s="135"/>
      <c r="CR107" s="135"/>
      <c r="CS107" s="948">
        <f>+CL111</f>
        <v>41269</v>
      </c>
      <c r="CT107" s="135"/>
      <c r="CU107" s="135"/>
      <c r="CV107" s="135"/>
      <c r="CW107" s="1117"/>
      <c r="CX107" s="135"/>
      <c r="CY107" s="897"/>
      <c r="CZ107" s="948">
        <f>+CS111</f>
        <v>42654</v>
      </c>
      <c r="DA107" s="865">
        <f>+CZ111</f>
        <v>45542</v>
      </c>
      <c r="DB107" s="135">
        <f>+DA111</f>
        <v>45974</v>
      </c>
      <c r="DC107" s="865">
        <f>+DB111</f>
        <v>46464.000000000007</v>
      </c>
      <c r="DD107" s="961">
        <f>+DC111</f>
        <v>47259.750000000007</v>
      </c>
      <c r="DE107" s="865">
        <f>+CZ111</f>
        <v>45542</v>
      </c>
      <c r="DF107" s="897"/>
      <c r="DG107" s="948">
        <f>+CZ111</f>
        <v>45542</v>
      </c>
      <c r="DH107" s="865">
        <f>+DG111</f>
        <v>49082</v>
      </c>
      <c r="DI107" s="135">
        <f>+DH111</f>
        <v>49598.19755911945</v>
      </c>
      <c r="DJ107" s="897">
        <f>+DI111</f>
        <v>50260.395118238899</v>
      </c>
      <c r="DK107" s="443">
        <f>+DJ111</f>
        <v>50910.874004987141</v>
      </c>
      <c r="DL107" s="865">
        <f>+DG111</f>
        <v>49082</v>
      </c>
      <c r="DM107" s="442">
        <f>+DL111</f>
        <v>50260.395118238892</v>
      </c>
      <c r="DN107" s="1116">
        <f>+DG111</f>
        <v>49082</v>
      </c>
      <c r="DO107" s="897">
        <f>+DN111</f>
        <v>52436.419286599739</v>
      </c>
      <c r="DP107" s="442">
        <f>+DO111</f>
        <v>53153.911727014507</v>
      </c>
      <c r="DQ107" s="897">
        <f>+DP111</f>
        <v>53958.755767517818</v>
      </c>
      <c r="DR107" s="443">
        <f>+DQ111</f>
        <v>54758.478818068412</v>
      </c>
      <c r="DS107" s="897">
        <f>+DN111</f>
        <v>52436.419286599739</v>
      </c>
      <c r="DT107" s="442">
        <f>+DS111</f>
        <v>53958.755767517818</v>
      </c>
      <c r="DU107" s="1116">
        <f>+DN111</f>
        <v>52436.419286599739</v>
      </c>
      <c r="DV107" s="897">
        <f>+DU111</f>
        <v>55665.819456904101</v>
      </c>
      <c r="DW107" s="442">
        <f>+DV111</f>
        <v>56400.970007218144</v>
      </c>
      <c r="DX107" s="897">
        <f>+DW111</f>
        <v>57227.653466276264</v>
      </c>
      <c r="DY107" s="443">
        <f>+DX111</f>
        <v>58048.940227399085</v>
      </c>
      <c r="DZ107" s="897">
        <f>+DU111</f>
        <v>55665.819456904101</v>
      </c>
      <c r="EA107" s="442">
        <f>+DZ111</f>
        <v>57227.653466276264</v>
      </c>
      <c r="EB107" s="1116">
        <f>+DU111</f>
        <v>55665.819456904101</v>
      </c>
      <c r="EC107" s="897">
        <f>+EB111</f>
        <v>58993.404940699227</v>
      </c>
      <c r="ED107" s="442">
        <f>+EC111</f>
        <v>59740.199964618332</v>
      </c>
      <c r="EE107" s="897">
        <f>+ED111</f>
        <v>60547.510249055544</v>
      </c>
      <c r="EF107" s="443">
        <f>+EE111</f>
        <v>61349.120177752084</v>
      </c>
      <c r="EG107" s="897">
        <f>+EB111</f>
        <v>58993.404940699227</v>
      </c>
      <c r="EH107" s="442">
        <f>+EG111</f>
        <v>60547.510249055529</v>
      </c>
      <c r="EI107" s="1116">
        <f>+EB111</f>
        <v>58993.404940699227</v>
      </c>
      <c r="EJ107" s="897">
        <f>+EI111</f>
        <v>62278.299960143093</v>
      </c>
      <c r="EK107" s="442">
        <f>+EJ111</f>
        <v>63043.801871050717</v>
      </c>
      <c r="EL107" s="897">
        <f>+EK111</f>
        <v>63872.514031146929</v>
      </c>
      <c r="EM107" s="443">
        <f>+EL111</f>
        <v>64695.352640474448</v>
      </c>
      <c r="EN107" s="897">
        <f>+EI111</f>
        <v>62278.299960143093</v>
      </c>
      <c r="EO107" s="442">
        <f>+EN111</f>
        <v>63872.514031146929</v>
      </c>
      <c r="EP107" s="1116">
        <f t="shared" ref="EP107" si="991">+EI111</f>
        <v>62278.299960143093</v>
      </c>
      <c r="EQ107" s="303"/>
      <c r="ER107" s="46"/>
    </row>
    <row r="108" spans="1:148" ht="10.199999999999999" customHeight="1">
      <c r="A108" s="43" t="s">
        <v>173</v>
      </c>
      <c r="B108" s="108"/>
      <c r="C108" s="135"/>
      <c r="D108" s="191">
        <v>2752</v>
      </c>
      <c r="E108" s="135">
        <v>3309</v>
      </c>
      <c r="F108" s="135">
        <v>2354</v>
      </c>
      <c r="G108" s="135">
        <f>+Divisional!G149</f>
        <v>2855</v>
      </c>
      <c r="H108" s="135">
        <f>+Divisional!H149</f>
        <v>2058</v>
      </c>
      <c r="I108" s="135">
        <f>+Divisional!I149</f>
        <v>1837</v>
      </c>
      <c r="J108" s="135">
        <f>+Divisional!J149</f>
        <v>1957</v>
      </c>
      <c r="K108" s="135">
        <f>+Divisional!K149</f>
        <v>2250</v>
      </c>
      <c r="L108" s="135">
        <f>+Divisional!L149</f>
        <v>2197</v>
      </c>
      <c r="M108" s="135">
        <v>2840</v>
      </c>
      <c r="N108" s="135"/>
      <c r="O108" s="135"/>
      <c r="P108" s="135"/>
      <c r="Q108" s="961"/>
      <c r="R108" s="135"/>
      <c r="S108" s="135"/>
      <c r="T108" s="948">
        <v>2436</v>
      </c>
      <c r="U108" s="135"/>
      <c r="V108" s="135"/>
      <c r="W108" s="135"/>
      <c r="X108" s="961"/>
      <c r="Y108" s="135"/>
      <c r="Z108" s="135"/>
      <c r="AA108" s="948">
        <v>2213</v>
      </c>
      <c r="AB108" s="135"/>
      <c r="AC108" s="135"/>
      <c r="AD108" s="135"/>
      <c r="AE108" s="961"/>
      <c r="AF108" s="135"/>
      <c r="AG108" s="135"/>
      <c r="AH108" s="948">
        <v>3035</v>
      </c>
      <c r="AI108" s="135"/>
      <c r="AJ108" s="135"/>
      <c r="AK108" s="135"/>
      <c r="AL108" s="961"/>
      <c r="AM108" s="135"/>
      <c r="AN108" s="135"/>
      <c r="AO108" s="948">
        <v>2805</v>
      </c>
      <c r="AP108" s="135"/>
      <c r="AQ108" s="135"/>
      <c r="AR108" s="135"/>
      <c r="AS108" s="961"/>
      <c r="AT108" s="135"/>
      <c r="AU108" s="135"/>
      <c r="AV108" s="948">
        <v>2339</v>
      </c>
      <c r="AW108" s="135"/>
      <c r="AX108" s="135"/>
      <c r="AY108" s="135"/>
      <c r="AZ108" s="961"/>
      <c r="BA108" s="135"/>
      <c r="BB108" s="135"/>
      <c r="BC108" s="948">
        <v>2339</v>
      </c>
      <c r="BD108" s="135"/>
      <c r="BE108" s="135"/>
      <c r="BF108" s="135"/>
      <c r="BG108" s="961"/>
      <c r="BH108" s="135"/>
      <c r="BI108" s="135"/>
      <c r="BJ108" s="948">
        <v>2003</v>
      </c>
      <c r="BK108" s="135"/>
      <c r="BL108" s="135"/>
      <c r="BM108" s="135"/>
      <c r="BN108" s="961"/>
      <c r="BO108" s="135"/>
      <c r="BP108" s="135"/>
      <c r="BQ108" s="948">
        <f>+Divisional!BQ149-BQ89</f>
        <v>1931</v>
      </c>
      <c r="BR108" s="135"/>
      <c r="BS108" s="135"/>
      <c r="BT108" s="135"/>
      <c r="BU108" s="961"/>
      <c r="BV108" s="135"/>
      <c r="BW108" s="135"/>
      <c r="BX108" s="948">
        <f>+Divisional!CE149-BX89</f>
        <v>1459</v>
      </c>
      <c r="BY108" s="135"/>
      <c r="BZ108" s="135"/>
      <c r="CA108" s="135"/>
      <c r="CB108" s="961"/>
      <c r="CC108" s="135"/>
      <c r="CD108" s="135"/>
      <c r="CE108" s="948">
        <f>+Divisional!CL149-CE89</f>
        <v>1577</v>
      </c>
      <c r="CF108" s="135"/>
      <c r="CG108" s="135"/>
      <c r="CH108" s="135"/>
      <c r="CI108" s="961"/>
      <c r="CJ108" s="135"/>
      <c r="CK108" s="135"/>
      <c r="CL108" s="948">
        <f>+Divisional!CS149-CL89</f>
        <v>1985</v>
      </c>
      <c r="CM108" s="135"/>
      <c r="CN108" s="135"/>
      <c r="CO108" s="135"/>
      <c r="CP108" s="961"/>
      <c r="CQ108" s="135"/>
      <c r="CR108" s="135"/>
      <c r="CS108" s="948">
        <f>+Divisional!CZ149-CS89</f>
        <v>2467</v>
      </c>
      <c r="CT108" s="135"/>
      <c r="CU108" s="135"/>
      <c r="CV108" s="135"/>
      <c r="CW108" s="1117"/>
      <c r="CX108" s="135"/>
      <c r="CY108" s="897"/>
      <c r="CZ108" s="948">
        <f>+Divisional!DG149-CZ89</f>
        <v>3029</v>
      </c>
      <c r="DA108" s="865">
        <f>+Divisional!DH149-DA89</f>
        <v>484.75</v>
      </c>
      <c r="DB108" s="135">
        <f>DE108-DA108</f>
        <v>617.75</v>
      </c>
      <c r="DC108" s="865">
        <f>+Divisional!DJ149-DC89</f>
        <v>795.75</v>
      </c>
      <c r="DD108" s="1102">
        <f>+Divisional!DK149-DD89</f>
        <v>1520.7500000000002</v>
      </c>
      <c r="DE108" s="865">
        <f>+Divisional!DL149-DE89</f>
        <v>1102.5</v>
      </c>
      <c r="DF108" s="897"/>
      <c r="DG108" s="948">
        <f>+Divisional!DN149-DG89</f>
        <v>3419</v>
      </c>
      <c r="DH108" s="865">
        <f>+Divisional!DO149-DH89</f>
        <v>516.42388616721053</v>
      </c>
      <c r="DI108" s="135">
        <f>DL108-DH108</f>
        <v>734.42388616721075</v>
      </c>
      <c r="DJ108" s="897">
        <f>+Divisional!DQ149-DJ89</f>
        <v>775.53844613358797</v>
      </c>
      <c r="DK108" s="1117">
        <f>+Divisional!DR149-DK89</f>
        <v>1650.6048409979417</v>
      </c>
      <c r="DL108" s="865">
        <f>+Divisional!DS149-DL89</f>
        <v>1250.8477723344213</v>
      </c>
      <c r="DM108" s="897">
        <f>+Divisional!DT149-DM89</f>
        <v>2426.1432871315296</v>
      </c>
      <c r="DN108" s="1116">
        <f>+Divisional!DU149-DN89</f>
        <v>3676.9910594659509</v>
      </c>
      <c r="DO108" s="897">
        <f>+Divisional!DV149-DO89</f>
        <v>851.18804860640739</v>
      </c>
      <c r="DP108" s="442">
        <f>DS108-DO108</f>
        <v>938.53964869495712</v>
      </c>
      <c r="DQ108" s="897">
        <f>+Divisional!DX149-DQ89</f>
        <v>933.41865874223788</v>
      </c>
      <c r="DR108" s="1117">
        <f>+Divisional!DY149-DR89</f>
        <v>1041.0362470273408</v>
      </c>
      <c r="DS108" s="897">
        <f>+Divisional!DZ149-DS89</f>
        <v>1789.7276973013645</v>
      </c>
      <c r="DT108" s="897">
        <f>+Divisional!EA149-DT89</f>
        <v>1974.454905769579</v>
      </c>
      <c r="DU108" s="1116">
        <f>+Divisional!EB149-DU89</f>
        <v>3764.1826030709435</v>
      </c>
      <c r="DV108" s="897">
        <f>+Divisional!EC149-DV89</f>
        <v>877.08006588794478</v>
      </c>
      <c r="DW108" s="442">
        <f>DZ108-DV108</f>
        <v>968.61297463202163</v>
      </c>
      <c r="DX108" s="897">
        <f>+Divisional!EE149-DX89</f>
        <v>963.2162766967266</v>
      </c>
      <c r="DY108" s="1117">
        <f>+Divisional!EF149-DY89</f>
        <v>1086.3942288740375</v>
      </c>
      <c r="DZ108" s="897">
        <f>+Divisional!EG149-DZ89</f>
        <v>1845.6930405199664</v>
      </c>
      <c r="EA108" s="897">
        <f>+Divisional!EH149-EA89</f>
        <v>2049.610505570764</v>
      </c>
      <c r="EB108" s="1116">
        <f>+Divisional!EI149-EB89</f>
        <v>3895.3035460907304</v>
      </c>
      <c r="EC108" s="897">
        <f>+Divisional!EJ149-EC89</f>
        <v>897.20878710407601</v>
      </c>
      <c r="ED108" s="442">
        <f>EG108-EC108</f>
        <v>957.72404762218207</v>
      </c>
      <c r="EE108" s="897">
        <f>+Divisional!EL149-EE89</f>
        <v>952.0236918815101</v>
      </c>
      <c r="EF108" s="1117">
        <f>+Divisional!EM149-EF89</f>
        <v>1079.5935455760077</v>
      </c>
      <c r="EG108" s="897">
        <f>+Divisional!EN149-EG89</f>
        <v>1854.9328347262581</v>
      </c>
      <c r="EH108" s="897">
        <f>+Divisional!EO149-EH89</f>
        <v>2031.6172374575176</v>
      </c>
      <c r="EI108" s="1116">
        <f>+Divisional!EP149-EI89</f>
        <v>3886.5500721837752</v>
      </c>
      <c r="EJ108" s="897">
        <f>+Divisional!EQ149-EJ89</f>
        <v>924.29107507240155</v>
      </c>
      <c r="EK108" s="442">
        <f>EN108-EJ108</f>
        <v>987.50132426099071</v>
      </c>
      <c r="EL108" s="897">
        <f>+Divisional!ES149-EL89</f>
        <v>981.6277734923018</v>
      </c>
      <c r="EM108" s="1117">
        <f>+Divisional!ET149-EM89</f>
        <v>1113.4634502482429</v>
      </c>
      <c r="EN108" s="897">
        <f>+Divisional!EU149-EN89</f>
        <v>1911.7923993333923</v>
      </c>
      <c r="EO108" s="897">
        <f>+Divisional!EV149-EO89</f>
        <v>2095.0912237405446</v>
      </c>
      <c r="EP108" s="1116">
        <f>+Divisional!EW149-EP89</f>
        <v>4006.8836230739366</v>
      </c>
      <c r="EQ108" s="303"/>
      <c r="ER108" s="46"/>
    </row>
    <row r="109" spans="1:148" ht="10.199999999999999" customHeight="1">
      <c r="A109" s="43" t="s">
        <v>177</v>
      </c>
      <c r="B109" s="108"/>
      <c r="C109" s="108"/>
      <c r="D109" s="203">
        <v>-375</v>
      </c>
      <c r="E109" s="203">
        <v>-833</v>
      </c>
      <c r="F109" s="203">
        <v>-568</v>
      </c>
      <c r="G109" s="203">
        <f t="shared" ref="G109:L109" si="992">+G122*G107</f>
        <v>-945.16</v>
      </c>
      <c r="H109" s="203">
        <f t="shared" si="992"/>
        <v>-995.6</v>
      </c>
      <c r="I109" s="203">
        <f t="shared" si="992"/>
        <v>-957.44</v>
      </c>
      <c r="J109" s="203">
        <f t="shared" si="992"/>
        <v>-899.48</v>
      </c>
      <c r="K109" s="203">
        <f t="shared" si="992"/>
        <v>-964.16</v>
      </c>
      <c r="L109" s="203">
        <f t="shared" si="992"/>
        <v>-1044.4000000000001</v>
      </c>
      <c r="M109" s="203">
        <v>-603</v>
      </c>
      <c r="N109" s="203"/>
      <c r="O109" s="203"/>
      <c r="P109" s="203"/>
      <c r="Q109" s="1448"/>
      <c r="R109" s="203"/>
      <c r="S109" s="203"/>
      <c r="T109" s="1461">
        <v>-961</v>
      </c>
      <c r="U109" s="203"/>
      <c r="V109" s="203"/>
      <c r="W109" s="203"/>
      <c r="X109" s="1448"/>
      <c r="Y109" s="203"/>
      <c r="Z109" s="203"/>
      <c r="AA109" s="1461">
        <v>-680</v>
      </c>
      <c r="AB109" s="203"/>
      <c r="AC109" s="203"/>
      <c r="AD109" s="203"/>
      <c r="AE109" s="1448"/>
      <c r="AF109" s="203"/>
      <c r="AG109" s="203"/>
      <c r="AH109" s="1461">
        <v>-347</v>
      </c>
      <c r="AI109" s="203"/>
      <c r="AJ109" s="203"/>
      <c r="AK109" s="203"/>
      <c r="AL109" s="1448"/>
      <c r="AM109" s="203"/>
      <c r="AN109" s="203"/>
      <c r="AO109" s="1461"/>
      <c r="AP109" s="203"/>
      <c r="AQ109" s="203"/>
      <c r="AR109" s="203"/>
      <c r="AS109" s="1448"/>
      <c r="AT109" s="203"/>
      <c r="AU109" s="203"/>
      <c r="AV109" s="1461"/>
      <c r="AW109" s="203"/>
      <c r="AX109" s="203"/>
      <c r="AY109" s="203"/>
      <c r="AZ109" s="1448"/>
      <c r="BA109" s="203"/>
      <c r="BB109" s="203"/>
      <c r="BC109" s="1461"/>
      <c r="BD109" s="203"/>
      <c r="BE109" s="203"/>
      <c r="BF109" s="203"/>
      <c r="BG109" s="1448"/>
      <c r="BH109" s="203"/>
      <c r="BI109" s="203"/>
      <c r="BJ109" s="1461"/>
      <c r="BK109" s="203"/>
      <c r="BL109" s="203"/>
      <c r="BM109" s="203"/>
      <c r="BN109" s="1448"/>
      <c r="BO109" s="203"/>
      <c r="BP109" s="203"/>
      <c r="BQ109" s="1461"/>
      <c r="BR109" s="203"/>
      <c r="BS109" s="203"/>
      <c r="BT109" s="203"/>
      <c r="BU109" s="1448"/>
      <c r="BV109" s="203"/>
      <c r="BW109" s="203"/>
      <c r="BX109" s="1461"/>
      <c r="BY109" s="203"/>
      <c r="BZ109" s="203"/>
      <c r="CA109" s="203"/>
      <c r="CB109" s="1448"/>
      <c r="CC109" s="203"/>
      <c r="CD109" s="203"/>
      <c r="CE109" s="1461">
        <f t="shared" ref="CE109:EP109" si="993">+CE122*CE107</f>
        <v>-426.83529273454036</v>
      </c>
      <c r="CF109" s="203"/>
      <c r="CG109" s="203"/>
      <c r="CH109" s="203"/>
      <c r="CI109" s="1448"/>
      <c r="CJ109" s="203"/>
      <c r="CK109" s="203"/>
      <c r="CL109" s="1461">
        <f t="shared" si="993"/>
        <v>-431.09834234657887</v>
      </c>
      <c r="CM109" s="203"/>
      <c r="CN109" s="203"/>
      <c r="CO109" s="203"/>
      <c r="CP109" s="1448"/>
      <c r="CQ109" s="203"/>
      <c r="CR109" s="203"/>
      <c r="CS109" s="1461">
        <f t="shared" ref="CS109" si="994">+CS122*CS107</f>
        <v>-420.88946038090762</v>
      </c>
      <c r="CT109" s="203"/>
      <c r="CU109" s="203"/>
      <c r="CV109" s="203"/>
      <c r="CW109" s="1109"/>
      <c r="CX109" s="203"/>
      <c r="CY109" s="860"/>
      <c r="CZ109" s="1461">
        <f t="shared" ref="CZ109" si="995">+CZ122*CZ107</f>
        <v>-435.01463672701624</v>
      </c>
      <c r="DA109" s="834">
        <f>DE109/2</f>
        <v>-116.11710851163885</v>
      </c>
      <c r="DB109" s="203">
        <f>DE109-DA109</f>
        <v>-116.11710851163885</v>
      </c>
      <c r="DC109" s="834">
        <f>DF109/2</f>
        <v>0</v>
      </c>
      <c r="DD109" s="1448">
        <f>DF109-DC109</f>
        <v>0</v>
      </c>
      <c r="DE109" s="834">
        <f>DG109/2</f>
        <v>-232.23421702327769</v>
      </c>
      <c r="DF109" s="860"/>
      <c r="DG109" s="1461">
        <f t="shared" ref="DG109" si="996">+DG122*DG107</f>
        <v>-464.46843404655539</v>
      </c>
      <c r="DH109" s="834">
        <f>DL109/2</f>
        <v>-125.14294321655302</v>
      </c>
      <c r="DI109" s="203">
        <f>DL109-DH109</f>
        <v>-125.14294321655302</v>
      </c>
      <c r="DJ109" s="860">
        <f>DM109/2</f>
        <v>-125.14294321655302</v>
      </c>
      <c r="DK109" s="1557">
        <f>DM109-DJ109</f>
        <v>-125.14294321655302</v>
      </c>
      <c r="DL109" s="834">
        <f>DN109/2</f>
        <v>-250.28588643310604</v>
      </c>
      <c r="DM109" s="1422">
        <f>DN109-DL109</f>
        <v>-250.28588643310604</v>
      </c>
      <c r="DN109" s="1119">
        <f t="shared" si="993"/>
        <v>-500.57177286621209</v>
      </c>
      <c r="DO109" s="860">
        <f>DS109/2</f>
        <v>-133.69560819164494</v>
      </c>
      <c r="DP109" s="1422">
        <f>DS109-DO109</f>
        <v>-133.69560819164494</v>
      </c>
      <c r="DQ109" s="860">
        <f>DT109/2</f>
        <v>-133.69560819164494</v>
      </c>
      <c r="DR109" s="1557">
        <f>DT109-DQ109</f>
        <v>-133.69560819164494</v>
      </c>
      <c r="DS109" s="860">
        <f>DU109/2</f>
        <v>-267.39121638328987</v>
      </c>
      <c r="DT109" s="1422">
        <f>DU109-DS109</f>
        <v>-267.39121638328987</v>
      </c>
      <c r="DU109" s="1119">
        <f t="shared" si="993"/>
        <v>-534.78243276657975</v>
      </c>
      <c r="DV109" s="860">
        <f>DZ109/2</f>
        <v>-141.92951557390168</v>
      </c>
      <c r="DW109" s="1422">
        <f>DZ109-DV109</f>
        <v>-141.92951557390168</v>
      </c>
      <c r="DX109" s="860">
        <f>EA109/2</f>
        <v>-141.92951557390168</v>
      </c>
      <c r="DY109" s="1557">
        <f>EA109-DX109</f>
        <v>-141.92951557390168</v>
      </c>
      <c r="DZ109" s="860">
        <f>EB109/2</f>
        <v>-283.85903114780336</v>
      </c>
      <c r="EA109" s="1422">
        <f>EB109-DZ109</f>
        <v>-283.85903114780336</v>
      </c>
      <c r="EB109" s="1119">
        <f t="shared" si="993"/>
        <v>-567.71806229560673</v>
      </c>
      <c r="EC109" s="860">
        <f>EG109/2</f>
        <v>-150.41376318497703</v>
      </c>
      <c r="ED109" s="1422">
        <f>EG109-EC109</f>
        <v>-150.41376318497703</v>
      </c>
      <c r="EE109" s="860">
        <f>EH109/2</f>
        <v>-150.41376318497703</v>
      </c>
      <c r="EF109" s="1557">
        <f>EH109-EE109</f>
        <v>-150.41376318497703</v>
      </c>
      <c r="EG109" s="860">
        <f>EI109/2</f>
        <v>-300.82752636995406</v>
      </c>
      <c r="EH109" s="1422">
        <f>EI109-EG109</f>
        <v>-300.82752636995406</v>
      </c>
      <c r="EI109" s="1119">
        <f t="shared" si="993"/>
        <v>-601.65505273990811</v>
      </c>
      <c r="EJ109" s="860">
        <f>EN109/2</f>
        <v>-158.78916416477821</v>
      </c>
      <c r="EK109" s="1422">
        <f>EN109-EJ109</f>
        <v>-158.78916416477821</v>
      </c>
      <c r="EL109" s="860">
        <f>EO109/2</f>
        <v>-158.78916416477821</v>
      </c>
      <c r="EM109" s="1557">
        <f>EO109-EL109</f>
        <v>-158.78916416477821</v>
      </c>
      <c r="EN109" s="860">
        <f>EP109/2</f>
        <v>-317.57832832955643</v>
      </c>
      <c r="EO109" s="1422">
        <f>EP109-EN109</f>
        <v>-317.57832832955643</v>
      </c>
      <c r="EP109" s="1119">
        <f t="shared" si="993"/>
        <v>-635.15665665911285</v>
      </c>
      <c r="EQ109" s="303"/>
      <c r="ER109" s="46"/>
    </row>
    <row r="110" spans="1:148" ht="10.199999999999999" customHeight="1">
      <c r="A110" s="3" t="s">
        <v>89</v>
      </c>
      <c r="B110" s="1"/>
      <c r="C110" s="1"/>
      <c r="D110" s="836">
        <f t="shared" ref="D110:M110" si="997">+D111-D109-D108-D107</f>
        <v>-404</v>
      </c>
      <c r="E110" s="836">
        <f t="shared" si="997"/>
        <v>-278</v>
      </c>
      <c r="F110" s="836">
        <f t="shared" si="997"/>
        <v>108</v>
      </c>
      <c r="G110" s="836">
        <f t="shared" si="997"/>
        <v>-648.84000000000015</v>
      </c>
      <c r="H110" s="836">
        <f t="shared" si="997"/>
        <v>-2016.4000000000015</v>
      </c>
      <c r="I110" s="836">
        <f t="shared" si="997"/>
        <v>-2328.5600000000013</v>
      </c>
      <c r="J110" s="836">
        <f t="shared" si="997"/>
        <v>559.47999999999956</v>
      </c>
      <c r="K110" s="836">
        <f t="shared" si="997"/>
        <v>720.15999999999985</v>
      </c>
      <c r="L110" s="836">
        <f t="shared" si="997"/>
        <v>1050.4000000000015</v>
      </c>
      <c r="M110" s="836">
        <f t="shared" si="997"/>
        <v>572</v>
      </c>
      <c r="N110" s="1564"/>
      <c r="O110" s="1564"/>
      <c r="P110" s="1564"/>
      <c r="Q110" s="1580"/>
      <c r="R110" s="1564"/>
      <c r="S110" s="1564"/>
      <c r="T110" s="1598">
        <f>-222+4+166</f>
        <v>-52</v>
      </c>
      <c r="U110" s="1564"/>
      <c r="V110" s="1564"/>
      <c r="W110" s="1564"/>
      <c r="X110" s="1580"/>
      <c r="Y110" s="1564"/>
      <c r="Z110" s="1564"/>
      <c r="AA110" s="1598">
        <f>604+193+2</f>
        <v>799</v>
      </c>
      <c r="AB110" s="1564"/>
      <c r="AC110" s="1564"/>
      <c r="AD110" s="1564"/>
      <c r="AE110" s="1580"/>
      <c r="AF110" s="1564"/>
      <c r="AG110" s="1564"/>
      <c r="AH110" s="1598">
        <v>0</v>
      </c>
      <c r="AI110" s="1564"/>
      <c r="AJ110" s="1564"/>
      <c r="AK110" s="1564"/>
      <c r="AL110" s="1580"/>
      <c r="AM110" s="1564"/>
      <c r="AN110" s="1564"/>
      <c r="AO110" s="1598">
        <f t="shared" ref="AO110:CL110" si="998">AO111-AO109-AO108-AO107</f>
        <v>-3337</v>
      </c>
      <c r="AP110" s="1564"/>
      <c r="AQ110" s="1564"/>
      <c r="AR110" s="1564"/>
      <c r="AS110" s="1580"/>
      <c r="AT110" s="1564"/>
      <c r="AU110" s="1564"/>
      <c r="AV110" s="1598">
        <f t="shared" si="998"/>
        <v>-1766</v>
      </c>
      <c r="AW110" s="1564"/>
      <c r="AX110" s="1564"/>
      <c r="AY110" s="1564"/>
      <c r="AZ110" s="1580"/>
      <c r="BA110" s="1564"/>
      <c r="BB110" s="1564"/>
      <c r="BC110" s="1598">
        <f t="shared" si="998"/>
        <v>-1765</v>
      </c>
      <c r="BD110" s="1564"/>
      <c r="BE110" s="1564"/>
      <c r="BF110" s="1564"/>
      <c r="BG110" s="1580"/>
      <c r="BH110" s="1564"/>
      <c r="BI110" s="1564"/>
      <c r="BJ110" s="1598">
        <f t="shared" si="998"/>
        <v>-508</v>
      </c>
      <c r="BK110" s="1564"/>
      <c r="BL110" s="1564"/>
      <c r="BM110" s="1564"/>
      <c r="BN110" s="1580"/>
      <c r="BO110" s="1564"/>
      <c r="BP110" s="1564"/>
      <c r="BQ110" s="1598">
        <f t="shared" si="998"/>
        <v>1132</v>
      </c>
      <c r="BR110" s="1564"/>
      <c r="BS110" s="1564"/>
      <c r="BT110" s="1564"/>
      <c r="BU110" s="1580"/>
      <c r="BV110" s="1564"/>
      <c r="BW110" s="1564"/>
      <c r="BX110" s="1598">
        <f t="shared" si="998"/>
        <v>-919</v>
      </c>
      <c r="BY110" s="1564"/>
      <c r="BZ110" s="1564"/>
      <c r="CA110" s="1564"/>
      <c r="CB110" s="1580"/>
      <c r="CC110" s="1564"/>
      <c r="CD110" s="1564"/>
      <c r="CE110" s="1598">
        <f t="shared" si="998"/>
        <v>-732.16470726545958</v>
      </c>
      <c r="CF110" s="1564"/>
      <c r="CG110" s="1564"/>
      <c r="CH110" s="1564"/>
      <c r="CI110" s="1580"/>
      <c r="CJ110" s="1564"/>
      <c r="CK110" s="1564"/>
      <c r="CL110" s="1598">
        <f t="shared" si="998"/>
        <v>-2554.9016576534195</v>
      </c>
      <c r="CM110" s="1564"/>
      <c r="CN110" s="1564"/>
      <c r="CO110" s="1564"/>
      <c r="CP110" s="1580"/>
      <c r="CQ110" s="1564"/>
      <c r="CR110" s="1564"/>
      <c r="CS110" s="1598">
        <f t="shared" ref="CS110" si="999">CS111-CS109-CS108-CS107</f>
        <v>-661.11053961909056</v>
      </c>
      <c r="CT110" s="1564"/>
      <c r="CU110" s="1442"/>
      <c r="CV110" s="1564"/>
      <c r="CW110" s="1516"/>
      <c r="CX110" s="1564"/>
      <c r="CY110" s="1410"/>
      <c r="CZ110" s="1598">
        <f t="shared" ref="CZ110:DA110" si="1000">CZ111-CZ109-CZ108-CZ107</f>
        <v>294.01463672701357</v>
      </c>
      <c r="DA110" s="1564">
        <f t="shared" si="1000"/>
        <v>63.367108511636616</v>
      </c>
      <c r="DB110" s="1564">
        <f>DE110-DA110</f>
        <v>-11.632891488356108</v>
      </c>
      <c r="DC110" s="1564">
        <f>DF110/2</f>
        <v>0</v>
      </c>
      <c r="DD110" s="1580">
        <f>DF110-DC110</f>
        <v>0</v>
      </c>
      <c r="DE110" s="1564">
        <f t="shared" ref="DE110" si="1001">DE111-DE109-DE108-DE107</f>
        <v>51.734217023280507</v>
      </c>
      <c r="DF110" s="1410"/>
      <c r="DG110" s="1598">
        <f t="shared" ref="DG110:DH110" si="1002">DG111-DG109-DG108-DG107</f>
        <v>585.46843404655374</v>
      </c>
      <c r="DH110" s="1564">
        <f t="shared" si="1002"/>
        <v>124.91661616878991</v>
      </c>
      <c r="DI110" s="1564">
        <f>DL110-DH110</f>
        <v>52.916616168789915</v>
      </c>
      <c r="DJ110" s="1410">
        <f>DM110/2</f>
        <v>8.3383831210085191E-2</v>
      </c>
      <c r="DK110" s="1669">
        <f>DM110-DJ110</f>
        <v>8.3383831210085191E-2</v>
      </c>
      <c r="DL110" s="1564">
        <f t="shared" ref="DL110" si="1003">DL111-DL109-DL108-DL107</f>
        <v>177.83323233757983</v>
      </c>
      <c r="DM110" s="1668">
        <f>DN110-DL110</f>
        <v>0.16676766242017038</v>
      </c>
      <c r="DN110" s="1485">
        <v>178</v>
      </c>
      <c r="DO110" s="1410"/>
      <c r="DP110" s="1668"/>
      <c r="DQ110" s="1410"/>
      <c r="DR110" s="1669"/>
      <c r="DS110" s="1410"/>
      <c r="DT110" s="1668"/>
      <c r="DU110" s="1487"/>
      <c r="DV110" s="1410"/>
      <c r="DW110" s="1668"/>
      <c r="DX110" s="1410"/>
      <c r="DY110" s="1669"/>
      <c r="DZ110" s="1410"/>
      <c r="EA110" s="1668"/>
      <c r="EB110" s="1487"/>
      <c r="EC110" s="1410"/>
      <c r="ED110" s="1668"/>
      <c r="EE110" s="1410"/>
      <c r="EF110" s="1669"/>
      <c r="EG110" s="1410"/>
      <c r="EH110" s="1668"/>
      <c r="EI110" s="1487"/>
      <c r="EJ110" s="1410"/>
      <c r="EK110" s="1668"/>
      <c r="EL110" s="1410"/>
      <c r="EM110" s="1669"/>
      <c r="EN110" s="1410"/>
      <c r="EO110" s="1668"/>
      <c r="EP110" s="1487"/>
      <c r="EQ110" s="851"/>
      <c r="ER110" s="875"/>
    </row>
    <row r="111" spans="1:148" ht="10.199999999999999" customHeight="1">
      <c r="A111" s="43" t="s">
        <v>178</v>
      </c>
      <c r="B111" s="108"/>
      <c r="C111" s="108"/>
      <c r="D111" s="191">
        <v>19537</v>
      </c>
      <c r="E111" s="135">
        <v>21735</v>
      </c>
      <c r="F111" s="135">
        <f>23629</f>
        <v>23629</v>
      </c>
      <c r="G111" s="135">
        <f t="shared" ref="G111:M111" si="1004">+G102</f>
        <v>24890</v>
      </c>
      <c r="H111" s="135">
        <f t="shared" si="1004"/>
        <v>23936</v>
      </c>
      <c r="I111" s="135">
        <f t="shared" si="1004"/>
        <v>22487</v>
      </c>
      <c r="J111" s="135">
        <f t="shared" si="1004"/>
        <v>24104</v>
      </c>
      <c r="K111" s="135">
        <f t="shared" si="1004"/>
        <v>26110</v>
      </c>
      <c r="L111" s="135">
        <f t="shared" si="1004"/>
        <v>28313</v>
      </c>
      <c r="M111" s="135">
        <f t="shared" si="1004"/>
        <v>31122</v>
      </c>
      <c r="N111" s="135"/>
      <c r="O111" s="135"/>
      <c r="P111" s="135"/>
      <c r="Q111" s="961"/>
      <c r="R111" s="135"/>
      <c r="S111" s="135"/>
      <c r="T111" s="948">
        <f>+SUM(T107:T110)</f>
        <v>31692</v>
      </c>
      <c r="U111" s="135"/>
      <c r="V111" s="135"/>
      <c r="W111" s="135"/>
      <c r="X111" s="961"/>
      <c r="Y111" s="135"/>
      <c r="Z111" s="135"/>
      <c r="AA111" s="948">
        <f>+SUM(AA107:AA110)</f>
        <v>34024</v>
      </c>
      <c r="AB111" s="135"/>
      <c r="AC111" s="135"/>
      <c r="AD111" s="135"/>
      <c r="AE111" s="961"/>
      <c r="AF111" s="135"/>
      <c r="AG111" s="135"/>
      <c r="AH111" s="948">
        <f>+SUM(AH107:AH110)</f>
        <v>36712</v>
      </c>
      <c r="AI111" s="135"/>
      <c r="AJ111" s="135"/>
      <c r="AK111" s="135"/>
      <c r="AL111" s="961"/>
      <c r="AM111" s="135"/>
      <c r="AN111" s="135"/>
      <c r="AO111" s="948">
        <v>36180</v>
      </c>
      <c r="AP111" s="135"/>
      <c r="AQ111" s="135"/>
      <c r="AR111" s="135"/>
      <c r="AS111" s="961"/>
      <c r="AT111" s="135"/>
      <c r="AU111" s="135"/>
      <c r="AV111" s="948">
        <v>36753</v>
      </c>
      <c r="AW111" s="135"/>
      <c r="AX111" s="135"/>
      <c r="AY111" s="135"/>
      <c r="AZ111" s="961"/>
      <c r="BA111" s="135"/>
      <c r="BB111" s="135"/>
      <c r="BC111" s="948">
        <v>36754</v>
      </c>
      <c r="BD111" s="135"/>
      <c r="BE111" s="135"/>
      <c r="BF111" s="135"/>
      <c r="BG111" s="961"/>
      <c r="BH111" s="135"/>
      <c r="BI111" s="135"/>
      <c r="BJ111" s="948">
        <v>38249</v>
      </c>
      <c r="BK111" s="135"/>
      <c r="BL111" s="135"/>
      <c r="BM111" s="135"/>
      <c r="BN111" s="961"/>
      <c r="BO111" s="135"/>
      <c r="BP111" s="135"/>
      <c r="BQ111" s="948">
        <f>BQ102</f>
        <v>41312</v>
      </c>
      <c r="BR111" s="135"/>
      <c r="BS111" s="135"/>
      <c r="BT111" s="135"/>
      <c r="BU111" s="961"/>
      <c r="BV111" s="135"/>
      <c r="BW111" s="135"/>
      <c r="BX111" s="948">
        <f>BX102</f>
        <v>41852</v>
      </c>
      <c r="BY111" s="135"/>
      <c r="BZ111" s="135"/>
      <c r="CA111" s="135"/>
      <c r="CB111" s="961"/>
      <c r="CC111" s="135"/>
      <c r="CD111" s="135"/>
      <c r="CE111" s="948">
        <f>CE102</f>
        <v>42270</v>
      </c>
      <c r="CF111" s="135"/>
      <c r="CG111" s="135"/>
      <c r="CH111" s="135"/>
      <c r="CI111" s="961"/>
      <c r="CJ111" s="135"/>
      <c r="CK111" s="135"/>
      <c r="CL111" s="948">
        <f>CL102</f>
        <v>41269</v>
      </c>
      <c r="CM111" s="135"/>
      <c r="CN111" s="135"/>
      <c r="CO111" s="135"/>
      <c r="CP111" s="961"/>
      <c r="CQ111" s="135"/>
      <c r="CR111" s="135"/>
      <c r="CS111" s="948">
        <f>CS102</f>
        <v>42654</v>
      </c>
      <c r="CT111" s="135"/>
      <c r="CU111" s="135"/>
      <c r="CV111" s="135"/>
      <c r="CW111" s="1117"/>
      <c r="CX111" s="135"/>
      <c r="CY111" s="897"/>
      <c r="CZ111" s="948">
        <f>CZ102</f>
        <v>45542</v>
      </c>
      <c r="DA111" s="135">
        <f>DA102</f>
        <v>45974</v>
      </c>
      <c r="DB111" s="135">
        <f t="shared" ref="DB111" si="1005">+SUM(DB107:DB110)</f>
        <v>46464.000000000007</v>
      </c>
      <c r="DC111" s="865">
        <f t="shared" ref="DC111:DD111" si="1006">+SUM(DC107:DC110)</f>
        <v>47259.750000000007</v>
      </c>
      <c r="DD111" s="961">
        <f t="shared" si="1006"/>
        <v>48780.500000000007</v>
      </c>
      <c r="DE111" s="135">
        <f>DE102</f>
        <v>46464</v>
      </c>
      <c r="DF111" s="897"/>
      <c r="DG111" s="948">
        <f>DG102</f>
        <v>49082</v>
      </c>
      <c r="DH111" s="865">
        <f>DH102</f>
        <v>49598.19755911945</v>
      </c>
      <c r="DI111" s="135">
        <f t="shared" ref="DI111" si="1007">+SUM(DI107:DI110)</f>
        <v>50260.395118238899</v>
      </c>
      <c r="DJ111" s="897">
        <f t="shared" ref="DJ111:EP111" si="1008">+SUM(DJ107:DJ110)</f>
        <v>50910.874004987141</v>
      </c>
      <c r="DK111" s="443">
        <f t="shared" si="1008"/>
        <v>52436.419286599739</v>
      </c>
      <c r="DL111" s="135">
        <f>DL102</f>
        <v>50260.395118238892</v>
      </c>
      <c r="DM111" s="442">
        <f t="shared" si="1008"/>
        <v>52436.419286599732</v>
      </c>
      <c r="DN111" s="1116">
        <f t="shared" si="1008"/>
        <v>52436.419286599739</v>
      </c>
      <c r="DO111" s="897">
        <f t="shared" si="1008"/>
        <v>53153.911727014507</v>
      </c>
      <c r="DP111" s="442">
        <f t="shared" si="1008"/>
        <v>53958.755767517818</v>
      </c>
      <c r="DQ111" s="897">
        <f t="shared" si="1008"/>
        <v>54758.478818068412</v>
      </c>
      <c r="DR111" s="443">
        <f t="shared" si="1008"/>
        <v>55665.819456904108</v>
      </c>
      <c r="DS111" s="897">
        <f t="shared" si="1008"/>
        <v>53958.755767517818</v>
      </c>
      <c r="DT111" s="442">
        <f t="shared" si="1008"/>
        <v>55665.819456904108</v>
      </c>
      <c r="DU111" s="1116">
        <f t="shared" si="1008"/>
        <v>55665.819456904101</v>
      </c>
      <c r="DV111" s="897">
        <f t="shared" si="1008"/>
        <v>56400.970007218144</v>
      </c>
      <c r="DW111" s="442">
        <f t="shared" si="1008"/>
        <v>57227.653466276264</v>
      </c>
      <c r="DX111" s="897">
        <f t="shared" si="1008"/>
        <v>58048.940227399085</v>
      </c>
      <c r="DY111" s="443">
        <f t="shared" si="1008"/>
        <v>58993.40494069922</v>
      </c>
      <c r="DZ111" s="897">
        <f t="shared" si="1008"/>
        <v>57227.653466276264</v>
      </c>
      <c r="EA111" s="442">
        <f t="shared" si="1008"/>
        <v>58993.404940699227</v>
      </c>
      <c r="EB111" s="1116">
        <f t="shared" si="1008"/>
        <v>58993.404940699227</v>
      </c>
      <c r="EC111" s="897">
        <f t="shared" si="1008"/>
        <v>59740.199964618332</v>
      </c>
      <c r="ED111" s="442">
        <f t="shared" si="1008"/>
        <v>60547.510249055544</v>
      </c>
      <c r="EE111" s="897">
        <f t="shared" si="1008"/>
        <v>61349.120177752084</v>
      </c>
      <c r="EF111" s="443">
        <f t="shared" si="1008"/>
        <v>62278.299960143115</v>
      </c>
      <c r="EG111" s="897">
        <f t="shared" si="1008"/>
        <v>60547.510249055529</v>
      </c>
      <c r="EH111" s="442">
        <f t="shared" si="1008"/>
        <v>62278.299960143093</v>
      </c>
      <c r="EI111" s="1116">
        <f t="shared" si="1008"/>
        <v>62278.299960143093</v>
      </c>
      <c r="EJ111" s="897">
        <f t="shared" si="1008"/>
        <v>63043.801871050717</v>
      </c>
      <c r="EK111" s="442">
        <f t="shared" si="1008"/>
        <v>63872.514031146929</v>
      </c>
      <c r="EL111" s="897">
        <f t="shared" si="1008"/>
        <v>64695.352640474448</v>
      </c>
      <c r="EM111" s="443">
        <f t="shared" si="1008"/>
        <v>65650.026926557912</v>
      </c>
      <c r="EN111" s="897">
        <f t="shared" si="1008"/>
        <v>63872.514031146929</v>
      </c>
      <c r="EO111" s="442">
        <f t="shared" si="1008"/>
        <v>65650.026926557912</v>
      </c>
      <c r="EP111" s="1116">
        <f t="shared" si="1008"/>
        <v>65650.026926557926</v>
      </c>
      <c r="EQ111" s="303"/>
      <c r="ER111" s="46"/>
    </row>
    <row r="112" spans="1:148" ht="10.199999999999999" customHeight="1">
      <c r="A112" s="43" t="s">
        <v>232</v>
      </c>
      <c r="B112" s="108"/>
      <c r="C112" s="108"/>
      <c r="D112" s="191">
        <f t="shared" ref="D112:EP112" si="1009">+AVERAGE(D111,D107)</f>
        <v>18550.5</v>
      </c>
      <c r="E112" s="191">
        <f t="shared" si="1009"/>
        <v>20636</v>
      </c>
      <c r="F112" s="191">
        <f t="shared" si="1009"/>
        <v>22682</v>
      </c>
      <c r="G112" s="191">
        <f t="shared" si="1009"/>
        <v>24259.5</v>
      </c>
      <c r="H112" s="191">
        <f t="shared" si="1009"/>
        <v>24413</v>
      </c>
      <c r="I112" s="191">
        <f t="shared" si="1009"/>
        <v>23211.5</v>
      </c>
      <c r="J112" s="191">
        <f t="shared" si="1009"/>
        <v>23295.5</v>
      </c>
      <c r="K112" s="191">
        <f t="shared" si="1009"/>
        <v>25107</v>
      </c>
      <c r="L112" s="191">
        <f t="shared" si="1009"/>
        <v>27211.5</v>
      </c>
      <c r="M112" s="191">
        <f t="shared" si="1009"/>
        <v>29717.5</v>
      </c>
      <c r="N112" s="191"/>
      <c r="O112" s="191"/>
      <c r="P112" s="191"/>
      <c r="Q112" s="709"/>
      <c r="R112" s="191"/>
      <c r="S112" s="191"/>
      <c r="T112" s="352">
        <f t="shared" si="1009"/>
        <v>30980.5</v>
      </c>
      <c r="U112" s="191"/>
      <c r="V112" s="191"/>
      <c r="W112" s="191"/>
      <c r="X112" s="709"/>
      <c r="Y112" s="191"/>
      <c r="Z112" s="191"/>
      <c r="AA112" s="352">
        <f t="shared" si="1009"/>
        <v>32858</v>
      </c>
      <c r="AB112" s="191"/>
      <c r="AC112" s="191"/>
      <c r="AD112" s="191"/>
      <c r="AE112" s="709"/>
      <c r="AF112" s="191"/>
      <c r="AG112" s="191"/>
      <c r="AH112" s="352">
        <f t="shared" si="1009"/>
        <v>35368</v>
      </c>
      <c r="AI112" s="191"/>
      <c r="AJ112" s="191"/>
      <c r="AK112" s="191"/>
      <c r="AL112" s="709"/>
      <c r="AM112" s="191"/>
      <c r="AN112" s="191"/>
      <c r="AO112" s="352">
        <f t="shared" si="1009"/>
        <v>36446</v>
      </c>
      <c r="AP112" s="191"/>
      <c r="AQ112" s="191"/>
      <c r="AR112" s="191"/>
      <c r="AS112" s="709"/>
      <c r="AT112" s="191"/>
      <c r="AU112" s="191"/>
      <c r="AV112" s="352">
        <f t="shared" si="1009"/>
        <v>36466.5</v>
      </c>
      <c r="AW112" s="191"/>
      <c r="AX112" s="191"/>
      <c r="AY112" s="191"/>
      <c r="AZ112" s="709"/>
      <c r="BA112" s="191"/>
      <c r="BB112" s="191"/>
      <c r="BC112" s="352">
        <f t="shared" si="1009"/>
        <v>36467</v>
      </c>
      <c r="BD112" s="191"/>
      <c r="BE112" s="191"/>
      <c r="BF112" s="191"/>
      <c r="BG112" s="709"/>
      <c r="BH112" s="191"/>
      <c r="BI112" s="191"/>
      <c r="BJ112" s="352">
        <f t="shared" si="1009"/>
        <v>37501.5</v>
      </c>
      <c r="BK112" s="191"/>
      <c r="BL112" s="191"/>
      <c r="BM112" s="191"/>
      <c r="BN112" s="709"/>
      <c r="BO112" s="191"/>
      <c r="BP112" s="191"/>
      <c r="BQ112" s="352">
        <f t="shared" si="1009"/>
        <v>39780.5</v>
      </c>
      <c r="BR112" s="191"/>
      <c r="BS112" s="191"/>
      <c r="BT112" s="191"/>
      <c r="BU112" s="709"/>
      <c r="BV112" s="191"/>
      <c r="BW112" s="191"/>
      <c r="BX112" s="352">
        <f t="shared" si="1009"/>
        <v>41582</v>
      </c>
      <c r="BY112" s="191"/>
      <c r="BZ112" s="191"/>
      <c r="CA112" s="191"/>
      <c r="CB112" s="709"/>
      <c r="CC112" s="191"/>
      <c r="CD112" s="191"/>
      <c r="CE112" s="352">
        <f t="shared" si="1009"/>
        <v>42061</v>
      </c>
      <c r="CF112" s="191"/>
      <c r="CG112" s="191"/>
      <c r="CH112" s="191"/>
      <c r="CI112" s="709"/>
      <c r="CJ112" s="191"/>
      <c r="CK112" s="191"/>
      <c r="CL112" s="352">
        <f t="shared" si="1009"/>
        <v>41769.5</v>
      </c>
      <c r="CM112" s="191"/>
      <c r="CN112" s="191"/>
      <c r="CO112" s="191"/>
      <c r="CP112" s="709"/>
      <c r="CQ112" s="191"/>
      <c r="CR112" s="191"/>
      <c r="CS112" s="352">
        <f t="shared" ref="CS112" si="1010">+AVERAGE(CS111,CS107)</f>
        <v>41961.5</v>
      </c>
      <c r="CT112" s="176"/>
      <c r="CU112" s="191"/>
      <c r="CV112" s="176"/>
      <c r="CW112" s="1649"/>
      <c r="CX112" s="176"/>
      <c r="CY112" s="988"/>
      <c r="CZ112" s="352">
        <f t="shared" ref="CZ112:DA112" si="1011">+AVERAGE(CZ111,CZ107)</f>
        <v>44098</v>
      </c>
      <c r="DA112" s="176">
        <f t="shared" si="1011"/>
        <v>45758</v>
      </c>
      <c r="DB112" s="191">
        <f t="shared" ref="DB112" si="1012">+AVERAGE(DB111,DB107)</f>
        <v>46219</v>
      </c>
      <c r="DC112" s="593">
        <f t="shared" ref="DC112:DD112" si="1013">+AVERAGE(DC111,DC107)</f>
        <v>46861.875000000007</v>
      </c>
      <c r="DD112" s="709">
        <f t="shared" si="1013"/>
        <v>48020.125000000007</v>
      </c>
      <c r="DE112" s="593">
        <f t="shared" ref="DE112" si="1014">+AVERAGE(DE111,DE107)</f>
        <v>46003</v>
      </c>
      <c r="DF112" s="988"/>
      <c r="DG112" s="352">
        <f t="shared" ref="DG112:DI112" si="1015">+AVERAGE(DG111,DG107)</f>
        <v>47312</v>
      </c>
      <c r="DH112" s="593">
        <f t="shared" si="1015"/>
        <v>49340.098779559725</v>
      </c>
      <c r="DI112" s="191">
        <f t="shared" si="1015"/>
        <v>49929.296338679174</v>
      </c>
      <c r="DJ112" s="988">
        <f t="shared" si="1009"/>
        <v>50585.63456161302</v>
      </c>
      <c r="DK112" s="445">
        <f t="shared" si="1009"/>
        <v>51673.646645793444</v>
      </c>
      <c r="DL112" s="593">
        <f t="shared" si="1009"/>
        <v>49671.19755911945</v>
      </c>
      <c r="DM112" s="1716">
        <f t="shared" si="1009"/>
        <v>51348.407202419316</v>
      </c>
      <c r="DN112" s="980">
        <f t="shared" si="1009"/>
        <v>50759.209643299866</v>
      </c>
      <c r="DO112" s="988">
        <f t="shared" si="1009"/>
        <v>52795.165506807127</v>
      </c>
      <c r="DP112" s="1716">
        <f t="shared" si="1009"/>
        <v>53556.333747266166</v>
      </c>
      <c r="DQ112" s="988">
        <f t="shared" si="1009"/>
        <v>54358.617292793118</v>
      </c>
      <c r="DR112" s="445">
        <f t="shared" si="1009"/>
        <v>55212.14913748626</v>
      </c>
      <c r="DS112" s="988">
        <f t="shared" si="1009"/>
        <v>53197.587527058779</v>
      </c>
      <c r="DT112" s="1716">
        <f t="shared" si="1009"/>
        <v>54812.287612210959</v>
      </c>
      <c r="DU112" s="980">
        <f t="shared" si="1009"/>
        <v>54051.11937175192</v>
      </c>
      <c r="DV112" s="988">
        <f t="shared" si="1009"/>
        <v>56033.394732061119</v>
      </c>
      <c r="DW112" s="1716">
        <f t="shared" si="1009"/>
        <v>56814.3117367472</v>
      </c>
      <c r="DX112" s="988">
        <f t="shared" si="1009"/>
        <v>57638.296846837678</v>
      </c>
      <c r="DY112" s="445">
        <f t="shared" si="1009"/>
        <v>58521.172584049156</v>
      </c>
      <c r="DZ112" s="988">
        <f t="shared" si="1009"/>
        <v>56446.736461590182</v>
      </c>
      <c r="EA112" s="1716">
        <f t="shared" si="1009"/>
        <v>58110.529203487749</v>
      </c>
      <c r="EB112" s="980">
        <f t="shared" si="1009"/>
        <v>57329.612198801668</v>
      </c>
      <c r="EC112" s="988">
        <f t="shared" si="1009"/>
        <v>59366.802452658783</v>
      </c>
      <c r="ED112" s="1716">
        <f t="shared" si="1009"/>
        <v>60143.855106836942</v>
      </c>
      <c r="EE112" s="988">
        <f t="shared" si="1009"/>
        <v>60948.31521340381</v>
      </c>
      <c r="EF112" s="445">
        <f t="shared" si="1009"/>
        <v>61813.710068947599</v>
      </c>
      <c r="EG112" s="988">
        <f t="shared" si="1009"/>
        <v>59770.457594877378</v>
      </c>
      <c r="EH112" s="1716">
        <f t="shared" si="1009"/>
        <v>61412.905104599311</v>
      </c>
      <c r="EI112" s="980">
        <f t="shared" si="1009"/>
        <v>60635.85245042116</v>
      </c>
      <c r="EJ112" s="988">
        <f t="shared" si="1009"/>
        <v>62661.050915596905</v>
      </c>
      <c r="EK112" s="1716">
        <f t="shared" si="1009"/>
        <v>63458.157951098823</v>
      </c>
      <c r="EL112" s="988">
        <f t="shared" si="1009"/>
        <v>64283.933335810689</v>
      </c>
      <c r="EM112" s="445">
        <f t="shared" si="1009"/>
        <v>65172.68978351618</v>
      </c>
      <c r="EN112" s="988">
        <f t="shared" si="1009"/>
        <v>63075.406995645011</v>
      </c>
      <c r="EO112" s="1716">
        <f t="shared" si="1009"/>
        <v>64761.270478852421</v>
      </c>
      <c r="EP112" s="980">
        <f t="shared" si="1009"/>
        <v>63964.16344335051</v>
      </c>
      <c r="EQ112" s="303"/>
      <c r="ER112" s="46"/>
    </row>
    <row r="113" spans="1:148" ht="10.199999999999999" customHeight="1">
      <c r="A113" s="43"/>
      <c r="B113" s="108"/>
      <c r="C113" s="108"/>
      <c r="D113" s="191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700"/>
      <c r="R113" s="108"/>
      <c r="S113" s="108"/>
      <c r="T113" s="538"/>
      <c r="U113" s="108"/>
      <c r="V113" s="108"/>
      <c r="W113" s="108"/>
      <c r="X113" s="700"/>
      <c r="Y113" s="108"/>
      <c r="Z113" s="108"/>
      <c r="AA113" s="538"/>
      <c r="AB113" s="108"/>
      <c r="AC113" s="108"/>
      <c r="AD113" s="108"/>
      <c r="AE113" s="700"/>
      <c r="AF113" s="108"/>
      <c r="AG113" s="108"/>
      <c r="AH113" s="538"/>
      <c r="AI113" s="108"/>
      <c r="AJ113" s="108"/>
      <c r="AK113" s="108"/>
      <c r="AL113" s="700"/>
      <c r="AM113" s="108"/>
      <c r="AN113" s="108"/>
      <c r="AO113" s="538"/>
      <c r="AP113" s="108"/>
      <c r="AQ113" s="108"/>
      <c r="AR113" s="108"/>
      <c r="AS113" s="700"/>
      <c r="AT113" s="108"/>
      <c r="AU113" s="108"/>
      <c r="AV113" s="538"/>
      <c r="AW113" s="108"/>
      <c r="AX113" s="108"/>
      <c r="AY113" s="108"/>
      <c r="AZ113" s="700"/>
      <c r="BA113" s="108"/>
      <c r="BB113" s="108"/>
      <c r="BC113" s="538"/>
      <c r="BD113" s="108"/>
      <c r="BE113" s="108"/>
      <c r="BF113" s="108"/>
      <c r="BG113" s="700"/>
      <c r="BH113" s="108"/>
      <c r="BI113" s="108"/>
      <c r="BJ113" s="538"/>
      <c r="BK113" s="108"/>
      <c r="BL113" s="108"/>
      <c r="BM113" s="108"/>
      <c r="BN113" s="700"/>
      <c r="BO113" s="108"/>
      <c r="BP113" s="108"/>
      <c r="BQ113" s="538"/>
      <c r="BR113" s="108"/>
      <c r="BS113" s="108"/>
      <c r="BT113" s="108"/>
      <c r="BU113" s="700"/>
      <c r="BV113" s="108"/>
      <c r="BW113" s="108"/>
      <c r="BX113" s="538"/>
      <c r="BY113" s="108"/>
      <c r="BZ113" s="108"/>
      <c r="CA113" s="108"/>
      <c r="CB113" s="700"/>
      <c r="CC113" s="108"/>
      <c r="CD113" s="108"/>
      <c r="CE113" s="538"/>
      <c r="CF113" s="108"/>
      <c r="CG113" s="108"/>
      <c r="CH113" s="108"/>
      <c r="CI113" s="700"/>
      <c r="CJ113" s="108"/>
      <c r="CK113" s="108"/>
      <c r="CL113" s="538"/>
      <c r="CM113" s="108"/>
      <c r="CN113" s="108"/>
      <c r="CO113" s="108"/>
      <c r="CP113" s="700"/>
      <c r="CQ113" s="108"/>
      <c r="CR113" s="108"/>
      <c r="CS113" s="538"/>
      <c r="CT113" s="108"/>
      <c r="CU113" s="108"/>
      <c r="CV113" s="108"/>
      <c r="CW113" s="1509"/>
      <c r="CX113" s="108"/>
      <c r="CY113" s="3"/>
      <c r="CZ113" s="538"/>
      <c r="DA113" s="3"/>
      <c r="DB113" s="108"/>
      <c r="DC113" s="1"/>
      <c r="DD113" s="700"/>
      <c r="DE113" s="1"/>
      <c r="DF113" s="3"/>
      <c r="DG113" s="538"/>
      <c r="DH113" s="1"/>
      <c r="DI113" s="108"/>
      <c r="DJ113" s="3"/>
      <c r="DK113" s="457"/>
      <c r="DL113" s="1"/>
      <c r="DM113" s="456"/>
      <c r="DN113" s="1479"/>
      <c r="DO113" s="3"/>
      <c r="DP113" s="456"/>
      <c r="DQ113" s="3"/>
      <c r="DR113" s="457"/>
      <c r="DS113" s="3"/>
      <c r="DT113" s="456"/>
      <c r="DU113" s="1479"/>
      <c r="DV113" s="3"/>
      <c r="DW113" s="456"/>
      <c r="DX113" s="3"/>
      <c r="DY113" s="457"/>
      <c r="DZ113" s="3"/>
      <c r="EA113" s="456"/>
      <c r="EB113" s="1479"/>
      <c r="EC113" s="3"/>
      <c r="ED113" s="456"/>
      <c r="EE113" s="3"/>
      <c r="EF113" s="457"/>
      <c r="EG113" s="3"/>
      <c r="EH113" s="456"/>
      <c r="EI113" s="1479"/>
      <c r="EJ113" s="3"/>
      <c r="EK113" s="456"/>
      <c r="EL113" s="3"/>
      <c r="EM113" s="457"/>
      <c r="EN113" s="3"/>
      <c r="EO113" s="456"/>
      <c r="EP113" s="1479"/>
      <c r="EQ113" s="303"/>
      <c r="ER113" s="46"/>
    </row>
    <row r="114" spans="1:148" ht="10.199999999999999" customHeight="1">
      <c r="A114" s="48" t="s">
        <v>399</v>
      </c>
      <c r="B114" s="108"/>
      <c r="C114" s="108"/>
      <c r="D114" s="191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700"/>
      <c r="R114" s="108"/>
      <c r="S114" s="108"/>
      <c r="T114" s="538"/>
      <c r="U114" s="108"/>
      <c r="V114" s="108"/>
      <c r="W114" s="108"/>
      <c r="X114" s="700"/>
      <c r="Y114" s="108"/>
      <c r="Z114" s="108"/>
      <c r="AA114" s="538"/>
      <c r="AB114" s="108"/>
      <c r="AC114" s="108"/>
      <c r="AD114" s="108"/>
      <c r="AE114" s="700"/>
      <c r="AF114" s="108"/>
      <c r="AG114" s="108"/>
      <c r="AH114" s="538"/>
      <c r="AI114" s="108"/>
      <c r="AJ114" s="108"/>
      <c r="AK114" s="108"/>
      <c r="AL114" s="700"/>
      <c r="AM114" s="108"/>
      <c r="AN114" s="108"/>
      <c r="AO114" s="538"/>
      <c r="AP114" s="108"/>
      <c r="AQ114" s="108"/>
      <c r="AR114" s="108"/>
      <c r="AS114" s="700"/>
      <c r="AT114" s="108"/>
      <c r="AU114" s="108"/>
      <c r="AV114" s="538"/>
      <c r="AW114" s="108"/>
      <c r="AX114" s="108"/>
      <c r="AY114" s="108"/>
      <c r="AZ114" s="700"/>
      <c r="BA114" s="108"/>
      <c r="BB114" s="108"/>
      <c r="BC114" s="538"/>
      <c r="BD114" s="108"/>
      <c r="BE114" s="108"/>
      <c r="BF114" s="108"/>
      <c r="BG114" s="700"/>
      <c r="BH114" s="108"/>
      <c r="BI114" s="108"/>
      <c r="BJ114" s="538"/>
      <c r="BK114" s="108"/>
      <c r="BL114" s="108"/>
      <c r="BM114" s="108"/>
      <c r="BN114" s="700"/>
      <c r="BO114" s="108"/>
      <c r="BP114" s="108"/>
      <c r="BQ114" s="538"/>
      <c r="BR114" s="108"/>
      <c r="BS114" s="108"/>
      <c r="BT114" s="108"/>
      <c r="BU114" s="700"/>
      <c r="BV114" s="108"/>
      <c r="BW114" s="108"/>
      <c r="BX114" s="538"/>
      <c r="BY114" s="108"/>
      <c r="BZ114" s="108"/>
      <c r="CA114" s="108"/>
      <c r="CB114" s="700"/>
      <c r="CC114" s="108"/>
      <c r="CD114" s="108"/>
      <c r="CE114" s="538"/>
      <c r="CF114" s="108"/>
      <c r="CG114" s="108"/>
      <c r="CH114" s="108"/>
      <c r="CI114" s="700"/>
      <c r="CJ114" s="108"/>
      <c r="CK114" s="108"/>
      <c r="CL114" s="538"/>
      <c r="CM114" s="108"/>
      <c r="CN114" s="108"/>
      <c r="CO114" s="108"/>
      <c r="CP114" s="700"/>
      <c r="CQ114" s="108"/>
      <c r="CR114" s="108"/>
      <c r="CS114" s="538"/>
      <c r="CT114" s="108"/>
      <c r="CU114" s="108"/>
      <c r="CV114" s="108"/>
      <c r="CW114" s="1509"/>
      <c r="CX114" s="108"/>
      <c r="CY114" s="3"/>
      <c r="CZ114" s="538"/>
      <c r="DA114" s="3"/>
      <c r="DB114" s="108"/>
      <c r="DC114" s="1"/>
      <c r="DD114" s="700"/>
      <c r="DE114" s="1"/>
      <c r="DF114" s="3"/>
      <c r="DG114" s="538"/>
      <c r="DH114" s="1"/>
      <c r="DI114" s="108"/>
      <c r="DJ114" s="3"/>
      <c r="DK114" s="457"/>
      <c r="DL114" s="1"/>
      <c r="DM114" s="456"/>
      <c r="DN114" s="1479"/>
      <c r="DO114" s="3"/>
      <c r="DP114" s="456"/>
      <c r="DQ114" s="3"/>
      <c r="DR114" s="457"/>
      <c r="DS114" s="3"/>
      <c r="DT114" s="456"/>
      <c r="DU114" s="1479"/>
      <c r="DV114" s="3"/>
      <c r="DW114" s="456"/>
      <c r="DX114" s="3"/>
      <c r="DY114" s="457"/>
      <c r="DZ114" s="3"/>
      <c r="EA114" s="456"/>
      <c r="EB114" s="1479"/>
      <c r="EC114" s="3"/>
      <c r="ED114" s="456"/>
      <c r="EE114" s="3"/>
      <c r="EF114" s="457"/>
      <c r="EG114" s="3"/>
      <c r="EH114" s="456"/>
      <c r="EI114" s="1479"/>
      <c r="EJ114" s="3"/>
      <c r="EK114" s="456"/>
      <c r="EL114" s="3"/>
      <c r="EM114" s="457"/>
      <c r="EN114" s="3"/>
      <c r="EO114" s="456"/>
      <c r="EP114" s="1479"/>
      <c r="EQ114" s="303"/>
      <c r="ER114" s="46"/>
    </row>
    <row r="115" spans="1:148" ht="10.199999999999999" customHeight="1">
      <c r="A115" s="43" t="s">
        <v>130</v>
      </c>
      <c r="B115" s="108"/>
      <c r="C115" s="108"/>
      <c r="D115" s="191">
        <v>7055</v>
      </c>
      <c r="E115" s="135">
        <f t="shared" ref="E115:M115" si="1016">+D119</f>
        <v>8089</v>
      </c>
      <c r="F115" s="135">
        <f t="shared" si="1016"/>
        <v>8830</v>
      </c>
      <c r="G115" s="135">
        <f t="shared" si="1016"/>
        <v>9812</v>
      </c>
      <c r="H115" s="135">
        <f t="shared" si="1016"/>
        <v>10712</v>
      </c>
      <c r="I115" s="135">
        <f t="shared" si="1016"/>
        <v>10543</v>
      </c>
      <c r="J115" s="135">
        <f t="shared" si="1016"/>
        <v>10331</v>
      </c>
      <c r="K115" s="135">
        <f t="shared" si="1016"/>
        <v>11596</v>
      </c>
      <c r="L115" s="135">
        <f t="shared" si="1016"/>
        <v>12683</v>
      </c>
      <c r="M115" s="135">
        <f t="shared" si="1016"/>
        <v>14167</v>
      </c>
      <c r="N115" s="135"/>
      <c r="O115" s="135"/>
      <c r="P115" s="135"/>
      <c r="Q115" s="961"/>
      <c r="R115" s="135"/>
      <c r="S115" s="135"/>
      <c r="T115" s="948">
        <v>15367</v>
      </c>
      <c r="U115" s="135"/>
      <c r="V115" s="135"/>
      <c r="W115" s="135"/>
      <c r="X115" s="961"/>
      <c r="Y115" s="135"/>
      <c r="Z115" s="135"/>
      <c r="AA115" s="948">
        <f>T119</f>
        <v>16107</v>
      </c>
      <c r="AB115" s="135"/>
      <c r="AC115" s="135"/>
      <c r="AD115" s="135"/>
      <c r="AE115" s="961"/>
      <c r="AF115" s="135"/>
      <c r="AG115" s="135"/>
      <c r="AH115" s="948">
        <f>+AA119</f>
        <v>17703</v>
      </c>
      <c r="AI115" s="135"/>
      <c r="AJ115" s="135"/>
      <c r="AK115" s="135"/>
      <c r="AL115" s="961"/>
      <c r="AM115" s="135"/>
      <c r="AN115" s="135"/>
      <c r="AO115" s="948">
        <f>+AH119</f>
        <v>19585</v>
      </c>
      <c r="AP115" s="135"/>
      <c r="AQ115" s="135"/>
      <c r="AR115" s="135"/>
      <c r="AS115" s="961"/>
      <c r="AT115" s="135"/>
      <c r="AU115" s="135"/>
      <c r="AV115" s="948">
        <f>+AO119</f>
        <v>19267</v>
      </c>
      <c r="AW115" s="135"/>
      <c r="AX115" s="135"/>
      <c r="AY115" s="135"/>
      <c r="AZ115" s="961"/>
      <c r="BA115" s="135"/>
      <c r="BB115" s="135"/>
      <c r="BC115" s="948">
        <f>+AO119</f>
        <v>19267</v>
      </c>
      <c r="BD115" s="135"/>
      <c r="BE115" s="135"/>
      <c r="BF115" s="135"/>
      <c r="BG115" s="961"/>
      <c r="BH115" s="135"/>
      <c r="BI115" s="135"/>
      <c r="BJ115" s="948">
        <f>+BC119</f>
        <v>20144</v>
      </c>
      <c r="BK115" s="135"/>
      <c r="BL115" s="135"/>
      <c r="BM115" s="135"/>
      <c r="BN115" s="961"/>
      <c r="BO115" s="135"/>
      <c r="BP115" s="135"/>
      <c r="BQ115" s="948">
        <f>+BJ119</f>
        <v>21476</v>
      </c>
      <c r="BR115" s="135"/>
      <c r="BS115" s="135"/>
      <c r="BT115" s="135"/>
      <c r="BU115" s="961"/>
      <c r="BV115" s="135"/>
      <c r="BW115" s="135"/>
      <c r="BX115" s="948">
        <f>+BQ119</f>
        <v>24018</v>
      </c>
      <c r="BY115" s="135"/>
      <c r="BZ115" s="135"/>
      <c r="CA115" s="135"/>
      <c r="CB115" s="961"/>
      <c r="CC115" s="135"/>
      <c r="CD115" s="135"/>
      <c r="CE115" s="948">
        <f>+BX119</f>
        <v>25178</v>
      </c>
      <c r="CF115" s="135"/>
      <c r="CG115" s="135"/>
      <c r="CH115" s="135"/>
      <c r="CI115" s="961"/>
      <c r="CJ115" s="135"/>
      <c r="CK115" s="135"/>
      <c r="CL115" s="948">
        <f>+CE119</f>
        <v>25734</v>
      </c>
      <c r="CM115" s="135"/>
      <c r="CN115" s="135"/>
      <c r="CO115" s="135"/>
      <c r="CP115" s="961"/>
      <c r="CQ115" s="135"/>
      <c r="CR115" s="135"/>
      <c r="CS115" s="948">
        <f>+CL119</f>
        <v>24764</v>
      </c>
      <c r="CT115" s="135"/>
      <c r="CU115" s="135"/>
      <c r="CV115" s="135"/>
      <c r="CW115" s="1117"/>
      <c r="CX115" s="135"/>
      <c r="CY115" s="897"/>
      <c r="CZ115" s="948">
        <f>+CS119</f>
        <v>25453</v>
      </c>
      <c r="DA115" s="865">
        <f>+CZ119</f>
        <v>26430</v>
      </c>
      <c r="DB115" s="135">
        <f>+DA119</f>
        <v>26848</v>
      </c>
      <c r="DC115" s="865">
        <f>+DB119</f>
        <v>27276</v>
      </c>
      <c r="DD115" s="961">
        <f>+DC119</f>
        <v>27839.75</v>
      </c>
      <c r="DE115" s="865">
        <f>+CZ119</f>
        <v>26430</v>
      </c>
      <c r="DF115" s="897"/>
      <c r="DG115" s="948">
        <f>+CZ119</f>
        <v>26430</v>
      </c>
      <c r="DH115" s="865">
        <f>+DG119</f>
        <v>28189</v>
      </c>
      <c r="DI115" s="135">
        <f>+DH119</f>
        <v>28657.197559119446</v>
      </c>
      <c r="DJ115" s="897">
        <f>+DI119</f>
        <v>29095.395118238892</v>
      </c>
      <c r="DK115" s="443">
        <f>+DJ119</f>
        <v>29613.494297981324</v>
      </c>
      <c r="DL115" s="865">
        <f>+DG119</f>
        <v>28189</v>
      </c>
      <c r="DM115" s="442">
        <f>+DL119</f>
        <v>29095.395118238892</v>
      </c>
      <c r="DN115" s="1116">
        <f>+DG119</f>
        <v>28189</v>
      </c>
      <c r="DO115" s="897">
        <f>+DN119</f>
        <v>30950.730563614226</v>
      </c>
      <c r="DP115" s="442">
        <f>+DO119</f>
        <v>31631.662586438961</v>
      </c>
      <c r="DQ115" s="897">
        <f>+DP119</f>
        <v>32402.758766275645</v>
      </c>
      <c r="DR115" s="443">
        <f>+DQ119</f>
        <v>33168.289819895654</v>
      </c>
      <c r="DS115" s="897">
        <f>+DN119</f>
        <v>30950.730563614226</v>
      </c>
      <c r="DT115" s="442">
        <f>+DS119</f>
        <v>32402.758766275638</v>
      </c>
      <c r="DU115" s="1116">
        <f>+DN119</f>
        <v>30950.730563614226</v>
      </c>
      <c r="DV115" s="897">
        <f>+DU119</f>
        <v>34047.849164114748</v>
      </c>
      <c r="DW115" s="442">
        <f>+DV119</f>
        <v>34788.990916955787</v>
      </c>
      <c r="DX115" s="897">
        <f>+DW119</f>
        <v>35628.875968410335</v>
      </c>
      <c r="DY115" s="443">
        <f>+DX119</f>
        <v>36462.93950457195</v>
      </c>
      <c r="DZ115" s="897">
        <f>+DU119</f>
        <v>34047.849164114748</v>
      </c>
      <c r="EA115" s="442">
        <f>+DZ119</f>
        <v>35628.875968410335</v>
      </c>
      <c r="EB115" s="1116">
        <f>+DU119</f>
        <v>34047.849164114748</v>
      </c>
      <c r="EC115" s="897">
        <f>+EB119</f>
        <v>37432.829433624771</v>
      </c>
      <c r="ED115" s="442">
        <f>+EC119</f>
        <v>38231.521567509597</v>
      </c>
      <c r="EE115" s="897">
        <f>+ED119</f>
        <v>39097.267017415332</v>
      </c>
      <c r="EF115" s="443">
        <f>+EE119</f>
        <v>39956.887798861906</v>
      </c>
      <c r="EG115" s="897">
        <f>+EB119</f>
        <v>37432.829433624771</v>
      </c>
      <c r="EH115" s="442">
        <f>+EG119</f>
        <v>39097.267017415325</v>
      </c>
      <c r="EI115" s="1116">
        <f>+EB119</f>
        <v>37432.829433624771</v>
      </c>
      <c r="EJ115" s="897">
        <f>+EI119</f>
        <v>40958.1627482931</v>
      </c>
      <c r="EK115" s="442">
        <f>+EJ119</f>
        <v>41778.934518925467</v>
      </c>
      <c r="EL115" s="897">
        <f>+EK119</f>
        <v>42670.190417150377</v>
      </c>
      <c r="EM115" s="443">
        <f>+EL119</f>
        <v>43555.040953678639</v>
      </c>
      <c r="EN115" s="897">
        <f>+EI119</f>
        <v>40958.1627482931</v>
      </c>
      <c r="EO115" s="442">
        <f>+EN119</f>
        <v>42670.190417150385</v>
      </c>
      <c r="EP115" s="1116">
        <f t="shared" ref="EP115" si="1017">+EI119</f>
        <v>40958.1627482931</v>
      </c>
      <c r="EQ115" s="303"/>
      <c r="ER115" s="46"/>
    </row>
    <row r="116" spans="1:148" ht="10.199999999999999" customHeight="1">
      <c r="A116" s="43" t="s">
        <v>173</v>
      </c>
      <c r="B116" s="108"/>
      <c r="C116" s="108"/>
      <c r="D116" s="191">
        <v>1547</v>
      </c>
      <c r="E116" s="203">
        <v>1377</v>
      </c>
      <c r="F116" s="203">
        <v>1237</v>
      </c>
      <c r="G116" s="203">
        <f>+Divisional!G98+Divisional!G84</f>
        <v>1691</v>
      </c>
      <c r="H116" s="203">
        <f>+Divisional!H98+Divisional!H84</f>
        <v>1772</v>
      </c>
      <c r="I116" s="203">
        <f>+Divisional!I98+Divisional!I84</f>
        <v>1667</v>
      </c>
      <c r="J116" s="203">
        <f>+Divisional!J98+Divisional!J84</f>
        <v>1826</v>
      </c>
      <c r="K116" s="203">
        <f>+Divisional!K98+Divisional!K84</f>
        <v>1582</v>
      </c>
      <c r="L116" s="203">
        <f>+Divisional!L98+Divisional!L84</f>
        <v>1884</v>
      </c>
      <c r="M116" s="203">
        <v>1621</v>
      </c>
      <c r="N116" s="203"/>
      <c r="O116" s="203"/>
      <c r="P116" s="203"/>
      <c r="Q116" s="1448"/>
      <c r="R116" s="203"/>
      <c r="S116" s="203"/>
      <c r="T116" s="1461">
        <v>1473</v>
      </c>
      <c r="U116" s="203"/>
      <c r="V116" s="203"/>
      <c r="W116" s="203"/>
      <c r="X116" s="1448"/>
      <c r="Y116" s="203"/>
      <c r="Z116" s="203"/>
      <c r="AA116" s="1461">
        <v>1692</v>
      </c>
      <c r="AB116" s="203"/>
      <c r="AC116" s="203"/>
      <c r="AD116" s="203"/>
      <c r="AE116" s="1448"/>
      <c r="AF116" s="203"/>
      <c r="AG116" s="203"/>
      <c r="AH116" s="1461">
        <v>1921</v>
      </c>
      <c r="AI116" s="203"/>
      <c r="AJ116" s="203"/>
      <c r="AK116" s="203"/>
      <c r="AL116" s="1448"/>
      <c r="AM116" s="203"/>
      <c r="AN116" s="203"/>
      <c r="AO116" s="1461">
        <v>1811</v>
      </c>
      <c r="AP116" s="203"/>
      <c r="AQ116" s="203"/>
      <c r="AR116" s="203"/>
      <c r="AS116" s="1448"/>
      <c r="AT116" s="203"/>
      <c r="AU116" s="203"/>
      <c r="AV116" s="1461">
        <v>1894</v>
      </c>
      <c r="AW116" s="203"/>
      <c r="AX116" s="203"/>
      <c r="AY116" s="203"/>
      <c r="AZ116" s="1448"/>
      <c r="BA116" s="203"/>
      <c r="BB116" s="203"/>
      <c r="BC116" s="1461">
        <v>1894</v>
      </c>
      <c r="BD116" s="203"/>
      <c r="BE116" s="203"/>
      <c r="BF116" s="203"/>
      <c r="BG116" s="1448"/>
      <c r="BH116" s="203"/>
      <c r="BI116" s="203"/>
      <c r="BJ116" s="1461">
        <v>1942</v>
      </c>
      <c r="BK116" s="203"/>
      <c r="BL116" s="203"/>
      <c r="BM116" s="203"/>
      <c r="BN116" s="1448"/>
      <c r="BO116" s="203"/>
      <c r="BP116" s="203"/>
      <c r="BQ116" s="1461">
        <f>+Divisional!BQ98+Divisional!BQ84+Divisional!BQ136+Divisional!BQ154</f>
        <v>2364</v>
      </c>
      <c r="BR116" s="203"/>
      <c r="BS116" s="203"/>
      <c r="BT116" s="203"/>
      <c r="BU116" s="1448"/>
      <c r="BV116" s="203"/>
      <c r="BW116" s="203"/>
      <c r="BX116" s="1461">
        <f>+Divisional!CE98+Divisional!CE84+Divisional!CE136+Divisional!CE154</f>
        <v>2377</v>
      </c>
      <c r="BY116" s="203"/>
      <c r="BZ116" s="203"/>
      <c r="CA116" s="203"/>
      <c r="CB116" s="1448"/>
      <c r="CC116" s="203"/>
      <c r="CD116" s="203"/>
      <c r="CE116" s="1461">
        <f>+Divisional!CL98+Divisional!CL84+Divisional!CL136+Divisional!CL154</f>
        <v>2008</v>
      </c>
      <c r="CF116" s="203"/>
      <c r="CG116" s="203"/>
      <c r="CH116" s="203"/>
      <c r="CI116" s="1448"/>
      <c r="CJ116" s="203"/>
      <c r="CK116" s="203"/>
      <c r="CL116" s="1461">
        <f>+Divisional!CS98+Divisional!CS84+Divisional!CS136+Divisional!CS154</f>
        <v>2268</v>
      </c>
      <c r="CM116" s="203"/>
      <c r="CN116" s="203"/>
      <c r="CO116" s="203"/>
      <c r="CP116" s="1448"/>
      <c r="CQ116" s="203"/>
      <c r="CR116" s="203"/>
      <c r="CS116" s="1461">
        <f>+Divisional!CZ98+Divisional!CZ84+Divisional!CZ136+Divisional!CZ154</f>
        <v>1848</v>
      </c>
      <c r="CT116" s="203"/>
      <c r="CU116" s="135"/>
      <c r="CV116" s="203"/>
      <c r="CW116" s="1109"/>
      <c r="CX116" s="203"/>
      <c r="CY116" s="860"/>
      <c r="CZ116" s="1461">
        <f>+Divisional!DG98+Divisional!DG84+Divisional!DG136+Divisional!DG154</f>
        <v>1974</v>
      </c>
      <c r="DA116" s="834">
        <f>+Divisional!DH98+Divisional!DH84+Divisional!DH136+Divisional!DH154</f>
        <v>536.75</v>
      </c>
      <c r="DB116" s="135">
        <f>DE116-DA116</f>
        <v>546.75</v>
      </c>
      <c r="DC116" s="834">
        <f>+Divisional!DJ98+Divisional!DJ84+Divisional!DJ136+Divisional!DJ154</f>
        <v>563.75</v>
      </c>
      <c r="DD116" s="1095">
        <f>+Divisional!DK98+Divisional!DK84+Divisional!DK136+Divisional!DK154</f>
        <v>1170.7500000000002</v>
      </c>
      <c r="DE116" s="834">
        <f>+Divisional!DL98+Divisional!DL84+Divisional!DL136+Divisional!DL154</f>
        <v>1083.5</v>
      </c>
      <c r="DF116" s="860"/>
      <c r="DG116" s="1461">
        <f>+Divisional!DN98+Divisional!DN84+Divisional!DN136+Divisional!DN154</f>
        <v>2234</v>
      </c>
      <c r="DH116" s="834">
        <f>+Divisional!DO98+Divisional!DO84+Divisional!DO136+Divisional!DO154</f>
        <v>593.34050233599839</v>
      </c>
      <c r="DI116" s="135">
        <f>DL116-DH116</f>
        <v>563.34050233599839</v>
      </c>
      <c r="DJ116" s="860">
        <f>+Divisional!DQ98+Divisional!DQ84+Divisional!DQ136+Divisional!DQ154</f>
        <v>643.24212295898519</v>
      </c>
      <c r="DK116" s="1109">
        <f>+Divisional!DR98+Divisional!DR84+Divisional!DR136+Divisional!DR154</f>
        <v>1462.3792088494563</v>
      </c>
      <c r="DL116" s="834">
        <f>+Divisional!DS98+Divisional!DS84+Divisional!DS136+Divisional!DS154</f>
        <v>1156.6810046719968</v>
      </c>
      <c r="DM116" s="860">
        <f>+Divisional!DT98+Divisional!DT84+Divisional!DT136+Divisional!DT154</f>
        <v>2105.6213318084419</v>
      </c>
      <c r="DN116" s="1119">
        <f>+Divisional!DU98+Divisional!DU84+Divisional!DU136+Divisional!DU154</f>
        <v>3262.302336480438</v>
      </c>
      <c r="DO116" s="860">
        <f>+Divisional!DV98+Divisional!DV84+Divisional!DV136+Divisional!DV154</f>
        <v>814.62763101637688</v>
      </c>
      <c r="DP116" s="442">
        <f>DS116-DO116</f>
        <v>904.79178802832621</v>
      </c>
      <c r="DQ116" s="860">
        <f>+Divisional!DX98+Divisional!DX84+Divisional!DX136+Divisional!DX154</f>
        <v>899.22666181165334</v>
      </c>
      <c r="DR116" s="1109">
        <f>+Divisional!DY98+Divisional!DY84+Divisional!DY136+Divisional!DY154</f>
        <v>1013.2549524107457</v>
      </c>
      <c r="DS116" s="860">
        <f>+Divisional!DZ98+Divisional!DZ84+Divisional!DZ136+Divisional!DZ154</f>
        <v>1719.4194190447031</v>
      </c>
      <c r="DT116" s="860">
        <f>+Divisional!EA98+Divisional!EA84+Divisional!EA136+Divisional!EA154</f>
        <v>1912.481614222399</v>
      </c>
      <c r="DU116" s="1119">
        <f>+Divisional!EB98+Divisional!EB84+Divisional!EB136+Divisional!EB154</f>
        <v>3631.9010332671023</v>
      </c>
      <c r="DV116" s="860">
        <f>+Divisional!EC98+Divisional!EC84+Divisional!EC136+Divisional!EC154</f>
        <v>883.07126841493948</v>
      </c>
      <c r="DW116" s="442">
        <f>DZ116-DV116</f>
        <v>981.81456702845082</v>
      </c>
      <c r="DX116" s="860">
        <f>+Divisional!EE98+Divisional!EE84+Divisional!EE136+Divisional!EE154</f>
        <v>975.99305173552057</v>
      </c>
      <c r="DY116" s="1109">
        <f>+Divisional!EF98+Divisional!EF84+Divisional!EF136+Divisional!EF154</f>
        <v>1111.819444626721</v>
      </c>
      <c r="DZ116" s="860">
        <f>+Divisional!EG98+Divisional!EG84+Divisional!EG136+Divisional!EG154</f>
        <v>1864.8858354433903</v>
      </c>
      <c r="EA116" s="860">
        <f>+Divisional!EH98+Divisional!EH84+Divisional!EH136+Divisional!EH154</f>
        <v>2087.8124963622417</v>
      </c>
      <c r="EB116" s="1119">
        <f>+Divisional!EI98+Divisional!EI84+Divisional!EI136+Divisional!EI154</f>
        <v>3952.6983318056327</v>
      </c>
      <c r="EC116" s="860">
        <f>+Divisional!EJ98+Divisional!EJ84+Divisional!EJ136+Divisional!EJ154</f>
        <v>949.10589706980045</v>
      </c>
      <c r="ED116" s="442">
        <f>EG116-EC116</f>
        <v>1016.1592130907106</v>
      </c>
      <c r="EE116" s="860">
        <f>+Divisional!EL98+Divisional!EL84+Divisional!EL136+Divisional!EL154</f>
        <v>1010.0345446315441</v>
      </c>
      <c r="EF116" s="1109">
        <f>+Divisional!EM98+Divisional!EM84+Divisional!EM136+Divisional!EM154</f>
        <v>1151.6887126161851</v>
      </c>
      <c r="EG116" s="860">
        <f>+Divisional!EN98+Divisional!EN84+Divisional!EN136+Divisional!EN154</f>
        <v>1965.2651101605111</v>
      </c>
      <c r="EH116" s="860">
        <f>+Divisional!EO98+Divisional!EO84+Divisional!EO136+Divisional!EO154</f>
        <v>2161.7232572477292</v>
      </c>
      <c r="EI116" s="1119">
        <f>+Divisional!EP98+Divisional!EP84+Divisional!EP136+Divisional!EP154</f>
        <v>4126.9883674082394</v>
      </c>
      <c r="EJ116" s="860">
        <f>+Divisional!EQ98+Divisional!EQ84+Divisional!EQ136+Divisional!EQ154</f>
        <v>979.56093479714843</v>
      </c>
      <c r="EK116" s="442">
        <f>EN116-EJ116</f>
        <v>1050.0450623896895</v>
      </c>
      <c r="EL116" s="860">
        <f>+Divisional!ES98+Divisional!ES84+Divisional!ES136+Divisional!ES154</f>
        <v>1043.6397006930426</v>
      </c>
      <c r="EM116" s="1109">
        <f>+Divisional!ET98+Divisional!ET84+Divisional!ET136+Divisional!ET154</f>
        <v>1191.0583839635349</v>
      </c>
      <c r="EN116" s="860">
        <f>+Divisional!EU98+Divisional!EU84+Divisional!EU136+Divisional!EU154</f>
        <v>2029.6059971868378</v>
      </c>
      <c r="EO116" s="860">
        <f>+Divisional!EV98+Divisional!EV84+Divisional!EV136+Divisional!EV154</f>
        <v>2234.6980846565775</v>
      </c>
      <c r="EP116" s="1119">
        <f>+Divisional!EW98+Divisional!EW84+Divisional!EW136+Divisional!EW154</f>
        <v>4264.3040818434147</v>
      </c>
      <c r="EQ116" s="910"/>
      <c r="ER116" s="46"/>
    </row>
    <row r="117" spans="1:148" ht="10.199999999999999" customHeight="1">
      <c r="A117" s="43" t="s">
        <v>177</v>
      </c>
      <c r="B117" s="108"/>
      <c r="C117" s="108"/>
      <c r="D117" s="203">
        <v>-281</v>
      </c>
      <c r="E117" s="203">
        <v>-534</v>
      </c>
      <c r="F117" s="203">
        <v>-305</v>
      </c>
      <c r="G117" s="203">
        <f t="shared" ref="G117:L117" si="1018">+G109</f>
        <v>-945.16</v>
      </c>
      <c r="H117" s="203">
        <f t="shared" si="1018"/>
        <v>-995.6</v>
      </c>
      <c r="I117" s="203">
        <f t="shared" si="1018"/>
        <v>-957.44</v>
      </c>
      <c r="J117" s="203">
        <f t="shared" si="1018"/>
        <v>-899.48</v>
      </c>
      <c r="K117" s="203">
        <f t="shared" si="1018"/>
        <v>-964.16</v>
      </c>
      <c r="L117" s="203">
        <f t="shared" si="1018"/>
        <v>-1044.4000000000001</v>
      </c>
      <c r="M117" s="203">
        <v>-316</v>
      </c>
      <c r="N117" s="203"/>
      <c r="O117" s="203"/>
      <c r="P117" s="203"/>
      <c r="Q117" s="1448"/>
      <c r="R117" s="203"/>
      <c r="S117" s="203"/>
      <c r="T117" s="1461">
        <v>-645</v>
      </c>
      <c r="U117" s="203"/>
      <c r="V117" s="203"/>
      <c r="W117" s="203"/>
      <c r="X117" s="1448"/>
      <c r="Y117" s="203"/>
      <c r="Z117" s="203"/>
      <c r="AA117" s="1461">
        <v>-469</v>
      </c>
      <c r="AB117" s="203"/>
      <c r="AC117" s="203"/>
      <c r="AD117" s="203"/>
      <c r="AE117" s="1448"/>
      <c r="AF117" s="203"/>
      <c r="AG117" s="203"/>
      <c r="AH117" s="1461">
        <v>-39</v>
      </c>
      <c r="AI117" s="203"/>
      <c r="AJ117" s="203"/>
      <c r="AK117" s="203"/>
      <c r="AL117" s="1448"/>
      <c r="AM117" s="203"/>
      <c r="AN117" s="203"/>
      <c r="AO117" s="1461"/>
      <c r="AP117" s="203"/>
      <c r="AQ117" s="203"/>
      <c r="AR117" s="203"/>
      <c r="AS117" s="1448"/>
      <c r="AT117" s="203"/>
      <c r="AU117" s="203"/>
      <c r="AV117" s="1461">
        <f t="shared" ref="AV117:EP117" si="1019">+AV109</f>
        <v>0</v>
      </c>
      <c r="AW117" s="203"/>
      <c r="AX117" s="203"/>
      <c r="AY117" s="203"/>
      <c r="AZ117" s="1448"/>
      <c r="BA117" s="203"/>
      <c r="BB117" s="203"/>
      <c r="BC117" s="1461">
        <f t="shared" si="1019"/>
        <v>0</v>
      </c>
      <c r="BD117" s="203"/>
      <c r="BE117" s="203"/>
      <c r="BF117" s="203"/>
      <c r="BG117" s="1448"/>
      <c r="BH117" s="203"/>
      <c r="BI117" s="203"/>
      <c r="BJ117" s="1461">
        <f t="shared" si="1019"/>
        <v>0</v>
      </c>
      <c r="BK117" s="203"/>
      <c r="BL117" s="203"/>
      <c r="BM117" s="203"/>
      <c r="BN117" s="1448"/>
      <c r="BO117" s="203"/>
      <c r="BP117" s="203"/>
      <c r="BQ117" s="1461">
        <f t="shared" si="1019"/>
        <v>0</v>
      </c>
      <c r="BR117" s="203"/>
      <c r="BS117" s="203"/>
      <c r="BT117" s="203"/>
      <c r="BU117" s="1448"/>
      <c r="BV117" s="203"/>
      <c r="BW117" s="203"/>
      <c r="BX117" s="1461">
        <f t="shared" si="1019"/>
        <v>0</v>
      </c>
      <c r="BY117" s="203"/>
      <c r="BZ117" s="203"/>
      <c r="CA117" s="203"/>
      <c r="CB117" s="1448"/>
      <c r="CC117" s="203"/>
      <c r="CD117" s="203"/>
      <c r="CE117" s="1461">
        <f t="shared" si="1019"/>
        <v>-426.83529273454036</v>
      </c>
      <c r="CF117" s="203"/>
      <c r="CG117" s="203"/>
      <c r="CH117" s="203"/>
      <c r="CI117" s="1448"/>
      <c r="CJ117" s="203"/>
      <c r="CK117" s="203"/>
      <c r="CL117" s="1461">
        <f t="shared" si="1019"/>
        <v>-431.09834234657887</v>
      </c>
      <c r="CM117" s="203"/>
      <c r="CN117" s="203"/>
      <c r="CO117" s="203"/>
      <c r="CP117" s="1448"/>
      <c r="CQ117" s="203"/>
      <c r="CR117" s="203"/>
      <c r="CS117" s="1461">
        <f t="shared" ref="CS117" si="1020">+CS109</f>
        <v>-420.88946038090762</v>
      </c>
      <c r="CT117" s="203"/>
      <c r="CU117" s="203"/>
      <c r="CV117" s="203"/>
      <c r="CW117" s="1109"/>
      <c r="CX117" s="203"/>
      <c r="CY117" s="860"/>
      <c r="CZ117" s="1461">
        <f t="shared" ref="CZ117" si="1021">+CZ109</f>
        <v>-435.01463672701624</v>
      </c>
      <c r="DA117" s="834">
        <f t="shared" ref="DA117:DC117" si="1022">+DA109</f>
        <v>-116.11710851163885</v>
      </c>
      <c r="DB117" s="203">
        <f>DE117-DA117</f>
        <v>-116.11710851163885</v>
      </c>
      <c r="DC117" s="834">
        <f t="shared" si="1022"/>
        <v>0</v>
      </c>
      <c r="DD117" s="1448">
        <f>DF117-DC117</f>
        <v>0</v>
      </c>
      <c r="DE117" s="834">
        <f t="shared" ref="DE117" si="1023">+DE109</f>
        <v>-232.23421702327769</v>
      </c>
      <c r="DF117" s="860"/>
      <c r="DG117" s="1461">
        <f t="shared" ref="DG117:DH117" si="1024">+DG109</f>
        <v>-464.46843404655539</v>
      </c>
      <c r="DH117" s="834">
        <f t="shared" si="1024"/>
        <v>-125.14294321655302</v>
      </c>
      <c r="DI117" s="203">
        <f>DL117-DH117</f>
        <v>-125.14294321655302</v>
      </c>
      <c r="DJ117" s="860">
        <f t="shared" ref="DJ117" si="1025">+DJ109</f>
        <v>-125.14294321655302</v>
      </c>
      <c r="DK117" s="1557">
        <f>DM117-DJ117</f>
        <v>-125.14294321655302</v>
      </c>
      <c r="DL117" s="834">
        <f t="shared" ref="DL117" si="1026">+DL109</f>
        <v>-250.28588643310604</v>
      </c>
      <c r="DM117" s="1422">
        <f>DN117-DL117</f>
        <v>-250.28588643310604</v>
      </c>
      <c r="DN117" s="1119">
        <f t="shared" si="1019"/>
        <v>-500.57177286621209</v>
      </c>
      <c r="DO117" s="860">
        <f t="shared" si="1019"/>
        <v>-133.69560819164494</v>
      </c>
      <c r="DP117" s="1422">
        <f>DS117-DO117</f>
        <v>-133.69560819164494</v>
      </c>
      <c r="DQ117" s="860">
        <f t="shared" ref="DQ117" si="1027">+DQ109</f>
        <v>-133.69560819164494</v>
      </c>
      <c r="DR117" s="1557">
        <f>DT117-DQ117</f>
        <v>-133.69560819164494</v>
      </c>
      <c r="DS117" s="860">
        <f t="shared" ref="DS117" si="1028">+DS109</f>
        <v>-267.39121638328987</v>
      </c>
      <c r="DT117" s="1422">
        <f>DU117-DS117</f>
        <v>-267.39121638328987</v>
      </c>
      <c r="DU117" s="1119">
        <f t="shared" si="1019"/>
        <v>-534.78243276657975</v>
      </c>
      <c r="DV117" s="860">
        <f t="shared" si="1019"/>
        <v>-141.92951557390168</v>
      </c>
      <c r="DW117" s="1422">
        <f>DZ117-DV117</f>
        <v>-141.92951557390168</v>
      </c>
      <c r="DX117" s="860">
        <f t="shared" ref="DX117" si="1029">+DX109</f>
        <v>-141.92951557390168</v>
      </c>
      <c r="DY117" s="1557">
        <f>EA117-DX117</f>
        <v>-141.92951557390168</v>
      </c>
      <c r="DZ117" s="860">
        <f t="shared" ref="DZ117" si="1030">+DZ109</f>
        <v>-283.85903114780336</v>
      </c>
      <c r="EA117" s="1422">
        <f>EB117-DZ117</f>
        <v>-283.85903114780336</v>
      </c>
      <c r="EB117" s="1119">
        <f t="shared" si="1019"/>
        <v>-567.71806229560673</v>
      </c>
      <c r="EC117" s="860">
        <f t="shared" si="1019"/>
        <v>-150.41376318497703</v>
      </c>
      <c r="ED117" s="1422">
        <f>EG117-EC117</f>
        <v>-150.41376318497703</v>
      </c>
      <c r="EE117" s="860">
        <f t="shared" ref="EE117" si="1031">+EE109</f>
        <v>-150.41376318497703</v>
      </c>
      <c r="EF117" s="1557">
        <f>EH117-EE117</f>
        <v>-150.41376318497703</v>
      </c>
      <c r="EG117" s="860">
        <f t="shared" ref="EG117" si="1032">+EG109</f>
        <v>-300.82752636995406</v>
      </c>
      <c r="EH117" s="1422">
        <f>EI117-EG117</f>
        <v>-300.82752636995406</v>
      </c>
      <c r="EI117" s="1119">
        <f t="shared" si="1019"/>
        <v>-601.65505273990811</v>
      </c>
      <c r="EJ117" s="860">
        <f t="shared" si="1019"/>
        <v>-158.78916416477821</v>
      </c>
      <c r="EK117" s="1422">
        <f>EN117-EJ117</f>
        <v>-158.78916416477821</v>
      </c>
      <c r="EL117" s="860">
        <f t="shared" ref="EL117" si="1033">+EL109</f>
        <v>-158.78916416477821</v>
      </c>
      <c r="EM117" s="1557">
        <f>EO117-EL117</f>
        <v>-158.78916416477821</v>
      </c>
      <c r="EN117" s="860">
        <f t="shared" ref="EN117" si="1034">+EN109</f>
        <v>-317.57832832955643</v>
      </c>
      <c r="EO117" s="1422">
        <f>EP117-EN117</f>
        <v>-317.57832832955643</v>
      </c>
      <c r="EP117" s="1119">
        <f t="shared" si="1019"/>
        <v>-635.15665665911285</v>
      </c>
      <c r="EQ117" s="303"/>
      <c r="ER117" s="46"/>
    </row>
    <row r="118" spans="1:148" ht="10.199999999999999" customHeight="1">
      <c r="A118" s="3" t="s">
        <v>89</v>
      </c>
      <c r="B118" s="1"/>
      <c r="C118" s="1"/>
      <c r="D118" s="836">
        <f>+D119-D117-D116-D115</f>
        <v>-232</v>
      </c>
      <c r="E118" s="836">
        <f>+E119-E117-E116-E115</f>
        <v>-102</v>
      </c>
      <c r="F118" s="836">
        <v>0</v>
      </c>
      <c r="G118" s="836">
        <f>-108+1443-19-34-382-G117-G116</f>
        <v>154.15999999999985</v>
      </c>
      <c r="H118" s="836">
        <f>-279+1491-99-224-1058-H117-H116</f>
        <v>-945.4</v>
      </c>
      <c r="I118" s="836">
        <f>-487+1339-28-549-487-I117-I116</f>
        <v>-921.56</v>
      </c>
      <c r="J118" s="836">
        <f>132+1387-12-242-J117-J116</f>
        <v>338.48</v>
      </c>
      <c r="K118" s="836">
        <f>120+1220-3-22-228-K117-K116</f>
        <v>469.15999999999985</v>
      </c>
      <c r="L118" s="836">
        <f>113+1366+98-93-L117-L116</f>
        <v>644.40000000000009</v>
      </c>
      <c r="M118" s="836">
        <f>M119-M117-M116-M115</f>
        <v>454</v>
      </c>
      <c r="N118" s="1564"/>
      <c r="O118" s="1564"/>
      <c r="P118" s="1564"/>
      <c r="Q118" s="1580"/>
      <c r="R118" s="1564"/>
      <c r="S118" s="1564"/>
      <c r="T118" s="1598">
        <f>-103+1+14</f>
        <v>-88</v>
      </c>
      <c r="U118" s="1564"/>
      <c r="V118" s="1564"/>
      <c r="W118" s="1564"/>
      <c r="X118" s="1580"/>
      <c r="Y118" s="1564"/>
      <c r="Z118" s="1564"/>
      <c r="AA118" s="1598">
        <f>318+17+38</f>
        <v>373</v>
      </c>
      <c r="AB118" s="1564"/>
      <c r="AC118" s="1564"/>
      <c r="AD118" s="1564"/>
      <c r="AE118" s="1580"/>
      <c r="AF118" s="1564"/>
      <c r="AG118" s="1564"/>
      <c r="AH118" s="1598">
        <v>0</v>
      </c>
      <c r="AI118" s="1564"/>
      <c r="AJ118" s="1564"/>
      <c r="AK118" s="1564"/>
      <c r="AL118" s="1580"/>
      <c r="AM118" s="1564"/>
      <c r="AN118" s="1564"/>
      <c r="AO118" s="1598">
        <f t="shared" ref="AO118:CS118" si="1035">AO119-AO117-AO116-AO115</f>
        <v>-2129</v>
      </c>
      <c r="AP118" s="1564"/>
      <c r="AQ118" s="1564"/>
      <c r="AR118" s="1564"/>
      <c r="AS118" s="1580"/>
      <c r="AT118" s="1564"/>
      <c r="AU118" s="1564"/>
      <c r="AV118" s="1598">
        <f t="shared" si="1035"/>
        <v>-1018</v>
      </c>
      <c r="AW118" s="1564"/>
      <c r="AX118" s="1564"/>
      <c r="AY118" s="1564"/>
      <c r="AZ118" s="1580"/>
      <c r="BA118" s="1564"/>
      <c r="BB118" s="1564"/>
      <c r="BC118" s="1598">
        <f t="shared" si="1035"/>
        <v>-1017</v>
      </c>
      <c r="BD118" s="1564"/>
      <c r="BE118" s="1564"/>
      <c r="BF118" s="1564"/>
      <c r="BG118" s="1580"/>
      <c r="BH118" s="1564"/>
      <c r="BI118" s="1564"/>
      <c r="BJ118" s="1598">
        <f t="shared" si="1035"/>
        <v>-610</v>
      </c>
      <c r="BK118" s="1564"/>
      <c r="BL118" s="1564"/>
      <c r="BM118" s="1564"/>
      <c r="BN118" s="1580"/>
      <c r="BO118" s="1564"/>
      <c r="BP118" s="1564"/>
      <c r="BQ118" s="1598">
        <f t="shared" si="1035"/>
        <v>178</v>
      </c>
      <c r="BR118" s="1564"/>
      <c r="BS118" s="1564"/>
      <c r="BT118" s="1564"/>
      <c r="BU118" s="1580"/>
      <c r="BV118" s="1564"/>
      <c r="BW118" s="1564"/>
      <c r="BX118" s="1598">
        <f t="shared" si="1035"/>
        <v>-1217</v>
      </c>
      <c r="BY118" s="1564"/>
      <c r="BZ118" s="1564"/>
      <c r="CA118" s="1564"/>
      <c r="CB118" s="1580"/>
      <c r="CC118" s="1564"/>
      <c r="CD118" s="1564"/>
      <c r="CE118" s="1598">
        <f t="shared" si="1035"/>
        <v>-1025.1647072654596</v>
      </c>
      <c r="CF118" s="1564"/>
      <c r="CG118" s="1564"/>
      <c r="CH118" s="1564"/>
      <c r="CI118" s="1580"/>
      <c r="CJ118" s="1564"/>
      <c r="CK118" s="1564"/>
      <c r="CL118" s="1598">
        <f t="shared" si="1035"/>
        <v>-2806.9016576534195</v>
      </c>
      <c r="CM118" s="1564"/>
      <c r="CN118" s="1564"/>
      <c r="CO118" s="1564"/>
      <c r="CP118" s="1580"/>
      <c r="CQ118" s="1564"/>
      <c r="CR118" s="1564"/>
      <c r="CS118" s="1598">
        <f t="shared" si="1035"/>
        <v>-738.11053961909056</v>
      </c>
      <c r="CT118" s="1567"/>
      <c r="CU118" s="1442"/>
      <c r="CV118" s="1567"/>
      <c r="CW118" s="1516"/>
      <c r="CX118" s="1441"/>
      <c r="CY118" s="1410"/>
      <c r="CZ118" s="1598">
        <f t="shared" ref="CZ118" si="1036">CZ119-CZ117-CZ116-CZ115</f>
        <v>-561.9853632729828</v>
      </c>
      <c r="DA118" s="1564">
        <f>DE118/2</f>
        <v>-2.6328914883615653</v>
      </c>
      <c r="DB118" s="1442">
        <f>DE118-DA118</f>
        <v>-2.6328914883615653</v>
      </c>
      <c r="DC118" s="1564">
        <f>DF118/2</f>
        <v>0</v>
      </c>
      <c r="DD118" s="1450">
        <f>DF118-DC118</f>
        <v>0</v>
      </c>
      <c r="DE118" s="1564">
        <f>DG118/2</f>
        <v>-5.2657829767231306</v>
      </c>
      <c r="DF118" s="1410"/>
      <c r="DG118" s="1598">
        <f t="shared" ref="DG118" si="1037">DG119-DG117-DG116-DG115</f>
        <v>-10.531565953446261</v>
      </c>
      <c r="DH118" s="1564">
        <f>DL118/2</f>
        <v>0</v>
      </c>
      <c r="DI118" s="1442">
        <f>DL118-DH118</f>
        <v>0</v>
      </c>
      <c r="DJ118" s="1410">
        <f>DM118/2</f>
        <v>0</v>
      </c>
      <c r="DK118" s="1669">
        <f>DM118-DJ118</f>
        <v>0</v>
      </c>
      <c r="DL118" s="1564">
        <f>DN118/2</f>
        <v>0</v>
      </c>
      <c r="DM118" s="1668">
        <f>DN118-DL118</f>
        <v>0</v>
      </c>
      <c r="DN118" s="1485">
        <v>0</v>
      </c>
      <c r="DO118" s="1410">
        <f>DS118/2</f>
        <v>0</v>
      </c>
      <c r="DP118" s="1668">
        <f>DS118-DO118</f>
        <v>0</v>
      </c>
      <c r="DQ118" s="1410">
        <f>DT118/2</f>
        <v>0</v>
      </c>
      <c r="DR118" s="1669">
        <f>DT118-DQ118</f>
        <v>0</v>
      </c>
      <c r="DS118" s="1410">
        <f>DU118/2</f>
        <v>0</v>
      </c>
      <c r="DT118" s="1668">
        <f>DU118-DS118</f>
        <v>0</v>
      </c>
      <c r="DU118" s="1485">
        <v>0</v>
      </c>
      <c r="DV118" s="1410">
        <f>DZ118/2</f>
        <v>0</v>
      </c>
      <c r="DW118" s="1668">
        <f>DZ118-DV118</f>
        <v>0</v>
      </c>
      <c r="DX118" s="1410">
        <f>EA118/2</f>
        <v>0</v>
      </c>
      <c r="DY118" s="1669">
        <f>EA118-DX118</f>
        <v>0</v>
      </c>
      <c r="DZ118" s="1410">
        <f>EB118/2</f>
        <v>0</v>
      </c>
      <c r="EA118" s="1668">
        <f>EB118-DZ118</f>
        <v>0</v>
      </c>
      <c r="EB118" s="1485">
        <v>0</v>
      </c>
      <c r="EC118" s="1410">
        <f>EG118/2</f>
        <v>0</v>
      </c>
      <c r="ED118" s="1668">
        <f>EG118-EC118</f>
        <v>0</v>
      </c>
      <c r="EE118" s="1410">
        <f>EH118/2</f>
        <v>0</v>
      </c>
      <c r="EF118" s="1669">
        <f>EH118-EE118</f>
        <v>0</v>
      </c>
      <c r="EG118" s="1410">
        <f>EI118/2</f>
        <v>0</v>
      </c>
      <c r="EH118" s="1668">
        <f>EI118-EG118</f>
        <v>0</v>
      </c>
      <c r="EI118" s="1485">
        <v>0</v>
      </c>
      <c r="EJ118" s="1410">
        <f>EN118/2</f>
        <v>0</v>
      </c>
      <c r="EK118" s="1668">
        <f>EN118-EJ118</f>
        <v>0</v>
      </c>
      <c r="EL118" s="1410">
        <f>EO118/2</f>
        <v>0</v>
      </c>
      <c r="EM118" s="1669">
        <f>EO118-EL118</f>
        <v>0</v>
      </c>
      <c r="EN118" s="1410">
        <f>EP118/2</f>
        <v>0</v>
      </c>
      <c r="EO118" s="1668">
        <f>EP118-EN118</f>
        <v>0</v>
      </c>
      <c r="EP118" s="1485">
        <v>0</v>
      </c>
      <c r="EQ118" s="851"/>
      <c r="ER118" s="875"/>
    </row>
    <row r="119" spans="1:148" ht="10.199999999999999" customHeight="1">
      <c r="A119" s="3" t="s">
        <v>220</v>
      </c>
      <c r="B119" s="1"/>
      <c r="C119" s="1"/>
      <c r="D119" s="863">
        <v>8089</v>
      </c>
      <c r="E119" s="865">
        <v>8830</v>
      </c>
      <c r="F119" s="863">
        <v>9812</v>
      </c>
      <c r="G119" s="865">
        <f t="shared" ref="G119:L119" si="1038">+SUM(G115:G118)</f>
        <v>10712</v>
      </c>
      <c r="H119" s="865">
        <f t="shared" si="1038"/>
        <v>10543</v>
      </c>
      <c r="I119" s="865">
        <f t="shared" si="1038"/>
        <v>10331</v>
      </c>
      <c r="J119" s="865">
        <f t="shared" si="1038"/>
        <v>11596</v>
      </c>
      <c r="K119" s="865">
        <f t="shared" si="1038"/>
        <v>12683</v>
      </c>
      <c r="L119" s="865">
        <f t="shared" si="1038"/>
        <v>14167</v>
      </c>
      <c r="M119" s="865">
        <v>15926</v>
      </c>
      <c r="N119" s="865"/>
      <c r="O119" s="865"/>
      <c r="P119" s="865"/>
      <c r="Q119" s="1102"/>
      <c r="R119" s="865"/>
      <c r="S119" s="865"/>
      <c r="T119" s="1280">
        <f>+SUM(T115:T118)</f>
        <v>16107</v>
      </c>
      <c r="U119" s="865"/>
      <c r="V119" s="865"/>
      <c r="W119" s="865"/>
      <c r="X119" s="1102"/>
      <c r="Y119" s="865"/>
      <c r="Z119" s="865"/>
      <c r="AA119" s="1280">
        <f>+SUM(AA115:AA118)</f>
        <v>17703</v>
      </c>
      <c r="AB119" s="865"/>
      <c r="AC119" s="865"/>
      <c r="AD119" s="865"/>
      <c r="AE119" s="1102"/>
      <c r="AF119" s="865"/>
      <c r="AG119" s="865"/>
      <c r="AH119" s="1280">
        <f>+SUM(AH115:AH118)</f>
        <v>19585</v>
      </c>
      <c r="AI119" s="865"/>
      <c r="AJ119" s="865"/>
      <c r="AK119" s="865"/>
      <c r="AL119" s="1102"/>
      <c r="AM119" s="865"/>
      <c r="AN119" s="865"/>
      <c r="AO119" s="1280">
        <v>19267</v>
      </c>
      <c r="AP119" s="865"/>
      <c r="AQ119" s="865"/>
      <c r="AR119" s="865"/>
      <c r="AS119" s="1102"/>
      <c r="AT119" s="865"/>
      <c r="AU119" s="865"/>
      <c r="AV119" s="1280">
        <f>AV111-AV104</f>
        <v>20143</v>
      </c>
      <c r="AW119" s="865"/>
      <c r="AX119" s="865"/>
      <c r="AY119" s="865"/>
      <c r="AZ119" s="1102"/>
      <c r="BA119" s="865"/>
      <c r="BB119" s="865"/>
      <c r="BC119" s="1280">
        <f>BC111-BC104</f>
        <v>20144</v>
      </c>
      <c r="BD119" s="865"/>
      <c r="BE119" s="865"/>
      <c r="BF119" s="865"/>
      <c r="BG119" s="1102"/>
      <c r="BH119" s="865"/>
      <c r="BI119" s="865"/>
      <c r="BJ119" s="1280">
        <v>21476</v>
      </c>
      <c r="BK119" s="865"/>
      <c r="BL119" s="865"/>
      <c r="BM119" s="865"/>
      <c r="BN119" s="1102"/>
      <c r="BO119" s="865"/>
      <c r="BP119" s="865"/>
      <c r="BQ119" s="1280">
        <v>24018</v>
      </c>
      <c r="BR119" s="865"/>
      <c r="BS119" s="865"/>
      <c r="BT119" s="865"/>
      <c r="BU119" s="1102"/>
      <c r="BV119" s="865"/>
      <c r="BW119" s="865"/>
      <c r="BX119" s="1280">
        <v>25178</v>
      </c>
      <c r="BY119" s="865"/>
      <c r="BZ119" s="865"/>
      <c r="CA119" s="865"/>
      <c r="CB119" s="1102"/>
      <c r="CC119" s="865"/>
      <c r="CD119" s="865"/>
      <c r="CE119" s="1280">
        <v>25734</v>
      </c>
      <c r="CF119" s="865"/>
      <c r="CG119" s="865"/>
      <c r="CH119" s="865"/>
      <c r="CI119" s="1102"/>
      <c r="CJ119" s="865"/>
      <c r="CK119" s="865"/>
      <c r="CL119" s="1280">
        <v>24764</v>
      </c>
      <c r="CM119" s="865"/>
      <c r="CN119" s="865"/>
      <c r="CO119" s="865"/>
      <c r="CP119" s="1102"/>
      <c r="CQ119" s="865"/>
      <c r="CR119" s="865"/>
      <c r="CS119" s="1280">
        <v>25453</v>
      </c>
      <c r="CT119" s="865"/>
      <c r="CU119" s="865"/>
      <c r="CV119" s="865"/>
      <c r="CW119" s="1117"/>
      <c r="CX119" s="865"/>
      <c r="CY119" s="897"/>
      <c r="CZ119" s="2102">
        <v>26430</v>
      </c>
      <c r="DA119" s="865">
        <f t="shared" ref="DA119:DB119" si="1039">+SUM(DA115:DA118)</f>
        <v>26848</v>
      </c>
      <c r="DB119" s="865">
        <f t="shared" si="1039"/>
        <v>27276</v>
      </c>
      <c r="DC119" s="865">
        <f t="shared" ref="DC119:DD119" si="1040">+SUM(DC115:DC118)</f>
        <v>27839.75</v>
      </c>
      <c r="DD119" s="1102">
        <f t="shared" si="1040"/>
        <v>29010.5</v>
      </c>
      <c r="DE119" s="865">
        <f t="shared" ref="DE119" si="1041">+SUM(DE115:DE118)</f>
        <v>27276</v>
      </c>
      <c r="DF119" s="897"/>
      <c r="DG119" s="1854">
        <v>28189</v>
      </c>
      <c r="DH119" s="865">
        <f t="shared" ref="DH119:DI119" si="1042">+SUM(DH115:DH118)</f>
        <v>28657.197559119446</v>
      </c>
      <c r="DI119" s="865">
        <f t="shared" si="1042"/>
        <v>29095.395118238892</v>
      </c>
      <c r="DJ119" s="897">
        <f t="shared" ref="DJ119:EP119" si="1043">+SUM(DJ115:DJ118)</f>
        <v>29613.494297981324</v>
      </c>
      <c r="DK119" s="1117">
        <f t="shared" si="1043"/>
        <v>30950.730563614226</v>
      </c>
      <c r="DL119" s="865">
        <f t="shared" si="1043"/>
        <v>29095.395118238892</v>
      </c>
      <c r="DM119" s="897">
        <f t="shared" si="1043"/>
        <v>30950.730563614226</v>
      </c>
      <c r="DN119" s="1116">
        <f t="shared" si="1043"/>
        <v>30950.730563614226</v>
      </c>
      <c r="DO119" s="897">
        <f t="shared" si="1043"/>
        <v>31631.662586438961</v>
      </c>
      <c r="DP119" s="897">
        <f t="shared" si="1043"/>
        <v>32402.758766275645</v>
      </c>
      <c r="DQ119" s="897">
        <f t="shared" si="1043"/>
        <v>33168.289819895654</v>
      </c>
      <c r="DR119" s="1117">
        <f t="shared" si="1043"/>
        <v>34047.849164114756</v>
      </c>
      <c r="DS119" s="897">
        <f t="shared" si="1043"/>
        <v>32402.758766275638</v>
      </c>
      <c r="DT119" s="897">
        <f t="shared" si="1043"/>
        <v>34047.849164114748</v>
      </c>
      <c r="DU119" s="1116">
        <f t="shared" si="1043"/>
        <v>34047.849164114748</v>
      </c>
      <c r="DV119" s="897">
        <f t="shared" si="1043"/>
        <v>34788.990916955787</v>
      </c>
      <c r="DW119" s="897">
        <f t="shared" si="1043"/>
        <v>35628.875968410335</v>
      </c>
      <c r="DX119" s="897">
        <f t="shared" si="1043"/>
        <v>36462.93950457195</v>
      </c>
      <c r="DY119" s="1117">
        <f t="shared" si="1043"/>
        <v>37432.829433624771</v>
      </c>
      <c r="DZ119" s="897">
        <f t="shared" si="1043"/>
        <v>35628.875968410335</v>
      </c>
      <c r="EA119" s="897">
        <f t="shared" si="1043"/>
        <v>37432.829433624771</v>
      </c>
      <c r="EB119" s="1116">
        <f t="shared" si="1043"/>
        <v>37432.829433624771</v>
      </c>
      <c r="EC119" s="897">
        <f t="shared" si="1043"/>
        <v>38231.521567509597</v>
      </c>
      <c r="ED119" s="897">
        <f t="shared" si="1043"/>
        <v>39097.267017415332</v>
      </c>
      <c r="EE119" s="897">
        <f t="shared" si="1043"/>
        <v>39956.887798861906</v>
      </c>
      <c r="EF119" s="1117">
        <f t="shared" si="1043"/>
        <v>40958.162748293114</v>
      </c>
      <c r="EG119" s="897">
        <f t="shared" si="1043"/>
        <v>39097.267017415325</v>
      </c>
      <c r="EH119" s="897">
        <f t="shared" si="1043"/>
        <v>40958.1627482931</v>
      </c>
      <c r="EI119" s="1116">
        <f t="shared" si="1043"/>
        <v>40958.1627482931</v>
      </c>
      <c r="EJ119" s="897">
        <f t="shared" si="1043"/>
        <v>41778.934518925467</v>
      </c>
      <c r="EK119" s="897">
        <f t="shared" si="1043"/>
        <v>42670.190417150377</v>
      </c>
      <c r="EL119" s="897">
        <f t="shared" si="1043"/>
        <v>43555.040953678639</v>
      </c>
      <c r="EM119" s="1117">
        <f t="shared" si="1043"/>
        <v>44587.310173477395</v>
      </c>
      <c r="EN119" s="897">
        <f t="shared" si="1043"/>
        <v>42670.190417150385</v>
      </c>
      <c r="EO119" s="897">
        <f t="shared" si="1043"/>
        <v>44587.31017347741</v>
      </c>
      <c r="EP119" s="1116">
        <f t="shared" si="1043"/>
        <v>44587.310173477403</v>
      </c>
      <c r="EQ119" s="851"/>
      <c r="ER119" s="875"/>
    </row>
    <row r="120" spans="1:148" ht="10.199999999999999" customHeight="1">
      <c r="A120" s="43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700"/>
      <c r="R120" s="108"/>
      <c r="S120" s="108"/>
      <c r="T120" s="538"/>
      <c r="U120" s="108"/>
      <c r="V120" s="108"/>
      <c r="W120" s="108"/>
      <c r="X120" s="700"/>
      <c r="Y120" s="108"/>
      <c r="Z120" s="108"/>
      <c r="AA120" s="538"/>
      <c r="AB120" s="108"/>
      <c r="AC120" s="108"/>
      <c r="AD120" s="108"/>
      <c r="AE120" s="700"/>
      <c r="AF120" s="108"/>
      <c r="AG120" s="108"/>
      <c r="AH120" s="538"/>
      <c r="AI120" s="108"/>
      <c r="AJ120" s="108"/>
      <c r="AK120" s="108"/>
      <c r="AL120" s="700"/>
      <c r="AM120" s="108"/>
      <c r="AN120" s="108"/>
      <c r="AO120" s="538"/>
      <c r="AP120" s="108"/>
      <c r="AQ120" s="108"/>
      <c r="AR120" s="108"/>
      <c r="AS120" s="700"/>
      <c r="AT120" s="108"/>
      <c r="AU120" s="108"/>
      <c r="AV120" s="538"/>
      <c r="AW120" s="108"/>
      <c r="AX120" s="108"/>
      <c r="AY120" s="108"/>
      <c r="AZ120" s="700"/>
      <c r="BA120" s="108"/>
      <c r="BB120" s="108"/>
      <c r="BC120" s="538"/>
      <c r="BD120" s="108"/>
      <c r="BE120" s="108"/>
      <c r="BF120" s="108"/>
      <c r="BG120" s="700"/>
      <c r="BH120" s="108"/>
      <c r="BI120" s="108"/>
      <c r="BJ120" s="538"/>
      <c r="BK120" s="108"/>
      <c r="BL120" s="108"/>
      <c r="BM120" s="108"/>
      <c r="BN120" s="700"/>
      <c r="BO120" s="108"/>
      <c r="BP120" s="108"/>
      <c r="BQ120" s="538"/>
      <c r="BR120" s="108"/>
      <c r="BS120" s="108"/>
      <c r="BT120" s="108"/>
      <c r="BU120" s="700"/>
      <c r="BV120" s="108"/>
      <c r="BW120" s="108"/>
      <c r="BX120" s="538"/>
      <c r="BY120" s="108"/>
      <c r="BZ120" s="108"/>
      <c r="CA120" s="108"/>
      <c r="CB120" s="700"/>
      <c r="CC120" s="108"/>
      <c r="CD120" s="108"/>
      <c r="CE120" s="538"/>
      <c r="CF120" s="108"/>
      <c r="CG120" s="108"/>
      <c r="CH120" s="108"/>
      <c r="CI120" s="700"/>
      <c r="CJ120" s="108"/>
      <c r="CK120" s="108"/>
      <c r="CL120" s="538"/>
      <c r="CM120" s="108"/>
      <c r="CN120" s="108"/>
      <c r="CO120" s="108"/>
      <c r="CP120" s="700"/>
      <c r="CQ120" s="108"/>
      <c r="CR120" s="108"/>
      <c r="CS120" s="538"/>
      <c r="CT120" s="108"/>
      <c r="CU120" s="108"/>
      <c r="CV120" s="108"/>
      <c r="CW120" s="700"/>
      <c r="CX120" s="108"/>
      <c r="CY120" s="882"/>
      <c r="CZ120" s="538"/>
      <c r="DA120" s="882"/>
      <c r="DB120" s="108"/>
      <c r="DC120" s="1"/>
      <c r="DD120" s="1094"/>
      <c r="DE120" s="1"/>
      <c r="DF120" s="882"/>
      <c r="DG120" s="538"/>
      <c r="DH120" s="1"/>
      <c r="DI120" s="108"/>
      <c r="DJ120" s="882"/>
      <c r="DK120" s="1371"/>
      <c r="DL120" s="1"/>
      <c r="DM120" s="882"/>
      <c r="DN120" s="1491"/>
      <c r="DO120" s="882"/>
      <c r="DP120" s="456"/>
      <c r="DQ120" s="882"/>
      <c r="DR120" s="1371"/>
      <c r="DS120" s="882"/>
      <c r="DT120" s="882"/>
      <c r="DU120" s="1491"/>
      <c r="DV120" s="882"/>
      <c r="DW120" s="456"/>
      <c r="DX120" s="882"/>
      <c r="DY120" s="1371"/>
      <c r="DZ120" s="882"/>
      <c r="EA120" s="882"/>
      <c r="EB120" s="1491"/>
      <c r="EC120" s="882"/>
      <c r="ED120" s="456"/>
      <c r="EE120" s="882"/>
      <c r="EF120" s="1371"/>
      <c r="EG120" s="882"/>
      <c r="EH120" s="882"/>
      <c r="EI120" s="1491"/>
      <c r="EJ120" s="882"/>
      <c r="EK120" s="456"/>
      <c r="EL120" s="882"/>
      <c r="EM120" s="1371"/>
      <c r="EN120" s="882"/>
      <c r="EO120" s="882"/>
      <c r="EP120" s="1491"/>
      <c r="EQ120" s="303"/>
      <c r="ER120" s="46"/>
    </row>
    <row r="121" spans="1:148" ht="10.199999999999999" customHeight="1">
      <c r="A121" s="43" t="s">
        <v>221</v>
      </c>
      <c r="B121" s="108"/>
      <c r="C121" s="108"/>
      <c r="D121" s="157">
        <f t="shared" ref="D121:EP121" si="1044">+D108/D112</f>
        <v>0.1483517964475351</v>
      </c>
      <c r="E121" s="157">
        <f t="shared" si="1044"/>
        <v>0.16035084318666409</v>
      </c>
      <c r="F121" s="157">
        <f t="shared" si="1044"/>
        <v>0.1037827352085354</v>
      </c>
      <c r="G121" s="157">
        <f t="shared" si="1044"/>
        <v>0.11768585502586616</v>
      </c>
      <c r="H121" s="157">
        <f t="shared" si="1044"/>
        <v>8.4299348707655763E-2</v>
      </c>
      <c r="I121" s="157">
        <f t="shared" si="1044"/>
        <v>7.9141804708872762E-2</v>
      </c>
      <c r="J121" s="157">
        <f t="shared" si="1044"/>
        <v>8.4007640960700569E-2</v>
      </c>
      <c r="K121" s="157">
        <f t="shared" si="1044"/>
        <v>8.961644162982435E-2</v>
      </c>
      <c r="L121" s="157">
        <f t="shared" si="1044"/>
        <v>8.0737923304485232E-2</v>
      </c>
      <c r="M121" s="157">
        <f t="shared" si="1044"/>
        <v>9.5566585345335242E-2</v>
      </c>
      <c r="N121" s="157"/>
      <c r="O121" s="157"/>
      <c r="P121" s="157"/>
      <c r="Q121" s="1277"/>
      <c r="R121" s="157"/>
      <c r="S121" s="157"/>
      <c r="T121" s="1295">
        <f t="shared" si="1044"/>
        <v>7.8630106034441025E-2</v>
      </c>
      <c r="U121" s="157"/>
      <c r="V121" s="157"/>
      <c r="W121" s="157"/>
      <c r="X121" s="1277"/>
      <c r="Y121" s="157"/>
      <c r="Z121" s="157"/>
      <c r="AA121" s="1295">
        <f t="shared" si="1044"/>
        <v>6.7350416945644892E-2</v>
      </c>
      <c r="AB121" s="157"/>
      <c r="AC121" s="157"/>
      <c r="AD121" s="157"/>
      <c r="AE121" s="1277"/>
      <c r="AF121" s="157"/>
      <c r="AG121" s="157"/>
      <c r="AH121" s="1295">
        <f t="shared" si="1044"/>
        <v>8.5812033476589E-2</v>
      </c>
      <c r="AI121" s="157"/>
      <c r="AJ121" s="157"/>
      <c r="AK121" s="157"/>
      <c r="AL121" s="1277"/>
      <c r="AM121" s="157"/>
      <c r="AN121" s="157"/>
      <c r="AO121" s="1295">
        <f t="shared" si="1044"/>
        <v>7.6963178400921914E-2</v>
      </c>
      <c r="AP121" s="157"/>
      <c r="AQ121" s="157"/>
      <c r="AR121" s="157"/>
      <c r="AS121" s="1277"/>
      <c r="AT121" s="157"/>
      <c r="AU121" s="157"/>
      <c r="AV121" s="1295">
        <f t="shared" si="1044"/>
        <v>6.4141060973770453E-2</v>
      </c>
      <c r="AW121" s="157"/>
      <c r="AX121" s="157"/>
      <c r="AY121" s="157"/>
      <c r="AZ121" s="1277"/>
      <c r="BA121" s="157"/>
      <c r="BB121" s="157"/>
      <c r="BC121" s="1295">
        <f t="shared" si="1044"/>
        <v>6.4140181533989635E-2</v>
      </c>
      <c r="BD121" s="157"/>
      <c r="BE121" s="157"/>
      <c r="BF121" s="157"/>
      <c r="BG121" s="1277"/>
      <c r="BH121" s="157"/>
      <c r="BI121" s="157"/>
      <c r="BJ121" s="1295">
        <f t="shared" si="1044"/>
        <v>5.3411196885457916E-2</v>
      </c>
      <c r="BK121" s="157"/>
      <c r="BL121" s="157"/>
      <c r="BM121" s="157"/>
      <c r="BN121" s="1277"/>
      <c r="BO121" s="157"/>
      <c r="BP121" s="157"/>
      <c r="BQ121" s="1295">
        <f t="shared" si="1044"/>
        <v>4.8541370772111965E-2</v>
      </c>
      <c r="BR121" s="157"/>
      <c r="BS121" s="157"/>
      <c r="BT121" s="157"/>
      <c r="BU121" s="1277"/>
      <c r="BV121" s="157"/>
      <c r="BW121" s="157"/>
      <c r="BX121" s="1295">
        <f t="shared" si="1044"/>
        <v>3.5087297388293012E-2</v>
      </c>
      <c r="BY121" s="157"/>
      <c r="BZ121" s="157"/>
      <c r="CA121" s="157"/>
      <c r="CB121" s="1277"/>
      <c r="CC121" s="157"/>
      <c r="CD121" s="157"/>
      <c r="CE121" s="1295">
        <f t="shared" si="1044"/>
        <v>3.7493164689379709E-2</v>
      </c>
      <c r="CF121" s="157"/>
      <c r="CG121" s="157"/>
      <c r="CH121" s="157"/>
      <c r="CI121" s="1277"/>
      <c r="CJ121" s="157"/>
      <c r="CK121" s="157"/>
      <c r="CL121" s="1295">
        <f t="shared" si="1044"/>
        <v>4.7522713941991167E-2</v>
      </c>
      <c r="CM121" s="157"/>
      <c r="CN121" s="157"/>
      <c r="CO121" s="157"/>
      <c r="CP121" s="1277"/>
      <c r="CQ121" s="157"/>
      <c r="CR121" s="157"/>
      <c r="CS121" s="1295">
        <f t="shared" ref="CS121" si="1045">+CS108/CS112</f>
        <v>5.8791987893664431E-2</v>
      </c>
      <c r="CT121" s="251"/>
      <c r="CU121" s="251"/>
      <c r="CV121" s="251"/>
      <c r="CW121" s="450"/>
      <c r="CX121" s="251"/>
      <c r="CY121" s="900"/>
      <c r="CZ121" s="1295">
        <f t="shared" ref="CZ121" si="1046">+CZ108/CZ112</f>
        <v>6.8687922354755321E-2</v>
      </c>
      <c r="DA121" s="809">
        <f>+DA108*4/DA112</f>
        <v>4.2375103806984574E-2</v>
      </c>
      <c r="DB121" s="251">
        <f>+DB108*4/DB112</f>
        <v>5.3462861593716868E-2</v>
      </c>
      <c r="DC121" s="809">
        <f>+DC108*4/DC112</f>
        <v>6.7923018445164629E-2</v>
      </c>
      <c r="DD121" s="1101">
        <f>+DD108*4/DD112</f>
        <v>0.12667605509148508</v>
      </c>
      <c r="DE121" s="251">
        <f>+DE108*2/DE112</f>
        <v>4.7931656631089274E-2</v>
      </c>
      <c r="DF121" s="900"/>
      <c r="DG121" s="1295">
        <f t="shared" ref="DG121" si="1047">+DG108/DG112</f>
        <v>7.2264964491038211E-2</v>
      </c>
      <c r="DH121" s="809">
        <f>+DH108*4/DH112</f>
        <v>4.1866465527316786E-2</v>
      </c>
      <c r="DI121" s="251">
        <f>+DI108*4/DI112</f>
        <v>5.8837110876587141E-2</v>
      </c>
      <c r="DJ121" s="900">
        <f>+DJ108*4/DJ112</f>
        <v>6.1324797275320246E-2</v>
      </c>
      <c r="DK121" s="1114">
        <f>+DK108*4/DK112</f>
        <v>0.1277715004177907</v>
      </c>
      <c r="DL121" s="251">
        <f>+DL108*2/DL112</f>
        <v>5.0365114344007603E-2</v>
      </c>
      <c r="DM121" s="449">
        <f>+DM108*2/DM112</f>
        <v>9.4497314301006025E-2</v>
      </c>
      <c r="DN121" s="755">
        <f t="shared" si="1044"/>
        <v>7.2439880079009616E-2</v>
      </c>
      <c r="DO121" s="900">
        <f>+DO108*4/DO112</f>
        <v>6.4489847919628904E-2</v>
      </c>
      <c r="DP121" s="449">
        <f>+DP108*4/DP112</f>
        <v>7.0097378444458278E-2</v>
      </c>
      <c r="DQ121" s="900">
        <f>+DQ108*4/DQ112</f>
        <v>6.8685975120709397E-2</v>
      </c>
      <c r="DR121" s="1114">
        <f>+DR108*4/DR112</f>
        <v>7.542080960732099E-2</v>
      </c>
      <c r="DS121" s="449">
        <f>+DS108*2/DS112</f>
        <v>6.7286047375401198E-2</v>
      </c>
      <c r="DT121" s="449">
        <f>+DT108*2/DT112</f>
        <v>7.2044243792142484E-2</v>
      </c>
      <c r="DU121" s="755">
        <f t="shared" si="1044"/>
        <v>6.9641159088338372E-2</v>
      </c>
      <c r="DV121" s="900">
        <f>+DV108*4/DV112</f>
        <v>6.2611238892945259E-2</v>
      </c>
      <c r="DW121" s="449">
        <f>+DW108*4/DW112</f>
        <v>6.8194998409566429E-2</v>
      </c>
      <c r="DX121" s="900">
        <f>+DX108*4/DX112</f>
        <v>6.6845575208877697E-2</v>
      </c>
      <c r="DY121" s="1114">
        <f>+DY108*4/DY112</f>
        <v>7.4256490832526542E-2</v>
      </c>
      <c r="DZ121" s="449">
        <f>+DZ108*2/DZ112</f>
        <v>6.5395916795859016E-2</v>
      </c>
      <c r="EA121" s="449">
        <f>+EA108*2/EA112</f>
        <v>7.0541794530680269E-2</v>
      </c>
      <c r="EB121" s="755">
        <f t="shared" si="1044"/>
        <v>6.7945750837856742E-2</v>
      </c>
      <c r="EC121" s="900">
        <f>+EC108*4/EC112</f>
        <v>6.0451885568170355E-2</v>
      </c>
      <c r="ED121" s="449">
        <f>+ED108*4/ED112</f>
        <v>6.3695554328595833E-2</v>
      </c>
      <c r="EE121" s="900">
        <f>+EE108*4/EE112</f>
        <v>6.2480722464475287E-2</v>
      </c>
      <c r="EF121" s="1114">
        <f>+EF108*4/EF112</f>
        <v>6.9861106500277617E-2</v>
      </c>
      <c r="EG121" s="449">
        <f>+EG108*2/EG112</f>
        <v>6.2068550563856982E-2</v>
      </c>
      <c r="EH121" s="449">
        <f>+EH108*2/EH112</f>
        <v>6.616255114449443E-2</v>
      </c>
      <c r="EI121" s="755">
        <f t="shared" si="1044"/>
        <v>6.4096568533634601E-2</v>
      </c>
      <c r="EJ121" s="900">
        <f>+EJ108*4/EJ112</f>
        <v>5.9002590066189721E-2</v>
      </c>
      <c r="EK121" s="449">
        <f>+EK108*4/EK112</f>
        <v>6.2245823461939388E-2</v>
      </c>
      <c r="EL121" s="900">
        <f>+EL108*4/EL112</f>
        <v>6.1080753622489735E-2</v>
      </c>
      <c r="EM121" s="1114">
        <f>+EM108*4/EM112</f>
        <v>6.8339266275295948E-2</v>
      </c>
      <c r="EN121" s="449">
        <f>+EN108*2/EN112</f>
        <v>6.0619264794134119E-2</v>
      </c>
      <c r="EO121" s="449">
        <f>+EO108*2/EO112</f>
        <v>6.4701980311664506E-2</v>
      </c>
      <c r="EP121" s="755">
        <f t="shared" si="1044"/>
        <v>6.2642633114753543E-2</v>
      </c>
      <c r="EQ121" s="303"/>
      <c r="ER121" s="46"/>
    </row>
    <row r="122" spans="1:148" ht="10.199999999999999" customHeight="1">
      <c r="A122" s="43" t="s">
        <v>222</v>
      </c>
      <c r="B122" s="108"/>
      <c r="C122" s="108"/>
      <c r="D122" s="157">
        <f>+D109/D107</f>
        <v>-2.1350489637895695E-2</v>
      </c>
      <c r="E122" s="157">
        <f>+E109/E107</f>
        <v>-4.2637047653170904E-2</v>
      </c>
      <c r="F122" s="193">
        <v>-0.04</v>
      </c>
      <c r="G122" s="193">
        <f t="shared" ref="G122:L122" si="1048">+F122</f>
        <v>-0.04</v>
      </c>
      <c r="H122" s="193">
        <f t="shared" si="1048"/>
        <v>-0.04</v>
      </c>
      <c r="I122" s="193">
        <f t="shared" si="1048"/>
        <v>-0.04</v>
      </c>
      <c r="J122" s="193">
        <f t="shared" si="1048"/>
        <v>-0.04</v>
      </c>
      <c r="K122" s="193">
        <f t="shared" si="1048"/>
        <v>-0.04</v>
      </c>
      <c r="L122" s="193">
        <f t="shared" si="1048"/>
        <v>-0.04</v>
      </c>
      <c r="M122" s="157">
        <f>+M109/M107</f>
        <v>-2.1297637127821144E-2</v>
      </c>
      <c r="N122" s="157"/>
      <c r="O122" s="157"/>
      <c r="P122" s="157"/>
      <c r="Q122" s="1277"/>
      <c r="R122" s="157"/>
      <c r="S122" s="157"/>
      <c r="T122" s="1295">
        <f>+T109/T107</f>
        <v>-3.174865373814794E-2</v>
      </c>
      <c r="U122" s="157"/>
      <c r="V122" s="157"/>
      <c r="W122" s="157"/>
      <c r="X122" s="1277"/>
      <c r="Y122" s="157"/>
      <c r="Z122" s="157"/>
      <c r="AA122" s="1295">
        <f>+AA109/AA107</f>
        <v>-2.1456518995330052E-2</v>
      </c>
      <c r="AB122" s="157"/>
      <c r="AC122" s="157"/>
      <c r="AD122" s="157"/>
      <c r="AE122" s="1277"/>
      <c r="AF122" s="157"/>
      <c r="AG122" s="157"/>
      <c r="AH122" s="1295">
        <f>+AH109/AH107</f>
        <v>-1.0198683282388902E-2</v>
      </c>
      <c r="AI122" s="157"/>
      <c r="AJ122" s="157"/>
      <c r="AK122" s="157"/>
      <c r="AL122" s="1277"/>
      <c r="AM122" s="157"/>
      <c r="AN122" s="157"/>
      <c r="AO122" s="1295">
        <f>+AH122</f>
        <v>-1.0198683282388902E-2</v>
      </c>
      <c r="AP122" s="157"/>
      <c r="AQ122" s="157"/>
      <c r="AR122" s="157"/>
      <c r="AS122" s="1277"/>
      <c r="AT122" s="157"/>
      <c r="AU122" s="157"/>
      <c r="AV122" s="1295">
        <f>+AO122</f>
        <v>-1.0198683282388902E-2</v>
      </c>
      <c r="AW122" s="157"/>
      <c r="AX122" s="157"/>
      <c r="AY122" s="157"/>
      <c r="AZ122" s="1277"/>
      <c r="BA122" s="157"/>
      <c r="BB122" s="157"/>
      <c r="BC122" s="1295">
        <f>AV122</f>
        <v>-1.0198683282388902E-2</v>
      </c>
      <c r="BD122" s="157"/>
      <c r="BE122" s="157"/>
      <c r="BF122" s="157"/>
      <c r="BG122" s="1277"/>
      <c r="BH122" s="157"/>
      <c r="BI122" s="157"/>
      <c r="BJ122" s="1295">
        <f>+AV122</f>
        <v>-1.0198683282388902E-2</v>
      </c>
      <c r="BK122" s="157"/>
      <c r="BL122" s="157"/>
      <c r="BM122" s="157"/>
      <c r="BN122" s="1277"/>
      <c r="BO122" s="157"/>
      <c r="BP122" s="157"/>
      <c r="BQ122" s="1295">
        <f>+BJ122</f>
        <v>-1.0198683282388902E-2</v>
      </c>
      <c r="BR122" s="157"/>
      <c r="BS122" s="157"/>
      <c r="BT122" s="157"/>
      <c r="BU122" s="1277"/>
      <c r="BV122" s="157"/>
      <c r="BW122" s="157"/>
      <c r="BX122" s="1295">
        <f>+BQ122</f>
        <v>-1.0198683282388902E-2</v>
      </c>
      <c r="BY122" s="157"/>
      <c r="BZ122" s="157"/>
      <c r="CA122" s="157"/>
      <c r="CB122" s="1277"/>
      <c r="CC122" s="157"/>
      <c r="CD122" s="157"/>
      <c r="CE122" s="1295">
        <f>+BX122</f>
        <v>-1.0198683282388902E-2</v>
      </c>
      <c r="CF122" s="157"/>
      <c r="CG122" s="157"/>
      <c r="CH122" s="157"/>
      <c r="CI122" s="1277"/>
      <c r="CJ122" s="157"/>
      <c r="CK122" s="157"/>
      <c r="CL122" s="1295">
        <f>+CE122</f>
        <v>-1.0198683282388902E-2</v>
      </c>
      <c r="CM122" s="157"/>
      <c r="CN122" s="157"/>
      <c r="CO122" s="157"/>
      <c r="CP122" s="1277"/>
      <c r="CQ122" s="157"/>
      <c r="CR122" s="157"/>
      <c r="CS122" s="1295">
        <f>+CL122</f>
        <v>-1.0198683282388902E-2</v>
      </c>
      <c r="CT122" s="251"/>
      <c r="CU122" s="251"/>
      <c r="CV122" s="251"/>
      <c r="CW122" s="450"/>
      <c r="CX122" s="251"/>
      <c r="CY122" s="892"/>
      <c r="CZ122" s="1295">
        <f>+CS122</f>
        <v>-1.0198683282388902E-2</v>
      </c>
      <c r="DA122" s="601">
        <f>DA109*4/DA107</f>
        <v>-1.0198683282388902E-2</v>
      </c>
      <c r="DB122" s="251">
        <f>DB109*4/DB107</f>
        <v>-1.0102850177199186E-2</v>
      </c>
      <c r="DC122" s="601">
        <f>DC109*4/DC107</f>
        <v>0</v>
      </c>
      <c r="DD122" s="965">
        <f>DD109*4/DD107</f>
        <v>0</v>
      </c>
      <c r="DE122" s="251">
        <f>DE109*2/DE107</f>
        <v>-1.0198683282388902E-2</v>
      </c>
      <c r="DF122" s="892"/>
      <c r="DG122" s="1295">
        <f>+CZ122</f>
        <v>-1.0198683282388902E-2</v>
      </c>
      <c r="DH122" s="601">
        <f>DH109*4/DH107</f>
        <v>-1.0198683282388902E-2</v>
      </c>
      <c r="DI122" s="251">
        <f>DI109*4/DI107</f>
        <v>-1.0092539598229285E-2</v>
      </c>
      <c r="DJ122" s="892">
        <f>DJ109*4/DJ107</f>
        <v>-9.9595670047679455E-3</v>
      </c>
      <c r="DK122" s="1651">
        <f>DK109*4/DK107</f>
        <v>-9.8323154463460394E-3</v>
      </c>
      <c r="DL122" s="251">
        <f>DL109*2/DL107</f>
        <v>-1.0198683282388902E-2</v>
      </c>
      <c r="DM122" s="449">
        <f>DM109*2/DM107</f>
        <v>-9.9595670047679472E-3</v>
      </c>
      <c r="DN122" s="754">
        <f>+DG122</f>
        <v>-1.0198683282388902E-2</v>
      </c>
      <c r="DO122" s="892">
        <f>DO109*4/DO107</f>
        <v>-1.0198683282388902E-2</v>
      </c>
      <c r="DP122" s="449">
        <f>DP109*4/DP107</f>
        <v>-1.0061017437683449E-2</v>
      </c>
      <c r="DQ122" s="892">
        <f>DQ109*4/DQ107</f>
        <v>-9.910948189218791E-3</v>
      </c>
      <c r="DR122" s="1651">
        <f>DR109*4/DR107</f>
        <v>-9.7662032311628053E-3</v>
      </c>
      <c r="DS122" s="449">
        <f>DS109*2/DS107</f>
        <v>-1.0198683282388902E-2</v>
      </c>
      <c r="DT122" s="449">
        <f>DT109*2/DT107</f>
        <v>-9.910948189218791E-3</v>
      </c>
      <c r="DU122" s="754">
        <f>+DN122</f>
        <v>-1.0198683282388902E-2</v>
      </c>
      <c r="DV122" s="892">
        <f>DV109*4/DV107</f>
        <v>-1.0198683282388902E-2</v>
      </c>
      <c r="DW122" s="449">
        <f>DW109*4/DW107</f>
        <v>-1.0065749972437543E-2</v>
      </c>
      <c r="DX122" s="892">
        <f>DX109*4/DX107</f>
        <v>-9.92034493656389E-3</v>
      </c>
      <c r="DY122" s="1651">
        <f>DY109*4/DY107</f>
        <v>-9.7799901268075858E-3</v>
      </c>
      <c r="DZ122" s="449">
        <f>DZ109*2/DZ107</f>
        <v>-1.0198683282388902E-2</v>
      </c>
      <c r="EA122" s="449">
        <f>EA109*2/EA107</f>
        <v>-9.92034493656389E-3</v>
      </c>
      <c r="EB122" s="754">
        <f>+DU122</f>
        <v>-1.0198683282388902E-2</v>
      </c>
      <c r="EC122" s="892">
        <f>EC109*4/EC107</f>
        <v>-1.0198683282388902E-2</v>
      </c>
      <c r="ED122" s="449">
        <f>ED109*4/ED107</f>
        <v>-1.007119248171656E-2</v>
      </c>
      <c r="EE122" s="892">
        <f>EE109*4/EE107</f>
        <v>-9.9369082273584163E-3</v>
      </c>
      <c r="EF122" s="1651">
        <f>EF109*4/EF107</f>
        <v>-9.8070689684983444E-3</v>
      </c>
      <c r="EG122" s="449">
        <f>EG109*2/EG107</f>
        <v>-1.0198683282388902E-2</v>
      </c>
      <c r="EH122" s="449">
        <f>EH109*2/EH107</f>
        <v>-9.9369082273584198E-3</v>
      </c>
      <c r="EI122" s="754">
        <f>+EB122</f>
        <v>-1.0198683282388902E-2</v>
      </c>
      <c r="EJ122" s="892">
        <f>EJ109*4/EJ107</f>
        <v>-1.0198683282388904E-2</v>
      </c>
      <c r="EK122" s="449">
        <f>EK109*4/EK107</f>
        <v>-1.0074846976365055E-2</v>
      </c>
      <c r="EL122" s="892">
        <f>EL109*4/EL107</f>
        <v>-9.9441311539637169E-3</v>
      </c>
      <c r="EM122" s="1651">
        <f>EM109*4/EM107</f>
        <v>-9.8176550669537375E-3</v>
      </c>
      <c r="EN122" s="449">
        <f>EN109*2/EN107</f>
        <v>-1.0198683282388904E-2</v>
      </c>
      <c r="EO122" s="449">
        <f>EO109*2/EO107</f>
        <v>-9.9441311539637169E-3</v>
      </c>
      <c r="EP122" s="754">
        <f t="shared" ref="EP122" si="1049">+EI122</f>
        <v>-1.0198683282388902E-2</v>
      </c>
      <c r="EQ122" s="303"/>
      <c r="ER122" s="46"/>
    </row>
    <row r="123" spans="1:148" ht="10.199999999999999" customHeight="1">
      <c r="A123" s="43" t="s">
        <v>223</v>
      </c>
      <c r="B123" s="108"/>
      <c r="C123" s="108"/>
      <c r="D123" s="134">
        <f t="shared" ref="D123:EP123" si="1050">+D116/D108</f>
        <v>0.56213662790697672</v>
      </c>
      <c r="E123" s="134">
        <f t="shared" si="1050"/>
        <v>0.41613780598368089</v>
      </c>
      <c r="F123" s="134">
        <f t="shared" si="1050"/>
        <v>0.52548853016142738</v>
      </c>
      <c r="G123" s="134">
        <f t="shared" si="1050"/>
        <v>0.59229422066549908</v>
      </c>
      <c r="H123" s="134">
        <f t="shared" si="1050"/>
        <v>0.86103012633624876</v>
      </c>
      <c r="I123" s="134">
        <f t="shared" si="1050"/>
        <v>0.9074578116494284</v>
      </c>
      <c r="J123" s="134">
        <f t="shared" si="1050"/>
        <v>0.93306080735820129</v>
      </c>
      <c r="K123" s="134">
        <f t="shared" si="1050"/>
        <v>0.70311111111111113</v>
      </c>
      <c r="L123" s="134">
        <f t="shared" si="1050"/>
        <v>0.85753299954483386</v>
      </c>
      <c r="M123" s="134">
        <f t="shared" si="1050"/>
        <v>0.5707746478873239</v>
      </c>
      <c r="N123" s="134"/>
      <c r="O123" s="134"/>
      <c r="P123" s="134"/>
      <c r="Q123" s="717"/>
      <c r="R123" s="134"/>
      <c r="S123" s="134"/>
      <c r="T123" s="1270">
        <f t="shared" si="1050"/>
        <v>0.60467980295566504</v>
      </c>
      <c r="U123" s="134"/>
      <c r="V123" s="134"/>
      <c r="W123" s="134"/>
      <c r="X123" s="717"/>
      <c r="Y123" s="134"/>
      <c r="Z123" s="134"/>
      <c r="AA123" s="1270">
        <f t="shared" si="1050"/>
        <v>0.76457297785811118</v>
      </c>
      <c r="AB123" s="134"/>
      <c r="AC123" s="134"/>
      <c r="AD123" s="134"/>
      <c r="AE123" s="717"/>
      <c r="AF123" s="134"/>
      <c r="AG123" s="134"/>
      <c r="AH123" s="1270">
        <f t="shared" si="1050"/>
        <v>0.63294892915980228</v>
      </c>
      <c r="AI123" s="134"/>
      <c r="AJ123" s="134"/>
      <c r="AK123" s="134"/>
      <c r="AL123" s="717"/>
      <c r="AM123" s="134"/>
      <c r="AN123" s="134"/>
      <c r="AO123" s="1270">
        <f t="shared" si="1050"/>
        <v>0.64563279857397504</v>
      </c>
      <c r="AP123" s="134"/>
      <c r="AQ123" s="134"/>
      <c r="AR123" s="134"/>
      <c r="AS123" s="717"/>
      <c r="AT123" s="134"/>
      <c r="AU123" s="134"/>
      <c r="AV123" s="1270">
        <f t="shared" si="1050"/>
        <v>0.80974775545104749</v>
      </c>
      <c r="AW123" s="134"/>
      <c r="AX123" s="134"/>
      <c r="AY123" s="134"/>
      <c r="AZ123" s="717"/>
      <c r="BA123" s="134"/>
      <c r="BB123" s="134"/>
      <c r="BC123" s="1270">
        <f t="shared" si="1050"/>
        <v>0.80974775545104749</v>
      </c>
      <c r="BD123" s="134"/>
      <c r="BE123" s="134"/>
      <c r="BF123" s="134"/>
      <c r="BG123" s="717"/>
      <c r="BH123" s="134"/>
      <c r="BI123" s="134"/>
      <c r="BJ123" s="1270">
        <f t="shared" si="1050"/>
        <v>0.96954568147778331</v>
      </c>
      <c r="BK123" s="134"/>
      <c r="BL123" s="134"/>
      <c r="BM123" s="134"/>
      <c r="BN123" s="717"/>
      <c r="BO123" s="134"/>
      <c r="BP123" s="134"/>
      <c r="BQ123" s="1270">
        <f t="shared" si="1050"/>
        <v>1.2242361470740548</v>
      </c>
      <c r="BR123" s="134"/>
      <c r="BS123" s="134"/>
      <c r="BT123" s="134"/>
      <c r="BU123" s="717"/>
      <c r="BV123" s="134"/>
      <c r="BW123" s="134"/>
      <c r="BX123" s="1270">
        <f t="shared" si="1050"/>
        <v>1.6291980808773132</v>
      </c>
      <c r="BY123" s="134"/>
      <c r="BZ123" s="134"/>
      <c r="CA123" s="134"/>
      <c r="CB123" s="717"/>
      <c r="CC123" s="134"/>
      <c r="CD123" s="134"/>
      <c r="CE123" s="1270">
        <f t="shared" si="1050"/>
        <v>1.2733037412809132</v>
      </c>
      <c r="CF123" s="134"/>
      <c r="CG123" s="134"/>
      <c r="CH123" s="134"/>
      <c r="CI123" s="717"/>
      <c r="CJ123" s="134"/>
      <c r="CK123" s="134"/>
      <c r="CL123" s="1270">
        <f t="shared" si="1050"/>
        <v>1.1425692695214105</v>
      </c>
      <c r="CM123" s="134"/>
      <c r="CN123" s="134"/>
      <c r="CO123" s="134"/>
      <c r="CP123" s="717"/>
      <c r="CQ123" s="134"/>
      <c r="CR123" s="134"/>
      <c r="CS123" s="1270">
        <f t="shared" ref="CS123" si="1051">+CS116/CS108</f>
        <v>0.74908796108633968</v>
      </c>
      <c r="CT123" s="223"/>
      <c r="CU123" s="223"/>
      <c r="CV123" s="223"/>
      <c r="CW123" s="444"/>
      <c r="CX123" s="223"/>
      <c r="CY123" s="901"/>
      <c r="CZ123" s="1270">
        <f t="shared" ref="CZ123" si="1052">+CZ116/CZ108</f>
        <v>0.6517002310993727</v>
      </c>
      <c r="DA123" s="1067">
        <f t="shared" si="1050"/>
        <v>1.1072717895822588</v>
      </c>
      <c r="DB123" s="223">
        <f t="shared" si="1050"/>
        <v>0.88506677458518823</v>
      </c>
      <c r="DC123" s="1067">
        <f t="shared" ref="DC123:DD123" si="1053">+DC116/DC108</f>
        <v>0.70845114671693366</v>
      </c>
      <c r="DD123" s="1097">
        <f t="shared" si="1053"/>
        <v>0.76985040276179517</v>
      </c>
      <c r="DE123" s="223">
        <f t="shared" ref="DE123" si="1054">+DE116/DE108</f>
        <v>0.98276643990929702</v>
      </c>
      <c r="DF123" s="901"/>
      <c r="DG123" s="1270">
        <f t="shared" ref="DG123:DI123" si="1055">+DG116/DG108</f>
        <v>0.65340742907282834</v>
      </c>
      <c r="DH123" s="1067">
        <f t="shared" si="1055"/>
        <v>1.148940856976324</v>
      </c>
      <c r="DI123" s="223">
        <f t="shared" si="1055"/>
        <v>0.76705089927826675</v>
      </c>
      <c r="DJ123" s="901">
        <f t="shared" ref="DJ123:DM123" si="1056">+DJ116/DJ108</f>
        <v>0.82941358505930929</v>
      </c>
      <c r="DK123" s="1122">
        <f t="shared" si="1056"/>
        <v>0.88596566090604356</v>
      </c>
      <c r="DL123" s="223">
        <f t="shared" si="1056"/>
        <v>0.92471764370920706</v>
      </c>
      <c r="DM123" s="321">
        <f t="shared" si="1056"/>
        <v>0.86788828301149257</v>
      </c>
      <c r="DN123" s="1115">
        <f t="shared" si="1050"/>
        <v>0.88722063331702994</v>
      </c>
      <c r="DO123" s="901">
        <f t="shared" ref="DO123:DT123" si="1057">+DO116/DO108</f>
        <v>0.95704777851393896</v>
      </c>
      <c r="DP123" s="321">
        <f t="shared" si="1057"/>
        <v>0.96404215771431989</v>
      </c>
      <c r="DQ123" s="901">
        <f t="shared" si="1057"/>
        <v>0.96336906637729147</v>
      </c>
      <c r="DR123" s="1122">
        <f t="shared" si="1057"/>
        <v>0.97331380660767186</v>
      </c>
      <c r="DS123" s="321">
        <f t="shared" si="1057"/>
        <v>0.96071565615111421</v>
      </c>
      <c r="DT123" s="321">
        <f t="shared" si="1057"/>
        <v>0.96861245533332407</v>
      </c>
      <c r="DU123" s="1115">
        <f t="shared" si="1050"/>
        <v>0.96485782339679227</v>
      </c>
      <c r="DV123" s="901">
        <f t="shared" ref="DV123:EA123" si="1058">+DV116/DV108</f>
        <v>1.0068308501811967</v>
      </c>
      <c r="DW123" s="321">
        <f t="shared" si="1058"/>
        <v>1.0136293780304197</v>
      </c>
      <c r="DX123" s="901">
        <f t="shared" si="1058"/>
        <v>1.0132647000968578</v>
      </c>
      <c r="DY123" s="1122">
        <f t="shared" si="1058"/>
        <v>1.023403305243102</v>
      </c>
      <c r="DZ123" s="321">
        <f t="shared" si="1058"/>
        <v>1.0103986927956432</v>
      </c>
      <c r="EA123" s="321">
        <f t="shared" si="1058"/>
        <v>1.018638658753771</v>
      </c>
      <c r="EB123" s="1115">
        <f t="shared" si="1050"/>
        <v>1.0147343551114272</v>
      </c>
      <c r="EC123" s="901">
        <f t="shared" ref="EC123:EH123" si="1059">+EC116/EC108</f>
        <v>1.0578428462935956</v>
      </c>
      <c r="ED123" s="321">
        <f t="shared" si="1059"/>
        <v>1.0610146164895935</v>
      </c>
      <c r="EE123" s="901">
        <f t="shared" si="1059"/>
        <v>1.060934253259376</v>
      </c>
      <c r="EF123" s="1122">
        <f t="shared" si="1059"/>
        <v>1.0667799166969931</v>
      </c>
      <c r="EG123" s="321">
        <f t="shared" si="1059"/>
        <v>1.0594804692486537</v>
      </c>
      <c r="EH123" s="321">
        <f t="shared" si="1059"/>
        <v>1.0640406162102827</v>
      </c>
      <c r="EI123" s="1115">
        <f t="shared" si="1050"/>
        <v>1.0618641959472728</v>
      </c>
      <c r="EJ123" s="901">
        <f t="shared" ref="EJ123:EO123" si="1060">+EJ116/EJ108</f>
        <v>1.0597970284635903</v>
      </c>
      <c r="EK123" s="321">
        <f t="shared" si="1060"/>
        <v>1.0633353460821982</v>
      </c>
      <c r="EL123" s="901">
        <f t="shared" si="1060"/>
        <v>1.0631725475534615</v>
      </c>
      <c r="EM123" s="1122">
        <f t="shared" si="1060"/>
        <v>1.0696879037187905</v>
      </c>
      <c r="EN123" s="321">
        <f t="shared" si="1060"/>
        <v>1.0616246815786721</v>
      </c>
      <c r="EO123" s="321">
        <f t="shared" si="1060"/>
        <v>1.0666352182349277</v>
      </c>
      <c r="EP123" s="1115">
        <f t="shared" si="1050"/>
        <v>1.0642445558655866</v>
      </c>
      <c r="EQ123" s="303"/>
      <c r="ER123" s="46"/>
    </row>
    <row r="124" spans="1:148" ht="10.199999999999999" customHeight="1">
      <c r="A124" s="43" t="s">
        <v>143</v>
      </c>
      <c r="B124" s="108"/>
      <c r="C124" s="108"/>
      <c r="D124" s="134">
        <f t="shared" ref="D124:AH124" si="1061">+D117/D109</f>
        <v>0.7493333333333333</v>
      </c>
      <c r="E124" s="134">
        <f t="shared" si="1061"/>
        <v>0.64105642256902762</v>
      </c>
      <c r="F124" s="134">
        <f t="shared" si="1061"/>
        <v>0.5369718309859155</v>
      </c>
      <c r="G124" s="134">
        <f t="shared" si="1061"/>
        <v>1</v>
      </c>
      <c r="H124" s="134">
        <f t="shared" si="1061"/>
        <v>1</v>
      </c>
      <c r="I124" s="134">
        <f t="shared" si="1061"/>
        <v>1</v>
      </c>
      <c r="J124" s="134">
        <f t="shared" si="1061"/>
        <v>1</v>
      </c>
      <c r="K124" s="134">
        <f t="shared" si="1061"/>
        <v>1</v>
      </c>
      <c r="L124" s="134">
        <f t="shared" si="1061"/>
        <v>1</v>
      </c>
      <c r="M124" s="134">
        <f t="shared" si="1061"/>
        <v>0.52404643449419563</v>
      </c>
      <c r="N124" s="134"/>
      <c r="O124" s="134"/>
      <c r="P124" s="134"/>
      <c r="Q124" s="717"/>
      <c r="R124" s="134"/>
      <c r="S124" s="134"/>
      <c r="T124" s="1270">
        <f t="shared" si="1061"/>
        <v>0.67117585848074923</v>
      </c>
      <c r="U124" s="134"/>
      <c r="V124" s="134"/>
      <c r="W124" s="134"/>
      <c r="X124" s="717"/>
      <c r="Y124" s="134"/>
      <c r="Z124" s="134"/>
      <c r="AA124" s="1270">
        <f t="shared" si="1061"/>
        <v>0.68970588235294117</v>
      </c>
      <c r="AB124" s="134"/>
      <c r="AC124" s="134"/>
      <c r="AD124" s="134"/>
      <c r="AE124" s="717"/>
      <c r="AF124" s="134"/>
      <c r="AG124" s="134"/>
      <c r="AH124" s="1270">
        <f t="shared" si="1061"/>
        <v>0.11239193083573487</v>
      </c>
      <c r="AI124" s="134"/>
      <c r="AJ124" s="134"/>
      <c r="AK124" s="134"/>
      <c r="AL124" s="717"/>
      <c r="AM124" s="134"/>
      <c r="AN124" s="134"/>
      <c r="AO124" s="1270"/>
      <c r="AP124" s="134"/>
      <c r="AQ124" s="134"/>
      <c r="AR124" s="134"/>
      <c r="AS124" s="717"/>
      <c r="AT124" s="134"/>
      <c r="AU124" s="134"/>
      <c r="AV124" s="1270"/>
      <c r="AW124" s="134"/>
      <c r="AX124" s="134"/>
      <c r="AY124" s="134"/>
      <c r="AZ124" s="717"/>
      <c r="BA124" s="134"/>
      <c r="BB124" s="134"/>
      <c r="BC124" s="1270"/>
      <c r="BD124" s="134"/>
      <c r="BE124" s="134"/>
      <c r="BF124" s="134"/>
      <c r="BG124" s="717"/>
      <c r="BH124" s="134"/>
      <c r="BI124" s="134"/>
      <c r="BJ124" s="1270"/>
      <c r="BK124" s="134"/>
      <c r="BL124" s="134"/>
      <c r="BM124" s="134"/>
      <c r="BN124" s="717"/>
      <c r="BO124" s="134"/>
      <c r="BP124" s="134"/>
      <c r="BQ124" s="1270"/>
      <c r="BR124" s="134"/>
      <c r="BS124" s="134"/>
      <c r="BT124" s="134"/>
      <c r="BU124" s="717"/>
      <c r="BV124" s="134"/>
      <c r="BW124" s="134"/>
      <c r="BX124" s="1270"/>
      <c r="BY124" s="134"/>
      <c r="BZ124" s="134"/>
      <c r="CA124" s="134"/>
      <c r="CB124" s="717"/>
      <c r="CC124" s="134"/>
      <c r="CD124" s="134"/>
      <c r="CE124" s="1270"/>
      <c r="CF124" s="134"/>
      <c r="CG124" s="134"/>
      <c r="CH124" s="134"/>
      <c r="CI124" s="717"/>
      <c r="CJ124" s="134"/>
      <c r="CK124" s="134"/>
      <c r="CL124" s="1270"/>
      <c r="CM124" s="134"/>
      <c r="CN124" s="134"/>
      <c r="CO124" s="134"/>
      <c r="CP124" s="717"/>
      <c r="CQ124" s="134"/>
      <c r="CR124" s="134"/>
      <c r="CS124" s="1270"/>
      <c r="CT124" s="223"/>
      <c r="CU124" s="223"/>
      <c r="CV124" s="223"/>
      <c r="CW124" s="444"/>
      <c r="CX124" s="223"/>
      <c r="CY124" s="901"/>
      <c r="CZ124" s="1270"/>
      <c r="DA124" s="1067"/>
      <c r="DB124" s="223"/>
      <c r="DC124" s="1067"/>
      <c r="DD124" s="1097"/>
      <c r="DE124" s="223"/>
      <c r="DF124" s="901"/>
      <c r="DG124" s="1270"/>
      <c r="DH124" s="1067"/>
      <c r="DI124" s="223"/>
      <c r="DJ124" s="901"/>
      <c r="DK124" s="1122"/>
      <c r="DL124" s="223"/>
      <c r="DM124" s="321"/>
      <c r="DN124" s="1115"/>
      <c r="DO124" s="901"/>
      <c r="DP124" s="321"/>
      <c r="DQ124" s="901"/>
      <c r="DR124" s="1122"/>
      <c r="DS124" s="321"/>
      <c r="DT124" s="321"/>
      <c r="DU124" s="1115"/>
      <c r="DV124" s="901"/>
      <c r="DW124" s="321"/>
      <c r="DX124" s="901"/>
      <c r="DY124" s="1122"/>
      <c r="DZ124" s="321"/>
      <c r="EA124" s="321"/>
      <c r="EB124" s="1115"/>
      <c r="EC124" s="901"/>
      <c r="ED124" s="321"/>
      <c r="EE124" s="901"/>
      <c r="EF124" s="1122"/>
      <c r="EG124" s="321"/>
      <c r="EH124" s="321"/>
      <c r="EI124" s="1115"/>
      <c r="EJ124" s="901"/>
      <c r="EK124" s="321"/>
      <c r="EL124" s="901"/>
      <c r="EM124" s="1122"/>
      <c r="EN124" s="321"/>
      <c r="EO124" s="321"/>
      <c r="EP124" s="1115"/>
      <c r="EQ124" s="303"/>
      <c r="ER124" s="46"/>
    </row>
    <row r="125" spans="1:148" ht="10.199999999999999" customHeight="1">
      <c r="A125" s="43" t="s">
        <v>243</v>
      </c>
      <c r="B125" s="108"/>
      <c r="C125" s="108"/>
      <c r="D125" s="244">
        <f t="shared" ref="D125:EP125" si="1062">+D112/D116</f>
        <v>11.991273432449903</v>
      </c>
      <c r="E125" s="244">
        <f t="shared" si="1062"/>
        <v>14.986201888162672</v>
      </c>
      <c r="F125" s="244">
        <f t="shared" si="1062"/>
        <v>18.336297493936943</v>
      </c>
      <c r="G125" s="244">
        <f t="shared" si="1062"/>
        <v>14.346244825547014</v>
      </c>
      <c r="H125" s="244">
        <f t="shared" si="1062"/>
        <v>13.777088036117382</v>
      </c>
      <c r="I125" s="244">
        <f t="shared" si="1062"/>
        <v>13.924115176964607</v>
      </c>
      <c r="J125" s="244">
        <f t="shared" si="1062"/>
        <v>12.757667031763416</v>
      </c>
      <c r="K125" s="244">
        <f t="shared" si="1062"/>
        <v>15.870417193426043</v>
      </c>
      <c r="L125" s="244">
        <f t="shared" si="1062"/>
        <v>14.443471337579618</v>
      </c>
      <c r="M125" s="244">
        <f t="shared" si="1062"/>
        <v>18.332819247378161</v>
      </c>
      <c r="N125" s="244"/>
      <c r="O125" s="244"/>
      <c r="P125" s="244"/>
      <c r="Q125" s="724"/>
      <c r="R125" s="244"/>
      <c r="S125" s="244"/>
      <c r="T125" s="359">
        <f t="shared" si="1062"/>
        <v>21.032247114731838</v>
      </c>
      <c r="U125" s="244"/>
      <c r="V125" s="244"/>
      <c r="W125" s="244"/>
      <c r="X125" s="724"/>
      <c r="Y125" s="244"/>
      <c r="Z125" s="244"/>
      <c r="AA125" s="359">
        <f t="shared" si="1062"/>
        <v>19.419621749408982</v>
      </c>
      <c r="AB125" s="244"/>
      <c r="AC125" s="244"/>
      <c r="AD125" s="244"/>
      <c r="AE125" s="724"/>
      <c r="AF125" s="244"/>
      <c r="AG125" s="244"/>
      <c r="AH125" s="359">
        <f t="shared" si="1062"/>
        <v>18.411244143675169</v>
      </c>
      <c r="AI125" s="244"/>
      <c r="AJ125" s="244"/>
      <c r="AK125" s="244"/>
      <c r="AL125" s="724"/>
      <c r="AM125" s="244"/>
      <c r="AN125" s="244"/>
      <c r="AO125" s="359">
        <f t="shared" si="1062"/>
        <v>20.124792932081721</v>
      </c>
      <c r="AP125" s="244"/>
      <c r="AQ125" s="244"/>
      <c r="AR125" s="244"/>
      <c r="AS125" s="724"/>
      <c r="AT125" s="244"/>
      <c r="AU125" s="244"/>
      <c r="AV125" s="359">
        <f t="shared" si="1062"/>
        <v>19.253695881731783</v>
      </c>
      <c r="AW125" s="244"/>
      <c r="AX125" s="244"/>
      <c r="AY125" s="244"/>
      <c r="AZ125" s="724"/>
      <c r="BA125" s="244"/>
      <c r="BB125" s="244"/>
      <c r="BC125" s="359">
        <f t="shared" si="1062"/>
        <v>19.253959873284057</v>
      </c>
      <c r="BD125" s="244"/>
      <c r="BE125" s="244"/>
      <c r="BF125" s="244"/>
      <c r="BG125" s="724"/>
      <c r="BH125" s="244"/>
      <c r="BI125" s="244"/>
      <c r="BJ125" s="359">
        <f t="shared" si="1062"/>
        <v>19.31076210092688</v>
      </c>
      <c r="BK125" s="244"/>
      <c r="BL125" s="244"/>
      <c r="BM125" s="244"/>
      <c r="BN125" s="724"/>
      <c r="BO125" s="244"/>
      <c r="BP125" s="244"/>
      <c r="BQ125" s="359">
        <f t="shared" si="1062"/>
        <v>16.827622673434856</v>
      </c>
      <c r="BR125" s="244"/>
      <c r="BS125" s="244"/>
      <c r="BT125" s="244"/>
      <c r="BU125" s="724"/>
      <c r="BV125" s="244"/>
      <c r="BW125" s="244"/>
      <c r="BX125" s="359">
        <f t="shared" si="1062"/>
        <v>17.493479175431215</v>
      </c>
      <c r="BY125" s="244"/>
      <c r="BZ125" s="244"/>
      <c r="CA125" s="244"/>
      <c r="CB125" s="724"/>
      <c r="CC125" s="244"/>
      <c r="CD125" s="244"/>
      <c r="CE125" s="359">
        <f t="shared" si="1062"/>
        <v>20.94671314741036</v>
      </c>
      <c r="CF125" s="244"/>
      <c r="CG125" s="244"/>
      <c r="CH125" s="244"/>
      <c r="CI125" s="724"/>
      <c r="CJ125" s="244"/>
      <c r="CK125" s="244"/>
      <c r="CL125" s="359">
        <f t="shared" si="1062"/>
        <v>18.416887125220459</v>
      </c>
      <c r="CM125" s="244"/>
      <c r="CN125" s="244"/>
      <c r="CO125" s="244"/>
      <c r="CP125" s="724"/>
      <c r="CQ125" s="244"/>
      <c r="CR125" s="244"/>
      <c r="CS125" s="359">
        <f t="shared" ref="CS125" si="1063">+CS112/CS116</f>
        <v>22.706439393939394</v>
      </c>
      <c r="CT125" s="245"/>
      <c r="CU125" s="245"/>
      <c r="CV125" s="245"/>
      <c r="CW125" s="483"/>
      <c r="CX125" s="245"/>
      <c r="CY125" s="1690"/>
      <c r="CZ125" s="359">
        <f t="shared" ref="CZ125" si="1064">+CZ112/CZ116</f>
        <v>22.339412360688957</v>
      </c>
      <c r="DA125" s="1796">
        <f>+DA112/DA116/4</f>
        <v>21.312529110386585</v>
      </c>
      <c r="DB125" s="245">
        <f>+DB112/DB116/4</f>
        <v>21.133516232281664</v>
      </c>
      <c r="DC125" s="1796">
        <f>+DC112/DC116/4</f>
        <v>20.781319290465635</v>
      </c>
      <c r="DD125" s="1963">
        <f>+DD112/DD116/4</f>
        <v>10.254137305146273</v>
      </c>
      <c r="DE125" s="245">
        <f>+DE112/DE116/2</f>
        <v>21.228887863405628</v>
      </c>
      <c r="DF125" s="1690"/>
      <c r="DG125" s="359">
        <f t="shared" ref="DG125" si="1065">+DG112/DG116</f>
        <v>21.178155774395702</v>
      </c>
      <c r="DH125" s="1796">
        <f>+DH112/DH116/4</f>
        <v>20.78911627695495</v>
      </c>
      <c r="DI125" s="245">
        <f>+DI112/DI116/4</f>
        <v>22.157689768283063</v>
      </c>
      <c r="DJ125" s="1690">
        <f>+DJ112/DJ116/4</f>
        <v>19.660417421403267</v>
      </c>
      <c r="DK125" s="1652">
        <f>+DK112/DK116/4</f>
        <v>8.8338315966705174</v>
      </c>
      <c r="DL125" s="245">
        <f>+DL112/DL116/2</f>
        <v>21.471433073807955</v>
      </c>
      <c r="DM125" s="296">
        <f>+DM112/DM116/2</f>
        <v>12.193172254366845</v>
      </c>
      <c r="DN125" s="1622">
        <f t="shared" si="1062"/>
        <v>15.559321119838899</v>
      </c>
      <c r="DO125" s="1690">
        <f>+DO112/DO116/4</f>
        <v>16.202238758135667</v>
      </c>
      <c r="DP125" s="296">
        <f>+DP112/DP116/4</f>
        <v>14.797971880351959</v>
      </c>
      <c r="DQ125" s="1690">
        <f>+DQ112/DQ116/4</f>
        <v>15.112601639078944</v>
      </c>
      <c r="DR125" s="1652">
        <f>+DR112/DR116/4</f>
        <v>13.62247206542761</v>
      </c>
      <c r="DS125" s="296">
        <f>+DS112/DS116/2</f>
        <v>15.469636709295447</v>
      </c>
      <c r="DT125" s="296">
        <f>+DT112/DT116/2</f>
        <v>14.330147595823355</v>
      </c>
      <c r="DU125" s="1622">
        <f t="shared" si="1062"/>
        <v>14.88232164826635</v>
      </c>
      <c r="DV125" s="1690">
        <f>+DV112/DV116/4</f>
        <v>15.863214198056102</v>
      </c>
      <c r="DW125" s="296">
        <f>+DW112/DW116/4</f>
        <v>14.466660417531992</v>
      </c>
      <c r="DX125" s="1690">
        <f>+DX112/DX116/4</f>
        <v>14.764013110632469</v>
      </c>
      <c r="DY125" s="1652">
        <f>+DY112/DY116/4</f>
        <v>13.158875046410275</v>
      </c>
      <c r="DZ125" s="296">
        <f>+DZ112/DZ116/2</f>
        <v>15.134099736504663</v>
      </c>
      <c r="EA125" s="296">
        <f>+EA112/EA116/2</f>
        <v>13.916606329528692</v>
      </c>
      <c r="EB125" s="1622">
        <f t="shared" si="1062"/>
        <v>14.503917928038014</v>
      </c>
      <c r="EC125" s="1690">
        <f>+EC112/EC116/4</f>
        <v>15.63756021218061</v>
      </c>
      <c r="ED125" s="296">
        <f>+ED112/ED116/4</f>
        <v>14.796858192109903</v>
      </c>
      <c r="EE125" s="1690">
        <f>+EE112/EE116/4</f>
        <v>15.085700666712709</v>
      </c>
      <c r="EF125" s="1652">
        <f>+EF112/EF116/4</f>
        <v>13.418059366174367</v>
      </c>
      <c r="EG125" s="296">
        <f>+EG112/EG116/2</f>
        <v>15.206716204816685</v>
      </c>
      <c r="EH125" s="296">
        <f>+EH112/EH116/2</f>
        <v>14.20461775083764</v>
      </c>
      <c r="EI125" s="1622">
        <f t="shared" si="1062"/>
        <v>14.692518381994047</v>
      </c>
      <c r="EJ125" s="1690">
        <f>+EJ112/EJ116/4</f>
        <v>15.992126852367029</v>
      </c>
      <c r="EK125" s="296">
        <f>+EK112/EK116/4</f>
        <v>15.108436824292314</v>
      </c>
      <c r="EL125" s="1690">
        <f>+EL112/EL116/4</f>
        <v>15.398976603975994</v>
      </c>
      <c r="EM125" s="1652">
        <f>+EM112/EM116/4</f>
        <v>13.67957496059897</v>
      </c>
      <c r="EN125" s="296">
        <f>+EN112/EN116/2</f>
        <v>15.538830463417902</v>
      </c>
      <c r="EO125" s="296">
        <f>+EO112/EO116/2</f>
        <v>14.489937348472905</v>
      </c>
      <c r="EP125" s="1622">
        <f t="shared" si="1062"/>
        <v>14.999906717651209</v>
      </c>
      <c r="EQ125" s="303"/>
      <c r="ER125" s="46"/>
    </row>
    <row r="126" spans="1:148" ht="10.199999999999999" customHeight="1">
      <c r="A126" s="43"/>
      <c r="B126" s="108"/>
      <c r="C126" s="108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724"/>
      <c r="R126" s="245"/>
      <c r="S126" s="245"/>
      <c r="T126" s="359"/>
      <c r="U126" s="245"/>
      <c r="V126" s="245"/>
      <c r="W126" s="245"/>
      <c r="X126" s="724"/>
      <c r="Y126" s="245"/>
      <c r="Z126" s="245"/>
      <c r="AA126" s="359"/>
      <c r="AB126" s="245"/>
      <c r="AC126" s="245"/>
      <c r="AD126" s="245"/>
      <c r="AE126" s="724"/>
      <c r="AF126" s="245"/>
      <c r="AG126" s="245"/>
      <c r="AH126" s="359"/>
      <c r="AI126" s="245"/>
      <c r="AJ126" s="245"/>
      <c r="AK126" s="245"/>
      <c r="AL126" s="724"/>
      <c r="AM126" s="245"/>
      <c r="AN126" s="245"/>
      <c r="AO126" s="359"/>
      <c r="AP126" s="245"/>
      <c r="AQ126" s="245"/>
      <c r="AR126" s="245"/>
      <c r="AS126" s="724"/>
      <c r="AT126" s="245"/>
      <c r="AU126" s="245"/>
      <c r="AV126" s="359"/>
      <c r="AW126" s="245"/>
      <c r="AX126" s="245"/>
      <c r="AY126" s="245"/>
      <c r="AZ126" s="724"/>
      <c r="BA126" s="245"/>
      <c r="BB126" s="245"/>
      <c r="BC126" s="359"/>
      <c r="BD126" s="245"/>
      <c r="BE126" s="245"/>
      <c r="BF126" s="245"/>
      <c r="BG126" s="724"/>
      <c r="BH126" s="245"/>
      <c r="BI126" s="245"/>
      <c r="BJ126" s="359"/>
      <c r="BK126" s="245"/>
      <c r="BL126" s="245"/>
      <c r="BM126" s="245"/>
      <c r="BN126" s="724"/>
      <c r="BO126" s="245"/>
      <c r="BP126" s="245"/>
      <c r="BQ126" s="359"/>
      <c r="BR126" s="245"/>
      <c r="BS126" s="245"/>
      <c r="BT126" s="245"/>
      <c r="BU126" s="724"/>
      <c r="BV126" s="245"/>
      <c r="BW126" s="245"/>
      <c r="BX126" s="359"/>
      <c r="BY126" s="245"/>
      <c r="BZ126" s="245"/>
      <c r="CA126" s="245"/>
      <c r="CB126" s="724"/>
      <c r="CC126" s="245"/>
      <c r="CD126" s="245"/>
      <c r="CE126" s="359"/>
      <c r="CF126" s="245"/>
      <c r="CG126" s="245"/>
      <c r="CH126" s="245"/>
      <c r="CI126" s="724"/>
      <c r="CJ126" s="245"/>
      <c r="CK126" s="245"/>
      <c r="CL126" s="359"/>
      <c r="CM126" s="245"/>
      <c r="CN126" s="245"/>
      <c r="CO126" s="245"/>
      <c r="CP126" s="724"/>
      <c r="CQ126" s="245"/>
      <c r="CR126" s="245"/>
      <c r="CS126" s="359"/>
      <c r="CT126" s="245"/>
      <c r="CU126" s="245"/>
      <c r="CV126" s="245"/>
      <c r="CW126" s="724"/>
      <c r="CX126" s="245"/>
      <c r="CY126" s="245"/>
      <c r="CZ126" s="1623"/>
      <c r="DA126" s="867"/>
      <c r="DB126" s="296"/>
      <c r="DC126" s="867"/>
      <c r="DD126" s="1653"/>
      <c r="DE126" s="867"/>
      <c r="DF126" s="245"/>
      <c r="DG126" s="1623"/>
      <c r="DH126" s="1796"/>
      <c r="DI126" s="296"/>
      <c r="DJ126" s="867"/>
      <c r="DK126" s="1653"/>
      <c r="DL126" s="867"/>
      <c r="DM126" s="867"/>
      <c r="DN126" s="1623"/>
      <c r="DO126" s="867"/>
      <c r="DP126" s="296"/>
      <c r="DQ126" s="867"/>
      <c r="DR126" s="1653"/>
      <c r="DS126" s="867"/>
      <c r="DT126" s="867"/>
      <c r="DU126" s="1623"/>
      <c r="DV126" s="867"/>
      <c r="DW126" s="296"/>
      <c r="DX126" s="867"/>
      <c r="DY126" s="1653"/>
      <c r="DZ126" s="867"/>
      <c r="EA126" s="867"/>
      <c r="EB126" s="1623"/>
      <c r="EC126" s="867"/>
      <c r="ED126" s="296"/>
      <c r="EE126" s="867"/>
      <c r="EF126" s="1653"/>
      <c r="EG126" s="867"/>
      <c r="EH126" s="867"/>
      <c r="EI126" s="1623"/>
      <c r="EJ126" s="867"/>
      <c r="EK126" s="296"/>
      <c r="EL126" s="867"/>
      <c r="EM126" s="1653"/>
      <c r="EN126" s="867"/>
      <c r="EO126" s="867"/>
      <c r="EP126" s="1623"/>
      <c r="EQ126" s="303"/>
      <c r="ER126" s="46"/>
    </row>
    <row r="127" spans="1:148" ht="10.199999999999999" hidden="1" customHeight="1" outlineLevel="1">
      <c r="A127" s="43"/>
      <c r="B127" s="108"/>
      <c r="C127" s="108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724"/>
      <c r="R127" s="245"/>
      <c r="S127" s="245"/>
      <c r="T127" s="359"/>
      <c r="U127" s="245"/>
      <c r="V127" s="245"/>
      <c r="W127" s="245"/>
      <c r="X127" s="724"/>
      <c r="Y127" s="245"/>
      <c r="Z127" s="245"/>
      <c r="AA127" s="359"/>
      <c r="AB127" s="245"/>
      <c r="AC127" s="245"/>
      <c r="AD127" s="245"/>
      <c r="AE127" s="724"/>
      <c r="AF127" s="245"/>
      <c r="AG127" s="245"/>
      <c r="AH127" s="359"/>
      <c r="AI127" s="245"/>
      <c r="AJ127" s="245"/>
      <c r="AK127" s="245"/>
      <c r="AL127" s="724"/>
      <c r="AM127" s="245"/>
      <c r="AN127" s="245"/>
      <c r="AO127" s="359"/>
      <c r="AP127" s="245"/>
      <c r="AQ127" s="245"/>
      <c r="AR127" s="245"/>
      <c r="AS127" s="724"/>
      <c r="AT127" s="245"/>
      <c r="AU127" s="245"/>
      <c r="AV127" s="359"/>
      <c r="AW127" s="245"/>
      <c r="AX127" s="245"/>
      <c r="AY127" s="245"/>
      <c r="AZ127" s="724"/>
      <c r="BA127" s="245"/>
      <c r="BB127" s="245"/>
      <c r="BC127" s="359"/>
      <c r="BD127" s="245"/>
      <c r="BE127" s="245"/>
      <c r="BF127" s="245"/>
      <c r="BG127" s="724"/>
      <c r="BH127" s="245"/>
      <c r="BI127" s="245"/>
      <c r="BJ127" s="359"/>
      <c r="BK127" s="245"/>
      <c r="BL127" s="245"/>
      <c r="BM127" s="245"/>
      <c r="BN127" s="724"/>
      <c r="BO127" s="245"/>
      <c r="BP127" s="245"/>
      <c r="BQ127" s="359"/>
      <c r="BR127" s="245"/>
      <c r="BS127" s="245"/>
      <c r="BT127" s="245"/>
      <c r="BU127" s="724"/>
      <c r="BV127" s="245"/>
      <c r="BW127" s="245"/>
      <c r="BX127" s="359"/>
      <c r="BY127" s="245"/>
      <c r="BZ127" s="245"/>
      <c r="CA127" s="245"/>
      <c r="CB127" s="724"/>
      <c r="CC127" s="245"/>
      <c r="CD127" s="245"/>
      <c r="CE127" s="359"/>
      <c r="CF127" s="245"/>
      <c r="CG127" s="245"/>
      <c r="CH127" s="245"/>
      <c r="CI127" s="724"/>
      <c r="CJ127" s="245"/>
      <c r="CK127" s="245"/>
      <c r="CL127" s="359"/>
      <c r="CM127" s="245"/>
      <c r="CN127" s="245"/>
      <c r="CO127" s="245"/>
      <c r="CP127" s="724"/>
      <c r="CQ127" s="245"/>
      <c r="CR127" s="245"/>
      <c r="CS127" s="359"/>
      <c r="CT127" s="245"/>
      <c r="CU127" s="245"/>
      <c r="CV127" s="245"/>
      <c r="CW127" s="724"/>
      <c r="CX127" s="245"/>
      <c r="CY127" s="245"/>
      <c r="CZ127" s="1623"/>
      <c r="DA127" s="867"/>
      <c r="DB127" s="867"/>
      <c r="DC127" s="867"/>
      <c r="DD127" s="1653"/>
      <c r="DE127" s="867"/>
      <c r="DF127" s="867"/>
      <c r="DG127" s="1623"/>
      <c r="DH127" s="1796"/>
      <c r="DI127" s="867"/>
      <c r="DJ127" s="867"/>
      <c r="DK127" s="1653"/>
      <c r="DL127" s="867"/>
      <c r="DM127" s="867"/>
      <c r="DN127" s="1623"/>
      <c r="DO127" s="867"/>
      <c r="DP127" s="867"/>
      <c r="DQ127" s="867"/>
      <c r="DR127" s="1653"/>
      <c r="DS127" s="867"/>
      <c r="DT127" s="867"/>
      <c r="DU127" s="1623"/>
      <c r="DV127" s="867"/>
      <c r="DW127" s="867"/>
      <c r="DX127" s="867"/>
      <c r="DY127" s="1653"/>
      <c r="DZ127" s="867"/>
      <c r="EA127" s="867"/>
      <c r="EB127" s="1623"/>
      <c r="EC127" s="867"/>
      <c r="ED127" s="867"/>
      <c r="EE127" s="867"/>
      <c r="EF127" s="1653"/>
      <c r="EG127" s="867"/>
      <c r="EH127" s="867"/>
      <c r="EI127" s="1623"/>
      <c r="EJ127" s="867"/>
      <c r="EK127" s="867"/>
      <c r="EL127" s="867"/>
      <c r="EM127" s="1653"/>
      <c r="EN127" s="867"/>
      <c r="EO127" s="867"/>
      <c r="EP127" s="1623"/>
      <c r="EQ127" s="303"/>
      <c r="ER127" s="46"/>
    </row>
    <row r="128" spans="1:148" ht="10.199999999999999" hidden="1" customHeight="1" outlineLevel="1">
      <c r="A128" s="43" t="s">
        <v>78</v>
      </c>
      <c r="B128" s="108"/>
      <c r="C128" s="108"/>
      <c r="D128" s="203">
        <f t="shared" ref="D128:L128" si="1066">D136</f>
        <v>6214</v>
      </c>
      <c r="E128" s="203">
        <f t="shared" si="1066"/>
        <v>6321</v>
      </c>
      <c r="F128" s="203">
        <f t="shared" si="1066"/>
        <v>6238</v>
      </c>
      <c r="G128" s="203">
        <f t="shared" si="1066"/>
        <v>5067</v>
      </c>
      <c r="H128" s="203">
        <f t="shared" si="1066"/>
        <v>3856</v>
      </c>
      <c r="I128" s="203">
        <f t="shared" si="1066"/>
        <v>3348</v>
      </c>
      <c r="J128" s="203">
        <f t="shared" si="1066"/>
        <v>3521</v>
      </c>
      <c r="K128" s="203">
        <f t="shared" si="1066"/>
        <v>3712</v>
      </c>
      <c r="L128" s="203">
        <f t="shared" si="1066"/>
        <v>3882</v>
      </c>
      <c r="M128" s="203"/>
      <c r="N128" s="203"/>
      <c r="O128" s="203"/>
      <c r="P128" s="203"/>
      <c r="Q128" s="1448"/>
      <c r="R128" s="203"/>
      <c r="S128" s="203"/>
      <c r="T128" s="1461"/>
      <c r="U128" s="203"/>
      <c r="V128" s="203"/>
      <c r="W128" s="203"/>
      <c r="X128" s="1448"/>
      <c r="Y128" s="203"/>
      <c r="Z128" s="203"/>
      <c r="AA128" s="1461"/>
      <c r="AB128" s="203"/>
      <c r="AC128" s="203"/>
      <c r="AD128" s="203"/>
      <c r="AE128" s="1448"/>
      <c r="AF128" s="203"/>
      <c r="AG128" s="203"/>
      <c r="AH128" s="1461"/>
      <c r="AI128" s="203"/>
      <c r="AJ128" s="203"/>
      <c r="AK128" s="203"/>
      <c r="AL128" s="1448"/>
      <c r="AM128" s="203"/>
      <c r="AN128" s="203"/>
      <c r="AO128" s="1461"/>
      <c r="AP128" s="203"/>
      <c r="AQ128" s="203"/>
      <c r="AR128" s="203"/>
      <c r="AS128" s="1448"/>
      <c r="AT128" s="203"/>
      <c r="AU128" s="203"/>
      <c r="AV128" s="1461"/>
      <c r="AW128" s="203"/>
      <c r="AX128" s="203"/>
      <c r="AY128" s="203"/>
      <c r="AZ128" s="1448"/>
      <c r="BA128" s="203"/>
      <c r="BB128" s="203"/>
      <c r="BC128" s="1461"/>
      <c r="BD128" s="203"/>
      <c r="BE128" s="203"/>
      <c r="BF128" s="203"/>
      <c r="BG128" s="1448"/>
      <c r="BH128" s="203"/>
      <c r="BI128" s="203"/>
      <c r="BJ128" s="1461"/>
      <c r="BK128" s="203"/>
      <c r="BL128" s="203"/>
      <c r="BM128" s="203"/>
      <c r="BN128" s="1448"/>
      <c r="BO128" s="203"/>
      <c r="BP128" s="203"/>
      <c r="BQ128" s="1461"/>
      <c r="BR128" s="203"/>
      <c r="BS128" s="203"/>
      <c r="BT128" s="203"/>
      <c r="BU128" s="1448"/>
      <c r="BV128" s="203"/>
      <c r="BW128" s="203"/>
      <c r="BX128" s="1461"/>
      <c r="BY128" s="203"/>
      <c r="BZ128" s="203"/>
      <c r="CA128" s="203"/>
      <c r="CB128" s="1448"/>
      <c r="CC128" s="203"/>
      <c r="CD128" s="203"/>
      <c r="CE128" s="1461"/>
      <c r="CF128" s="203"/>
      <c r="CG128" s="203"/>
      <c r="CH128" s="203"/>
      <c r="CI128" s="1448"/>
      <c r="CJ128" s="203"/>
      <c r="CK128" s="203"/>
      <c r="CL128" s="1461"/>
      <c r="CM128" s="203"/>
      <c r="CN128" s="203"/>
      <c r="CO128" s="203"/>
      <c r="CP128" s="1448"/>
      <c r="CQ128" s="203"/>
      <c r="CR128" s="203"/>
      <c r="CS128" s="1461"/>
      <c r="CT128" s="203"/>
      <c r="CU128" s="203"/>
      <c r="CV128" s="203"/>
      <c r="CW128" s="1448"/>
      <c r="CX128" s="203"/>
      <c r="CY128" s="203"/>
      <c r="CZ128" s="1483"/>
      <c r="DA128" s="12"/>
      <c r="DB128" s="12"/>
      <c r="DC128" s="12"/>
      <c r="DD128" s="1513"/>
      <c r="DE128" s="12"/>
      <c r="DF128" s="12"/>
      <c r="DG128" s="1483"/>
      <c r="DH128" s="834"/>
      <c r="DI128" s="12"/>
      <c r="DJ128" s="12"/>
      <c r="DK128" s="1513"/>
      <c r="DL128" s="12"/>
      <c r="DM128" s="12"/>
      <c r="DN128" s="1483"/>
      <c r="DO128" s="12"/>
      <c r="DP128" s="12"/>
      <c r="DQ128" s="12"/>
      <c r="DR128" s="1513"/>
      <c r="DS128" s="12"/>
      <c r="DT128" s="12"/>
      <c r="DU128" s="1483"/>
      <c r="DV128" s="12"/>
      <c r="DW128" s="12"/>
      <c r="DX128" s="12"/>
      <c r="DY128" s="1513"/>
      <c r="DZ128" s="12"/>
      <c r="EA128" s="12"/>
      <c r="EB128" s="1483"/>
      <c r="EC128" s="12"/>
      <c r="ED128" s="12"/>
      <c r="EE128" s="12"/>
      <c r="EF128" s="1513"/>
      <c r="EG128" s="12"/>
      <c r="EH128" s="12"/>
      <c r="EI128" s="1483"/>
      <c r="EJ128" s="12"/>
      <c r="EK128" s="12"/>
      <c r="EL128" s="12"/>
      <c r="EM128" s="1513"/>
      <c r="EN128" s="12"/>
      <c r="EO128" s="12"/>
      <c r="EP128" s="1483"/>
      <c r="EQ128" s="303"/>
      <c r="ER128" s="46"/>
    </row>
    <row r="129" spans="1:148" ht="10.199999999999999" hidden="1" customHeight="1" outlineLevel="1">
      <c r="A129" s="43" t="s">
        <v>79</v>
      </c>
      <c r="B129" s="108"/>
      <c r="C129" s="108"/>
      <c r="D129" s="203">
        <f t="shared" ref="D129:L129" si="1067">-D143</f>
        <v>-2783</v>
      </c>
      <c r="E129" s="203">
        <f t="shared" si="1067"/>
        <v>-2879</v>
      </c>
      <c r="F129" s="203">
        <f t="shared" si="1067"/>
        <v>-3104</v>
      </c>
      <c r="G129" s="203">
        <f t="shared" si="1067"/>
        <v>-2462</v>
      </c>
      <c r="H129" s="203">
        <f t="shared" si="1067"/>
        <v>-1882</v>
      </c>
      <c r="I129" s="203">
        <f t="shared" si="1067"/>
        <v>-1805</v>
      </c>
      <c r="J129" s="203">
        <f t="shared" si="1067"/>
        <v>-2049</v>
      </c>
      <c r="K129" s="203">
        <f t="shared" si="1067"/>
        <v>-2192</v>
      </c>
      <c r="L129" s="203">
        <f t="shared" si="1067"/>
        <v>-2475</v>
      </c>
      <c r="M129" s="203"/>
      <c r="N129" s="203"/>
      <c r="O129" s="203"/>
      <c r="P129" s="203"/>
      <c r="Q129" s="1448"/>
      <c r="R129" s="203"/>
      <c r="S129" s="203"/>
      <c r="T129" s="1461"/>
      <c r="U129" s="203"/>
      <c r="V129" s="203"/>
      <c r="W129" s="203"/>
      <c r="X129" s="1448"/>
      <c r="Y129" s="203"/>
      <c r="Z129" s="203"/>
      <c r="AA129" s="1461"/>
      <c r="AB129" s="203"/>
      <c r="AC129" s="203"/>
      <c r="AD129" s="203"/>
      <c r="AE129" s="1448"/>
      <c r="AF129" s="203"/>
      <c r="AG129" s="203"/>
      <c r="AH129" s="1461"/>
      <c r="AI129" s="203"/>
      <c r="AJ129" s="203"/>
      <c r="AK129" s="203"/>
      <c r="AL129" s="1448"/>
      <c r="AM129" s="203"/>
      <c r="AN129" s="203"/>
      <c r="AO129" s="1461"/>
      <c r="AP129" s="203"/>
      <c r="AQ129" s="203"/>
      <c r="AR129" s="203"/>
      <c r="AS129" s="1448"/>
      <c r="AT129" s="203"/>
      <c r="AU129" s="203"/>
      <c r="AV129" s="1461"/>
      <c r="AW129" s="203"/>
      <c r="AX129" s="203"/>
      <c r="AY129" s="203"/>
      <c r="AZ129" s="1448"/>
      <c r="BA129" s="203"/>
      <c r="BB129" s="203"/>
      <c r="BC129" s="1461"/>
      <c r="BD129" s="203"/>
      <c r="BE129" s="203"/>
      <c r="BF129" s="203"/>
      <c r="BG129" s="1448"/>
      <c r="BH129" s="203"/>
      <c r="BI129" s="203"/>
      <c r="BJ129" s="1461"/>
      <c r="BK129" s="203"/>
      <c r="BL129" s="203"/>
      <c r="BM129" s="203"/>
      <c r="BN129" s="1448"/>
      <c r="BO129" s="203"/>
      <c r="BP129" s="203"/>
      <c r="BQ129" s="1461"/>
      <c r="BR129" s="203"/>
      <c r="BS129" s="203"/>
      <c r="BT129" s="203"/>
      <c r="BU129" s="1448"/>
      <c r="BV129" s="203"/>
      <c r="BW129" s="203"/>
      <c r="BX129" s="1461"/>
      <c r="BY129" s="203"/>
      <c r="BZ129" s="203"/>
      <c r="CA129" s="203"/>
      <c r="CB129" s="1448"/>
      <c r="CC129" s="203"/>
      <c r="CD129" s="203"/>
      <c r="CE129" s="1461"/>
      <c r="CF129" s="203"/>
      <c r="CG129" s="203"/>
      <c r="CH129" s="203"/>
      <c r="CI129" s="1448"/>
      <c r="CJ129" s="203"/>
      <c r="CK129" s="203"/>
      <c r="CL129" s="1461"/>
      <c r="CM129" s="203"/>
      <c r="CN129" s="203"/>
      <c r="CO129" s="203"/>
      <c r="CP129" s="1448"/>
      <c r="CQ129" s="203"/>
      <c r="CR129" s="203"/>
      <c r="CS129" s="1461"/>
      <c r="CT129" s="203"/>
      <c r="CU129" s="203"/>
      <c r="CV129" s="203"/>
      <c r="CW129" s="1448"/>
      <c r="CX129" s="203"/>
      <c r="CY129" s="203"/>
      <c r="CZ129" s="1483"/>
      <c r="DA129" s="12"/>
      <c r="DB129" s="12"/>
      <c r="DC129" s="12"/>
      <c r="DD129" s="1513"/>
      <c r="DE129" s="12"/>
      <c r="DF129" s="12"/>
      <c r="DG129" s="1483"/>
      <c r="DH129" s="834"/>
      <c r="DI129" s="12"/>
      <c r="DJ129" s="12"/>
      <c r="DK129" s="1513"/>
      <c r="DL129" s="12"/>
      <c r="DM129" s="12"/>
      <c r="DN129" s="1483"/>
      <c r="DO129" s="12"/>
      <c r="DP129" s="12"/>
      <c r="DQ129" s="12"/>
      <c r="DR129" s="1513"/>
      <c r="DS129" s="12"/>
      <c r="DT129" s="12"/>
      <c r="DU129" s="1483"/>
      <c r="DV129" s="12"/>
      <c r="DW129" s="12"/>
      <c r="DX129" s="12"/>
      <c r="DY129" s="1513"/>
      <c r="DZ129" s="12"/>
      <c r="EA129" s="12"/>
      <c r="EB129" s="1483"/>
      <c r="EC129" s="12"/>
      <c r="ED129" s="12"/>
      <c r="EE129" s="12"/>
      <c r="EF129" s="1513"/>
      <c r="EG129" s="12"/>
      <c r="EH129" s="12"/>
      <c r="EI129" s="1483"/>
      <c r="EJ129" s="12"/>
      <c r="EK129" s="12"/>
      <c r="EL129" s="12"/>
      <c r="EM129" s="1513"/>
      <c r="EN129" s="12"/>
      <c r="EO129" s="12"/>
      <c r="EP129" s="1483"/>
      <c r="EQ129" s="303"/>
      <c r="ER129" s="46"/>
    </row>
    <row r="130" spans="1:148" ht="10.199999999999999" hidden="1" customHeight="1" outlineLevel="1">
      <c r="A130" s="43" t="s">
        <v>80</v>
      </c>
      <c r="B130" s="108"/>
      <c r="C130" s="108"/>
      <c r="D130" s="203">
        <f t="shared" ref="D130:L130" si="1068">D128+D129</f>
        <v>3431</v>
      </c>
      <c r="E130" s="203">
        <f t="shared" si="1068"/>
        <v>3442</v>
      </c>
      <c r="F130" s="203">
        <f t="shared" si="1068"/>
        <v>3134</v>
      </c>
      <c r="G130" s="203">
        <f t="shared" si="1068"/>
        <v>2605</v>
      </c>
      <c r="H130" s="203">
        <f t="shared" si="1068"/>
        <v>1974</v>
      </c>
      <c r="I130" s="203">
        <f t="shared" si="1068"/>
        <v>1543</v>
      </c>
      <c r="J130" s="203">
        <f t="shared" si="1068"/>
        <v>1472</v>
      </c>
      <c r="K130" s="203">
        <f t="shared" si="1068"/>
        <v>1520</v>
      </c>
      <c r="L130" s="203">
        <f t="shared" si="1068"/>
        <v>1407</v>
      </c>
      <c r="M130" s="203"/>
      <c r="N130" s="203"/>
      <c r="O130" s="203"/>
      <c r="P130" s="203"/>
      <c r="Q130" s="1448"/>
      <c r="R130" s="203"/>
      <c r="S130" s="203"/>
      <c r="T130" s="1461"/>
      <c r="U130" s="203"/>
      <c r="V130" s="203"/>
      <c r="W130" s="203"/>
      <c r="X130" s="1448"/>
      <c r="Y130" s="203"/>
      <c r="Z130" s="203"/>
      <c r="AA130" s="1461"/>
      <c r="AB130" s="203"/>
      <c r="AC130" s="203"/>
      <c r="AD130" s="203"/>
      <c r="AE130" s="1448"/>
      <c r="AF130" s="203"/>
      <c r="AG130" s="203"/>
      <c r="AH130" s="1461"/>
      <c r="AI130" s="203"/>
      <c r="AJ130" s="203"/>
      <c r="AK130" s="203"/>
      <c r="AL130" s="1448"/>
      <c r="AM130" s="203"/>
      <c r="AN130" s="203"/>
      <c r="AO130" s="1461"/>
      <c r="AP130" s="203"/>
      <c r="AQ130" s="203"/>
      <c r="AR130" s="203"/>
      <c r="AS130" s="1448"/>
      <c r="AT130" s="203"/>
      <c r="AU130" s="203"/>
      <c r="AV130" s="1461"/>
      <c r="AW130" s="203"/>
      <c r="AX130" s="203"/>
      <c r="AY130" s="203"/>
      <c r="AZ130" s="1448"/>
      <c r="BA130" s="203"/>
      <c r="BB130" s="203"/>
      <c r="BC130" s="1461"/>
      <c r="BD130" s="203"/>
      <c r="BE130" s="203"/>
      <c r="BF130" s="203"/>
      <c r="BG130" s="1448"/>
      <c r="BH130" s="203"/>
      <c r="BI130" s="203"/>
      <c r="BJ130" s="1461"/>
      <c r="BK130" s="203"/>
      <c r="BL130" s="203"/>
      <c r="BM130" s="203"/>
      <c r="BN130" s="1448"/>
      <c r="BO130" s="203"/>
      <c r="BP130" s="203"/>
      <c r="BQ130" s="1461"/>
      <c r="BR130" s="203"/>
      <c r="BS130" s="203"/>
      <c r="BT130" s="203"/>
      <c r="BU130" s="1448"/>
      <c r="BV130" s="203"/>
      <c r="BW130" s="203"/>
      <c r="BX130" s="1461"/>
      <c r="BY130" s="203"/>
      <c r="BZ130" s="203"/>
      <c r="CA130" s="203"/>
      <c r="CB130" s="1448"/>
      <c r="CC130" s="203"/>
      <c r="CD130" s="203"/>
      <c r="CE130" s="1461"/>
      <c r="CF130" s="203"/>
      <c r="CG130" s="203"/>
      <c r="CH130" s="203"/>
      <c r="CI130" s="1448"/>
      <c r="CJ130" s="203"/>
      <c r="CK130" s="203"/>
      <c r="CL130" s="1461"/>
      <c r="CM130" s="203"/>
      <c r="CN130" s="203"/>
      <c r="CO130" s="203"/>
      <c r="CP130" s="1448"/>
      <c r="CQ130" s="203"/>
      <c r="CR130" s="203"/>
      <c r="CS130" s="1461"/>
      <c r="CT130" s="203"/>
      <c r="CU130" s="203"/>
      <c r="CV130" s="203"/>
      <c r="CW130" s="1448"/>
      <c r="CX130" s="203"/>
      <c r="CY130" s="203"/>
      <c r="CZ130" s="1483"/>
      <c r="DA130" s="12"/>
      <c r="DB130" s="12"/>
      <c r="DC130" s="12"/>
      <c r="DD130" s="1513"/>
      <c r="DE130" s="12"/>
      <c r="DF130" s="12"/>
      <c r="DG130" s="1483"/>
      <c r="DH130" s="834"/>
      <c r="DI130" s="12"/>
      <c r="DJ130" s="12"/>
      <c r="DK130" s="1513"/>
      <c r="DL130" s="12"/>
      <c r="DM130" s="12"/>
      <c r="DN130" s="1483"/>
      <c r="DO130" s="12"/>
      <c r="DP130" s="12"/>
      <c r="DQ130" s="12"/>
      <c r="DR130" s="1513"/>
      <c r="DS130" s="12"/>
      <c r="DT130" s="12"/>
      <c r="DU130" s="1483"/>
      <c r="DV130" s="12"/>
      <c r="DW130" s="12"/>
      <c r="DX130" s="12"/>
      <c r="DY130" s="1513"/>
      <c r="DZ130" s="12"/>
      <c r="EA130" s="12"/>
      <c r="EB130" s="1483"/>
      <c r="EC130" s="12"/>
      <c r="ED130" s="12"/>
      <c r="EE130" s="12"/>
      <c r="EF130" s="1513"/>
      <c r="EG130" s="12"/>
      <c r="EH130" s="12"/>
      <c r="EI130" s="1483"/>
      <c r="EJ130" s="12"/>
      <c r="EK130" s="12"/>
      <c r="EL130" s="12"/>
      <c r="EM130" s="1513"/>
      <c r="EN130" s="12"/>
      <c r="EO130" s="12"/>
      <c r="EP130" s="1483"/>
      <c r="EQ130" s="303"/>
      <c r="ER130" s="46"/>
    </row>
    <row r="131" spans="1:148" ht="10.199999999999999" hidden="1" customHeight="1" outlineLevel="1">
      <c r="A131" s="43"/>
      <c r="B131" s="108"/>
      <c r="C131" s="108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724"/>
      <c r="R131" s="245"/>
      <c r="S131" s="245"/>
      <c r="T131" s="359"/>
      <c r="U131" s="245"/>
      <c r="V131" s="245"/>
      <c r="W131" s="245"/>
      <c r="X131" s="724"/>
      <c r="Y131" s="245"/>
      <c r="Z131" s="245"/>
      <c r="AA131" s="359"/>
      <c r="AB131" s="245"/>
      <c r="AC131" s="245"/>
      <c r="AD131" s="245"/>
      <c r="AE131" s="724"/>
      <c r="AF131" s="245"/>
      <c r="AG131" s="245"/>
      <c r="AH131" s="359"/>
      <c r="AI131" s="245"/>
      <c r="AJ131" s="245"/>
      <c r="AK131" s="245"/>
      <c r="AL131" s="724"/>
      <c r="AM131" s="245"/>
      <c r="AN131" s="245"/>
      <c r="AO131" s="359"/>
      <c r="AP131" s="245"/>
      <c r="AQ131" s="245"/>
      <c r="AR131" s="245"/>
      <c r="AS131" s="724"/>
      <c r="AT131" s="245"/>
      <c r="AU131" s="245"/>
      <c r="AV131" s="359"/>
      <c r="AW131" s="245"/>
      <c r="AX131" s="245"/>
      <c r="AY131" s="245"/>
      <c r="AZ131" s="724"/>
      <c r="BA131" s="245"/>
      <c r="BB131" s="245"/>
      <c r="BC131" s="359"/>
      <c r="BD131" s="245"/>
      <c r="BE131" s="245"/>
      <c r="BF131" s="245"/>
      <c r="BG131" s="724"/>
      <c r="BH131" s="245"/>
      <c r="BI131" s="245"/>
      <c r="BJ131" s="359"/>
      <c r="BK131" s="245"/>
      <c r="BL131" s="245"/>
      <c r="BM131" s="245"/>
      <c r="BN131" s="724"/>
      <c r="BO131" s="245"/>
      <c r="BP131" s="245"/>
      <c r="BQ131" s="359"/>
      <c r="BR131" s="245"/>
      <c r="BS131" s="245"/>
      <c r="BT131" s="245"/>
      <c r="BU131" s="724"/>
      <c r="BV131" s="245"/>
      <c r="BW131" s="245"/>
      <c r="BX131" s="359"/>
      <c r="BY131" s="245"/>
      <c r="BZ131" s="245"/>
      <c r="CA131" s="245"/>
      <c r="CB131" s="724"/>
      <c r="CC131" s="245"/>
      <c r="CD131" s="245"/>
      <c r="CE131" s="359"/>
      <c r="CF131" s="245"/>
      <c r="CG131" s="245"/>
      <c r="CH131" s="245"/>
      <c r="CI131" s="724"/>
      <c r="CJ131" s="245"/>
      <c r="CK131" s="245"/>
      <c r="CL131" s="359"/>
      <c r="CM131" s="245"/>
      <c r="CN131" s="245"/>
      <c r="CO131" s="245"/>
      <c r="CP131" s="724"/>
      <c r="CQ131" s="245"/>
      <c r="CR131" s="245"/>
      <c r="CS131" s="359"/>
      <c r="CT131" s="245"/>
      <c r="CU131" s="245"/>
      <c r="CV131" s="245"/>
      <c r="CW131" s="724"/>
      <c r="CX131" s="245"/>
      <c r="CY131" s="245"/>
      <c r="CZ131" s="1623"/>
      <c r="DA131" s="867"/>
      <c r="DB131" s="867"/>
      <c r="DC131" s="867"/>
      <c r="DD131" s="1653"/>
      <c r="DE131" s="867"/>
      <c r="DF131" s="867"/>
      <c r="DG131" s="1623"/>
      <c r="DH131" s="1796"/>
      <c r="DI131" s="867"/>
      <c r="DJ131" s="867"/>
      <c r="DK131" s="1653"/>
      <c r="DL131" s="867"/>
      <c r="DM131" s="867"/>
      <c r="DN131" s="1623"/>
      <c r="DO131" s="867"/>
      <c r="DP131" s="867"/>
      <c r="DQ131" s="867"/>
      <c r="DR131" s="1653"/>
      <c r="DS131" s="867"/>
      <c r="DT131" s="867"/>
      <c r="DU131" s="1623"/>
      <c r="DV131" s="867"/>
      <c r="DW131" s="867"/>
      <c r="DX131" s="867"/>
      <c r="DY131" s="1653"/>
      <c r="DZ131" s="867"/>
      <c r="EA131" s="867"/>
      <c r="EB131" s="1623"/>
      <c r="EC131" s="867"/>
      <c r="ED131" s="867"/>
      <c r="EE131" s="867"/>
      <c r="EF131" s="1653"/>
      <c r="EG131" s="867"/>
      <c r="EH131" s="867"/>
      <c r="EI131" s="1623"/>
      <c r="EJ131" s="867"/>
      <c r="EK131" s="867"/>
      <c r="EL131" s="867"/>
      <c r="EM131" s="1653"/>
      <c r="EN131" s="867"/>
      <c r="EO131" s="867"/>
      <c r="EP131" s="1623"/>
      <c r="EQ131" s="303"/>
      <c r="ER131" s="46"/>
    </row>
    <row r="132" spans="1:148" ht="10.199999999999999" hidden="1" customHeight="1" outlineLevel="1">
      <c r="A132" s="43" t="s">
        <v>81</v>
      </c>
      <c r="B132" s="108"/>
      <c r="C132" s="108"/>
      <c r="D132" s="203">
        <v>5864</v>
      </c>
      <c r="E132" s="203">
        <f t="shared" ref="E132:L132" si="1069">D136</f>
        <v>6214</v>
      </c>
      <c r="F132" s="203">
        <f t="shared" si="1069"/>
        <v>6321</v>
      </c>
      <c r="G132" s="203">
        <f t="shared" si="1069"/>
        <v>6238</v>
      </c>
      <c r="H132" s="203">
        <f t="shared" si="1069"/>
        <v>5067</v>
      </c>
      <c r="I132" s="203">
        <f t="shared" si="1069"/>
        <v>3856</v>
      </c>
      <c r="J132" s="203">
        <f t="shared" si="1069"/>
        <v>3348</v>
      </c>
      <c r="K132" s="203">
        <f t="shared" si="1069"/>
        <v>3521</v>
      </c>
      <c r="L132" s="203">
        <f t="shared" si="1069"/>
        <v>3712</v>
      </c>
      <c r="M132" s="203"/>
      <c r="N132" s="203"/>
      <c r="O132" s="203"/>
      <c r="P132" s="203"/>
      <c r="Q132" s="1448"/>
      <c r="R132" s="203"/>
      <c r="S132" s="203"/>
      <c r="T132" s="1461"/>
      <c r="U132" s="203"/>
      <c r="V132" s="203"/>
      <c r="W132" s="203"/>
      <c r="X132" s="1448"/>
      <c r="Y132" s="203"/>
      <c r="Z132" s="203"/>
      <c r="AA132" s="1461"/>
      <c r="AB132" s="203"/>
      <c r="AC132" s="203"/>
      <c r="AD132" s="203"/>
      <c r="AE132" s="1448"/>
      <c r="AF132" s="203"/>
      <c r="AG132" s="203"/>
      <c r="AH132" s="1461"/>
      <c r="AI132" s="203"/>
      <c r="AJ132" s="203"/>
      <c r="AK132" s="203"/>
      <c r="AL132" s="1448"/>
      <c r="AM132" s="203"/>
      <c r="AN132" s="203"/>
      <c r="AO132" s="1461"/>
      <c r="AP132" s="203"/>
      <c r="AQ132" s="203"/>
      <c r="AR132" s="203"/>
      <c r="AS132" s="1448"/>
      <c r="AT132" s="203"/>
      <c r="AU132" s="203"/>
      <c r="AV132" s="1461"/>
      <c r="AW132" s="203"/>
      <c r="AX132" s="203"/>
      <c r="AY132" s="203"/>
      <c r="AZ132" s="1448"/>
      <c r="BA132" s="203"/>
      <c r="BB132" s="203"/>
      <c r="BC132" s="1461"/>
      <c r="BD132" s="203"/>
      <c r="BE132" s="203"/>
      <c r="BF132" s="203"/>
      <c r="BG132" s="1448"/>
      <c r="BH132" s="203"/>
      <c r="BI132" s="203"/>
      <c r="BJ132" s="1461"/>
      <c r="BK132" s="203"/>
      <c r="BL132" s="203"/>
      <c r="BM132" s="203"/>
      <c r="BN132" s="1448"/>
      <c r="BO132" s="203"/>
      <c r="BP132" s="203"/>
      <c r="BQ132" s="1461"/>
      <c r="BR132" s="203"/>
      <c r="BS132" s="203"/>
      <c r="BT132" s="203"/>
      <c r="BU132" s="1448"/>
      <c r="BV132" s="203"/>
      <c r="BW132" s="203"/>
      <c r="BX132" s="1461"/>
      <c r="BY132" s="203"/>
      <c r="BZ132" s="203"/>
      <c r="CA132" s="203"/>
      <c r="CB132" s="1448"/>
      <c r="CC132" s="203"/>
      <c r="CD132" s="203"/>
      <c r="CE132" s="1461"/>
      <c r="CF132" s="203"/>
      <c r="CG132" s="203"/>
      <c r="CH132" s="203"/>
      <c r="CI132" s="1448"/>
      <c r="CJ132" s="203"/>
      <c r="CK132" s="203"/>
      <c r="CL132" s="1461"/>
      <c r="CM132" s="203"/>
      <c r="CN132" s="203"/>
      <c r="CO132" s="203"/>
      <c r="CP132" s="1448"/>
      <c r="CQ132" s="203"/>
      <c r="CR132" s="203"/>
      <c r="CS132" s="1461"/>
      <c r="CT132" s="203"/>
      <c r="CU132" s="203"/>
      <c r="CV132" s="203"/>
      <c r="CW132" s="1448"/>
      <c r="CX132" s="203"/>
      <c r="CY132" s="203"/>
      <c r="CZ132" s="1483"/>
      <c r="DA132" s="12"/>
      <c r="DB132" s="12"/>
      <c r="DC132" s="12"/>
      <c r="DD132" s="1513"/>
      <c r="DE132" s="12"/>
      <c r="DF132" s="12"/>
      <c r="DG132" s="1483"/>
      <c r="DH132" s="834"/>
      <c r="DI132" s="12"/>
      <c r="DJ132" s="12"/>
      <c r="DK132" s="1513"/>
      <c r="DL132" s="12"/>
      <c r="DM132" s="12"/>
      <c r="DN132" s="1483"/>
      <c r="DO132" s="12"/>
      <c r="DP132" s="12"/>
      <c r="DQ132" s="12"/>
      <c r="DR132" s="1513"/>
      <c r="DS132" s="12"/>
      <c r="DT132" s="12"/>
      <c r="DU132" s="1483"/>
      <c r="DV132" s="12"/>
      <c r="DW132" s="12"/>
      <c r="DX132" s="12"/>
      <c r="DY132" s="1513"/>
      <c r="DZ132" s="12"/>
      <c r="EA132" s="12"/>
      <c r="EB132" s="1483"/>
      <c r="EC132" s="12"/>
      <c r="ED132" s="12"/>
      <c r="EE132" s="12"/>
      <c r="EF132" s="1513"/>
      <c r="EG132" s="12"/>
      <c r="EH132" s="12"/>
      <c r="EI132" s="1483"/>
      <c r="EJ132" s="12"/>
      <c r="EK132" s="12"/>
      <c r="EL132" s="12"/>
      <c r="EM132" s="1513"/>
      <c r="EN132" s="12"/>
      <c r="EO132" s="12"/>
      <c r="EP132" s="1483"/>
      <c r="EQ132" s="303"/>
      <c r="ER132" s="46"/>
    </row>
    <row r="133" spans="1:148" ht="10.199999999999999" hidden="1" customHeight="1" outlineLevel="1">
      <c r="A133" s="43" t="s">
        <v>173</v>
      </c>
      <c r="B133" s="108"/>
      <c r="C133" s="108"/>
      <c r="D133" s="203">
        <v>550</v>
      </c>
      <c r="E133" s="203">
        <v>924</v>
      </c>
      <c r="F133" s="203">
        <v>214</v>
      </c>
      <c r="G133" s="191">
        <v>315</v>
      </c>
      <c r="H133" s="191">
        <v>203</v>
      </c>
      <c r="I133" s="191">
        <v>146</v>
      </c>
      <c r="J133" s="203">
        <v>194</v>
      </c>
      <c r="K133" s="191">
        <v>437</v>
      </c>
      <c r="L133" s="191">
        <v>428</v>
      </c>
      <c r="M133" s="191"/>
      <c r="N133" s="191"/>
      <c r="O133" s="191"/>
      <c r="P133" s="191"/>
      <c r="Q133" s="709"/>
      <c r="R133" s="191"/>
      <c r="S133" s="191"/>
      <c r="T133" s="352"/>
      <c r="U133" s="191"/>
      <c r="V133" s="191"/>
      <c r="W133" s="191"/>
      <c r="X133" s="709"/>
      <c r="Y133" s="191"/>
      <c r="Z133" s="191"/>
      <c r="AA133" s="352"/>
      <c r="AB133" s="191"/>
      <c r="AC133" s="191"/>
      <c r="AD133" s="191"/>
      <c r="AE133" s="709"/>
      <c r="AF133" s="191"/>
      <c r="AG133" s="191"/>
      <c r="AH133" s="352"/>
      <c r="AI133" s="191"/>
      <c r="AJ133" s="191"/>
      <c r="AK133" s="191"/>
      <c r="AL133" s="709"/>
      <c r="AM133" s="191"/>
      <c r="AN133" s="191"/>
      <c r="AO133" s="352"/>
      <c r="AP133" s="191"/>
      <c r="AQ133" s="191"/>
      <c r="AR133" s="191"/>
      <c r="AS133" s="709"/>
      <c r="AT133" s="191"/>
      <c r="AU133" s="191"/>
      <c r="AV133" s="352"/>
      <c r="AW133" s="191"/>
      <c r="AX133" s="191"/>
      <c r="AY133" s="191"/>
      <c r="AZ133" s="709"/>
      <c r="BA133" s="191"/>
      <c r="BB133" s="191"/>
      <c r="BC133" s="352"/>
      <c r="BD133" s="191"/>
      <c r="BE133" s="191"/>
      <c r="BF133" s="191"/>
      <c r="BG133" s="709"/>
      <c r="BH133" s="191"/>
      <c r="BI133" s="191"/>
      <c r="BJ133" s="352"/>
      <c r="BK133" s="191"/>
      <c r="BL133" s="191"/>
      <c r="BM133" s="191"/>
      <c r="BN133" s="709"/>
      <c r="BO133" s="191"/>
      <c r="BP133" s="191"/>
      <c r="BQ133" s="352"/>
      <c r="BR133" s="191"/>
      <c r="BS133" s="191"/>
      <c r="BT133" s="191"/>
      <c r="BU133" s="709"/>
      <c r="BV133" s="191"/>
      <c r="BW133" s="191"/>
      <c r="BX133" s="352"/>
      <c r="BY133" s="191"/>
      <c r="BZ133" s="191"/>
      <c r="CA133" s="191"/>
      <c r="CB133" s="709"/>
      <c r="CC133" s="191"/>
      <c r="CD133" s="191"/>
      <c r="CE133" s="352"/>
      <c r="CF133" s="191"/>
      <c r="CG133" s="191"/>
      <c r="CH133" s="191"/>
      <c r="CI133" s="709"/>
      <c r="CJ133" s="191"/>
      <c r="CK133" s="191"/>
      <c r="CL133" s="352"/>
      <c r="CM133" s="191"/>
      <c r="CN133" s="191"/>
      <c r="CO133" s="191"/>
      <c r="CP133" s="709"/>
      <c r="CQ133" s="191"/>
      <c r="CR133" s="191"/>
      <c r="CS133" s="352"/>
      <c r="CT133" s="191"/>
      <c r="CU133" s="191"/>
      <c r="CV133" s="191"/>
      <c r="CW133" s="709"/>
      <c r="CX133" s="191"/>
      <c r="CY133" s="191"/>
      <c r="CZ133" s="1623"/>
      <c r="DA133" s="866"/>
      <c r="DB133" s="866"/>
      <c r="DC133" s="866"/>
      <c r="DD133" s="1653"/>
      <c r="DE133" s="866"/>
      <c r="DF133" s="866"/>
      <c r="DG133" s="1623"/>
      <c r="DH133" s="1981"/>
      <c r="DI133" s="866"/>
      <c r="DJ133" s="866"/>
      <c r="DK133" s="1653"/>
      <c r="DL133" s="866"/>
      <c r="DM133" s="866"/>
      <c r="DN133" s="1623"/>
      <c r="DO133" s="866"/>
      <c r="DP133" s="866"/>
      <c r="DQ133" s="866"/>
      <c r="DR133" s="1653"/>
      <c r="DS133" s="866"/>
      <c r="DT133" s="866"/>
      <c r="DU133" s="1623"/>
      <c r="DV133" s="866"/>
      <c r="DW133" s="866"/>
      <c r="DX133" s="866"/>
      <c r="DY133" s="1653"/>
      <c r="DZ133" s="866"/>
      <c r="EA133" s="866"/>
      <c r="EB133" s="1623"/>
      <c r="EC133" s="866"/>
      <c r="ED133" s="866"/>
      <c r="EE133" s="866"/>
      <c r="EF133" s="1653"/>
      <c r="EG133" s="866"/>
      <c r="EH133" s="866"/>
      <c r="EI133" s="1623"/>
      <c r="EJ133" s="866"/>
      <c r="EK133" s="866"/>
      <c r="EL133" s="866"/>
      <c r="EM133" s="1653"/>
      <c r="EN133" s="866"/>
      <c r="EO133" s="866"/>
      <c r="EP133" s="1623"/>
      <c r="EQ133" s="303"/>
      <c r="ER133" s="46"/>
    </row>
    <row r="134" spans="1:148" ht="10.199999999999999" hidden="1" customHeight="1" outlineLevel="1">
      <c r="A134" s="43" t="s">
        <v>82</v>
      </c>
      <c r="B134" s="108"/>
      <c r="C134" s="108"/>
      <c r="D134" s="203">
        <v>-98</v>
      </c>
      <c r="E134" s="203">
        <v>-644</v>
      </c>
      <c r="F134" s="203">
        <v>-483</v>
      </c>
      <c r="G134" s="203">
        <v>-456</v>
      </c>
      <c r="H134" s="203">
        <v>-1195</v>
      </c>
      <c r="I134" s="203">
        <v>-644</v>
      </c>
      <c r="J134" s="203">
        <v>-154</v>
      </c>
      <c r="K134" s="203">
        <v>-289</v>
      </c>
      <c r="L134" s="203">
        <v>-443</v>
      </c>
      <c r="M134" s="203"/>
      <c r="N134" s="203"/>
      <c r="O134" s="203"/>
      <c r="P134" s="203"/>
      <c r="Q134" s="1448"/>
      <c r="R134" s="203"/>
      <c r="S134" s="203"/>
      <c r="T134" s="1461"/>
      <c r="U134" s="203"/>
      <c r="V134" s="203"/>
      <c r="W134" s="203"/>
      <c r="X134" s="1448"/>
      <c r="Y134" s="203"/>
      <c r="Z134" s="203"/>
      <c r="AA134" s="1461"/>
      <c r="AB134" s="203"/>
      <c r="AC134" s="203"/>
      <c r="AD134" s="203"/>
      <c r="AE134" s="1448"/>
      <c r="AF134" s="203"/>
      <c r="AG134" s="203"/>
      <c r="AH134" s="1461"/>
      <c r="AI134" s="203"/>
      <c r="AJ134" s="203"/>
      <c r="AK134" s="203"/>
      <c r="AL134" s="1448"/>
      <c r="AM134" s="203"/>
      <c r="AN134" s="203"/>
      <c r="AO134" s="1461"/>
      <c r="AP134" s="203"/>
      <c r="AQ134" s="203"/>
      <c r="AR134" s="203"/>
      <c r="AS134" s="1448"/>
      <c r="AT134" s="203"/>
      <c r="AU134" s="203"/>
      <c r="AV134" s="1461"/>
      <c r="AW134" s="203"/>
      <c r="AX134" s="203"/>
      <c r="AY134" s="203"/>
      <c r="AZ134" s="1448"/>
      <c r="BA134" s="203"/>
      <c r="BB134" s="203"/>
      <c r="BC134" s="1461"/>
      <c r="BD134" s="203"/>
      <c r="BE134" s="203"/>
      <c r="BF134" s="203"/>
      <c r="BG134" s="1448"/>
      <c r="BH134" s="203"/>
      <c r="BI134" s="203"/>
      <c r="BJ134" s="1461"/>
      <c r="BK134" s="203"/>
      <c r="BL134" s="203"/>
      <c r="BM134" s="203"/>
      <c r="BN134" s="1448"/>
      <c r="BO134" s="203"/>
      <c r="BP134" s="203"/>
      <c r="BQ134" s="1461"/>
      <c r="BR134" s="203"/>
      <c r="BS134" s="203"/>
      <c r="BT134" s="203"/>
      <c r="BU134" s="1448"/>
      <c r="BV134" s="203"/>
      <c r="BW134" s="203"/>
      <c r="BX134" s="1461"/>
      <c r="BY134" s="203"/>
      <c r="BZ134" s="203"/>
      <c r="CA134" s="203"/>
      <c r="CB134" s="1448"/>
      <c r="CC134" s="203"/>
      <c r="CD134" s="203"/>
      <c r="CE134" s="1461"/>
      <c r="CF134" s="203"/>
      <c r="CG134" s="203"/>
      <c r="CH134" s="203"/>
      <c r="CI134" s="1448"/>
      <c r="CJ134" s="203"/>
      <c r="CK134" s="203"/>
      <c r="CL134" s="1461"/>
      <c r="CM134" s="203"/>
      <c r="CN134" s="203"/>
      <c r="CO134" s="203"/>
      <c r="CP134" s="1448"/>
      <c r="CQ134" s="203"/>
      <c r="CR134" s="203"/>
      <c r="CS134" s="1461"/>
      <c r="CT134" s="203"/>
      <c r="CU134" s="203"/>
      <c r="CV134" s="203"/>
      <c r="CW134" s="1448"/>
      <c r="CX134" s="203"/>
      <c r="CY134" s="203"/>
      <c r="CZ134" s="1483"/>
      <c r="DA134" s="12"/>
      <c r="DB134" s="12"/>
      <c r="DC134" s="12"/>
      <c r="DD134" s="1513"/>
      <c r="DE134" s="12"/>
      <c r="DF134" s="12"/>
      <c r="DG134" s="1483"/>
      <c r="DH134" s="834"/>
      <c r="DI134" s="12"/>
      <c r="DJ134" s="12"/>
      <c r="DK134" s="1513"/>
      <c r="DL134" s="12"/>
      <c r="DM134" s="12"/>
      <c r="DN134" s="1483"/>
      <c r="DO134" s="12"/>
      <c r="DP134" s="12"/>
      <c r="DQ134" s="12"/>
      <c r="DR134" s="1513"/>
      <c r="DS134" s="12"/>
      <c r="DT134" s="12"/>
      <c r="DU134" s="1483"/>
      <c r="DV134" s="12"/>
      <c r="DW134" s="12"/>
      <c r="DX134" s="12"/>
      <c r="DY134" s="1513"/>
      <c r="DZ134" s="12"/>
      <c r="EA134" s="12"/>
      <c r="EB134" s="1483"/>
      <c r="EC134" s="12"/>
      <c r="ED134" s="12"/>
      <c r="EE134" s="12"/>
      <c r="EF134" s="1513"/>
      <c r="EG134" s="12"/>
      <c r="EH134" s="12"/>
      <c r="EI134" s="1483"/>
      <c r="EJ134" s="12"/>
      <c r="EK134" s="12"/>
      <c r="EL134" s="12"/>
      <c r="EM134" s="1513"/>
      <c r="EN134" s="12"/>
      <c r="EO134" s="12"/>
      <c r="EP134" s="1483"/>
      <c r="EQ134" s="303"/>
      <c r="ER134" s="46"/>
    </row>
    <row r="135" spans="1:148" ht="10.199999999999999" hidden="1" customHeight="1" outlineLevel="1">
      <c r="A135" s="43" t="s">
        <v>89</v>
      </c>
      <c r="B135" s="108"/>
      <c r="C135" s="108"/>
      <c r="D135" s="203">
        <f t="shared" ref="D135:L135" si="1070">D136-D134-D133-D132</f>
        <v>-102</v>
      </c>
      <c r="E135" s="203">
        <f t="shared" si="1070"/>
        <v>-173</v>
      </c>
      <c r="F135" s="203">
        <f t="shared" si="1070"/>
        <v>186</v>
      </c>
      <c r="G135" s="203">
        <f t="shared" si="1070"/>
        <v>-1030</v>
      </c>
      <c r="H135" s="203">
        <f t="shared" si="1070"/>
        <v>-219</v>
      </c>
      <c r="I135" s="203">
        <f t="shared" si="1070"/>
        <v>-10</v>
      </c>
      <c r="J135" s="203">
        <f t="shared" si="1070"/>
        <v>133</v>
      </c>
      <c r="K135" s="203">
        <f t="shared" si="1070"/>
        <v>43</v>
      </c>
      <c r="L135" s="203">
        <f t="shared" si="1070"/>
        <v>185</v>
      </c>
      <c r="M135" s="203"/>
      <c r="N135" s="203"/>
      <c r="O135" s="203"/>
      <c r="P135" s="203"/>
      <c r="Q135" s="1448"/>
      <c r="R135" s="203"/>
      <c r="S135" s="203"/>
      <c r="T135" s="1461"/>
      <c r="U135" s="203"/>
      <c r="V135" s="203"/>
      <c r="W135" s="203"/>
      <c r="X135" s="1448"/>
      <c r="Y135" s="203"/>
      <c r="Z135" s="203"/>
      <c r="AA135" s="1461"/>
      <c r="AB135" s="203"/>
      <c r="AC135" s="203"/>
      <c r="AD135" s="203"/>
      <c r="AE135" s="1448"/>
      <c r="AF135" s="203"/>
      <c r="AG135" s="203"/>
      <c r="AH135" s="1461"/>
      <c r="AI135" s="203"/>
      <c r="AJ135" s="203"/>
      <c r="AK135" s="203"/>
      <c r="AL135" s="1448"/>
      <c r="AM135" s="203"/>
      <c r="AN135" s="203"/>
      <c r="AO135" s="1461"/>
      <c r="AP135" s="203"/>
      <c r="AQ135" s="203"/>
      <c r="AR135" s="203"/>
      <c r="AS135" s="1448"/>
      <c r="AT135" s="203"/>
      <c r="AU135" s="203"/>
      <c r="AV135" s="1461"/>
      <c r="AW135" s="203"/>
      <c r="AX135" s="203"/>
      <c r="AY135" s="203"/>
      <c r="AZ135" s="1448"/>
      <c r="BA135" s="203"/>
      <c r="BB135" s="203"/>
      <c r="BC135" s="1461"/>
      <c r="BD135" s="203"/>
      <c r="BE135" s="203"/>
      <c r="BF135" s="203"/>
      <c r="BG135" s="1448"/>
      <c r="BH135" s="203"/>
      <c r="BI135" s="203"/>
      <c r="BJ135" s="1461"/>
      <c r="BK135" s="203"/>
      <c r="BL135" s="203"/>
      <c r="BM135" s="203"/>
      <c r="BN135" s="1448"/>
      <c r="BO135" s="203"/>
      <c r="BP135" s="203"/>
      <c r="BQ135" s="1461"/>
      <c r="BR135" s="203"/>
      <c r="BS135" s="203"/>
      <c r="BT135" s="203"/>
      <c r="BU135" s="1448"/>
      <c r="BV135" s="203"/>
      <c r="BW135" s="203"/>
      <c r="BX135" s="1461"/>
      <c r="BY135" s="203"/>
      <c r="BZ135" s="203"/>
      <c r="CA135" s="203"/>
      <c r="CB135" s="1448"/>
      <c r="CC135" s="203"/>
      <c r="CD135" s="203"/>
      <c r="CE135" s="1461"/>
      <c r="CF135" s="203"/>
      <c r="CG135" s="203"/>
      <c r="CH135" s="203"/>
      <c r="CI135" s="1448"/>
      <c r="CJ135" s="203"/>
      <c r="CK135" s="203"/>
      <c r="CL135" s="1461"/>
      <c r="CM135" s="203"/>
      <c r="CN135" s="203"/>
      <c r="CO135" s="203"/>
      <c r="CP135" s="1448"/>
      <c r="CQ135" s="203"/>
      <c r="CR135" s="203"/>
      <c r="CS135" s="1461"/>
      <c r="CT135" s="203"/>
      <c r="CU135" s="203"/>
      <c r="CV135" s="203"/>
      <c r="CW135" s="1448"/>
      <c r="CX135" s="203"/>
      <c r="CY135" s="203"/>
      <c r="CZ135" s="1483"/>
      <c r="DA135" s="12"/>
      <c r="DB135" s="12"/>
      <c r="DC135" s="12"/>
      <c r="DD135" s="1513"/>
      <c r="DE135" s="12"/>
      <c r="DF135" s="12"/>
      <c r="DG135" s="1483"/>
      <c r="DH135" s="834"/>
      <c r="DI135" s="12"/>
      <c r="DJ135" s="12"/>
      <c r="DK135" s="1513"/>
      <c r="DL135" s="12"/>
      <c r="DM135" s="12"/>
      <c r="DN135" s="1483"/>
      <c r="DO135" s="12"/>
      <c r="DP135" s="12"/>
      <c r="DQ135" s="12"/>
      <c r="DR135" s="1513"/>
      <c r="DS135" s="12"/>
      <c r="DT135" s="12"/>
      <c r="DU135" s="1483"/>
      <c r="DV135" s="12"/>
      <c r="DW135" s="12"/>
      <c r="DX135" s="12"/>
      <c r="DY135" s="1513"/>
      <c r="DZ135" s="12"/>
      <c r="EA135" s="12"/>
      <c r="EB135" s="1483"/>
      <c r="EC135" s="12"/>
      <c r="ED135" s="12"/>
      <c r="EE135" s="12"/>
      <c r="EF135" s="1513"/>
      <c r="EG135" s="12"/>
      <c r="EH135" s="12"/>
      <c r="EI135" s="1483"/>
      <c r="EJ135" s="12"/>
      <c r="EK135" s="12"/>
      <c r="EL135" s="12"/>
      <c r="EM135" s="1513"/>
      <c r="EN135" s="12"/>
      <c r="EO135" s="12"/>
      <c r="EP135" s="1483"/>
      <c r="EQ135" s="303"/>
      <c r="ER135" s="46"/>
    </row>
    <row r="136" spans="1:148" ht="10.199999999999999" hidden="1" customHeight="1" outlineLevel="1">
      <c r="A136" s="43" t="s">
        <v>83</v>
      </c>
      <c r="B136" s="108"/>
      <c r="C136" s="108"/>
      <c r="D136" s="203">
        <v>6214</v>
      </c>
      <c r="E136" s="203">
        <v>6321</v>
      </c>
      <c r="F136" s="203">
        <v>6238</v>
      </c>
      <c r="G136" s="203">
        <v>5067</v>
      </c>
      <c r="H136" s="203">
        <v>3856</v>
      </c>
      <c r="I136" s="203">
        <v>3348</v>
      </c>
      <c r="J136" s="203">
        <v>3521</v>
      </c>
      <c r="K136" s="203">
        <v>3712</v>
      </c>
      <c r="L136" s="203">
        <v>3882</v>
      </c>
      <c r="M136" s="203"/>
      <c r="N136" s="203"/>
      <c r="O136" s="203"/>
      <c r="P136" s="203"/>
      <c r="Q136" s="1448"/>
      <c r="R136" s="203"/>
      <c r="S136" s="203"/>
      <c r="T136" s="1461"/>
      <c r="U136" s="203"/>
      <c r="V136" s="203"/>
      <c r="W136" s="203"/>
      <c r="X136" s="1448"/>
      <c r="Y136" s="203"/>
      <c r="Z136" s="203"/>
      <c r="AA136" s="1461"/>
      <c r="AB136" s="203"/>
      <c r="AC136" s="203"/>
      <c r="AD136" s="203"/>
      <c r="AE136" s="1448"/>
      <c r="AF136" s="203"/>
      <c r="AG136" s="203"/>
      <c r="AH136" s="1461"/>
      <c r="AI136" s="203"/>
      <c r="AJ136" s="203"/>
      <c r="AK136" s="203"/>
      <c r="AL136" s="1448"/>
      <c r="AM136" s="203"/>
      <c r="AN136" s="203"/>
      <c r="AO136" s="1461"/>
      <c r="AP136" s="203"/>
      <c r="AQ136" s="203"/>
      <c r="AR136" s="203"/>
      <c r="AS136" s="1448"/>
      <c r="AT136" s="203"/>
      <c r="AU136" s="203"/>
      <c r="AV136" s="1461"/>
      <c r="AW136" s="203"/>
      <c r="AX136" s="203"/>
      <c r="AY136" s="203"/>
      <c r="AZ136" s="1448"/>
      <c r="BA136" s="203"/>
      <c r="BB136" s="203"/>
      <c r="BC136" s="1461"/>
      <c r="BD136" s="203"/>
      <c r="BE136" s="203"/>
      <c r="BF136" s="203"/>
      <c r="BG136" s="1448"/>
      <c r="BH136" s="203"/>
      <c r="BI136" s="203"/>
      <c r="BJ136" s="1461"/>
      <c r="BK136" s="203"/>
      <c r="BL136" s="203"/>
      <c r="BM136" s="203"/>
      <c r="BN136" s="1448"/>
      <c r="BO136" s="203"/>
      <c r="BP136" s="203"/>
      <c r="BQ136" s="1461"/>
      <c r="BR136" s="203"/>
      <c r="BS136" s="203"/>
      <c r="BT136" s="203"/>
      <c r="BU136" s="1448"/>
      <c r="BV136" s="203"/>
      <c r="BW136" s="203"/>
      <c r="BX136" s="1461"/>
      <c r="BY136" s="203"/>
      <c r="BZ136" s="203"/>
      <c r="CA136" s="203"/>
      <c r="CB136" s="1448"/>
      <c r="CC136" s="203"/>
      <c r="CD136" s="203"/>
      <c r="CE136" s="1461"/>
      <c r="CF136" s="203"/>
      <c r="CG136" s="203"/>
      <c r="CH136" s="203"/>
      <c r="CI136" s="1448"/>
      <c r="CJ136" s="203"/>
      <c r="CK136" s="203"/>
      <c r="CL136" s="1461"/>
      <c r="CM136" s="203"/>
      <c r="CN136" s="203"/>
      <c r="CO136" s="203"/>
      <c r="CP136" s="1448"/>
      <c r="CQ136" s="203"/>
      <c r="CR136" s="203"/>
      <c r="CS136" s="1461"/>
      <c r="CT136" s="203"/>
      <c r="CU136" s="203"/>
      <c r="CV136" s="203"/>
      <c r="CW136" s="1448"/>
      <c r="CX136" s="203"/>
      <c r="CY136" s="203"/>
      <c r="CZ136" s="1483"/>
      <c r="DA136" s="12"/>
      <c r="DB136" s="12"/>
      <c r="DC136" s="12"/>
      <c r="DD136" s="1513"/>
      <c r="DE136" s="12"/>
      <c r="DF136" s="12"/>
      <c r="DG136" s="1483"/>
      <c r="DH136" s="834"/>
      <c r="DI136" s="12"/>
      <c r="DJ136" s="12"/>
      <c r="DK136" s="1513"/>
      <c r="DL136" s="12"/>
      <c r="DM136" s="12"/>
      <c r="DN136" s="1483"/>
      <c r="DO136" s="12"/>
      <c r="DP136" s="12"/>
      <c r="DQ136" s="12"/>
      <c r="DR136" s="1513"/>
      <c r="DS136" s="12"/>
      <c r="DT136" s="12"/>
      <c r="DU136" s="1483"/>
      <c r="DV136" s="12"/>
      <c r="DW136" s="12"/>
      <c r="DX136" s="12"/>
      <c r="DY136" s="1513"/>
      <c r="DZ136" s="12"/>
      <c r="EA136" s="12"/>
      <c r="EB136" s="1483"/>
      <c r="EC136" s="12"/>
      <c r="ED136" s="12"/>
      <c r="EE136" s="12"/>
      <c r="EF136" s="1513"/>
      <c r="EG136" s="12"/>
      <c r="EH136" s="12"/>
      <c r="EI136" s="1483"/>
      <c r="EJ136" s="12"/>
      <c r="EK136" s="12"/>
      <c r="EL136" s="12"/>
      <c r="EM136" s="1513"/>
      <c r="EN136" s="12"/>
      <c r="EO136" s="12"/>
      <c r="EP136" s="1483"/>
      <c r="EQ136" s="303"/>
      <c r="ER136" s="46"/>
    </row>
    <row r="137" spans="1:148" ht="10.199999999999999" hidden="1" customHeight="1" outlineLevel="1">
      <c r="A137" s="43" t="s">
        <v>84</v>
      </c>
      <c r="B137" s="108"/>
      <c r="C137" s="108"/>
      <c r="D137" s="203">
        <f t="shared" ref="D137:L137" si="1071">AVERAGE(D136,D132)</f>
        <v>6039</v>
      </c>
      <c r="E137" s="203">
        <f t="shared" si="1071"/>
        <v>6267.5</v>
      </c>
      <c r="F137" s="203">
        <f t="shared" si="1071"/>
        <v>6279.5</v>
      </c>
      <c r="G137" s="203">
        <f t="shared" si="1071"/>
        <v>5652.5</v>
      </c>
      <c r="H137" s="203">
        <f t="shared" si="1071"/>
        <v>4461.5</v>
      </c>
      <c r="I137" s="203">
        <f t="shared" si="1071"/>
        <v>3602</v>
      </c>
      <c r="J137" s="203">
        <f t="shared" si="1071"/>
        <v>3434.5</v>
      </c>
      <c r="K137" s="203">
        <f t="shared" si="1071"/>
        <v>3616.5</v>
      </c>
      <c r="L137" s="203">
        <f t="shared" si="1071"/>
        <v>3797</v>
      </c>
      <c r="M137" s="203"/>
      <c r="N137" s="203"/>
      <c r="O137" s="203"/>
      <c r="P137" s="203"/>
      <c r="Q137" s="1448"/>
      <c r="R137" s="203"/>
      <c r="S137" s="203"/>
      <c r="T137" s="1461"/>
      <c r="U137" s="203"/>
      <c r="V137" s="203"/>
      <c r="W137" s="203"/>
      <c r="X137" s="1448"/>
      <c r="Y137" s="203"/>
      <c r="Z137" s="203"/>
      <c r="AA137" s="1461"/>
      <c r="AB137" s="203"/>
      <c r="AC137" s="203"/>
      <c r="AD137" s="203"/>
      <c r="AE137" s="1448"/>
      <c r="AF137" s="203"/>
      <c r="AG137" s="203"/>
      <c r="AH137" s="1461"/>
      <c r="AI137" s="203"/>
      <c r="AJ137" s="203"/>
      <c r="AK137" s="203"/>
      <c r="AL137" s="1448"/>
      <c r="AM137" s="203"/>
      <c r="AN137" s="203"/>
      <c r="AO137" s="1461"/>
      <c r="AP137" s="203"/>
      <c r="AQ137" s="203"/>
      <c r="AR137" s="203"/>
      <c r="AS137" s="1448"/>
      <c r="AT137" s="203"/>
      <c r="AU137" s="203"/>
      <c r="AV137" s="1461"/>
      <c r="AW137" s="203"/>
      <c r="AX137" s="203"/>
      <c r="AY137" s="203"/>
      <c r="AZ137" s="1448"/>
      <c r="BA137" s="203"/>
      <c r="BB137" s="203"/>
      <c r="BC137" s="1461"/>
      <c r="BD137" s="203"/>
      <c r="BE137" s="203"/>
      <c r="BF137" s="203"/>
      <c r="BG137" s="1448"/>
      <c r="BH137" s="203"/>
      <c r="BI137" s="203"/>
      <c r="BJ137" s="1461"/>
      <c r="BK137" s="203"/>
      <c r="BL137" s="203"/>
      <c r="BM137" s="203"/>
      <c r="BN137" s="1448"/>
      <c r="BO137" s="203"/>
      <c r="BP137" s="203"/>
      <c r="BQ137" s="1461"/>
      <c r="BR137" s="203"/>
      <c r="BS137" s="203"/>
      <c r="BT137" s="203"/>
      <c r="BU137" s="1448"/>
      <c r="BV137" s="203"/>
      <c r="BW137" s="203"/>
      <c r="BX137" s="1461"/>
      <c r="BY137" s="203"/>
      <c r="BZ137" s="203"/>
      <c r="CA137" s="203"/>
      <c r="CB137" s="1448"/>
      <c r="CC137" s="203"/>
      <c r="CD137" s="203"/>
      <c r="CE137" s="1461"/>
      <c r="CF137" s="203"/>
      <c r="CG137" s="203"/>
      <c r="CH137" s="203"/>
      <c r="CI137" s="1448"/>
      <c r="CJ137" s="203"/>
      <c r="CK137" s="203"/>
      <c r="CL137" s="1461"/>
      <c r="CM137" s="203"/>
      <c r="CN137" s="203"/>
      <c r="CO137" s="203"/>
      <c r="CP137" s="1448"/>
      <c r="CQ137" s="203"/>
      <c r="CR137" s="203"/>
      <c r="CS137" s="1461"/>
      <c r="CT137" s="203"/>
      <c r="CU137" s="203"/>
      <c r="CV137" s="203"/>
      <c r="CW137" s="1448"/>
      <c r="CX137" s="203"/>
      <c r="CY137" s="203"/>
      <c r="CZ137" s="1483"/>
      <c r="DA137" s="12"/>
      <c r="DB137" s="12"/>
      <c r="DC137" s="12"/>
      <c r="DD137" s="1513"/>
      <c r="DE137" s="12"/>
      <c r="DF137" s="12"/>
      <c r="DG137" s="1483"/>
      <c r="DH137" s="834"/>
      <c r="DI137" s="12"/>
      <c r="DJ137" s="12"/>
      <c r="DK137" s="1513"/>
      <c r="DL137" s="12"/>
      <c r="DM137" s="12"/>
      <c r="DN137" s="1483"/>
      <c r="DO137" s="12"/>
      <c r="DP137" s="12"/>
      <c r="DQ137" s="12"/>
      <c r="DR137" s="1513"/>
      <c r="DS137" s="12"/>
      <c r="DT137" s="12"/>
      <c r="DU137" s="1483"/>
      <c r="DV137" s="12"/>
      <c r="DW137" s="12"/>
      <c r="DX137" s="12"/>
      <c r="DY137" s="1513"/>
      <c r="DZ137" s="12"/>
      <c r="EA137" s="12"/>
      <c r="EB137" s="1483"/>
      <c r="EC137" s="12"/>
      <c r="ED137" s="12"/>
      <c r="EE137" s="12"/>
      <c r="EF137" s="1513"/>
      <c r="EG137" s="12"/>
      <c r="EH137" s="12"/>
      <c r="EI137" s="1483"/>
      <c r="EJ137" s="12"/>
      <c r="EK137" s="12"/>
      <c r="EL137" s="12"/>
      <c r="EM137" s="1513"/>
      <c r="EN137" s="12"/>
      <c r="EO137" s="12"/>
      <c r="EP137" s="1483"/>
      <c r="EQ137" s="303"/>
      <c r="ER137" s="46"/>
    </row>
    <row r="138" spans="1:148" ht="10.199999999999999" hidden="1" customHeight="1" outlineLevel="1">
      <c r="A138" s="43"/>
      <c r="B138" s="108"/>
      <c r="C138" s="108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724"/>
      <c r="R138" s="245"/>
      <c r="S138" s="245"/>
      <c r="T138" s="359"/>
      <c r="U138" s="245"/>
      <c r="V138" s="245"/>
      <c r="W138" s="245"/>
      <c r="X138" s="724"/>
      <c r="Y138" s="245"/>
      <c r="Z138" s="245"/>
      <c r="AA138" s="359"/>
      <c r="AB138" s="245"/>
      <c r="AC138" s="245"/>
      <c r="AD138" s="245"/>
      <c r="AE138" s="724"/>
      <c r="AF138" s="245"/>
      <c r="AG138" s="245"/>
      <c r="AH138" s="359"/>
      <c r="AI138" s="245"/>
      <c r="AJ138" s="245"/>
      <c r="AK138" s="245"/>
      <c r="AL138" s="724"/>
      <c r="AM138" s="245"/>
      <c r="AN138" s="245"/>
      <c r="AO138" s="359"/>
      <c r="AP138" s="245"/>
      <c r="AQ138" s="245"/>
      <c r="AR138" s="245"/>
      <c r="AS138" s="724"/>
      <c r="AT138" s="245"/>
      <c r="AU138" s="245"/>
      <c r="AV138" s="359"/>
      <c r="AW138" s="245"/>
      <c r="AX138" s="245"/>
      <c r="AY138" s="245"/>
      <c r="AZ138" s="724"/>
      <c r="BA138" s="245"/>
      <c r="BB138" s="245"/>
      <c r="BC138" s="359"/>
      <c r="BD138" s="245"/>
      <c r="BE138" s="245"/>
      <c r="BF138" s="245"/>
      <c r="BG138" s="724"/>
      <c r="BH138" s="245"/>
      <c r="BI138" s="245"/>
      <c r="BJ138" s="359"/>
      <c r="BK138" s="245"/>
      <c r="BL138" s="245"/>
      <c r="BM138" s="245"/>
      <c r="BN138" s="724"/>
      <c r="BO138" s="245"/>
      <c r="BP138" s="245"/>
      <c r="BQ138" s="359"/>
      <c r="BR138" s="245"/>
      <c r="BS138" s="245"/>
      <c r="BT138" s="245"/>
      <c r="BU138" s="724"/>
      <c r="BV138" s="245"/>
      <c r="BW138" s="245"/>
      <c r="BX138" s="359"/>
      <c r="BY138" s="245"/>
      <c r="BZ138" s="245"/>
      <c r="CA138" s="245"/>
      <c r="CB138" s="724"/>
      <c r="CC138" s="245"/>
      <c r="CD138" s="245"/>
      <c r="CE138" s="359"/>
      <c r="CF138" s="245"/>
      <c r="CG138" s="245"/>
      <c r="CH138" s="245"/>
      <c r="CI138" s="724"/>
      <c r="CJ138" s="245"/>
      <c r="CK138" s="245"/>
      <c r="CL138" s="359"/>
      <c r="CM138" s="245"/>
      <c r="CN138" s="245"/>
      <c r="CO138" s="245"/>
      <c r="CP138" s="724"/>
      <c r="CQ138" s="245"/>
      <c r="CR138" s="245"/>
      <c r="CS138" s="359"/>
      <c r="CT138" s="245"/>
      <c r="CU138" s="245"/>
      <c r="CV138" s="245"/>
      <c r="CW138" s="724"/>
      <c r="CX138" s="245"/>
      <c r="CY138" s="245"/>
      <c r="CZ138" s="1623"/>
      <c r="DA138" s="867"/>
      <c r="DB138" s="867"/>
      <c r="DC138" s="867"/>
      <c r="DD138" s="1653"/>
      <c r="DE138" s="867"/>
      <c r="DF138" s="867"/>
      <c r="DG138" s="1623"/>
      <c r="DH138" s="1796"/>
      <c r="DI138" s="867"/>
      <c r="DJ138" s="867"/>
      <c r="DK138" s="1653"/>
      <c r="DL138" s="867"/>
      <c r="DM138" s="867"/>
      <c r="DN138" s="1623"/>
      <c r="DO138" s="867"/>
      <c r="DP138" s="867"/>
      <c r="DQ138" s="867"/>
      <c r="DR138" s="1653"/>
      <c r="DS138" s="867"/>
      <c r="DT138" s="867"/>
      <c r="DU138" s="1623"/>
      <c r="DV138" s="867"/>
      <c r="DW138" s="867"/>
      <c r="DX138" s="867"/>
      <c r="DY138" s="1653"/>
      <c r="DZ138" s="867"/>
      <c r="EA138" s="867"/>
      <c r="EB138" s="1623"/>
      <c r="EC138" s="867"/>
      <c r="ED138" s="867"/>
      <c r="EE138" s="867"/>
      <c r="EF138" s="1653"/>
      <c r="EG138" s="867"/>
      <c r="EH138" s="867"/>
      <c r="EI138" s="1623"/>
      <c r="EJ138" s="867"/>
      <c r="EK138" s="867"/>
      <c r="EL138" s="867"/>
      <c r="EM138" s="1653"/>
      <c r="EN138" s="867"/>
      <c r="EO138" s="867"/>
      <c r="EP138" s="1623"/>
      <c r="EQ138" s="303"/>
      <c r="ER138" s="46"/>
    </row>
    <row r="139" spans="1:148" ht="10.199999999999999" hidden="1" customHeight="1" outlineLevel="1">
      <c r="A139" s="43" t="s">
        <v>85</v>
      </c>
      <c r="B139" s="108"/>
      <c r="C139" s="108"/>
      <c r="D139" s="203">
        <v>2179</v>
      </c>
      <c r="E139" s="203">
        <f t="shared" ref="E139:L139" si="1072">D143</f>
        <v>2783</v>
      </c>
      <c r="F139" s="203">
        <f t="shared" si="1072"/>
        <v>2879</v>
      </c>
      <c r="G139" s="203">
        <f t="shared" si="1072"/>
        <v>3104</v>
      </c>
      <c r="H139" s="203">
        <f t="shared" si="1072"/>
        <v>2462</v>
      </c>
      <c r="I139" s="203">
        <f t="shared" si="1072"/>
        <v>1882</v>
      </c>
      <c r="J139" s="203">
        <f t="shared" si="1072"/>
        <v>1805</v>
      </c>
      <c r="K139" s="203">
        <f t="shared" si="1072"/>
        <v>2049</v>
      </c>
      <c r="L139" s="203">
        <f t="shared" si="1072"/>
        <v>2192</v>
      </c>
      <c r="M139" s="203"/>
      <c r="N139" s="203"/>
      <c r="O139" s="203"/>
      <c r="P139" s="203"/>
      <c r="Q139" s="1448"/>
      <c r="R139" s="203"/>
      <c r="S139" s="203"/>
      <c r="T139" s="1461"/>
      <c r="U139" s="203"/>
      <c r="V139" s="203"/>
      <c r="W139" s="203"/>
      <c r="X139" s="1448"/>
      <c r="Y139" s="203"/>
      <c r="Z139" s="203"/>
      <c r="AA139" s="1461"/>
      <c r="AB139" s="203"/>
      <c r="AC139" s="203"/>
      <c r="AD139" s="203"/>
      <c r="AE139" s="1448"/>
      <c r="AF139" s="203"/>
      <c r="AG139" s="203"/>
      <c r="AH139" s="1461"/>
      <c r="AI139" s="203"/>
      <c r="AJ139" s="203"/>
      <c r="AK139" s="203"/>
      <c r="AL139" s="1448"/>
      <c r="AM139" s="203"/>
      <c r="AN139" s="203"/>
      <c r="AO139" s="1461"/>
      <c r="AP139" s="203"/>
      <c r="AQ139" s="203"/>
      <c r="AR139" s="203"/>
      <c r="AS139" s="1448"/>
      <c r="AT139" s="203"/>
      <c r="AU139" s="203"/>
      <c r="AV139" s="1461"/>
      <c r="AW139" s="203"/>
      <c r="AX139" s="203"/>
      <c r="AY139" s="203"/>
      <c r="AZ139" s="1448"/>
      <c r="BA139" s="203"/>
      <c r="BB139" s="203"/>
      <c r="BC139" s="1461"/>
      <c r="BD139" s="203"/>
      <c r="BE139" s="203"/>
      <c r="BF139" s="203"/>
      <c r="BG139" s="1448"/>
      <c r="BH139" s="203"/>
      <c r="BI139" s="203"/>
      <c r="BJ139" s="1461"/>
      <c r="BK139" s="203"/>
      <c r="BL139" s="203"/>
      <c r="BM139" s="203"/>
      <c r="BN139" s="1448"/>
      <c r="BO139" s="203"/>
      <c r="BP139" s="203"/>
      <c r="BQ139" s="1461"/>
      <c r="BR139" s="203"/>
      <c r="BS139" s="203"/>
      <c r="BT139" s="203"/>
      <c r="BU139" s="1448"/>
      <c r="BV139" s="203"/>
      <c r="BW139" s="203"/>
      <c r="BX139" s="1461"/>
      <c r="BY139" s="203"/>
      <c r="BZ139" s="203"/>
      <c r="CA139" s="203"/>
      <c r="CB139" s="1448"/>
      <c r="CC139" s="203"/>
      <c r="CD139" s="203"/>
      <c r="CE139" s="1461"/>
      <c r="CF139" s="203"/>
      <c r="CG139" s="203"/>
      <c r="CH139" s="203"/>
      <c r="CI139" s="1448"/>
      <c r="CJ139" s="203"/>
      <c r="CK139" s="203"/>
      <c r="CL139" s="1461"/>
      <c r="CM139" s="203"/>
      <c r="CN139" s="203"/>
      <c r="CO139" s="203"/>
      <c r="CP139" s="1448"/>
      <c r="CQ139" s="203"/>
      <c r="CR139" s="203"/>
      <c r="CS139" s="1461"/>
      <c r="CT139" s="203"/>
      <c r="CU139" s="203"/>
      <c r="CV139" s="203"/>
      <c r="CW139" s="1448"/>
      <c r="CX139" s="203"/>
      <c r="CY139" s="203"/>
      <c r="CZ139" s="1483"/>
      <c r="DA139" s="12"/>
      <c r="DB139" s="12"/>
      <c r="DC139" s="12"/>
      <c r="DD139" s="1513"/>
      <c r="DE139" s="12"/>
      <c r="DF139" s="12"/>
      <c r="DG139" s="1483"/>
      <c r="DH139" s="834"/>
      <c r="DI139" s="12"/>
      <c r="DJ139" s="12"/>
      <c r="DK139" s="1513"/>
      <c r="DL139" s="12"/>
      <c r="DM139" s="12"/>
      <c r="DN139" s="1483"/>
      <c r="DO139" s="12"/>
      <c r="DP139" s="12"/>
      <c r="DQ139" s="12"/>
      <c r="DR139" s="1513"/>
      <c r="DS139" s="12"/>
      <c r="DT139" s="12"/>
      <c r="DU139" s="1483"/>
      <c r="DV139" s="12"/>
      <c r="DW139" s="12"/>
      <c r="DX139" s="12"/>
      <c r="DY139" s="1513"/>
      <c r="DZ139" s="12"/>
      <c r="EA139" s="12"/>
      <c r="EB139" s="1483"/>
      <c r="EC139" s="12"/>
      <c r="ED139" s="12"/>
      <c r="EE139" s="12"/>
      <c r="EF139" s="1513"/>
      <c r="EG139" s="12"/>
      <c r="EH139" s="12"/>
      <c r="EI139" s="1483"/>
      <c r="EJ139" s="12"/>
      <c r="EK139" s="12"/>
      <c r="EL139" s="12"/>
      <c r="EM139" s="1513"/>
      <c r="EN139" s="12"/>
      <c r="EO139" s="12"/>
      <c r="EP139" s="1483"/>
      <c r="EQ139" s="303"/>
      <c r="ER139" s="46"/>
    </row>
    <row r="140" spans="1:148" ht="10.199999999999999" hidden="1" customHeight="1" outlineLevel="1">
      <c r="A140" s="43" t="s">
        <v>173</v>
      </c>
      <c r="B140" s="108"/>
      <c r="C140" s="108"/>
      <c r="D140" s="203">
        <v>749</v>
      </c>
      <c r="E140" s="203">
        <v>567</v>
      </c>
      <c r="F140" s="203">
        <v>411</v>
      </c>
      <c r="G140" s="203">
        <v>289</v>
      </c>
      <c r="H140" s="203">
        <v>263</v>
      </c>
      <c r="I140" s="203">
        <v>242</v>
      </c>
      <c r="J140" s="203">
        <v>244</v>
      </c>
      <c r="K140" s="203">
        <v>215</v>
      </c>
      <c r="L140" s="203">
        <v>297</v>
      </c>
      <c r="M140" s="203"/>
      <c r="N140" s="203"/>
      <c r="O140" s="203"/>
      <c r="P140" s="203"/>
      <c r="Q140" s="1448"/>
      <c r="R140" s="203"/>
      <c r="S140" s="203"/>
      <c r="T140" s="1461"/>
      <c r="U140" s="203"/>
      <c r="V140" s="203"/>
      <c r="W140" s="203"/>
      <c r="X140" s="1448"/>
      <c r="Y140" s="203"/>
      <c r="Z140" s="203"/>
      <c r="AA140" s="1461"/>
      <c r="AB140" s="203"/>
      <c r="AC140" s="203"/>
      <c r="AD140" s="203"/>
      <c r="AE140" s="1448"/>
      <c r="AF140" s="203"/>
      <c r="AG140" s="203"/>
      <c r="AH140" s="1461"/>
      <c r="AI140" s="203"/>
      <c r="AJ140" s="203"/>
      <c r="AK140" s="203"/>
      <c r="AL140" s="1448"/>
      <c r="AM140" s="203"/>
      <c r="AN140" s="203"/>
      <c r="AO140" s="1461"/>
      <c r="AP140" s="203"/>
      <c r="AQ140" s="203"/>
      <c r="AR140" s="203"/>
      <c r="AS140" s="1448"/>
      <c r="AT140" s="203"/>
      <c r="AU140" s="203"/>
      <c r="AV140" s="1461"/>
      <c r="AW140" s="203"/>
      <c r="AX140" s="203"/>
      <c r="AY140" s="203"/>
      <c r="AZ140" s="1448"/>
      <c r="BA140" s="203"/>
      <c r="BB140" s="203"/>
      <c r="BC140" s="1461"/>
      <c r="BD140" s="203"/>
      <c r="BE140" s="203"/>
      <c r="BF140" s="203"/>
      <c r="BG140" s="1448"/>
      <c r="BH140" s="203"/>
      <c r="BI140" s="203"/>
      <c r="BJ140" s="1461"/>
      <c r="BK140" s="203"/>
      <c r="BL140" s="203"/>
      <c r="BM140" s="203"/>
      <c r="BN140" s="1448"/>
      <c r="BO140" s="203"/>
      <c r="BP140" s="203"/>
      <c r="BQ140" s="1461"/>
      <c r="BR140" s="203"/>
      <c r="BS140" s="203"/>
      <c r="BT140" s="203"/>
      <c r="BU140" s="1448"/>
      <c r="BV140" s="203"/>
      <c r="BW140" s="203"/>
      <c r="BX140" s="1461"/>
      <c r="BY140" s="203"/>
      <c r="BZ140" s="203"/>
      <c r="CA140" s="203"/>
      <c r="CB140" s="1448"/>
      <c r="CC140" s="203"/>
      <c r="CD140" s="203"/>
      <c r="CE140" s="1461"/>
      <c r="CF140" s="203"/>
      <c r="CG140" s="203"/>
      <c r="CH140" s="203"/>
      <c r="CI140" s="1448"/>
      <c r="CJ140" s="203"/>
      <c r="CK140" s="203"/>
      <c r="CL140" s="1461"/>
      <c r="CM140" s="203"/>
      <c r="CN140" s="203"/>
      <c r="CO140" s="203"/>
      <c r="CP140" s="1448"/>
      <c r="CQ140" s="203"/>
      <c r="CR140" s="203"/>
      <c r="CS140" s="1461"/>
      <c r="CT140" s="203"/>
      <c r="CU140" s="203"/>
      <c r="CV140" s="203"/>
      <c r="CW140" s="1448"/>
      <c r="CX140" s="203"/>
      <c r="CY140" s="203"/>
      <c r="CZ140" s="1483"/>
      <c r="DA140" s="12"/>
      <c r="DB140" s="12"/>
      <c r="DC140" s="12"/>
      <c r="DD140" s="1513"/>
      <c r="DE140" s="12"/>
      <c r="DF140" s="12"/>
      <c r="DG140" s="1483"/>
      <c r="DH140" s="834"/>
      <c r="DI140" s="12"/>
      <c r="DJ140" s="12"/>
      <c r="DK140" s="1513"/>
      <c r="DL140" s="12"/>
      <c r="DM140" s="12"/>
      <c r="DN140" s="1483"/>
      <c r="DO140" s="12"/>
      <c r="DP140" s="12"/>
      <c r="DQ140" s="12"/>
      <c r="DR140" s="1513"/>
      <c r="DS140" s="12"/>
      <c r="DT140" s="12"/>
      <c r="DU140" s="1483"/>
      <c r="DV140" s="12"/>
      <c r="DW140" s="12"/>
      <c r="DX140" s="12"/>
      <c r="DY140" s="1513"/>
      <c r="DZ140" s="12"/>
      <c r="EA140" s="12"/>
      <c r="EB140" s="1483"/>
      <c r="EC140" s="12"/>
      <c r="ED140" s="12"/>
      <c r="EE140" s="12"/>
      <c r="EF140" s="1513"/>
      <c r="EG140" s="12"/>
      <c r="EH140" s="12"/>
      <c r="EI140" s="1483"/>
      <c r="EJ140" s="12"/>
      <c r="EK140" s="12"/>
      <c r="EL140" s="12"/>
      <c r="EM140" s="1513"/>
      <c r="EN140" s="12"/>
      <c r="EO140" s="12"/>
      <c r="EP140" s="1483"/>
      <c r="EQ140" s="303"/>
      <c r="ER140" s="46"/>
    </row>
    <row r="141" spans="1:148" ht="10.199999999999999" hidden="1" customHeight="1" outlineLevel="1">
      <c r="A141" s="43" t="str">
        <f>A134</f>
        <v>Retirements &amp; disposals</v>
      </c>
      <c r="B141" s="108"/>
      <c r="C141" s="108"/>
      <c r="D141" s="203">
        <v>-87</v>
      </c>
      <c r="E141" s="203">
        <v>-376</v>
      </c>
      <c r="F141" s="203">
        <v>-271</v>
      </c>
      <c r="G141" s="203">
        <v>-179</v>
      </c>
      <c r="H141" s="203">
        <v>-665</v>
      </c>
      <c r="I141" s="203">
        <v>-299</v>
      </c>
      <c r="J141" s="203">
        <v>-46</v>
      </c>
      <c r="K141" s="203">
        <v>-75</v>
      </c>
      <c r="L141" s="203">
        <v>-55</v>
      </c>
      <c r="M141" s="203"/>
      <c r="N141" s="203"/>
      <c r="O141" s="203"/>
      <c r="P141" s="203"/>
      <c r="Q141" s="1448"/>
      <c r="R141" s="203"/>
      <c r="S141" s="203"/>
      <c r="T141" s="1461"/>
      <c r="U141" s="203"/>
      <c r="V141" s="203"/>
      <c r="W141" s="203"/>
      <c r="X141" s="1448"/>
      <c r="Y141" s="203"/>
      <c r="Z141" s="203"/>
      <c r="AA141" s="1461"/>
      <c r="AB141" s="203"/>
      <c r="AC141" s="203"/>
      <c r="AD141" s="203"/>
      <c r="AE141" s="1448"/>
      <c r="AF141" s="203"/>
      <c r="AG141" s="203"/>
      <c r="AH141" s="1461"/>
      <c r="AI141" s="203"/>
      <c r="AJ141" s="203"/>
      <c r="AK141" s="203"/>
      <c r="AL141" s="1448"/>
      <c r="AM141" s="203"/>
      <c r="AN141" s="203"/>
      <c r="AO141" s="1461"/>
      <c r="AP141" s="203"/>
      <c r="AQ141" s="203"/>
      <c r="AR141" s="203"/>
      <c r="AS141" s="1448"/>
      <c r="AT141" s="203"/>
      <c r="AU141" s="203"/>
      <c r="AV141" s="1461"/>
      <c r="AW141" s="203"/>
      <c r="AX141" s="203"/>
      <c r="AY141" s="203"/>
      <c r="AZ141" s="1448"/>
      <c r="BA141" s="203"/>
      <c r="BB141" s="203"/>
      <c r="BC141" s="1461"/>
      <c r="BD141" s="203"/>
      <c r="BE141" s="203"/>
      <c r="BF141" s="203"/>
      <c r="BG141" s="1448"/>
      <c r="BH141" s="203"/>
      <c r="BI141" s="203"/>
      <c r="BJ141" s="1461"/>
      <c r="BK141" s="203"/>
      <c r="BL141" s="203"/>
      <c r="BM141" s="203"/>
      <c r="BN141" s="1448"/>
      <c r="BO141" s="203"/>
      <c r="BP141" s="203"/>
      <c r="BQ141" s="1461"/>
      <c r="BR141" s="203"/>
      <c r="BS141" s="203"/>
      <c r="BT141" s="203"/>
      <c r="BU141" s="1448"/>
      <c r="BV141" s="203"/>
      <c r="BW141" s="203"/>
      <c r="BX141" s="1461"/>
      <c r="BY141" s="203"/>
      <c r="BZ141" s="203"/>
      <c r="CA141" s="203"/>
      <c r="CB141" s="1448"/>
      <c r="CC141" s="203"/>
      <c r="CD141" s="203"/>
      <c r="CE141" s="1461"/>
      <c r="CF141" s="203"/>
      <c r="CG141" s="203"/>
      <c r="CH141" s="203"/>
      <c r="CI141" s="1448"/>
      <c r="CJ141" s="203"/>
      <c r="CK141" s="203"/>
      <c r="CL141" s="1461"/>
      <c r="CM141" s="203"/>
      <c r="CN141" s="203"/>
      <c r="CO141" s="203"/>
      <c r="CP141" s="1448"/>
      <c r="CQ141" s="203"/>
      <c r="CR141" s="203"/>
      <c r="CS141" s="1461"/>
      <c r="CT141" s="203"/>
      <c r="CU141" s="203"/>
      <c r="CV141" s="203"/>
      <c r="CW141" s="1448"/>
      <c r="CX141" s="203"/>
      <c r="CY141" s="203"/>
      <c r="CZ141" s="1483"/>
      <c r="DA141" s="12"/>
      <c r="DB141" s="12"/>
      <c r="DC141" s="12"/>
      <c r="DD141" s="1513"/>
      <c r="DE141" s="12"/>
      <c r="DF141" s="12"/>
      <c r="DG141" s="1483"/>
      <c r="DH141" s="834"/>
      <c r="DI141" s="12"/>
      <c r="DJ141" s="12"/>
      <c r="DK141" s="1513"/>
      <c r="DL141" s="12"/>
      <c r="DM141" s="12"/>
      <c r="DN141" s="1483"/>
      <c r="DO141" s="12"/>
      <c r="DP141" s="12"/>
      <c r="DQ141" s="12"/>
      <c r="DR141" s="1513"/>
      <c r="DS141" s="12"/>
      <c r="DT141" s="12"/>
      <c r="DU141" s="1483"/>
      <c r="DV141" s="12"/>
      <c r="DW141" s="12"/>
      <c r="DX141" s="12"/>
      <c r="DY141" s="1513"/>
      <c r="DZ141" s="12"/>
      <c r="EA141" s="12"/>
      <c r="EB141" s="1483"/>
      <c r="EC141" s="12"/>
      <c r="ED141" s="12"/>
      <c r="EE141" s="12"/>
      <c r="EF141" s="1513"/>
      <c r="EG141" s="12"/>
      <c r="EH141" s="12"/>
      <c r="EI141" s="1483"/>
      <c r="EJ141" s="12"/>
      <c r="EK141" s="12"/>
      <c r="EL141" s="12"/>
      <c r="EM141" s="1513"/>
      <c r="EN141" s="12"/>
      <c r="EO141" s="12"/>
      <c r="EP141" s="1483"/>
      <c r="EQ141" s="303"/>
      <c r="ER141" s="46"/>
    </row>
    <row r="142" spans="1:148" ht="10.199999999999999" hidden="1" customHeight="1" outlineLevel="1">
      <c r="A142" s="43" t="s">
        <v>89</v>
      </c>
      <c r="B142" s="108"/>
      <c r="C142" s="108"/>
      <c r="D142" s="203">
        <f t="shared" ref="D142:L142" si="1073">D143-D141-D140-D139</f>
        <v>-58</v>
      </c>
      <c r="E142" s="203">
        <f t="shared" si="1073"/>
        <v>-95</v>
      </c>
      <c r="F142" s="203">
        <f t="shared" si="1073"/>
        <v>85</v>
      </c>
      <c r="G142" s="203">
        <f t="shared" si="1073"/>
        <v>-752</v>
      </c>
      <c r="H142" s="203">
        <f t="shared" si="1073"/>
        <v>-178</v>
      </c>
      <c r="I142" s="203">
        <f t="shared" si="1073"/>
        <v>-20</v>
      </c>
      <c r="J142" s="203">
        <f t="shared" si="1073"/>
        <v>46</v>
      </c>
      <c r="K142" s="203">
        <f t="shared" si="1073"/>
        <v>3</v>
      </c>
      <c r="L142" s="203">
        <f t="shared" si="1073"/>
        <v>41</v>
      </c>
      <c r="M142" s="203"/>
      <c r="N142" s="203"/>
      <c r="O142" s="203"/>
      <c r="P142" s="203"/>
      <c r="Q142" s="1448"/>
      <c r="R142" s="203"/>
      <c r="S142" s="203"/>
      <c r="T142" s="1461"/>
      <c r="U142" s="203"/>
      <c r="V142" s="203"/>
      <c r="W142" s="203"/>
      <c r="X142" s="1448"/>
      <c r="Y142" s="203"/>
      <c r="Z142" s="203"/>
      <c r="AA142" s="1461"/>
      <c r="AB142" s="203"/>
      <c r="AC142" s="203"/>
      <c r="AD142" s="203"/>
      <c r="AE142" s="1448"/>
      <c r="AF142" s="203"/>
      <c r="AG142" s="203"/>
      <c r="AH142" s="1461"/>
      <c r="AI142" s="203"/>
      <c r="AJ142" s="203"/>
      <c r="AK142" s="203"/>
      <c r="AL142" s="1448"/>
      <c r="AM142" s="203"/>
      <c r="AN142" s="203"/>
      <c r="AO142" s="1461"/>
      <c r="AP142" s="203"/>
      <c r="AQ142" s="203"/>
      <c r="AR142" s="203"/>
      <c r="AS142" s="1448"/>
      <c r="AT142" s="203"/>
      <c r="AU142" s="203"/>
      <c r="AV142" s="1461"/>
      <c r="AW142" s="203"/>
      <c r="AX142" s="203"/>
      <c r="AY142" s="203"/>
      <c r="AZ142" s="1448"/>
      <c r="BA142" s="203"/>
      <c r="BB142" s="203"/>
      <c r="BC142" s="1461"/>
      <c r="BD142" s="203"/>
      <c r="BE142" s="203"/>
      <c r="BF142" s="203"/>
      <c r="BG142" s="1448"/>
      <c r="BH142" s="203"/>
      <c r="BI142" s="203"/>
      <c r="BJ142" s="1461"/>
      <c r="BK142" s="203"/>
      <c r="BL142" s="203"/>
      <c r="BM142" s="203"/>
      <c r="BN142" s="1448"/>
      <c r="BO142" s="203"/>
      <c r="BP142" s="203"/>
      <c r="BQ142" s="1461"/>
      <c r="BR142" s="203"/>
      <c r="BS142" s="203"/>
      <c r="BT142" s="203"/>
      <c r="BU142" s="1448"/>
      <c r="BV142" s="203"/>
      <c r="BW142" s="203"/>
      <c r="BX142" s="1461"/>
      <c r="BY142" s="203"/>
      <c r="BZ142" s="203"/>
      <c r="CA142" s="203"/>
      <c r="CB142" s="1448"/>
      <c r="CC142" s="203"/>
      <c r="CD142" s="203"/>
      <c r="CE142" s="1461"/>
      <c r="CF142" s="203"/>
      <c r="CG142" s="203"/>
      <c r="CH142" s="203"/>
      <c r="CI142" s="1448"/>
      <c r="CJ142" s="203"/>
      <c r="CK142" s="203"/>
      <c r="CL142" s="1461"/>
      <c r="CM142" s="203"/>
      <c r="CN142" s="203"/>
      <c r="CO142" s="203"/>
      <c r="CP142" s="1448"/>
      <c r="CQ142" s="203"/>
      <c r="CR142" s="203"/>
      <c r="CS142" s="1461"/>
      <c r="CT142" s="203"/>
      <c r="CU142" s="203"/>
      <c r="CV142" s="203"/>
      <c r="CW142" s="1448"/>
      <c r="CX142" s="203"/>
      <c r="CY142" s="203"/>
      <c r="CZ142" s="1483"/>
      <c r="DA142" s="12"/>
      <c r="DB142" s="12"/>
      <c r="DC142" s="12"/>
      <c r="DD142" s="1513"/>
      <c r="DE142" s="12"/>
      <c r="DF142" s="12"/>
      <c r="DG142" s="1483"/>
      <c r="DH142" s="834"/>
      <c r="DI142" s="12"/>
      <c r="DJ142" s="12"/>
      <c r="DK142" s="1513"/>
      <c r="DL142" s="12"/>
      <c r="DM142" s="12"/>
      <c r="DN142" s="1483"/>
      <c r="DO142" s="12"/>
      <c r="DP142" s="12"/>
      <c r="DQ142" s="12"/>
      <c r="DR142" s="1513"/>
      <c r="DS142" s="12"/>
      <c r="DT142" s="12"/>
      <c r="DU142" s="1483"/>
      <c r="DV142" s="12"/>
      <c r="DW142" s="12"/>
      <c r="DX142" s="12"/>
      <c r="DY142" s="1513"/>
      <c r="DZ142" s="12"/>
      <c r="EA142" s="12"/>
      <c r="EB142" s="1483"/>
      <c r="EC142" s="12"/>
      <c r="ED142" s="12"/>
      <c r="EE142" s="12"/>
      <c r="EF142" s="1513"/>
      <c r="EG142" s="12"/>
      <c r="EH142" s="12"/>
      <c r="EI142" s="1483"/>
      <c r="EJ142" s="12"/>
      <c r="EK142" s="12"/>
      <c r="EL142" s="12"/>
      <c r="EM142" s="1513"/>
      <c r="EN142" s="12"/>
      <c r="EO142" s="12"/>
      <c r="EP142" s="1483"/>
      <c r="EQ142" s="303"/>
      <c r="ER142" s="46"/>
    </row>
    <row r="143" spans="1:148" ht="10.199999999999999" hidden="1" customHeight="1" outlineLevel="1">
      <c r="A143" s="43" t="s">
        <v>220</v>
      </c>
      <c r="B143" s="108"/>
      <c r="C143" s="108"/>
      <c r="D143" s="244">
        <v>2783</v>
      </c>
      <c r="E143" s="203">
        <v>2879</v>
      </c>
      <c r="F143" s="203">
        <v>3104</v>
      </c>
      <c r="G143" s="203">
        <v>2462</v>
      </c>
      <c r="H143" s="203">
        <v>1882</v>
      </c>
      <c r="I143" s="203">
        <v>1805</v>
      </c>
      <c r="J143" s="203">
        <v>2049</v>
      </c>
      <c r="K143" s="203">
        <v>2192</v>
      </c>
      <c r="L143" s="203">
        <v>2475</v>
      </c>
      <c r="M143" s="203"/>
      <c r="N143" s="203"/>
      <c r="O143" s="203"/>
      <c r="P143" s="203"/>
      <c r="Q143" s="1448"/>
      <c r="R143" s="203"/>
      <c r="S143" s="203"/>
      <c r="T143" s="1461"/>
      <c r="U143" s="203"/>
      <c r="V143" s="203"/>
      <c r="W143" s="203"/>
      <c r="X143" s="1448"/>
      <c r="Y143" s="203"/>
      <c r="Z143" s="203"/>
      <c r="AA143" s="1461"/>
      <c r="AB143" s="203"/>
      <c r="AC143" s="203"/>
      <c r="AD143" s="203"/>
      <c r="AE143" s="1448"/>
      <c r="AF143" s="203"/>
      <c r="AG143" s="203"/>
      <c r="AH143" s="1461"/>
      <c r="AI143" s="203"/>
      <c r="AJ143" s="203"/>
      <c r="AK143" s="203"/>
      <c r="AL143" s="1448"/>
      <c r="AM143" s="203"/>
      <c r="AN143" s="203"/>
      <c r="AO143" s="1461"/>
      <c r="AP143" s="203"/>
      <c r="AQ143" s="203"/>
      <c r="AR143" s="203"/>
      <c r="AS143" s="1448"/>
      <c r="AT143" s="203"/>
      <c r="AU143" s="203"/>
      <c r="AV143" s="1461"/>
      <c r="AW143" s="203"/>
      <c r="AX143" s="203"/>
      <c r="AY143" s="203"/>
      <c r="AZ143" s="1448"/>
      <c r="BA143" s="203"/>
      <c r="BB143" s="203"/>
      <c r="BC143" s="1461"/>
      <c r="BD143" s="203"/>
      <c r="BE143" s="203"/>
      <c r="BF143" s="203"/>
      <c r="BG143" s="1448"/>
      <c r="BH143" s="203"/>
      <c r="BI143" s="203"/>
      <c r="BJ143" s="1461"/>
      <c r="BK143" s="203"/>
      <c r="BL143" s="203"/>
      <c r="BM143" s="203"/>
      <c r="BN143" s="1448"/>
      <c r="BO143" s="203"/>
      <c r="BP143" s="203"/>
      <c r="BQ143" s="1461"/>
      <c r="BR143" s="203"/>
      <c r="BS143" s="203"/>
      <c r="BT143" s="203"/>
      <c r="BU143" s="1448"/>
      <c r="BV143" s="203"/>
      <c r="BW143" s="203"/>
      <c r="BX143" s="1461"/>
      <c r="BY143" s="203"/>
      <c r="BZ143" s="203"/>
      <c r="CA143" s="203"/>
      <c r="CB143" s="1448"/>
      <c r="CC143" s="203"/>
      <c r="CD143" s="203"/>
      <c r="CE143" s="1461"/>
      <c r="CF143" s="203"/>
      <c r="CG143" s="203"/>
      <c r="CH143" s="203"/>
      <c r="CI143" s="1448"/>
      <c r="CJ143" s="203"/>
      <c r="CK143" s="203"/>
      <c r="CL143" s="1461"/>
      <c r="CM143" s="203"/>
      <c r="CN143" s="203"/>
      <c r="CO143" s="203"/>
      <c r="CP143" s="1448"/>
      <c r="CQ143" s="203"/>
      <c r="CR143" s="203"/>
      <c r="CS143" s="1461"/>
      <c r="CT143" s="203"/>
      <c r="CU143" s="203"/>
      <c r="CV143" s="203"/>
      <c r="CW143" s="1448"/>
      <c r="CX143" s="203"/>
      <c r="CY143" s="203"/>
      <c r="CZ143" s="1483"/>
      <c r="DA143" s="12"/>
      <c r="DB143" s="12"/>
      <c r="DC143" s="12"/>
      <c r="DD143" s="1513"/>
      <c r="DE143" s="12"/>
      <c r="DF143" s="12"/>
      <c r="DG143" s="1483"/>
      <c r="DH143" s="834"/>
      <c r="DI143" s="12"/>
      <c r="DJ143" s="12"/>
      <c r="DK143" s="1513"/>
      <c r="DL143" s="12"/>
      <c r="DM143" s="12"/>
      <c r="DN143" s="1483"/>
      <c r="DO143" s="12"/>
      <c r="DP143" s="12"/>
      <c r="DQ143" s="12"/>
      <c r="DR143" s="1513"/>
      <c r="DS143" s="12"/>
      <c r="DT143" s="12"/>
      <c r="DU143" s="1483"/>
      <c r="DV143" s="12"/>
      <c r="DW143" s="12"/>
      <c r="DX143" s="12"/>
      <c r="DY143" s="1513"/>
      <c r="DZ143" s="12"/>
      <c r="EA143" s="12"/>
      <c r="EB143" s="1483"/>
      <c r="EC143" s="12"/>
      <c r="ED143" s="12"/>
      <c r="EE143" s="12"/>
      <c r="EF143" s="1513"/>
      <c r="EG143" s="12"/>
      <c r="EH143" s="12"/>
      <c r="EI143" s="1483"/>
      <c r="EJ143" s="12"/>
      <c r="EK143" s="12"/>
      <c r="EL143" s="12"/>
      <c r="EM143" s="1513"/>
      <c r="EN143" s="12"/>
      <c r="EO143" s="12"/>
      <c r="EP143" s="1483"/>
      <c r="EQ143" s="303"/>
      <c r="ER143" s="46"/>
    </row>
    <row r="144" spans="1:148" ht="10.199999999999999" hidden="1" customHeight="1" outlineLevel="1">
      <c r="A144" s="43"/>
      <c r="B144" s="108"/>
      <c r="C144" s="108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724"/>
      <c r="R144" s="245"/>
      <c r="S144" s="245"/>
      <c r="T144" s="359"/>
      <c r="U144" s="245"/>
      <c r="V144" s="245"/>
      <c r="W144" s="245"/>
      <c r="X144" s="724"/>
      <c r="Y144" s="245"/>
      <c r="Z144" s="245"/>
      <c r="AA144" s="359"/>
      <c r="AB144" s="245"/>
      <c r="AC144" s="245"/>
      <c r="AD144" s="245"/>
      <c r="AE144" s="724"/>
      <c r="AF144" s="245"/>
      <c r="AG144" s="245"/>
      <c r="AH144" s="359"/>
      <c r="AI144" s="245"/>
      <c r="AJ144" s="245"/>
      <c r="AK144" s="245"/>
      <c r="AL144" s="724"/>
      <c r="AM144" s="245"/>
      <c r="AN144" s="245"/>
      <c r="AO144" s="359"/>
      <c r="AP144" s="245"/>
      <c r="AQ144" s="245"/>
      <c r="AR144" s="245"/>
      <c r="AS144" s="724"/>
      <c r="AT144" s="245"/>
      <c r="AU144" s="245"/>
      <c r="AV144" s="359"/>
      <c r="AW144" s="245"/>
      <c r="AX144" s="245"/>
      <c r="AY144" s="245"/>
      <c r="AZ144" s="724"/>
      <c r="BA144" s="245"/>
      <c r="BB144" s="245"/>
      <c r="BC144" s="359"/>
      <c r="BD144" s="245"/>
      <c r="BE144" s="245"/>
      <c r="BF144" s="245"/>
      <c r="BG144" s="724"/>
      <c r="BH144" s="245"/>
      <c r="BI144" s="245"/>
      <c r="BJ144" s="359"/>
      <c r="BK144" s="245"/>
      <c r="BL144" s="245"/>
      <c r="BM144" s="245"/>
      <c r="BN144" s="724"/>
      <c r="BO144" s="245"/>
      <c r="BP144" s="245"/>
      <c r="BQ144" s="359"/>
      <c r="BR144" s="245"/>
      <c r="BS144" s="245"/>
      <c r="BT144" s="245"/>
      <c r="BU144" s="724"/>
      <c r="BV144" s="245"/>
      <c r="BW144" s="245"/>
      <c r="BX144" s="359"/>
      <c r="BY144" s="245"/>
      <c r="BZ144" s="245"/>
      <c r="CA144" s="245"/>
      <c r="CB144" s="724"/>
      <c r="CC144" s="245"/>
      <c r="CD144" s="245"/>
      <c r="CE144" s="359"/>
      <c r="CF144" s="245"/>
      <c r="CG144" s="245"/>
      <c r="CH144" s="245"/>
      <c r="CI144" s="724"/>
      <c r="CJ144" s="245"/>
      <c r="CK144" s="245"/>
      <c r="CL144" s="359"/>
      <c r="CM144" s="245"/>
      <c r="CN144" s="245"/>
      <c r="CO144" s="245"/>
      <c r="CP144" s="724"/>
      <c r="CQ144" s="245"/>
      <c r="CR144" s="245"/>
      <c r="CS144" s="359"/>
      <c r="CT144" s="245"/>
      <c r="CU144" s="245"/>
      <c r="CV144" s="245"/>
      <c r="CW144" s="724"/>
      <c r="CX144" s="245"/>
      <c r="CY144" s="245"/>
      <c r="CZ144" s="1623"/>
      <c r="DA144" s="867"/>
      <c r="DB144" s="867"/>
      <c r="DC144" s="867"/>
      <c r="DD144" s="1653"/>
      <c r="DE144" s="867"/>
      <c r="DF144" s="867"/>
      <c r="DG144" s="1623"/>
      <c r="DH144" s="1796"/>
      <c r="DI144" s="867"/>
      <c r="DJ144" s="867"/>
      <c r="DK144" s="1653"/>
      <c r="DL144" s="867"/>
      <c r="DM144" s="867"/>
      <c r="DN144" s="1623"/>
      <c r="DO144" s="867"/>
      <c r="DP144" s="867"/>
      <c r="DQ144" s="867"/>
      <c r="DR144" s="1653"/>
      <c r="DS144" s="867"/>
      <c r="DT144" s="867"/>
      <c r="DU144" s="1623"/>
      <c r="DV144" s="867"/>
      <c r="DW144" s="867"/>
      <c r="DX144" s="867"/>
      <c r="DY144" s="1653"/>
      <c r="DZ144" s="867"/>
      <c r="EA144" s="867"/>
      <c r="EB144" s="1623"/>
      <c r="EC144" s="867"/>
      <c r="ED144" s="867"/>
      <c r="EE144" s="867"/>
      <c r="EF144" s="1653"/>
      <c r="EG144" s="867"/>
      <c r="EH144" s="867"/>
      <c r="EI144" s="1623"/>
      <c r="EJ144" s="867"/>
      <c r="EK144" s="867"/>
      <c r="EL144" s="867"/>
      <c r="EM144" s="1653"/>
      <c r="EN144" s="867"/>
      <c r="EO144" s="867"/>
      <c r="EP144" s="1623"/>
      <c r="EQ144" s="303"/>
      <c r="ER144" s="46"/>
    </row>
    <row r="145" spans="1:148" ht="10.199999999999999" hidden="1" customHeight="1" outlineLevel="1">
      <c r="A145" s="43" t="s">
        <v>221</v>
      </c>
      <c r="B145" s="108"/>
      <c r="C145" s="108"/>
      <c r="D145" s="157">
        <f t="shared" ref="D145:L145" si="1074">D133/D137</f>
        <v>9.107468123861566E-2</v>
      </c>
      <c r="E145" s="157">
        <f t="shared" si="1074"/>
        <v>0.14742720382927801</v>
      </c>
      <c r="F145" s="157">
        <f t="shared" si="1074"/>
        <v>3.4079146428855803E-2</v>
      </c>
      <c r="G145" s="157">
        <f t="shared" si="1074"/>
        <v>5.5727554179566562E-2</v>
      </c>
      <c r="H145" s="157">
        <f t="shared" si="1074"/>
        <v>4.5500392244760733E-2</v>
      </c>
      <c r="I145" s="157">
        <f t="shared" si="1074"/>
        <v>4.0533037201554691E-2</v>
      </c>
      <c r="J145" s="157">
        <f t="shared" si="1074"/>
        <v>5.6485660212549131E-2</v>
      </c>
      <c r="K145" s="157">
        <f t="shared" si="1074"/>
        <v>0.12083506152357251</v>
      </c>
      <c r="L145" s="157">
        <f t="shared" si="1074"/>
        <v>0.11272056887016066</v>
      </c>
      <c r="M145" s="157"/>
      <c r="N145" s="157"/>
      <c r="O145" s="157"/>
      <c r="P145" s="157"/>
      <c r="Q145" s="1277"/>
      <c r="R145" s="157"/>
      <c r="S145" s="157"/>
      <c r="T145" s="1295"/>
      <c r="U145" s="157"/>
      <c r="V145" s="157"/>
      <c r="W145" s="157"/>
      <c r="X145" s="1277"/>
      <c r="Y145" s="157"/>
      <c r="Z145" s="157"/>
      <c r="AA145" s="1295"/>
      <c r="AB145" s="157"/>
      <c r="AC145" s="157"/>
      <c r="AD145" s="157"/>
      <c r="AE145" s="1277"/>
      <c r="AF145" s="157"/>
      <c r="AG145" s="157"/>
      <c r="AH145" s="1295"/>
      <c r="AI145" s="157"/>
      <c r="AJ145" s="157"/>
      <c r="AK145" s="157"/>
      <c r="AL145" s="1277"/>
      <c r="AM145" s="157"/>
      <c r="AN145" s="157"/>
      <c r="AO145" s="1295"/>
      <c r="AP145" s="157"/>
      <c r="AQ145" s="157"/>
      <c r="AR145" s="157"/>
      <c r="AS145" s="1277"/>
      <c r="AT145" s="157"/>
      <c r="AU145" s="157"/>
      <c r="AV145" s="1295"/>
      <c r="AW145" s="157"/>
      <c r="AX145" s="157"/>
      <c r="AY145" s="157"/>
      <c r="AZ145" s="1277"/>
      <c r="BA145" s="157"/>
      <c r="BB145" s="157"/>
      <c r="BC145" s="1295"/>
      <c r="BD145" s="157"/>
      <c r="BE145" s="157"/>
      <c r="BF145" s="157"/>
      <c r="BG145" s="1277"/>
      <c r="BH145" s="157"/>
      <c r="BI145" s="157"/>
      <c r="BJ145" s="1295"/>
      <c r="BK145" s="157"/>
      <c r="BL145" s="157"/>
      <c r="BM145" s="157"/>
      <c r="BN145" s="1277"/>
      <c r="BO145" s="157"/>
      <c r="BP145" s="157"/>
      <c r="BQ145" s="1295"/>
      <c r="BR145" s="157"/>
      <c r="BS145" s="157"/>
      <c r="BT145" s="157"/>
      <c r="BU145" s="1277"/>
      <c r="BV145" s="157"/>
      <c r="BW145" s="157"/>
      <c r="BX145" s="1295"/>
      <c r="BY145" s="157"/>
      <c r="BZ145" s="157"/>
      <c r="CA145" s="157"/>
      <c r="CB145" s="1277"/>
      <c r="CC145" s="157"/>
      <c r="CD145" s="157"/>
      <c r="CE145" s="1295"/>
      <c r="CF145" s="157"/>
      <c r="CG145" s="157"/>
      <c r="CH145" s="157"/>
      <c r="CI145" s="1277"/>
      <c r="CJ145" s="157"/>
      <c r="CK145" s="157"/>
      <c r="CL145" s="1295"/>
      <c r="CM145" s="157"/>
      <c r="CN145" s="157"/>
      <c r="CO145" s="157"/>
      <c r="CP145" s="1277"/>
      <c r="CQ145" s="157"/>
      <c r="CR145" s="157"/>
      <c r="CS145" s="1295"/>
      <c r="CT145" s="157"/>
      <c r="CU145" s="157"/>
      <c r="CV145" s="157"/>
      <c r="CW145" s="1277"/>
      <c r="CX145" s="157"/>
      <c r="CY145" s="157"/>
      <c r="CZ145" s="647"/>
      <c r="DA145" s="5"/>
      <c r="DB145" s="5"/>
      <c r="DC145" s="5"/>
      <c r="DD145" s="711"/>
      <c r="DE145" s="5"/>
      <c r="DF145" s="5"/>
      <c r="DG145" s="647"/>
      <c r="DH145" s="315"/>
      <c r="DI145" s="5"/>
      <c r="DJ145" s="5"/>
      <c r="DK145" s="711"/>
      <c r="DL145" s="5"/>
      <c r="DM145" s="5"/>
      <c r="DN145" s="647"/>
      <c r="DO145" s="5"/>
      <c r="DP145" s="5"/>
      <c r="DQ145" s="5"/>
      <c r="DR145" s="711"/>
      <c r="DS145" s="5"/>
      <c r="DT145" s="5"/>
      <c r="DU145" s="647"/>
      <c r="DV145" s="5"/>
      <c r="DW145" s="5"/>
      <c r="DX145" s="5"/>
      <c r="DY145" s="711"/>
      <c r="DZ145" s="5"/>
      <c r="EA145" s="5"/>
      <c r="EB145" s="647"/>
      <c r="EC145" s="5"/>
      <c r="ED145" s="5"/>
      <c r="EE145" s="5"/>
      <c r="EF145" s="711"/>
      <c r="EG145" s="5"/>
      <c r="EH145" s="5"/>
      <c r="EI145" s="647"/>
      <c r="EJ145" s="5"/>
      <c r="EK145" s="5"/>
      <c r="EL145" s="5"/>
      <c r="EM145" s="711"/>
      <c r="EN145" s="5"/>
      <c r="EO145" s="5"/>
      <c r="EP145" s="647"/>
      <c r="EQ145" s="303"/>
      <c r="ER145" s="46"/>
    </row>
    <row r="146" spans="1:148" ht="10.199999999999999" hidden="1" customHeight="1" outlineLevel="1">
      <c r="A146" s="43" t="s">
        <v>222</v>
      </c>
      <c r="B146" s="108"/>
      <c r="C146" s="108"/>
      <c r="D146" s="157">
        <f>D134/D132</f>
        <v>-1.6712141882673944E-2</v>
      </c>
      <c r="E146" s="157">
        <f t="shared" ref="E146:L146" si="1075">D146</f>
        <v>-1.6712141882673944E-2</v>
      </c>
      <c r="F146" s="157">
        <f t="shared" si="1075"/>
        <v>-1.6712141882673944E-2</v>
      </c>
      <c r="G146" s="157">
        <f t="shared" si="1075"/>
        <v>-1.6712141882673944E-2</v>
      </c>
      <c r="H146" s="157">
        <f t="shared" si="1075"/>
        <v>-1.6712141882673944E-2</v>
      </c>
      <c r="I146" s="157">
        <f t="shared" si="1075"/>
        <v>-1.6712141882673944E-2</v>
      </c>
      <c r="J146" s="157">
        <f t="shared" si="1075"/>
        <v>-1.6712141882673944E-2</v>
      </c>
      <c r="K146" s="157">
        <f t="shared" si="1075"/>
        <v>-1.6712141882673944E-2</v>
      </c>
      <c r="L146" s="157">
        <f t="shared" si="1075"/>
        <v>-1.6712141882673944E-2</v>
      </c>
      <c r="M146" s="157"/>
      <c r="N146" s="157"/>
      <c r="O146" s="157"/>
      <c r="P146" s="157"/>
      <c r="Q146" s="1277"/>
      <c r="R146" s="157"/>
      <c r="S146" s="157"/>
      <c r="T146" s="1295"/>
      <c r="U146" s="157"/>
      <c r="V146" s="157"/>
      <c r="W146" s="157"/>
      <c r="X146" s="1277"/>
      <c r="Y146" s="157"/>
      <c r="Z146" s="157"/>
      <c r="AA146" s="1295"/>
      <c r="AB146" s="157"/>
      <c r="AC146" s="157"/>
      <c r="AD146" s="157"/>
      <c r="AE146" s="1277"/>
      <c r="AF146" s="157"/>
      <c r="AG146" s="157"/>
      <c r="AH146" s="1295"/>
      <c r="AI146" s="157"/>
      <c r="AJ146" s="157"/>
      <c r="AK146" s="157"/>
      <c r="AL146" s="1277"/>
      <c r="AM146" s="157"/>
      <c r="AN146" s="157"/>
      <c r="AO146" s="1295"/>
      <c r="AP146" s="157"/>
      <c r="AQ146" s="157"/>
      <c r="AR146" s="157"/>
      <c r="AS146" s="1277"/>
      <c r="AT146" s="157"/>
      <c r="AU146" s="157"/>
      <c r="AV146" s="1295"/>
      <c r="AW146" s="157"/>
      <c r="AX146" s="157"/>
      <c r="AY146" s="157"/>
      <c r="AZ146" s="1277"/>
      <c r="BA146" s="157"/>
      <c r="BB146" s="157"/>
      <c r="BC146" s="1295"/>
      <c r="BD146" s="157"/>
      <c r="BE146" s="157"/>
      <c r="BF146" s="157"/>
      <c r="BG146" s="1277"/>
      <c r="BH146" s="157"/>
      <c r="BI146" s="157"/>
      <c r="BJ146" s="1295"/>
      <c r="BK146" s="157"/>
      <c r="BL146" s="157"/>
      <c r="BM146" s="157"/>
      <c r="BN146" s="1277"/>
      <c r="BO146" s="157"/>
      <c r="BP146" s="157"/>
      <c r="BQ146" s="1295"/>
      <c r="BR146" s="157"/>
      <c r="BS146" s="157"/>
      <c r="BT146" s="157"/>
      <c r="BU146" s="1277"/>
      <c r="BV146" s="157"/>
      <c r="BW146" s="157"/>
      <c r="BX146" s="1295"/>
      <c r="BY146" s="157"/>
      <c r="BZ146" s="157"/>
      <c r="CA146" s="157"/>
      <c r="CB146" s="1277"/>
      <c r="CC146" s="157"/>
      <c r="CD146" s="157"/>
      <c r="CE146" s="1295"/>
      <c r="CF146" s="157"/>
      <c r="CG146" s="157"/>
      <c r="CH146" s="157"/>
      <c r="CI146" s="1277"/>
      <c r="CJ146" s="157"/>
      <c r="CK146" s="157"/>
      <c r="CL146" s="1295"/>
      <c r="CM146" s="157"/>
      <c r="CN146" s="157"/>
      <c r="CO146" s="157"/>
      <c r="CP146" s="1277"/>
      <c r="CQ146" s="157"/>
      <c r="CR146" s="157"/>
      <c r="CS146" s="1295"/>
      <c r="CT146" s="157"/>
      <c r="CU146" s="157"/>
      <c r="CV146" s="157"/>
      <c r="CW146" s="1277"/>
      <c r="CX146" s="157"/>
      <c r="CY146" s="157"/>
      <c r="CZ146" s="647"/>
      <c r="DA146" s="5"/>
      <c r="DB146" s="5"/>
      <c r="DC146" s="5"/>
      <c r="DD146" s="711"/>
      <c r="DE146" s="5"/>
      <c r="DF146" s="5"/>
      <c r="DG146" s="647"/>
      <c r="DH146" s="315"/>
      <c r="DI146" s="5"/>
      <c r="DJ146" s="5"/>
      <c r="DK146" s="711"/>
      <c r="DL146" s="5"/>
      <c r="DM146" s="5"/>
      <c r="DN146" s="647"/>
      <c r="DO146" s="5"/>
      <c r="DP146" s="5"/>
      <c r="DQ146" s="5"/>
      <c r="DR146" s="711"/>
      <c r="DS146" s="5"/>
      <c r="DT146" s="5"/>
      <c r="DU146" s="647"/>
      <c r="DV146" s="5"/>
      <c r="DW146" s="5"/>
      <c r="DX146" s="5"/>
      <c r="DY146" s="711"/>
      <c r="DZ146" s="5"/>
      <c r="EA146" s="5"/>
      <c r="EB146" s="647"/>
      <c r="EC146" s="5"/>
      <c r="ED146" s="5"/>
      <c r="EE146" s="5"/>
      <c r="EF146" s="711"/>
      <c r="EG146" s="5"/>
      <c r="EH146" s="5"/>
      <c r="EI146" s="647"/>
      <c r="EJ146" s="5"/>
      <c r="EK146" s="5"/>
      <c r="EL146" s="5"/>
      <c r="EM146" s="711"/>
      <c r="EN146" s="5"/>
      <c r="EO146" s="5"/>
      <c r="EP146" s="647"/>
      <c r="EQ146" s="303"/>
      <c r="ER146" s="46"/>
    </row>
    <row r="147" spans="1:148" ht="10.199999999999999" hidden="1" customHeight="1" outlineLevel="1">
      <c r="A147" s="43" t="s">
        <v>223</v>
      </c>
      <c r="B147" s="108"/>
      <c r="C147" s="108"/>
      <c r="D147" s="157">
        <f t="shared" ref="D147:L147" si="1076">D140/D133</f>
        <v>1.3618181818181818</v>
      </c>
      <c r="E147" s="157">
        <f t="shared" si="1076"/>
        <v>0.61363636363636365</v>
      </c>
      <c r="F147" s="157">
        <f t="shared" si="1076"/>
        <v>1.9205607476635513</v>
      </c>
      <c r="G147" s="157">
        <f t="shared" si="1076"/>
        <v>0.91746031746031742</v>
      </c>
      <c r="H147" s="157">
        <f t="shared" si="1076"/>
        <v>1.2955665024630543</v>
      </c>
      <c r="I147" s="157">
        <f t="shared" si="1076"/>
        <v>1.6575342465753424</v>
      </c>
      <c r="J147" s="157">
        <f t="shared" si="1076"/>
        <v>1.2577319587628866</v>
      </c>
      <c r="K147" s="157">
        <f t="shared" si="1076"/>
        <v>0.49199084668192222</v>
      </c>
      <c r="L147" s="157">
        <f t="shared" si="1076"/>
        <v>0.69392523364485981</v>
      </c>
      <c r="M147" s="157"/>
      <c r="N147" s="157"/>
      <c r="O147" s="157"/>
      <c r="P147" s="157"/>
      <c r="Q147" s="1277"/>
      <c r="R147" s="157"/>
      <c r="S147" s="157"/>
      <c r="T147" s="1295"/>
      <c r="U147" s="157"/>
      <c r="V147" s="157"/>
      <c r="W147" s="157"/>
      <c r="X147" s="1277"/>
      <c r="Y147" s="157"/>
      <c r="Z147" s="157"/>
      <c r="AA147" s="1295"/>
      <c r="AB147" s="157"/>
      <c r="AC147" s="157"/>
      <c r="AD147" s="157"/>
      <c r="AE147" s="1277"/>
      <c r="AF147" s="157"/>
      <c r="AG147" s="157"/>
      <c r="AH147" s="1295"/>
      <c r="AI147" s="157"/>
      <c r="AJ147" s="157"/>
      <c r="AK147" s="157"/>
      <c r="AL147" s="1277"/>
      <c r="AM147" s="157"/>
      <c r="AN147" s="157"/>
      <c r="AO147" s="1295"/>
      <c r="AP147" s="157"/>
      <c r="AQ147" s="157"/>
      <c r="AR147" s="157"/>
      <c r="AS147" s="1277"/>
      <c r="AT147" s="157"/>
      <c r="AU147" s="157"/>
      <c r="AV147" s="1295"/>
      <c r="AW147" s="157"/>
      <c r="AX147" s="157"/>
      <c r="AY147" s="157"/>
      <c r="AZ147" s="1277"/>
      <c r="BA147" s="157"/>
      <c r="BB147" s="157"/>
      <c r="BC147" s="1295"/>
      <c r="BD147" s="157"/>
      <c r="BE147" s="157"/>
      <c r="BF147" s="157"/>
      <c r="BG147" s="1277"/>
      <c r="BH147" s="157"/>
      <c r="BI147" s="157"/>
      <c r="BJ147" s="1295"/>
      <c r="BK147" s="157"/>
      <c r="BL147" s="157"/>
      <c r="BM147" s="157"/>
      <c r="BN147" s="1277"/>
      <c r="BO147" s="157"/>
      <c r="BP147" s="157"/>
      <c r="BQ147" s="1295"/>
      <c r="BR147" s="157"/>
      <c r="BS147" s="157"/>
      <c r="BT147" s="157"/>
      <c r="BU147" s="1277"/>
      <c r="BV147" s="157"/>
      <c r="BW147" s="157"/>
      <c r="BX147" s="1295"/>
      <c r="BY147" s="157"/>
      <c r="BZ147" s="157"/>
      <c r="CA147" s="157"/>
      <c r="CB147" s="1277"/>
      <c r="CC147" s="157"/>
      <c r="CD147" s="157"/>
      <c r="CE147" s="1295"/>
      <c r="CF147" s="157"/>
      <c r="CG147" s="157"/>
      <c r="CH147" s="157"/>
      <c r="CI147" s="1277"/>
      <c r="CJ147" s="157"/>
      <c r="CK147" s="157"/>
      <c r="CL147" s="1295"/>
      <c r="CM147" s="157"/>
      <c r="CN147" s="157"/>
      <c r="CO147" s="157"/>
      <c r="CP147" s="1277"/>
      <c r="CQ147" s="157"/>
      <c r="CR147" s="157"/>
      <c r="CS147" s="1295"/>
      <c r="CT147" s="157"/>
      <c r="CU147" s="157"/>
      <c r="CV147" s="157"/>
      <c r="CW147" s="1277"/>
      <c r="CX147" s="157"/>
      <c r="CY147" s="157"/>
      <c r="CZ147" s="647"/>
      <c r="DA147" s="5"/>
      <c r="DB147" s="5"/>
      <c r="DC147" s="5"/>
      <c r="DD147" s="711"/>
      <c r="DE147" s="5"/>
      <c r="DF147" s="5"/>
      <c r="DG147" s="647"/>
      <c r="DH147" s="315"/>
      <c r="DI147" s="5"/>
      <c r="DJ147" s="5"/>
      <c r="DK147" s="711"/>
      <c r="DL147" s="5"/>
      <c r="DM147" s="5"/>
      <c r="DN147" s="647"/>
      <c r="DO147" s="5"/>
      <c r="DP147" s="5"/>
      <c r="DQ147" s="5"/>
      <c r="DR147" s="711"/>
      <c r="DS147" s="5"/>
      <c r="DT147" s="5"/>
      <c r="DU147" s="647"/>
      <c r="DV147" s="5"/>
      <c r="DW147" s="5"/>
      <c r="DX147" s="5"/>
      <c r="DY147" s="711"/>
      <c r="DZ147" s="5"/>
      <c r="EA147" s="5"/>
      <c r="EB147" s="647"/>
      <c r="EC147" s="5"/>
      <c r="ED147" s="5"/>
      <c r="EE147" s="5"/>
      <c r="EF147" s="711"/>
      <c r="EG147" s="5"/>
      <c r="EH147" s="5"/>
      <c r="EI147" s="647"/>
      <c r="EJ147" s="5"/>
      <c r="EK147" s="5"/>
      <c r="EL147" s="5"/>
      <c r="EM147" s="711"/>
      <c r="EN147" s="5"/>
      <c r="EO147" s="5"/>
      <c r="EP147" s="647"/>
      <c r="EQ147" s="303"/>
      <c r="ER147" s="46"/>
    </row>
    <row r="148" spans="1:148" ht="10.199999999999999" hidden="1" customHeight="1" outlineLevel="1">
      <c r="A148" s="43" t="s">
        <v>143</v>
      </c>
      <c r="B148" s="108"/>
      <c r="C148" s="108"/>
      <c r="D148" s="157">
        <f t="shared" ref="D148:L148" si="1077">D141/D134</f>
        <v>0.88775510204081631</v>
      </c>
      <c r="E148" s="157">
        <f t="shared" si="1077"/>
        <v>0.58385093167701863</v>
      </c>
      <c r="F148" s="157">
        <f t="shared" si="1077"/>
        <v>0.56107660455486541</v>
      </c>
      <c r="G148" s="157">
        <f t="shared" si="1077"/>
        <v>0.39254385964912281</v>
      </c>
      <c r="H148" s="157">
        <f t="shared" si="1077"/>
        <v>0.55648535564853552</v>
      </c>
      <c r="I148" s="157">
        <f t="shared" si="1077"/>
        <v>0.4642857142857143</v>
      </c>
      <c r="J148" s="157">
        <f t="shared" si="1077"/>
        <v>0.29870129870129869</v>
      </c>
      <c r="K148" s="157">
        <f t="shared" si="1077"/>
        <v>0.25951557093425603</v>
      </c>
      <c r="L148" s="157">
        <f t="shared" si="1077"/>
        <v>0.12415349887133183</v>
      </c>
      <c r="M148" s="157"/>
      <c r="N148" s="157"/>
      <c r="O148" s="157"/>
      <c r="P148" s="157"/>
      <c r="Q148" s="1277"/>
      <c r="R148" s="157"/>
      <c r="S148" s="157"/>
      <c r="T148" s="1295"/>
      <c r="U148" s="157"/>
      <c r="V148" s="157"/>
      <c r="W148" s="157"/>
      <c r="X148" s="1277"/>
      <c r="Y148" s="157"/>
      <c r="Z148" s="157"/>
      <c r="AA148" s="1295"/>
      <c r="AB148" s="157"/>
      <c r="AC148" s="157"/>
      <c r="AD148" s="157"/>
      <c r="AE148" s="1277"/>
      <c r="AF148" s="157"/>
      <c r="AG148" s="157"/>
      <c r="AH148" s="1295"/>
      <c r="AI148" s="157"/>
      <c r="AJ148" s="157"/>
      <c r="AK148" s="157"/>
      <c r="AL148" s="1277"/>
      <c r="AM148" s="157"/>
      <c r="AN148" s="157"/>
      <c r="AO148" s="1295"/>
      <c r="AP148" s="157"/>
      <c r="AQ148" s="157"/>
      <c r="AR148" s="157"/>
      <c r="AS148" s="1277"/>
      <c r="AT148" s="157"/>
      <c r="AU148" s="157"/>
      <c r="AV148" s="1295"/>
      <c r="AW148" s="157"/>
      <c r="AX148" s="157"/>
      <c r="AY148" s="157"/>
      <c r="AZ148" s="1277"/>
      <c r="BA148" s="157"/>
      <c r="BB148" s="157"/>
      <c r="BC148" s="1295"/>
      <c r="BD148" s="157"/>
      <c r="BE148" s="157"/>
      <c r="BF148" s="157"/>
      <c r="BG148" s="1277"/>
      <c r="BH148" s="157"/>
      <c r="BI148" s="157"/>
      <c r="BJ148" s="1295"/>
      <c r="BK148" s="157"/>
      <c r="BL148" s="157"/>
      <c r="BM148" s="157"/>
      <c r="BN148" s="1277"/>
      <c r="BO148" s="157"/>
      <c r="BP148" s="157"/>
      <c r="BQ148" s="1295"/>
      <c r="BR148" s="157"/>
      <c r="BS148" s="157"/>
      <c r="BT148" s="157"/>
      <c r="BU148" s="1277"/>
      <c r="BV148" s="157"/>
      <c r="BW148" s="157"/>
      <c r="BX148" s="1295"/>
      <c r="BY148" s="157"/>
      <c r="BZ148" s="157"/>
      <c r="CA148" s="157"/>
      <c r="CB148" s="1277"/>
      <c r="CC148" s="157"/>
      <c r="CD148" s="157"/>
      <c r="CE148" s="1295"/>
      <c r="CF148" s="157"/>
      <c r="CG148" s="157"/>
      <c r="CH148" s="157"/>
      <c r="CI148" s="1277"/>
      <c r="CJ148" s="157"/>
      <c r="CK148" s="157"/>
      <c r="CL148" s="1295"/>
      <c r="CM148" s="157"/>
      <c r="CN148" s="157"/>
      <c r="CO148" s="157"/>
      <c r="CP148" s="1277"/>
      <c r="CQ148" s="157"/>
      <c r="CR148" s="157"/>
      <c r="CS148" s="1295"/>
      <c r="CT148" s="157"/>
      <c r="CU148" s="157"/>
      <c r="CV148" s="157"/>
      <c r="CW148" s="1277"/>
      <c r="CX148" s="157"/>
      <c r="CY148" s="157"/>
      <c r="CZ148" s="647"/>
      <c r="DA148" s="5"/>
      <c r="DB148" s="5"/>
      <c r="DC148" s="5"/>
      <c r="DD148" s="711"/>
      <c r="DE148" s="5"/>
      <c r="DF148" s="5"/>
      <c r="DG148" s="647"/>
      <c r="DH148" s="315"/>
      <c r="DI148" s="5"/>
      <c r="DJ148" s="5"/>
      <c r="DK148" s="711"/>
      <c r="DL148" s="5"/>
      <c r="DM148" s="5"/>
      <c r="DN148" s="647"/>
      <c r="DO148" s="5"/>
      <c r="DP148" s="5"/>
      <c r="DQ148" s="5"/>
      <c r="DR148" s="711"/>
      <c r="DS148" s="5"/>
      <c r="DT148" s="5"/>
      <c r="DU148" s="647"/>
      <c r="DV148" s="5"/>
      <c r="DW148" s="5"/>
      <c r="DX148" s="5"/>
      <c r="DY148" s="711"/>
      <c r="DZ148" s="5"/>
      <c r="EA148" s="5"/>
      <c r="EB148" s="647"/>
      <c r="EC148" s="5"/>
      <c r="ED148" s="5"/>
      <c r="EE148" s="5"/>
      <c r="EF148" s="711"/>
      <c r="EG148" s="5"/>
      <c r="EH148" s="5"/>
      <c r="EI148" s="647"/>
      <c r="EJ148" s="5"/>
      <c r="EK148" s="5"/>
      <c r="EL148" s="5"/>
      <c r="EM148" s="711"/>
      <c r="EN148" s="5"/>
      <c r="EO148" s="5"/>
      <c r="EP148" s="647"/>
      <c r="EQ148" s="303"/>
      <c r="ER148" s="46"/>
    </row>
    <row r="149" spans="1:148" ht="10.199999999999999" hidden="1" customHeight="1" outlineLevel="1">
      <c r="A149" s="43" t="s">
        <v>243</v>
      </c>
      <c r="B149" s="108"/>
      <c r="C149" s="108"/>
      <c r="D149" s="244">
        <f t="shared" ref="D149:L149" si="1078">D137/D133</f>
        <v>10.98</v>
      </c>
      <c r="E149" s="244">
        <f t="shared" si="1078"/>
        <v>6.7830086580086579</v>
      </c>
      <c r="F149" s="244">
        <f t="shared" si="1078"/>
        <v>29.343457943925234</v>
      </c>
      <c r="G149" s="244">
        <f t="shared" si="1078"/>
        <v>17.944444444444443</v>
      </c>
      <c r="H149" s="244">
        <f t="shared" si="1078"/>
        <v>21.97783251231527</v>
      </c>
      <c r="I149" s="244">
        <f t="shared" si="1078"/>
        <v>24.671232876712327</v>
      </c>
      <c r="J149" s="244">
        <f t="shared" si="1078"/>
        <v>17.703608247422679</v>
      </c>
      <c r="K149" s="244">
        <f t="shared" si="1078"/>
        <v>8.275743707093822</v>
      </c>
      <c r="L149" s="244">
        <f t="shared" si="1078"/>
        <v>8.871495327102803</v>
      </c>
      <c r="M149" s="244"/>
      <c r="N149" s="244"/>
      <c r="O149" s="244"/>
      <c r="P149" s="244"/>
      <c r="Q149" s="724"/>
      <c r="R149" s="244"/>
      <c r="S149" s="244"/>
      <c r="T149" s="359"/>
      <c r="U149" s="244"/>
      <c r="V149" s="244"/>
      <c r="W149" s="244"/>
      <c r="X149" s="724"/>
      <c r="Y149" s="244"/>
      <c r="Z149" s="244"/>
      <c r="AA149" s="359"/>
      <c r="AB149" s="244"/>
      <c r="AC149" s="244"/>
      <c r="AD149" s="244"/>
      <c r="AE149" s="724"/>
      <c r="AF149" s="244"/>
      <c r="AG149" s="244"/>
      <c r="AH149" s="359"/>
      <c r="AI149" s="244"/>
      <c r="AJ149" s="244"/>
      <c r="AK149" s="244"/>
      <c r="AL149" s="724"/>
      <c r="AM149" s="244"/>
      <c r="AN149" s="244"/>
      <c r="AO149" s="359"/>
      <c r="AP149" s="244"/>
      <c r="AQ149" s="244"/>
      <c r="AR149" s="244"/>
      <c r="AS149" s="724"/>
      <c r="AT149" s="244"/>
      <c r="AU149" s="244"/>
      <c r="AV149" s="359"/>
      <c r="AW149" s="244"/>
      <c r="AX149" s="244"/>
      <c r="AY149" s="244"/>
      <c r="AZ149" s="724"/>
      <c r="BA149" s="244"/>
      <c r="BB149" s="244"/>
      <c r="BC149" s="359"/>
      <c r="BD149" s="244"/>
      <c r="BE149" s="244"/>
      <c r="BF149" s="244"/>
      <c r="BG149" s="724"/>
      <c r="BH149" s="244"/>
      <c r="BI149" s="244"/>
      <c r="BJ149" s="359"/>
      <c r="BK149" s="244"/>
      <c r="BL149" s="244"/>
      <c r="BM149" s="244"/>
      <c r="BN149" s="724"/>
      <c r="BO149" s="244"/>
      <c r="BP149" s="244"/>
      <c r="BQ149" s="359"/>
      <c r="BR149" s="244"/>
      <c r="BS149" s="244"/>
      <c r="BT149" s="244"/>
      <c r="BU149" s="724"/>
      <c r="BV149" s="244"/>
      <c r="BW149" s="244"/>
      <c r="BX149" s="359"/>
      <c r="BY149" s="244"/>
      <c r="BZ149" s="244"/>
      <c r="CA149" s="244"/>
      <c r="CB149" s="724"/>
      <c r="CC149" s="244"/>
      <c r="CD149" s="244"/>
      <c r="CE149" s="359"/>
      <c r="CF149" s="244"/>
      <c r="CG149" s="244"/>
      <c r="CH149" s="244"/>
      <c r="CI149" s="724"/>
      <c r="CJ149" s="244"/>
      <c r="CK149" s="244"/>
      <c r="CL149" s="359"/>
      <c r="CM149" s="244"/>
      <c r="CN149" s="244"/>
      <c r="CO149" s="244"/>
      <c r="CP149" s="724"/>
      <c r="CQ149" s="244"/>
      <c r="CR149" s="244"/>
      <c r="CS149" s="359"/>
      <c r="CT149" s="244"/>
      <c r="CU149" s="244"/>
      <c r="CV149" s="244"/>
      <c r="CW149" s="724"/>
      <c r="CX149" s="244"/>
      <c r="CY149" s="244"/>
      <c r="CZ149" s="1623"/>
      <c r="DA149" s="866"/>
      <c r="DB149" s="866"/>
      <c r="DC149" s="866"/>
      <c r="DD149" s="1653"/>
      <c r="DE149" s="866"/>
      <c r="DF149" s="866"/>
      <c r="DG149" s="1623"/>
      <c r="DH149" s="1981"/>
      <c r="DI149" s="866"/>
      <c r="DJ149" s="866"/>
      <c r="DK149" s="1653"/>
      <c r="DL149" s="866"/>
      <c r="DM149" s="866"/>
      <c r="DN149" s="1623"/>
      <c r="DO149" s="866"/>
      <c r="DP149" s="866"/>
      <c r="DQ149" s="866"/>
      <c r="DR149" s="1653"/>
      <c r="DS149" s="866"/>
      <c r="DT149" s="866"/>
      <c r="DU149" s="1623"/>
      <c r="DV149" s="866"/>
      <c r="DW149" s="866"/>
      <c r="DX149" s="866"/>
      <c r="DY149" s="1653"/>
      <c r="DZ149" s="866"/>
      <c r="EA149" s="866"/>
      <c r="EB149" s="1623"/>
      <c r="EC149" s="866"/>
      <c r="ED149" s="866"/>
      <c r="EE149" s="866"/>
      <c r="EF149" s="1653"/>
      <c r="EG149" s="866"/>
      <c r="EH149" s="866"/>
      <c r="EI149" s="1623"/>
      <c r="EJ149" s="866"/>
      <c r="EK149" s="866"/>
      <c r="EL149" s="866"/>
      <c r="EM149" s="1653"/>
      <c r="EN149" s="866"/>
      <c r="EO149" s="866"/>
      <c r="EP149" s="1623"/>
      <c r="EQ149" s="303"/>
      <c r="ER149" s="46"/>
    </row>
    <row r="150" spans="1:148" ht="10.199999999999999" customHeight="1" collapsed="1">
      <c r="A150" s="43"/>
      <c r="B150" s="108"/>
      <c r="C150" s="108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724"/>
      <c r="R150" s="245"/>
      <c r="S150" s="245"/>
      <c r="T150" s="359"/>
      <c r="U150" s="245"/>
      <c r="V150" s="245"/>
      <c r="W150" s="245"/>
      <c r="X150" s="724"/>
      <c r="Y150" s="245"/>
      <c r="Z150" s="245"/>
      <c r="AA150" s="359"/>
      <c r="AB150" s="245"/>
      <c r="AC150" s="245"/>
      <c r="AD150" s="245"/>
      <c r="AE150" s="724"/>
      <c r="AF150" s="245"/>
      <c r="AG150" s="245"/>
      <c r="AH150" s="359"/>
      <c r="AI150" s="245"/>
      <c r="AJ150" s="245"/>
      <c r="AK150" s="245"/>
      <c r="AL150" s="724"/>
      <c r="AM150" s="245"/>
      <c r="AN150" s="245"/>
      <c r="AO150" s="359"/>
      <c r="AP150" s="245"/>
      <c r="AQ150" s="245"/>
      <c r="AR150" s="245"/>
      <c r="AS150" s="724"/>
      <c r="AT150" s="245"/>
      <c r="AU150" s="245"/>
      <c r="AV150" s="359"/>
      <c r="AW150" s="245"/>
      <c r="AX150" s="245"/>
      <c r="AY150" s="245"/>
      <c r="AZ150" s="724"/>
      <c r="BA150" s="245"/>
      <c r="BB150" s="245"/>
      <c r="BC150" s="359"/>
      <c r="BD150" s="245"/>
      <c r="BE150" s="245"/>
      <c r="BF150" s="245"/>
      <c r="BG150" s="724"/>
      <c r="BH150" s="245"/>
      <c r="BI150" s="245"/>
      <c r="BJ150" s="359"/>
      <c r="BK150" s="245"/>
      <c r="BL150" s="245"/>
      <c r="BM150" s="245"/>
      <c r="BN150" s="724"/>
      <c r="BO150" s="245"/>
      <c r="BP150" s="245"/>
      <c r="BQ150" s="359"/>
      <c r="BR150" s="245"/>
      <c r="BS150" s="245"/>
      <c r="BT150" s="245"/>
      <c r="BU150" s="724"/>
      <c r="BV150" s="245"/>
      <c r="BW150" s="245"/>
      <c r="BX150" s="359"/>
      <c r="BY150" s="245"/>
      <c r="BZ150" s="245"/>
      <c r="CA150" s="245"/>
      <c r="CB150" s="724"/>
      <c r="CC150" s="245"/>
      <c r="CD150" s="245"/>
      <c r="CE150" s="359"/>
      <c r="CF150" s="245"/>
      <c r="CG150" s="245"/>
      <c r="CH150" s="245"/>
      <c r="CI150" s="724"/>
      <c r="CJ150" s="245"/>
      <c r="CK150" s="245"/>
      <c r="CL150" s="359"/>
      <c r="CM150" s="245"/>
      <c r="CN150" s="245"/>
      <c r="CO150" s="245"/>
      <c r="CP150" s="724"/>
      <c r="CQ150" s="245"/>
      <c r="CR150" s="245"/>
      <c r="CS150" s="359"/>
      <c r="CT150" s="245"/>
      <c r="CU150" s="245"/>
      <c r="CV150" s="245"/>
      <c r="CW150" s="724"/>
      <c r="CX150" s="245"/>
      <c r="CY150" s="245"/>
      <c r="CZ150" s="1623"/>
      <c r="DA150" s="867"/>
      <c r="DB150" s="867"/>
      <c r="DC150" s="867"/>
      <c r="DD150" s="1653"/>
      <c r="DE150" s="867"/>
      <c r="DF150" s="867"/>
      <c r="DG150" s="1623"/>
      <c r="DH150" s="1796"/>
      <c r="DI150" s="867"/>
      <c r="DJ150" s="867"/>
      <c r="DK150" s="1653"/>
      <c r="DL150" s="867"/>
      <c r="DM150" s="867"/>
      <c r="DN150" s="1623"/>
      <c r="DO150" s="867"/>
      <c r="DP150" s="867"/>
      <c r="DQ150" s="867"/>
      <c r="DR150" s="1653"/>
      <c r="DS150" s="867"/>
      <c r="DT150" s="867"/>
      <c r="DU150" s="1623"/>
      <c r="DV150" s="867"/>
      <c r="DW150" s="867"/>
      <c r="DX150" s="867"/>
      <c r="DY150" s="1653"/>
      <c r="DZ150" s="867"/>
      <c r="EA150" s="867"/>
      <c r="EB150" s="1623"/>
      <c r="EC150" s="867"/>
      <c r="ED150" s="867"/>
      <c r="EE150" s="867"/>
      <c r="EF150" s="1653"/>
      <c r="EG150" s="867"/>
      <c r="EH150" s="867"/>
      <c r="EI150" s="1623"/>
      <c r="EJ150" s="867"/>
      <c r="EK150" s="867"/>
      <c r="EL150" s="867"/>
      <c r="EM150" s="1653"/>
      <c r="EN150" s="867"/>
      <c r="EO150" s="867"/>
      <c r="EP150" s="1623"/>
      <c r="EQ150" s="303"/>
      <c r="ER150" s="46"/>
    </row>
    <row r="151" spans="1:148" ht="10.199999999999999" customHeight="1">
      <c r="A151" s="178" t="s">
        <v>109</v>
      </c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1582"/>
      <c r="R151" s="209"/>
      <c r="S151" s="209"/>
      <c r="T151" s="1600"/>
      <c r="U151" s="209"/>
      <c r="V151" s="209"/>
      <c r="W151" s="209"/>
      <c r="X151" s="1582"/>
      <c r="Y151" s="209"/>
      <c r="Z151" s="209"/>
      <c r="AA151" s="1600"/>
      <c r="AB151" s="209"/>
      <c r="AC151" s="209"/>
      <c r="AD151" s="209"/>
      <c r="AE151" s="1582"/>
      <c r="AF151" s="209"/>
      <c r="AG151" s="209"/>
      <c r="AH151" s="1600"/>
      <c r="AI151" s="209"/>
      <c r="AJ151" s="209"/>
      <c r="AK151" s="209"/>
      <c r="AL151" s="1582"/>
      <c r="AM151" s="209"/>
      <c r="AN151" s="209"/>
      <c r="AO151" s="1600"/>
      <c r="AP151" s="209"/>
      <c r="AQ151" s="209"/>
      <c r="AR151" s="209"/>
      <c r="AS151" s="1582"/>
      <c r="AT151" s="209"/>
      <c r="AU151" s="209"/>
      <c r="AV151" s="1600"/>
      <c r="AW151" s="209"/>
      <c r="AX151" s="209"/>
      <c r="AY151" s="209"/>
      <c r="AZ151" s="1582"/>
      <c r="BA151" s="209"/>
      <c r="BB151" s="209"/>
      <c r="BC151" s="1600"/>
      <c r="BD151" s="209"/>
      <c r="BE151" s="209"/>
      <c r="BF151" s="209"/>
      <c r="BG151" s="1582"/>
      <c r="BH151" s="209"/>
      <c r="BI151" s="209"/>
      <c r="BJ151" s="1600"/>
      <c r="BK151" s="209"/>
      <c r="BL151" s="209"/>
      <c r="BM151" s="209"/>
      <c r="BN151" s="1582"/>
      <c r="BO151" s="209"/>
      <c r="BP151" s="209"/>
      <c r="BQ151" s="1600"/>
      <c r="BR151" s="209"/>
      <c r="BS151" s="209"/>
      <c r="BT151" s="209"/>
      <c r="BU151" s="1582"/>
      <c r="BV151" s="209"/>
      <c r="BW151" s="209"/>
      <c r="BX151" s="1600"/>
      <c r="BY151" s="209"/>
      <c r="BZ151" s="209"/>
      <c r="CA151" s="209"/>
      <c r="CB151" s="1582"/>
      <c r="CC151" s="209"/>
      <c r="CD151" s="209"/>
      <c r="CE151" s="1600"/>
      <c r="CF151" s="209"/>
      <c r="CG151" s="209"/>
      <c r="CH151" s="209"/>
      <c r="CI151" s="1582"/>
      <c r="CJ151" s="209"/>
      <c r="CK151" s="209"/>
      <c r="CL151" s="1600"/>
      <c r="CM151" s="209"/>
      <c r="CN151" s="209"/>
      <c r="CO151" s="209"/>
      <c r="CP151" s="1582"/>
      <c r="CQ151" s="209"/>
      <c r="CR151" s="209"/>
      <c r="CS151" s="1600"/>
      <c r="CT151" s="209"/>
      <c r="CU151" s="209"/>
      <c r="CV151" s="209"/>
      <c r="CW151" s="1582"/>
      <c r="CX151" s="209"/>
      <c r="CY151" s="209"/>
      <c r="CZ151" s="1616"/>
      <c r="DA151" s="204"/>
      <c r="DB151" s="204"/>
      <c r="DC151" s="204"/>
      <c r="DD151" s="1612"/>
      <c r="DE151" s="204"/>
      <c r="DF151" s="204"/>
      <c r="DG151" s="1616"/>
      <c r="DH151" s="204"/>
      <c r="DI151" s="204"/>
      <c r="DJ151" s="204"/>
      <c r="DK151" s="1612"/>
      <c r="DL151" s="204"/>
      <c r="DM151" s="204"/>
      <c r="DN151" s="1616"/>
      <c r="DO151" s="204"/>
      <c r="DP151" s="204"/>
      <c r="DQ151" s="204"/>
      <c r="DR151" s="1612"/>
      <c r="DS151" s="204"/>
      <c r="DT151" s="204"/>
      <c r="DU151" s="1616"/>
      <c r="DV151" s="204"/>
      <c r="DW151" s="204"/>
      <c r="DX151" s="204"/>
      <c r="DY151" s="1612"/>
      <c r="DZ151" s="204"/>
      <c r="EA151" s="204"/>
      <c r="EB151" s="1616"/>
      <c r="EC151" s="204"/>
      <c r="ED151" s="204"/>
      <c r="EE151" s="204"/>
      <c r="EF151" s="1612"/>
      <c r="EG151" s="204"/>
      <c r="EH151" s="204"/>
      <c r="EI151" s="1616"/>
      <c r="EJ151" s="204"/>
      <c r="EK151" s="204"/>
      <c r="EL151" s="204"/>
      <c r="EM151" s="1612"/>
      <c r="EN151" s="204"/>
      <c r="EO151" s="204"/>
      <c r="EP151" s="1616"/>
      <c r="EQ151" s="303"/>
      <c r="ER151" s="46"/>
    </row>
    <row r="152" spans="1:148" ht="10.199999999999999" customHeight="1">
      <c r="A152" s="43" t="s">
        <v>20</v>
      </c>
      <c r="B152" s="108"/>
      <c r="C152" s="203">
        <f>Divisional!C4</f>
        <v>19512</v>
      </c>
      <c r="D152" s="203">
        <f>Divisional!D4</f>
        <v>19048</v>
      </c>
      <c r="E152" s="203">
        <f>Divisional!E4</f>
        <v>20224</v>
      </c>
      <c r="F152" s="203">
        <f>Divisional!F4</f>
        <v>22179</v>
      </c>
      <c r="G152" s="203">
        <f>Divisional!G4</f>
        <v>25190</v>
      </c>
      <c r="H152" s="203">
        <f>Divisional!H4</f>
        <v>25216</v>
      </c>
      <c r="I152" s="203">
        <f>Divisional!I4</f>
        <v>26524</v>
      </c>
      <c r="J152" s="203">
        <f>Divisional!J4</f>
        <v>26370</v>
      </c>
      <c r="K152" s="203">
        <f>Divisional!K4</f>
        <v>27673</v>
      </c>
      <c r="L152" s="203">
        <f>Divisional!L4</f>
        <v>31159</v>
      </c>
      <c r="M152" s="203">
        <f>Divisional!M4</f>
        <v>36943</v>
      </c>
      <c r="N152" s="203"/>
      <c r="O152" s="203"/>
      <c r="P152" s="203"/>
      <c r="Q152" s="1448"/>
      <c r="R152" s="203"/>
      <c r="S152" s="203"/>
      <c r="T152" s="1461">
        <f>Divisional!T4</f>
        <v>39494</v>
      </c>
      <c r="U152" s="203">
        <f>Divisional!U4</f>
        <v>8937</v>
      </c>
      <c r="V152" s="203">
        <f>Divisional!V4</f>
        <v>10492</v>
      </c>
      <c r="W152" s="203">
        <f>Divisional!W4</f>
        <v>9391</v>
      </c>
      <c r="X152" s="1448">
        <f>Divisional!X4</f>
        <v>13460</v>
      </c>
      <c r="Y152" s="203">
        <f>Divisional!Y4</f>
        <v>19429</v>
      </c>
      <c r="Z152" s="203">
        <f>Divisional!Z4</f>
        <v>22851</v>
      </c>
      <c r="AA152" s="1461">
        <f>Divisional!AA4</f>
        <v>42280</v>
      </c>
      <c r="AB152" s="203">
        <f>Divisional!AB4</f>
        <v>8565</v>
      </c>
      <c r="AC152" s="203">
        <f>Divisional!AC4</f>
        <v>12516</v>
      </c>
      <c r="AD152" s="203">
        <f>Divisional!AD4</f>
        <v>10038</v>
      </c>
      <c r="AE152" s="1448">
        <f>Divisional!AE4</f>
        <v>14735</v>
      </c>
      <c r="AF152" s="203">
        <f>Divisional!AF4</f>
        <v>21081</v>
      </c>
      <c r="AG152" s="203">
        <f>Divisional!AG4</f>
        <v>24773</v>
      </c>
      <c r="AH152" s="1461">
        <f>Divisional!AH4</f>
        <v>45854</v>
      </c>
      <c r="AI152" s="203">
        <f>Divisional!AI4</f>
        <v>8668</v>
      </c>
      <c r="AJ152" s="203">
        <f>Divisional!AJ4</f>
        <v>12393</v>
      </c>
      <c r="AK152" s="203">
        <f>Divisional!AK4</f>
        <v>10450</v>
      </c>
      <c r="AL152" s="1448">
        <f>Divisional!AL4</f>
        <v>17726</v>
      </c>
      <c r="AM152" s="203">
        <f>Divisional!AM4</f>
        <v>21061</v>
      </c>
      <c r="AN152" s="203">
        <f>Divisional!AN4</f>
        <v>28176</v>
      </c>
      <c r="AO152" s="1461">
        <f>Divisional!AO4</f>
        <v>49237</v>
      </c>
      <c r="AP152" s="203">
        <f>Divisional!AP4</f>
        <v>9825</v>
      </c>
      <c r="AQ152" s="203">
        <f>Divisional!AQ4</f>
        <v>11964</v>
      </c>
      <c r="AR152" s="203">
        <f>Divisional!AR4</f>
        <v>10854</v>
      </c>
      <c r="AS152" s="1448">
        <f>Divisional!AS4</f>
        <v>18315</v>
      </c>
      <c r="AT152" s="203">
        <f>Divisional!AT4</f>
        <v>21789</v>
      </c>
      <c r="AU152" s="203">
        <f>Divisional!AU4</f>
        <v>29169</v>
      </c>
      <c r="AV152" s="1461">
        <f>Divisional!AV4</f>
        <v>50958</v>
      </c>
      <c r="AW152" s="203"/>
      <c r="AX152" s="203"/>
      <c r="AY152" s="203"/>
      <c r="AZ152" s="1448"/>
      <c r="BA152" s="203"/>
      <c r="BB152" s="203"/>
      <c r="BC152" s="1461">
        <f>Divisional!BC4</f>
        <v>43486</v>
      </c>
      <c r="BD152" s="203">
        <f>Divisional!BD4</f>
        <v>7222</v>
      </c>
      <c r="BE152" s="203">
        <f>Divisional!BE4</f>
        <v>11324</v>
      </c>
      <c r="BF152" s="203">
        <f>Divisional!BF4</f>
        <v>11932</v>
      </c>
      <c r="BG152" s="1448">
        <f>Divisional!BG4</f>
        <v>17492</v>
      </c>
      <c r="BH152" s="203">
        <f>Divisional!BH4</f>
        <v>18546</v>
      </c>
      <c r="BI152" s="203">
        <f>Divisional!BI4</f>
        <v>29424</v>
      </c>
      <c r="BJ152" s="1461">
        <f>Divisional!BJ4</f>
        <v>47970</v>
      </c>
      <c r="BK152" s="203">
        <f>Divisional!BR4</f>
        <v>9697</v>
      </c>
      <c r="BL152" s="203">
        <f>Divisional!BS4</f>
        <v>14346</v>
      </c>
      <c r="BM152" s="203">
        <f>Divisional!BT4</f>
        <v>11529</v>
      </c>
      <c r="BN152" s="1448">
        <f>Divisional!BU4</f>
        <v>19203</v>
      </c>
      <c r="BO152" s="203">
        <f>Divisional!BV4</f>
        <v>24043</v>
      </c>
      <c r="BP152" s="203">
        <f>Divisional!BW4</f>
        <v>30732</v>
      </c>
      <c r="BQ152" s="1461">
        <f>Divisional!BQ4</f>
        <v>54775</v>
      </c>
      <c r="BR152" s="203">
        <f>Divisional!BY4</f>
        <v>7569</v>
      </c>
      <c r="BS152" s="203">
        <f>Divisional!BZ4</f>
        <v>4964</v>
      </c>
      <c r="BT152" s="203">
        <f>Divisional!CA4</f>
        <v>7738</v>
      </c>
      <c r="BU152" s="1448">
        <f>Divisional!CB4</f>
        <v>13979</v>
      </c>
      <c r="BV152" s="203">
        <f>Divisional!CC4</f>
        <v>12533</v>
      </c>
      <c r="BW152" s="203">
        <f>Divisional!CD4</f>
        <v>21717</v>
      </c>
      <c r="BX152" s="1461">
        <f>Divisional!CE4</f>
        <v>34250</v>
      </c>
      <c r="BY152" s="203">
        <f>Divisional!CF4</f>
        <v>7272</v>
      </c>
      <c r="BZ152" s="203">
        <f>Divisional!CG4</f>
        <v>10541</v>
      </c>
      <c r="CA152" s="203">
        <f>Divisional!CH4</f>
        <v>6805</v>
      </c>
      <c r="CB152" s="1448">
        <f>Divisional!CI4</f>
        <v>11546</v>
      </c>
      <c r="CC152" s="203">
        <f>Divisional!CJ4</f>
        <v>17813</v>
      </c>
      <c r="CD152" s="203">
        <f>Divisional!CK4</f>
        <v>18351</v>
      </c>
      <c r="CE152" s="1461">
        <f>Divisional!CL4</f>
        <v>36164</v>
      </c>
      <c r="CF152" s="203">
        <f>Divisional!CM4</f>
        <v>8541</v>
      </c>
      <c r="CG152" s="203">
        <f>Divisional!CN4</f>
        <v>8992</v>
      </c>
      <c r="CH152" s="203">
        <f>Divisional!CO4</f>
        <v>9121</v>
      </c>
      <c r="CI152" s="1448">
        <f>Divisional!CP4</f>
        <v>14774</v>
      </c>
      <c r="CJ152" s="203">
        <f>Divisional!CQ4</f>
        <v>17533</v>
      </c>
      <c r="CK152" s="203">
        <f>Divisional!CR4</f>
        <v>23895</v>
      </c>
      <c r="CL152" s="1461">
        <f>Divisional!CS4</f>
        <v>41428</v>
      </c>
      <c r="CM152" s="203">
        <f>Divisional!CT4</f>
        <v>8110</v>
      </c>
      <c r="CN152" s="203">
        <f>Divisional!CU4</f>
        <v>12239</v>
      </c>
      <c r="CO152" s="203">
        <f>Divisional!CV4</f>
        <v>11158</v>
      </c>
      <c r="CP152" s="1448">
        <f>Divisional!CW4</f>
        <v>16256</v>
      </c>
      <c r="CQ152" s="203">
        <f>Divisional!CX4</f>
        <v>20349</v>
      </c>
      <c r="CR152" s="203">
        <f>Divisional!CY4</f>
        <v>27414</v>
      </c>
      <c r="CS152" s="1461">
        <f>Divisional!CZ4</f>
        <v>47763</v>
      </c>
      <c r="CT152" s="203">
        <f>Divisional!DA4</f>
        <v>9167</v>
      </c>
      <c r="CU152" s="203">
        <f>Divisional!DB4</f>
        <v>12048</v>
      </c>
      <c r="CV152" s="203">
        <f>Divisional!DC4</f>
        <v>11664</v>
      </c>
      <c r="CW152" s="1448">
        <f>Divisional!DD4</f>
        <v>17767</v>
      </c>
      <c r="CX152" s="203">
        <f>Divisional!DE4</f>
        <v>21215</v>
      </c>
      <c r="CY152" s="203">
        <f>Divisional!DF4</f>
        <v>29431</v>
      </c>
      <c r="CZ152" s="1461">
        <f>Divisional!DG4</f>
        <v>50646</v>
      </c>
      <c r="DA152" s="203">
        <f>Divisional!DH4</f>
        <v>9521</v>
      </c>
      <c r="DB152" s="203">
        <f>Divisional!DI4</f>
        <v>11308</v>
      </c>
      <c r="DC152" s="203">
        <f>Divisional!DJ4</f>
        <v>13057</v>
      </c>
      <c r="DD152" s="1869">
        <f>Divisional!DK4</f>
        <v>18691</v>
      </c>
      <c r="DE152" s="203">
        <f>Divisional!DL4</f>
        <v>20829</v>
      </c>
      <c r="DF152" s="203">
        <f>Divisional!DM4</f>
        <v>31748</v>
      </c>
      <c r="DG152" s="1461">
        <f>Divisional!DN4</f>
        <v>52577</v>
      </c>
      <c r="DH152" s="834">
        <f>Divisional!DO4</f>
        <v>8436</v>
      </c>
      <c r="DI152" s="203">
        <f>Divisional!DP4</f>
        <v>15441</v>
      </c>
      <c r="DJ152" s="860">
        <f>Divisional!DQ4</f>
        <v>14465.159374942479</v>
      </c>
      <c r="DK152" s="1557">
        <f>Divisional!DR4</f>
        <v>19996.599972978511</v>
      </c>
      <c r="DL152" s="203">
        <f>Divisional!DS4</f>
        <v>23877</v>
      </c>
      <c r="DM152" s="860">
        <f>Divisional!DT4</f>
        <v>34461.75934792099</v>
      </c>
      <c r="DN152" s="1119">
        <f>Divisional!DU4</f>
        <v>58338.75934792099</v>
      </c>
      <c r="DO152" s="860">
        <f>Divisional!DV4</f>
        <v>15947.903480844785</v>
      </c>
      <c r="DP152" s="1422">
        <f>Divisional!DW4</f>
        <v>16847.493062443657</v>
      </c>
      <c r="DQ152" s="860">
        <f>Divisional!DX4</f>
        <v>16890.458627828706</v>
      </c>
      <c r="DR152" s="1557">
        <f>Divisional!DY4</f>
        <v>16547.132419279817</v>
      </c>
      <c r="DS152" s="860">
        <f>Divisional!DZ4</f>
        <v>32795.396543288443</v>
      </c>
      <c r="DT152" s="860">
        <f>Divisional!EA4</f>
        <v>33437.591047108523</v>
      </c>
      <c r="DU152" s="1119">
        <f>Divisional!EB4</f>
        <v>66232.987590396966</v>
      </c>
      <c r="DV152" s="860">
        <f>Divisional!EC4</f>
        <v>17483.516113039725</v>
      </c>
      <c r="DW152" s="1422">
        <f>Divisional!ED4</f>
        <v>18521.309142763625</v>
      </c>
      <c r="DX152" s="860">
        <f>Divisional!EE4</f>
        <v>18566.922653250138</v>
      </c>
      <c r="DY152" s="1557">
        <f>Divisional!EF4</f>
        <v>18573.742633589314</v>
      </c>
      <c r="DZ152" s="860">
        <f>Divisional!EG4</f>
        <v>36004.825255803349</v>
      </c>
      <c r="EA152" s="860">
        <f>Divisional!EH4</f>
        <v>37140.665286839452</v>
      </c>
      <c r="EB152" s="1119">
        <f>Divisional!EI4</f>
        <v>73145.490542642801</v>
      </c>
      <c r="EC152" s="860">
        <f>Divisional!EJ4</f>
        <v>18860.931525780885</v>
      </c>
      <c r="ED152" s="1422">
        <f>Divisional!EK4</f>
        <v>19139.547824434798</v>
      </c>
      <c r="EE152" s="860">
        <f>Divisional!EL4</f>
        <v>19187.187906652489</v>
      </c>
      <c r="EF152" s="1557">
        <f>Divisional!EM4</f>
        <v>19182.933288099495</v>
      </c>
      <c r="EG152" s="860">
        <f>Divisional!EN4</f>
        <v>38000.479350215683</v>
      </c>
      <c r="EH152" s="860">
        <f>Divisional!EO4</f>
        <v>38370.121194751984</v>
      </c>
      <c r="EI152" s="1119">
        <f>Divisional!EP4</f>
        <v>76370.600544967674</v>
      </c>
      <c r="EJ152" s="860">
        <f>Divisional!EQ4</f>
        <v>19414.718418889872</v>
      </c>
      <c r="EK152" s="1422">
        <f>Divisional!ER4</f>
        <v>19711.988291482878</v>
      </c>
      <c r="EL152" s="860">
        <f>Divisional!ES4</f>
        <v>19762.592797427096</v>
      </c>
      <c r="EM152" s="1557">
        <f>Divisional!ET4</f>
        <v>19739.232629606347</v>
      </c>
      <c r="EN152" s="860">
        <f>Divisional!EU4</f>
        <v>39126.706710372746</v>
      </c>
      <c r="EO152" s="860">
        <f>Divisional!EV4</f>
        <v>39501.825427033444</v>
      </c>
      <c r="EP152" s="1119">
        <f>Divisional!EW4</f>
        <v>78628.53213740619</v>
      </c>
      <c r="EQ152" s="303"/>
      <c r="ER152" s="46"/>
    </row>
    <row r="153" spans="1:148" ht="10.199999999999999" customHeight="1">
      <c r="A153" s="43" t="s">
        <v>21</v>
      </c>
      <c r="B153" s="108"/>
      <c r="C153" s="207">
        <f t="shared" ref="C153:EP153" si="1079">+C154-C152</f>
        <v>11344</v>
      </c>
      <c r="D153" s="207">
        <f t="shared" si="1079"/>
        <v>12326</v>
      </c>
      <c r="E153" s="207">
        <f t="shared" si="1079"/>
        <v>13157</v>
      </c>
      <c r="F153" s="207">
        <f t="shared" si="1079"/>
        <v>13463</v>
      </c>
      <c r="G153" s="207">
        <f t="shared" si="1079"/>
        <v>14244</v>
      </c>
      <c r="H153" s="207">
        <f t="shared" si="1079"/>
        <v>13907</v>
      </c>
      <c r="I153" s="207">
        <f t="shared" si="1079"/>
        <v>16741</v>
      </c>
      <c r="J153" s="207">
        <f t="shared" si="1079"/>
        <v>16452</v>
      </c>
      <c r="K153" s="207">
        <f t="shared" si="1079"/>
        <v>18079</v>
      </c>
      <c r="L153" s="207">
        <f t="shared" si="1079"/>
        <v>17969</v>
      </c>
      <c r="M153" s="207">
        <f t="shared" si="1079"/>
        <v>19537</v>
      </c>
      <c r="N153" s="1442"/>
      <c r="O153" s="1442"/>
      <c r="P153" s="1442"/>
      <c r="Q153" s="1450"/>
      <c r="R153" s="1442"/>
      <c r="S153" s="1442"/>
      <c r="T153" s="1463">
        <f t="shared" si="1079"/>
        <v>18073</v>
      </c>
      <c r="U153" s="1442">
        <f t="shared" ref="U153:X153" si="1080">+U154-U152</f>
        <v>3711</v>
      </c>
      <c r="V153" s="1442">
        <f t="shared" si="1080"/>
        <v>4060</v>
      </c>
      <c r="W153" s="1442">
        <f t="shared" si="1080"/>
        <v>3906</v>
      </c>
      <c r="X153" s="1450">
        <f t="shared" si="1080"/>
        <v>6756</v>
      </c>
      <c r="Y153" s="1442">
        <f t="shared" ref="Y153:Z153" si="1081">+Y154-Y152</f>
        <v>7771</v>
      </c>
      <c r="Z153" s="1442">
        <f t="shared" si="1081"/>
        <v>10662</v>
      </c>
      <c r="AA153" s="1463">
        <f t="shared" si="1079"/>
        <v>18433</v>
      </c>
      <c r="AB153" s="1442">
        <f t="shared" si="1079"/>
        <v>3513</v>
      </c>
      <c r="AC153" s="1442">
        <f t="shared" si="1079"/>
        <v>4299</v>
      </c>
      <c r="AD153" s="1442">
        <f t="shared" si="1079"/>
        <v>4034</v>
      </c>
      <c r="AE153" s="1450">
        <f t="shared" si="1079"/>
        <v>6750</v>
      </c>
      <c r="AF153" s="1442">
        <f t="shared" ref="AF153:AG153" si="1082">+AF154-AF152</f>
        <v>7812</v>
      </c>
      <c r="AG153" s="1442">
        <f t="shared" si="1082"/>
        <v>10784</v>
      </c>
      <c r="AH153" s="1463">
        <f t="shared" si="1079"/>
        <v>18596</v>
      </c>
      <c r="AI153" s="1442">
        <f t="shared" ref="AI153:AL153" si="1083">+AI154-AI152</f>
        <v>3515</v>
      </c>
      <c r="AJ153" s="1442">
        <f t="shared" si="1083"/>
        <v>4179</v>
      </c>
      <c r="AK153" s="1442">
        <f t="shared" si="1083"/>
        <v>3500</v>
      </c>
      <c r="AL153" s="1450">
        <f t="shared" si="1083"/>
        <v>6150</v>
      </c>
      <c r="AM153" s="1442">
        <f t="shared" ref="AM153:AN153" si="1084">+AM154-AM152</f>
        <v>7694</v>
      </c>
      <c r="AN153" s="1442">
        <f t="shared" si="1084"/>
        <v>9650</v>
      </c>
      <c r="AO153" s="1463">
        <f t="shared" si="1079"/>
        <v>17344</v>
      </c>
      <c r="AP153" s="1442">
        <f t="shared" si="1079"/>
        <v>3163</v>
      </c>
      <c r="AQ153" s="1442">
        <f t="shared" si="1079"/>
        <v>3757</v>
      </c>
      <c r="AR153" s="1442">
        <f t="shared" si="1079"/>
        <v>3390</v>
      </c>
      <c r="AS153" s="1450">
        <f t="shared" si="1079"/>
        <v>5499</v>
      </c>
      <c r="AT153" s="1442">
        <f t="shared" ref="AT153:AU153" si="1085">+AT154-AT152</f>
        <v>6920</v>
      </c>
      <c r="AU153" s="1442">
        <f t="shared" si="1085"/>
        <v>8889</v>
      </c>
      <c r="AV153" s="1463">
        <f t="shared" si="1079"/>
        <v>15809</v>
      </c>
      <c r="AW153" s="1442"/>
      <c r="AX153" s="1442"/>
      <c r="AY153" s="1442"/>
      <c r="AZ153" s="1450"/>
      <c r="BA153" s="1442"/>
      <c r="BB153" s="1442"/>
      <c r="BC153" s="1463">
        <f t="shared" si="1079"/>
        <v>15536</v>
      </c>
      <c r="BD153" s="1442">
        <f t="shared" ref="BD153:BE153" si="1086">+BD154-BD152</f>
        <v>2897</v>
      </c>
      <c r="BE153" s="1442">
        <f t="shared" si="1086"/>
        <v>3527</v>
      </c>
      <c r="BF153" s="1442">
        <f t="shared" ref="BF153:BG153" si="1087">+BF154-BF152</f>
        <v>3519</v>
      </c>
      <c r="BG153" s="1450">
        <f t="shared" si="1087"/>
        <v>5794</v>
      </c>
      <c r="BH153" s="1442">
        <f t="shared" ref="BH153:BI153" si="1088">+BH154-BH152</f>
        <v>6424</v>
      </c>
      <c r="BI153" s="1442">
        <f t="shared" si="1088"/>
        <v>9313</v>
      </c>
      <c r="BJ153" s="1463">
        <f t="shared" si="1079"/>
        <v>15737</v>
      </c>
      <c r="BK153" s="1442">
        <f t="shared" si="1079"/>
        <v>2852</v>
      </c>
      <c r="BL153" s="1442">
        <f t="shared" si="1079"/>
        <v>3971</v>
      </c>
      <c r="BM153" s="1442">
        <f t="shared" si="1079"/>
        <v>3773</v>
      </c>
      <c r="BN153" s="1450">
        <f t="shared" si="1079"/>
        <v>5107</v>
      </c>
      <c r="BO153" s="1442">
        <f t="shared" ref="BO153:BP153" si="1089">+BO154-BO152</f>
        <v>6823</v>
      </c>
      <c r="BP153" s="1442">
        <f t="shared" si="1089"/>
        <v>8880</v>
      </c>
      <c r="BQ153" s="1463">
        <f t="shared" si="1079"/>
        <v>15703</v>
      </c>
      <c r="BR153" s="1442">
        <f t="shared" ref="BR153:BU153" si="1090">+BR154-BR152</f>
        <v>3062</v>
      </c>
      <c r="BS153" s="1442">
        <f t="shared" si="1090"/>
        <v>3353</v>
      </c>
      <c r="BT153" s="1442">
        <f t="shared" si="1090"/>
        <v>3475</v>
      </c>
      <c r="BU153" s="1450">
        <f t="shared" si="1090"/>
        <v>5772</v>
      </c>
      <c r="BV153" s="1442">
        <f t="shared" ref="BV153:BW153" si="1091">+BV154-BV152</f>
        <v>6415</v>
      </c>
      <c r="BW153" s="1442">
        <f t="shared" si="1091"/>
        <v>9247</v>
      </c>
      <c r="BX153" s="1463">
        <f t="shared" si="1079"/>
        <v>15662</v>
      </c>
      <c r="BY153" s="1442">
        <f t="shared" si="1079"/>
        <v>3188</v>
      </c>
      <c r="BZ153" s="1442">
        <f t="shared" si="1079"/>
        <v>3636</v>
      </c>
      <c r="CA153" s="1442">
        <f t="shared" si="1079"/>
        <v>3713</v>
      </c>
      <c r="CB153" s="1450">
        <f t="shared" si="1079"/>
        <v>5448</v>
      </c>
      <c r="CC153" s="1442">
        <f t="shared" ref="CC153:CD153" si="1092">+CC154-CC152</f>
        <v>6824</v>
      </c>
      <c r="CD153" s="1442">
        <f t="shared" si="1092"/>
        <v>9161</v>
      </c>
      <c r="CE153" s="1463">
        <f t="shared" si="1079"/>
        <v>15985</v>
      </c>
      <c r="CF153" s="1442">
        <f t="shared" ref="CF153:CI153" si="1093">+CF154-CF152</f>
        <v>3459</v>
      </c>
      <c r="CG153" s="1442">
        <f t="shared" si="1093"/>
        <v>3818</v>
      </c>
      <c r="CH153" s="1442">
        <f t="shared" si="1093"/>
        <v>4188</v>
      </c>
      <c r="CI153" s="1450">
        <f t="shared" si="1093"/>
        <v>5870</v>
      </c>
      <c r="CJ153" s="1442">
        <f t="shared" ref="CJ153:CK153" si="1094">+CJ154-CJ152</f>
        <v>7277</v>
      </c>
      <c r="CK153" s="1442">
        <f t="shared" si="1094"/>
        <v>10058</v>
      </c>
      <c r="CL153" s="1463">
        <f t="shared" si="1079"/>
        <v>17335</v>
      </c>
      <c r="CM153" s="1442">
        <f t="shared" si="1079"/>
        <v>3653</v>
      </c>
      <c r="CN153" s="1442">
        <f t="shared" si="1079"/>
        <v>3661</v>
      </c>
      <c r="CO153" s="1442">
        <f t="shared" si="1079"/>
        <v>3739</v>
      </c>
      <c r="CP153" s="1450">
        <f t="shared" si="1079"/>
        <v>6630</v>
      </c>
      <c r="CQ153" s="1442">
        <f t="shared" ref="CQ153:CR153" si="1095">+CQ154-CQ152</f>
        <v>7314</v>
      </c>
      <c r="CR153" s="1442">
        <f t="shared" si="1095"/>
        <v>10369</v>
      </c>
      <c r="CS153" s="1463">
        <f t="shared" si="1079"/>
        <v>17683</v>
      </c>
      <c r="CT153" s="1442">
        <f t="shared" ref="CT153:CU153" si="1096">+CT154-CT152</f>
        <v>3663</v>
      </c>
      <c r="CU153" s="1442">
        <f t="shared" si="1096"/>
        <v>3947</v>
      </c>
      <c r="CV153" s="1442">
        <f t="shared" ref="CV153:CW153" si="1097">+CV154-CV152</f>
        <v>4025</v>
      </c>
      <c r="CW153" s="1450">
        <f t="shared" si="1097"/>
        <v>6949</v>
      </c>
      <c r="CX153" s="1442">
        <f t="shared" ref="CX153:DC153" si="1098">+CX154-CX152</f>
        <v>7610</v>
      </c>
      <c r="CY153" s="1442">
        <f t="shared" si="1098"/>
        <v>10974</v>
      </c>
      <c r="CZ153" s="1463">
        <f t="shared" si="1098"/>
        <v>18584</v>
      </c>
      <c r="DA153" s="1442">
        <f t="shared" si="1098"/>
        <v>4021</v>
      </c>
      <c r="DB153" s="1442">
        <f t="shared" si="1098"/>
        <v>4760</v>
      </c>
      <c r="DC153" s="1442">
        <f t="shared" si="1098"/>
        <v>4769</v>
      </c>
      <c r="DD153" s="1912">
        <f t="shared" ref="DD153:DF153" si="1099">+DD154-DD152</f>
        <v>7293</v>
      </c>
      <c r="DE153" s="1442">
        <f t="shared" si="1099"/>
        <v>8781</v>
      </c>
      <c r="DF153" s="1442">
        <f t="shared" si="1099"/>
        <v>12062</v>
      </c>
      <c r="DG153" s="1463">
        <f t="shared" ref="DG153:DI153" si="1100">+DG154-DG152</f>
        <v>20843</v>
      </c>
      <c r="DH153" s="1564">
        <f t="shared" si="1100"/>
        <v>4215</v>
      </c>
      <c r="DI153" s="1442">
        <f t="shared" si="1100"/>
        <v>5084</v>
      </c>
      <c r="DJ153" s="1410">
        <f t="shared" si="1079"/>
        <v>4932.1213833681031</v>
      </c>
      <c r="DK153" s="1669">
        <f t="shared" si="1079"/>
        <v>7988.263099368105</v>
      </c>
      <c r="DL153" s="1442">
        <f t="shared" si="1079"/>
        <v>9299</v>
      </c>
      <c r="DM153" s="1410">
        <f t="shared" si="1079"/>
        <v>12920.384482736197</v>
      </c>
      <c r="DN153" s="1487">
        <f t="shared" si="1079"/>
        <v>22219.384482736205</v>
      </c>
      <c r="DO153" s="1410">
        <f t="shared" si="1079"/>
        <v>4230.6108264147933</v>
      </c>
      <c r="DP153" s="1668">
        <f t="shared" si="1079"/>
        <v>5420.9123544147915</v>
      </c>
      <c r="DQ153" s="1410">
        <f t="shared" si="1079"/>
        <v>5273.4223491147932</v>
      </c>
      <c r="DR153" s="1669">
        <f t="shared" si="1079"/>
        <v>8499.0539152411948</v>
      </c>
      <c r="DS153" s="1410">
        <f t="shared" si="1079"/>
        <v>9651.5231808295866</v>
      </c>
      <c r="DT153" s="1410">
        <f t="shared" si="1079"/>
        <v>13772.476264355988</v>
      </c>
      <c r="DU153" s="1487">
        <f t="shared" si="1079"/>
        <v>23423.999445185575</v>
      </c>
      <c r="DV153" s="1410">
        <f t="shared" si="1079"/>
        <v>4417.4211985525944</v>
      </c>
      <c r="DW153" s="1668">
        <f t="shared" si="1079"/>
        <v>5663.0996410837943</v>
      </c>
      <c r="DX153" s="1410">
        <f t="shared" si="1079"/>
        <v>5508.2145430896744</v>
      </c>
      <c r="DY153" s="1669">
        <f t="shared" si="1079"/>
        <v>8880.7151972875836</v>
      </c>
      <c r="DZ153" s="1410">
        <f t="shared" si="1079"/>
        <v>10080.520839636389</v>
      </c>
      <c r="EA153" s="1410">
        <f t="shared" si="1079"/>
        <v>14388.929740377258</v>
      </c>
      <c r="EB153" s="1487">
        <f t="shared" si="1079"/>
        <v>24469.450580013654</v>
      </c>
      <c r="EC153" s="1410">
        <f t="shared" si="1079"/>
        <v>4633.9525324022034</v>
      </c>
      <c r="ED153" s="1668">
        <f t="shared" si="1079"/>
        <v>5937.6095534516644</v>
      </c>
      <c r="EE153" s="1410">
        <f t="shared" si="1079"/>
        <v>5774.9587761945804</v>
      </c>
      <c r="EF153" s="1669">
        <f t="shared" si="1079"/>
        <v>9301.0897082620831</v>
      </c>
      <c r="EG153" s="1410">
        <f t="shared" si="1079"/>
        <v>10571.562085853868</v>
      </c>
      <c r="EH153" s="1410">
        <f t="shared" si="1079"/>
        <v>15076.04848445666</v>
      </c>
      <c r="EI153" s="1487">
        <f t="shared" si="1079"/>
        <v>25647.610570310528</v>
      </c>
      <c r="EJ153" s="1410">
        <f t="shared" si="1079"/>
        <v>4866.8193771176193</v>
      </c>
      <c r="EK153" s="1668">
        <f t="shared" si="1079"/>
        <v>6231.1799697294809</v>
      </c>
      <c r="EL153" s="1410">
        <f t="shared" si="1079"/>
        <v>6060.3743637020125</v>
      </c>
      <c r="EM153" s="1669">
        <f t="shared" si="1079"/>
        <v>9747.2112994370436</v>
      </c>
      <c r="EN153" s="1410">
        <f t="shared" si="1079"/>
        <v>11097.9993468471</v>
      </c>
      <c r="EO153" s="1410">
        <f t="shared" si="1079"/>
        <v>15807.585663139049</v>
      </c>
      <c r="EP153" s="1487">
        <f t="shared" si="1079"/>
        <v>26905.585009986142</v>
      </c>
      <c r="EQ153" s="303"/>
      <c r="ER153" s="46"/>
    </row>
    <row r="154" spans="1:148" ht="10.199999999999999" customHeight="1">
      <c r="A154" s="43" t="s">
        <v>19</v>
      </c>
      <c r="B154" s="108"/>
      <c r="C154" s="203">
        <f>+Divisional!C11</f>
        <v>30856</v>
      </c>
      <c r="D154" s="203">
        <f>+Divisional!D11</f>
        <v>31374</v>
      </c>
      <c r="E154" s="203">
        <f>+Divisional!E11</f>
        <v>33381</v>
      </c>
      <c r="F154" s="203">
        <f>+Divisional!F11</f>
        <v>35642</v>
      </c>
      <c r="G154" s="203">
        <f>+Divisional!G13</f>
        <v>39434</v>
      </c>
      <c r="H154" s="203">
        <f>+Divisional!H13</f>
        <v>39123</v>
      </c>
      <c r="I154" s="203">
        <f>+Divisional!I13</f>
        <v>43265</v>
      </c>
      <c r="J154" s="203">
        <f>+Divisional!J13</f>
        <v>42822</v>
      </c>
      <c r="K154" s="203">
        <f>+Divisional!K13</f>
        <v>45752</v>
      </c>
      <c r="L154" s="203">
        <f>+Divisional!L13</f>
        <v>49128</v>
      </c>
      <c r="M154" s="203">
        <f>+Divisional!M13</f>
        <v>56480</v>
      </c>
      <c r="N154" s="203"/>
      <c r="O154" s="203"/>
      <c r="P154" s="203"/>
      <c r="Q154" s="1448"/>
      <c r="R154" s="203"/>
      <c r="S154" s="203"/>
      <c r="T154" s="1461">
        <f>+Divisional!T13</f>
        <v>57567</v>
      </c>
      <c r="U154" s="203">
        <f>+Divisional!U13</f>
        <v>12648</v>
      </c>
      <c r="V154" s="203">
        <f>+Divisional!V13</f>
        <v>14552</v>
      </c>
      <c r="W154" s="203">
        <f>+Divisional!W13</f>
        <v>13297</v>
      </c>
      <c r="X154" s="1448">
        <f>+Divisional!X13</f>
        <v>20216</v>
      </c>
      <c r="Y154" s="203">
        <f>+Divisional!Y13</f>
        <v>27200</v>
      </c>
      <c r="Z154" s="203">
        <f>+Divisional!Z13</f>
        <v>33513</v>
      </c>
      <c r="AA154" s="1461">
        <f>+Divisional!AA13</f>
        <v>60713</v>
      </c>
      <c r="AB154" s="203">
        <f>+Divisional!AB13</f>
        <v>12078</v>
      </c>
      <c r="AC154" s="203">
        <f>+Divisional!AC13</f>
        <v>16815</v>
      </c>
      <c r="AD154" s="203">
        <f>+Divisional!AD13</f>
        <v>14072</v>
      </c>
      <c r="AE154" s="1448">
        <f>+Divisional!AE13</f>
        <v>21485</v>
      </c>
      <c r="AF154" s="203">
        <f>+Divisional!AF13</f>
        <v>28893</v>
      </c>
      <c r="AG154" s="203">
        <f>+Divisional!AG13</f>
        <v>35557</v>
      </c>
      <c r="AH154" s="1461">
        <f>+Divisional!AH13</f>
        <v>64450</v>
      </c>
      <c r="AI154" s="203">
        <f>+Divisional!AI13</f>
        <v>12183</v>
      </c>
      <c r="AJ154" s="203">
        <f>+Divisional!AJ13</f>
        <v>16572</v>
      </c>
      <c r="AK154" s="203">
        <f>+Divisional!AK13</f>
        <v>13950</v>
      </c>
      <c r="AL154" s="1448">
        <f>+Divisional!AL13</f>
        <v>23876</v>
      </c>
      <c r="AM154" s="203">
        <f>+Divisional!AM13</f>
        <v>28755</v>
      </c>
      <c r="AN154" s="203">
        <f>+Divisional!AN13</f>
        <v>37826</v>
      </c>
      <c r="AO154" s="1461">
        <f>+Divisional!AO13</f>
        <v>66581</v>
      </c>
      <c r="AP154" s="203">
        <f>+Divisional!AP13</f>
        <v>12988</v>
      </c>
      <c r="AQ154" s="203">
        <f>+Divisional!AQ13</f>
        <v>15721</v>
      </c>
      <c r="AR154" s="203">
        <f>+Divisional!AR13</f>
        <v>14244</v>
      </c>
      <c r="AS154" s="1448">
        <f>+Divisional!AS13</f>
        <v>23814</v>
      </c>
      <c r="AT154" s="203">
        <f>+Divisional!AT13</f>
        <v>28709</v>
      </c>
      <c r="AU154" s="203">
        <f>+Divisional!AU13</f>
        <v>38058</v>
      </c>
      <c r="AV154" s="1461">
        <f>+Divisional!AV13</f>
        <v>66767</v>
      </c>
      <c r="AW154" s="203"/>
      <c r="AX154" s="203"/>
      <c r="AY154" s="203"/>
      <c r="AZ154" s="1448"/>
      <c r="BA154" s="203"/>
      <c r="BB154" s="203"/>
      <c r="BC154" s="1461">
        <f>+Divisional!BC13</f>
        <v>59022</v>
      </c>
      <c r="BD154" s="203">
        <f>+Divisional!BD13</f>
        <v>10119</v>
      </c>
      <c r="BE154" s="203">
        <f>+Divisional!BE13</f>
        <v>14851</v>
      </c>
      <c r="BF154" s="203">
        <f>+Divisional!BF13</f>
        <v>15451</v>
      </c>
      <c r="BG154" s="1448">
        <f>+Divisional!BG13</f>
        <v>23286</v>
      </c>
      <c r="BH154" s="203">
        <f>+Divisional!BH13</f>
        <v>24970</v>
      </c>
      <c r="BI154" s="203">
        <f>+Divisional!BI13</f>
        <v>38737</v>
      </c>
      <c r="BJ154" s="1461">
        <f>+Divisional!BJ13</f>
        <v>63707</v>
      </c>
      <c r="BK154" s="203">
        <f>+Divisional!BR13</f>
        <v>12549</v>
      </c>
      <c r="BL154" s="203">
        <f>+Divisional!BS13</f>
        <v>18317</v>
      </c>
      <c r="BM154" s="203">
        <f>+Divisional!BT13</f>
        <v>15302</v>
      </c>
      <c r="BN154" s="1448">
        <f>+Divisional!BU13</f>
        <v>24310</v>
      </c>
      <c r="BO154" s="203">
        <f>+Divisional!BV13</f>
        <v>30866</v>
      </c>
      <c r="BP154" s="203">
        <f>+Divisional!BW13</f>
        <v>39612</v>
      </c>
      <c r="BQ154" s="1461">
        <f>+Divisional!BQ13</f>
        <v>70478</v>
      </c>
      <c r="BR154" s="203">
        <f>+Divisional!BY13</f>
        <v>10631</v>
      </c>
      <c r="BS154" s="203">
        <f>+Divisional!BZ13</f>
        <v>8317</v>
      </c>
      <c r="BT154" s="203">
        <f>+Divisional!CA13</f>
        <v>11213</v>
      </c>
      <c r="BU154" s="1448">
        <f>+Divisional!CB13</f>
        <v>19751</v>
      </c>
      <c r="BV154" s="203">
        <f>+Divisional!CC13</f>
        <v>18948</v>
      </c>
      <c r="BW154" s="203">
        <f>+Divisional!CD13</f>
        <v>30964</v>
      </c>
      <c r="BX154" s="1461">
        <f>+Divisional!CE13</f>
        <v>49912</v>
      </c>
      <c r="BY154" s="203">
        <f>+Divisional!CF13</f>
        <v>10460</v>
      </c>
      <c r="BZ154" s="203">
        <f>+Divisional!CG13</f>
        <v>14177</v>
      </c>
      <c r="CA154" s="203">
        <f>+Divisional!CH13</f>
        <v>10518</v>
      </c>
      <c r="CB154" s="1448">
        <f>+Divisional!CI13</f>
        <v>16994</v>
      </c>
      <c r="CC154" s="203">
        <f>+Divisional!CJ13</f>
        <v>24637</v>
      </c>
      <c r="CD154" s="203">
        <f>+Divisional!CK13</f>
        <v>27512</v>
      </c>
      <c r="CE154" s="1461">
        <f>+Divisional!CL13</f>
        <v>52149</v>
      </c>
      <c r="CF154" s="203">
        <f>+Divisional!CM13</f>
        <v>12000</v>
      </c>
      <c r="CG154" s="203">
        <f>+Divisional!CN13</f>
        <v>12810</v>
      </c>
      <c r="CH154" s="203">
        <f>+Divisional!CO13</f>
        <v>13309</v>
      </c>
      <c r="CI154" s="1448">
        <f>+Divisional!CP13</f>
        <v>20644</v>
      </c>
      <c r="CJ154" s="203">
        <f>+Divisional!CQ13</f>
        <v>24810</v>
      </c>
      <c r="CK154" s="203">
        <f>+Divisional!CR13</f>
        <v>33953</v>
      </c>
      <c r="CL154" s="1461">
        <f>+Divisional!CS13</f>
        <v>58763</v>
      </c>
      <c r="CM154" s="203">
        <f>+Divisional!CT13</f>
        <v>11763</v>
      </c>
      <c r="CN154" s="203">
        <f>+Divisional!CU13</f>
        <v>15900</v>
      </c>
      <c r="CO154" s="203">
        <f>+Divisional!CV13</f>
        <v>14897</v>
      </c>
      <c r="CP154" s="1448">
        <f>+Divisional!CW13</f>
        <v>22886</v>
      </c>
      <c r="CQ154" s="203">
        <f>+Divisional!CX13</f>
        <v>27663</v>
      </c>
      <c r="CR154" s="203">
        <f>+Divisional!CY13</f>
        <v>37783</v>
      </c>
      <c r="CS154" s="1461">
        <f>+Divisional!CZ13</f>
        <v>65446</v>
      </c>
      <c r="CT154" s="203">
        <f>+Divisional!DA13</f>
        <v>12830</v>
      </c>
      <c r="CU154" s="203">
        <f>+Divisional!DB13</f>
        <v>15995</v>
      </c>
      <c r="CV154" s="203">
        <f>+Divisional!DC13</f>
        <v>15689</v>
      </c>
      <c r="CW154" s="1448">
        <f>+Divisional!DD13</f>
        <v>24716</v>
      </c>
      <c r="CX154" s="203">
        <f>+Divisional!DE13</f>
        <v>28825</v>
      </c>
      <c r="CY154" s="203">
        <f>+Divisional!DF13</f>
        <v>40405</v>
      </c>
      <c r="CZ154" s="1461">
        <f>+Divisional!DG13</f>
        <v>69230</v>
      </c>
      <c r="DA154" s="203">
        <f>+Divisional!DH13</f>
        <v>13542</v>
      </c>
      <c r="DB154" s="203">
        <f>+Divisional!DI13</f>
        <v>16068</v>
      </c>
      <c r="DC154" s="203">
        <f>+Divisional!DJ13</f>
        <v>17826</v>
      </c>
      <c r="DD154" s="1869">
        <f>+Divisional!DK13</f>
        <v>25984</v>
      </c>
      <c r="DE154" s="203">
        <f>+Divisional!DL13</f>
        <v>29610</v>
      </c>
      <c r="DF154" s="203">
        <f>+Divisional!DM13</f>
        <v>43810</v>
      </c>
      <c r="DG154" s="1461">
        <f>+Divisional!DN13</f>
        <v>73420</v>
      </c>
      <c r="DH154" s="834">
        <f>+Divisional!DO13</f>
        <v>12651</v>
      </c>
      <c r="DI154" s="203">
        <f>+Divisional!DP13</f>
        <v>20525</v>
      </c>
      <c r="DJ154" s="860">
        <f>+Divisional!DQ13</f>
        <v>19397.280758310582</v>
      </c>
      <c r="DK154" s="1557">
        <f>+Divisional!DR13</f>
        <v>27984.863072346616</v>
      </c>
      <c r="DL154" s="203">
        <f>+Divisional!DS13</f>
        <v>33176</v>
      </c>
      <c r="DM154" s="860">
        <f>+Divisional!DT13</f>
        <v>47382.143830657187</v>
      </c>
      <c r="DN154" s="1119">
        <f>+Divisional!DU13</f>
        <v>80558.143830657194</v>
      </c>
      <c r="DO154" s="860">
        <f>+Divisional!DV13</f>
        <v>20178.514307259578</v>
      </c>
      <c r="DP154" s="1422">
        <f>+Divisional!DW13</f>
        <v>22268.405416858448</v>
      </c>
      <c r="DQ154" s="860">
        <f>+Divisional!DX13</f>
        <v>22163.880976943499</v>
      </c>
      <c r="DR154" s="1557">
        <f>+Divisional!DY13</f>
        <v>25046.186334521011</v>
      </c>
      <c r="DS154" s="860">
        <f>+Divisional!DZ13</f>
        <v>42446.91972411803</v>
      </c>
      <c r="DT154" s="860">
        <f>+Divisional!EA13</f>
        <v>47210.067311464511</v>
      </c>
      <c r="DU154" s="1119">
        <f>+Divisional!EB13</f>
        <v>89656.987035582541</v>
      </c>
      <c r="DV154" s="860">
        <f>+Divisional!EC13</f>
        <v>21900.937311592319</v>
      </c>
      <c r="DW154" s="1422">
        <f>+Divisional!ED13</f>
        <v>24184.408783847419</v>
      </c>
      <c r="DX154" s="860">
        <f>+Divisional!EE13</f>
        <v>24075.137196339812</v>
      </c>
      <c r="DY154" s="1557">
        <f>+Divisional!EF13</f>
        <v>27454.457830876898</v>
      </c>
      <c r="DZ154" s="860">
        <f>+Divisional!EG13</f>
        <v>46085.346095439738</v>
      </c>
      <c r="EA154" s="860">
        <f>+Divisional!EH13</f>
        <v>51529.59502721671</v>
      </c>
      <c r="EB154" s="1119">
        <f>+Divisional!EI13</f>
        <v>97614.941122656455</v>
      </c>
      <c r="EC154" s="860">
        <f>+Divisional!EJ13</f>
        <v>23494.884058183088</v>
      </c>
      <c r="ED154" s="1422">
        <f>+Divisional!EK13</f>
        <v>25077.157377886462</v>
      </c>
      <c r="EE154" s="860">
        <f>+Divisional!EL13</f>
        <v>24962.146682847069</v>
      </c>
      <c r="EF154" s="1557">
        <f>+Divisional!EM13</f>
        <v>28484.022996361578</v>
      </c>
      <c r="EG154" s="860">
        <f>+Divisional!EN13</f>
        <v>48572.04143606955</v>
      </c>
      <c r="EH154" s="860">
        <f>+Divisional!EO13</f>
        <v>53446.169679208644</v>
      </c>
      <c r="EI154" s="1119">
        <f>+Divisional!EP13</f>
        <v>102018.2111152782</v>
      </c>
      <c r="EJ154" s="860">
        <f>+Divisional!EQ13</f>
        <v>24281.537796007491</v>
      </c>
      <c r="EK154" s="1422">
        <f>+Divisional!ER13</f>
        <v>25943.168261212359</v>
      </c>
      <c r="EL154" s="860">
        <f>+Divisional!ES13</f>
        <v>25822.967161129109</v>
      </c>
      <c r="EM154" s="1557">
        <f>+Divisional!ET13</f>
        <v>29486.443929043391</v>
      </c>
      <c r="EN154" s="860">
        <f>+Divisional!EU13</f>
        <v>50224.706057219846</v>
      </c>
      <c r="EO154" s="860">
        <f>+Divisional!EV13</f>
        <v>55309.411090172493</v>
      </c>
      <c r="EP154" s="1119">
        <f>+Divisional!EW13</f>
        <v>105534.11714739233</v>
      </c>
      <c r="EQ154" s="303"/>
      <c r="ER154" s="46"/>
    </row>
    <row r="155" spans="1:148" ht="10.199999999999999" customHeight="1">
      <c r="A155" s="43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700"/>
      <c r="R155" s="108"/>
      <c r="S155" s="108"/>
      <c r="T155" s="538"/>
      <c r="U155" s="108"/>
      <c r="V155" s="108"/>
      <c r="W155" s="108"/>
      <c r="X155" s="700"/>
      <c r="Y155" s="108"/>
      <c r="Z155" s="108"/>
      <c r="AA155" s="538"/>
      <c r="AB155" s="108"/>
      <c r="AC155" s="108"/>
      <c r="AD155" s="108"/>
      <c r="AE155" s="700"/>
      <c r="AF155" s="108"/>
      <c r="AG155" s="108"/>
      <c r="AH155" s="538"/>
      <c r="AI155" s="108"/>
      <c r="AJ155" s="108"/>
      <c r="AK155" s="108"/>
      <c r="AL155" s="700"/>
      <c r="AM155" s="108"/>
      <c r="AN155" s="108"/>
      <c r="AO155" s="538"/>
      <c r="AP155" s="108"/>
      <c r="AQ155" s="108"/>
      <c r="AR155" s="108"/>
      <c r="AS155" s="700"/>
      <c r="AT155" s="108"/>
      <c r="AU155" s="108"/>
      <c r="AV155" s="538"/>
      <c r="AW155" s="108"/>
      <c r="AX155" s="108"/>
      <c r="AY155" s="108"/>
      <c r="AZ155" s="700"/>
      <c r="BA155" s="108"/>
      <c r="BB155" s="108"/>
      <c r="BC155" s="538"/>
      <c r="BD155" s="108"/>
      <c r="BE155" s="108"/>
      <c r="BF155" s="108"/>
      <c r="BG155" s="700"/>
      <c r="BH155" s="108"/>
      <c r="BI155" s="108"/>
      <c r="BJ155" s="538"/>
      <c r="BK155" s="108"/>
      <c r="BL155" s="108"/>
      <c r="BM155" s="108"/>
      <c r="BN155" s="700"/>
      <c r="BO155" s="108"/>
      <c r="BP155" s="108"/>
      <c r="BQ155" s="538"/>
      <c r="BR155" s="108"/>
      <c r="BS155" s="108"/>
      <c r="BT155" s="108"/>
      <c r="BU155" s="700"/>
      <c r="BV155" s="108"/>
      <c r="BW155" s="108"/>
      <c r="BX155" s="538"/>
      <c r="BY155" s="108"/>
      <c r="BZ155" s="108"/>
      <c r="CA155" s="108"/>
      <c r="CB155" s="700"/>
      <c r="CC155" s="108"/>
      <c r="CD155" s="108"/>
      <c r="CE155" s="538"/>
      <c r="CF155" s="108"/>
      <c r="CG155" s="108"/>
      <c r="CH155" s="108"/>
      <c r="CI155" s="700"/>
      <c r="CJ155" s="108"/>
      <c r="CK155" s="108"/>
      <c r="CL155" s="538"/>
      <c r="CM155" s="108"/>
      <c r="CN155" s="108"/>
      <c r="CO155" s="108"/>
      <c r="CP155" s="700"/>
      <c r="CQ155" s="108"/>
      <c r="CR155" s="108"/>
      <c r="CS155" s="538"/>
      <c r="CT155" s="108"/>
      <c r="CU155" s="108"/>
      <c r="CV155" s="108"/>
      <c r="CW155" s="700"/>
      <c r="CX155" s="108"/>
      <c r="CY155" s="108"/>
      <c r="CZ155" s="538"/>
      <c r="DA155" s="108"/>
      <c r="DB155" s="108"/>
      <c r="DC155" s="1067"/>
      <c r="DD155" s="1868"/>
      <c r="DE155" s="108"/>
      <c r="DF155" s="108"/>
      <c r="DG155" s="538"/>
      <c r="DH155" s="1067"/>
      <c r="DI155" s="108"/>
      <c r="DJ155" s="1067"/>
      <c r="DK155" s="457"/>
      <c r="DL155" s="108"/>
      <c r="DM155" s="108"/>
      <c r="DN155" s="1279"/>
      <c r="DO155" s="1067"/>
      <c r="DP155" s="456"/>
      <c r="DQ155" s="1067"/>
      <c r="DR155" s="457"/>
      <c r="DS155" s="812"/>
      <c r="DT155" s="108"/>
      <c r="DU155" s="1279"/>
      <c r="DV155" s="1067"/>
      <c r="DW155" s="456"/>
      <c r="DX155" s="1067"/>
      <c r="DY155" s="457"/>
      <c r="DZ155" s="812"/>
      <c r="EA155" s="108"/>
      <c r="EB155" s="1279"/>
      <c r="EC155" s="1067"/>
      <c r="ED155" s="456"/>
      <c r="EE155" s="1067"/>
      <c r="EF155" s="457"/>
      <c r="EG155" s="812"/>
      <c r="EH155" s="108"/>
      <c r="EI155" s="1279"/>
      <c r="EJ155" s="1067"/>
      <c r="EK155" s="456"/>
      <c r="EL155" s="1067"/>
      <c r="EM155" s="457"/>
      <c r="EN155" s="812"/>
      <c r="EO155" s="108"/>
      <c r="EP155" s="1279"/>
      <c r="EQ155" s="303"/>
      <c r="ER155" s="46"/>
    </row>
    <row r="156" spans="1:148" ht="10.199999999999999" customHeight="1">
      <c r="A156" s="43" t="s">
        <v>22</v>
      </c>
      <c r="B156" s="108"/>
      <c r="C156" s="203">
        <f>-IS!C13</f>
        <v>22047</v>
      </c>
      <c r="D156" s="203">
        <f>-IS!D13</f>
        <v>21652</v>
      </c>
      <c r="E156" s="203">
        <f>-IS!E13</f>
        <v>23901</v>
      </c>
      <c r="F156" s="203">
        <f>-IS!F13</f>
        <v>25877</v>
      </c>
      <c r="G156" s="203">
        <f>-IS!G13</f>
        <v>32967</v>
      </c>
      <c r="H156" s="203">
        <f>-IS!H13</f>
        <v>33018</v>
      </c>
      <c r="I156" s="203">
        <f>-IS!I13</f>
        <v>34240</v>
      </c>
      <c r="J156" s="203">
        <f>-IS!J13</f>
        <v>36557</v>
      </c>
      <c r="K156" s="203">
        <f>-IS!K13</f>
        <v>37946</v>
      </c>
      <c r="L156" s="203">
        <f>-IS!L13</f>
        <v>40359</v>
      </c>
      <c r="M156" s="203">
        <f>-IS!M13</f>
        <v>46475</v>
      </c>
      <c r="N156" s="203"/>
      <c r="O156" s="203"/>
      <c r="P156" s="203"/>
      <c r="Q156" s="1448"/>
      <c r="R156" s="203"/>
      <c r="S156" s="203"/>
      <c r="T156" s="1461">
        <f>-IS!T13</f>
        <v>47671</v>
      </c>
      <c r="U156" s="203">
        <f>-IS!U13</f>
        <v>10188</v>
      </c>
      <c r="V156" s="203">
        <f>-IS!V13</f>
        <v>11596</v>
      </c>
      <c r="W156" s="203">
        <f>-IS!W13</f>
        <v>10813</v>
      </c>
      <c r="X156" s="1448">
        <f>-IS!X13</f>
        <v>16980</v>
      </c>
      <c r="Y156" s="203">
        <f>-IS!Y13</f>
        <v>21784</v>
      </c>
      <c r="Z156" s="203">
        <f>-IS!Z13</f>
        <v>27793</v>
      </c>
      <c r="AA156" s="1461">
        <f>-IS!AA13</f>
        <v>49620</v>
      </c>
      <c r="AB156" s="203">
        <f>-IS!AB13</f>
        <v>9836</v>
      </c>
      <c r="AC156" s="203">
        <f>-IS!AC13</f>
        <v>13919</v>
      </c>
      <c r="AD156" s="203">
        <f>-IS!AD13</f>
        <v>11511</v>
      </c>
      <c r="AE156" s="1448">
        <f>-IS!AE13</f>
        <v>17843</v>
      </c>
      <c r="AF156" s="203">
        <f>-IS!AF13</f>
        <v>23755</v>
      </c>
      <c r="AG156" s="203">
        <f>-IS!AG13</f>
        <v>29354</v>
      </c>
      <c r="AH156" s="1461">
        <f>-IS!AH13</f>
        <v>53133</v>
      </c>
      <c r="AI156" s="203">
        <f>-IS!AI13</f>
        <v>10228</v>
      </c>
      <c r="AJ156" s="203">
        <f>-IS!AJ13</f>
        <v>15342</v>
      </c>
      <c r="AK156" s="203">
        <f>-IS!AK13</f>
        <v>11789</v>
      </c>
      <c r="AL156" s="1448">
        <f>-IS!AL13</f>
        <v>21664</v>
      </c>
      <c r="AM156" s="203">
        <f>-IS!AM13</f>
        <v>25570</v>
      </c>
      <c r="AN156" s="203">
        <f>-IS!AN13</f>
        <v>33453</v>
      </c>
      <c r="AO156" s="1461">
        <f>-IS!AO13</f>
        <v>59067</v>
      </c>
      <c r="AP156" s="203">
        <f>-IS!AP13</f>
        <v>11152</v>
      </c>
      <c r="AQ156" s="203">
        <f>-IS!AQ13</f>
        <v>13103</v>
      </c>
      <c r="AR156" s="203">
        <f>-IS!AR13</f>
        <v>12157</v>
      </c>
      <c r="AS156" s="1448">
        <f>-IS!AS13</f>
        <v>20450</v>
      </c>
      <c r="AT156" s="203">
        <f>-IS!AT13</f>
        <v>24255</v>
      </c>
      <c r="AU156" s="203">
        <f>-IS!AU13</f>
        <v>32607</v>
      </c>
      <c r="AV156" s="1461">
        <f>-IS!AV13</f>
        <v>56862</v>
      </c>
      <c r="AW156" s="203"/>
      <c r="AX156" s="203"/>
      <c r="AY156" s="203"/>
      <c r="AZ156" s="1448"/>
      <c r="BA156" s="203"/>
      <c r="BB156" s="203"/>
      <c r="BC156" s="1461">
        <f>-IS!BC13</f>
        <v>49851</v>
      </c>
      <c r="BD156" s="203">
        <f>-IS!BD13</f>
        <v>8481</v>
      </c>
      <c r="BE156" s="203">
        <f>-IS!BE13</f>
        <v>12087</v>
      </c>
      <c r="BF156" s="203">
        <f>-IS!BF13</f>
        <v>12105</v>
      </c>
      <c r="BG156" s="1448">
        <f>-IS!BG13</f>
        <v>19803</v>
      </c>
      <c r="BH156" s="203">
        <f>-IS!BH13</f>
        <v>20568</v>
      </c>
      <c r="BI156" s="203">
        <f>-IS!BI13</f>
        <v>31908</v>
      </c>
      <c r="BJ156" s="1461">
        <f>-IS!BJ13</f>
        <v>52476</v>
      </c>
      <c r="BK156" s="203">
        <f>-IS!BK13</f>
        <v>10449</v>
      </c>
      <c r="BL156" s="203">
        <f>-IS!BL13</f>
        <v>14543</v>
      </c>
      <c r="BM156" s="203">
        <f>-IS!BM13</f>
        <v>12001</v>
      </c>
      <c r="BN156" s="1448">
        <f>-IS!BN13</f>
        <v>20053</v>
      </c>
      <c r="BO156" s="203">
        <f>-IS!BO13</f>
        <v>24992</v>
      </c>
      <c r="BP156" s="203">
        <f>-IS!BP13</f>
        <v>32054</v>
      </c>
      <c r="BQ156" s="1461">
        <f>-IS!BQ13</f>
        <v>57046</v>
      </c>
      <c r="BR156" s="203">
        <f>-IS!BR13</f>
        <v>8602</v>
      </c>
      <c r="BS156" s="203">
        <f>-IS!BS13</f>
        <v>7973</v>
      </c>
      <c r="BT156" s="203">
        <f>-IS!BT13</f>
        <v>8905</v>
      </c>
      <c r="BU156" s="1448">
        <f>-IS!BU13</f>
        <v>15939</v>
      </c>
      <c r="BV156" s="203">
        <f>-IS!BV13</f>
        <v>16575</v>
      </c>
      <c r="BW156" s="203">
        <f>-IS!BW13</f>
        <v>24844</v>
      </c>
      <c r="BX156" s="1461">
        <f>-IS!BX13</f>
        <v>41419</v>
      </c>
      <c r="BY156" s="203">
        <f>-IS!BY13</f>
        <v>8384</v>
      </c>
      <c r="BZ156" s="203">
        <f>-IS!BZ13</f>
        <v>10441</v>
      </c>
      <c r="CA156" s="203">
        <f>-IS!CA13</f>
        <v>8075</v>
      </c>
      <c r="CB156" s="1448">
        <f>-IS!CB13</f>
        <v>13293</v>
      </c>
      <c r="CC156" s="203">
        <f>-IS!CC13</f>
        <v>18825</v>
      </c>
      <c r="CD156" s="203">
        <f>-IS!CD13</f>
        <v>21368</v>
      </c>
      <c r="CE156" s="1461">
        <f>-IS!CE13</f>
        <v>40193</v>
      </c>
      <c r="CF156" s="203">
        <f>-IS!CF13</f>
        <v>8875</v>
      </c>
      <c r="CG156" s="203">
        <f>-IS!CG13</f>
        <v>9854</v>
      </c>
      <c r="CH156" s="203">
        <f>-IS!CH13</f>
        <v>10684</v>
      </c>
      <c r="CI156" s="1448">
        <f>-IS!CI13</f>
        <v>16063</v>
      </c>
      <c r="CJ156" s="203">
        <f>-IS!CJ13</f>
        <v>18729</v>
      </c>
      <c r="CK156" s="203">
        <f>-IS!CK13</f>
        <v>26747</v>
      </c>
      <c r="CL156" s="1461">
        <f>-IS!CL13</f>
        <v>45476</v>
      </c>
      <c r="CM156" s="203">
        <f>-IS!CM13</f>
        <v>9608</v>
      </c>
      <c r="CN156" s="203">
        <f>-IS!CN13</f>
        <v>12496</v>
      </c>
      <c r="CO156" s="203">
        <f>-IS!CO13</f>
        <v>12279</v>
      </c>
      <c r="CP156" s="1448">
        <f>-IS!CP13</f>
        <v>18777</v>
      </c>
      <c r="CQ156" s="203">
        <f>-IS!CQ13</f>
        <v>22104</v>
      </c>
      <c r="CR156" s="203">
        <f>-IS!CR13</f>
        <v>31056</v>
      </c>
      <c r="CS156" s="1461">
        <f>-IS!CS13</f>
        <v>53160</v>
      </c>
      <c r="CT156" s="203">
        <f>-IS!CT13</f>
        <v>10384</v>
      </c>
      <c r="CU156" s="203">
        <f>-IS!CU13</f>
        <v>12969</v>
      </c>
      <c r="CV156" s="203">
        <f>-IS!CV13</f>
        <v>12657</v>
      </c>
      <c r="CW156" s="1448">
        <f>-IS!CW13</f>
        <v>19692</v>
      </c>
      <c r="CX156" s="203">
        <f>-IS!CX13</f>
        <v>23353</v>
      </c>
      <c r="CY156" s="203">
        <f>-IS!CY13</f>
        <v>32349</v>
      </c>
      <c r="CZ156" s="1461">
        <f>-IS!CZ13</f>
        <v>55702</v>
      </c>
      <c r="DA156" s="203">
        <f>-IS!DA13</f>
        <v>11038</v>
      </c>
      <c r="DB156" s="203">
        <f>-IS!DB13</f>
        <v>13060</v>
      </c>
      <c r="DC156" s="203">
        <f>-IS!DC13</f>
        <v>14246</v>
      </c>
      <c r="DD156" s="1869">
        <f>-IS!DD13</f>
        <v>20934</v>
      </c>
      <c r="DE156" s="203">
        <f>-IS!DE13</f>
        <v>24098</v>
      </c>
      <c r="DF156" s="203">
        <f>-IS!DF13</f>
        <v>35180</v>
      </c>
      <c r="DG156" s="1461">
        <f>-IS!DG13</f>
        <v>59278</v>
      </c>
      <c r="DH156" s="834">
        <f>-IS!DH13</f>
        <v>10279</v>
      </c>
      <c r="DI156" s="203">
        <f>-IS!DI13</f>
        <v>16216</v>
      </c>
      <c r="DJ156" s="860">
        <f>-IS!DJ13</f>
        <v>15599.957654579599</v>
      </c>
      <c r="DK156" s="1557">
        <f>-IS!DK13</f>
        <v>21593.288204151915</v>
      </c>
      <c r="DL156" s="203">
        <f>-IS!DL13</f>
        <v>26495</v>
      </c>
      <c r="DM156" s="1422">
        <f>-IS!DM13</f>
        <v>37193.245858731505</v>
      </c>
      <c r="DN156" s="1119">
        <f>-IS!DN13</f>
        <v>63688.245858731505</v>
      </c>
      <c r="DO156" s="860">
        <f>-IS!DO13</f>
        <v>15390.969225210925</v>
      </c>
      <c r="DP156" s="1422">
        <f>-IS!DP13</f>
        <v>17427.100358400035</v>
      </c>
      <c r="DQ156" s="860">
        <f>-IS!DQ13</f>
        <v>17331.717222252912</v>
      </c>
      <c r="DR156" s="1557">
        <f>-IS!DR13</f>
        <v>19699.736335345671</v>
      </c>
      <c r="DS156" s="860">
        <f>-IS!DS13</f>
        <v>32818.069583610966</v>
      </c>
      <c r="DT156" s="1422">
        <f>-IS!DT13</f>
        <v>37031.453557598586</v>
      </c>
      <c r="DU156" s="1119">
        <f>-IS!DU13</f>
        <v>69849.523141209545</v>
      </c>
      <c r="DV156" s="860">
        <f>-IS!DV13</f>
        <v>16325.111044800393</v>
      </c>
      <c r="DW156" s="1422">
        <f>-IS!DW13</f>
        <v>18549.883062399531</v>
      </c>
      <c r="DX156" s="860">
        <f>-IS!DX13</f>
        <v>18451.151477842523</v>
      </c>
      <c r="DY156" s="1557">
        <f>-IS!DY13</f>
        <v>21133.948607165854</v>
      </c>
      <c r="DZ156" s="860">
        <f>-IS!DZ13</f>
        <v>34874.99410719992</v>
      </c>
      <c r="EA156" s="1422">
        <f>-IS!EA13</f>
        <v>39585.10008500838</v>
      </c>
      <c r="EB156" s="1119">
        <f>-IS!EB13</f>
        <v>74460.094192208315</v>
      </c>
      <c r="EC156" s="860">
        <f>-IS!EC13</f>
        <v>17321.930140498327</v>
      </c>
      <c r="ED156" s="1422">
        <f>-IS!ED13</f>
        <v>19128.159964922328</v>
      </c>
      <c r="EE156" s="860">
        <f>-IS!EE13</f>
        <v>19015.50877450217</v>
      </c>
      <c r="EF156" s="1557">
        <f>-IS!EF13</f>
        <v>21789.552910405338</v>
      </c>
      <c r="EG156" s="860">
        <f>-IS!EG13</f>
        <v>36450.090105420648</v>
      </c>
      <c r="EH156" s="1422">
        <f>-IS!EH13</f>
        <v>40805.061684907501</v>
      </c>
      <c r="EI156" s="1119">
        <f>-IS!EI13</f>
        <v>77255.151790328178</v>
      </c>
      <c r="EJ156" s="860">
        <f>-IS!EJ13</f>
        <v>17801.863111173236</v>
      </c>
      <c r="EK156" s="1422">
        <f>-IS!EK13</f>
        <v>19684.488170483146</v>
      </c>
      <c r="EL156" s="860">
        <f>-IS!EL13</f>
        <v>19567.598191045563</v>
      </c>
      <c r="EM156" s="1557">
        <f>-IS!EM13</f>
        <v>22442.020508522226</v>
      </c>
      <c r="EN156" s="860">
        <f>-IS!EN13</f>
        <v>37486.351281656374</v>
      </c>
      <c r="EO156" s="1422">
        <f>-IS!EO13</f>
        <v>42009.618699567785</v>
      </c>
      <c r="EP156" s="1119">
        <f>-IS!EP13</f>
        <v>79495.96998122416</v>
      </c>
      <c r="EQ156" s="303"/>
      <c r="ER156" s="46"/>
    </row>
    <row r="157" spans="1:148" ht="10.199999999999999" customHeight="1">
      <c r="A157" s="43"/>
      <c r="B157" s="108"/>
      <c r="C157" s="176"/>
      <c r="D157" s="176"/>
      <c r="E157" s="176"/>
      <c r="F157" s="176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700"/>
      <c r="R157" s="108"/>
      <c r="S157" s="108"/>
      <c r="T157" s="538"/>
      <c r="U157" s="108"/>
      <c r="V157" s="108"/>
      <c r="W157" s="108"/>
      <c r="X157" s="700"/>
      <c r="Y157" s="108"/>
      <c r="Z157" s="108"/>
      <c r="AA157" s="538"/>
      <c r="AB157" s="108"/>
      <c r="AC157" s="108"/>
      <c r="AD157" s="108"/>
      <c r="AE157" s="700"/>
      <c r="AF157" s="108"/>
      <c r="AG157" s="108"/>
      <c r="AH157" s="538"/>
      <c r="AI157" s="108"/>
      <c r="AJ157" s="108"/>
      <c r="AK157" s="108"/>
      <c r="AL157" s="700"/>
      <c r="AM157" s="108"/>
      <c r="AN157" s="108"/>
      <c r="AO157" s="538"/>
      <c r="AP157" s="108"/>
      <c r="AQ157" s="108"/>
      <c r="AR157" s="108"/>
      <c r="AS157" s="700"/>
      <c r="AT157" s="108"/>
      <c r="AU157" s="108"/>
      <c r="AV157" s="538"/>
      <c r="AW157" s="108"/>
      <c r="AX157" s="108"/>
      <c r="AY157" s="108"/>
      <c r="AZ157" s="700"/>
      <c r="BA157" s="108"/>
      <c r="BB157" s="108"/>
      <c r="BC157" s="538"/>
      <c r="BD157" s="108"/>
      <c r="BE157" s="108"/>
      <c r="BF157" s="108"/>
      <c r="BG157" s="700"/>
      <c r="BH157" s="108"/>
      <c r="BI157" s="108"/>
      <c r="BJ157" s="538"/>
      <c r="BK157" s="108"/>
      <c r="BL157" s="108"/>
      <c r="BM157" s="108"/>
      <c r="BN157" s="700"/>
      <c r="BO157" s="108"/>
      <c r="BP157" s="108"/>
      <c r="BQ157" s="538"/>
      <c r="BR157" s="108"/>
      <c r="BS157" s="108"/>
      <c r="BT157" s="108"/>
      <c r="BU157" s="700"/>
      <c r="BV157" s="108"/>
      <c r="BW157" s="108"/>
      <c r="BX157" s="538"/>
      <c r="BY157" s="108"/>
      <c r="BZ157" s="108"/>
      <c r="CA157" s="108"/>
      <c r="CB157" s="700"/>
      <c r="CC157" s="108"/>
      <c r="CD157" s="108"/>
      <c r="CE157" s="538"/>
      <c r="CF157" s="108"/>
      <c r="CG157" s="108"/>
      <c r="CH157" s="108"/>
      <c r="CI157" s="700"/>
      <c r="CJ157" s="108"/>
      <c r="CK157" s="108"/>
      <c r="CL157" s="538"/>
      <c r="CM157" s="108"/>
      <c r="CN157" s="108"/>
      <c r="CO157" s="108"/>
      <c r="CP157" s="700"/>
      <c r="CQ157" s="108"/>
      <c r="CR157" s="108"/>
      <c r="CS157" s="538"/>
      <c r="CT157" s="203"/>
      <c r="CU157" s="108"/>
      <c r="CV157" s="108"/>
      <c r="CW157" s="700"/>
      <c r="CX157" s="108"/>
      <c r="CY157" s="108"/>
      <c r="CZ157" s="538"/>
      <c r="DA157" s="203"/>
      <c r="DB157" s="108"/>
      <c r="DC157" s="530"/>
      <c r="DD157" s="1868"/>
      <c r="DE157" s="108"/>
      <c r="DF157" s="108"/>
      <c r="DG157" s="538"/>
      <c r="DH157" s="530"/>
      <c r="DI157" s="108"/>
      <c r="DJ157" s="530"/>
      <c r="DK157" s="457"/>
      <c r="DL157" s="108"/>
      <c r="DM157" s="456"/>
      <c r="DN157" s="1278"/>
      <c r="DO157" s="530"/>
      <c r="DP157" s="456"/>
      <c r="DQ157" s="530"/>
      <c r="DR157" s="457"/>
      <c r="DS157" s="530"/>
      <c r="DT157" s="456"/>
      <c r="DU157" s="1278"/>
      <c r="DV157" s="530"/>
      <c r="DW157" s="456"/>
      <c r="DX157" s="530"/>
      <c r="DY157" s="457"/>
      <c r="DZ157" s="530"/>
      <c r="EA157" s="456"/>
      <c r="EB157" s="1278"/>
      <c r="EC157" s="530"/>
      <c r="ED157" s="456"/>
      <c r="EE157" s="530"/>
      <c r="EF157" s="457"/>
      <c r="EG157" s="530"/>
      <c r="EH157" s="456"/>
      <c r="EI157" s="1278"/>
      <c r="EJ157" s="530"/>
      <c r="EK157" s="456"/>
      <c r="EL157" s="530"/>
      <c r="EM157" s="457"/>
      <c r="EN157" s="530"/>
      <c r="EO157" s="456"/>
      <c r="EP157" s="1278"/>
      <c r="EQ157" s="303"/>
      <c r="ER157" s="46"/>
    </row>
    <row r="158" spans="1:148" ht="10.199999999999999" customHeight="1">
      <c r="A158" s="108" t="s">
        <v>657</v>
      </c>
      <c r="B158" s="48"/>
      <c r="C158" s="191">
        <v>12198</v>
      </c>
      <c r="D158" s="191">
        <v>12629</v>
      </c>
      <c r="E158" s="203">
        <v>12334</v>
      </c>
      <c r="F158" s="203">
        <f t="shared" ref="F158:CL158" si="1101">F3</f>
        <v>15425</v>
      </c>
      <c r="G158" s="203">
        <f t="shared" si="1101"/>
        <v>16892</v>
      </c>
      <c r="H158" s="203">
        <f t="shared" si="1101"/>
        <v>18906</v>
      </c>
      <c r="I158" s="203">
        <f t="shared" si="1101"/>
        <v>19452</v>
      </c>
      <c r="J158" s="203">
        <f t="shared" si="1101"/>
        <v>21577</v>
      </c>
      <c r="K158" s="203">
        <f t="shared" si="1101"/>
        <v>20862</v>
      </c>
      <c r="L158" s="203">
        <f t="shared" si="1101"/>
        <v>22563</v>
      </c>
      <c r="M158" s="203">
        <f t="shared" si="1101"/>
        <v>23246</v>
      </c>
      <c r="N158" s="203"/>
      <c r="O158" s="203"/>
      <c r="P158" s="203"/>
      <c r="Q158" s="1448"/>
      <c r="R158" s="203"/>
      <c r="S158" s="203"/>
      <c r="T158" s="1461">
        <f t="shared" si="1101"/>
        <v>24023</v>
      </c>
      <c r="U158" s="203">
        <f t="shared" si="1101"/>
        <v>25640</v>
      </c>
      <c r="V158" s="203">
        <f t="shared" si="1101"/>
        <v>26086</v>
      </c>
      <c r="W158" s="203">
        <f t="shared" si="1101"/>
        <v>27343</v>
      </c>
      <c r="X158" s="1448">
        <f t="shared" si="1101"/>
        <v>25355</v>
      </c>
      <c r="Y158" s="203">
        <f t="shared" ref="Y158:Z158" si="1102">Y3</f>
        <v>26086</v>
      </c>
      <c r="Z158" s="203">
        <f t="shared" si="1102"/>
        <v>25355</v>
      </c>
      <c r="AA158" s="1461">
        <f t="shared" si="1101"/>
        <v>25355</v>
      </c>
      <c r="AB158" s="203">
        <f t="shared" ref="AB158:AE158" si="1103">AB3</f>
        <v>29802</v>
      </c>
      <c r="AC158" s="203">
        <f t="shared" si="1103"/>
        <v>29598</v>
      </c>
      <c r="AD158" s="203">
        <f t="shared" si="1103"/>
        <v>31011</v>
      </c>
      <c r="AE158" s="1448">
        <f t="shared" si="1103"/>
        <v>29051</v>
      </c>
      <c r="AF158" s="203">
        <f t="shared" ref="AF158:AG158" si="1104">AF3</f>
        <v>29598</v>
      </c>
      <c r="AG158" s="203">
        <f t="shared" si="1104"/>
        <v>29051</v>
      </c>
      <c r="AH158" s="1461">
        <f t="shared" si="1101"/>
        <v>29051</v>
      </c>
      <c r="AI158" s="203">
        <f t="shared" si="1101"/>
        <v>32295</v>
      </c>
      <c r="AJ158" s="203">
        <f t="shared" si="1101"/>
        <v>31827</v>
      </c>
      <c r="AK158" s="203">
        <f t="shared" si="1101"/>
        <v>33481</v>
      </c>
      <c r="AL158" s="1448">
        <f t="shared" si="1101"/>
        <v>29688</v>
      </c>
      <c r="AM158" s="203">
        <f t="shared" ref="AM158:AN158" si="1105">AM3</f>
        <v>31827</v>
      </c>
      <c r="AN158" s="203">
        <f t="shared" si="1105"/>
        <v>29688</v>
      </c>
      <c r="AO158" s="1461">
        <f t="shared" si="1101"/>
        <v>29688</v>
      </c>
      <c r="AP158" s="203">
        <f t="shared" ref="AP158:AS158" si="1106">AP3</f>
        <v>33484</v>
      </c>
      <c r="AQ158" s="203">
        <f t="shared" si="1106"/>
        <v>34789</v>
      </c>
      <c r="AR158" s="203">
        <f t="shared" si="1106"/>
        <v>35443</v>
      </c>
      <c r="AS158" s="1448">
        <f t="shared" si="1106"/>
        <v>31464</v>
      </c>
      <c r="AT158" s="203">
        <f t="shared" ref="AT158:AU158" si="1107">AT3</f>
        <v>34789</v>
      </c>
      <c r="AU158" s="203">
        <f t="shared" si="1107"/>
        <v>31464</v>
      </c>
      <c r="AV158" s="1461">
        <f t="shared" si="1101"/>
        <v>31464</v>
      </c>
      <c r="AW158" s="203"/>
      <c r="AX158" s="203"/>
      <c r="AY158" s="203"/>
      <c r="AZ158" s="1448"/>
      <c r="BA158" s="203"/>
      <c r="BB158" s="203"/>
      <c r="BC158" s="1461">
        <f t="shared" si="1101"/>
        <v>29737</v>
      </c>
      <c r="BD158" s="203">
        <f t="shared" si="1101"/>
        <v>32814</v>
      </c>
      <c r="BE158" s="203">
        <f t="shared" si="1101"/>
        <v>33775</v>
      </c>
      <c r="BF158" s="203">
        <f t="shared" si="1101"/>
        <v>35052</v>
      </c>
      <c r="BG158" s="1448">
        <f t="shared" si="1101"/>
        <v>31891</v>
      </c>
      <c r="BH158" s="203">
        <f t="shared" ref="BH158:BI158" si="1108">BH3</f>
        <v>33775</v>
      </c>
      <c r="BI158" s="203">
        <f t="shared" si="1108"/>
        <v>31891</v>
      </c>
      <c r="BJ158" s="1461">
        <f t="shared" si="1101"/>
        <v>31891</v>
      </c>
      <c r="BK158" s="203">
        <f t="shared" ref="BK158:BN158" si="1109">BK3</f>
        <v>35154</v>
      </c>
      <c r="BL158" s="203">
        <f t="shared" si="1109"/>
        <v>34776</v>
      </c>
      <c r="BM158" s="203">
        <f t="shared" si="1109"/>
        <v>35604</v>
      </c>
      <c r="BN158" s="1448">
        <f t="shared" si="1109"/>
        <v>31550</v>
      </c>
      <c r="BO158" s="203">
        <f t="shared" ref="BO158:BP158" si="1110">BO3</f>
        <v>34776</v>
      </c>
      <c r="BP158" s="203">
        <f t="shared" si="1110"/>
        <v>31550</v>
      </c>
      <c r="BQ158" s="1461">
        <f t="shared" si="1101"/>
        <v>31550</v>
      </c>
      <c r="BR158" s="203">
        <f t="shared" si="1101"/>
        <v>35955</v>
      </c>
      <c r="BS158" s="203">
        <f t="shared" si="1101"/>
        <v>37524</v>
      </c>
      <c r="BT158" s="203">
        <f t="shared" si="1101"/>
        <v>36655</v>
      </c>
      <c r="BU158" s="1448">
        <f t="shared" si="1101"/>
        <v>30401</v>
      </c>
      <c r="BV158" s="203">
        <f t="shared" ref="BV158:BW158" si="1111">BV3</f>
        <v>37524</v>
      </c>
      <c r="BW158" s="203">
        <f t="shared" si="1111"/>
        <v>30401</v>
      </c>
      <c r="BX158" s="1461">
        <f t="shared" si="1101"/>
        <v>30401</v>
      </c>
      <c r="BY158" s="203">
        <f t="shared" ref="BY158:CB158" si="1112">BY3</f>
        <v>31186</v>
      </c>
      <c r="BZ158" s="203">
        <f t="shared" si="1112"/>
        <v>29791</v>
      </c>
      <c r="CA158" s="203">
        <f t="shared" si="1112"/>
        <v>30809</v>
      </c>
      <c r="CB158" s="1448">
        <f t="shared" si="1112"/>
        <v>28538</v>
      </c>
      <c r="CC158" s="203">
        <f t="shared" ref="CC158:CD158" si="1113">CC3</f>
        <v>29791</v>
      </c>
      <c r="CD158" s="203">
        <f t="shared" si="1113"/>
        <v>28538</v>
      </c>
      <c r="CE158" s="1461">
        <f t="shared" si="1101"/>
        <v>28538</v>
      </c>
      <c r="CF158" s="203">
        <f t="shared" si="1101"/>
        <v>30211</v>
      </c>
      <c r="CG158" s="203">
        <f t="shared" si="1101"/>
        <v>32478</v>
      </c>
      <c r="CH158" s="203">
        <f t="shared" si="1101"/>
        <v>34764</v>
      </c>
      <c r="CI158" s="1448">
        <f t="shared" si="1101"/>
        <v>32202</v>
      </c>
      <c r="CJ158" s="203">
        <f t="shared" ref="CJ158:CK158" si="1114">CJ3</f>
        <v>32478</v>
      </c>
      <c r="CK158" s="203">
        <f t="shared" si="1114"/>
        <v>32202</v>
      </c>
      <c r="CL158" s="1461">
        <f t="shared" si="1101"/>
        <v>32202</v>
      </c>
      <c r="CM158" s="203">
        <f t="shared" ref="CM158:CP158" si="1115">CM3</f>
        <v>35165</v>
      </c>
      <c r="CN158" s="203">
        <f t="shared" si="1115"/>
        <v>35466</v>
      </c>
      <c r="CO158" s="203">
        <f t="shared" si="1115"/>
        <v>36525</v>
      </c>
      <c r="CP158" s="1448">
        <f t="shared" si="1115"/>
        <v>33741</v>
      </c>
      <c r="CQ158" s="203">
        <f t="shared" ref="CQ158:CR158" si="1116">CQ3</f>
        <v>35466</v>
      </c>
      <c r="CR158" s="203">
        <f t="shared" si="1116"/>
        <v>33741</v>
      </c>
      <c r="CS158" s="1461">
        <f t="shared" ref="CS158:CT158" si="1117">CS3</f>
        <v>33741</v>
      </c>
      <c r="CT158" s="203">
        <f t="shared" si="1117"/>
        <v>37656</v>
      </c>
      <c r="CU158" s="203">
        <f t="shared" ref="CU158:CW158" si="1118">CU3</f>
        <v>39477</v>
      </c>
      <c r="CV158" s="203">
        <f t="shared" si="1118"/>
        <v>40698</v>
      </c>
      <c r="CW158" s="1448">
        <f t="shared" si="1118"/>
        <v>37745</v>
      </c>
      <c r="CX158" s="203">
        <f t="shared" ref="CX158:DC158" si="1119">CX3</f>
        <v>39477</v>
      </c>
      <c r="CY158" s="203">
        <f t="shared" si="1119"/>
        <v>37745</v>
      </c>
      <c r="CZ158" s="1461">
        <f t="shared" si="1119"/>
        <v>37745</v>
      </c>
      <c r="DA158" s="203">
        <f t="shared" si="1119"/>
        <v>41530</v>
      </c>
      <c r="DB158" s="203">
        <f t="shared" si="1119"/>
        <v>43471</v>
      </c>
      <c r="DC158" s="203">
        <f t="shared" si="1119"/>
        <v>44184</v>
      </c>
      <c r="DD158" s="1869">
        <f t="shared" ref="DD158:DF158" si="1120">DD3</f>
        <v>41676</v>
      </c>
      <c r="DE158" s="203">
        <f t="shared" si="1120"/>
        <v>43471</v>
      </c>
      <c r="DF158" s="203">
        <f t="shared" si="1120"/>
        <v>41676</v>
      </c>
      <c r="DG158" s="1461">
        <f t="shared" ref="DG158:DI158" si="1121">DG3</f>
        <v>41676</v>
      </c>
      <c r="DH158" s="834">
        <f t="shared" si="1121"/>
        <v>46922</v>
      </c>
      <c r="DI158" s="203">
        <f t="shared" si="1121"/>
        <v>48620</v>
      </c>
      <c r="DJ158" s="860">
        <f>DJ159*DJ154*4</f>
        <v>42674.017668283283</v>
      </c>
      <c r="DK158" s="1557">
        <f t="shared" ref="DK158:DL158" si="1122">DK3</f>
        <v>44306.979106861458</v>
      </c>
      <c r="DL158" s="203">
        <f t="shared" si="1122"/>
        <v>48620</v>
      </c>
      <c r="DM158" s="1422">
        <f t="shared" ref="DM158" si="1123">DM3</f>
        <v>44306.979106861458</v>
      </c>
      <c r="DN158" s="1119">
        <f t="shared" ref="DN158:EP158" si="1124">DN159*DN154</f>
        <v>44306.979106861458</v>
      </c>
      <c r="DO158" s="860">
        <f>DO159*DO154*4</f>
        <v>42374.880045245118</v>
      </c>
      <c r="DP158" s="1422">
        <f t="shared" ref="DP158" si="1125">DP3</f>
        <v>44569.265710323933</v>
      </c>
      <c r="DQ158" s="860">
        <f>DQ159*DQ154*4</f>
        <v>46544.150051581353</v>
      </c>
      <c r="DR158" s="1557">
        <f t="shared" ref="DR158" si="1126">DR3</f>
        <v>47069.918193680838</v>
      </c>
      <c r="DS158" s="860">
        <f>DS159*DS154*2</f>
        <v>44569.265710323933</v>
      </c>
      <c r="DT158" s="1422">
        <f t="shared" ref="DT158" si="1127">DT3</f>
        <v>47069.918193680838</v>
      </c>
      <c r="DU158" s="1119">
        <f t="shared" si="1124"/>
        <v>47069.918193680838</v>
      </c>
      <c r="DV158" s="860">
        <f>DV159*DV154*4</f>
        <v>43801.874623184638</v>
      </c>
      <c r="DW158" s="1422">
        <f t="shared" ref="DW158" si="1128">DW3</f>
        <v>46085.346095439738</v>
      </c>
      <c r="DX158" s="860">
        <f>DX159*DX154*4</f>
        <v>48150.274392679625</v>
      </c>
      <c r="DY158" s="1557">
        <f t="shared" ref="DY158" si="1129">DY3</f>
        <v>48807.470561328228</v>
      </c>
      <c r="DZ158" s="860">
        <f>DZ159*DZ154*2</f>
        <v>46085.346095439738</v>
      </c>
      <c r="EA158" s="1422">
        <f t="shared" ref="EA158" si="1130">EA3</f>
        <v>48807.470561328228</v>
      </c>
      <c r="EB158" s="1119">
        <f t="shared" si="1124"/>
        <v>48807.470561328228</v>
      </c>
      <c r="EC158" s="860">
        <f>EC159*EC154*4</f>
        <v>46989.768116366176</v>
      </c>
      <c r="ED158" s="1422">
        <f t="shared" ref="ED158" si="1131">ED3</f>
        <v>48572.04143606955</v>
      </c>
      <c r="EE158" s="860">
        <f>EE159*EE154*4</f>
        <v>49924.293365694139</v>
      </c>
      <c r="EF158" s="1557">
        <f t="shared" ref="EF158" si="1132">EF3</f>
        <v>51009.105557639101</v>
      </c>
      <c r="EG158" s="860">
        <f>EG159*EG154*2</f>
        <v>48572.04143606955</v>
      </c>
      <c r="EH158" s="1422">
        <f t="shared" ref="EH158" si="1133">EH3</f>
        <v>51009.105557639101</v>
      </c>
      <c r="EI158" s="1119">
        <f t="shared" si="1124"/>
        <v>51009.105557639101</v>
      </c>
      <c r="EJ158" s="860">
        <f>EJ159*EJ154*4</f>
        <v>48563.075592014982</v>
      </c>
      <c r="EK158" s="1422">
        <f t="shared" ref="EK158" si="1134">EK3</f>
        <v>50224.706057219846</v>
      </c>
      <c r="EL158" s="860">
        <f>EL159*EL154*4</f>
        <v>51645.934322258217</v>
      </c>
      <c r="EM158" s="1557">
        <f t="shared" ref="EM158" si="1135">EM3</f>
        <v>52767.058573696166</v>
      </c>
      <c r="EN158" s="860">
        <f>EN159*EN154*2</f>
        <v>50224.706057219846</v>
      </c>
      <c r="EO158" s="1422">
        <f t="shared" ref="EO158" si="1136">EO3</f>
        <v>52767.058573696166</v>
      </c>
      <c r="EP158" s="1119">
        <f t="shared" si="1124"/>
        <v>52767.058573696166</v>
      </c>
      <c r="EQ158" s="911"/>
      <c r="ER158" s="46"/>
    </row>
    <row r="159" spans="1:148" ht="10.199999999999999" customHeight="1">
      <c r="A159" s="43" t="s">
        <v>16</v>
      </c>
      <c r="B159" s="108"/>
      <c r="C159" s="251">
        <f t="shared" ref="C159:CL159" si="1137">C158/C154</f>
        <v>0.39532019704433496</v>
      </c>
      <c r="D159" s="251">
        <f t="shared" si="1137"/>
        <v>0.4025307579524447</v>
      </c>
      <c r="E159" s="251">
        <f t="shared" si="1137"/>
        <v>0.36949162697342802</v>
      </c>
      <c r="F159" s="251">
        <f t="shared" si="1137"/>
        <v>0.43277593849952306</v>
      </c>
      <c r="G159" s="251">
        <f t="shared" si="1137"/>
        <v>0.42836131257290661</v>
      </c>
      <c r="H159" s="251">
        <f t="shared" si="1137"/>
        <v>0.48324514991181655</v>
      </c>
      <c r="I159" s="251">
        <f t="shared" si="1137"/>
        <v>0.44960129434878077</v>
      </c>
      <c r="J159" s="251">
        <f t="shared" si="1137"/>
        <v>0.50387651207323336</v>
      </c>
      <c r="K159" s="251">
        <f t="shared" si="1137"/>
        <v>0.45598006644518274</v>
      </c>
      <c r="L159" s="251">
        <f t="shared" si="1137"/>
        <v>0.4592696629213483</v>
      </c>
      <c r="M159" s="251">
        <f t="shared" si="1137"/>
        <v>0.41157932011331444</v>
      </c>
      <c r="N159" s="251"/>
      <c r="O159" s="251"/>
      <c r="P159" s="251"/>
      <c r="Q159" s="1277"/>
      <c r="R159" s="251"/>
      <c r="S159" s="251"/>
      <c r="T159" s="1295">
        <f t="shared" si="1137"/>
        <v>0.41730505324230899</v>
      </c>
      <c r="U159" s="251">
        <f>U158/U154/4</f>
        <v>0.50679949399114488</v>
      </c>
      <c r="V159" s="251">
        <f>V158/V154/4</f>
        <v>0.44815145684442004</v>
      </c>
      <c r="W159" s="251">
        <f>W158/W154/4</f>
        <v>0.51408212378732043</v>
      </c>
      <c r="X159" s="1277">
        <f>X158/X154/4</f>
        <v>0.31355114760585673</v>
      </c>
      <c r="Y159" s="251">
        <f>Y158/Y154/2</f>
        <v>0.47952205882352938</v>
      </c>
      <c r="Z159" s="251">
        <f>Z158/Z154/2</f>
        <v>0.37828603825381196</v>
      </c>
      <c r="AA159" s="1295">
        <f t="shared" si="1137"/>
        <v>0.41762060843641396</v>
      </c>
      <c r="AB159" s="251">
        <f>AB158/AB154/4</f>
        <v>0.61686537506209638</v>
      </c>
      <c r="AC159" s="251">
        <f>AC158/AC154/4</f>
        <v>0.44005352363960748</v>
      </c>
      <c r="AD159" s="251">
        <f>AD158/AD154/4</f>
        <v>0.55093447981807842</v>
      </c>
      <c r="AE159" s="1277">
        <f>AE158/AE154/4</f>
        <v>0.33803816616243892</v>
      </c>
      <c r="AF159" s="251">
        <f>AF158/AF154/2</f>
        <v>0.51220018689648017</v>
      </c>
      <c r="AG159" s="251">
        <f>AG158/AG154/2</f>
        <v>0.40851309165565147</v>
      </c>
      <c r="AH159" s="1295">
        <f t="shared" si="1137"/>
        <v>0.45075252133436772</v>
      </c>
      <c r="AI159" s="251">
        <f>AI158/AI154/4</f>
        <v>0.66270622999261264</v>
      </c>
      <c r="AJ159" s="251">
        <f>AJ158/AJ154/4</f>
        <v>0.48013215061549602</v>
      </c>
      <c r="AK159" s="251">
        <f>AK158/AK154/4</f>
        <v>0.6000179211469534</v>
      </c>
      <c r="AL159" s="1277">
        <f>AL158/AL154/4</f>
        <v>0.31085608979728596</v>
      </c>
      <c r="AM159" s="251">
        <f>AM158/AM154/2</f>
        <v>0.5534167970787689</v>
      </c>
      <c r="AN159" s="251">
        <f>AN158/AN154/2</f>
        <v>0.39242848834135252</v>
      </c>
      <c r="AO159" s="1295">
        <f t="shared" si="1137"/>
        <v>0.44589297246962345</v>
      </c>
      <c r="AP159" s="251">
        <f>AP158/AP154/4</f>
        <v>0.64451801663073605</v>
      </c>
      <c r="AQ159" s="251">
        <f>AQ158/AQ154/4</f>
        <v>0.55322498568793332</v>
      </c>
      <c r="AR159" s="251">
        <f>AR158/AR154/4</f>
        <v>0.62206894130862123</v>
      </c>
      <c r="AS159" s="1277">
        <f>AS158/AS154/4</f>
        <v>0.33030990173847319</v>
      </c>
      <c r="AT159" s="251">
        <f>AT158/AT154/2</f>
        <v>0.60589013898080746</v>
      </c>
      <c r="AU159" s="251">
        <f>AU158/AU154/2</f>
        <v>0.41336906826422826</v>
      </c>
      <c r="AV159" s="1295">
        <f t="shared" si="1137"/>
        <v>0.47125076759476986</v>
      </c>
      <c r="AW159" s="251"/>
      <c r="AX159" s="251"/>
      <c r="AY159" s="251"/>
      <c r="AZ159" s="1277"/>
      <c r="BA159" s="251"/>
      <c r="BB159" s="251"/>
      <c r="BC159" s="1295">
        <f t="shared" si="1137"/>
        <v>0.50382908068177967</v>
      </c>
      <c r="BD159" s="251">
        <f>BD158/BD154/4</f>
        <v>0.81070263860065228</v>
      </c>
      <c r="BE159" s="251">
        <f>BE158/BE154/4</f>
        <v>0.5685644064372769</v>
      </c>
      <c r="BF159" s="251">
        <f>BF158/BF154/4</f>
        <v>0.56714775742670376</v>
      </c>
      <c r="BG159" s="1277">
        <f>BG158/BG154/4</f>
        <v>0.34238383578115605</v>
      </c>
      <c r="BH159" s="251">
        <f>BH158/BH154/2</f>
        <v>0.67631157388866636</v>
      </c>
      <c r="BI159" s="251">
        <f>BI158/BI154/2</f>
        <v>0.41163487105351471</v>
      </c>
      <c r="BJ159" s="1295">
        <f t="shared" si="1137"/>
        <v>0.5005886323323967</v>
      </c>
      <c r="BK159" s="251">
        <f>BK158/BK154/4</f>
        <v>0.70033468802295007</v>
      </c>
      <c r="BL159" s="251">
        <f>BL158/BL154/4</f>
        <v>0.47464104383905659</v>
      </c>
      <c r="BM159" s="251">
        <f>BM158/BM154/4</f>
        <v>0.5816886681479545</v>
      </c>
      <c r="BN159" s="1277">
        <f>BN158/BN154/4</f>
        <v>0.32445495680789799</v>
      </c>
      <c r="BO159" s="251">
        <f>BO158/BO154/2</f>
        <v>0.56333830104321903</v>
      </c>
      <c r="BP159" s="251">
        <f>BP158/BP154/2</f>
        <v>0.39823790770473594</v>
      </c>
      <c r="BQ159" s="1295">
        <f t="shared" si="1137"/>
        <v>0.44765742501206052</v>
      </c>
      <c r="BR159" s="251">
        <f>BR158/BR154/4</f>
        <v>0.84552252845451981</v>
      </c>
      <c r="BS159" s="251">
        <f>BS158/BS154/4</f>
        <v>1.1279307442587472</v>
      </c>
      <c r="BT159" s="251">
        <f>BT158/BT154/4</f>
        <v>0.8172433782217069</v>
      </c>
      <c r="BU159" s="1277">
        <f>BU158/BU154/4</f>
        <v>0.38480330109867855</v>
      </c>
      <c r="BV159" s="251">
        <f>BV158/BV154/2</f>
        <v>0.99018366054464846</v>
      </c>
      <c r="BW159" s="251">
        <f>BW158/BW154/2</f>
        <v>0.49090879731300868</v>
      </c>
      <c r="BX159" s="1295">
        <f t="shared" si="1137"/>
        <v>0.6090920019233852</v>
      </c>
      <c r="BY159" s="251">
        <f>BY158/BY154/4</f>
        <v>0.74536328871892921</v>
      </c>
      <c r="BZ159" s="251">
        <f>BZ158/BZ154/4</f>
        <v>0.52534033998730334</v>
      </c>
      <c r="CA159" s="251">
        <f>CA158/CA154/4</f>
        <v>0.7322922608861</v>
      </c>
      <c r="CB159" s="1277">
        <f>CB158/CB154/4</f>
        <v>0.41982464399199715</v>
      </c>
      <c r="CC159" s="251">
        <f>CC158/CC154/2</f>
        <v>0.6045987742014044</v>
      </c>
      <c r="CD159" s="251">
        <f>CD158/CD154/2</f>
        <v>0.51864640883977897</v>
      </c>
      <c r="CE159" s="1295">
        <f t="shared" si="1137"/>
        <v>0.54723964026155825</v>
      </c>
      <c r="CF159" s="251">
        <f>CF158/CF154/4</f>
        <v>0.62939583333333338</v>
      </c>
      <c r="CG159" s="251">
        <f>CG158/CG154/4</f>
        <v>0.63384074941451995</v>
      </c>
      <c r="CH159" s="251">
        <f>CH158/CH154/4</f>
        <v>0.65301675557893157</v>
      </c>
      <c r="CI159" s="1277">
        <f>CI158/CI154/4</f>
        <v>0.38996802945165665</v>
      </c>
      <c r="CJ159" s="251">
        <f>CJ158/CJ154/2</f>
        <v>0.65453446191052</v>
      </c>
      <c r="CK159" s="251">
        <f>CK158/CK154/2</f>
        <v>0.47421435513798488</v>
      </c>
      <c r="CL159" s="1295">
        <f t="shared" si="1137"/>
        <v>0.54799788982863362</v>
      </c>
      <c r="CM159" s="251">
        <f>CM158/CM154/4</f>
        <v>0.74736461786959107</v>
      </c>
      <c r="CN159" s="251">
        <f>CN158/CN154/4</f>
        <v>0.55764150943396229</v>
      </c>
      <c r="CO159" s="251">
        <f>CO158/CO154/4</f>
        <v>0.61295898503054302</v>
      </c>
      <c r="CP159" s="1277">
        <f>CP158/CP154/4</f>
        <v>0.36857685921524075</v>
      </c>
      <c r="CQ159" s="251">
        <f>CQ158/CQ154/2</f>
        <v>0.64103676390846975</v>
      </c>
      <c r="CR159" s="251">
        <f>CR158/CR154/2</f>
        <v>0.44651033533599765</v>
      </c>
      <c r="CS159" s="1295">
        <f t="shared" ref="CS159" si="1138">CS158/CS154</f>
        <v>0.51555480854444891</v>
      </c>
      <c r="CT159" s="251">
        <f>CT158/CT154/4</f>
        <v>0.73374902572096645</v>
      </c>
      <c r="CU159" s="251">
        <f>CU158/CU154/4</f>
        <v>0.61702094404501406</v>
      </c>
      <c r="CV159" s="251">
        <f>CV158/CV154/4</f>
        <v>0.6485116960928039</v>
      </c>
      <c r="CW159" s="1277">
        <f>CW158/CW154/4</f>
        <v>0.38178710147273021</v>
      </c>
      <c r="CX159" s="251">
        <f>CX158/CX154/2</f>
        <v>0.68477016478751085</v>
      </c>
      <c r="CY159" s="251">
        <f>CY158/CY154/2</f>
        <v>0.46708328177205793</v>
      </c>
      <c r="CZ159" s="1295">
        <f t="shared" ref="CZ159" si="1139">CZ158/CZ154</f>
        <v>0.54521161346237179</v>
      </c>
      <c r="DA159" s="251">
        <f>DA158/DA154/4</f>
        <v>0.76668881996750848</v>
      </c>
      <c r="DB159" s="251">
        <f>DB158/DB154/4</f>
        <v>0.67635984565596219</v>
      </c>
      <c r="DC159" s="251">
        <f>DC158/DC154/4</f>
        <v>0.61965668125210371</v>
      </c>
      <c r="DD159" s="1880">
        <f>DD158/DD154/4</f>
        <v>0.40097752463054187</v>
      </c>
      <c r="DE159" s="251">
        <f>DE158/DE154/2</f>
        <v>0.73405943937858831</v>
      </c>
      <c r="DF159" s="251">
        <f>DF158/DF154/2</f>
        <v>0.47564482994750057</v>
      </c>
      <c r="DG159" s="1295">
        <f t="shared" ref="DG159" si="1140">DG158/DG154</f>
        <v>0.56763824570961596</v>
      </c>
      <c r="DH159" s="1982">
        <f>DH158/DH154/4</f>
        <v>0.92723895344241558</v>
      </c>
      <c r="DI159" s="251">
        <f>DI158/DI154/4</f>
        <v>0.59220462850182709</v>
      </c>
      <c r="DJ159" s="1975">
        <v>0.55000000000000004</v>
      </c>
      <c r="DK159" s="450">
        <f>DK158/DK154/4</f>
        <v>0.3958120055145421</v>
      </c>
      <c r="DL159" s="251">
        <f>DL158/DL154/2</f>
        <v>0.73275862068965514</v>
      </c>
      <c r="DM159" s="449">
        <f>DM158/DM154/2</f>
        <v>0.46754932897521156</v>
      </c>
      <c r="DN159" s="1624">
        <v>0.55000000000000004</v>
      </c>
      <c r="DO159" s="1709">
        <f>DU159</f>
        <v>0.52500000000000002</v>
      </c>
      <c r="DP159" s="449">
        <f>DP158/DP154/4</f>
        <v>0.50036436013265762</v>
      </c>
      <c r="DQ159" s="1709">
        <f>DU159</f>
        <v>0.52500000000000002</v>
      </c>
      <c r="DR159" s="450">
        <f>DR158/DR154/4</f>
        <v>0.46983119071509749</v>
      </c>
      <c r="DS159" s="1709">
        <f>DU159</f>
        <v>0.52500000000000002</v>
      </c>
      <c r="DT159" s="449">
        <f>DT158/DT154/2</f>
        <v>0.49851568610505204</v>
      </c>
      <c r="DU159" s="1624">
        <v>0.52500000000000002</v>
      </c>
      <c r="DV159" s="1709">
        <f>EB159</f>
        <v>0.5</v>
      </c>
      <c r="DW159" s="449">
        <f>DW158/DW154/4</f>
        <v>0.47639521093254705</v>
      </c>
      <c r="DX159" s="1709">
        <f>EB159</f>
        <v>0.5</v>
      </c>
      <c r="DY159" s="450">
        <f>DY158/DY154/4</f>
        <v>0.44444030603325624</v>
      </c>
      <c r="DZ159" s="1709">
        <f>EB159</f>
        <v>0.5</v>
      </c>
      <c r="EA159" s="449">
        <f>EA158/EA154/2</f>
        <v>0.47358678576407676</v>
      </c>
      <c r="EB159" s="1624">
        <v>0.5</v>
      </c>
      <c r="EC159" s="1709">
        <f>EI159</f>
        <v>0.5</v>
      </c>
      <c r="ED159" s="449">
        <f>ED158/ED154/4</f>
        <v>0.48422595017588943</v>
      </c>
      <c r="EE159" s="1709">
        <f>EI159</f>
        <v>0.5</v>
      </c>
      <c r="EF159" s="450">
        <f>EF158/EF154/4</f>
        <v>0.44769927306401536</v>
      </c>
      <c r="EG159" s="1709">
        <f>EI159</f>
        <v>0.5</v>
      </c>
      <c r="EH159" s="449">
        <f>EH158/EH154/2</f>
        <v>0.47720075979067217</v>
      </c>
      <c r="EI159" s="1665">
        <f>EB159</f>
        <v>0.5</v>
      </c>
      <c r="EJ159" s="1709">
        <f>EP159</f>
        <v>0.5</v>
      </c>
      <c r="EK159" s="449">
        <f>EK158/EK154/4</f>
        <v>0.48398778390832498</v>
      </c>
      <c r="EL159" s="1709">
        <f>EP159</f>
        <v>0.5</v>
      </c>
      <c r="EM159" s="450">
        <f>EM158/EM154/4</f>
        <v>0.44738404790923236</v>
      </c>
      <c r="EN159" s="1709">
        <f>EP159</f>
        <v>0.5</v>
      </c>
      <c r="EO159" s="449">
        <f>EO158/EO154/2</f>
        <v>0.47701699885819199</v>
      </c>
      <c r="EP159" s="1665">
        <f t="shared" ref="EP159" si="1141">EI159</f>
        <v>0.5</v>
      </c>
      <c r="EQ159" s="911"/>
      <c r="ER159" s="46"/>
    </row>
    <row r="160" spans="1:148" ht="10.199999999999999" customHeight="1">
      <c r="A160" s="43"/>
      <c r="B160" s="108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709"/>
      <c r="R160" s="176"/>
      <c r="S160" s="176"/>
      <c r="T160" s="352"/>
      <c r="U160" s="176"/>
      <c r="V160" s="176"/>
      <c r="W160" s="176"/>
      <c r="X160" s="709"/>
      <c r="Y160" s="176"/>
      <c r="Z160" s="176"/>
      <c r="AA160" s="352"/>
      <c r="AB160" s="176"/>
      <c r="AC160" s="176"/>
      <c r="AD160" s="176"/>
      <c r="AE160" s="709"/>
      <c r="AF160" s="176"/>
      <c r="AG160" s="176"/>
      <c r="AH160" s="352"/>
      <c r="AI160" s="176"/>
      <c r="AJ160" s="176"/>
      <c r="AK160" s="176"/>
      <c r="AL160" s="709"/>
      <c r="AM160" s="176"/>
      <c r="AN160" s="176"/>
      <c r="AO160" s="352"/>
      <c r="AP160" s="176"/>
      <c r="AQ160" s="176"/>
      <c r="AR160" s="176"/>
      <c r="AS160" s="709"/>
      <c r="AT160" s="176"/>
      <c r="AU160" s="176"/>
      <c r="AV160" s="352"/>
      <c r="AW160" s="176"/>
      <c r="AX160" s="176"/>
      <c r="AY160" s="176"/>
      <c r="AZ160" s="709"/>
      <c r="BA160" s="176"/>
      <c r="BB160" s="176"/>
      <c r="BC160" s="352"/>
      <c r="BD160" s="176"/>
      <c r="BE160" s="176"/>
      <c r="BF160" s="176"/>
      <c r="BG160" s="709"/>
      <c r="BH160" s="176"/>
      <c r="BI160" s="176"/>
      <c r="BJ160" s="352"/>
      <c r="BK160" s="176"/>
      <c r="BL160" s="176"/>
      <c r="BM160" s="176"/>
      <c r="BN160" s="709"/>
      <c r="BO160" s="176"/>
      <c r="BP160" s="176"/>
      <c r="BQ160" s="352"/>
      <c r="BR160" s="176"/>
      <c r="BS160" s="176"/>
      <c r="BT160" s="176"/>
      <c r="BU160" s="709"/>
      <c r="BV160" s="176"/>
      <c r="BW160" s="176"/>
      <c r="BX160" s="352"/>
      <c r="BY160" s="176"/>
      <c r="BZ160" s="176"/>
      <c r="CA160" s="176"/>
      <c r="CB160" s="709"/>
      <c r="CC160" s="176"/>
      <c r="CD160" s="176"/>
      <c r="CE160" s="352"/>
      <c r="CF160" s="176"/>
      <c r="CG160" s="176"/>
      <c r="CH160" s="176"/>
      <c r="CI160" s="709"/>
      <c r="CJ160" s="176"/>
      <c r="CK160" s="176"/>
      <c r="CL160" s="352"/>
      <c r="CM160" s="176"/>
      <c r="CN160" s="176"/>
      <c r="CO160" s="176"/>
      <c r="CP160" s="709"/>
      <c r="CQ160" s="176"/>
      <c r="CR160" s="176"/>
      <c r="CS160" s="352"/>
      <c r="CT160" s="176"/>
      <c r="CU160" s="176"/>
      <c r="CV160" s="176"/>
      <c r="CW160" s="709"/>
      <c r="CX160" s="176"/>
      <c r="CY160" s="176"/>
      <c r="CZ160" s="352"/>
      <c r="DA160" s="176"/>
      <c r="DB160" s="176"/>
      <c r="DC160" s="593"/>
      <c r="DD160" s="1881"/>
      <c r="DE160" s="176"/>
      <c r="DF160" s="176"/>
      <c r="DG160" s="1601"/>
      <c r="DH160" s="593"/>
      <c r="DI160" s="176"/>
      <c r="DJ160" s="593"/>
      <c r="DK160" s="445"/>
      <c r="DL160" s="176"/>
      <c r="DM160" s="324"/>
      <c r="DN160" s="1601"/>
      <c r="DO160" s="593"/>
      <c r="DP160" s="324"/>
      <c r="DQ160" s="593"/>
      <c r="DR160" s="445"/>
      <c r="DS160" s="593"/>
      <c r="DT160" s="324"/>
      <c r="DU160" s="1601"/>
      <c r="DV160" s="593"/>
      <c r="DW160" s="324"/>
      <c r="DX160" s="593"/>
      <c r="DY160" s="445"/>
      <c r="DZ160" s="593"/>
      <c r="EA160" s="324"/>
      <c r="EB160" s="1601"/>
      <c r="EC160" s="593"/>
      <c r="ED160" s="324"/>
      <c r="EE160" s="593"/>
      <c r="EF160" s="445"/>
      <c r="EG160" s="593"/>
      <c r="EH160" s="324"/>
      <c r="EI160" s="1601"/>
      <c r="EJ160" s="593"/>
      <c r="EK160" s="324"/>
      <c r="EL160" s="593"/>
      <c r="EM160" s="445"/>
      <c r="EN160" s="593"/>
      <c r="EO160" s="324"/>
      <c r="EP160" s="1601"/>
      <c r="EQ160" s="911"/>
      <c r="ER160" s="46"/>
    </row>
    <row r="161" spans="1:148" ht="10.199999999999999" customHeight="1">
      <c r="A161" s="43" t="s">
        <v>73</v>
      </c>
      <c r="B161" s="108"/>
      <c r="C161" s="130">
        <f t="shared" ref="C161:CL161" si="1142">+C4</f>
        <v>4114</v>
      </c>
      <c r="D161" s="130">
        <f t="shared" si="1142"/>
        <v>4001</v>
      </c>
      <c r="E161" s="130">
        <f t="shared" si="1142"/>
        <v>4406</v>
      </c>
      <c r="F161" s="130">
        <f t="shared" si="1142"/>
        <v>4802</v>
      </c>
      <c r="G161" s="130">
        <f t="shared" si="1142"/>
        <v>4852</v>
      </c>
      <c r="H161" s="130">
        <f t="shared" si="1142"/>
        <v>4639</v>
      </c>
      <c r="I161" s="130">
        <f t="shared" si="1142"/>
        <v>5267</v>
      </c>
      <c r="J161" s="130">
        <f t="shared" si="1142"/>
        <v>5587</v>
      </c>
      <c r="K161" s="130">
        <f t="shared" si="1142"/>
        <v>6632</v>
      </c>
      <c r="L161" s="130">
        <f t="shared" si="1142"/>
        <v>6394</v>
      </c>
      <c r="M161" s="130">
        <f t="shared" si="1142"/>
        <v>6790</v>
      </c>
      <c r="N161" s="130"/>
      <c r="O161" s="130"/>
      <c r="P161" s="130"/>
      <c r="Q161" s="698"/>
      <c r="R161" s="130"/>
      <c r="S161" s="130"/>
      <c r="T161" s="619">
        <f t="shared" si="1142"/>
        <v>6628</v>
      </c>
      <c r="U161" s="130">
        <f t="shared" si="1142"/>
        <v>6101</v>
      </c>
      <c r="V161" s="130">
        <f t="shared" si="1142"/>
        <v>6050</v>
      </c>
      <c r="W161" s="130">
        <f t="shared" si="1142"/>
        <v>5831</v>
      </c>
      <c r="X161" s="698">
        <f t="shared" si="1142"/>
        <v>6798</v>
      </c>
      <c r="Y161" s="130">
        <f t="shared" ref="Y161:Z161" si="1143">+Y4</f>
        <v>6050</v>
      </c>
      <c r="Z161" s="130">
        <f t="shared" si="1143"/>
        <v>6798</v>
      </c>
      <c r="AA161" s="619">
        <f t="shared" si="1142"/>
        <v>6798</v>
      </c>
      <c r="AB161" s="130">
        <f t="shared" ref="AB161:AE161" si="1144">+AB4</f>
        <v>6471</v>
      </c>
      <c r="AC161" s="130">
        <f t="shared" si="1144"/>
        <v>6342</v>
      </c>
      <c r="AD161" s="130">
        <f t="shared" si="1144"/>
        <v>6490</v>
      </c>
      <c r="AE161" s="698">
        <f t="shared" si="1144"/>
        <v>7877</v>
      </c>
      <c r="AF161" s="130">
        <f t="shared" ref="AF161:AG161" si="1145">+AF4</f>
        <v>6342</v>
      </c>
      <c r="AG161" s="130">
        <f t="shared" si="1145"/>
        <v>7877</v>
      </c>
      <c r="AH161" s="619">
        <f t="shared" si="1142"/>
        <v>7877</v>
      </c>
      <c r="AI161" s="130">
        <f t="shared" si="1142"/>
        <v>7563</v>
      </c>
      <c r="AJ161" s="130">
        <f t="shared" si="1142"/>
        <v>7317</v>
      </c>
      <c r="AK161" s="130">
        <f t="shared" si="1142"/>
        <v>7640</v>
      </c>
      <c r="AL161" s="698">
        <f t="shared" si="1142"/>
        <v>8101</v>
      </c>
      <c r="AM161" s="130">
        <f t="shared" ref="AM161:AN161" si="1146">+AM4</f>
        <v>7317</v>
      </c>
      <c r="AN161" s="130">
        <f t="shared" si="1146"/>
        <v>8101</v>
      </c>
      <c r="AO161" s="619">
        <f t="shared" si="1142"/>
        <v>8101</v>
      </c>
      <c r="AP161" s="130">
        <f t="shared" ref="AP161:AS161" si="1147">+AP4</f>
        <v>9074</v>
      </c>
      <c r="AQ161" s="130">
        <f t="shared" si="1147"/>
        <v>8119</v>
      </c>
      <c r="AR161" s="130">
        <f t="shared" si="1147"/>
        <v>8043</v>
      </c>
      <c r="AS161" s="698">
        <f t="shared" si="1147"/>
        <v>8358</v>
      </c>
      <c r="AT161" s="130">
        <f t="shared" ref="AT161:AU161" si="1148">+AT4</f>
        <v>8119</v>
      </c>
      <c r="AU161" s="130">
        <f t="shared" si="1148"/>
        <v>8358</v>
      </c>
      <c r="AV161" s="619">
        <f t="shared" si="1142"/>
        <v>8358</v>
      </c>
      <c r="AW161" s="130"/>
      <c r="AX161" s="130"/>
      <c r="AY161" s="130"/>
      <c r="AZ161" s="698"/>
      <c r="BA161" s="130"/>
      <c r="BB161" s="130"/>
      <c r="BC161" s="619">
        <f t="shared" si="1142"/>
        <v>5487</v>
      </c>
      <c r="BD161" s="130">
        <f t="shared" si="1142"/>
        <v>5350</v>
      </c>
      <c r="BE161" s="130">
        <f t="shared" si="1142"/>
        <v>5389</v>
      </c>
      <c r="BF161" s="130">
        <f t="shared" si="1142"/>
        <v>5530</v>
      </c>
      <c r="BG161" s="698">
        <f t="shared" si="1142"/>
        <v>6078</v>
      </c>
      <c r="BH161" s="130">
        <f t="shared" ref="BH161:BI161" si="1149">+BH4</f>
        <v>5389</v>
      </c>
      <c r="BI161" s="130">
        <f t="shared" si="1149"/>
        <v>6078</v>
      </c>
      <c r="BJ161" s="619">
        <f t="shared" si="1142"/>
        <v>6078</v>
      </c>
      <c r="BK161" s="130">
        <f t="shared" ref="BK161:BN161" si="1150">+BK4</f>
        <v>6384</v>
      </c>
      <c r="BL161" s="130">
        <f t="shared" si="1150"/>
        <v>5871</v>
      </c>
      <c r="BM161" s="130">
        <f t="shared" si="1150"/>
        <v>5036</v>
      </c>
      <c r="BN161" s="698">
        <f t="shared" si="1150"/>
        <v>5674</v>
      </c>
      <c r="BO161" s="130">
        <f t="shared" ref="BO161:BP161" si="1151">+BO4</f>
        <v>5871</v>
      </c>
      <c r="BP161" s="130">
        <f t="shared" si="1151"/>
        <v>5674</v>
      </c>
      <c r="BQ161" s="619">
        <f t="shared" si="1142"/>
        <v>5674</v>
      </c>
      <c r="BR161" s="130">
        <f t="shared" si="1142"/>
        <v>5090</v>
      </c>
      <c r="BS161" s="130">
        <f t="shared" si="1142"/>
        <v>4747</v>
      </c>
      <c r="BT161" s="130">
        <f t="shared" si="1142"/>
        <v>4860</v>
      </c>
      <c r="BU161" s="698">
        <f t="shared" si="1142"/>
        <v>5132</v>
      </c>
      <c r="BV161" s="130">
        <f t="shared" ref="BV161:BW161" si="1152">+BV4</f>
        <v>4747</v>
      </c>
      <c r="BW161" s="130">
        <f t="shared" si="1152"/>
        <v>5132</v>
      </c>
      <c r="BX161" s="619">
        <f t="shared" si="1142"/>
        <v>5132</v>
      </c>
      <c r="BY161" s="130">
        <f t="shared" ref="BY161:CB161" si="1153">+BY4</f>
        <v>5045</v>
      </c>
      <c r="BZ161" s="130">
        <f t="shared" si="1153"/>
        <v>4754</v>
      </c>
      <c r="CA161" s="130">
        <f t="shared" si="1153"/>
        <v>4740</v>
      </c>
      <c r="CB161" s="698">
        <f t="shared" si="1153"/>
        <v>5063</v>
      </c>
      <c r="CC161" s="130">
        <f t="shared" ref="CC161:CD161" si="1154">+CC4</f>
        <v>4754</v>
      </c>
      <c r="CD161" s="130">
        <f t="shared" si="1154"/>
        <v>5063</v>
      </c>
      <c r="CE161" s="619">
        <f t="shared" si="1142"/>
        <v>5063</v>
      </c>
      <c r="CF161" s="130">
        <f t="shared" si="1142"/>
        <v>5383</v>
      </c>
      <c r="CG161" s="130">
        <f t="shared" si="1142"/>
        <v>4942</v>
      </c>
      <c r="CH161" s="130">
        <f t="shared" si="1142"/>
        <v>4902</v>
      </c>
      <c r="CI161" s="698">
        <f t="shared" si="1142"/>
        <v>4953</v>
      </c>
      <c r="CJ161" s="130">
        <f t="shared" ref="CJ161:CK161" si="1155">+CJ4</f>
        <v>4942</v>
      </c>
      <c r="CK161" s="130">
        <f t="shared" si="1155"/>
        <v>4953</v>
      </c>
      <c r="CL161" s="619">
        <f t="shared" si="1142"/>
        <v>4953</v>
      </c>
      <c r="CM161" s="130">
        <f t="shared" ref="CM161:CP161" si="1156">+CM4</f>
        <v>4509</v>
      </c>
      <c r="CN161" s="130">
        <f t="shared" si="1156"/>
        <v>5026</v>
      </c>
      <c r="CO161" s="130">
        <f t="shared" si="1156"/>
        <v>4905</v>
      </c>
      <c r="CP161" s="698">
        <f t="shared" si="1156"/>
        <v>4725</v>
      </c>
      <c r="CQ161" s="130">
        <f t="shared" ref="CQ161:CR161" si="1157">+CQ4</f>
        <v>5026</v>
      </c>
      <c r="CR161" s="130">
        <f t="shared" si="1157"/>
        <v>4725</v>
      </c>
      <c r="CS161" s="619">
        <f t="shared" ref="CS161:CT161" si="1158">+CS4</f>
        <v>4725</v>
      </c>
      <c r="CT161" s="130">
        <f t="shared" si="1158"/>
        <v>4959</v>
      </c>
      <c r="CU161" s="130">
        <f t="shared" ref="CU161:CW161" si="1159">+CU4</f>
        <v>4867</v>
      </c>
      <c r="CV161" s="130">
        <f t="shared" si="1159"/>
        <v>4727</v>
      </c>
      <c r="CW161" s="698">
        <f t="shared" si="1159"/>
        <v>5293</v>
      </c>
      <c r="CX161" s="130">
        <f t="shared" ref="CX161:DC161" si="1160">+CX4</f>
        <v>4867</v>
      </c>
      <c r="CY161" s="130">
        <f t="shared" si="1160"/>
        <v>5293</v>
      </c>
      <c r="CZ161" s="619">
        <f t="shared" si="1160"/>
        <v>5293</v>
      </c>
      <c r="DA161" s="130">
        <f t="shared" si="1160"/>
        <v>5028</v>
      </c>
      <c r="DB161" s="130">
        <f t="shared" si="1160"/>
        <v>5178</v>
      </c>
      <c r="DC161" s="130">
        <f t="shared" si="1160"/>
        <v>4929</v>
      </c>
      <c r="DD161" s="1907">
        <f t="shared" ref="DD161:DF161" si="1161">+DD4</f>
        <v>5454</v>
      </c>
      <c r="DE161" s="130">
        <f t="shared" si="1161"/>
        <v>5178</v>
      </c>
      <c r="DF161" s="130">
        <f t="shared" si="1161"/>
        <v>5454</v>
      </c>
      <c r="DG161" s="619">
        <f t="shared" ref="DG161:DI161" si="1162">+DG4</f>
        <v>5454</v>
      </c>
      <c r="DH161" s="317">
        <f t="shared" si="1162"/>
        <v>5243</v>
      </c>
      <c r="DI161" s="130">
        <f t="shared" si="1162"/>
        <v>4898</v>
      </c>
      <c r="DJ161" s="624">
        <f>DJ162*DJ154*4</f>
        <v>4655.3473819945393</v>
      </c>
      <c r="DK161" s="618">
        <f t="shared" ref="DK161:DL161" si="1163">+DK4</f>
        <v>6041.8607872992898</v>
      </c>
      <c r="DL161" s="130">
        <f t="shared" si="1163"/>
        <v>4898</v>
      </c>
      <c r="DM161" s="617">
        <f t="shared" ref="DM161" si="1164">+DM4</f>
        <v>6041.8607872992898</v>
      </c>
      <c r="DN161" s="1113">
        <f t="shared" ref="DN161:EP161" si="1165">DN162*DN154</f>
        <v>6041.8607872992898</v>
      </c>
      <c r="DO161" s="624">
        <f>DO162*DO154*4</f>
        <v>6053.5542921778733</v>
      </c>
      <c r="DP161" s="617">
        <f t="shared" ref="DP161" si="1166">+DP4</f>
        <v>6367.0379586177041</v>
      </c>
      <c r="DQ161" s="624">
        <f>DQ162*DQ154*4</f>
        <v>6649.1642930830494</v>
      </c>
      <c r="DR161" s="618">
        <f t="shared" ref="DR161" si="1167">+DR4</f>
        <v>6724.27402766869</v>
      </c>
      <c r="DS161" s="624">
        <f>DS162*DS154*2</f>
        <v>6367.0379586177041</v>
      </c>
      <c r="DT161" s="617">
        <f t="shared" ref="DT161" si="1168">+DT4</f>
        <v>6724.27402766869</v>
      </c>
      <c r="DU161" s="1113">
        <f t="shared" si="1165"/>
        <v>6724.27402766869</v>
      </c>
      <c r="DV161" s="624">
        <f>DV162*DV154*4</f>
        <v>6570.2811934776955</v>
      </c>
      <c r="DW161" s="617">
        <f t="shared" ref="DW161" si="1169">+DW4</f>
        <v>6912.8019143159609</v>
      </c>
      <c r="DX161" s="624">
        <f>DX162*DX154*4</f>
        <v>7222.5411589019432</v>
      </c>
      <c r="DY161" s="618">
        <f t="shared" ref="DY161" si="1170">+DY4</f>
        <v>7321.1205841992341</v>
      </c>
      <c r="DZ161" s="624">
        <f>DZ162*DZ154*2</f>
        <v>6912.8019143159609</v>
      </c>
      <c r="EA161" s="617">
        <f t="shared" ref="EA161" si="1171">+EA4</f>
        <v>7321.1205841992341</v>
      </c>
      <c r="EB161" s="1113">
        <f t="shared" si="1165"/>
        <v>7321.1205841992341</v>
      </c>
      <c r="EC161" s="624">
        <f>EC162*EC154*4</f>
        <v>7048.4652174549265</v>
      </c>
      <c r="ED161" s="617">
        <f t="shared" ref="ED161" si="1172">+ED4</f>
        <v>7285.8062154104327</v>
      </c>
      <c r="EE161" s="624">
        <f>EE162*EE154*4</f>
        <v>7488.6440048541208</v>
      </c>
      <c r="EF161" s="618">
        <f t="shared" ref="EF161" si="1173">+EF4</f>
        <v>7651.3658336458648</v>
      </c>
      <c r="EG161" s="624">
        <f>EG162*EG154*2</f>
        <v>7285.8062154104327</v>
      </c>
      <c r="EH161" s="617">
        <f t="shared" ref="EH161" si="1174">+EH4</f>
        <v>7651.3658336458648</v>
      </c>
      <c r="EI161" s="1113">
        <f t="shared" si="1165"/>
        <v>7651.3658336458648</v>
      </c>
      <c r="EJ161" s="624">
        <f>EJ162*EJ154*4</f>
        <v>7284.4613388022472</v>
      </c>
      <c r="EK161" s="617">
        <f t="shared" ref="EK161" si="1175">+EK4</f>
        <v>7533.7059085829769</v>
      </c>
      <c r="EL161" s="624">
        <f>EL162*EL154*4</f>
        <v>7746.8901483387326</v>
      </c>
      <c r="EM161" s="618">
        <f t="shared" ref="EM161" si="1176">+EM4</f>
        <v>7915.0587860544247</v>
      </c>
      <c r="EN161" s="624">
        <f>EN162*EN154*2</f>
        <v>7533.7059085829769</v>
      </c>
      <c r="EO161" s="617">
        <f t="shared" ref="EO161" si="1177">+EO4</f>
        <v>7915.0587860544247</v>
      </c>
      <c r="EP161" s="1113">
        <f t="shared" si="1165"/>
        <v>7915.0587860544247</v>
      </c>
      <c r="EQ161" s="911"/>
      <c r="ER161" s="46"/>
    </row>
    <row r="162" spans="1:148" ht="10.199999999999999" customHeight="1">
      <c r="A162" s="43" t="s">
        <v>17</v>
      </c>
      <c r="B162" s="108"/>
      <c r="C162" s="157">
        <f t="shared" ref="C162:CL162" si="1178">+C161/C154</f>
        <v>0.1333290121856365</v>
      </c>
      <c r="D162" s="157">
        <f t="shared" si="1178"/>
        <v>0.12752597692356729</v>
      </c>
      <c r="E162" s="157">
        <f t="shared" si="1178"/>
        <v>0.13199125250891225</v>
      </c>
      <c r="F162" s="157">
        <f t="shared" si="1178"/>
        <v>0.13472869087032152</v>
      </c>
      <c r="G162" s="157">
        <f t="shared" si="1178"/>
        <v>0.12304103058274585</v>
      </c>
      <c r="H162" s="157">
        <f t="shared" si="1178"/>
        <v>0.11857475142499298</v>
      </c>
      <c r="I162" s="157">
        <f t="shared" si="1178"/>
        <v>0.12173812550560499</v>
      </c>
      <c r="J162" s="157">
        <f t="shared" si="1178"/>
        <v>0.13047031899490916</v>
      </c>
      <c r="K162" s="157">
        <f t="shared" si="1178"/>
        <v>0.14495541178527716</v>
      </c>
      <c r="L162" s="157">
        <f t="shared" si="1178"/>
        <v>0.13014981273408241</v>
      </c>
      <c r="M162" s="157">
        <f t="shared" si="1178"/>
        <v>0.12021954674220964</v>
      </c>
      <c r="N162" s="157"/>
      <c r="O162" s="157"/>
      <c r="P162" s="157"/>
      <c r="Q162" s="1277"/>
      <c r="R162" s="157"/>
      <c r="S162" s="157"/>
      <c r="T162" s="1295">
        <f t="shared" si="1178"/>
        <v>0.1151354074382893</v>
      </c>
      <c r="U162" s="251">
        <f>+U161/U154/4</f>
        <v>0.12059218848829854</v>
      </c>
      <c r="V162" s="251">
        <f>+V161/V154/4</f>
        <v>0.10393760307861462</v>
      </c>
      <c r="W162" s="251">
        <f>+W161/W154/4</f>
        <v>0.10962999172745733</v>
      </c>
      <c r="X162" s="1277">
        <f>+X161/X154/4</f>
        <v>8.4067075583696083E-2</v>
      </c>
      <c r="Y162" s="251">
        <f>+Y161/Y154/2</f>
        <v>0.11121323529411764</v>
      </c>
      <c r="Z162" s="157">
        <f>+Z161/Z154/2</f>
        <v>0.10142332826067496</v>
      </c>
      <c r="AA162" s="1295">
        <f t="shared" si="1178"/>
        <v>0.11196942994086934</v>
      </c>
      <c r="AB162" s="251">
        <f>+AB161/AB154/4</f>
        <v>0.13394187779433681</v>
      </c>
      <c r="AC162" s="251">
        <f>+AC161/AC154/4</f>
        <v>9.4290811775200711E-2</v>
      </c>
      <c r="AD162" s="251">
        <f>+AD161/AD154/4</f>
        <v>0.11529988629903354</v>
      </c>
      <c r="AE162" s="1277">
        <f>+AE161/AE154/4</f>
        <v>9.1656969979055161E-2</v>
      </c>
      <c r="AF162" s="251">
        <f>+AF161/AF154/2</f>
        <v>0.10974976637939986</v>
      </c>
      <c r="AG162" s="157">
        <f>+AG161/AG154/2</f>
        <v>0.11076581263886155</v>
      </c>
      <c r="AH162" s="1295">
        <f t="shared" si="1178"/>
        <v>0.12221877424359968</v>
      </c>
      <c r="AI162" s="251">
        <f>+AI161/AI154/4</f>
        <v>0.15519576459000245</v>
      </c>
      <c r="AJ162" s="251">
        <f>+AJ161/AJ154/4</f>
        <v>0.11038196958725562</v>
      </c>
      <c r="AK162" s="251">
        <f>+AK161/AK154/4</f>
        <v>0.13691756272401434</v>
      </c>
      <c r="AL162" s="1277">
        <f>+AL161/AL154/4</f>
        <v>8.4823672306919076E-2</v>
      </c>
      <c r="AM162" s="251">
        <f>+AM161/AM154/2</f>
        <v>0.1272300469483568</v>
      </c>
      <c r="AN162" s="157">
        <f>+AN161/AN154/2</f>
        <v>0.1070824300745519</v>
      </c>
      <c r="AO162" s="1295">
        <f t="shared" si="1178"/>
        <v>0.12167134768177107</v>
      </c>
      <c r="AP162" s="251">
        <f>+AP161/AP154/4</f>
        <v>0.17466122574684323</v>
      </c>
      <c r="AQ162" s="251">
        <f>+AQ161/AQ154/4</f>
        <v>0.12911074359137459</v>
      </c>
      <c r="AR162" s="251">
        <f>+AR161/AR154/4</f>
        <v>0.14116470092670599</v>
      </c>
      <c r="AS162" s="1277">
        <f>+AS161/AS154/4</f>
        <v>8.7742504409171071E-2</v>
      </c>
      <c r="AT162" s="251">
        <f>+AT161/AT154/2</f>
        <v>0.14140165105019331</v>
      </c>
      <c r="AU162" s="157">
        <f>+AU161/AU154/2</f>
        <v>0.10980608544852594</v>
      </c>
      <c r="AV162" s="1295">
        <f t="shared" si="1178"/>
        <v>0.12518160168945736</v>
      </c>
      <c r="AW162" s="157"/>
      <c r="AX162" s="157"/>
      <c r="AY162" s="157"/>
      <c r="AZ162" s="1277"/>
      <c r="BA162" s="157"/>
      <c r="BB162" s="157"/>
      <c r="BC162" s="1295">
        <f t="shared" si="1178"/>
        <v>9.2965334959845478E-2</v>
      </c>
      <c r="BD162" s="251">
        <f>+BD161/BD154/4</f>
        <v>0.1321770925980828</v>
      </c>
      <c r="BE162" s="251">
        <f>+BE161/BE154/4</f>
        <v>9.071779678136152E-2</v>
      </c>
      <c r="BF162" s="251">
        <f>+BF161/BF154/4</f>
        <v>8.947640929389683E-2</v>
      </c>
      <c r="BG162" s="1277">
        <f>+BG161/BG154/4</f>
        <v>6.5253800566864209E-2</v>
      </c>
      <c r="BH162" s="251">
        <f>+BH161/BH154/2</f>
        <v>0.1079094913896676</v>
      </c>
      <c r="BI162" s="157">
        <f>+BI161/BI154/2</f>
        <v>7.8452125874486925E-2</v>
      </c>
      <c r="BJ162" s="1295">
        <f t="shared" si="1178"/>
        <v>9.5405528434865869E-2</v>
      </c>
      <c r="BK162" s="251">
        <f>+BK161/BK154/4</f>
        <v>0.12718144872101364</v>
      </c>
      <c r="BL162" s="251">
        <f>+BL161/BL154/4</f>
        <v>8.0130479882076763E-2</v>
      </c>
      <c r="BM162" s="251">
        <f>+BM161/BM154/4</f>
        <v>8.2276826558619787E-2</v>
      </c>
      <c r="BN162" s="1277">
        <f>+BN161/BN154/4</f>
        <v>5.8350473056355406E-2</v>
      </c>
      <c r="BO162" s="251">
        <f>+BO161/BO154/2</f>
        <v>9.5104645888680103E-2</v>
      </c>
      <c r="BP162" s="157">
        <f>+BP161/BP154/2</f>
        <v>7.1619711198626673E-2</v>
      </c>
      <c r="BQ162" s="1295">
        <f t="shared" si="1178"/>
        <v>8.0507392377763276E-2</v>
      </c>
      <c r="BR162" s="251">
        <f>+BR161/BR154/4</f>
        <v>0.11969711221898222</v>
      </c>
      <c r="BS162" s="251">
        <f>+BS161/BS154/4</f>
        <v>0.14268967175664302</v>
      </c>
      <c r="BT162" s="251">
        <f>+BT161/BT154/4</f>
        <v>0.1083563720681352</v>
      </c>
      <c r="BU162" s="1277">
        <f>+BU161/BU154/4</f>
        <v>6.4958736266518158E-2</v>
      </c>
      <c r="BV162" s="251">
        <f>+BV161/BV154/2</f>
        <v>0.1252638800928858</v>
      </c>
      <c r="BW162" s="157">
        <f>+BW161/BW154/2</f>
        <v>8.2870430176979717E-2</v>
      </c>
      <c r="BX162" s="1295">
        <f t="shared" si="1178"/>
        <v>0.10282096489822087</v>
      </c>
      <c r="BY162" s="251">
        <f>+BY161/BY154/4</f>
        <v>0.12057839388145315</v>
      </c>
      <c r="BZ162" s="251">
        <f>+BZ161/BZ154/4</f>
        <v>8.3832968893277848E-2</v>
      </c>
      <c r="CA162" s="251">
        <f>+CA161/CA154/4</f>
        <v>0.11266400456360524</v>
      </c>
      <c r="CB162" s="1277">
        <f>+CB161/CB154/4</f>
        <v>7.4482170177709778E-2</v>
      </c>
      <c r="CC162" s="251">
        <f>+CC161/CC154/2</f>
        <v>9.6480902707310148E-2</v>
      </c>
      <c r="CD162" s="157">
        <f>+CD161/CD154/2</f>
        <v>9.2014393719104387E-2</v>
      </c>
      <c r="CE162" s="1295">
        <f t="shared" si="1178"/>
        <v>9.7087192467736672E-2</v>
      </c>
      <c r="CF162" s="251">
        <f>+CF161/CF154/4</f>
        <v>0.11214583333333333</v>
      </c>
      <c r="CG162" s="251">
        <f>+CG161/CG154/4</f>
        <v>9.6448087431693988E-2</v>
      </c>
      <c r="CH162" s="251">
        <f>+CH161/CH154/4</f>
        <v>9.2080546998271839E-2</v>
      </c>
      <c r="CI162" s="1277">
        <f>+CI161/CI154/4</f>
        <v>5.9981108312342567E-2</v>
      </c>
      <c r="CJ162" s="251">
        <f>+CJ161/CJ154/2</f>
        <v>9.9596936719064888E-2</v>
      </c>
      <c r="CK162" s="157">
        <f>+CK161/CK154/2</f>
        <v>7.2939062822136483E-2</v>
      </c>
      <c r="CL162" s="1295">
        <f t="shared" si="1178"/>
        <v>8.4287732076306521E-2</v>
      </c>
      <c r="CM162" s="251">
        <f>+CM161/CM154/4</f>
        <v>9.5830145371078812E-2</v>
      </c>
      <c r="CN162" s="251">
        <f>+CN161/CN154/4</f>
        <v>7.9025157232704396E-2</v>
      </c>
      <c r="CO162" s="251">
        <f>+CO161/CO154/4</f>
        <v>8.2315231254615026E-2</v>
      </c>
      <c r="CP162" s="1277">
        <f>+CP161/CP154/4</f>
        <v>5.1614524163243906E-2</v>
      </c>
      <c r="CQ162" s="251">
        <f>+CQ161/CQ154/2</f>
        <v>9.084336478328453E-2</v>
      </c>
      <c r="CR162" s="157">
        <f>+CR161/CR154/2</f>
        <v>6.2528121112669713E-2</v>
      </c>
      <c r="CS162" s="1295">
        <f t="shared" ref="CS162" si="1179">+CS161/CS154</f>
        <v>7.2196925709745438E-2</v>
      </c>
      <c r="CT162" s="251">
        <f>+CT161/CT154/4</f>
        <v>9.6628994544037408E-2</v>
      </c>
      <c r="CU162" s="251">
        <f>+CU161/CU154/4</f>
        <v>7.6070647077211631E-2</v>
      </c>
      <c r="CV162" s="251">
        <f>+CV161/CV154/4</f>
        <v>7.5323475046210717E-2</v>
      </c>
      <c r="CW162" s="1277">
        <f>+CW161/CW154/4</f>
        <v>5.3538193882505261E-2</v>
      </c>
      <c r="CX162" s="251">
        <f>+CX161/CX154/2</f>
        <v>8.4423243712055507E-2</v>
      </c>
      <c r="CY162" s="157">
        <f>+CY161/CY154/2</f>
        <v>6.5499319391164462E-2</v>
      </c>
      <c r="CZ162" s="1295">
        <f t="shared" ref="CZ162" si="1180">+CZ161/CZ154</f>
        <v>7.6455293947710529E-2</v>
      </c>
      <c r="DA162" s="251">
        <f>+DA161/DA154/4</f>
        <v>9.2822330527248559E-2</v>
      </c>
      <c r="DB162" s="251">
        <f>+DB161/DB154/4</f>
        <v>8.0563853622106052E-2</v>
      </c>
      <c r="DC162" s="251">
        <f>+DC161/DC154/4</f>
        <v>6.9126556714910803E-2</v>
      </c>
      <c r="DD162" s="1880">
        <f>+DD161/DD154/4</f>
        <v>5.2474599753694583E-2</v>
      </c>
      <c r="DE162" s="251">
        <f>+DE161/DE154/2</f>
        <v>8.7436676798378923E-2</v>
      </c>
      <c r="DF162" s="157">
        <f>+DF161/DF154/2</f>
        <v>6.224606254279845E-2</v>
      </c>
      <c r="DG162" s="1295">
        <f t="shared" ref="DG162" si="1181">+DG161/DG154</f>
        <v>7.4284935984745296E-2</v>
      </c>
      <c r="DH162" s="1982">
        <f>+DH161/DH154/4</f>
        <v>0.10360841040233974</v>
      </c>
      <c r="DI162" s="251">
        <f>+DI161/DI154/4</f>
        <v>5.965895249695493E-2</v>
      </c>
      <c r="DJ162" s="1975">
        <v>0.06</v>
      </c>
      <c r="DK162" s="450">
        <f>+DK161/DK154/4</f>
        <v>5.397436438834665E-2</v>
      </c>
      <c r="DL162" s="251">
        <f>+DL161/DL154/2</f>
        <v>7.3818422956353991E-2</v>
      </c>
      <c r="DM162" s="810">
        <f>+DM161/DM154/2</f>
        <v>6.3756726678437944E-2</v>
      </c>
      <c r="DN162" s="1624">
        <v>7.4999999999999997E-2</v>
      </c>
      <c r="DO162" s="1704">
        <f>DU162</f>
        <v>7.4999999999999997E-2</v>
      </c>
      <c r="DP162" s="449">
        <f>+DP161/DP154/4</f>
        <v>7.1480622876093927E-2</v>
      </c>
      <c r="DQ162" s="1704">
        <f>DU162</f>
        <v>7.4999999999999997E-2</v>
      </c>
      <c r="DR162" s="450">
        <f>+DR161/DR154/4</f>
        <v>6.7118741530728193E-2</v>
      </c>
      <c r="DS162" s="1710">
        <f>DU162</f>
        <v>7.4999999999999997E-2</v>
      </c>
      <c r="DT162" s="810">
        <f>+DT161/DT154/2</f>
        <v>7.1216526586435985E-2</v>
      </c>
      <c r="DU162" s="1663">
        <f>DN162</f>
        <v>7.4999999999999997E-2</v>
      </c>
      <c r="DV162" s="1704">
        <f>EB162</f>
        <v>7.4999999999999997E-2</v>
      </c>
      <c r="DW162" s="449">
        <f>+DW161/DW154/4</f>
        <v>7.1459281639882063E-2</v>
      </c>
      <c r="DX162" s="1704">
        <f>EB162</f>
        <v>7.4999999999999997E-2</v>
      </c>
      <c r="DY162" s="450">
        <f>+DY161/DY154/4</f>
        <v>6.6666045904988439E-2</v>
      </c>
      <c r="DZ162" s="1710">
        <f>EB162</f>
        <v>7.4999999999999997E-2</v>
      </c>
      <c r="EA162" s="810">
        <f>+EA161/EA154/2</f>
        <v>7.1038017864611516E-2</v>
      </c>
      <c r="EB162" s="1663">
        <f>DU162</f>
        <v>7.4999999999999997E-2</v>
      </c>
      <c r="EC162" s="1704">
        <f>EI162</f>
        <v>7.4999999999999997E-2</v>
      </c>
      <c r="ED162" s="449">
        <f>+ED161/ED154/4</f>
        <v>7.2633892526383415E-2</v>
      </c>
      <c r="EE162" s="1704">
        <f>EI162</f>
        <v>7.4999999999999997E-2</v>
      </c>
      <c r="EF162" s="450">
        <f>+EF161/EF154/4</f>
        <v>6.7154890959602295E-2</v>
      </c>
      <c r="EG162" s="1710">
        <f>EI162</f>
        <v>7.4999999999999997E-2</v>
      </c>
      <c r="EH162" s="810">
        <f>+EH161/EH154/2</f>
        <v>7.1580113968600825E-2</v>
      </c>
      <c r="EI162" s="1663">
        <f>EB162</f>
        <v>7.4999999999999997E-2</v>
      </c>
      <c r="EJ162" s="1704">
        <f>EP162</f>
        <v>7.4999999999999997E-2</v>
      </c>
      <c r="EK162" s="449">
        <f>+EK161/EK154/4</f>
        <v>7.2598167586248749E-2</v>
      </c>
      <c r="EL162" s="1704">
        <f>EP162</f>
        <v>7.4999999999999997E-2</v>
      </c>
      <c r="EM162" s="450">
        <f>+EM161/EM154/4</f>
        <v>6.7107607186384852E-2</v>
      </c>
      <c r="EN162" s="1710">
        <f>EP162</f>
        <v>7.4999999999999997E-2</v>
      </c>
      <c r="EO162" s="810">
        <f>+EO161/EO154/2</f>
        <v>7.1552549828728801E-2</v>
      </c>
      <c r="EP162" s="1663">
        <f t="shared" ref="EP162" si="1182">EI162</f>
        <v>7.4999999999999997E-2</v>
      </c>
      <c r="EQ162" s="911"/>
      <c r="ER162" s="46"/>
    </row>
    <row r="163" spans="1:148" ht="10.199999999999999" customHeight="1">
      <c r="A163" s="43"/>
      <c r="B163" s="108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277"/>
      <c r="R163" s="157"/>
      <c r="S163" s="157"/>
      <c r="T163" s="1295"/>
      <c r="U163" s="251"/>
      <c r="V163" s="251"/>
      <c r="W163" s="251"/>
      <c r="X163" s="1277"/>
      <c r="Y163" s="251"/>
      <c r="Z163" s="157"/>
      <c r="AA163" s="1295"/>
      <c r="AB163" s="251"/>
      <c r="AC163" s="251"/>
      <c r="AD163" s="251"/>
      <c r="AE163" s="1277"/>
      <c r="AF163" s="251"/>
      <c r="AG163" s="157"/>
      <c r="AH163" s="1295"/>
      <c r="AI163" s="251"/>
      <c r="AJ163" s="251"/>
      <c r="AK163" s="251"/>
      <c r="AL163" s="1277"/>
      <c r="AM163" s="251"/>
      <c r="AN163" s="157"/>
      <c r="AO163" s="1295"/>
      <c r="AP163" s="251"/>
      <c r="AQ163" s="251"/>
      <c r="AR163" s="251"/>
      <c r="AS163" s="1277"/>
      <c r="AT163" s="251"/>
      <c r="AU163" s="157"/>
      <c r="AV163" s="1295"/>
      <c r="AW163" s="157"/>
      <c r="AX163" s="157"/>
      <c r="AY163" s="157"/>
      <c r="AZ163" s="1277"/>
      <c r="BA163" s="157"/>
      <c r="BB163" s="157"/>
      <c r="BC163" s="1295"/>
      <c r="BD163" s="251"/>
      <c r="BE163" s="251"/>
      <c r="BF163" s="251"/>
      <c r="BG163" s="1277"/>
      <c r="BH163" s="251"/>
      <c r="BI163" s="157"/>
      <c r="BJ163" s="1295"/>
      <c r="BK163" s="251"/>
      <c r="BL163" s="251"/>
      <c r="BM163" s="251"/>
      <c r="BN163" s="1277"/>
      <c r="BO163" s="251"/>
      <c r="BP163" s="157"/>
      <c r="BQ163" s="1295"/>
      <c r="BR163" s="251"/>
      <c r="BS163" s="251"/>
      <c r="BT163" s="251"/>
      <c r="BU163" s="1277"/>
      <c r="BV163" s="251"/>
      <c r="BW163" s="157"/>
      <c r="BX163" s="1295"/>
      <c r="BY163" s="251"/>
      <c r="BZ163" s="251"/>
      <c r="CA163" s="251"/>
      <c r="CB163" s="1277"/>
      <c r="CC163" s="251"/>
      <c r="CD163" s="157"/>
      <c r="CE163" s="1295"/>
      <c r="CF163" s="251"/>
      <c r="CG163" s="251"/>
      <c r="CH163" s="251"/>
      <c r="CI163" s="1277"/>
      <c r="CJ163" s="251"/>
      <c r="CK163" s="157"/>
      <c r="CL163" s="1295"/>
      <c r="CM163" s="251"/>
      <c r="CN163" s="251"/>
      <c r="CO163" s="251"/>
      <c r="CP163" s="1277"/>
      <c r="CQ163" s="251"/>
      <c r="CR163" s="157"/>
      <c r="CS163" s="1295"/>
      <c r="CT163" s="251"/>
      <c r="CU163" s="251"/>
      <c r="CV163" s="251"/>
      <c r="CW163" s="1277"/>
      <c r="CX163" s="251"/>
      <c r="CY163" s="157"/>
      <c r="CZ163" s="1295"/>
      <c r="DA163" s="251"/>
      <c r="DB163" s="251"/>
      <c r="DC163" s="251"/>
      <c r="DD163" s="1880"/>
      <c r="DE163" s="251"/>
      <c r="DF163" s="157"/>
      <c r="DG163" s="1295"/>
      <c r="DH163" s="1982"/>
      <c r="DI163" s="251"/>
      <c r="DJ163" s="1705"/>
      <c r="DK163" s="450"/>
      <c r="DL163" s="251"/>
      <c r="DM163" s="810"/>
      <c r="DN163" s="1625"/>
      <c r="DO163" s="1705"/>
      <c r="DP163" s="449"/>
      <c r="DQ163" s="1705"/>
      <c r="DR163" s="450"/>
      <c r="DS163" s="869"/>
      <c r="DT163" s="810"/>
      <c r="DU163" s="1625"/>
      <c r="DV163" s="1705"/>
      <c r="DW163" s="449"/>
      <c r="DX163" s="1705"/>
      <c r="DY163" s="450"/>
      <c r="DZ163" s="869"/>
      <c r="EA163" s="810"/>
      <c r="EB163" s="1625"/>
      <c r="EC163" s="1705"/>
      <c r="ED163" s="449"/>
      <c r="EE163" s="1705"/>
      <c r="EF163" s="450"/>
      <c r="EG163" s="869"/>
      <c r="EH163" s="810"/>
      <c r="EI163" s="1625"/>
      <c r="EJ163" s="1705"/>
      <c r="EK163" s="449"/>
      <c r="EL163" s="1705"/>
      <c r="EM163" s="450"/>
      <c r="EN163" s="869"/>
      <c r="EO163" s="810"/>
      <c r="EP163" s="1625"/>
      <c r="EQ163" s="911"/>
      <c r="ER163" s="46"/>
    </row>
    <row r="164" spans="1:148" ht="10.199999999999999" customHeight="1">
      <c r="A164" s="43" t="s">
        <v>76</v>
      </c>
      <c r="B164" s="108"/>
      <c r="C164" s="130">
        <f>+C17</f>
        <v>965</v>
      </c>
      <c r="D164" s="130">
        <f t="shared" ref="D164:CL164" si="1183">+D8</f>
        <v>0</v>
      </c>
      <c r="E164" s="130">
        <f t="shared" si="1183"/>
        <v>391</v>
      </c>
      <c r="F164" s="130">
        <f t="shared" si="1183"/>
        <v>332</v>
      </c>
      <c r="G164" s="130">
        <f t="shared" si="1183"/>
        <v>384</v>
      </c>
      <c r="H164" s="130">
        <f t="shared" si="1183"/>
        <v>401</v>
      </c>
      <c r="I164" s="130">
        <f t="shared" si="1183"/>
        <v>463</v>
      </c>
      <c r="J164" s="130">
        <f t="shared" si="1183"/>
        <v>507</v>
      </c>
      <c r="K164" s="130">
        <f t="shared" si="1183"/>
        <v>521</v>
      </c>
      <c r="L164" s="130">
        <f t="shared" si="1183"/>
        <v>591</v>
      </c>
      <c r="M164" s="130">
        <f t="shared" si="1183"/>
        <v>586</v>
      </c>
      <c r="N164" s="130"/>
      <c r="O164" s="130"/>
      <c r="P164" s="130"/>
      <c r="Q164" s="698"/>
      <c r="R164" s="130"/>
      <c r="S164" s="130"/>
      <c r="T164" s="619">
        <f t="shared" si="1183"/>
        <v>429</v>
      </c>
      <c r="U164" s="130">
        <f t="shared" si="1183"/>
        <v>429</v>
      </c>
      <c r="V164" s="130">
        <f t="shared" si="1183"/>
        <v>429</v>
      </c>
      <c r="W164" s="130">
        <f t="shared" si="1183"/>
        <v>429</v>
      </c>
      <c r="X164" s="698">
        <f t="shared" si="1183"/>
        <v>487</v>
      </c>
      <c r="Y164" s="130">
        <f t="shared" ref="Y164:Z164" si="1184">+Y8</f>
        <v>429</v>
      </c>
      <c r="Z164" s="130">
        <f t="shared" si="1184"/>
        <v>487</v>
      </c>
      <c r="AA164" s="619">
        <f t="shared" si="1183"/>
        <v>487</v>
      </c>
      <c r="AB164" s="130">
        <f t="shared" ref="AB164:AE164" si="1185">+AB8</f>
        <v>487</v>
      </c>
      <c r="AC164" s="130">
        <f t="shared" si="1185"/>
        <v>487</v>
      </c>
      <c r="AD164" s="130">
        <f t="shared" si="1185"/>
        <v>487</v>
      </c>
      <c r="AE164" s="698">
        <f t="shared" si="1185"/>
        <v>663</v>
      </c>
      <c r="AF164" s="130">
        <f t="shared" ref="AF164:AG164" si="1186">+AF8</f>
        <v>487</v>
      </c>
      <c r="AG164" s="130">
        <f t="shared" si="1186"/>
        <v>663</v>
      </c>
      <c r="AH164" s="619">
        <f t="shared" si="1183"/>
        <v>663</v>
      </c>
      <c r="AI164" s="130">
        <f t="shared" si="1183"/>
        <v>797</v>
      </c>
      <c r="AJ164" s="130">
        <f t="shared" si="1183"/>
        <v>795</v>
      </c>
      <c r="AK164" s="130">
        <f t="shared" si="1183"/>
        <v>729</v>
      </c>
      <c r="AL164" s="698">
        <f t="shared" si="1183"/>
        <v>552</v>
      </c>
      <c r="AM164" s="130">
        <f t="shared" ref="AM164:AN164" si="1187">+AM8</f>
        <v>795</v>
      </c>
      <c r="AN164" s="130">
        <f t="shared" si="1187"/>
        <v>552</v>
      </c>
      <c r="AO164" s="619">
        <f t="shared" si="1183"/>
        <v>552</v>
      </c>
      <c r="AP164" s="130">
        <f t="shared" ref="AP164:AS164" si="1188">+AP8</f>
        <v>790</v>
      </c>
      <c r="AQ164" s="130">
        <f t="shared" si="1188"/>
        <v>879</v>
      </c>
      <c r="AR164" s="130">
        <f t="shared" si="1188"/>
        <v>755</v>
      </c>
      <c r="AS164" s="698">
        <f t="shared" si="1188"/>
        <v>529</v>
      </c>
      <c r="AT164" s="130">
        <f t="shared" ref="AT164:AU164" si="1189">+AT8</f>
        <v>879</v>
      </c>
      <c r="AU164" s="130">
        <f t="shared" si="1189"/>
        <v>529</v>
      </c>
      <c r="AV164" s="619">
        <f t="shared" si="1183"/>
        <v>529</v>
      </c>
      <c r="AW164" s="130"/>
      <c r="AX164" s="130"/>
      <c r="AY164" s="130"/>
      <c r="AZ164" s="698"/>
      <c r="BA164" s="130"/>
      <c r="BB164" s="130"/>
      <c r="BC164" s="619">
        <f t="shared" si="1183"/>
        <v>146</v>
      </c>
      <c r="BD164" s="130">
        <f t="shared" si="1183"/>
        <v>308</v>
      </c>
      <c r="BE164" s="130">
        <f t="shared" si="1183"/>
        <v>304</v>
      </c>
      <c r="BF164" s="130">
        <f t="shared" si="1183"/>
        <v>243</v>
      </c>
      <c r="BG164" s="698">
        <f t="shared" si="1183"/>
        <v>121</v>
      </c>
      <c r="BH164" s="130">
        <f t="shared" ref="BH164:BI164" si="1190">+BH8</f>
        <v>304</v>
      </c>
      <c r="BI164" s="130">
        <f t="shared" si="1190"/>
        <v>121</v>
      </c>
      <c r="BJ164" s="619">
        <f t="shared" si="1183"/>
        <v>121</v>
      </c>
      <c r="BK164" s="130">
        <f t="shared" ref="BK164:BN164" si="1191">+BK8</f>
        <v>400</v>
      </c>
      <c r="BL164" s="130">
        <f t="shared" si="1191"/>
        <v>399</v>
      </c>
      <c r="BM164" s="130">
        <f t="shared" si="1191"/>
        <v>362</v>
      </c>
      <c r="BN164" s="698">
        <f t="shared" si="1191"/>
        <v>147</v>
      </c>
      <c r="BO164" s="130">
        <f t="shared" ref="BO164:BP164" si="1192">+BO8</f>
        <v>399</v>
      </c>
      <c r="BP164" s="130">
        <f t="shared" si="1192"/>
        <v>147</v>
      </c>
      <c r="BQ164" s="619">
        <f t="shared" si="1183"/>
        <v>147</v>
      </c>
      <c r="BR164" s="130">
        <f t="shared" si="1183"/>
        <v>569</v>
      </c>
      <c r="BS164" s="130">
        <f t="shared" si="1183"/>
        <v>538</v>
      </c>
      <c r="BT164" s="130">
        <f t="shared" si="1183"/>
        <v>420</v>
      </c>
      <c r="BU164" s="698">
        <f t="shared" si="1183"/>
        <v>191</v>
      </c>
      <c r="BV164" s="130">
        <f t="shared" ref="BV164:BW164" si="1193">+BV8</f>
        <v>538</v>
      </c>
      <c r="BW164" s="130">
        <f t="shared" si="1193"/>
        <v>191</v>
      </c>
      <c r="BX164" s="619">
        <f t="shared" si="1183"/>
        <v>191</v>
      </c>
      <c r="BY164" s="130">
        <f t="shared" ref="BY164:CB164" si="1194">+BY8</f>
        <v>456</v>
      </c>
      <c r="BZ164" s="130">
        <f t="shared" si="1194"/>
        <v>563</v>
      </c>
      <c r="CA164" s="130">
        <f t="shared" si="1194"/>
        <v>261</v>
      </c>
      <c r="CB164" s="698">
        <f t="shared" si="1194"/>
        <v>392</v>
      </c>
      <c r="CC164" s="130">
        <f t="shared" ref="CC164:CD164" si="1195">+CC8</f>
        <v>563</v>
      </c>
      <c r="CD164" s="130">
        <f t="shared" si="1195"/>
        <v>392</v>
      </c>
      <c r="CE164" s="619">
        <f t="shared" si="1183"/>
        <v>392</v>
      </c>
      <c r="CF164" s="130">
        <f t="shared" si="1183"/>
        <v>421</v>
      </c>
      <c r="CG164" s="130">
        <f t="shared" si="1183"/>
        <v>439</v>
      </c>
      <c r="CH164" s="130">
        <f t="shared" si="1183"/>
        <v>317</v>
      </c>
      <c r="CI164" s="698">
        <f t="shared" si="1183"/>
        <v>161</v>
      </c>
      <c r="CJ164" s="130">
        <f t="shared" ref="CJ164:CK164" si="1196">+CJ8</f>
        <v>439</v>
      </c>
      <c r="CK164" s="130">
        <f t="shared" si="1196"/>
        <v>161</v>
      </c>
      <c r="CL164" s="619">
        <f t="shared" si="1183"/>
        <v>161</v>
      </c>
      <c r="CM164" s="130">
        <f t="shared" ref="CM164:CP164" si="1197">+CM8</f>
        <v>370</v>
      </c>
      <c r="CN164" s="130">
        <f t="shared" si="1197"/>
        <v>457</v>
      </c>
      <c r="CO164" s="130">
        <f t="shared" si="1197"/>
        <v>319</v>
      </c>
      <c r="CP164" s="698">
        <f t="shared" si="1197"/>
        <v>174</v>
      </c>
      <c r="CQ164" s="130">
        <f t="shared" ref="CQ164:CR164" si="1198">+CQ8</f>
        <v>457</v>
      </c>
      <c r="CR164" s="130">
        <f t="shared" si="1198"/>
        <v>174</v>
      </c>
      <c r="CS164" s="619">
        <f t="shared" ref="CS164:CT164" si="1199">+CS8</f>
        <v>174</v>
      </c>
      <c r="CT164" s="130">
        <f t="shared" si="1199"/>
        <v>581</v>
      </c>
      <c r="CU164" s="130">
        <f t="shared" ref="CU164:CW164" si="1200">+CU8</f>
        <v>638</v>
      </c>
      <c r="CV164" s="130">
        <f t="shared" si="1200"/>
        <v>535</v>
      </c>
      <c r="CW164" s="698">
        <f t="shared" si="1200"/>
        <v>621</v>
      </c>
      <c r="CX164" s="130">
        <f t="shared" ref="CX164:DC164" si="1201">+CX8</f>
        <v>638</v>
      </c>
      <c r="CY164" s="130">
        <f t="shared" si="1201"/>
        <v>621</v>
      </c>
      <c r="CZ164" s="619">
        <f t="shared" si="1201"/>
        <v>621</v>
      </c>
      <c r="DA164" s="130">
        <f t="shared" si="1201"/>
        <v>941</v>
      </c>
      <c r="DB164" s="130">
        <f t="shared" si="1201"/>
        <v>816</v>
      </c>
      <c r="DC164" s="130">
        <f t="shared" si="1201"/>
        <v>593</v>
      </c>
      <c r="DD164" s="1907">
        <f t="shared" ref="DD164:DF164" si="1202">+DD8</f>
        <v>766</v>
      </c>
      <c r="DE164" s="130">
        <f t="shared" si="1202"/>
        <v>816</v>
      </c>
      <c r="DF164" s="130">
        <f t="shared" si="1202"/>
        <v>766</v>
      </c>
      <c r="DG164" s="619">
        <f t="shared" ref="DG164:DI164" si="1203">+DG8</f>
        <v>766</v>
      </c>
      <c r="DH164" s="317">
        <f t="shared" si="1203"/>
        <v>793</v>
      </c>
      <c r="DI164" s="130">
        <f t="shared" si="1203"/>
        <v>676</v>
      </c>
      <c r="DJ164" s="624">
        <f>DJ154*DJ165*4</f>
        <v>775.89123033242333</v>
      </c>
      <c r="DK164" s="618">
        <f t="shared" ref="DK164:DL164" si="1204">+DK8</f>
        <v>805.58143830657195</v>
      </c>
      <c r="DL164" s="130">
        <f t="shared" si="1204"/>
        <v>676</v>
      </c>
      <c r="DM164" s="617">
        <f t="shared" ref="DM164" si="1205">+DM8</f>
        <v>805.58143830657195</v>
      </c>
      <c r="DN164" s="1113">
        <f t="shared" ref="DN164:EP164" si="1206">DN154*DN165</f>
        <v>805.58143830657195</v>
      </c>
      <c r="DO164" s="624">
        <f>DO154*DO165*4</f>
        <v>807.14057229038315</v>
      </c>
      <c r="DP164" s="617">
        <f t="shared" ref="DP164" si="1207">+DP8</f>
        <v>848.93839448236065</v>
      </c>
      <c r="DQ164" s="624">
        <f>DQ154*DQ165*4</f>
        <v>886.55523907774</v>
      </c>
      <c r="DR164" s="618">
        <f t="shared" ref="DR164" si="1208">+DR8</f>
        <v>896.5698703558254</v>
      </c>
      <c r="DS164" s="624">
        <f>DS154*DS165*2</f>
        <v>848.93839448236065</v>
      </c>
      <c r="DT164" s="617">
        <f t="shared" ref="DT164" si="1209">+DT8</f>
        <v>896.5698703558254</v>
      </c>
      <c r="DU164" s="1113">
        <f t="shared" si="1206"/>
        <v>896.5698703558254</v>
      </c>
      <c r="DV164" s="624">
        <f>DV154*DV165*4</f>
        <v>876.03749246369273</v>
      </c>
      <c r="DW164" s="617">
        <f t="shared" ref="DW164" si="1210">+DW8</f>
        <v>921.70692190879481</v>
      </c>
      <c r="DX164" s="624">
        <f>DX154*DX165*4</f>
        <v>963.00548785359251</v>
      </c>
      <c r="DY164" s="618">
        <f t="shared" ref="DY164" si="1211">+DY8</f>
        <v>976.14941122656455</v>
      </c>
      <c r="DZ164" s="624">
        <f>DZ154*DZ165*2</f>
        <v>921.70692190879481</v>
      </c>
      <c r="EA164" s="617">
        <f t="shared" ref="EA164" si="1212">+EA8</f>
        <v>976.14941122656455</v>
      </c>
      <c r="EB164" s="1113">
        <f t="shared" si="1206"/>
        <v>976.14941122656455</v>
      </c>
      <c r="EC164" s="624">
        <f>EC154*EC165*4</f>
        <v>939.79536232732357</v>
      </c>
      <c r="ED164" s="617">
        <f t="shared" ref="ED164" si="1213">+ED8</f>
        <v>971.44082872139097</v>
      </c>
      <c r="EE164" s="624">
        <f>EE154*EE165*4</f>
        <v>998.48586731388275</v>
      </c>
      <c r="EF164" s="618">
        <f t="shared" ref="EF164" si="1214">+EF8</f>
        <v>1020.182111152782</v>
      </c>
      <c r="EG164" s="624">
        <f>EG154*EG165*2</f>
        <v>971.44082872139097</v>
      </c>
      <c r="EH164" s="617">
        <f t="shared" ref="EH164" si="1215">+EH8</f>
        <v>1020.182111152782</v>
      </c>
      <c r="EI164" s="1113">
        <f t="shared" si="1206"/>
        <v>1020.182111152782</v>
      </c>
      <c r="EJ164" s="624">
        <f>EJ154*EJ165*4</f>
        <v>971.2615118402997</v>
      </c>
      <c r="EK164" s="617">
        <f t="shared" ref="EK164" si="1216">+EK8</f>
        <v>1004.4941211443969</v>
      </c>
      <c r="EL164" s="624">
        <f>EL154*EL165*4</f>
        <v>1032.9186864451644</v>
      </c>
      <c r="EM164" s="618">
        <f t="shared" ref="EM164" si="1217">+EM8</f>
        <v>1055.3411714739234</v>
      </c>
      <c r="EN164" s="624">
        <f>EN154*EN165*2</f>
        <v>1004.4941211443969</v>
      </c>
      <c r="EO164" s="617">
        <f t="shared" ref="EO164" si="1218">+EO8</f>
        <v>1055.3411714739234</v>
      </c>
      <c r="EP164" s="1113">
        <f t="shared" si="1206"/>
        <v>1055.3411714739234</v>
      </c>
      <c r="EQ164" s="911"/>
      <c r="ER164" s="46"/>
    </row>
    <row r="165" spans="1:148" ht="10.199999999999999" customHeight="1">
      <c r="A165" s="43" t="s">
        <v>18</v>
      </c>
      <c r="B165" s="108"/>
      <c r="C165" s="157">
        <f t="shared" ref="C165:CL165" si="1219">+C164/C154</f>
        <v>3.1274306455794661E-2</v>
      </c>
      <c r="D165" s="157">
        <f t="shared" si="1219"/>
        <v>0</v>
      </c>
      <c r="E165" s="157">
        <f t="shared" si="1219"/>
        <v>1.1713250052425033E-2</v>
      </c>
      <c r="F165" s="157">
        <f t="shared" si="1219"/>
        <v>9.3148532630043211E-3</v>
      </c>
      <c r="G165" s="157">
        <f t="shared" si="1219"/>
        <v>9.7377897246031346E-3</v>
      </c>
      <c r="H165" s="157">
        <f t="shared" si="1219"/>
        <v>1.0249725225570636E-2</v>
      </c>
      <c r="I165" s="157">
        <f t="shared" si="1219"/>
        <v>1.0701490812434994E-2</v>
      </c>
      <c r="J165" s="157">
        <f t="shared" si="1219"/>
        <v>1.1839708561020037E-2</v>
      </c>
      <c r="K165" s="157">
        <f t="shared" si="1219"/>
        <v>1.13874803287288E-2</v>
      </c>
      <c r="L165" s="157">
        <f t="shared" si="1219"/>
        <v>1.2029799706888129E-2</v>
      </c>
      <c r="M165" s="157">
        <f t="shared" si="1219"/>
        <v>1.0375354107648725E-2</v>
      </c>
      <c r="N165" s="157"/>
      <c r="O165" s="157"/>
      <c r="P165" s="157"/>
      <c r="Q165" s="1277"/>
      <c r="R165" s="157"/>
      <c r="S165" s="157"/>
      <c r="T165" s="1295">
        <f t="shared" si="1219"/>
        <v>7.4521861483141383E-3</v>
      </c>
      <c r="U165" s="251">
        <f>+U164/U154/4</f>
        <v>8.4796015180265659E-3</v>
      </c>
      <c r="V165" s="251">
        <f>+V164/V154/4</f>
        <v>7.3701209455744911E-3</v>
      </c>
      <c r="W165" s="251">
        <f>+W164/W154/4</f>
        <v>8.0657291118297354E-3</v>
      </c>
      <c r="X165" s="1277">
        <f>+X164/X154/4</f>
        <v>6.0224574594380685E-3</v>
      </c>
      <c r="Y165" s="251">
        <f>+Y164/Y154/2</f>
        <v>7.8860294117647067E-3</v>
      </c>
      <c r="Z165" s="157">
        <f>+Z164/Z154/2</f>
        <v>7.2658371378271115E-3</v>
      </c>
      <c r="AA165" s="1295">
        <f t="shared" si="1219"/>
        <v>8.0213463343929634E-3</v>
      </c>
      <c r="AB165" s="251">
        <f>+AB164/AB154/4</f>
        <v>1.0080311309819507E-2</v>
      </c>
      <c r="AC165" s="251">
        <f>+AC164/AC154/4</f>
        <v>7.2405590246803452E-3</v>
      </c>
      <c r="AD165" s="251">
        <f>+AD164/AD154/4</f>
        <v>8.651932916429789E-3</v>
      </c>
      <c r="AE165" s="1277">
        <f>+AE164/AE154/4</f>
        <v>7.7146846637188736E-3</v>
      </c>
      <c r="AF165" s="251">
        <f>+AF164/AF154/2</f>
        <v>8.4276468348734989E-3</v>
      </c>
      <c r="AG165" s="157">
        <f>+AG164/AG154/2</f>
        <v>9.3230587507382515E-3</v>
      </c>
      <c r="AH165" s="1295">
        <f t="shared" si="1219"/>
        <v>1.0287044220325834E-2</v>
      </c>
      <c r="AI165" s="251">
        <f>+AI164/AI154/4</f>
        <v>1.6354756628088319E-2</v>
      </c>
      <c r="AJ165" s="251">
        <f>+AJ164/AJ154/4</f>
        <v>1.1993120926864591E-2</v>
      </c>
      <c r="AK165" s="251">
        <f>+AK164/AK154/4</f>
        <v>1.3064516129032259E-2</v>
      </c>
      <c r="AL165" s="1277">
        <f>+AL164/AL154/4</f>
        <v>5.7798626235550342E-3</v>
      </c>
      <c r="AM165" s="251">
        <f>+AM164/AM154/2</f>
        <v>1.3823682837767345E-2</v>
      </c>
      <c r="AN165" s="157">
        <f>+AN164/AN154/2</f>
        <v>7.2965684978586161E-3</v>
      </c>
      <c r="AO165" s="1295">
        <f t="shared" si="1219"/>
        <v>8.2906534897343089E-3</v>
      </c>
      <c r="AP165" s="251">
        <f>+AP164/AP154/4</f>
        <v>1.5206344317831844E-2</v>
      </c>
      <c r="AQ165" s="251">
        <f>+AQ164/AQ154/4</f>
        <v>1.397811844030278E-2</v>
      </c>
      <c r="AR165" s="251">
        <f>+AR164/AR154/4</f>
        <v>1.325119348497613E-2</v>
      </c>
      <c r="AS165" s="1277">
        <f>+AS164/AS154/4</f>
        <v>5.5534559502813472E-3</v>
      </c>
      <c r="AT165" s="251">
        <f>+AT164/AT154/2</f>
        <v>1.5308788184889757E-2</v>
      </c>
      <c r="AU165" s="157">
        <f>+AU164/AU154/2</f>
        <v>6.9499185453781075E-3</v>
      </c>
      <c r="AV165" s="1295">
        <f t="shared" si="1219"/>
        <v>7.9230757709646982E-3</v>
      </c>
      <c r="AW165" s="157"/>
      <c r="AX165" s="157"/>
      <c r="AY165" s="157"/>
      <c r="AZ165" s="1277"/>
      <c r="BA165" s="157"/>
      <c r="BB165" s="157"/>
      <c r="BC165" s="1295">
        <f t="shared" si="1219"/>
        <v>2.4736538917691708E-3</v>
      </c>
      <c r="BD165" s="251">
        <f>+BD164/BD154/4</f>
        <v>7.6094475738709361E-3</v>
      </c>
      <c r="BE165" s="251">
        <f>+BE164/BE154/4</f>
        <v>5.117500505016497E-3</v>
      </c>
      <c r="BF165" s="251">
        <f>+BF164/BF154/4</f>
        <v>3.931784350527474E-3</v>
      </c>
      <c r="BG165" s="1277">
        <f>+BG164/BG154/4</f>
        <v>1.2990638151679119E-3</v>
      </c>
      <c r="BH165" s="251">
        <f>+BH164/BH154/2</f>
        <v>6.0873047657188624E-3</v>
      </c>
      <c r="BI165" s="157">
        <f>+BI164/BI154/2</f>
        <v>1.5618142860830729E-3</v>
      </c>
      <c r="BJ165" s="1295">
        <f t="shared" si="1219"/>
        <v>1.8993203258668592E-3</v>
      </c>
      <c r="BK165" s="251">
        <f>+BK164/BK154/4</f>
        <v>7.9687624511913299E-3</v>
      </c>
      <c r="BL165" s="251">
        <f>+BL164/BL154/4</f>
        <v>5.4457607686848285E-3</v>
      </c>
      <c r="BM165" s="251">
        <f>+BM164/BM154/4</f>
        <v>5.9142595739119065E-3</v>
      </c>
      <c r="BN165" s="1277">
        <f>+BN164/BN154/4</f>
        <v>1.5117235705471E-3</v>
      </c>
      <c r="BO165" s="251">
        <f>+BO164/BO154/2</f>
        <v>6.46342253612389E-3</v>
      </c>
      <c r="BP165" s="157">
        <f>+BP164/BP154/2</f>
        <v>1.8554983338382308E-3</v>
      </c>
      <c r="BQ165" s="1295">
        <f t="shared" si="1219"/>
        <v>2.085757257583927E-3</v>
      </c>
      <c r="BR165" s="251">
        <f>+BR164/BR154/4</f>
        <v>1.3380679145894083E-2</v>
      </c>
      <c r="BS165" s="251">
        <f>+BS164/BS154/4</f>
        <v>1.617169652518937E-2</v>
      </c>
      <c r="BT165" s="251">
        <f>+BT164/BT154/4</f>
        <v>9.3641309194684736E-3</v>
      </c>
      <c r="BU165" s="1277">
        <f>+BU164/BU154/4</f>
        <v>2.4175991089058781E-3</v>
      </c>
      <c r="BV165" s="251">
        <f>+BV164/BV154/2</f>
        <v>1.4196748997255646E-2</v>
      </c>
      <c r="BW165" s="157">
        <f>+BW164/BW154/2</f>
        <v>3.0842268440769926E-3</v>
      </c>
      <c r="BX165" s="1295">
        <f t="shared" si="1219"/>
        <v>3.8267350536945023E-3</v>
      </c>
      <c r="BY165" s="251">
        <f>+BY164/BY154/4</f>
        <v>1.0898661567877629E-2</v>
      </c>
      <c r="BZ165" s="251">
        <f>+BZ164/BZ154/4</f>
        <v>9.9280524793679912E-3</v>
      </c>
      <c r="CA165" s="251">
        <f>+CA164/CA154/4</f>
        <v>6.2036508841985171E-3</v>
      </c>
      <c r="CB165" s="1277">
        <f>+CB164/CB154/4</f>
        <v>5.7667412027774508E-3</v>
      </c>
      <c r="CC165" s="251">
        <f>+CC164/CC154/2</f>
        <v>1.1425904127937654E-2</v>
      </c>
      <c r="CD165" s="157">
        <f>+CD164/CD154/2</f>
        <v>7.1241640011631292E-3</v>
      </c>
      <c r="CE165" s="1295">
        <f t="shared" si="1219"/>
        <v>7.5169226639053479E-3</v>
      </c>
      <c r="CF165" s="251">
        <f>+CF164/CF154/4</f>
        <v>8.7708333333333336E-3</v>
      </c>
      <c r="CG165" s="251">
        <f>+CG164/CG154/4</f>
        <v>8.5675253708040588E-3</v>
      </c>
      <c r="CH165" s="251">
        <f>+CH164/CH154/4</f>
        <v>5.9546171763468327E-3</v>
      </c>
      <c r="CI165" s="1277">
        <f>+CI164/CI154/4</f>
        <v>1.9497190466963767E-3</v>
      </c>
      <c r="CJ165" s="251">
        <f>+CJ164/CJ154/2</f>
        <v>8.8472390165255949E-3</v>
      </c>
      <c r="CK165" s="157">
        <f>+CK164/CK154/2</f>
        <v>2.370924513297794E-3</v>
      </c>
      <c r="CL165" s="1295">
        <f t="shared" si="1219"/>
        <v>2.73981927403298E-3</v>
      </c>
      <c r="CM165" s="251">
        <f>+CM164/CM154/4</f>
        <v>7.8636402278330353E-3</v>
      </c>
      <c r="CN165" s="251">
        <f>+CN164/CN154/4</f>
        <v>7.1855345911949683E-3</v>
      </c>
      <c r="CO165" s="251">
        <f>+CO164/CO154/4</f>
        <v>5.353426864469356E-3</v>
      </c>
      <c r="CP165" s="1277">
        <f>+CP164/CP154/4</f>
        <v>1.9007253342654899E-3</v>
      </c>
      <c r="CQ165" s="251">
        <f>+CQ164/CQ154/2</f>
        <v>8.2601308607164799E-3</v>
      </c>
      <c r="CR165" s="157">
        <f>+CR164/CR154/2</f>
        <v>2.3026228727205359E-3</v>
      </c>
      <c r="CS165" s="1295">
        <f t="shared" ref="CS165" si="1220">+CS164/CS154</f>
        <v>2.6586804388350703E-3</v>
      </c>
      <c r="CT165" s="251">
        <f>+CT164/CT154/4</f>
        <v>1.132112236944661E-2</v>
      </c>
      <c r="CU165" s="251">
        <f>+CU164/CU154/4</f>
        <v>9.97186620819006E-3</v>
      </c>
      <c r="CV165" s="251">
        <f>+CV164/CV154/4</f>
        <v>8.5250812671298359E-3</v>
      </c>
      <c r="CW165" s="1277">
        <f>+CW164/CW154/4</f>
        <v>6.2813562065059071E-3</v>
      </c>
      <c r="CX165" s="251">
        <f>+CX164/CX154/2</f>
        <v>1.1066782307025153E-2</v>
      </c>
      <c r="CY165" s="157">
        <f>+CY164/CY154/2</f>
        <v>7.6846924885533964E-3</v>
      </c>
      <c r="CZ165" s="1295">
        <f t="shared" ref="CZ165" si="1221">+CZ164/CZ154</f>
        <v>8.9700996677740865E-3</v>
      </c>
      <c r="DA165" s="251">
        <f>+DA164/DA154/4</f>
        <v>1.7371880076798109E-2</v>
      </c>
      <c r="DB165" s="251">
        <f>+DB164/DB154/4</f>
        <v>1.2696041822255415E-2</v>
      </c>
      <c r="DC165" s="251">
        <f>+DC164/DC154/4</f>
        <v>8.3165039829462585E-3</v>
      </c>
      <c r="DD165" s="1880">
        <f>+DD164/DD154/4</f>
        <v>7.3699199507389164E-3</v>
      </c>
      <c r="DE165" s="251">
        <f>+DE164/DE154/2</f>
        <v>1.3779128672745694E-2</v>
      </c>
      <c r="DF165" s="157">
        <f>+DF164/DF154/2</f>
        <v>8.7422962793882678E-3</v>
      </c>
      <c r="DG165" s="1295">
        <f t="shared" ref="DG165" si="1222">+DG164/DG154</f>
        <v>1.0433124489239989E-2</v>
      </c>
      <c r="DH165" s="601">
        <f>+DH164/DH154/4</f>
        <v>1.5670697968540037E-2</v>
      </c>
      <c r="DI165" s="251">
        <f>+DI164/DI154/4</f>
        <v>8.2338611449451881E-3</v>
      </c>
      <c r="DJ165" s="1976">
        <v>0.01</v>
      </c>
      <c r="DK165" s="450">
        <f>+DK164/DK154/4</f>
        <v>7.1965819184462198E-3</v>
      </c>
      <c r="DL165" s="251">
        <f>+DL164/DL154/2</f>
        <v>1.018808777429467E-2</v>
      </c>
      <c r="DM165" s="810">
        <f>+DM164/DM154/2</f>
        <v>8.5008968904583919E-3</v>
      </c>
      <c r="DN165" s="1402">
        <v>0.01</v>
      </c>
      <c r="DO165" s="1706">
        <f>DU165</f>
        <v>0.01</v>
      </c>
      <c r="DP165" s="449">
        <f>+DP164/DP154/4</f>
        <v>9.5307497168125258E-3</v>
      </c>
      <c r="DQ165" s="1706">
        <f>DU165</f>
        <v>0.01</v>
      </c>
      <c r="DR165" s="450">
        <f>+DR164/DR154/4</f>
        <v>8.9491655374304268E-3</v>
      </c>
      <c r="DS165" s="1706">
        <f>DU165</f>
        <v>0.01</v>
      </c>
      <c r="DT165" s="810">
        <f>+DT164/DT154/2</f>
        <v>9.4955368781914663E-3</v>
      </c>
      <c r="DU165" s="1664">
        <f>DN165</f>
        <v>0.01</v>
      </c>
      <c r="DV165" s="1706">
        <f>EB165</f>
        <v>0.01</v>
      </c>
      <c r="DW165" s="449">
        <f>+DW164/DW154/4</f>
        <v>9.5279042186509413E-3</v>
      </c>
      <c r="DX165" s="1706">
        <f>EB165</f>
        <v>0.01</v>
      </c>
      <c r="DY165" s="450">
        <f>+DY164/DY154/4</f>
        <v>8.8888061206651246E-3</v>
      </c>
      <c r="DZ165" s="1706">
        <f>EB165</f>
        <v>0.01</v>
      </c>
      <c r="EA165" s="810">
        <f>+EA164/EA154/2</f>
        <v>9.4717357152815339E-3</v>
      </c>
      <c r="EB165" s="1664">
        <f>DU165</f>
        <v>0.01</v>
      </c>
      <c r="EC165" s="1706">
        <f>EI165</f>
        <v>0.01</v>
      </c>
      <c r="ED165" s="449">
        <f>+ED164/ED154/4</f>
        <v>9.6845190035177876E-3</v>
      </c>
      <c r="EE165" s="1706">
        <f>EI165</f>
        <v>0.01</v>
      </c>
      <c r="EF165" s="450">
        <f>+EF164/EF154/4</f>
        <v>8.9539854612803067E-3</v>
      </c>
      <c r="EG165" s="1706">
        <f>EI165</f>
        <v>0.01</v>
      </c>
      <c r="EH165" s="810">
        <f>+EH164/EH154/2</f>
        <v>9.544015195813443E-3</v>
      </c>
      <c r="EI165" s="1664">
        <f>EB165</f>
        <v>0.01</v>
      </c>
      <c r="EJ165" s="1706">
        <f>EP165</f>
        <v>0.01</v>
      </c>
      <c r="EK165" s="449">
        <f>+EK164/EK154/4</f>
        <v>9.6797556781664986E-3</v>
      </c>
      <c r="EL165" s="1706">
        <f>EP165</f>
        <v>0.01</v>
      </c>
      <c r="EM165" s="450">
        <f>+EM164/EM154/4</f>
        <v>8.9476809581846475E-3</v>
      </c>
      <c r="EN165" s="1706">
        <f>EP165</f>
        <v>0.01</v>
      </c>
      <c r="EO165" s="810">
        <f>+EO164/EO154/2</f>
        <v>9.5403399771638395E-3</v>
      </c>
      <c r="EP165" s="1664">
        <f t="shared" ref="EP165" si="1223">EI165</f>
        <v>0.01</v>
      </c>
      <c r="EQ165" s="911"/>
      <c r="ER165" s="46"/>
    </row>
    <row r="166" spans="1:148" ht="10.199999999999999" customHeight="1">
      <c r="A166" s="43"/>
      <c r="B166" s="108"/>
      <c r="C166" s="157"/>
      <c r="D166" s="157"/>
      <c r="E166" s="157"/>
      <c r="F166" s="157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712"/>
      <c r="R166" s="193"/>
      <c r="S166" s="193"/>
      <c r="T166" s="1334"/>
      <c r="U166" s="193"/>
      <c r="V166" s="193"/>
      <c r="W166" s="193"/>
      <c r="X166" s="712"/>
      <c r="Y166" s="193"/>
      <c r="Z166" s="193"/>
      <c r="AA166" s="1334"/>
      <c r="AB166" s="193"/>
      <c r="AC166" s="193"/>
      <c r="AD166" s="193"/>
      <c r="AE166" s="712"/>
      <c r="AF166" s="193"/>
      <c r="AG166" s="193"/>
      <c r="AH166" s="1334"/>
      <c r="AI166" s="193"/>
      <c r="AJ166" s="193"/>
      <c r="AK166" s="193"/>
      <c r="AL166" s="712"/>
      <c r="AM166" s="193"/>
      <c r="AN166" s="193"/>
      <c r="AO166" s="1334"/>
      <c r="AP166" s="193"/>
      <c r="AQ166" s="193"/>
      <c r="AR166" s="193"/>
      <c r="AS166" s="712"/>
      <c r="AT166" s="193"/>
      <c r="AU166" s="193"/>
      <c r="AV166" s="1334"/>
      <c r="AW166" s="193"/>
      <c r="AX166" s="193"/>
      <c r="AY166" s="193"/>
      <c r="AZ166" s="712"/>
      <c r="BA166" s="193"/>
      <c r="BB166" s="193"/>
      <c r="BC166" s="1334"/>
      <c r="BD166" s="193"/>
      <c r="BE166" s="193"/>
      <c r="BF166" s="193"/>
      <c r="BG166" s="712"/>
      <c r="BH166" s="193"/>
      <c r="BI166" s="193"/>
      <c r="BJ166" s="1334"/>
      <c r="BK166" s="193"/>
      <c r="BL166" s="193"/>
      <c r="BM166" s="193"/>
      <c r="BN166" s="712"/>
      <c r="BO166" s="193"/>
      <c r="BP166" s="193"/>
      <c r="BQ166" s="1334"/>
      <c r="BR166" s="193"/>
      <c r="BS166" s="193"/>
      <c r="BT166" s="193"/>
      <c r="BU166" s="712"/>
      <c r="BV166" s="193"/>
      <c r="BW166" s="193"/>
      <c r="BX166" s="1334"/>
      <c r="BY166" s="193"/>
      <c r="BZ166" s="193"/>
      <c r="CA166" s="193"/>
      <c r="CB166" s="712"/>
      <c r="CC166" s="193"/>
      <c r="CD166" s="193"/>
      <c r="CE166" s="1334"/>
      <c r="CF166" s="193"/>
      <c r="CG166" s="193"/>
      <c r="CH166" s="193"/>
      <c r="CI166" s="712"/>
      <c r="CJ166" s="193"/>
      <c r="CK166" s="193"/>
      <c r="CL166" s="1334"/>
      <c r="CM166" s="193"/>
      <c r="CN166" s="193"/>
      <c r="CO166" s="193"/>
      <c r="CP166" s="712"/>
      <c r="CQ166" s="193"/>
      <c r="CR166" s="193"/>
      <c r="CS166" s="1334"/>
      <c r="CT166" s="193"/>
      <c r="CU166" s="193"/>
      <c r="CV166" s="193"/>
      <c r="CW166" s="712"/>
      <c r="CX166" s="193"/>
      <c r="CY166" s="193"/>
      <c r="CZ166" s="1334"/>
      <c r="DA166" s="193"/>
      <c r="DB166" s="193"/>
      <c r="DC166" s="193"/>
      <c r="DD166" s="1882"/>
      <c r="DE166" s="193"/>
      <c r="DF166" s="193"/>
      <c r="DG166" s="1334"/>
      <c r="DH166" s="601"/>
      <c r="DI166" s="193"/>
      <c r="DJ166" s="1707"/>
      <c r="DK166" s="600"/>
      <c r="DL166" s="193"/>
      <c r="DM166" s="599"/>
      <c r="DN166" s="1626"/>
      <c r="DO166" s="1707"/>
      <c r="DP166" s="599"/>
      <c r="DQ166" s="1707"/>
      <c r="DR166" s="600"/>
      <c r="DS166" s="1707"/>
      <c r="DT166" s="599"/>
      <c r="DU166" s="1626"/>
      <c r="DV166" s="1707"/>
      <c r="DW166" s="599"/>
      <c r="DX166" s="1707"/>
      <c r="DY166" s="600"/>
      <c r="DZ166" s="1707"/>
      <c r="EA166" s="599"/>
      <c r="EB166" s="1626"/>
      <c r="EC166" s="1707"/>
      <c r="ED166" s="599"/>
      <c r="EE166" s="1707"/>
      <c r="EF166" s="600"/>
      <c r="EG166" s="1707"/>
      <c r="EH166" s="599"/>
      <c r="EI166" s="1626"/>
      <c r="EJ166" s="1707"/>
      <c r="EK166" s="599"/>
      <c r="EL166" s="1707"/>
      <c r="EM166" s="600"/>
      <c r="EN166" s="1707"/>
      <c r="EO166" s="599"/>
      <c r="EP166" s="1626"/>
      <c r="EQ166" s="911"/>
      <c r="ER166" s="46"/>
    </row>
    <row r="167" spans="1:148" ht="10.199999999999999" customHeight="1">
      <c r="A167" s="43" t="s">
        <v>23</v>
      </c>
      <c r="B167" s="108"/>
      <c r="C167" s="130">
        <f>C10+C21</f>
        <v>2437</v>
      </c>
      <c r="D167" s="130">
        <f t="shared" ref="D167:CL167" si="1224">D10</f>
        <v>2316</v>
      </c>
      <c r="E167" s="130">
        <f t="shared" si="1224"/>
        <v>10375</v>
      </c>
      <c r="F167" s="130">
        <f t="shared" si="1224"/>
        <v>1646</v>
      </c>
      <c r="G167" s="130">
        <f t="shared" si="1224"/>
        <v>1561</v>
      </c>
      <c r="H167" s="130">
        <f t="shared" si="1224"/>
        <v>916</v>
      </c>
      <c r="I167" s="130">
        <f t="shared" si="1224"/>
        <v>1003</v>
      </c>
      <c r="J167" s="130">
        <f t="shared" si="1224"/>
        <v>1191</v>
      </c>
      <c r="K167" s="130">
        <f t="shared" si="1224"/>
        <v>1191</v>
      </c>
      <c r="L167" s="130">
        <f t="shared" si="1224"/>
        <v>1662</v>
      </c>
      <c r="M167" s="130">
        <f t="shared" si="1224"/>
        <v>1430</v>
      </c>
      <c r="N167" s="130"/>
      <c r="O167" s="130"/>
      <c r="P167" s="130"/>
      <c r="Q167" s="698"/>
      <c r="R167" s="130"/>
      <c r="S167" s="130"/>
      <c r="T167" s="619">
        <f t="shared" si="1224"/>
        <v>1531</v>
      </c>
      <c r="U167" s="130">
        <f t="shared" si="1224"/>
        <v>2047</v>
      </c>
      <c r="V167" s="130">
        <f t="shared" si="1224"/>
        <v>1768</v>
      </c>
      <c r="W167" s="130">
        <f t="shared" si="1224"/>
        <v>1480</v>
      </c>
      <c r="X167" s="698">
        <f t="shared" si="1224"/>
        <v>2634</v>
      </c>
      <c r="Y167" s="130">
        <f t="shared" ref="Y167:Z167" si="1225">Y10</f>
        <v>1768</v>
      </c>
      <c r="Z167" s="130">
        <f t="shared" si="1225"/>
        <v>2634</v>
      </c>
      <c r="AA167" s="619">
        <f t="shared" si="1224"/>
        <v>2634</v>
      </c>
      <c r="AB167" s="130">
        <f t="shared" ref="AB167:AE167" si="1226">AB10</f>
        <v>3890</v>
      </c>
      <c r="AC167" s="130">
        <f t="shared" si="1226"/>
        <v>3923</v>
      </c>
      <c r="AD167" s="130">
        <f t="shared" si="1226"/>
        <v>3975</v>
      </c>
      <c r="AE167" s="698">
        <f t="shared" si="1226"/>
        <v>3848</v>
      </c>
      <c r="AF167" s="130">
        <f t="shared" ref="AF167:AG167" si="1227">AF10</f>
        <v>3923</v>
      </c>
      <c r="AG167" s="130">
        <f t="shared" si="1227"/>
        <v>3848</v>
      </c>
      <c r="AH167" s="619">
        <f t="shared" si="1224"/>
        <v>3848</v>
      </c>
      <c r="AI167" s="130">
        <f t="shared" si="1224"/>
        <v>4769</v>
      </c>
      <c r="AJ167" s="130">
        <f t="shared" si="1224"/>
        <v>3189</v>
      </c>
      <c r="AK167" s="130">
        <f t="shared" si="1224"/>
        <v>3377</v>
      </c>
      <c r="AL167" s="698">
        <f t="shared" si="1224"/>
        <v>3172</v>
      </c>
      <c r="AM167" s="130">
        <f t="shared" ref="AM167:AN167" si="1228">AM10</f>
        <v>3189</v>
      </c>
      <c r="AN167" s="130">
        <f t="shared" si="1228"/>
        <v>3172</v>
      </c>
      <c r="AO167" s="619">
        <f t="shared" si="1224"/>
        <v>3172</v>
      </c>
      <c r="AP167" s="130">
        <f t="shared" ref="AP167:AS167" si="1229">AP10</f>
        <v>2487</v>
      </c>
      <c r="AQ167" s="130">
        <f t="shared" si="1229"/>
        <v>3485</v>
      </c>
      <c r="AR167" s="130">
        <f t="shared" si="1229"/>
        <v>3474</v>
      </c>
      <c r="AS167" s="698">
        <f t="shared" si="1229"/>
        <v>2580</v>
      </c>
      <c r="AT167" s="130">
        <f t="shared" ref="AT167:AU167" si="1230">AT10</f>
        <v>3485</v>
      </c>
      <c r="AU167" s="130">
        <f t="shared" si="1230"/>
        <v>2580</v>
      </c>
      <c r="AV167" s="619">
        <f t="shared" si="1224"/>
        <v>2580</v>
      </c>
      <c r="AW167" s="130"/>
      <c r="AX167" s="130"/>
      <c r="AY167" s="130"/>
      <c r="AZ167" s="698"/>
      <c r="BA167" s="130"/>
      <c r="BB167" s="130"/>
      <c r="BC167" s="619">
        <f t="shared" si="1224"/>
        <v>3489</v>
      </c>
      <c r="BD167" s="130">
        <f t="shared" si="1224"/>
        <v>6028</v>
      </c>
      <c r="BE167" s="130">
        <f t="shared" si="1224"/>
        <v>5914</v>
      </c>
      <c r="BF167" s="130">
        <f t="shared" si="1224"/>
        <v>6384</v>
      </c>
      <c r="BG167" s="698">
        <f t="shared" si="1224"/>
        <v>5248</v>
      </c>
      <c r="BH167" s="130">
        <f t="shared" ref="BH167:BI167" si="1231">BH10</f>
        <v>5914</v>
      </c>
      <c r="BI167" s="130">
        <f t="shared" si="1231"/>
        <v>5248</v>
      </c>
      <c r="BJ167" s="619">
        <f t="shared" si="1224"/>
        <v>5248</v>
      </c>
      <c r="BK167" s="130">
        <f t="shared" ref="BK167:BN167" si="1232">BK10</f>
        <v>5925</v>
      </c>
      <c r="BL167" s="130">
        <f t="shared" si="1232"/>
        <v>4584</v>
      </c>
      <c r="BM167" s="130">
        <f t="shared" si="1232"/>
        <v>4384</v>
      </c>
      <c r="BN167" s="698">
        <f t="shared" si="1232"/>
        <v>3443</v>
      </c>
      <c r="BO167" s="130">
        <f t="shared" ref="BO167:BP167" si="1233">BO10</f>
        <v>4584</v>
      </c>
      <c r="BP167" s="130">
        <f t="shared" si="1233"/>
        <v>3443</v>
      </c>
      <c r="BQ167" s="619">
        <f t="shared" si="1224"/>
        <v>3443</v>
      </c>
      <c r="BR167" s="130">
        <f t="shared" si="1224"/>
        <v>3616</v>
      </c>
      <c r="BS167" s="130">
        <f t="shared" si="1224"/>
        <v>2957</v>
      </c>
      <c r="BT167" s="130">
        <f t="shared" si="1224"/>
        <v>3841</v>
      </c>
      <c r="BU167" s="698">
        <f t="shared" si="1224"/>
        <v>3099</v>
      </c>
      <c r="BV167" s="130">
        <f t="shared" ref="BV167:BW167" si="1234">BV10</f>
        <v>2957</v>
      </c>
      <c r="BW167" s="130">
        <f t="shared" si="1234"/>
        <v>3099</v>
      </c>
      <c r="BX167" s="619">
        <f t="shared" si="1224"/>
        <v>3099</v>
      </c>
      <c r="BY167" s="130">
        <f t="shared" ref="BY167:CB167" si="1235">BY10</f>
        <v>3851</v>
      </c>
      <c r="BZ167" s="130">
        <f t="shared" si="1235"/>
        <v>3550</v>
      </c>
      <c r="CA167" s="130">
        <f t="shared" si="1235"/>
        <v>3566</v>
      </c>
      <c r="CB167" s="698">
        <f t="shared" si="1235"/>
        <v>3378</v>
      </c>
      <c r="CC167" s="130">
        <f t="shared" ref="CC167:CD167" si="1236">CC10</f>
        <v>3550</v>
      </c>
      <c r="CD167" s="130">
        <f t="shared" si="1236"/>
        <v>3378</v>
      </c>
      <c r="CE167" s="619">
        <f t="shared" si="1224"/>
        <v>3378</v>
      </c>
      <c r="CF167" s="130">
        <f t="shared" si="1224"/>
        <v>3973</v>
      </c>
      <c r="CG167" s="130">
        <f t="shared" si="1224"/>
        <v>3640</v>
      </c>
      <c r="CH167" s="130">
        <f t="shared" si="1224"/>
        <v>4252</v>
      </c>
      <c r="CI167" s="698">
        <f t="shared" si="1224"/>
        <v>4190</v>
      </c>
      <c r="CJ167" s="130">
        <f t="shared" ref="CJ167:CK167" si="1237">CJ10</f>
        <v>3640</v>
      </c>
      <c r="CK167" s="130">
        <f t="shared" si="1237"/>
        <v>4190</v>
      </c>
      <c r="CL167" s="619">
        <f t="shared" si="1224"/>
        <v>4190</v>
      </c>
      <c r="CM167" s="130">
        <f t="shared" ref="CM167:CP167" si="1238">CM10</f>
        <v>4827</v>
      </c>
      <c r="CN167" s="130">
        <f t="shared" si="1238"/>
        <v>5154</v>
      </c>
      <c r="CO167" s="130">
        <f t="shared" si="1238"/>
        <v>5407</v>
      </c>
      <c r="CP167" s="698">
        <f t="shared" si="1238"/>
        <v>4399</v>
      </c>
      <c r="CQ167" s="130">
        <f t="shared" ref="CQ167:CR167" si="1239">CQ10</f>
        <v>5154</v>
      </c>
      <c r="CR167" s="130">
        <f t="shared" si="1239"/>
        <v>4399</v>
      </c>
      <c r="CS167" s="619">
        <f t="shared" ref="CS167:CT167" si="1240">CS10</f>
        <v>4399</v>
      </c>
      <c r="CT167" s="130">
        <f t="shared" si="1240"/>
        <v>5027</v>
      </c>
      <c r="CU167" s="130">
        <f t="shared" ref="CU167:CW167" si="1241">CU10</f>
        <v>4379</v>
      </c>
      <c r="CV167" s="130">
        <f t="shared" si="1241"/>
        <v>4499</v>
      </c>
      <c r="CW167" s="698">
        <f t="shared" si="1241"/>
        <v>4377</v>
      </c>
      <c r="CX167" s="130">
        <f t="shared" ref="CX167:DC167" si="1242">CX10</f>
        <v>4379</v>
      </c>
      <c r="CY167" s="130">
        <f t="shared" si="1242"/>
        <v>4377</v>
      </c>
      <c r="CZ167" s="619">
        <f t="shared" si="1242"/>
        <v>4377</v>
      </c>
      <c r="DA167" s="130">
        <f t="shared" si="1242"/>
        <v>4646</v>
      </c>
      <c r="DB167" s="130">
        <f t="shared" si="1242"/>
        <v>4490</v>
      </c>
      <c r="DC167" s="130">
        <f t="shared" si="1242"/>
        <v>4942</v>
      </c>
      <c r="DD167" s="1907">
        <f t="shared" ref="DD167:DF167" si="1243">DD10</f>
        <v>4505</v>
      </c>
      <c r="DE167" s="130">
        <f t="shared" si="1243"/>
        <v>4490</v>
      </c>
      <c r="DF167" s="130">
        <f t="shared" si="1243"/>
        <v>4505</v>
      </c>
      <c r="DG167" s="619">
        <f t="shared" ref="DG167:DI167" si="1244">DG10</f>
        <v>4505</v>
      </c>
      <c r="DH167" s="317">
        <f t="shared" si="1244"/>
        <v>5058</v>
      </c>
      <c r="DI167" s="130">
        <f t="shared" si="1244"/>
        <v>5312</v>
      </c>
      <c r="DJ167" s="624">
        <f>DJ168*DJ154*4</f>
        <v>4655.3473819945393</v>
      </c>
      <c r="DK167" s="618">
        <f t="shared" ref="DK167:DL167" si="1245">DK10</f>
        <v>4833.4886298394313</v>
      </c>
      <c r="DL167" s="130">
        <f t="shared" si="1245"/>
        <v>5312</v>
      </c>
      <c r="DM167" s="617">
        <f t="shared" ref="DM167" si="1246">DM10</f>
        <v>4833.4886298394313</v>
      </c>
      <c r="DN167" s="1113">
        <f t="shared" ref="DN167:EP167" si="1247">DN168*DN154</f>
        <v>4833.4886298394313</v>
      </c>
      <c r="DO167" s="624">
        <f>DO168*DO154*4</f>
        <v>4842.8434337422987</v>
      </c>
      <c r="DP167" s="617">
        <f t="shared" ref="DP167" si="1248">DP10</f>
        <v>5093.6303668941637</v>
      </c>
      <c r="DQ167" s="624">
        <f>DQ168*DQ154*4</f>
        <v>5319.3314344664395</v>
      </c>
      <c r="DR167" s="618">
        <f t="shared" ref="DR167" si="1249">DR10</f>
        <v>5379.4192221349522</v>
      </c>
      <c r="DS167" s="624">
        <f>DS168*DS154*2</f>
        <v>5093.6303668941637</v>
      </c>
      <c r="DT167" s="617">
        <f t="shared" ref="DT167" si="1250">DT10</f>
        <v>5379.4192221349522</v>
      </c>
      <c r="DU167" s="1113">
        <f t="shared" si="1247"/>
        <v>5379.4192221349522</v>
      </c>
      <c r="DV167" s="624">
        <f>DV168*DV154*4</f>
        <v>5256.2249547821566</v>
      </c>
      <c r="DW167" s="617">
        <f t="shared" ref="DW167" si="1251">DW10</f>
        <v>5530.241531452768</v>
      </c>
      <c r="DX167" s="624">
        <f>DX168*DX154*4</f>
        <v>5778.0329271215551</v>
      </c>
      <c r="DY167" s="618">
        <f t="shared" ref="DY167" si="1252">DY10</f>
        <v>5856.8964673593873</v>
      </c>
      <c r="DZ167" s="624">
        <f>DZ168*DZ154*2</f>
        <v>5530.241531452768</v>
      </c>
      <c r="EA167" s="617">
        <f t="shared" ref="EA167" si="1253">EA10</f>
        <v>5856.8964673593873</v>
      </c>
      <c r="EB167" s="1113">
        <f t="shared" si="1247"/>
        <v>5856.8964673593873</v>
      </c>
      <c r="EC167" s="624">
        <f>EC168*EC154*4</f>
        <v>5638.772173963941</v>
      </c>
      <c r="ED167" s="617">
        <f t="shared" ref="ED167" si="1254">ED10</f>
        <v>5828.6449723283458</v>
      </c>
      <c r="EE167" s="624">
        <f>EE168*EE154*4</f>
        <v>5990.9152038832963</v>
      </c>
      <c r="EF167" s="618">
        <f t="shared" ref="EF167" si="1255">EF10</f>
        <v>6121.092666916692</v>
      </c>
      <c r="EG167" s="624">
        <f>EG168*EG154*2</f>
        <v>5828.6449723283458</v>
      </c>
      <c r="EH167" s="617">
        <f t="shared" ref="EH167" si="1256">EH10</f>
        <v>6121.092666916692</v>
      </c>
      <c r="EI167" s="1113">
        <f t="shared" si="1247"/>
        <v>6121.092666916692</v>
      </c>
      <c r="EJ167" s="624">
        <f>EJ168*EJ154*4</f>
        <v>5827.5690710417975</v>
      </c>
      <c r="EK167" s="617">
        <f t="shared" ref="EK167" si="1257">EK10</f>
        <v>6026.9647268663812</v>
      </c>
      <c r="EL167" s="624">
        <f>EL168*EL154*4</f>
        <v>6197.5121186709857</v>
      </c>
      <c r="EM167" s="618">
        <f t="shared" ref="EM167" si="1258">EM10</f>
        <v>6332.0470288435399</v>
      </c>
      <c r="EN167" s="624">
        <f>EN168*EN154*2</f>
        <v>6026.9647268663812</v>
      </c>
      <c r="EO167" s="617">
        <f t="shared" ref="EO167" si="1259">EO10</f>
        <v>6332.0470288435399</v>
      </c>
      <c r="EP167" s="1113">
        <f t="shared" si="1247"/>
        <v>6332.0470288435399</v>
      </c>
      <c r="EQ167" s="911"/>
      <c r="ER167" s="46"/>
    </row>
    <row r="168" spans="1:148" ht="10.199999999999999" customHeight="1">
      <c r="A168" s="43" t="s">
        <v>24</v>
      </c>
      <c r="B168" s="108"/>
      <c r="C168" s="157">
        <f t="shared" ref="C168:CL168" si="1260">C167/C154</f>
        <v>7.8979777028778841E-2</v>
      </c>
      <c r="D168" s="157">
        <f t="shared" si="1260"/>
        <v>7.3819085867278644E-2</v>
      </c>
      <c r="E168" s="157">
        <f t="shared" si="1260"/>
        <v>0.31080554806626526</v>
      </c>
      <c r="F168" s="157">
        <f t="shared" si="1260"/>
        <v>4.6181471297906965E-2</v>
      </c>
      <c r="G168" s="157">
        <f t="shared" si="1260"/>
        <v>3.9585129583608054E-2</v>
      </c>
      <c r="H168" s="157">
        <f t="shared" si="1260"/>
        <v>2.341333742299926E-2</v>
      </c>
      <c r="I168" s="157">
        <f t="shared" si="1260"/>
        <v>2.3182711198428289E-2</v>
      </c>
      <c r="J168" s="157">
        <f t="shared" si="1260"/>
        <v>2.781280650133109E-2</v>
      </c>
      <c r="K168" s="157">
        <f t="shared" si="1260"/>
        <v>2.6031648889666026E-2</v>
      </c>
      <c r="L168" s="157">
        <f t="shared" si="1260"/>
        <v>3.3829995114802149E-2</v>
      </c>
      <c r="M168" s="157">
        <f t="shared" si="1260"/>
        <v>2.5318696883852691E-2</v>
      </c>
      <c r="N168" s="157"/>
      <c r="O168" s="157"/>
      <c r="P168" s="157"/>
      <c r="Q168" s="1277"/>
      <c r="R168" s="157"/>
      <c r="S168" s="157"/>
      <c r="T168" s="1295">
        <f t="shared" si="1260"/>
        <v>2.6595097885941599E-2</v>
      </c>
      <c r="U168" s="251">
        <f>U167/U154/4</f>
        <v>4.0460942441492724E-2</v>
      </c>
      <c r="V168" s="251">
        <f>V167/V154/4</f>
        <v>3.0373831775700934E-2</v>
      </c>
      <c r="W168" s="251">
        <f>W167/W154/4</f>
        <v>2.7825825374144544E-2</v>
      </c>
      <c r="X168" s="1277">
        <f>X167/X154/4</f>
        <v>3.2573209339137314E-2</v>
      </c>
      <c r="Y168" s="251">
        <f>Y167/Y154/2</f>
        <v>3.2500000000000001E-2</v>
      </c>
      <c r="Z168" s="157">
        <f>Z167/Z154/2</f>
        <v>3.9298182794736368E-2</v>
      </c>
      <c r="AA168" s="1295">
        <f t="shared" si="1260"/>
        <v>4.3384448141254757E-2</v>
      </c>
      <c r="AB168" s="251">
        <f>AB167/AB154/4</f>
        <v>8.0518297731412489E-2</v>
      </c>
      <c r="AC168" s="251">
        <f>AC167/AC154/4</f>
        <v>5.8325899494498956E-2</v>
      </c>
      <c r="AD168" s="251">
        <f>AD167/AD154/4</f>
        <v>7.0618959636156914E-2</v>
      </c>
      <c r="AE168" s="1277">
        <f>AE167/AE154/4</f>
        <v>4.4775424714917383E-2</v>
      </c>
      <c r="AF168" s="251">
        <f>AF167/AF154/2</f>
        <v>6.7888415879278713E-2</v>
      </c>
      <c r="AG168" s="157">
        <f>AG167/AG154/2</f>
        <v>5.4110301768990635E-2</v>
      </c>
      <c r="AH168" s="1295">
        <f t="shared" si="1260"/>
        <v>5.9705197827773469E-2</v>
      </c>
      <c r="AI168" s="251">
        <f>AI167/AI154/4</f>
        <v>9.7861774603956328E-2</v>
      </c>
      <c r="AJ168" s="251">
        <f>AJ167/AJ154/4</f>
        <v>4.8108254887762492E-2</v>
      </c>
      <c r="AK168" s="251">
        <f>AK167/AK154/4</f>
        <v>6.0519713261648747E-2</v>
      </c>
      <c r="AL168" s="1277">
        <f>AL167/AL154/4</f>
        <v>3.3213268554196686E-2</v>
      </c>
      <c r="AM168" s="251">
        <f>AM167/AM154/2</f>
        <v>5.5451225873761084E-2</v>
      </c>
      <c r="AN168" s="157">
        <f>AN167/AN154/2</f>
        <v>4.1928832020303494E-2</v>
      </c>
      <c r="AO168" s="1295">
        <f t="shared" si="1260"/>
        <v>4.7641218966371787E-2</v>
      </c>
      <c r="AP168" s="251">
        <f>AP167/AP154/4</f>
        <v>4.7871111795503539E-2</v>
      </c>
      <c r="AQ168" s="251">
        <f>AQ167/AQ154/4</f>
        <v>5.5419502576172001E-2</v>
      </c>
      <c r="AR168" s="251">
        <f>AR167/AR154/4</f>
        <v>6.0973041280539174E-2</v>
      </c>
      <c r="AS168" s="1277">
        <f>AS167/AS154/4</f>
        <v>2.7084908037288989E-2</v>
      </c>
      <c r="AT168" s="251">
        <f>AT167/AT154/2</f>
        <v>6.0695252359887146E-2</v>
      </c>
      <c r="AU168" s="157">
        <f>AU167/AU154/2</f>
        <v>3.3895632981239161E-2</v>
      </c>
      <c r="AV168" s="1295">
        <f t="shared" si="1260"/>
        <v>3.8641844024742765E-2</v>
      </c>
      <c r="AW168" s="157"/>
      <c r="AX168" s="157"/>
      <c r="AY168" s="157"/>
      <c r="AZ168" s="1277"/>
      <c r="BA168" s="157"/>
      <c r="BB168" s="157"/>
      <c r="BC168" s="1295">
        <f t="shared" si="1260"/>
        <v>5.9113550879333128E-2</v>
      </c>
      <c r="BD168" s="251">
        <f>BD167/BD154/4</f>
        <v>0.14892775966004546</v>
      </c>
      <c r="BE168" s="251">
        <f>BE167/BE154/4</f>
        <v>9.9555585482459089E-2</v>
      </c>
      <c r="BF168" s="251">
        <f>BF167/BF154/4</f>
        <v>0.10329428515953661</v>
      </c>
      <c r="BG168" s="1277">
        <f>BG167/BG154/4</f>
        <v>5.6342866958687621E-2</v>
      </c>
      <c r="BH168" s="251">
        <f>BH167/BH154/2</f>
        <v>0.1184221065278334</v>
      </c>
      <c r="BI168" s="157">
        <f>BI167/BI154/2</f>
        <v>6.7738854325322048E-2</v>
      </c>
      <c r="BJ168" s="1295">
        <f t="shared" si="1260"/>
        <v>8.2377132811151055E-2</v>
      </c>
      <c r="BK168" s="251">
        <f>BK167/BK154/4</f>
        <v>0.11803729380827158</v>
      </c>
      <c r="BL168" s="251">
        <f>BL167/BL154/4</f>
        <v>6.2564830485341491E-2</v>
      </c>
      <c r="BM168" s="251">
        <f>BM167/BM154/4</f>
        <v>7.1624624232126524E-2</v>
      </c>
      <c r="BN168" s="1277">
        <f>BN167/BN154/4</f>
        <v>3.5407239819004524E-2</v>
      </c>
      <c r="BO168" s="251">
        <f>BO167/BO154/2</f>
        <v>7.4256463422536126E-2</v>
      </c>
      <c r="BP168" s="157">
        <f>BP167/BP154/2</f>
        <v>4.345905281227911E-2</v>
      </c>
      <c r="BQ168" s="1295">
        <f t="shared" si="1260"/>
        <v>4.8852124067084765E-2</v>
      </c>
      <c r="BR168" s="251">
        <f>BR167/BR154/4</f>
        <v>8.5034333552817226E-2</v>
      </c>
      <c r="BS168" s="251">
        <f>BS167/BS154/4</f>
        <v>8.8884213057592878E-2</v>
      </c>
      <c r="BT168" s="251">
        <f>BT167/BT154/4</f>
        <v>8.5637206813520023E-2</v>
      </c>
      <c r="BU168" s="1277">
        <f>BU167/BU154/4</f>
        <v>3.9225861981671814E-2</v>
      </c>
      <c r="BV168" s="251">
        <f>BV167/BV154/2</f>
        <v>7.8029343466328907E-2</v>
      </c>
      <c r="BW168" s="157">
        <f>BW167/BW154/2</f>
        <v>5.0041984239762305E-2</v>
      </c>
      <c r="BX168" s="1295">
        <f t="shared" si="1260"/>
        <v>6.2089277127744834E-2</v>
      </c>
      <c r="BY168" s="251">
        <f>BY167/BY154/4</f>
        <v>9.2041108986615675E-2</v>
      </c>
      <c r="BZ168" s="251">
        <f>BZ167/BZ154/4</f>
        <v>6.2601396628341674E-2</v>
      </c>
      <c r="CA168" s="251">
        <f>CA167/CA154/4</f>
        <v>8.475945997337897E-2</v>
      </c>
      <c r="CB168" s="1277">
        <f>CB167/CB154/4</f>
        <v>4.9694009650464867E-2</v>
      </c>
      <c r="CC168" s="251">
        <f>CC167/CC154/2</f>
        <v>7.2046109510086456E-2</v>
      </c>
      <c r="CD168" s="157">
        <f>CD167/CD154/2</f>
        <v>6.1391392846757778E-2</v>
      </c>
      <c r="CE168" s="1295">
        <f t="shared" si="1260"/>
        <v>6.4775930506817E-2</v>
      </c>
      <c r="CF168" s="251">
        <f>CF167/CF154/4</f>
        <v>8.2770833333333335E-2</v>
      </c>
      <c r="CG168" s="251">
        <f>CG167/CG154/4</f>
        <v>7.1038251366120214E-2</v>
      </c>
      <c r="CH168" s="251">
        <f>CH167/CH154/4</f>
        <v>7.987076414456383E-2</v>
      </c>
      <c r="CI168" s="1277">
        <f>CI167/CI154/4</f>
        <v>5.0741135438868434E-2</v>
      </c>
      <c r="CJ168" s="251">
        <f>CJ167/CJ154/2</f>
        <v>7.335751713018944E-2</v>
      </c>
      <c r="CK168" s="157">
        <f>CK167/CK154/2</f>
        <v>6.1702942302594765E-2</v>
      </c>
      <c r="CL168" s="1295">
        <f t="shared" si="1260"/>
        <v>7.130337116893283E-2</v>
      </c>
      <c r="CM168" s="251">
        <f>CM167/CM154/4</f>
        <v>0.10258862535067585</v>
      </c>
      <c r="CN168" s="251">
        <f>CN167/CN154/4</f>
        <v>8.1037735849056602E-2</v>
      </c>
      <c r="CO168" s="251">
        <f>CO167/CO154/4</f>
        <v>9.073974625763577E-2</v>
      </c>
      <c r="CP168" s="1277">
        <f>CP167/CP154/4</f>
        <v>4.8053395088700518E-2</v>
      </c>
      <c r="CQ168" s="251">
        <f>CQ167/CQ154/2</f>
        <v>9.315692441166902E-2</v>
      </c>
      <c r="CR168" s="157">
        <f>CR167/CR154/2</f>
        <v>5.8214011592515151E-2</v>
      </c>
      <c r="CS168" s="1295">
        <f t="shared" ref="CS168" si="1261">CS167/CS154</f>
        <v>6.7215719830088921E-2</v>
      </c>
      <c r="CT168" s="251">
        <f>CT167/CT154/4</f>
        <v>9.7954014029618078E-2</v>
      </c>
      <c r="CU168" s="251">
        <f>CU167/CU154/4</f>
        <v>6.8443263519849959E-2</v>
      </c>
      <c r="CV168" s="251">
        <f>CV167/CV154/4</f>
        <v>7.169035630059277E-2</v>
      </c>
      <c r="CW168" s="1277">
        <f>CW167/CW154/4</f>
        <v>4.4272940605275937E-2</v>
      </c>
      <c r="CX168" s="251">
        <f>CX167/CX154/2</f>
        <v>7.5958369470945364E-2</v>
      </c>
      <c r="CY168" s="157">
        <f>CY167/CY154/2</f>
        <v>5.4164088602895684E-2</v>
      </c>
      <c r="CZ168" s="1295">
        <f t="shared" ref="CZ168" si="1262">CZ167/CZ154</f>
        <v>6.3224035822620248E-2</v>
      </c>
      <c r="DA168" s="251">
        <f>DA167/DA154/4</f>
        <v>8.5770196425934128E-2</v>
      </c>
      <c r="DB168" s="251">
        <f>DB167/DB154/4</f>
        <v>6.985934777196913E-2</v>
      </c>
      <c r="DC168" s="251">
        <f>DC167/DC154/4</f>
        <v>6.9308874677437446E-2</v>
      </c>
      <c r="DD168" s="1880">
        <f>DD167/DD154/4</f>
        <v>4.334398091133005E-2</v>
      </c>
      <c r="DE168" s="251">
        <f>DE167/DE154/2</f>
        <v>7.5818980074299228E-2</v>
      </c>
      <c r="DF168" s="157">
        <f>DF167/DF154/2</f>
        <v>5.1415202008673819E-2</v>
      </c>
      <c r="DG168" s="1295">
        <f t="shared" ref="DG168" si="1263">DG167/DG154</f>
        <v>6.1359302642331789E-2</v>
      </c>
      <c r="DH168" s="601">
        <f>DH167/DH154/4</f>
        <v>9.9952572919136826E-2</v>
      </c>
      <c r="DI168" s="251">
        <f>DI167/DI154/4</f>
        <v>6.4701583434835563E-2</v>
      </c>
      <c r="DJ168" s="1976">
        <v>0.06</v>
      </c>
      <c r="DK168" s="450">
        <f>DK167/DK154/4</f>
        <v>4.3179491510677313E-2</v>
      </c>
      <c r="DL168" s="251">
        <f>DL167/DL154/2</f>
        <v>8.0057873161321444E-2</v>
      </c>
      <c r="DM168" s="810">
        <f>DM167/DM154/2</f>
        <v>5.1005381342750351E-2</v>
      </c>
      <c r="DN168" s="1402">
        <v>0.06</v>
      </c>
      <c r="DO168" s="892">
        <f>DU168</f>
        <v>0.06</v>
      </c>
      <c r="DP168" s="449">
        <f>DP167/DP154/4</f>
        <v>5.7184498300875151E-2</v>
      </c>
      <c r="DQ168" s="892">
        <f>DU168</f>
        <v>0.06</v>
      </c>
      <c r="DR168" s="450">
        <f>DR167/DR154/4</f>
        <v>5.3694993224582564E-2</v>
      </c>
      <c r="DS168" s="892">
        <f>DU168</f>
        <v>0.06</v>
      </c>
      <c r="DT168" s="810">
        <f>DT167/DT154/2</f>
        <v>5.6973221269148791E-2</v>
      </c>
      <c r="DU168" s="754">
        <f>+DN168</f>
        <v>0.06</v>
      </c>
      <c r="DV168" s="892">
        <f>EB168</f>
        <v>0.06</v>
      </c>
      <c r="DW168" s="449">
        <f>DW167/DW154/4</f>
        <v>5.7167425311905641E-2</v>
      </c>
      <c r="DX168" s="892">
        <f>EB168</f>
        <v>0.06</v>
      </c>
      <c r="DY168" s="450">
        <f>DY167/DY154/4</f>
        <v>5.3332836723990751E-2</v>
      </c>
      <c r="DZ168" s="892">
        <f>EB168</f>
        <v>0.06</v>
      </c>
      <c r="EA168" s="810">
        <f>EA167/EA154/2</f>
        <v>5.683041429168921E-2</v>
      </c>
      <c r="EB168" s="754">
        <f>+DU168</f>
        <v>0.06</v>
      </c>
      <c r="EC168" s="892">
        <f>EI168</f>
        <v>0.06</v>
      </c>
      <c r="ED168" s="449">
        <f>ED167/ED154/4</f>
        <v>5.8107114021106729E-2</v>
      </c>
      <c r="EE168" s="892">
        <f>EI168</f>
        <v>0.06</v>
      </c>
      <c r="EF168" s="450">
        <f>EF167/EF154/4</f>
        <v>5.372391276768184E-2</v>
      </c>
      <c r="EG168" s="892">
        <f>EI168</f>
        <v>0.06</v>
      </c>
      <c r="EH168" s="810">
        <f>EH167/EH154/2</f>
        <v>5.7264091174880662E-2</v>
      </c>
      <c r="EI168" s="754">
        <f>+EB168</f>
        <v>0.06</v>
      </c>
      <c r="EJ168" s="892">
        <f>EP168</f>
        <v>0.06</v>
      </c>
      <c r="EK168" s="449">
        <f>EK167/EK154/4</f>
        <v>5.8078534068998988E-2</v>
      </c>
      <c r="EL168" s="892">
        <f>EP168</f>
        <v>0.06</v>
      </c>
      <c r="EM168" s="450">
        <f>EM167/EM154/4</f>
        <v>5.3686085749107881E-2</v>
      </c>
      <c r="EN168" s="892">
        <f>EP168</f>
        <v>0.06</v>
      </c>
      <c r="EO168" s="810">
        <f>EO167/EO154/2</f>
        <v>5.7242039862983041E-2</v>
      </c>
      <c r="EP168" s="754">
        <f>+EI168</f>
        <v>0.06</v>
      </c>
      <c r="EQ168" s="911"/>
      <c r="ER168" s="46"/>
    </row>
    <row r="169" spans="1:148" ht="10.199999999999999" customHeight="1">
      <c r="A169" s="43"/>
      <c r="B169" s="108"/>
      <c r="C169" s="825"/>
      <c r="D169" s="825"/>
      <c r="E169" s="825"/>
      <c r="F169" s="825"/>
      <c r="G169" s="841"/>
      <c r="H169" s="841"/>
      <c r="I169" s="841"/>
      <c r="J169" s="841"/>
      <c r="K169" s="841"/>
      <c r="L169" s="841"/>
      <c r="M169" s="841"/>
      <c r="N169" s="1569"/>
      <c r="O169" s="1569"/>
      <c r="P169" s="1569"/>
      <c r="Q169" s="1587"/>
      <c r="R169" s="1569"/>
      <c r="S169" s="1569"/>
      <c r="T169" s="1605"/>
      <c r="U169" s="1569"/>
      <c r="V169" s="1569"/>
      <c r="W169" s="1569"/>
      <c r="X169" s="1587"/>
      <c r="Y169" s="1569"/>
      <c r="Z169" s="1569"/>
      <c r="AA169" s="1605"/>
      <c r="AB169" s="1569"/>
      <c r="AC169" s="1569"/>
      <c r="AD169" s="1569"/>
      <c r="AE169" s="1587"/>
      <c r="AF169" s="1569"/>
      <c r="AG169" s="1569"/>
      <c r="AH169" s="1605"/>
      <c r="AI169" s="1569"/>
      <c r="AJ169" s="1569"/>
      <c r="AK169" s="1569"/>
      <c r="AL169" s="1587"/>
      <c r="AM169" s="1569"/>
      <c r="AN169" s="1569"/>
      <c r="AO169" s="1605"/>
      <c r="AP169" s="1569"/>
      <c r="AQ169" s="1569"/>
      <c r="AR169" s="1569"/>
      <c r="AS169" s="1587"/>
      <c r="AT169" s="1569"/>
      <c r="AU169" s="1569"/>
      <c r="AV169" s="1605"/>
      <c r="AW169" s="1569"/>
      <c r="AX169" s="1569"/>
      <c r="AY169" s="1569"/>
      <c r="AZ169" s="1587"/>
      <c r="BA169" s="1569"/>
      <c r="BB169" s="1569"/>
      <c r="BC169" s="1605"/>
      <c r="BD169" s="1569"/>
      <c r="BE169" s="1569"/>
      <c r="BF169" s="1569"/>
      <c r="BG169" s="1587"/>
      <c r="BH169" s="1569"/>
      <c r="BI169" s="1569"/>
      <c r="BJ169" s="1605"/>
      <c r="BK169" s="1569"/>
      <c r="BL169" s="1569"/>
      <c r="BM169" s="1569"/>
      <c r="BN169" s="1587"/>
      <c r="BO169" s="1569"/>
      <c r="BP169" s="1569"/>
      <c r="BQ169" s="1605"/>
      <c r="BR169" s="1569"/>
      <c r="BS169" s="1569"/>
      <c r="BT169" s="1569"/>
      <c r="BU169" s="1587"/>
      <c r="BV169" s="1569"/>
      <c r="BW169" s="1569"/>
      <c r="BX169" s="1605"/>
      <c r="BY169" s="1569"/>
      <c r="BZ169" s="1569"/>
      <c r="CA169" s="1569"/>
      <c r="CB169" s="1587"/>
      <c r="CC169" s="1569"/>
      <c r="CD169" s="1569"/>
      <c r="CE169" s="1605"/>
      <c r="CF169" s="1569"/>
      <c r="CG169" s="1569"/>
      <c r="CH169" s="1569"/>
      <c r="CI169" s="1587"/>
      <c r="CJ169" s="1569"/>
      <c r="CK169" s="1569"/>
      <c r="CL169" s="1605"/>
      <c r="CM169" s="1569"/>
      <c r="CN169" s="1569"/>
      <c r="CO169" s="1569"/>
      <c r="CP169" s="1587"/>
      <c r="CQ169" s="1569"/>
      <c r="CR169" s="1569"/>
      <c r="CS169" s="1605"/>
      <c r="CT169" s="1569"/>
      <c r="CU169" s="1569"/>
      <c r="CV169" s="1569"/>
      <c r="CW169" s="1587"/>
      <c r="CX169" s="1569"/>
      <c r="CY169" s="1569"/>
      <c r="CZ169" s="1605"/>
      <c r="DA169" s="1569"/>
      <c r="DB169" s="1569"/>
      <c r="DC169" s="1574"/>
      <c r="DD169" s="1883"/>
      <c r="DE169" s="1569"/>
      <c r="DF169" s="1569"/>
      <c r="DG169" s="1605"/>
      <c r="DH169" s="1983"/>
      <c r="DI169" s="1569"/>
      <c r="DJ169" s="1574"/>
      <c r="DK169" s="1695"/>
      <c r="DL169" s="1569"/>
      <c r="DM169" s="1691"/>
      <c r="DN169" s="1627"/>
      <c r="DO169" s="1574"/>
      <c r="DP169" s="1691"/>
      <c r="DQ169" s="1574"/>
      <c r="DR169" s="1695"/>
      <c r="DS169" s="1574"/>
      <c r="DT169" s="1691"/>
      <c r="DU169" s="1627"/>
      <c r="DV169" s="1574"/>
      <c r="DW169" s="1691"/>
      <c r="DX169" s="1574"/>
      <c r="DY169" s="1695"/>
      <c r="DZ169" s="1574"/>
      <c r="EA169" s="1691"/>
      <c r="EB169" s="1627"/>
      <c r="EC169" s="1574"/>
      <c r="ED169" s="1691"/>
      <c r="EE169" s="1574"/>
      <c r="EF169" s="1695"/>
      <c r="EG169" s="1574"/>
      <c r="EH169" s="1691"/>
      <c r="EI169" s="1627"/>
      <c r="EJ169" s="1574"/>
      <c r="EK169" s="1691"/>
      <c r="EL169" s="1574"/>
      <c r="EM169" s="1695"/>
      <c r="EN169" s="1574"/>
      <c r="EO169" s="1691"/>
      <c r="EP169" s="1627"/>
      <c r="EQ169" s="911"/>
      <c r="ER169" s="46"/>
    </row>
    <row r="170" spans="1:148" ht="10.199999999999999" customHeight="1">
      <c r="A170" s="43" t="s">
        <v>32</v>
      </c>
      <c r="B170" s="108"/>
      <c r="C170" s="130">
        <f t="shared" ref="C170:CL170" si="1264">+C29</f>
        <v>5070</v>
      </c>
      <c r="D170" s="130">
        <f t="shared" si="1264"/>
        <v>5117</v>
      </c>
      <c r="E170" s="130">
        <f t="shared" si="1264"/>
        <v>5860</v>
      </c>
      <c r="F170" s="130">
        <f t="shared" si="1264"/>
        <v>6634</v>
      </c>
      <c r="G170" s="130">
        <f t="shared" si="1264"/>
        <v>7461</v>
      </c>
      <c r="H170" s="130">
        <f t="shared" si="1264"/>
        <v>7398</v>
      </c>
      <c r="I170" s="130">
        <f t="shared" si="1264"/>
        <v>7824</v>
      </c>
      <c r="J170" s="130">
        <f t="shared" si="1264"/>
        <v>8217</v>
      </c>
      <c r="K170" s="130">
        <f t="shared" si="1264"/>
        <v>8546</v>
      </c>
      <c r="L170" s="130">
        <f t="shared" si="1264"/>
        <v>9630</v>
      </c>
      <c r="M170" s="130">
        <f t="shared" si="1264"/>
        <v>9917</v>
      </c>
      <c r="N170" s="130"/>
      <c r="O170" s="130"/>
      <c r="P170" s="130"/>
      <c r="Q170" s="698"/>
      <c r="R170" s="130"/>
      <c r="S170" s="130"/>
      <c r="T170" s="619">
        <f t="shared" si="1264"/>
        <v>9668</v>
      </c>
      <c r="U170" s="130">
        <f t="shared" si="1264"/>
        <v>9059</v>
      </c>
      <c r="V170" s="130">
        <f t="shared" si="1264"/>
        <v>8781</v>
      </c>
      <c r="W170" s="130">
        <f t="shared" si="1264"/>
        <v>9627</v>
      </c>
      <c r="X170" s="698">
        <f t="shared" si="1264"/>
        <v>10183</v>
      </c>
      <c r="Y170" s="130">
        <f t="shared" ref="Y170:Z170" si="1265">+Y29</f>
        <v>8781</v>
      </c>
      <c r="Z170" s="130">
        <f t="shared" si="1265"/>
        <v>10183</v>
      </c>
      <c r="AA170" s="619">
        <f t="shared" si="1264"/>
        <v>10183</v>
      </c>
      <c r="AB170" s="130">
        <f t="shared" ref="AB170:AE170" si="1266">+AB29</f>
        <v>11707</v>
      </c>
      <c r="AC170" s="130">
        <f t="shared" si="1266"/>
        <v>11643</v>
      </c>
      <c r="AD170" s="130">
        <f t="shared" si="1266"/>
        <v>11416</v>
      </c>
      <c r="AE170" s="698">
        <f t="shared" si="1266"/>
        <v>11763</v>
      </c>
      <c r="AF170" s="130">
        <f t="shared" ref="AF170:AG170" si="1267">+AF29</f>
        <v>11643</v>
      </c>
      <c r="AG170" s="130">
        <f t="shared" si="1267"/>
        <v>11763</v>
      </c>
      <c r="AH170" s="619">
        <f t="shared" si="1264"/>
        <v>11763</v>
      </c>
      <c r="AI170" s="130">
        <f t="shared" si="1264"/>
        <v>11529</v>
      </c>
      <c r="AJ170" s="130">
        <f t="shared" si="1264"/>
        <v>11782</v>
      </c>
      <c r="AK170" s="130">
        <f t="shared" si="1264"/>
        <v>11762</v>
      </c>
      <c r="AL170" s="698">
        <f t="shared" si="1264"/>
        <v>12532</v>
      </c>
      <c r="AM170" s="130">
        <f t="shared" ref="AM170:AN170" si="1268">+AM29</f>
        <v>11782</v>
      </c>
      <c r="AN170" s="130">
        <f t="shared" si="1268"/>
        <v>12532</v>
      </c>
      <c r="AO170" s="619">
        <f t="shared" si="1264"/>
        <v>12532</v>
      </c>
      <c r="AP170" s="130">
        <f t="shared" ref="AP170:AS170" si="1269">+AP29</f>
        <v>13510</v>
      </c>
      <c r="AQ170" s="130">
        <f t="shared" si="1269"/>
        <v>13510</v>
      </c>
      <c r="AR170" s="130">
        <f t="shared" si="1269"/>
        <v>12192</v>
      </c>
      <c r="AS170" s="698">
        <f t="shared" si="1269"/>
        <v>13444</v>
      </c>
      <c r="AT170" s="130">
        <f t="shared" ref="AT170:AU170" si="1270">+AT29</f>
        <v>13510</v>
      </c>
      <c r="AU170" s="130">
        <f t="shared" si="1270"/>
        <v>13444</v>
      </c>
      <c r="AV170" s="619">
        <f t="shared" si="1264"/>
        <v>13444</v>
      </c>
      <c r="AW170" s="130"/>
      <c r="AX170" s="130"/>
      <c r="AY170" s="130"/>
      <c r="AZ170" s="698"/>
      <c r="BA170" s="130"/>
      <c r="BB170" s="130"/>
      <c r="BC170" s="619">
        <f t="shared" si="1264"/>
        <v>13406</v>
      </c>
      <c r="BD170" s="130">
        <f t="shared" si="1264"/>
        <v>12200</v>
      </c>
      <c r="BE170" s="130">
        <f t="shared" si="1264"/>
        <v>13617</v>
      </c>
      <c r="BF170" s="130">
        <f t="shared" si="1264"/>
        <v>13526</v>
      </c>
      <c r="BG170" s="698">
        <f t="shared" si="1264"/>
        <v>16237</v>
      </c>
      <c r="BH170" s="130">
        <f t="shared" ref="BH170:BI170" si="1271">+BH29</f>
        <v>13617</v>
      </c>
      <c r="BI170" s="130">
        <f t="shared" si="1271"/>
        <v>16237</v>
      </c>
      <c r="BJ170" s="619">
        <f t="shared" si="1264"/>
        <v>16237</v>
      </c>
      <c r="BK170" s="130">
        <f t="shared" ref="BK170:BN170" si="1272">+BK29</f>
        <v>13833</v>
      </c>
      <c r="BL170" s="130">
        <f t="shared" si="1272"/>
        <v>13069</v>
      </c>
      <c r="BM170" s="130">
        <f t="shared" si="1272"/>
        <v>13066</v>
      </c>
      <c r="BN170" s="698">
        <f t="shared" si="1272"/>
        <v>14808</v>
      </c>
      <c r="BO170" s="130">
        <f t="shared" ref="BO170:BP170" si="1273">+BO29</f>
        <v>13069</v>
      </c>
      <c r="BP170" s="130">
        <f t="shared" si="1273"/>
        <v>14808</v>
      </c>
      <c r="BQ170" s="619">
        <f t="shared" si="1264"/>
        <v>14808</v>
      </c>
      <c r="BR170" s="130">
        <f t="shared" si="1264"/>
        <v>13728</v>
      </c>
      <c r="BS170" s="130">
        <f t="shared" si="1264"/>
        <v>10590</v>
      </c>
      <c r="BT170" s="130">
        <f t="shared" si="1264"/>
        <v>9526</v>
      </c>
      <c r="BU170" s="698">
        <f t="shared" si="1264"/>
        <v>8722</v>
      </c>
      <c r="BV170" s="130">
        <f t="shared" ref="BV170:BW170" si="1274">+BV29</f>
        <v>10590</v>
      </c>
      <c r="BW170" s="130">
        <f t="shared" si="1274"/>
        <v>8722</v>
      </c>
      <c r="BX170" s="619">
        <f t="shared" si="1264"/>
        <v>8722</v>
      </c>
      <c r="BY170" s="130">
        <f t="shared" ref="BY170:CB170" si="1275">+BY29</f>
        <v>11226</v>
      </c>
      <c r="BZ170" s="130">
        <f t="shared" si="1275"/>
        <v>10565</v>
      </c>
      <c r="CA170" s="130">
        <f t="shared" si="1275"/>
        <v>11037</v>
      </c>
      <c r="CB170" s="698">
        <f t="shared" si="1275"/>
        <v>9693</v>
      </c>
      <c r="CC170" s="130">
        <f t="shared" ref="CC170:CD170" si="1276">+CC29</f>
        <v>10565</v>
      </c>
      <c r="CD170" s="130">
        <f t="shared" si="1276"/>
        <v>9693</v>
      </c>
      <c r="CE170" s="619">
        <f t="shared" si="1264"/>
        <v>9693</v>
      </c>
      <c r="CF170" s="130">
        <f t="shared" si="1264"/>
        <v>10296</v>
      </c>
      <c r="CG170" s="130">
        <f t="shared" si="1264"/>
        <v>11692</v>
      </c>
      <c r="CH170" s="130">
        <f t="shared" si="1264"/>
        <v>13860</v>
      </c>
      <c r="CI170" s="698">
        <f t="shared" si="1264"/>
        <v>13261</v>
      </c>
      <c r="CJ170" s="130">
        <f t="shared" ref="CJ170:CK170" si="1277">+CJ29</f>
        <v>11692</v>
      </c>
      <c r="CK170" s="130">
        <f t="shared" si="1277"/>
        <v>13261</v>
      </c>
      <c r="CL170" s="619">
        <f t="shared" si="1264"/>
        <v>13261</v>
      </c>
      <c r="CM170" s="130">
        <f t="shared" ref="CM170:CP170" si="1278">+CM29</f>
        <v>13800</v>
      </c>
      <c r="CN170" s="130">
        <f t="shared" si="1278"/>
        <v>13924</v>
      </c>
      <c r="CO170" s="130">
        <f t="shared" si="1278"/>
        <v>14548</v>
      </c>
      <c r="CP170" s="698">
        <f t="shared" si="1278"/>
        <v>14323</v>
      </c>
      <c r="CQ170" s="130">
        <f t="shared" ref="CQ170:CR170" si="1279">+CQ29</f>
        <v>13924</v>
      </c>
      <c r="CR170" s="130">
        <f t="shared" si="1279"/>
        <v>14323</v>
      </c>
      <c r="CS170" s="619">
        <f t="shared" ref="CS170:CT170" si="1280">+CS29</f>
        <v>14323</v>
      </c>
      <c r="CT170" s="130">
        <f t="shared" si="1280"/>
        <v>14202</v>
      </c>
      <c r="CU170" s="130">
        <f t="shared" ref="CU170:CW170" si="1281">+CU29</f>
        <v>14384</v>
      </c>
      <c r="CV170" s="130">
        <f t="shared" si="1281"/>
        <v>14329</v>
      </c>
      <c r="CW170" s="698">
        <f t="shared" si="1281"/>
        <v>13791</v>
      </c>
      <c r="CX170" s="130">
        <f t="shared" ref="CX170:DC170" si="1282">+CX29</f>
        <v>14384</v>
      </c>
      <c r="CY170" s="130">
        <f t="shared" si="1282"/>
        <v>13791</v>
      </c>
      <c r="CZ170" s="619">
        <f t="shared" si="1282"/>
        <v>13791</v>
      </c>
      <c r="DA170" s="130">
        <f t="shared" si="1282"/>
        <v>14134</v>
      </c>
      <c r="DB170" s="130">
        <f t="shared" si="1282"/>
        <v>14066</v>
      </c>
      <c r="DC170" s="130">
        <f t="shared" si="1282"/>
        <v>15018</v>
      </c>
      <c r="DD170" s="1907">
        <f t="shared" ref="DD170:DF170" si="1283">+DD29</f>
        <v>15878</v>
      </c>
      <c r="DE170" s="130">
        <f t="shared" si="1283"/>
        <v>14066</v>
      </c>
      <c r="DF170" s="130">
        <f t="shared" si="1283"/>
        <v>15878</v>
      </c>
      <c r="DG170" s="619">
        <f t="shared" ref="DG170:DI170" si="1284">+DG29</f>
        <v>15878</v>
      </c>
      <c r="DH170" s="317">
        <f t="shared" si="1284"/>
        <v>16337</v>
      </c>
      <c r="DI170" s="130">
        <f t="shared" si="1284"/>
        <v>16546</v>
      </c>
      <c r="DJ170" s="624">
        <f>DJ171*DJ154*4</f>
        <v>13578.096530817407</v>
      </c>
      <c r="DK170" s="618">
        <f t="shared" ref="DK170:DL170" si="1285">+DK29</f>
        <v>17320.000923591295</v>
      </c>
      <c r="DL170" s="130">
        <f t="shared" si="1285"/>
        <v>16546</v>
      </c>
      <c r="DM170" s="617">
        <f t="shared" ref="DM170" si="1286">+DM29</f>
        <v>17320.000923591295</v>
      </c>
      <c r="DN170" s="1113">
        <f t="shared" ref="DN170:EP170" si="1287">DN171*DN154</f>
        <v>17320.000923591295</v>
      </c>
      <c r="DO170" s="624">
        <f>DO171*DO154*4</f>
        <v>17353.522304243237</v>
      </c>
      <c r="DP170" s="617">
        <f t="shared" ref="DP170" si="1288">+DP29</f>
        <v>18252.175481370752</v>
      </c>
      <c r="DQ170" s="624">
        <f>DQ171*DQ154*4</f>
        <v>19060.937640171411</v>
      </c>
      <c r="DR170" s="618">
        <f t="shared" ref="DR170" si="1289">+DR29</f>
        <v>19276.252212650244</v>
      </c>
      <c r="DS170" s="624">
        <f>DS171*DS154*2</f>
        <v>18252.175481370752</v>
      </c>
      <c r="DT170" s="617">
        <f t="shared" ref="DT170" si="1290">+DT29</f>
        <v>19276.252212650244</v>
      </c>
      <c r="DU170" s="1113">
        <f t="shared" si="1287"/>
        <v>19276.252212650244</v>
      </c>
      <c r="DV170" s="624">
        <f>DV171*DV154*4</f>
        <v>18834.806087969395</v>
      </c>
      <c r="DW170" s="617">
        <f t="shared" ref="DW170" si="1291">+DW29</f>
        <v>19816.698821039088</v>
      </c>
      <c r="DX170" s="624">
        <f>DX171*DX154*4</f>
        <v>20704.617988852238</v>
      </c>
      <c r="DY170" s="618">
        <f t="shared" ref="DY170" si="1292">+DY29</f>
        <v>20987.212341371138</v>
      </c>
      <c r="DZ170" s="624">
        <f>DZ171*DZ154*2</f>
        <v>19816.698821039088</v>
      </c>
      <c r="EA170" s="617">
        <f t="shared" ref="EA170" si="1293">+EA29</f>
        <v>20987.212341371138</v>
      </c>
      <c r="EB170" s="1113">
        <f t="shared" si="1287"/>
        <v>20987.212341371138</v>
      </c>
      <c r="EC170" s="624">
        <f>EC171*EC154*4</f>
        <v>20205.600290037455</v>
      </c>
      <c r="ED170" s="617">
        <f t="shared" ref="ED170" si="1294">+ED29</f>
        <v>20885.977817509905</v>
      </c>
      <c r="EE170" s="624">
        <f>EE171*EE154*4</f>
        <v>21467.44614724848</v>
      </c>
      <c r="EF170" s="618">
        <f t="shared" ref="EF170" si="1295">+EF29</f>
        <v>21933.915389784812</v>
      </c>
      <c r="EG170" s="624">
        <f>EG171*EG154*2</f>
        <v>20885.977817509905</v>
      </c>
      <c r="EH170" s="617">
        <f t="shared" ref="EH170" si="1296">+EH29</f>
        <v>21933.915389784812</v>
      </c>
      <c r="EI170" s="1113">
        <f t="shared" si="1287"/>
        <v>21933.915389784812</v>
      </c>
      <c r="EJ170" s="624">
        <f>EJ171*EJ154*4</f>
        <v>20882.122504566443</v>
      </c>
      <c r="EK170" s="617">
        <f t="shared" ref="EK170" si="1297">+EK29</f>
        <v>21596.623604604534</v>
      </c>
      <c r="EL170" s="624">
        <f>EL171*EL154*4</f>
        <v>22207.751758571034</v>
      </c>
      <c r="EM170" s="618">
        <f t="shared" ref="EM170" si="1298">+EM29</f>
        <v>22689.83518668935</v>
      </c>
      <c r="EN170" s="624">
        <f>EN171*EN154*2</f>
        <v>21596.623604604534</v>
      </c>
      <c r="EO170" s="617">
        <f t="shared" ref="EO170" si="1299">+EO29</f>
        <v>22689.83518668935</v>
      </c>
      <c r="EP170" s="1113">
        <f t="shared" si="1287"/>
        <v>22689.83518668935</v>
      </c>
      <c r="EQ170" s="911"/>
      <c r="ER170" s="46"/>
    </row>
    <row r="171" spans="1:148" ht="10.199999999999999" customHeight="1">
      <c r="A171" s="43" t="s">
        <v>55</v>
      </c>
      <c r="B171" s="108"/>
      <c r="C171" s="157">
        <f t="shared" ref="C171:CL171" si="1300">+C170/C154</f>
        <v>0.16431164117189526</v>
      </c>
      <c r="D171" s="157">
        <f t="shared" si="1300"/>
        <v>0.16309683177153056</v>
      </c>
      <c r="E171" s="157">
        <f t="shared" si="1300"/>
        <v>0.17554896498007849</v>
      </c>
      <c r="F171" s="157">
        <f t="shared" si="1300"/>
        <v>0.18612872453846585</v>
      </c>
      <c r="G171" s="157">
        <f t="shared" si="1300"/>
        <v>0.18920221128974996</v>
      </c>
      <c r="H171" s="157">
        <f t="shared" si="1300"/>
        <v>0.18909592822636301</v>
      </c>
      <c r="I171" s="157">
        <f t="shared" si="1300"/>
        <v>0.18083901537039176</v>
      </c>
      <c r="J171" s="157">
        <f t="shared" si="1300"/>
        <v>0.19188734762505255</v>
      </c>
      <c r="K171" s="157">
        <f t="shared" si="1300"/>
        <v>0.18678964853995453</v>
      </c>
      <c r="L171" s="157">
        <f t="shared" si="1300"/>
        <v>0.19601856375183194</v>
      </c>
      <c r="M171" s="157">
        <f t="shared" si="1300"/>
        <v>0.17558427762039661</v>
      </c>
      <c r="N171" s="157"/>
      <c r="O171" s="157"/>
      <c r="P171" s="157"/>
      <c r="Q171" s="1277"/>
      <c r="R171" s="157"/>
      <c r="S171" s="157"/>
      <c r="T171" s="1295">
        <f t="shared" si="1300"/>
        <v>0.16794343981795126</v>
      </c>
      <c r="U171" s="251">
        <f>+U170/U154/4</f>
        <v>0.1790599304237824</v>
      </c>
      <c r="V171" s="251">
        <f>+V170/V154/4</f>
        <v>0.15085555250137439</v>
      </c>
      <c r="W171" s="251">
        <f>+W170/W154/4</f>
        <v>0.18099947356546589</v>
      </c>
      <c r="X171" s="1277">
        <f>+X170/X154/4</f>
        <v>0.12592748318163829</v>
      </c>
      <c r="Y171" s="251">
        <f>+Y170/Y154/2</f>
        <v>0.16141544117647058</v>
      </c>
      <c r="Z171" s="157">
        <f>+Z170/Z154/2</f>
        <v>0.15192611822277921</v>
      </c>
      <c r="AA171" s="1295">
        <f t="shared" si="1300"/>
        <v>0.1677235517928615</v>
      </c>
      <c r="AB171" s="251">
        <f>+AB170/AB154/4</f>
        <v>0.24232074846828947</v>
      </c>
      <c r="AC171" s="251">
        <f>+AC170/AC154/4</f>
        <v>0.17310437109723462</v>
      </c>
      <c r="AD171" s="251">
        <f>+AD170/AD154/4</f>
        <v>0.20281409891984081</v>
      </c>
      <c r="AE171" s="1277">
        <f>+AE170/AE154/4</f>
        <v>0.13687456364905748</v>
      </c>
      <c r="AF171" s="251">
        <f>+AF170/AF154/2</f>
        <v>0.20148478870314609</v>
      </c>
      <c r="AG171" s="157">
        <f>+AG170/AG154/2</f>
        <v>0.16541046769974971</v>
      </c>
      <c r="AH171" s="1295">
        <f t="shared" si="1300"/>
        <v>0.18251357641582622</v>
      </c>
      <c r="AI171" s="251">
        <f>+AI170/AI154/4</f>
        <v>0.23657966018222112</v>
      </c>
      <c r="AJ171" s="251">
        <f>+AJ170/AJ154/4</f>
        <v>0.17773956070480329</v>
      </c>
      <c r="AK171" s="251">
        <f>+AK170/AK154/4</f>
        <v>0.21078853046594981</v>
      </c>
      <c r="AL171" s="1277">
        <f>+AL170/AL154/4</f>
        <v>0.13121963477969509</v>
      </c>
      <c r="AM171" s="251">
        <f>+AM170/AM154/2</f>
        <v>0.20486871848374197</v>
      </c>
      <c r="AN171" s="157">
        <f>+AN170/AN154/2</f>
        <v>0.1656532543752974</v>
      </c>
      <c r="AO171" s="1295">
        <f t="shared" si="1300"/>
        <v>0.1882218650966492</v>
      </c>
      <c r="AP171" s="251">
        <f>+AP170/AP154/4</f>
        <v>0.26004773637203571</v>
      </c>
      <c r="AQ171" s="251">
        <f>+AQ170/AQ154/4</f>
        <v>0.21484002289930665</v>
      </c>
      <c r="AR171" s="251">
        <f>+AR170/AR154/4</f>
        <v>0.21398483572030327</v>
      </c>
      <c r="AS171" s="1277">
        <f>+AS170/AS154/4</f>
        <v>0.14113546653229192</v>
      </c>
      <c r="AT171" s="251">
        <f>+AT170/AT154/2</f>
        <v>0.2352920686892612</v>
      </c>
      <c r="AU171" s="157">
        <f>+AU170/AU154/2</f>
        <v>0.17662515108518576</v>
      </c>
      <c r="AV171" s="1295">
        <f t="shared" si="1300"/>
        <v>0.20135695777854329</v>
      </c>
      <c r="AW171" s="157"/>
      <c r="AX171" s="157"/>
      <c r="AY171" s="157"/>
      <c r="AZ171" s="1277"/>
      <c r="BA171" s="157"/>
      <c r="BB171" s="157"/>
      <c r="BC171" s="1295">
        <f t="shared" si="1300"/>
        <v>0.2271356443360103</v>
      </c>
      <c r="BD171" s="251">
        <f>+BD170/BD154/4</f>
        <v>0.30141318312086174</v>
      </c>
      <c r="BE171" s="251">
        <f>+BE170/BE154/4</f>
        <v>0.22922698808161066</v>
      </c>
      <c r="BF171" s="251">
        <f>+BF170/BF154/4</f>
        <v>0.21885314866351693</v>
      </c>
      <c r="BG171" s="1277">
        <f>+BG170/BG154/4</f>
        <v>0.174321480718028</v>
      </c>
      <c r="BH171" s="251">
        <f>+BH170/BH154/2</f>
        <v>0.27266720064076894</v>
      </c>
      <c r="BI171" s="157">
        <f>+BI170/BI154/2</f>
        <v>0.20957998812504841</v>
      </c>
      <c r="BJ171" s="1295">
        <f t="shared" si="1300"/>
        <v>0.25486995149669583</v>
      </c>
      <c r="BK171" s="251">
        <f>+BK170/BK154/4</f>
        <v>0.27557972746832415</v>
      </c>
      <c r="BL171" s="251">
        <f>+BL170/BL154/4</f>
        <v>0.17837255009008024</v>
      </c>
      <c r="BM171" s="251">
        <f>+BM170/BM154/4</f>
        <v>0.21346882760423475</v>
      </c>
      <c r="BN171" s="1277">
        <f>+BN170/BN154/4</f>
        <v>0.15228301110654052</v>
      </c>
      <c r="BO171" s="251">
        <f>+BO170/BO154/2</f>
        <v>0.2117054364025141</v>
      </c>
      <c r="BP171" s="157">
        <f>+BP170/BP154/2</f>
        <v>0.18691305664950014</v>
      </c>
      <c r="BQ171" s="1295">
        <f t="shared" si="1300"/>
        <v>0.21010811884559721</v>
      </c>
      <c r="BR171" s="251">
        <f>+BR170/BR154/4</f>
        <v>0.32282946101025306</v>
      </c>
      <c r="BS171" s="251">
        <f>+BS170/BS154/4</f>
        <v>0.31832391487315137</v>
      </c>
      <c r="BT171" s="251">
        <f>+BT170/BT154/4</f>
        <v>0.21238740747346829</v>
      </c>
      <c r="BU171" s="1277">
        <f>+BU170/BU154/4</f>
        <v>0.11039947344438256</v>
      </c>
      <c r="BV171" s="251">
        <f>+BV170/BV154/2</f>
        <v>0.27944901836605446</v>
      </c>
      <c r="BW171" s="157">
        <f>+BW170/BW154/2</f>
        <v>0.14084097661800801</v>
      </c>
      <c r="BX171" s="1295">
        <f t="shared" si="1300"/>
        <v>0.17474755569802852</v>
      </c>
      <c r="BY171" s="251">
        <f>+BY170/BY154/4</f>
        <v>0.26830783938814534</v>
      </c>
      <c r="BZ171" s="251">
        <f>+BZ170/BZ154/4</f>
        <v>0.18630528320519152</v>
      </c>
      <c r="CA171" s="251">
        <f>+CA170/CA154/4</f>
        <v>0.26233599543639474</v>
      </c>
      <c r="CB171" s="1277">
        <f>+CB170/CB154/4</f>
        <v>0.14259444509826999</v>
      </c>
      <c r="CC171" s="251">
        <f>+CC170/CC154/2</f>
        <v>0.21441328083776434</v>
      </c>
      <c r="CD171" s="157">
        <f>+CD170/CD154/2</f>
        <v>0.1761594940389648</v>
      </c>
      <c r="CE171" s="1295">
        <f t="shared" si="1300"/>
        <v>0.18587125352355749</v>
      </c>
      <c r="CF171" s="251">
        <f>+CF170/CF154/4</f>
        <v>0.2145</v>
      </c>
      <c r="CG171" s="251">
        <f>+CG170/CG154/4</f>
        <v>0.22818110850897735</v>
      </c>
      <c r="CH171" s="251">
        <f>+CH170/CH154/4</f>
        <v>0.2603501390036817</v>
      </c>
      <c r="CI171" s="1277">
        <f>+CI170/CI154/4</f>
        <v>0.16059145514435186</v>
      </c>
      <c r="CJ171" s="251">
        <f>+CJ170/CJ154/2</f>
        <v>0.23563079403466344</v>
      </c>
      <c r="CK171" s="157">
        <f>+CK170/CK154/2</f>
        <v>0.19528465820398785</v>
      </c>
      <c r="CL171" s="1295">
        <f t="shared" si="1300"/>
        <v>0.22566921362081582</v>
      </c>
      <c r="CM171" s="251">
        <f>+CM170/CM154/4</f>
        <v>0.29329252741647538</v>
      </c>
      <c r="CN171" s="251">
        <f>+CN170/CN154/4</f>
        <v>0.21893081761006289</v>
      </c>
      <c r="CO171" s="251">
        <f>+CO170/CO154/4</f>
        <v>0.24414311606363698</v>
      </c>
      <c r="CP171" s="1277">
        <f>+CP170/CP154/4</f>
        <v>0.15646028139473914</v>
      </c>
      <c r="CQ171" s="251">
        <f>+CQ170/CQ154/2</f>
        <v>0.2516719083251997</v>
      </c>
      <c r="CR171" s="157">
        <f>+CR170/CR154/2</f>
        <v>0.1895429161263002</v>
      </c>
      <c r="CS171" s="1295">
        <f t="shared" ref="CS171" si="1301">+CS170/CS154</f>
        <v>0.21885218347950983</v>
      </c>
      <c r="CT171" s="251">
        <f>+CT170/CT154/4</f>
        <v>0.27673421667965703</v>
      </c>
      <c r="CU171" s="251">
        <f>+CU170/CU154/4</f>
        <v>0.22482025633010316</v>
      </c>
      <c r="CV171" s="251">
        <f>+CV170/CV154/4</f>
        <v>0.22832876537701574</v>
      </c>
      <c r="CW171" s="1277">
        <f>+CW170/CW154/4</f>
        <v>0.13949465932998867</v>
      </c>
      <c r="CX171" s="251">
        <f>+CX170/CX154/2</f>
        <v>0.24950563746747614</v>
      </c>
      <c r="CY171" s="157">
        <f>+CY170/CY154/2</f>
        <v>0.17065957183516892</v>
      </c>
      <c r="CZ171" s="1295">
        <f t="shared" ref="CZ171" si="1302">+CZ170/CZ154</f>
        <v>0.19920554672829699</v>
      </c>
      <c r="DA171" s="251">
        <f>+DA170/DA154/4</f>
        <v>0.26092896174863389</v>
      </c>
      <c r="DB171" s="251">
        <f>+DB170/DB154/4</f>
        <v>0.21885113268608414</v>
      </c>
      <c r="DC171" s="251">
        <f>+DC170/DC154/4</f>
        <v>0.21061932009424436</v>
      </c>
      <c r="DD171" s="1880">
        <f>+DD170/DD154/4</f>
        <v>0.15276708743842365</v>
      </c>
      <c r="DE171" s="251">
        <f>+DE170/DE154/2</f>
        <v>0.23752110773387369</v>
      </c>
      <c r="DF171" s="157">
        <f>+DF170/DF154/2</f>
        <v>0.18121433462679754</v>
      </c>
      <c r="DG171" s="1295">
        <f t="shared" ref="DG171" si="1303">+DG170/DG154</f>
        <v>0.21626259874693543</v>
      </c>
      <c r="DH171" s="1982">
        <f>+DH170/DH154/4</f>
        <v>0.32284009169235633</v>
      </c>
      <c r="DI171" s="251">
        <f>+DI170/DI154/4</f>
        <v>0.2015347137637028</v>
      </c>
      <c r="DJ171" s="1975">
        <v>0.17499999999999999</v>
      </c>
      <c r="DK171" s="450">
        <f>+DK170/DK154/4</f>
        <v>0.1547265112465937</v>
      </c>
      <c r="DL171" s="251">
        <f>+DL170/DL154/2</f>
        <v>0.24936701229804678</v>
      </c>
      <c r="DM171" s="810">
        <f>+DM170/DM154/2</f>
        <v>0.18276928314485541</v>
      </c>
      <c r="DN171" s="1624">
        <v>0.215</v>
      </c>
      <c r="DO171" s="1709">
        <f>DU171</f>
        <v>0.215</v>
      </c>
      <c r="DP171" s="449">
        <f>+DP170/DP154/4</f>
        <v>0.20491111891146926</v>
      </c>
      <c r="DQ171" s="1709">
        <f>DU171</f>
        <v>0.215</v>
      </c>
      <c r="DR171" s="450">
        <f>+DR170/DR154/4</f>
        <v>0.19240705905475416</v>
      </c>
      <c r="DS171" s="1709">
        <f>DU171</f>
        <v>0.215</v>
      </c>
      <c r="DT171" s="810">
        <f>+DT170/DT154/2</f>
        <v>0.20415404288111649</v>
      </c>
      <c r="DU171" s="1665">
        <f>DN171</f>
        <v>0.215</v>
      </c>
      <c r="DV171" s="1709">
        <f>EB171</f>
        <v>0.215</v>
      </c>
      <c r="DW171" s="449">
        <f>+DW170/DW154/4</f>
        <v>0.20484994070099524</v>
      </c>
      <c r="DX171" s="1709">
        <f>EB171</f>
        <v>0.215</v>
      </c>
      <c r="DY171" s="450">
        <f>+DY170/DY154/4</f>
        <v>0.19110933159430019</v>
      </c>
      <c r="DZ171" s="1709">
        <f>EB171</f>
        <v>0.215</v>
      </c>
      <c r="EA171" s="810">
        <f>+EA170/EA154/2</f>
        <v>0.203642317878553</v>
      </c>
      <c r="EB171" s="1665">
        <f>DU171</f>
        <v>0.215</v>
      </c>
      <c r="EC171" s="1709">
        <f>EI171</f>
        <v>0.215</v>
      </c>
      <c r="ED171" s="449">
        <f>+ED170/ED154/4</f>
        <v>0.20821715857563244</v>
      </c>
      <c r="EE171" s="1709">
        <f>EI171</f>
        <v>0.215</v>
      </c>
      <c r="EF171" s="450">
        <f>+EF170/EF154/4</f>
        <v>0.19251068741752658</v>
      </c>
      <c r="EG171" s="1709">
        <f>EI171</f>
        <v>0.215</v>
      </c>
      <c r="EH171" s="810">
        <f>+EH170/EH154/2</f>
        <v>0.20519632670998902</v>
      </c>
      <c r="EI171" s="1665">
        <f>EB171</f>
        <v>0.215</v>
      </c>
      <c r="EJ171" s="1709">
        <f>EP171</f>
        <v>0.215</v>
      </c>
      <c r="EK171" s="449">
        <f>+EK170/EK154/4</f>
        <v>0.20811474708057973</v>
      </c>
      <c r="EL171" s="1709">
        <f>EP171</f>
        <v>0.215</v>
      </c>
      <c r="EM171" s="450">
        <f>+EM170/EM154/4</f>
        <v>0.19237514060096988</v>
      </c>
      <c r="EN171" s="1709">
        <f>EP171</f>
        <v>0.215</v>
      </c>
      <c r="EO171" s="810">
        <f>+EO170/EO154/2</f>
        <v>0.20511730950902254</v>
      </c>
      <c r="EP171" s="1665">
        <f t="shared" ref="EP171" si="1304">EI171</f>
        <v>0.215</v>
      </c>
      <c r="EQ171" s="1437"/>
      <c r="ER171" s="46"/>
    </row>
    <row r="172" spans="1:148" ht="10.199999999999999" customHeight="1">
      <c r="A172" s="43"/>
      <c r="B172" s="108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277"/>
      <c r="R172" s="157"/>
      <c r="S172" s="157"/>
      <c r="T172" s="1295"/>
      <c r="U172" s="251"/>
      <c r="V172" s="251"/>
      <c r="W172" s="251"/>
      <c r="X172" s="1277"/>
      <c r="Y172" s="251"/>
      <c r="Z172" s="157"/>
      <c r="AA172" s="1295"/>
      <c r="AB172" s="251"/>
      <c r="AC172" s="251"/>
      <c r="AD172" s="251"/>
      <c r="AE172" s="1277"/>
      <c r="AF172" s="251"/>
      <c r="AG172" s="157"/>
      <c r="AH172" s="1295"/>
      <c r="AI172" s="251"/>
      <c r="AJ172" s="251"/>
      <c r="AK172" s="251"/>
      <c r="AL172" s="1277"/>
      <c r="AM172" s="251"/>
      <c r="AN172" s="157"/>
      <c r="AO172" s="1295"/>
      <c r="AP172" s="251"/>
      <c r="AQ172" s="251"/>
      <c r="AR172" s="251"/>
      <c r="AS172" s="1277"/>
      <c r="AT172" s="251"/>
      <c r="AU172" s="157"/>
      <c r="AV172" s="1295"/>
      <c r="AW172" s="157"/>
      <c r="AX172" s="157"/>
      <c r="AY172" s="157"/>
      <c r="AZ172" s="1277"/>
      <c r="BA172" s="157"/>
      <c r="BB172" s="157"/>
      <c r="BC172" s="1295"/>
      <c r="BD172" s="251"/>
      <c r="BE172" s="251"/>
      <c r="BF172" s="251"/>
      <c r="BG172" s="1277"/>
      <c r="BH172" s="251"/>
      <c r="BI172" s="157"/>
      <c r="BJ172" s="1295"/>
      <c r="BK172" s="251"/>
      <c r="BL172" s="251"/>
      <c r="BM172" s="251"/>
      <c r="BN172" s="1277"/>
      <c r="BO172" s="251"/>
      <c r="BP172" s="157"/>
      <c r="BQ172" s="1295"/>
      <c r="BR172" s="251"/>
      <c r="BS172" s="251"/>
      <c r="BT172" s="251"/>
      <c r="BU172" s="1277"/>
      <c r="BV172" s="251"/>
      <c r="BW172" s="157"/>
      <c r="BX172" s="1295"/>
      <c r="BY172" s="251"/>
      <c r="BZ172" s="251"/>
      <c r="CA172" s="251"/>
      <c r="CB172" s="1277"/>
      <c r="CC172" s="251"/>
      <c r="CD172" s="157"/>
      <c r="CE172" s="1295"/>
      <c r="CF172" s="251"/>
      <c r="CG172" s="251"/>
      <c r="CH172" s="251"/>
      <c r="CI172" s="1277"/>
      <c r="CJ172" s="251"/>
      <c r="CK172" s="157"/>
      <c r="CL172" s="1295"/>
      <c r="CM172" s="251"/>
      <c r="CN172" s="251"/>
      <c r="CO172" s="251"/>
      <c r="CP172" s="1277"/>
      <c r="CQ172" s="251"/>
      <c r="CR172" s="157"/>
      <c r="CS172" s="1295"/>
      <c r="CT172" s="197"/>
      <c r="CU172" s="251"/>
      <c r="CV172" s="251"/>
      <c r="CW172" s="1277"/>
      <c r="CX172" s="251"/>
      <c r="CY172" s="157"/>
      <c r="CZ172" s="1295"/>
      <c r="DA172" s="197"/>
      <c r="DB172" s="251"/>
      <c r="DC172" s="1708"/>
      <c r="DD172" s="1880"/>
      <c r="DE172" s="251"/>
      <c r="DF172" s="157"/>
      <c r="DG172" s="1295"/>
      <c r="DH172" s="1708"/>
      <c r="DI172" s="251"/>
      <c r="DJ172" s="1708"/>
      <c r="DK172" s="450"/>
      <c r="DL172" s="251"/>
      <c r="DM172" s="810"/>
      <c r="DN172" s="1628"/>
      <c r="DO172" s="1708"/>
      <c r="DP172" s="449"/>
      <c r="DQ172" s="1708"/>
      <c r="DR172" s="450"/>
      <c r="DS172" s="1708"/>
      <c r="DT172" s="810"/>
      <c r="DU172" s="1628"/>
      <c r="DV172" s="1708"/>
      <c r="DW172" s="449"/>
      <c r="DX172" s="1708"/>
      <c r="DY172" s="450"/>
      <c r="DZ172" s="1708"/>
      <c r="EA172" s="810"/>
      <c r="EB172" s="1628"/>
      <c r="EC172" s="1708"/>
      <c r="ED172" s="449"/>
      <c r="EE172" s="1708"/>
      <c r="EF172" s="450"/>
      <c r="EG172" s="1708"/>
      <c r="EH172" s="810"/>
      <c r="EI172" s="1628"/>
      <c r="EJ172" s="1708"/>
      <c r="EK172" s="449"/>
      <c r="EL172" s="1708"/>
      <c r="EM172" s="450"/>
      <c r="EN172" s="1708"/>
      <c r="EO172" s="810"/>
      <c r="EP172" s="1628"/>
      <c r="EQ172" s="911"/>
      <c r="ER172" s="46"/>
    </row>
    <row r="173" spans="1:148" ht="10.199999999999999" customHeight="1">
      <c r="A173" s="43" t="s">
        <v>206</v>
      </c>
      <c r="B173" s="108"/>
      <c r="C173" s="133">
        <f t="shared" ref="C173:CL173" si="1305">C30</f>
        <v>0</v>
      </c>
      <c r="D173" s="133">
        <f t="shared" si="1305"/>
        <v>0</v>
      </c>
      <c r="E173" s="133">
        <f t="shared" si="1305"/>
        <v>10884</v>
      </c>
      <c r="F173" s="133">
        <f t="shared" si="1305"/>
        <v>14078</v>
      </c>
      <c r="G173" s="133">
        <f t="shared" si="1305"/>
        <v>14172</v>
      </c>
      <c r="H173" s="133">
        <f t="shared" si="1305"/>
        <v>16214</v>
      </c>
      <c r="I173" s="133">
        <f t="shared" si="1305"/>
        <v>17802</v>
      </c>
      <c r="J173" s="133">
        <f t="shared" si="1305"/>
        <v>21271</v>
      </c>
      <c r="K173" s="133">
        <f t="shared" si="1305"/>
        <v>23285</v>
      </c>
      <c r="L173" s="133">
        <f t="shared" si="1305"/>
        <v>27670</v>
      </c>
      <c r="M173" s="133">
        <f t="shared" si="1305"/>
        <v>28183</v>
      </c>
      <c r="N173" s="133"/>
      <c r="O173" s="133"/>
      <c r="P173" s="133"/>
      <c r="Q173" s="688"/>
      <c r="R173" s="133"/>
      <c r="S173" s="133"/>
      <c r="T173" s="339">
        <f t="shared" si="1305"/>
        <v>23723</v>
      </c>
      <c r="U173" s="197">
        <f t="shared" si="1305"/>
        <v>23723</v>
      </c>
      <c r="V173" s="197">
        <f t="shared" si="1305"/>
        <v>23723</v>
      </c>
      <c r="W173" s="197">
        <f t="shared" si="1305"/>
        <v>23723</v>
      </c>
      <c r="X173" s="688">
        <f t="shared" si="1305"/>
        <v>22174</v>
      </c>
      <c r="Y173" s="197">
        <f t="shared" ref="Y173:Z173" si="1306">Y30</f>
        <v>23723</v>
      </c>
      <c r="Z173" s="133">
        <f t="shared" si="1306"/>
        <v>22174</v>
      </c>
      <c r="AA173" s="339">
        <f t="shared" si="1305"/>
        <v>22174</v>
      </c>
      <c r="AB173" s="197">
        <f t="shared" ref="AB173:AE173" si="1307">AB30</f>
        <v>22174</v>
      </c>
      <c r="AC173" s="197">
        <f t="shared" si="1307"/>
        <v>22174</v>
      </c>
      <c r="AD173" s="197">
        <f t="shared" si="1307"/>
        <v>22174</v>
      </c>
      <c r="AE173" s="688">
        <f t="shared" si="1307"/>
        <v>23612</v>
      </c>
      <c r="AF173" s="197">
        <f t="shared" ref="AF173:AG173" si="1308">AF30</f>
        <v>22174</v>
      </c>
      <c r="AG173" s="133">
        <f t="shared" si="1308"/>
        <v>23612</v>
      </c>
      <c r="AH173" s="339">
        <f t="shared" si="1305"/>
        <v>23612</v>
      </c>
      <c r="AI173" s="197">
        <f t="shared" si="1305"/>
        <v>24342</v>
      </c>
      <c r="AJ173" s="197">
        <f t="shared" si="1305"/>
        <v>23490</v>
      </c>
      <c r="AK173" s="197">
        <f t="shared" si="1305"/>
        <v>23900</v>
      </c>
      <c r="AL173" s="688">
        <f t="shared" si="1305"/>
        <v>24115</v>
      </c>
      <c r="AM173" s="197">
        <f t="shared" ref="AM173:AN173" si="1309">AM30</f>
        <v>23490</v>
      </c>
      <c r="AN173" s="133">
        <f t="shared" si="1309"/>
        <v>24115</v>
      </c>
      <c r="AO173" s="339">
        <f t="shared" si="1305"/>
        <v>24115</v>
      </c>
      <c r="AP173" s="197">
        <f t="shared" ref="AP173:AS173" si="1310">AP30</f>
        <v>25776</v>
      </c>
      <c r="AQ173" s="197">
        <f t="shared" si="1310"/>
        <v>25573</v>
      </c>
      <c r="AR173" s="197">
        <f t="shared" si="1310"/>
        <v>26250</v>
      </c>
      <c r="AS173" s="688">
        <f t="shared" si="1310"/>
        <v>25284</v>
      </c>
      <c r="AT173" s="197">
        <f t="shared" ref="AT173:AU173" si="1311">AT30</f>
        <v>25573</v>
      </c>
      <c r="AU173" s="133">
        <f t="shared" si="1311"/>
        <v>25284</v>
      </c>
      <c r="AV173" s="339">
        <f t="shared" si="1305"/>
        <v>25284</v>
      </c>
      <c r="AW173" s="133"/>
      <c r="AX173" s="133"/>
      <c r="AY173" s="133"/>
      <c r="AZ173" s="688"/>
      <c r="BA173" s="133"/>
      <c r="BB173" s="133"/>
      <c r="BC173" s="339">
        <f t="shared" si="1305"/>
        <v>25943</v>
      </c>
      <c r="BD173" s="197">
        <f t="shared" si="1305"/>
        <v>29767</v>
      </c>
      <c r="BE173" s="197">
        <f t="shared" si="1305"/>
        <v>28797</v>
      </c>
      <c r="BF173" s="197">
        <f t="shared" si="1305"/>
        <v>29201</v>
      </c>
      <c r="BG173" s="688">
        <f t="shared" si="1305"/>
        <v>26229</v>
      </c>
      <c r="BH173" s="197">
        <f t="shared" ref="BH173:BI173" si="1312">BH30</f>
        <v>28797</v>
      </c>
      <c r="BI173" s="133">
        <f t="shared" si="1312"/>
        <v>26229</v>
      </c>
      <c r="BJ173" s="339">
        <f t="shared" si="1305"/>
        <v>26229</v>
      </c>
      <c r="BK173" s="197">
        <f t="shared" ref="BK173:BN173" si="1313">BK30</f>
        <v>27169</v>
      </c>
      <c r="BL173" s="197">
        <f t="shared" si="1313"/>
        <v>26141</v>
      </c>
      <c r="BM173" s="197">
        <f t="shared" si="1313"/>
        <v>24742</v>
      </c>
      <c r="BN173" s="688">
        <f t="shared" si="1313"/>
        <v>26426</v>
      </c>
      <c r="BO173" s="197">
        <f t="shared" ref="BO173:BP173" si="1314">BO30</f>
        <v>26141</v>
      </c>
      <c r="BP173" s="133">
        <f t="shared" si="1314"/>
        <v>26426</v>
      </c>
      <c r="BQ173" s="339">
        <f t="shared" si="1305"/>
        <v>26426</v>
      </c>
      <c r="BR173" s="197">
        <f t="shared" si="1305"/>
        <v>27258</v>
      </c>
      <c r="BS173" s="197">
        <f t="shared" si="1305"/>
        <v>28843</v>
      </c>
      <c r="BT173" s="197">
        <f t="shared" si="1305"/>
        <v>26542</v>
      </c>
      <c r="BU173" s="688">
        <f t="shared" si="1305"/>
        <v>24675</v>
      </c>
      <c r="BV173" s="197">
        <f t="shared" ref="BV173:BW173" si="1315">BV30</f>
        <v>28843</v>
      </c>
      <c r="BW173" s="133">
        <f t="shared" si="1315"/>
        <v>24675</v>
      </c>
      <c r="BX173" s="339">
        <f t="shared" si="1305"/>
        <v>24675</v>
      </c>
      <c r="BY173" s="197">
        <f t="shared" ref="BY173:CB173" si="1316">BY30</f>
        <v>25391</v>
      </c>
      <c r="BZ173" s="197">
        <f t="shared" si="1316"/>
        <v>23998</v>
      </c>
      <c r="CA173" s="197">
        <f t="shared" si="1316"/>
        <v>24409</v>
      </c>
      <c r="CB173" s="688">
        <f t="shared" si="1316"/>
        <v>23906</v>
      </c>
      <c r="CC173" s="197">
        <f t="shared" ref="CC173:CD173" si="1317">CC30</f>
        <v>23998</v>
      </c>
      <c r="CD173" s="133">
        <f t="shared" si="1317"/>
        <v>23906</v>
      </c>
      <c r="CE173" s="339">
        <f t="shared" si="1305"/>
        <v>23906</v>
      </c>
      <c r="CF173" s="197">
        <f t="shared" si="1305"/>
        <v>24594</v>
      </c>
      <c r="CG173" s="197">
        <f t="shared" si="1305"/>
        <v>26312</v>
      </c>
      <c r="CH173" s="197">
        <f t="shared" si="1305"/>
        <v>26063</v>
      </c>
      <c r="CI173" s="688">
        <f t="shared" si="1305"/>
        <v>23869</v>
      </c>
      <c r="CJ173" s="197">
        <f t="shared" ref="CJ173:CK173" si="1318">CJ30</f>
        <v>26312</v>
      </c>
      <c r="CK173" s="133">
        <f t="shared" si="1318"/>
        <v>23869</v>
      </c>
      <c r="CL173" s="339">
        <f t="shared" si="1305"/>
        <v>23869</v>
      </c>
      <c r="CM173" s="197">
        <f t="shared" ref="CM173:CP173" si="1319">CM30</f>
        <v>25873</v>
      </c>
      <c r="CN173" s="197">
        <f t="shared" si="1319"/>
        <v>25725</v>
      </c>
      <c r="CO173" s="197">
        <f t="shared" si="1319"/>
        <v>25452</v>
      </c>
      <c r="CP173" s="688">
        <f t="shared" si="1319"/>
        <v>24537</v>
      </c>
      <c r="CQ173" s="197">
        <f t="shared" ref="CQ173:CR173" si="1320">CQ30</f>
        <v>25725</v>
      </c>
      <c r="CR173" s="133">
        <f t="shared" si="1320"/>
        <v>24537</v>
      </c>
      <c r="CS173" s="339">
        <f t="shared" ref="CS173:CT173" si="1321">CS30</f>
        <v>24537</v>
      </c>
      <c r="CT173" s="197">
        <f t="shared" si="1321"/>
        <v>27125</v>
      </c>
      <c r="CU173" s="197">
        <f t="shared" ref="CU173:CW173" si="1322">CU30</f>
        <v>28358</v>
      </c>
      <c r="CV173" s="197">
        <f t="shared" si="1322"/>
        <v>28043</v>
      </c>
      <c r="CW173" s="688">
        <f t="shared" si="1322"/>
        <v>30136</v>
      </c>
      <c r="CX173" s="197">
        <f t="shared" ref="CX173:DC173" si="1323">CX30</f>
        <v>28358</v>
      </c>
      <c r="CY173" s="133">
        <f t="shared" si="1323"/>
        <v>30136</v>
      </c>
      <c r="CZ173" s="339">
        <f t="shared" si="1323"/>
        <v>30136</v>
      </c>
      <c r="DA173" s="197">
        <f t="shared" si="1323"/>
        <v>30474</v>
      </c>
      <c r="DB173" s="197">
        <f t="shared" si="1323"/>
        <v>30733</v>
      </c>
      <c r="DC173" s="197">
        <f t="shared" si="1323"/>
        <v>31145</v>
      </c>
      <c r="DD173" s="1884">
        <f t="shared" ref="DD173:DF173" si="1324">DD30</f>
        <v>32112</v>
      </c>
      <c r="DE173" s="197">
        <f t="shared" si="1324"/>
        <v>30733</v>
      </c>
      <c r="DF173" s="133">
        <f t="shared" si="1324"/>
        <v>32112</v>
      </c>
      <c r="DG173" s="339">
        <f t="shared" ref="DG173:DI173" si="1325">DG30</f>
        <v>32112</v>
      </c>
      <c r="DH173" s="530">
        <f t="shared" si="1325"/>
        <v>33859</v>
      </c>
      <c r="DI173" s="197">
        <f t="shared" si="1325"/>
        <v>32854</v>
      </c>
      <c r="DJ173" s="460">
        <f>DJ175*(DI173/DI175)</f>
        <v>30243.63080196326</v>
      </c>
      <c r="DK173" s="430">
        <f t="shared" ref="DK173:DL173" si="1326">DK30</f>
        <v>33110.832412068194</v>
      </c>
      <c r="DL173" s="197">
        <f t="shared" si="1326"/>
        <v>32854</v>
      </c>
      <c r="DM173" s="1692">
        <f t="shared" ref="DM173" si="1327">DM30</f>
        <v>33110.832412068194</v>
      </c>
      <c r="DN173" s="592">
        <f>DN175*(DG173/DG175)</f>
        <v>33110.832412068194</v>
      </c>
      <c r="DO173" s="460">
        <f>DO175*(DN173/DN175)</f>
        <v>30520.922348962824</v>
      </c>
      <c r="DP173" s="322">
        <f t="shared" ref="DP173" si="1328">DP30</f>
        <v>32101.45011484763</v>
      </c>
      <c r="DQ173" s="460">
        <f>DQ175*(DP173/DP175)</f>
        <v>33523.879902574277</v>
      </c>
      <c r="DR173" s="430">
        <f t="shared" ref="DR173" si="1329">DR30</f>
        <v>33902.569556006754</v>
      </c>
      <c r="DS173" s="460">
        <f>DS175*(DN173/DN175)</f>
        <v>32101.45011484763</v>
      </c>
      <c r="DT173" s="1692">
        <f t="shared" ref="DT173" si="1330">DT30</f>
        <v>33902.569556006754</v>
      </c>
      <c r="DU173" s="592">
        <f>DU175*(DN173/DN175)</f>
        <v>33902.569556006754</v>
      </c>
      <c r="DV173" s="460">
        <f>DV175*(DU173/DU175)</f>
        <v>30965.763521240689</v>
      </c>
      <c r="DW173" s="322">
        <f t="shared" ref="DW173" si="1331">DW30</f>
        <v>32580.065151607982</v>
      </c>
      <c r="DX173" s="460">
        <f>DX175*(DW173/DW175)</f>
        <v>34039.867543417109</v>
      </c>
      <c r="DY173" s="430">
        <f t="shared" ref="DY173" si="1332">DY30</f>
        <v>34504.472798797353</v>
      </c>
      <c r="DZ173" s="460">
        <f>DZ175*(DU173/DU175)</f>
        <v>32580.065151607982</v>
      </c>
      <c r="EA173" s="1692">
        <f t="shared" ref="EA173" si="1333">EA30</f>
        <v>34504.472798797353</v>
      </c>
      <c r="EB173" s="592">
        <f>EB175*(DU173/DU175)</f>
        <v>34504.472798797353</v>
      </c>
      <c r="EC173" s="460">
        <f>EC175*(EB173/EB175)</f>
        <v>32704.41669851173</v>
      </c>
      <c r="ED173" s="322">
        <f t="shared" ref="ED173" si="1334">ED30</f>
        <v>33805.663375242897</v>
      </c>
      <c r="EE173" s="460">
        <f>EE175*(ED173/ED175)</f>
        <v>34746.81742559468</v>
      </c>
      <c r="EF173" s="430">
        <f t="shared" ref="EF173" si="1335">EF30</f>
        <v>35501.836047460092</v>
      </c>
      <c r="EG173" s="460">
        <f>EG175*(EB173/EB175)</f>
        <v>33805.663375242897</v>
      </c>
      <c r="EH173" s="1692">
        <f t="shared" ref="EH173" si="1336">EH30</f>
        <v>35501.836047460092</v>
      </c>
      <c r="EI173" s="592">
        <f>EI175*(EB173/EB175)</f>
        <v>35501.836047460092</v>
      </c>
      <c r="EJ173" s="460">
        <f>EJ175*(EI173/EI175)</f>
        <v>33533.28604508139</v>
      </c>
      <c r="EK173" s="322">
        <f t="shared" ref="EK173" si="1337">EK30</f>
        <v>34680.65838531468</v>
      </c>
      <c r="EL173" s="460">
        <f>EL175*(EK173/EK175)</f>
        <v>35662.030618557721</v>
      </c>
      <c r="EM173" s="430">
        <f t="shared" ref="EM173" si="1338">EM30</f>
        <v>36436.178049650982</v>
      </c>
      <c r="EN173" s="460">
        <f>EN175*(EI173/EI175)</f>
        <v>34680.65838531468</v>
      </c>
      <c r="EO173" s="1692">
        <f t="shared" ref="EO173" si="1339">EO30</f>
        <v>36436.178049650982</v>
      </c>
      <c r="EP173" s="592">
        <f t="shared" ref="EP173" si="1340">EP175*(EI173/EI175)</f>
        <v>36436.178049650982</v>
      </c>
      <c r="EQ173" s="911"/>
      <c r="ER173" s="46"/>
    </row>
    <row r="174" spans="1:148" ht="10.199999999999999" customHeight="1">
      <c r="A174" s="43" t="s">
        <v>207</v>
      </c>
      <c r="B174" s="108"/>
      <c r="C174" s="829">
        <f t="shared" ref="C174:CL174" si="1341">C40</f>
        <v>3578</v>
      </c>
      <c r="D174" s="829">
        <f t="shared" si="1341"/>
        <v>3807</v>
      </c>
      <c r="E174" s="829">
        <f t="shared" si="1341"/>
        <v>3985</v>
      </c>
      <c r="F174" s="829">
        <f t="shared" si="1341"/>
        <v>4911</v>
      </c>
      <c r="G174" s="829">
        <f t="shared" si="1341"/>
        <v>6308</v>
      </c>
      <c r="H174" s="829">
        <f t="shared" si="1341"/>
        <v>8420</v>
      </c>
      <c r="I174" s="829">
        <f t="shared" si="1341"/>
        <v>8843</v>
      </c>
      <c r="J174" s="829">
        <f t="shared" si="1341"/>
        <v>8579</v>
      </c>
      <c r="K174" s="829">
        <f t="shared" si="1341"/>
        <v>8817</v>
      </c>
      <c r="L174" s="829">
        <f t="shared" si="1341"/>
        <v>9256</v>
      </c>
      <c r="M174" s="829">
        <f t="shared" si="1341"/>
        <v>9881</v>
      </c>
      <c r="N174" s="1444"/>
      <c r="O174" s="1444"/>
      <c r="P174" s="1444"/>
      <c r="Q174" s="1456"/>
      <c r="R174" s="1444"/>
      <c r="S174" s="1444"/>
      <c r="T174" s="1468">
        <f t="shared" si="1341"/>
        <v>10203</v>
      </c>
      <c r="U174" s="1444">
        <f t="shared" si="1341"/>
        <v>10203</v>
      </c>
      <c r="V174" s="1444">
        <f t="shared" si="1341"/>
        <v>10203</v>
      </c>
      <c r="W174" s="1444">
        <f t="shared" si="1341"/>
        <v>10203</v>
      </c>
      <c r="X174" s="1456">
        <f t="shared" si="1341"/>
        <v>12231</v>
      </c>
      <c r="Y174" s="1444">
        <f t="shared" ref="Y174:Z174" si="1342">Y40</f>
        <v>10203</v>
      </c>
      <c r="Z174" s="1444">
        <f t="shared" si="1342"/>
        <v>12231</v>
      </c>
      <c r="AA174" s="1468">
        <f t="shared" si="1341"/>
        <v>12231</v>
      </c>
      <c r="AB174" s="1444">
        <f t="shared" ref="AB174:AE174" si="1343">AB40</f>
        <v>12231</v>
      </c>
      <c r="AC174" s="1444">
        <f t="shared" si="1343"/>
        <v>13190</v>
      </c>
      <c r="AD174" s="1444">
        <f t="shared" si="1343"/>
        <v>13898</v>
      </c>
      <c r="AE174" s="1456">
        <f t="shared" si="1343"/>
        <v>14472</v>
      </c>
      <c r="AF174" s="1444">
        <f t="shared" ref="AF174:AG174" si="1344">AF40</f>
        <v>13190</v>
      </c>
      <c r="AG174" s="1444">
        <f t="shared" si="1344"/>
        <v>14472</v>
      </c>
      <c r="AH174" s="1468">
        <f t="shared" si="1341"/>
        <v>14472</v>
      </c>
      <c r="AI174" s="1444">
        <f t="shared" si="1341"/>
        <v>14376</v>
      </c>
      <c r="AJ174" s="1444">
        <f t="shared" si="1341"/>
        <v>14382</v>
      </c>
      <c r="AK174" s="1444">
        <f t="shared" si="1341"/>
        <v>14977</v>
      </c>
      <c r="AL174" s="1456">
        <f t="shared" si="1341"/>
        <v>15714</v>
      </c>
      <c r="AM174" s="1444">
        <f t="shared" ref="AM174:AN174" si="1345">AM40</f>
        <v>14382</v>
      </c>
      <c r="AN174" s="1444">
        <f t="shared" si="1345"/>
        <v>15714</v>
      </c>
      <c r="AO174" s="1468">
        <f t="shared" si="1341"/>
        <v>15714</v>
      </c>
      <c r="AP174" s="1444">
        <f t="shared" ref="AP174:AS174" si="1346">AP40</f>
        <v>16001</v>
      </c>
      <c r="AQ174" s="1444">
        <f t="shared" si="1346"/>
        <v>16352</v>
      </c>
      <c r="AR174" s="1444">
        <f t="shared" si="1346"/>
        <v>16092</v>
      </c>
      <c r="AS174" s="1456">
        <f t="shared" si="1346"/>
        <v>16659</v>
      </c>
      <c r="AT174" s="1444">
        <f t="shared" ref="AT174:AU174" si="1347">AT40</f>
        <v>16352</v>
      </c>
      <c r="AU174" s="1444">
        <f t="shared" si="1347"/>
        <v>16659</v>
      </c>
      <c r="AV174" s="1468">
        <f t="shared" si="1341"/>
        <v>16659</v>
      </c>
      <c r="AW174" s="1444"/>
      <c r="AX174" s="1444"/>
      <c r="AY174" s="1444"/>
      <c r="AZ174" s="1456"/>
      <c r="BA174" s="1444"/>
      <c r="BB174" s="1444"/>
      <c r="BC174" s="1468">
        <f t="shared" si="1341"/>
        <v>16013</v>
      </c>
      <c r="BD174" s="1444">
        <f t="shared" si="1341"/>
        <v>13975</v>
      </c>
      <c r="BE174" s="1444">
        <f t="shared" si="1341"/>
        <v>14670</v>
      </c>
      <c r="BF174" s="1444">
        <f t="shared" si="1341"/>
        <v>14684</v>
      </c>
      <c r="BG174" s="1456">
        <f t="shared" si="1341"/>
        <v>15832</v>
      </c>
      <c r="BH174" s="1444">
        <f t="shared" ref="BH174:BI174" si="1348">BH40</f>
        <v>14670</v>
      </c>
      <c r="BI174" s="1444">
        <f t="shared" si="1348"/>
        <v>15832</v>
      </c>
      <c r="BJ174" s="1468">
        <f t="shared" si="1341"/>
        <v>15832</v>
      </c>
      <c r="BK174" s="1444">
        <f t="shared" ref="BK174:BN174" si="1349">BK40</f>
        <v>15637</v>
      </c>
      <c r="BL174" s="1444">
        <f t="shared" si="1349"/>
        <v>15551</v>
      </c>
      <c r="BM174" s="1444">
        <f t="shared" si="1349"/>
        <v>15729</v>
      </c>
      <c r="BN174" s="1456">
        <f t="shared" si="1349"/>
        <v>16980</v>
      </c>
      <c r="BO174" s="1444">
        <f t="shared" ref="BO174:BP174" si="1350">BO40</f>
        <v>15551</v>
      </c>
      <c r="BP174" s="1444">
        <f t="shared" si="1350"/>
        <v>16980</v>
      </c>
      <c r="BQ174" s="1468">
        <f t="shared" si="1341"/>
        <v>16980</v>
      </c>
      <c r="BR174" s="1444">
        <f t="shared" si="1341"/>
        <v>16891</v>
      </c>
      <c r="BS174" s="1444">
        <f t="shared" si="1341"/>
        <v>16549</v>
      </c>
      <c r="BT174" s="1444">
        <f t="shared" si="1341"/>
        <v>19256</v>
      </c>
      <c r="BU174" s="1456">
        <f t="shared" si="1341"/>
        <v>19212</v>
      </c>
      <c r="BV174" s="1444">
        <f t="shared" ref="BV174:BW174" si="1351">BV40</f>
        <v>16549</v>
      </c>
      <c r="BW174" s="1444">
        <f t="shared" si="1351"/>
        <v>19212</v>
      </c>
      <c r="BX174" s="1468">
        <f t="shared" si="1341"/>
        <v>19212</v>
      </c>
      <c r="BY174" s="1444">
        <f t="shared" ref="BY174:CB174" si="1352">BY40</f>
        <v>18539</v>
      </c>
      <c r="BZ174" s="1444">
        <f t="shared" si="1352"/>
        <v>18509</v>
      </c>
      <c r="CA174" s="1444">
        <f t="shared" si="1352"/>
        <v>18437</v>
      </c>
      <c r="CB174" s="1456">
        <f t="shared" si="1352"/>
        <v>18620</v>
      </c>
      <c r="CC174" s="1444">
        <f t="shared" ref="CC174:CD174" si="1353">CC40</f>
        <v>18509</v>
      </c>
      <c r="CD174" s="1444">
        <f t="shared" si="1353"/>
        <v>18620</v>
      </c>
      <c r="CE174" s="1468">
        <f t="shared" si="1341"/>
        <v>18620</v>
      </c>
      <c r="CF174" s="1444">
        <f t="shared" si="1341"/>
        <v>19123</v>
      </c>
      <c r="CG174" s="1444">
        <f t="shared" si="1341"/>
        <v>19312</v>
      </c>
      <c r="CH174" s="1444">
        <f t="shared" si="1341"/>
        <v>20302</v>
      </c>
      <c r="CI174" s="1456">
        <f t="shared" si="1341"/>
        <v>22044</v>
      </c>
      <c r="CJ174" s="1444">
        <f t="shared" ref="CJ174:CK174" si="1354">CJ40</f>
        <v>19312</v>
      </c>
      <c r="CK174" s="1444">
        <f t="shared" si="1354"/>
        <v>22044</v>
      </c>
      <c r="CL174" s="1468">
        <f t="shared" si="1341"/>
        <v>22044</v>
      </c>
      <c r="CM174" s="1444">
        <f t="shared" ref="CM174:CP174" si="1355">CM40</f>
        <v>21274</v>
      </c>
      <c r="CN174" s="1444">
        <f t="shared" si="1355"/>
        <v>23816</v>
      </c>
      <c r="CO174" s="1444">
        <f t="shared" si="1355"/>
        <v>23792</v>
      </c>
      <c r="CP174" s="1456">
        <f t="shared" si="1355"/>
        <v>23961</v>
      </c>
      <c r="CQ174" s="1444">
        <f t="shared" ref="CQ174:CR174" si="1356">CQ40</f>
        <v>23816</v>
      </c>
      <c r="CR174" s="1444">
        <f t="shared" si="1356"/>
        <v>23961</v>
      </c>
      <c r="CS174" s="1468">
        <f t="shared" ref="CS174:CT174" si="1357">CS40</f>
        <v>23961</v>
      </c>
      <c r="CT174" s="1444">
        <f t="shared" si="1357"/>
        <v>23540</v>
      </c>
      <c r="CU174" s="1444">
        <f t="shared" ref="CU174:CW174" si="1358">CU40</f>
        <v>24507</v>
      </c>
      <c r="CV174" s="1444">
        <f t="shared" si="1358"/>
        <v>25055</v>
      </c>
      <c r="CW174" s="1456">
        <f t="shared" si="1358"/>
        <v>25572</v>
      </c>
      <c r="CX174" s="1444">
        <f t="shared" ref="CX174:DC174" si="1359">CX40</f>
        <v>24507</v>
      </c>
      <c r="CY174" s="1444">
        <f t="shared" si="1359"/>
        <v>25572</v>
      </c>
      <c r="CZ174" s="1468">
        <f t="shared" si="1359"/>
        <v>25572</v>
      </c>
      <c r="DA174" s="1444">
        <f t="shared" si="1359"/>
        <v>27069</v>
      </c>
      <c r="DB174" s="1444">
        <f t="shared" si="1359"/>
        <v>26827</v>
      </c>
      <c r="DC174" s="1444">
        <f t="shared" si="1359"/>
        <v>25798</v>
      </c>
      <c r="DD174" s="1901">
        <f t="shared" ref="DD174:DF174" si="1360">DD40</f>
        <v>26484</v>
      </c>
      <c r="DE174" s="1444">
        <f t="shared" si="1360"/>
        <v>26827</v>
      </c>
      <c r="DF174" s="1444">
        <f t="shared" si="1360"/>
        <v>26484</v>
      </c>
      <c r="DG174" s="1468">
        <f t="shared" ref="DG174:DI174" si="1361">DG40</f>
        <v>26484</v>
      </c>
      <c r="DH174" s="1673">
        <f t="shared" si="1361"/>
        <v>26468</v>
      </c>
      <c r="DI174" s="1444">
        <f t="shared" si="1361"/>
        <v>27909</v>
      </c>
      <c r="DJ174" s="1414">
        <f t="shared" ref="DJ174" si="1362">DJ175-DJ173</f>
        <v>25691.528947829564</v>
      </c>
      <c r="DK174" s="1696">
        <f t="shared" ref="DK174:DL174" si="1363">DK40</f>
        <v>27307.775460924706</v>
      </c>
      <c r="DL174" s="1444">
        <f t="shared" si="1363"/>
        <v>27909</v>
      </c>
      <c r="DM174" s="1693">
        <f t="shared" ref="DM174" si="1364">DM40</f>
        <v>27307.775460924706</v>
      </c>
      <c r="DN174" s="1496">
        <f t="shared" ref="DN174:EP174" si="1365">DN175-DN173</f>
        <v>27307.775460924706</v>
      </c>
      <c r="DO174" s="1414">
        <f t="shared" si="1365"/>
        <v>25171.777139073605</v>
      </c>
      <c r="DP174" s="1693">
        <f t="shared" ref="DP174" si="1366">DP40</f>
        <v>26475.299104435249</v>
      </c>
      <c r="DQ174" s="1414">
        <f t="shared" ref="DQ174" si="1367">DQ175-DQ173</f>
        <v>27648.431593789777</v>
      </c>
      <c r="DR174" s="1696">
        <f t="shared" ref="DR174" si="1368">DR40</f>
        <v>27960.751498545193</v>
      </c>
      <c r="DS174" s="1414">
        <f t="shared" ref="DS174" si="1369">DS175-DS173</f>
        <v>26475.299104435249</v>
      </c>
      <c r="DT174" s="1693">
        <f t="shared" ref="DT174" si="1370">DT40</f>
        <v>27960.751498545193</v>
      </c>
      <c r="DU174" s="1496">
        <f t="shared" si="1365"/>
        <v>27960.751498545193</v>
      </c>
      <c r="DV174" s="1414">
        <f t="shared" si="1365"/>
        <v>25538.654742667495</v>
      </c>
      <c r="DW174" s="1693">
        <f t="shared" ref="DW174" si="1371">DW40</f>
        <v>26870.031311509279</v>
      </c>
      <c r="DX174" s="1414">
        <f t="shared" ref="DX174" si="1372">DX175-DX173</f>
        <v>28073.986423139606</v>
      </c>
      <c r="DY174" s="1696">
        <f t="shared" ref="DY174" si="1373">DY40</f>
        <v>28457.164225316061</v>
      </c>
      <c r="DZ174" s="1414">
        <f t="shared" ref="DZ174" si="1374">DZ175-DZ173</f>
        <v>26870.031311509279</v>
      </c>
      <c r="EA174" s="1693">
        <f t="shared" ref="EA174" si="1375">EA40</f>
        <v>28457.164225316061</v>
      </c>
      <c r="EB174" s="1496">
        <f t="shared" si="1365"/>
        <v>28457.164225316061</v>
      </c>
      <c r="EC174" s="1414">
        <f t="shared" si="1365"/>
        <v>26972.588809273318</v>
      </c>
      <c r="ED174" s="1693">
        <f t="shared" ref="ED174" si="1376">ED40</f>
        <v>27880.829248565431</v>
      </c>
      <c r="EE174" s="1414">
        <f t="shared" ref="EE174" si="1377">EE175-EE173</f>
        <v>28657.035148836876</v>
      </c>
      <c r="EF174" s="1696">
        <f t="shared" ref="EF174" si="1378">EF40</f>
        <v>29279.728010741565</v>
      </c>
      <c r="EG174" s="1414">
        <f t="shared" ref="EG174" si="1379">EG175-EG173</f>
        <v>27880.829248565431</v>
      </c>
      <c r="EH174" s="1693">
        <f t="shared" ref="EH174" si="1380">EH40</f>
        <v>29279.728010741565</v>
      </c>
      <c r="EI174" s="1496">
        <f t="shared" si="1365"/>
        <v>29279.728010741565</v>
      </c>
      <c r="EJ174" s="1414">
        <f t="shared" si="1365"/>
        <v>27656.189200857487</v>
      </c>
      <c r="EK174" s="1693">
        <f t="shared" ref="EK174" si="1381">EK40</f>
        <v>28602.471246782326</v>
      </c>
      <c r="EL174" s="1414">
        <f t="shared" ref="EL174" si="1382">EL175-EL173</f>
        <v>29411.846627487634</v>
      </c>
      <c r="EM174" s="1696">
        <f t="shared" ref="EM174" si="1383">EM40</f>
        <v>30050.315753206181</v>
      </c>
      <c r="EN174" s="1414">
        <f t="shared" ref="EN174" si="1384">EN175-EN173</f>
        <v>28602.471246782326</v>
      </c>
      <c r="EO174" s="1693">
        <f t="shared" ref="EO174" si="1385">EO40</f>
        <v>30050.315753206181</v>
      </c>
      <c r="EP174" s="1496">
        <f t="shared" si="1365"/>
        <v>30050.315753206181</v>
      </c>
      <c r="EQ174" s="911"/>
      <c r="ER174" s="46"/>
    </row>
    <row r="175" spans="1:148" ht="10.199999999999999" customHeight="1">
      <c r="A175" s="43" t="s">
        <v>118</v>
      </c>
      <c r="B175" s="108"/>
      <c r="C175" s="133">
        <f t="shared" ref="C175:CL175" si="1386">C174+C173</f>
        <v>3578</v>
      </c>
      <c r="D175" s="133">
        <f t="shared" si="1386"/>
        <v>3807</v>
      </c>
      <c r="E175" s="133">
        <f t="shared" si="1386"/>
        <v>14869</v>
      </c>
      <c r="F175" s="133">
        <f t="shared" si="1386"/>
        <v>18989</v>
      </c>
      <c r="G175" s="133">
        <f t="shared" si="1386"/>
        <v>20480</v>
      </c>
      <c r="H175" s="133">
        <f t="shared" si="1386"/>
        <v>24634</v>
      </c>
      <c r="I175" s="133">
        <f t="shared" si="1386"/>
        <v>26645</v>
      </c>
      <c r="J175" s="133">
        <f t="shared" si="1386"/>
        <v>29850</v>
      </c>
      <c r="K175" s="133">
        <f t="shared" si="1386"/>
        <v>32102</v>
      </c>
      <c r="L175" s="133">
        <f t="shared" si="1386"/>
        <v>36926</v>
      </c>
      <c r="M175" s="133">
        <f t="shared" si="1386"/>
        <v>38064</v>
      </c>
      <c r="N175" s="133"/>
      <c r="O175" s="133"/>
      <c r="P175" s="133"/>
      <c r="Q175" s="688"/>
      <c r="R175" s="133"/>
      <c r="S175" s="133"/>
      <c r="T175" s="339">
        <f t="shared" si="1386"/>
        <v>33926</v>
      </c>
      <c r="U175" s="197">
        <f t="shared" si="1386"/>
        <v>33926</v>
      </c>
      <c r="V175" s="197">
        <f t="shared" si="1386"/>
        <v>33926</v>
      </c>
      <c r="W175" s="197">
        <f t="shared" si="1386"/>
        <v>33926</v>
      </c>
      <c r="X175" s="688">
        <f t="shared" si="1386"/>
        <v>34405</v>
      </c>
      <c r="Y175" s="197">
        <f t="shared" ref="Y175:Z175" si="1387">Y174+Y173</f>
        <v>33926</v>
      </c>
      <c r="Z175" s="133">
        <f t="shared" si="1387"/>
        <v>34405</v>
      </c>
      <c r="AA175" s="339">
        <f t="shared" si="1386"/>
        <v>34405</v>
      </c>
      <c r="AB175" s="197">
        <f t="shared" ref="AB175:AE175" si="1388">AB174+AB173</f>
        <v>34405</v>
      </c>
      <c r="AC175" s="197">
        <f t="shared" si="1388"/>
        <v>35364</v>
      </c>
      <c r="AD175" s="197">
        <f t="shared" si="1388"/>
        <v>36072</v>
      </c>
      <c r="AE175" s="688">
        <f t="shared" si="1388"/>
        <v>38084</v>
      </c>
      <c r="AF175" s="197">
        <f t="shared" ref="AF175:AG175" si="1389">AF174+AF173</f>
        <v>35364</v>
      </c>
      <c r="AG175" s="133">
        <f t="shared" si="1389"/>
        <v>38084</v>
      </c>
      <c r="AH175" s="339">
        <f t="shared" si="1386"/>
        <v>38084</v>
      </c>
      <c r="AI175" s="197">
        <f t="shared" si="1386"/>
        <v>38718</v>
      </c>
      <c r="AJ175" s="197">
        <f t="shared" si="1386"/>
        <v>37872</v>
      </c>
      <c r="AK175" s="197">
        <f t="shared" si="1386"/>
        <v>38877</v>
      </c>
      <c r="AL175" s="688">
        <f t="shared" si="1386"/>
        <v>39829</v>
      </c>
      <c r="AM175" s="197">
        <f t="shared" ref="AM175:AN175" si="1390">AM174+AM173</f>
        <v>37872</v>
      </c>
      <c r="AN175" s="133">
        <f t="shared" si="1390"/>
        <v>39829</v>
      </c>
      <c r="AO175" s="339">
        <f t="shared" si="1386"/>
        <v>39829</v>
      </c>
      <c r="AP175" s="197">
        <f t="shared" ref="AP175:AS175" si="1391">AP174+AP173</f>
        <v>41777</v>
      </c>
      <c r="AQ175" s="197">
        <f t="shared" si="1391"/>
        <v>41925</v>
      </c>
      <c r="AR175" s="197">
        <f t="shared" si="1391"/>
        <v>42342</v>
      </c>
      <c r="AS175" s="688">
        <f t="shared" si="1391"/>
        <v>41943</v>
      </c>
      <c r="AT175" s="197">
        <f t="shared" ref="AT175:AU175" si="1392">AT174+AT173</f>
        <v>41925</v>
      </c>
      <c r="AU175" s="133">
        <f t="shared" si="1392"/>
        <v>41943</v>
      </c>
      <c r="AV175" s="339">
        <f t="shared" si="1386"/>
        <v>41943</v>
      </c>
      <c r="AW175" s="133"/>
      <c r="AX175" s="133"/>
      <c r="AY175" s="133"/>
      <c r="AZ175" s="688"/>
      <c r="BA175" s="133"/>
      <c r="BB175" s="133"/>
      <c r="BC175" s="339">
        <f t="shared" si="1386"/>
        <v>41956</v>
      </c>
      <c r="BD175" s="197">
        <f t="shared" si="1386"/>
        <v>43742</v>
      </c>
      <c r="BE175" s="197">
        <f t="shared" si="1386"/>
        <v>43467</v>
      </c>
      <c r="BF175" s="197">
        <f t="shared" si="1386"/>
        <v>43885</v>
      </c>
      <c r="BG175" s="688">
        <f t="shared" si="1386"/>
        <v>42061</v>
      </c>
      <c r="BH175" s="197">
        <f t="shared" ref="BH175:BI175" si="1393">BH174+BH173</f>
        <v>43467</v>
      </c>
      <c r="BI175" s="133">
        <f t="shared" si="1393"/>
        <v>42061</v>
      </c>
      <c r="BJ175" s="339">
        <f t="shared" si="1386"/>
        <v>42061</v>
      </c>
      <c r="BK175" s="197">
        <f t="shared" ref="BK175:BN175" si="1394">BK174+BK173</f>
        <v>42806</v>
      </c>
      <c r="BL175" s="197">
        <f t="shared" si="1394"/>
        <v>41692</v>
      </c>
      <c r="BM175" s="197">
        <f t="shared" si="1394"/>
        <v>40471</v>
      </c>
      <c r="BN175" s="688">
        <f t="shared" si="1394"/>
        <v>43406</v>
      </c>
      <c r="BO175" s="197">
        <f t="shared" ref="BO175:BP175" si="1395">BO174+BO173</f>
        <v>41692</v>
      </c>
      <c r="BP175" s="133">
        <f t="shared" si="1395"/>
        <v>43406</v>
      </c>
      <c r="BQ175" s="339">
        <f t="shared" si="1386"/>
        <v>43406</v>
      </c>
      <c r="BR175" s="197">
        <f t="shared" si="1386"/>
        <v>44149</v>
      </c>
      <c r="BS175" s="197">
        <f t="shared" si="1386"/>
        <v>45392</v>
      </c>
      <c r="BT175" s="197">
        <f t="shared" si="1386"/>
        <v>45798</v>
      </c>
      <c r="BU175" s="688">
        <f t="shared" si="1386"/>
        <v>43887</v>
      </c>
      <c r="BV175" s="197">
        <f t="shared" ref="BV175:BW175" si="1396">BV174+BV173</f>
        <v>45392</v>
      </c>
      <c r="BW175" s="133">
        <f t="shared" si="1396"/>
        <v>43887</v>
      </c>
      <c r="BX175" s="339">
        <f t="shared" si="1386"/>
        <v>43887</v>
      </c>
      <c r="BY175" s="197">
        <f t="shared" ref="BY175:CB175" si="1397">BY174+BY173</f>
        <v>43930</v>
      </c>
      <c r="BZ175" s="197">
        <f t="shared" si="1397"/>
        <v>42507</v>
      </c>
      <c r="CA175" s="197">
        <f t="shared" si="1397"/>
        <v>42846</v>
      </c>
      <c r="CB175" s="688">
        <f t="shared" si="1397"/>
        <v>42526</v>
      </c>
      <c r="CC175" s="197">
        <f t="shared" ref="CC175:CD175" si="1398">CC174+CC173</f>
        <v>42507</v>
      </c>
      <c r="CD175" s="133">
        <f t="shared" si="1398"/>
        <v>42526</v>
      </c>
      <c r="CE175" s="339">
        <f t="shared" si="1386"/>
        <v>42526</v>
      </c>
      <c r="CF175" s="197">
        <f t="shared" si="1386"/>
        <v>43717</v>
      </c>
      <c r="CG175" s="197">
        <f t="shared" si="1386"/>
        <v>45624</v>
      </c>
      <c r="CH175" s="197">
        <f t="shared" si="1386"/>
        <v>46365</v>
      </c>
      <c r="CI175" s="688">
        <f t="shared" si="1386"/>
        <v>45913</v>
      </c>
      <c r="CJ175" s="197">
        <f t="shared" ref="CJ175:CK175" si="1399">CJ174+CJ173</f>
        <v>45624</v>
      </c>
      <c r="CK175" s="133">
        <f t="shared" si="1399"/>
        <v>45913</v>
      </c>
      <c r="CL175" s="339">
        <f t="shared" si="1386"/>
        <v>45913</v>
      </c>
      <c r="CM175" s="197">
        <f t="shared" ref="CM175:CP175" si="1400">CM174+CM173</f>
        <v>47147</v>
      </c>
      <c r="CN175" s="197">
        <f t="shared" si="1400"/>
        <v>49541</v>
      </c>
      <c r="CO175" s="197">
        <f t="shared" si="1400"/>
        <v>49244</v>
      </c>
      <c r="CP175" s="688">
        <f t="shared" si="1400"/>
        <v>48498</v>
      </c>
      <c r="CQ175" s="197">
        <f t="shared" ref="CQ175:CR175" si="1401">CQ174+CQ173</f>
        <v>49541</v>
      </c>
      <c r="CR175" s="133">
        <f t="shared" si="1401"/>
        <v>48498</v>
      </c>
      <c r="CS175" s="339">
        <f t="shared" ref="CS175:CT175" si="1402">CS174+CS173</f>
        <v>48498</v>
      </c>
      <c r="CT175" s="197">
        <f t="shared" si="1402"/>
        <v>50665</v>
      </c>
      <c r="CU175" s="197">
        <f t="shared" ref="CU175:CW175" si="1403">CU174+CU173</f>
        <v>52865</v>
      </c>
      <c r="CV175" s="197">
        <f t="shared" si="1403"/>
        <v>53098</v>
      </c>
      <c r="CW175" s="688">
        <f t="shared" si="1403"/>
        <v>55708</v>
      </c>
      <c r="CX175" s="197">
        <f t="shared" ref="CX175:DC175" si="1404">CX174+CX173</f>
        <v>52865</v>
      </c>
      <c r="CY175" s="133">
        <f t="shared" si="1404"/>
        <v>55708</v>
      </c>
      <c r="CZ175" s="339">
        <f t="shared" si="1404"/>
        <v>55708</v>
      </c>
      <c r="DA175" s="197">
        <f t="shared" si="1404"/>
        <v>57543</v>
      </c>
      <c r="DB175" s="197">
        <f t="shared" si="1404"/>
        <v>57560</v>
      </c>
      <c r="DC175" s="197">
        <f t="shared" si="1404"/>
        <v>56943</v>
      </c>
      <c r="DD175" s="1884">
        <f t="shared" ref="DD175:DF175" si="1405">DD174+DD173</f>
        <v>58596</v>
      </c>
      <c r="DE175" s="197">
        <f t="shared" si="1405"/>
        <v>57560</v>
      </c>
      <c r="DF175" s="133">
        <f t="shared" si="1405"/>
        <v>58596</v>
      </c>
      <c r="DG175" s="339">
        <f t="shared" ref="DG175:DI175" si="1406">DG174+DG173</f>
        <v>58596</v>
      </c>
      <c r="DH175" s="530">
        <f t="shared" si="1406"/>
        <v>60327</v>
      </c>
      <c r="DI175" s="197">
        <f t="shared" si="1406"/>
        <v>60763</v>
      </c>
      <c r="DJ175" s="460">
        <f>DJ176*DJ154*4</f>
        <v>55935.159749792823</v>
      </c>
      <c r="DK175" s="430">
        <f t="shared" ref="DK175:DL175" si="1407">DK174+DK173</f>
        <v>60418.6078729929</v>
      </c>
      <c r="DL175" s="197">
        <f t="shared" si="1407"/>
        <v>60763</v>
      </c>
      <c r="DM175" s="1692">
        <f t="shared" ref="DM175" si="1408">DM174+DM173</f>
        <v>60418.6078729929</v>
      </c>
      <c r="DN175" s="592">
        <f t="shared" ref="DN175:EP175" si="1409">DN176*DN154</f>
        <v>60418.6078729929</v>
      </c>
      <c r="DO175" s="460">
        <f>DO176*DO154*4</f>
        <v>55692.699488036429</v>
      </c>
      <c r="DP175" s="322">
        <f t="shared" ref="DP175" si="1410">DP174+DP173</f>
        <v>58576.749219282879</v>
      </c>
      <c r="DQ175" s="460">
        <f>DQ176*DQ154*4</f>
        <v>61172.311496364055</v>
      </c>
      <c r="DR175" s="430">
        <f t="shared" ref="DR175" si="1411">DR174+DR173</f>
        <v>61863.321054551947</v>
      </c>
      <c r="DS175" s="460">
        <f>DS176*DS154*2</f>
        <v>58576.749219282879</v>
      </c>
      <c r="DT175" s="1692">
        <f t="shared" ref="DT175" si="1412">DT174+DT173</f>
        <v>61863.321054551947</v>
      </c>
      <c r="DU175" s="592">
        <f t="shared" si="1409"/>
        <v>61863.321054551947</v>
      </c>
      <c r="DV175" s="460">
        <f>DV176*DV154*4</f>
        <v>56504.418263908185</v>
      </c>
      <c r="DW175" s="322">
        <f t="shared" ref="DW175" si="1413">DW174+DW173</f>
        <v>59450.096463117261</v>
      </c>
      <c r="DX175" s="460">
        <f>DX176*DX154*4</f>
        <v>62113.853966556715</v>
      </c>
      <c r="DY175" s="430">
        <f t="shared" ref="DY175" si="1414">DY174+DY173</f>
        <v>62961.637024113414</v>
      </c>
      <c r="DZ175" s="460">
        <f>DZ176*DZ154*2</f>
        <v>59450.096463117261</v>
      </c>
      <c r="EA175" s="1692">
        <f t="shared" ref="EA175" si="1415">EA174+EA173</f>
        <v>62961.637024113414</v>
      </c>
      <c r="EB175" s="592">
        <f t="shared" si="1409"/>
        <v>62961.637024113414</v>
      </c>
      <c r="EC175" s="460">
        <f>EC176*EC154*4</f>
        <v>59677.005507785048</v>
      </c>
      <c r="ED175" s="322">
        <f t="shared" ref="ED175" si="1416">ED174+ED173</f>
        <v>61686.492623808328</v>
      </c>
      <c r="EE175" s="460">
        <f>EE176*EE154*4</f>
        <v>63403.852574431556</v>
      </c>
      <c r="EF175" s="430">
        <f t="shared" ref="EF175" si="1417">EF174+EF173</f>
        <v>64781.564058201657</v>
      </c>
      <c r="EG175" s="460">
        <f>EG176*EG154*2</f>
        <v>61686.492623808328</v>
      </c>
      <c r="EH175" s="1692">
        <f t="shared" ref="EH175" si="1418">EH174+EH173</f>
        <v>64781.564058201657</v>
      </c>
      <c r="EI175" s="592">
        <f t="shared" si="1409"/>
        <v>64781.564058201657</v>
      </c>
      <c r="EJ175" s="460">
        <f>EJ176*EJ154*4</f>
        <v>61189.475245938876</v>
      </c>
      <c r="EK175" s="322">
        <f t="shared" ref="EK175" si="1419">EK174+EK173</f>
        <v>63283.129632097007</v>
      </c>
      <c r="EL175" s="460">
        <f>EL176*EL154*4</f>
        <v>65073.877246045355</v>
      </c>
      <c r="EM175" s="430">
        <f t="shared" ref="EM175" si="1420">EM174+EM173</f>
        <v>66486.493802857163</v>
      </c>
      <c r="EN175" s="460">
        <f>EN176*EN154*2</f>
        <v>63283.129632097007</v>
      </c>
      <c r="EO175" s="1692">
        <f t="shared" ref="EO175" si="1421">EO174+EO173</f>
        <v>66486.493802857163</v>
      </c>
      <c r="EP175" s="592">
        <f t="shared" si="1409"/>
        <v>66486.493802857163</v>
      </c>
      <c r="EQ175" s="911"/>
      <c r="ER175" s="46"/>
    </row>
    <row r="176" spans="1:148" ht="10.199999999999999" customHeight="1">
      <c r="A176" s="43" t="s">
        <v>33</v>
      </c>
      <c r="B176" s="108"/>
      <c r="C176" s="157">
        <f t="shared" ref="C176:CL176" si="1422">C175/C154</f>
        <v>0.11595799844438683</v>
      </c>
      <c r="D176" s="157">
        <f t="shared" si="1422"/>
        <v>0.12134251290877797</v>
      </c>
      <c r="E176" s="157">
        <f t="shared" si="1422"/>
        <v>0.4454330307660046</v>
      </c>
      <c r="F176" s="157">
        <f t="shared" si="1422"/>
        <v>0.53277032714213568</v>
      </c>
      <c r="G176" s="157">
        <f t="shared" si="1422"/>
        <v>0.51934878531216722</v>
      </c>
      <c r="H176" s="157">
        <f t="shared" si="1422"/>
        <v>0.62965519004166348</v>
      </c>
      <c r="I176" s="157">
        <f t="shared" si="1422"/>
        <v>0.61585577256442847</v>
      </c>
      <c r="J176" s="157">
        <f t="shared" si="1422"/>
        <v>0.69707159871094293</v>
      </c>
      <c r="K176" s="157">
        <f t="shared" si="1422"/>
        <v>0.7016523867809058</v>
      </c>
      <c r="L176" s="157">
        <f t="shared" si="1422"/>
        <v>0.75162839928350433</v>
      </c>
      <c r="M176" s="157">
        <f t="shared" si="1422"/>
        <v>0.67393767705382435</v>
      </c>
      <c r="N176" s="157"/>
      <c r="O176" s="157"/>
      <c r="P176" s="157"/>
      <c r="Q176" s="1277"/>
      <c r="R176" s="157"/>
      <c r="S176" s="157"/>
      <c r="T176" s="1295">
        <f t="shared" si="1422"/>
        <v>0.58933069293171436</v>
      </c>
      <c r="U176" s="251">
        <f>U175/U154/4</f>
        <v>0.67058032890575581</v>
      </c>
      <c r="V176" s="251">
        <f>V175/V154/4</f>
        <v>0.58284084661902147</v>
      </c>
      <c r="W176" s="251">
        <f>W175/W154/4</f>
        <v>0.63785064300218097</v>
      </c>
      <c r="X176" s="1277">
        <f>X175/X154/4</f>
        <v>0.4254674515235457</v>
      </c>
      <c r="Y176" s="251">
        <f>Y175/Y154/2</f>
        <v>0.62363970588235296</v>
      </c>
      <c r="Z176" s="157">
        <f>Z175/Z154/2</f>
        <v>0.51330826843314536</v>
      </c>
      <c r="AA176" s="1295">
        <f t="shared" si="1422"/>
        <v>0.5666825885724639</v>
      </c>
      <c r="AB176" s="251">
        <f>AB175/AB154/4</f>
        <v>0.71214191091240275</v>
      </c>
      <c r="AC176" s="251">
        <f>AC175/AC154/4</f>
        <v>0.52578055307760929</v>
      </c>
      <c r="AD176" s="251">
        <f>AD175/AD154/4</f>
        <v>0.64084707220011372</v>
      </c>
      <c r="AE176" s="1277">
        <f>AE175/AE154/4</f>
        <v>0.44314638119618338</v>
      </c>
      <c r="AF176" s="251">
        <f>AF175/AF154/2</f>
        <v>0.61198214100301107</v>
      </c>
      <c r="AG176" s="157">
        <f>AG175/AG154/2</f>
        <v>0.53553449391118491</v>
      </c>
      <c r="AH176" s="1295">
        <f t="shared" si="1422"/>
        <v>0.59090768037238173</v>
      </c>
      <c r="AI176" s="251">
        <f>AI175/AI154/4</f>
        <v>0.79450874168923913</v>
      </c>
      <c r="AJ176" s="251">
        <f>AJ175/AJ154/4</f>
        <v>0.57132512671976832</v>
      </c>
      <c r="AK176" s="251">
        <f>AK175/AK154/4</f>
        <v>0.69672043010752693</v>
      </c>
      <c r="AL176" s="1277">
        <f>AL175/AL154/4</f>
        <v>0.41704012397386497</v>
      </c>
      <c r="AM176" s="251">
        <f>AM175/AM154/2</f>
        <v>0.65852895148669799</v>
      </c>
      <c r="AN176" s="157">
        <f>AN175/AN154/2</f>
        <v>0.52647649764712101</v>
      </c>
      <c r="AO176" s="1295">
        <f t="shared" si="1422"/>
        <v>0.59820369174389088</v>
      </c>
      <c r="AP176" s="251">
        <f>AP175/AP154/4</f>
        <v>0.80414613489374809</v>
      </c>
      <c r="AQ176" s="251">
        <f>AQ175/AQ154/4</f>
        <v>0.66670377202468034</v>
      </c>
      <c r="AR176" s="251">
        <f>AR175/AR154/4</f>
        <v>0.74315501263689976</v>
      </c>
      <c r="AS176" s="1277">
        <f>AS175/AS154/4</f>
        <v>0.44031872008062484</v>
      </c>
      <c r="AT176" s="251">
        <f>AT175/AT154/2</f>
        <v>0.73017172315301826</v>
      </c>
      <c r="AU176" s="157">
        <f>AU175/AU154/2</f>
        <v>0.55104051710547064</v>
      </c>
      <c r="AV176" s="1295">
        <f t="shared" si="1422"/>
        <v>0.62819955966270757</v>
      </c>
      <c r="AW176" s="157"/>
      <c r="AX176" s="157"/>
      <c r="AY176" s="157"/>
      <c r="AZ176" s="1277"/>
      <c r="BA176" s="157"/>
      <c r="BB176" s="157"/>
      <c r="BC176" s="1295">
        <f t="shared" si="1422"/>
        <v>0.71085358002100907</v>
      </c>
      <c r="BD176" s="251">
        <f>BD175/BD154/4</f>
        <v>1.0806897914813718</v>
      </c>
      <c r="BE176" s="251">
        <f>BE175/BE154/4</f>
        <v>0.73171840280115819</v>
      </c>
      <c r="BF176" s="251">
        <f>BF175/BF154/4</f>
        <v>0.71006730955925179</v>
      </c>
      <c r="BG176" s="1277">
        <f>BG175/BG154/4</f>
        <v>0.45156961264278966</v>
      </c>
      <c r="BH176" s="251">
        <f>BH175/BH154/2</f>
        <v>0.87038446135362435</v>
      </c>
      <c r="BI176" s="157">
        <f>BI175/BI154/2</f>
        <v>0.54290471642099281</v>
      </c>
      <c r="BJ176" s="1295">
        <f t="shared" si="1422"/>
        <v>0.66022572087839637</v>
      </c>
      <c r="BK176" s="251">
        <f>BK175/BK154/4</f>
        <v>0.85277711371424014</v>
      </c>
      <c r="BL176" s="251">
        <f>BL175/BL154/4</f>
        <v>0.56903423049626034</v>
      </c>
      <c r="BM176" s="251">
        <f>BM175/BM154/4</f>
        <v>0.6612044177231734</v>
      </c>
      <c r="BN176" s="1277">
        <f>BN175/BN154/4</f>
        <v>0.44638009049773758</v>
      </c>
      <c r="BO176" s="251">
        <f>BO175/BO154/2</f>
        <v>0.67537095833603322</v>
      </c>
      <c r="BP176" s="157">
        <f>BP175/BP154/2</f>
        <v>0.54788952842572958</v>
      </c>
      <c r="BQ176" s="1295">
        <f t="shared" si="1422"/>
        <v>0.61588013280740084</v>
      </c>
      <c r="BR176" s="251">
        <f>BR175/BR154/4</f>
        <v>1.0382137146082213</v>
      </c>
      <c r="BS176" s="251">
        <f>BS175/BS154/4</f>
        <v>1.3644342912107732</v>
      </c>
      <c r="BT176" s="251">
        <f>BT175/BT154/4</f>
        <v>1.0210915901186124</v>
      </c>
      <c r="BU176" s="1277">
        <f>BU175/BU154/4</f>
        <v>0.55550351880917426</v>
      </c>
      <c r="BV176" s="251">
        <f>BV175/BV154/2</f>
        <v>1.1978045176271903</v>
      </c>
      <c r="BW176" s="157">
        <f>BW175/BW154/2</f>
        <v>0.70867781940317787</v>
      </c>
      <c r="BX176" s="1295">
        <f t="shared" si="1422"/>
        <v>0.87928754608110271</v>
      </c>
      <c r="BY176" s="251">
        <f>BY175/BY154/4</f>
        <v>1.0499521988527725</v>
      </c>
      <c r="BZ176" s="251">
        <f>BZ175/BZ154/4</f>
        <v>0.7495767792903999</v>
      </c>
      <c r="CA176" s="251">
        <f>CA175/CA154/4</f>
        <v>1.0183970336565886</v>
      </c>
      <c r="CB176" s="1277">
        <f>CB175/CB154/4</f>
        <v>0.62560315405437217</v>
      </c>
      <c r="CC176" s="251">
        <f>CC175/CC154/2</f>
        <v>0.86266590899866058</v>
      </c>
      <c r="CD176" s="157">
        <f>CD175/CD154/2</f>
        <v>0.77286275079965105</v>
      </c>
      <c r="CE176" s="1295">
        <f t="shared" si="1422"/>
        <v>0.81547105409499698</v>
      </c>
      <c r="CF176" s="251">
        <f>CF175/CF154/4</f>
        <v>0.91077083333333331</v>
      </c>
      <c r="CG176" s="251">
        <f>CG175/CG154/4</f>
        <v>0.8903981264637002</v>
      </c>
      <c r="CH176" s="251">
        <f>CH175/CH154/4</f>
        <v>0.87093320309564959</v>
      </c>
      <c r="CI176" s="1277">
        <f>CI175/CI154/4</f>
        <v>0.5560090098818059</v>
      </c>
      <c r="CJ176" s="251">
        <f>CJ175/CJ154/2</f>
        <v>0.91946795646916568</v>
      </c>
      <c r="CK176" s="157">
        <f>CK175/CK154/2</f>
        <v>0.67612582098783613</v>
      </c>
      <c r="CL176" s="1295">
        <f t="shared" si="1422"/>
        <v>0.78132498340792678</v>
      </c>
      <c r="CM176" s="251">
        <f>CM175/CM154/4</f>
        <v>1.0020190427612004</v>
      </c>
      <c r="CN176" s="251">
        <f>CN175/CN154/4</f>
        <v>0.77894654088050319</v>
      </c>
      <c r="CO176" s="251">
        <f>CO175/CO154/4</f>
        <v>0.82640800161106265</v>
      </c>
      <c r="CP176" s="1277">
        <f>CP175/CP154/4</f>
        <v>0.52977803023682601</v>
      </c>
      <c r="CQ176" s="251">
        <f>CQ175/CQ154/2</f>
        <v>0.89543794960777934</v>
      </c>
      <c r="CR176" s="157">
        <f>CR175/CR154/2</f>
        <v>0.64179657517931343</v>
      </c>
      <c r="CS176" s="1295">
        <f t="shared" ref="CS176" si="1423">CS175/CS154</f>
        <v>0.74103841334840936</v>
      </c>
      <c r="CT176" s="251">
        <f>CT175/CT154/4</f>
        <v>0.98723694466095091</v>
      </c>
      <c r="CU176" s="251">
        <f>CU175/CU154/4</f>
        <v>0.82627383557361678</v>
      </c>
      <c r="CV176" s="251">
        <f>CV175/CV154/4</f>
        <v>0.84610236471413092</v>
      </c>
      <c r="CW176" s="1277">
        <f>CW175/CW154/4</f>
        <v>0.56348114581647513</v>
      </c>
      <c r="CX176" s="251">
        <f>CX175/CX154/2</f>
        <v>0.91699913269731137</v>
      </c>
      <c r="CY176" s="157">
        <f>CY175/CY154/2</f>
        <v>0.68937012745947279</v>
      </c>
      <c r="CZ176" s="1295">
        <f t="shared" ref="CZ176" si="1424">CZ175/CZ154</f>
        <v>0.80468005200057779</v>
      </c>
      <c r="DA176" s="251">
        <f>DA175/DA154/4</f>
        <v>1.0623061586176341</v>
      </c>
      <c r="DB176" s="251">
        <f>DB175/DB154/4</f>
        <v>0.89556883246203633</v>
      </c>
      <c r="DC176" s="251">
        <f>DC175/DC154/4</f>
        <v>0.79859474924267926</v>
      </c>
      <c r="DD176" s="1880">
        <f>DD175/DD154/4</f>
        <v>0.56377001231527091</v>
      </c>
      <c r="DE176" s="251">
        <f>DE175/DE154/2</f>
        <v>0.97196892941573798</v>
      </c>
      <c r="DF176" s="157">
        <f>DF175/DF154/2</f>
        <v>0.66875142661492815</v>
      </c>
      <c r="DG176" s="1295">
        <f t="shared" ref="DG176" si="1425">DG175/DG154</f>
        <v>0.79809316262598751</v>
      </c>
      <c r="DH176" s="1982">
        <f>DH175/DH154/4</f>
        <v>1.1921389613469291</v>
      </c>
      <c r="DI176" s="251">
        <f>DI175/DI154/4</f>
        <v>0.74010962241169309</v>
      </c>
      <c r="DJ176" s="1975">
        <v>0.72091496285926482</v>
      </c>
      <c r="DK176" s="450">
        <f>DK175/DK154/4</f>
        <v>0.53974364388346652</v>
      </c>
      <c r="DL176" s="251">
        <f>DL175/DL154/2</f>
        <v>0.9157674222329395</v>
      </c>
      <c r="DM176" s="810">
        <f>DM175/DM154/2</f>
        <v>0.63756726678437947</v>
      </c>
      <c r="DN176" s="1624">
        <v>0.75</v>
      </c>
      <c r="DO176" s="1709">
        <f>DU176</f>
        <v>0.69</v>
      </c>
      <c r="DP176" s="449">
        <f>DP175/DP154/4</f>
        <v>0.65762173046006422</v>
      </c>
      <c r="DQ176" s="1709">
        <f>DU176</f>
        <v>0.69</v>
      </c>
      <c r="DR176" s="450">
        <f>DR175/DR154/4</f>
        <v>0.61749242208269939</v>
      </c>
      <c r="DS176" s="1709">
        <f>DU176</f>
        <v>0.69</v>
      </c>
      <c r="DT176" s="810">
        <f>DT175/DT154/2</f>
        <v>0.65519204459521108</v>
      </c>
      <c r="DU176" s="1624">
        <v>0.69</v>
      </c>
      <c r="DV176" s="1709">
        <f>EB176</f>
        <v>0.64500000000000002</v>
      </c>
      <c r="DW176" s="449">
        <f>DW175/DW154/4</f>
        <v>0.6145498221029857</v>
      </c>
      <c r="DX176" s="1709">
        <f>EB176</f>
        <v>0.64500000000000002</v>
      </c>
      <c r="DY176" s="450">
        <f>DY175/DY154/4</f>
        <v>0.57332799478290053</v>
      </c>
      <c r="DZ176" s="1709">
        <f>EB176</f>
        <v>0.64500000000000002</v>
      </c>
      <c r="EA176" s="810">
        <f>EA175/EA154/2</f>
        <v>0.61092695363565896</v>
      </c>
      <c r="EB176" s="1624">
        <v>0.64500000000000002</v>
      </c>
      <c r="EC176" s="1709">
        <f>EI176</f>
        <v>0.63500000000000001</v>
      </c>
      <c r="ED176" s="449">
        <f>ED175/ED154/4</f>
        <v>0.61496695672337953</v>
      </c>
      <c r="EE176" s="1709">
        <f>EI176</f>
        <v>0.63500000000000001</v>
      </c>
      <c r="EF176" s="450">
        <f>EF175/EF154/4</f>
        <v>0.56857807679129946</v>
      </c>
      <c r="EG176" s="1709">
        <f>EI176</f>
        <v>0.63500000000000001</v>
      </c>
      <c r="EH176" s="810">
        <f>EH175/EH154/2</f>
        <v>0.60604496493415361</v>
      </c>
      <c r="EI176" s="1624">
        <v>0.63500000000000001</v>
      </c>
      <c r="EJ176" s="1709">
        <f>EP176</f>
        <v>0.63</v>
      </c>
      <c r="EK176" s="449">
        <f>EK175/EK154/4</f>
        <v>0.60982460772448943</v>
      </c>
      <c r="EL176" s="1709">
        <f>EP176</f>
        <v>0.63</v>
      </c>
      <c r="EM176" s="450">
        <f>EM175/EM154/4</f>
        <v>0.56370390036563267</v>
      </c>
      <c r="EN176" s="1709">
        <f>EP176</f>
        <v>0.63</v>
      </c>
      <c r="EO176" s="810">
        <f>EO175/EO154/2</f>
        <v>0.60104141856132187</v>
      </c>
      <c r="EP176" s="1624">
        <v>0.63</v>
      </c>
      <c r="EQ176" s="851"/>
      <c r="ER176" s="46"/>
    </row>
    <row r="177" spans="1:148" ht="10.199999999999999" customHeight="1">
      <c r="A177" s="43"/>
      <c r="B177" s="108"/>
      <c r="C177" s="157"/>
      <c r="D177" s="157"/>
      <c r="E177" s="157"/>
      <c r="F177" s="157"/>
      <c r="G177" s="157"/>
      <c r="H177" s="157"/>
      <c r="I177" s="157"/>
      <c r="J177" s="157"/>
      <c r="K177" s="842"/>
      <c r="L177" s="842"/>
      <c r="M177" s="842"/>
      <c r="N177" s="842"/>
      <c r="O177" s="842"/>
      <c r="P177" s="842"/>
      <c r="Q177" s="1588"/>
      <c r="R177" s="842"/>
      <c r="S177" s="842"/>
      <c r="T177" s="1606"/>
      <c r="U177" s="1686"/>
      <c r="V177" s="1686"/>
      <c r="W177" s="1686"/>
      <c r="X177" s="1588"/>
      <c r="Y177" s="1686"/>
      <c r="Z177" s="842"/>
      <c r="AA177" s="1606"/>
      <c r="AB177" s="1686"/>
      <c r="AC177" s="1686"/>
      <c r="AD177" s="1686"/>
      <c r="AE177" s="1588"/>
      <c r="AF177" s="1686"/>
      <c r="AG177" s="842"/>
      <c r="AH177" s="1606"/>
      <c r="AI177" s="1686"/>
      <c r="AJ177" s="1686"/>
      <c r="AK177" s="1686"/>
      <c r="AL177" s="1588"/>
      <c r="AM177" s="1686"/>
      <c r="AN177" s="842"/>
      <c r="AO177" s="1606"/>
      <c r="AP177" s="1686"/>
      <c r="AQ177" s="1686"/>
      <c r="AR177" s="1686"/>
      <c r="AS177" s="1588"/>
      <c r="AT177" s="1686"/>
      <c r="AU177" s="842"/>
      <c r="AV177" s="1606"/>
      <c r="AW177" s="842"/>
      <c r="AX177" s="842"/>
      <c r="AY177" s="842"/>
      <c r="AZ177" s="1588"/>
      <c r="BA177" s="842"/>
      <c r="BB177" s="842"/>
      <c r="BC177" s="1606"/>
      <c r="BD177" s="1686"/>
      <c r="BE177" s="1686"/>
      <c r="BF177" s="1686"/>
      <c r="BG177" s="1588"/>
      <c r="BH177" s="1686"/>
      <c r="BI177" s="842"/>
      <c r="BJ177" s="1606"/>
      <c r="BK177" s="1686"/>
      <c r="BL177" s="1686"/>
      <c r="BM177" s="1686"/>
      <c r="BN177" s="1588"/>
      <c r="BO177" s="1686"/>
      <c r="BP177" s="842"/>
      <c r="BQ177" s="1606"/>
      <c r="BR177" s="1686"/>
      <c r="BS177" s="1686"/>
      <c r="BT177" s="1686"/>
      <c r="BU177" s="1588"/>
      <c r="BV177" s="1686"/>
      <c r="BW177" s="842"/>
      <c r="BX177" s="1606"/>
      <c r="BY177" s="1686"/>
      <c r="BZ177" s="1686"/>
      <c r="CA177" s="1686"/>
      <c r="CB177" s="1588"/>
      <c r="CC177" s="1686"/>
      <c r="CD177" s="842"/>
      <c r="CE177" s="1606"/>
      <c r="CF177" s="1686"/>
      <c r="CG177" s="1686"/>
      <c r="CH177" s="1686"/>
      <c r="CI177" s="1588"/>
      <c r="CJ177" s="1686"/>
      <c r="CK177" s="842"/>
      <c r="CL177" s="1606"/>
      <c r="CM177" s="1686"/>
      <c r="CN177" s="1686"/>
      <c r="CO177" s="1686"/>
      <c r="CP177" s="1588"/>
      <c r="CQ177" s="1686"/>
      <c r="CR177" s="842"/>
      <c r="CS177" s="1606"/>
      <c r="CT177" s="1686"/>
      <c r="CU177" s="1686"/>
      <c r="CV177" s="1686"/>
      <c r="CW177" s="1588"/>
      <c r="CX177" s="1686"/>
      <c r="CY177" s="842"/>
      <c r="CZ177" s="1606"/>
      <c r="DA177" s="1686"/>
      <c r="DB177" s="1686"/>
      <c r="DC177" s="1686"/>
      <c r="DD177" s="1885"/>
      <c r="DE177" s="1686"/>
      <c r="DF177" s="842"/>
      <c r="DG177" s="1606"/>
      <c r="DH177" s="530"/>
      <c r="DI177" s="1686"/>
      <c r="DJ177" s="530"/>
      <c r="DK177" s="1697"/>
      <c r="DL177" s="1686"/>
      <c r="DM177" s="1694"/>
      <c r="DN177" s="1278"/>
      <c r="DO177" s="530"/>
      <c r="DP177" s="1718"/>
      <c r="DQ177" s="530"/>
      <c r="DR177" s="1697"/>
      <c r="DS177" s="530"/>
      <c r="DT177" s="1694"/>
      <c r="DU177" s="1278"/>
      <c r="DV177" s="530"/>
      <c r="DW177" s="1718"/>
      <c r="DX177" s="530"/>
      <c r="DY177" s="1697"/>
      <c r="DZ177" s="530"/>
      <c r="EA177" s="1694"/>
      <c r="EB177" s="1278"/>
      <c r="EC177" s="530"/>
      <c r="ED177" s="1718"/>
      <c r="EE177" s="530"/>
      <c r="EF177" s="1697"/>
      <c r="EG177" s="530"/>
      <c r="EH177" s="1694"/>
      <c r="EI177" s="1278"/>
      <c r="EJ177" s="530"/>
      <c r="EK177" s="1718"/>
      <c r="EL177" s="530"/>
      <c r="EM177" s="1697"/>
      <c r="EN177" s="530"/>
      <c r="EO177" s="1694"/>
      <c r="EP177" s="1278"/>
      <c r="EQ177" s="303"/>
      <c r="ER177" s="46"/>
    </row>
    <row r="178" spans="1:148" ht="10.199999999999999" customHeight="1">
      <c r="A178" s="43" t="s">
        <v>53</v>
      </c>
      <c r="B178" s="125"/>
      <c r="C178" s="133">
        <f t="shared" ref="C178:CL178" si="1426">C34</f>
        <v>2403</v>
      </c>
      <c r="D178" s="133">
        <f t="shared" si="1426"/>
        <v>2660</v>
      </c>
      <c r="E178" s="133">
        <f t="shared" si="1426"/>
        <v>2838</v>
      </c>
      <c r="F178" s="133">
        <f t="shared" si="1426"/>
        <v>3086</v>
      </c>
      <c r="G178" s="133">
        <f t="shared" si="1426"/>
        <v>2988</v>
      </c>
      <c r="H178" s="133">
        <f t="shared" si="1426"/>
        <v>1955</v>
      </c>
      <c r="I178" s="133">
        <f t="shared" si="1426"/>
        <v>2166</v>
      </c>
      <c r="J178" s="133">
        <f t="shared" si="1426"/>
        <v>2276</v>
      </c>
      <c r="K178" s="133">
        <f t="shared" si="1426"/>
        <v>2487</v>
      </c>
      <c r="L178" s="133">
        <f t="shared" si="1426"/>
        <v>0</v>
      </c>
      <c r="M178" s="133">
        <f t="shared" si="1426"/>
        <v>0</v>
      </c>
      <c r="N178" s="133"/>
      <c r="O178" s="133"/>
      <c r="P178" s="133"/>
      <c r="Q178" s="688"/>
      <c r="R178" s="133"/>
      <c r="S178" s="133"/>
      <c r="T178" s="339">
        <f t="shared" si="1426"/>
        <v>2847</v>
      </c>
      <c r="U178" s="197">
        <f t="shared" si="1426"/>
        <v>2436</v>
      </c>
      <c r="V178" s="197">
        <f t="shared" si="1426"/>
        <v>2468</v>
      </c>
      <c r="W178" s="197">
        <f t="shared" si="1426"/>
        <v>2781</v>
      </c>
      <c r="X178" s="688">
        <f t="shared" si="1426"/>
        <v>3728</v>
      </c>
      <c r="Y178" s="197">
        <f t="shared" ref="Y178:Z178" si="1427">Y34</f>
        <v>2468</v>
      </c>
      <c r="Z178" s="133">
        <f t="shared" si="1427"/>
        <v>3728</v>
      </c>
      <c r="AA178" s="339">
        <f t="shared" si="1426"/>
        <v>3728</v>
      </c>
      <c r="AB178" s="197">
        <f t="shared" ref="AB178:AE178" si="1428">AB34</f>
        <v>6385</v>
      </c>
      <c r="AC178" s="197">
        <f t="shared" si="1428"/>
        <v>3882</v>
      </c>
      <c r="AD178" s="197">
        <f t="shared" si="1428"/>
        <v>3975</v>
      </c>
      <c r="AE178" s="688">
        <f t="shared" si="1428"/>
        <v>3656</v>
      </c>
      <c r="AF178" s="197">
        <f t="shared" ref="AF178:AG178" si="1429">AF34</f>
        <v>3882</v>
      </c>
      <c r="AG178" s="133">
        <f t="shared" si="1429"/>
        <v>3656</v>
      </c>
      <c r="AH178" s="339">
        <f t="shared" si="1426"/>
        <v>3656</v>
      </c>
      <c r="AI178" s="197">
        <f t="shared" si="1426"/>
        <v>4997</v>
      </c>
      <c r="AJ178" s="197">
        <f t="shared" si="1426"/>
        <v>4432</v>
      </c>
      <c r="AK178" s="197">
        <f t="shared" si="1426"/>
        <v>4787</v>
      </c>
      <c r="AL178" s="688">
        <f t="shared" si="1426"/>
        <v>4411</v>
      </c>
      <c r="AM178" s="197">
        <f t="shared" ref="AM178:AN178" si="1430">AM34</f>
        <v>4432</v>
      </c>
      <c r="AN178" s="133">
        <f t="shared" si="1430"/>
        <v>4411</v>
      </c>
      <c r="AO178" s="339">
        <f t="shared" si="1426"/>
        <v>4411</v>
      </c>
      <c r="AP178" s="197">
        <f t="shared" ref="AP178:AS178" si="1431">AP34</f>
        <v>4288</v>
      </c>
      <c r="AQ178" s="197">
        <f t="shared" si="1431"/>
        <v>4317</v>
      </c>
      <c r="AR178" s="197">
        <f t="shared" si="1431"/>
        <v>4359</v>
      </c>
      <c r="AS178" s="688">
        <f t="shared" si="1431"/>
        <v>4015</v>
      </c>
      <c r="AT178" s="197">
        <f t="shared" ref="AT178:AU178" si="1432">AT34</f>
        <v>4317</v>
      </c>
      <c r="AU178" s="133">
        <f t="shared" si="1432"/>
        <v>4015</v>
      </c>
      <c r="AV178" s="339">
        <f t="shared" si="1426"/>
        <v>4015</v>
      </c>
      <c r="AW178" s="133"/>
      <c r="AX178" s="133"/>
      <c r="AY178" s="133"/>
      <c r="AZ178" s="688"/>
      <c r="BA178" s="133"/>
      <c r="BB178" s="133"/>
      <c r="BC178" s="339">
        <f t="shared" si="1426"/>
        <v>4015</v>
      </c>
      <c r="BD178" s="197">
        <f t="shared" si="1426"/>
        <v>5248</v>
      </c>
      <c r="BE178" s="197">
        <f t="shared" si="1426"/>
        <v>4528</v>
      </c>
      <c r="BF178" s="197">
        <f t="shared" si="1426"/>
        <v>5192</v>
      </c>
      <c r="BG178" s="688">
        <f t="shared" si="1426"/>
        <v>5720</v>
      </c>
      <c r="BH178" s="197">
        <f t="shared" ref="BH178:BI178" si="1433">BH34</f>
        <v>4528</v>
      </c>
      <c r="BI178" s="133">
        <f t="shared" si="1433"/>
        <v>5720</v>
      </c>
      <c r="BJ178" s="339">
        <f t="shared" si="1426"/>
        <v>5720</v>
      </c>
      <c r="BK178" s="197">
        <f t="shared" ref="BK178:BN178" si="1434">BK34</f>
        <v>7084</v>
      </c>
      <c r="BL178" s="197">
        <f t="shared" si="1434"/>
        <v>4817</v>
      </c>
      <c r="BM178" s="197">
        <f t="shared" si="1434"/>
        <v>4471</v>
      </c>
      <c r="BN178" s="688">
        <f t="shared" si="1434"/>
        <v>6817</v>
      </c>
      <c r="BO178" s="197">
        <f t="shared" ref="BO178:BP178" si="1435">BO34</f>
        <v>4817</v>
      </c>
      <c r="BP178" s="133">
        <f t="shared" si="1435"/>
        <v>6817</v>
      </c>
      <c r="BQ178" s="339">
        <f t="shared" si="1426"/>
        <v>6817</v>
      </c>
      <c r="BR178" s="197">
        <f t="shared" si="1426"/>
        <v>4095</v>
      </c>
      <c r="BS178" s="197">
        <f t="shared" si="1426"/>
        <v>2861</v>
      </c>
      <c r="BT178" s="197">
        <f t="shared" si="1426"/>
        <v>3184</v>
      </c>
      <c r="BU178" s="688">
        <f t="shared" si="1426"/>
        <v>3160</v>
      </c>
      <c r="BV178" s="197">
        <f t="shared" ref="BV178:BW178" si="1436">BV34</f>
        <v>2861</v>
      </c>
      <c r="BW178" s="133">
        <f t="shared" si="1436"/>
        <v>3160</v>
      </c>
      <c r="BX178" s="339">
        <f t="shared" si="1426"/>
        <v>3160</v>
      </c>
      <c r="BY178" s="197">
        <f t="shared" ref="BY178:CB178" si="1437">BY34</f>
        <v>3473</v>
      </c>
      <c r="BZ178" s="197">
        <f t="shared" si="1437"/>
        <v>3419</v>
      </c>
      <c r="CA178" s="197">
        <f t="shared" si="1437"/>
        <v>3488</v>
      </c>
      <c r="CB178" s="688">
        <f t="shared" si="1437"/>
        <v>3532</v>
      </c>
      <c r="CC178" s="197">
        <f t="shared" ref="CC178:CD178" si="1438">CC34</f>
        <v>3419</v>
      </c>
      <c r="CD178" s="133">
        <f t="shared" si="1438"/>
        <v>3532</v>
      </c>
      <c r="CE178" s="339">
        <f t="shared" si="1426"/>
        <v>3532</v>
      </c>
      <c r="CF178" s="197">
        <f t="shared" si="1426"/>
        <v>3971</v>
      </c>
      <c r="CG178" s="197">
        <f t="shared" si="1426"/>
        <v>3381</v>
      </c>
      <c r="CH178" s="197">
        <f t="shared" si="1426"/>
        <v>4005</v>
      </c>
      <c r="CI178" s="688">
        <f t="shared" si="1426"/>
        <v>3803</v>
      </c>
      <c r="CJ178" s="197">
        <f t="shared" ref="CJ178:CK178" si="1439">CJ34</f>
        <v>3381</v>
      </c>
      <c r="CK178" s="133">
        <f t="shared" si="1439"/>
        <v>3803</v>
      </c>
      <c r="CL178" s="339">
        <f t="shared" si="1426"/>
        <v>3803</v>
      </c>
      <c r="CM178" s="197">
        <f t="shared" ref="CM178:CP178" si="1440">CM34</f>
        <v>4545</v>
      </c>
      <c r="CN178" s="197">
        <f t="shared" si="1440"/>
        <v>4708</v>
      </c>
      <c r="CO178" s="197">
        <f t="shared" si="1440"/>
        <v>4345</v>
      </c>
      <c r="CP178" s="688">
        <f t="shared" si="1440"/>
        <v>3581</v>
      </c>
      <c r="CQ178" s="197">
        <f t="shared" ref="CQ178:CR178" si="1441">CQ34</f>
        <v>4708</v>
      </c>
      <c r="CR178" s="133">
        <f t="shared" si="1441"/>
        <v>3581</v>
      </c>
      <c r="CS178" s="339">
        <f t="shared" ref="CS178:CT178" si="1442">CS34</f>
        <v>3581</v>
      </c>
      <c r="CT178" s="197">
        <f t="shared" si="1442"/>
        <v>4438</v>
      </c>
      <c r="CU178" s="197">
        <f t="shared" ref="CU178:CW178" si="1443">CU34</f>
        <v>4374</v>
      </c>
      <c r="CV178" s="197">
        <f t="shared" si="1443"/>
        <v>4279</v>
      </c>
      <c r="CW178" s="688">
        <f t="shared" si="1443"/>
        <v>4097</v>
      </c>
      <c r="CX178" s="197">
        <f t="shared" ref="CX178:DC178" si="1444">CX34</f>
        <v>4374</v>
      </c>
      <c r="CY178" s="133">
        <f t="shared" si="1444"/>
        <v>4097</v>
      </c>
      <c r="CZ178" s="339">
        <f t="shared" si="1444"/>
        <v>4097</v>
      </c>
      <c r="DA178" s="197">
        <f t="shared" si="1444"/>
        <v>5032</v>
      </c>
      <c r="DB178" s="197">
        <f t="shared" si="1444"/>
        <v>4723</v>
      </c>
      <c r="DC178" s="197">
        <f t="shared" si="1444"/>
        <v>4688</v>
      </c>
      <c r="DD178" s="1884">
        <f t="shared" ref="DD178:DF178" si="1445">DD34</f>
        <v>4305</v>
      </c>
      <c r="DE178" s="197">
        <f t="shared" si="1445"/>
        <v>4723</v>
      </c>
      <c r="DF178" s="133">
        <f t="shared" si="1445"/>
        <v>4305</v>
      </c>
      <c r="DG178" s="339">
        <f t="shared" ref="DG178:DI178" si="1446">DG34</f>
        <v>4305</v>
      </c>
      <c r="DH178" s="530">
        <f t="shared" si="1446"/>
        <v>5376</v>
      </c>
      <c r="DI178" s="197">
        <f t="shared" si="1446"/>
        <v>4846</v>
      </c>
      <c r="DJ178" s="460">
        <f>DJ179*DJ154*4</f>
        <v>4655.3473819945393</v>
      </c>
      <c r="DK178" s="430">
        <f t="shared" ref="DK178:DL178" si="1447">DK34</f>
        <v>4833.4886298394313</v>
      </c>
      <c r="DL178" s="197">
        <f t="shared" si="1447"/>
        <v>4846</v>
      </c>
      <c r="DM178" s="1692">
        <f t="shared" ref="DM178" si="1448">DM34</f>
        <v>4833.4886298394313</v>
      </c>
      <c r="DN178" s="592">
        <f t="shared" ref="DN178:EP178" si="1449">DN179*DN154</f>
        <v>4833.4886298394313</v>
      </c>
      <c r="DO178" s="460">
        <f>DO179*DO154*4</f>
        <v>4842.8434337422987</v>
      </c>
      <c r="DP178" s="322">
        <f t="shared" ref="DP178" si="1450">DP34</f>
        <v>5093.6303668941637</v>
      </c>
      <c r="DQ178" s="460">
        <f>DQ179*DQ154*4</f>
        <v>5319.3314344664395</v>
      </c>
      <c r="DR178" s="430">
        <f t="shared" ref="DR178" si="1451">DR34</f>
        <v>5379.4192221349522</v>
      </c>
      <c r="DS178" s="460">
        <f>DS179*DS154*2</f>
        <v>5093.6303668941637</v>
      </c>
      <c r="DT178" s="1692">
        <f t="shared" ref="DT178" si="1452">DT34</f>
        <v>5379.4192221349522</v>
      </c>
      <c r="DU178" s="592">
        <f t="shared" si="1449"/>
        <v>5379.4192221349522</v>
      </c>
      <c r="DV178" s="460">
        <f>DV179*DV154*4</f>
        <v>5256.2249547821566</v>
      </c>
      <c r="DW178" s="322">
        <f t="shared" ref="DW178" si="1453">DW34</f>
        <v>5530.241531452768</v>
      </c>
      <c r="DX178" s="460">
        <f>DX179*DX154*4</f>
        <v>5778.0329271215551</v>
      </c>
      <c r="DY178" s="430">
        <f t="shared" ref="DY178" si="1454">DY34</f>
        <v>5856.8964673593873</v>
      </c>
      <c r="DZ178" s="460">
        <f>DZ179*DZ154*2</f>
        <v>5530.241531452768</v>
      </c>
      <c r="EA178" s="1692">
        <f t="shared" ref="EA178" si="1455">EA34</f>
        <v>5856.8964673593873</v>
      </c>
      <c r="EB178" s="592">
        <f t="shared" si="1449"/>
        <v>5856.8964673593873</v>
      </c>
      <c r="EC178" s="460">
        <f>EC179*EC154*4</f>
        <v>5638.772173963941</v>
      </c>
      <c r="ED178" s="322">
        <f t="shared" ref="ED178" si="1456">ED34</f>
        <v>5828.6449723283458</v>
      </c>
      <c r="EE178" s="460">
        <f>EE179*EE154*4</f>
        <v>5990.9152038832963</v>
      </c>
      <c r="EF178" s="430">
        <f t="shared" ref="EF178" si="1457">EF34</f>
        <v>6121.092666916692</v>
      </c>
      <c r="EG178" s="460">
        <f>EG179*EG154*2</f>
        <v>5828.6449723283458</v>
      </c>
      <c r="EH178" s="1692">
        <f t="shared" ref="EH178" si="1458">EH34</f>
        <v>6121.092666916692</v>
      </c>
      <c r="EI178" s="592">
        <f t="shared" si="1449"/>
        <v>6121.092666916692</v>
      </c>
      <c r="EJ178" s="460">
        <f>EJ179*EJ154*4</f>
        <v>5827.5690710417975</v>
      </c>
      <c r="EK178" s="322">
        <f t="shared" ref="EK178" si="1459">EK34</f>
        <v>6026.9647268663812</v>
      </c>
      <c r="EL178" s="460">
        <f>EL179*EL154*4</f>
        <v>6197.5121186709857</v>
      </c>
      <c r="EM178" s="430">
        <f t="shared" ref="EM178" si="1460">EM34</f>
        <v>6332.0470288435399</v>
      </c>
      <c r="EN178" s="460">
        <f>EN179*EN154*2</f>
        <v>6026.9647268663812</v>
      </c>
      <c r="EO178" s="1692">
        <f t="shared" ref="EO178" si="1461">EO34</f>
        <v>6332.0470288435399</v>
      </c>
      <c r="EP178" s="592">
        <f t="shared" si="1449"/>
        <v>6332.0470288435399</v>
      </c>
      <c r="EQ178" s="912"/>
      <c r="ER178" s="46"/>
    </row>
    <row r="179" spans="1:148" ht="10.199999999999999" customHeight="1">
      <c r="A179" s="43" t="s">
        <v>34</v>
      </c>
      <c r="B179" s="191"/>
      <c r="C179" s="157">
        <f t="shared" ref="C179:CL179" si="1462">C178/C154</f>
        <v>7.7877884366087627E-2</v>
      </c>
      <c r="D179" s="157">
        <f t="shared" si="1462"/>
        <v>8.4783578759482378E-2</v>
      </c>
      <c r="E179" s="157">
        <f t="shared" si="1462"/>
        <v>8.501842365417453E-2</v>
      </c>
      <c r="F179" s="157">
        <f t="shared" si="1462"/>
        <v>8.6583244486841363E-2</v>
      </c>
      <c r="G179" s="157">
        <f t="shared" si="1462"/>
        <v>7.5772176294568144E-2</v>
      </c>
      <c r="H179" s="157">
        <f t="shared" si="1462"/>
        <v>4.9970605526161081E-2</v>
      </c>
      <c r="I179" s="157">
        <f t="shared" si="1462"/>
        <v>5.0063561770484225E-2</v>
      </c>
      <c r="J179" s="157">
        <f t="shared" si="1462"/>
        <v>5.3150249871561348E-2</v>
      </c>
      <c r="K179" s="157">
        <f t="shared" si="1462"/>
        <v>5.4358279419478933E-2</v>
      </c>
      <c r="L179" s="157">
        <f t="shared" si="1462"/>
        <v>0</v>
      </c>
      <c r="M179" s="157">
        <f t="shared" si="1462"/>
        <v>0</v>
      </c>
      <c r="N179" s="157"/>
      <c r="O179" s="157"/>
      <c r="P179" s="157"/>
      <c r="Q179" s="1277"/>
      <c r="R179" s="157"/>
      <c r="S179" s="157"/>
      <c r="T179" s="1295">
        <f t="shared" si="1462"/>
        <v>4.9455417166084738E-2</v>
      </c>
      <c r="U179" s="251">
        <f>U178/U154/4</f>
        <v>4.8149905123339658E-2</v>
      </c>
      <c r="V179" s="251">
        <f>V178/V154/4</f>
        <v>4.2399670148433204E-2</v>
      </c>
      <c r="W179" s="251">
        <f>W178/W154/4</f>
        <v>5.2286229976686471E-2</v>
      </c>
      <c r="X179" s="1277">
        <f>X178/X154/4</f>
        <v>4.6102097348634748E-2</v>
      </c>
      <c r="Y179" s="251">
        <f>Y178/Y154/2</f>
        <v>4.5367647058823526E-2</v>
      </c>
      <c r="Z179" s="157">
        <f>Z178/Z154/2</f>
        <v>5.5620207083818221E-2</v>
      </c>
      <c r="AA179" s="1295">
        <f t="shared" si="1462"/>
        <v>6.1403653253833609E-2</v>
      </c>
      <c r="AB179" s="251">
        <f>AB178/AB154/4</f>
        <v>0.13216178175194568</v>
      </c>
      <c r="AC179" s="251">
        <f>AC178/AC154/4</f>
        <v>5.7716324710080286E-2</v>
      </c>
      <c r="AD179" s="251">
        <f>AD178/AD154/4</f>
        <v>7.0618959636156914E-2</v>
      </c>
      <c r="AE179" s="1277">
        <f>AE178/AE154/4</f>
        <v>4.2541307889225041E-2</v>
      </c>
      <c r="AF179" s="251">
        <f>AF178/AF154/2</f>
        <v>6.7178901464022431E-2</v>
      </c>
      <c r="AG179" s="157">
        <f>AG178/AG154/2</f>
        <v>5.141041145203476E-2</v>
      </c>
      <c r="AH179" s="1295">
        <f t="shared" si="1462"/>
        <v>5.6726144297905352E-2</v>
      </c>
      <c r="AI179" s="251">
        <f>AI178/AI154/4</f>
        <v>0.10254042518263154</v>
      </c>
      <c r="AJ179" s="251">
        <f>AJ178/AJ154/4</f>
        <v>6.6859763456432533E-2</v>
      </c>
      <c r="AK179" s="251">
        <f>AK178/AK154/4</f>
        <v>8.5788530465949822E-2</v>
      </c>
      <c r="AL179" s="1277">
        <f>AL178/AL154/4</f>
        <v>4.6186547160328363E-2</v>
      </c>
      <c r="AM179" s="251">
        <f>AM178/AM154/2</f>
        <v>7.7064858285515556E-2</v>
      </c>
      <c r="AN179" s="157">
        <f>AN178/AN154/2</f>
        <v>5.8306455876910059E-2</v>
      </c>
      <c r="AO179" s="1295">
        <f t="shared" si="1462"/>
        <v>6.6250131418873245E-2</v>
      </c>
      <c r="AP179" s="251">
        <f>AP178/AP154/4</f>
        <v>8.2537727132737909E-2</v>
      </c>
      <c r="AQ179" s="251">
        <f>AQ178/AQ154/4</f>
        <v>6.865021309077031E-2</v>
      </c>
      <c r="AR179" s="251">
        <f>AR178/AR154/4</f>
        <v>7.650589721988206E-2</v>
      </c>
      <c r="AS179" s="1277">
        <f>AS178/AS154/4</f>
        <v>4.2149575879734613E-2</v>
      </c>
      <c r="AT179" s="251">
        <f>AT178/AT154/2</f>
        <v>7.5185481904629217E-2</v>
      </c>
      <c r="AU179" s="157">
        <f>AU178/AU154/2</f>
        <v>5.2748436596773349E-2</v>
      </c>
      <c r="AV179" s="1295">
        <f t="shared" si="1462"/>
        <v>6.0134497581140381E-2</v>
      </c>
      <c r="AW179" s="157"/>
      <c r="AX179" s="157"/>
      <c r="AY179" s="157"/>
      <c r="AZ179" s="1277"/>
      <c r="BA179" s="157"/>
      <c r="BB179" s="157"/>
      <c r="BC179" s="1295">
        <f t="shared" si="1462"/>
        <v>6.8025482023652203E-2</v>
      </c>
      <c r="BD179" s="251">
        <f>BD178/BD154/4</f>
        <v>0.12965708073920348</v>
      </c>
      <c r="BE179" s="251">
        <f>BE178/BE154/4</f>
        <v>7.6223823311561509E-2</v>
      </c>
      <c r="BF179" s="251">
        <f>BF178/BF154/4</f>
        <v>8.4007507604685783E-2</v>
      </c>
      <c r="BG179" s="1277">
        <f>BG178/BG154/4</f>
        <v>6.1410289444301297E-2</v>
      </c>
      <c r="BH179" s="251">
        <f>BH178/BH154/2</f>
        <v>9.066880256307569E-2</v>
      </c>
      <c r="BI179" s="157">
        <f>BI178/BI154/2</f>
        <v>7.3831220796654357E-2</v>
      </c>
      <c r="BJ179" s="1295">
        <f t="shared" si="1462"/>
        <v>8.9786051768251524E-2</v>
      </c>
      <c r="BK179" s="251">
        <f>BK178/BK154/4</f>
        <v>0.14112678301059844</v>
      </c>
      <c r="BL179" s="251">
        <f>BL178/BL154/4</f>
        <v>6.5744936397881745E-2</v>
      </c>
      <c r="BM179" s="251">
        <f>BM178/BM154/4</f>
        <v>7.304600705790093E-2</v>
      </c>
      <c r="BN179" s="1277">
        <f>BN178/BN154/4</f>
        <v>7.0104895104895107E-2</v>
      </c>
      <c r="BO179" s="251">
        <f>BO178/BO154/2</f>
        <v>7.8030842998768876E-2</v>
      </c>
      <c r="BP179" s="157">
        <f>BP178/BP154/2</f>
        <v>8.6047157427042317E-2</v>
      </c>
      <c r="BQ179" s="1295">
        <f t="shared" si="1462"/>
        <v>9.6725219217344421E-2</v>
      </c>
      <c r="BR179" s="251">
        <f>BR178/BR154/4</f>
        <v>9.6298560812717524E-2</v>
      </c>
      <c r="BS179" s="251">
        <f>BS178/BS154/4</f>
        <v>8.5998557172057233E-2</v>
      </c>
      <c r="BT179" s="251">
        <f>BT178/BT154/4</f>
        <v>7.0989030589494337E-2</v>
      </c>
      <c r="BU179" s="1277">
        <f>BU178/BU154/4</f>
        <v>3.9997974786086778E-2</v>
      </c>
      <c r="BV179" s="251">
        <f>BV178/BV154/2</f>
        <v>7.5496094574625291E-2</v>
      </c>
      <c r="BW179" s="157">
        <f>BW178/BW154/2</f>
        <v>5.1026999095724064E-2</v>
      </c>
      <c r="BX179" s="1295">
        <f t="shared" si="1462"/>
        <v>6.3311428113479729E-2</v>
      </c>
      <c r="BY179" s="251">
        <f>BY178/BY154/4</f>
        <v>8.300669216061185E-2</v>
      </c>
      <c r="BZ179" s="251">
        <f>BZ178/BZ154/4</f>
        <v>6.0291316921774703E-2</v>
      </c>
      <c r="CA179" s="251">
        <f>CA178/CA154/4</f>
        <v>8.2905495341319649E-2</v>
      </c>
      <c r="CB179" s="1277">
        <f>CB178/CB154/4</f>
        <v>5.1959515122984586E-2</v>
      </c>
      <c r="CC179" s="251">
        <f>CC178/CC154/2</f>
        <v>6.9387506595770587E-2</v>
      </c>
      <c r="CD179" s="157">
        <f>CD178/CD154/2</f>
        <v>6.4190171561500434E-2</v>
      </c>
      <c r="CE179" s="1295">
        <f t="shared" si="1462"/>
        <v>6.7729007267636962E-2</v>
      </c>
      <c r="CF179" s="251">
        <f>CF178/CF154/4</f>
        <v>8.2729166666666673E-2</v>
      </c>
      <c r="CG179" s="251">
        <f>CG178/CG154/4</f>
        <v>6.5983606557377047E-2</v>
      </c>
      <c r="CH179" s="251">
        <f>CH178/CH154/4</f>
        <v>7.5231046660154788E-2</v>
      </c>
      <c r="CI179" s="1277">
        <f>CI178/CI154/4</f>
        <v>4.6054543693082733E-2</v>
      </c>
      <c r="CJ179" s="251">
        <f>CJ178/CJ154/2</f>
        <v>6.8137847642079807E-2</v>
      </c>
      <c r="CK179" s="157">
        <f>CK178/CK154/2</f>
        <v>5.6003887727152236E-2</v>
      </c>
      <c r="CL179" s="1295">
        <f t="shared" si="1462"/>
        <v>6.4717594404642378E-2</v>
      </c>
      <c r="CM179" s="251">
        <f>CM178/CM154/4</f>
        <v>9.659525631216527E-2</v>
      </c>
      <c r="CN179" s="251">
        <f>CN178/CN154/4</f>
        <v>7.4025157232704406E-2</v>
      </c>
      <c r="CO179" s="251">
        <f>CO178/CO154/4</f>
        <v>7.2917365912599855E-2</v>
      </c>
      <c r="CP179" s="1277">
        <f>CP178/CP154/4</f>
        <v>3.9117801275889187E-2</v>
      </c>
      <c r="CQ179" s="251">
        <f>CQ178/CQ154/2</f>
        <v>8.5095615081516834E-2</v>
      </c>
      <c r="CR179" s="157">
        <f>CR178/CR154/2</f>
        <v>4.7389037397771484E-2</v>
      </c>
      <c r="CS179" s="1295">
        <f t="shared" ref="CS179" si="1463">CS178/CS154</f>
        <v>5.4716865813036704E-2</v>
      </c>
      <c r="CT179" s="251">
        <f>CT178/CT154/4</f>
        <v>8.6477007014809038E-2</v>
      </c>
      <c r="CU179" s="251">
        <f>CU178/CU154/4</f>
        <v>6.8365114098155669E-2</v>
      </c>
      <c r="CV179" s="251">
        <f>CV178/CV154/4</f>
        <v>6.818471540569826E-2</v>
      </c>
      <c r="CW179" s="1277">
        <f>CW178/CW154/4</f>
        <v>4.144076711441981E-2</v>
      </c>
      <c r="CX179" s="251">
        <f>CX178/CX154/2</f>
        <v>7.5871639202081523E-2</v>
      </c>
      <c r="CY179" s="157">
        <f>CY178/CY154/2</f>
        <v>5.0699170894691253E-2</v>
      </c>
      <c r="CZ179" s="1295">
        <f t="shared" ref="CZ179" si="1464">CZ178/CZ154</f>
        <v>5.917954643940488E-2</v>
      </c>
      <c r="DA179" s="251">
        <f>DA178/DA154/4</f>
        <v>9.2896174863387984E-2</v>
      </c>
      <c r="DB179" s="251">
        <f>DB178/DB154/4</f>
        <v>7.3484565596216078E-2</v>
      </c>
      <c r="DC179" s="251">
        <f>DC178/DC154/4</f>
        <v>6.5746662178839899E-2</v>
      </c>
      <c r="DD179" s="1880">
        <f>DD178/DD154/4</f>
        <v>4.1419719827586209E-2</v>
      </c>
      <c r="DE179" s="251">
        <f>DE178/DE154/2</f>
        <v>7.9753461668355285E-2</v>
      </c>
      <c r="DF179" s="157">
        <f>DF178/DF154/2</f>
        <v>4.9132618123716047E-2</v>
      </c>
      <c r="DG179" s="1295">
        <f t="shared" ref="DG179" si="1465">DG178/DG154</f>
        <v>5.863524925088532E-2</v>
      </c>
      <c r="DH179" s="1982">
        <f>DH178/DH154/4</f>
        <v>0.10623666113350723</v>
      </c>
      <c r="DI179" s="251">
        <f>DI178/DI154/4</f>
        <v>5.902557856272838E-2</v>
      </c>
      <c r="DJ179" s="1975">
        <v>0.06</v>
      </c>
      <c r="DK179" s="450">
        <f>DK178/DK154/4</f>
        <v>4.3179491510677313E-2</v>
      </c>
      <c r="DL179" s="251">
        <f>DL178/DL154/2</f>
        <v>7.3034723896792858E-2</v>
      </c>
      <c r="DM179" s="810">
        <f>DM178/DM154/2</f>
        <v>5.1005381342750351E-2</v>
      </c>
      <c r="DN179" s="1624">
        <v>0.06</v>
      </c>
      <c r="DO179" s="1709">
        <f>DU179</f>
        <v>0.06</v>
      </c>
      <c r="DP179" s="449">
        <f>DP178/DP154/4</f>
        <v>5.7184498300875151E-2</v>
      </c>
      <c r="DQ179" s="1709">
        <f>DU179</f>
        <v>0.06</v>
      </c>
      <c r="DR179" s="450">
        <f>DR178/DR154/4</f>
        <v>5.3694993224582564E-2</v>
      </c>
      <c r="DS179" s="1709">
        <f>DU179</f>
        <v>0.06</v>
      </c>
      <c r="DT179" s="810">
        <f>DT178/DT154/2</f>
        <v>5.6973221269148791E-2</v>
      </c>
      <c r="DU179" s="1665">
        <f>DN179</f>
        <v>0.06</v>
      </c>
      <c r="DV179" s="1709">
        <f>EB179</f>
        <v>0.06</v>
      </c>
      <c r="DW179" s="449">
        <f>DW178/DW154/4</f>
        <v>5.7167425311905641E-2</v>
      </c>
      <c r="DX179" s="1709">
        <f>EB179</f>
        <v>0.06</v>
      </c>
      <c r="DY179" s="450">
        <f>DY178/DY154/4</f>
        <v>5.3332836723990751E-2</v>
      </c>
      <c r="DZ179" s="1709">
        <f>EB179</f>
        <v>0.06</v>
      </c>
      <c r="EA179" s="810">
        <f>EA178/EA154/2</f>
        <v>5.683041429168921E-2</v>
      </c>
      <c r="EB179" s="1665">
        <f>DU179</f>
        <v>0.06</v>
      </c>
      <c r="EC179" s="1709">
        <f>EI179</f>
        <v>0.06</v>
      </c>
      <c r="ED179" s="449">
        <f>ED178/ED154/4</f>
        <v>5.8107114021106729E-2</v>
      </c>
      <c r="EE179" s="1709">
        <f>EI179</f>
        <v>0.06</v>
      </c>
      <c r="EF179" s="450">
        <f>EF178/EF154/4</f>
        <v>5.372391276768184E-2</v>
      </c>
      <c r="EG179" s="1709">
        <f>EI179</f>
        <v>0.06</v>
      </c>
      <c r="EH179" s="810">
        <f>EH178/EH154/2</f>
        <v>5.7264091174880662E-2</v>
      </c>
      <c r="EI179" s="1665">
        <f>EB179</f>
        <v>0.06</v>
      </c>
      <c r="EJ179" s="1709">
        <f>EP179</f>
        <v>0.06</v>
      </c>
      <c r="EK179" s="449">
        <f>EK178/EK154/4</f>
        <v>5.8078534068998988E-2</v>
      </c>
      <c r="EL179" s="1709">
        <f>EP179</f>
        <v>0.06</v>
      </c>
      <c r="EM179" s="450">
        <f>EM178/EM154/4</f>
        <v>5.3686085749107881E-2</v>
      </c>
      <c r="EN179" s="1709">
        <f>EP179</f>
        <v>0.06</v>
      </c>
      <c r="EO179" s="810">
        <f>EO178/EO154/2</f>
        <v>5.7242039862983041E-2</v>
      </c>
      <c r="EP179" s="1665">
        <f t="shared" ref="EP179" si="1466">EI179</f>
        <v>0.06</v>
      </c>
      <c r="EQ179" s="912"/>
      <c r="ER179" s="46"/>
    </row>
    <row r="180" spans="1:148" ht="10.199999999999999" customHeight="1">
      <c r="A180" s="43"/>
      <c r="B180" s="191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717"/>
      <c r="R180" s="223"/>
      <c r="S180" s="223"/>
      <c r="T180" s="1270"/>
      <c r="U180" s="223"/>
      <c r="V180" s="223"/>
      <c r="W180" s="223"/>
      <c r="X180" s="717"/>
      <c r="Y180" s="223"/>
      <c r="Z180" s="223"/>
      <c r="AA180" s="1270"/>
      <c r="AB180" s="223"/>
      <c r="AC180" s="223"/>
      <c r="AD180" s="223"/>
      <c r="AE180" s="717"/>
      <c r="AF180" s="223"/>
      <c r="AG180" s="223"/>
      <c r="AH180" s="1270"/>
      <c r="AI180" s="223"/>
      <c r="AJ180" s="223"/>
      <c r="AK180" s="223"/>
      <c r="AL180" s="717"/>
      <c r="AM180" s="223"/>
      <c r="AN180" s="223"/>
      <c r="AO180" s="1270"/>
      <c r="AP180" s="223"/>
      <c r="AQ180" s="223"/>
      <c r="AR180" s="223"/>
      <c r="AS180" s="717"/>
      <c r="AT180" s="223"/>
      <c r="AU180" s="223"/>
      <c r="AV180" s="1270"/>
      <c r="AW180" s="223"/>
      <c r="AX180" s="223"/>
      <c r="AY180" s="223"/>
      <c r="AZ180" s="717"/>
      <c r="BA180" s="223"/>
      <c r="BB180" s="223"/>
      <c r="BC180" s="1270"/>
      <c r="BD180" s="223"/>
      <c r="BE180" s="223"/>
      <c r="BF180" s="223"/>
      <c r="BG180" s="717"/>
      <c r="BH180" s="223"/>
      <c r="BI180" s="223"/>
      <c r="BJ180" s="1270"/>
      <c r="BK180" s="223"/>
      <c r="BL180" s="223"/>
      <c r="BM180" s="223"/>
      <c r="BN180" s="717"/>
      <c r="BO180" s="223"/>
      <c r="BP180" s="223"/>
      <c r="BQ180" s="1270"/>
      <c r="BR180" s="223"/>
      <c r="BS180" s="223"/>
      <c r="BT180" s="223"/>
      <c r="BU180" s="717"/>
      <c r="BV180" s="223"/>
      <c r="BW180" s="223"/>
      <c r="BX180" s="1270"/>
      <c r="BY180" s="223"/>
      <c r="BZ180" s="223"/>
      <c r="CA180" s="223"/>
      <c r="CB180" s="717"/>
      <c r="CC180" s="223"/>
      <c r="CD180" s="223"/>
      <c r="CE180" s="1270"/>
      <c r="CF180" s="223"/>
      <c r="CG180" s="223"/>
      <c r="CH180" s="223"/>
      <c r="CI180" s="717"/>
      <c r="CJ180" s="223"/>
      <c r="CK180" s="223"/>
      <c r="CL180" s="1270"/>
      <c r="CM180" s="223"/>
      <c r="CN180" s="223"/>
      <c r="CO180" s="223"/>
      <c r="CP180" s="717"/>
      <c r="CQ180" s="223"/>
      <c r="CR180" s="223"/>
      <c r="CS180" s="1270"/>
      <c r="CT180" s="223"/>
      <c r="CU180" s="223"/>
      <c r="CV180" s="223"/>
      <c r="CW180" s="717"/>
      <c r="CX180" s="223"/>
      <c r="CY180" s="223"/>
      <c r="CZ180" s="1270"/>
      <c r="DA180" s="530"/>
      <c r="DB180" s="530"/>
      <c r="DC180" s="223"/>
      <c r="DD180" s="1886"/>
      <c r="DE180" s="223"/>
      <c r="DF180" s="223"/>
      <c r="DG180" s="1270"/>
      <c r="DH180" s="870"/>
      <c r="DI180" s="530"/>
      <c r="DJ180" s="460">
        <f>CFS!DJ60</f>
        <v>747.38892670695463</v>
      </c>
      <c r="DK180" s="444"/>
      <c r="DL180" s="223"/>
      <c r="DM180" s="321"/>
      <c r="DN180" s="1278"/>
      <c r="DO180" s="870"/>
      <c r="DP180" s="321"/>
      <c r="DQ180" s="870"/>
      <c r="DR180" s="444"/>
      <c r="DS180" s="870"/>
      <c r="DT180" s="321"/>
      <c r="DU180" s="1278"/>
      <c r="DV180" s="870"/>
      <c r="DW180" s="321"/>
      <c r="DX180" s="870"/>
      <c r="DY180" s="444"/>
      <c r="DZ180" s="870"/>
      <c r="EA180" s="321"/>
      <c r="EB180" s="1278"/>
      <c r="EC180" s="870"/>
      <c r="ED180" s="321"/>
      <c r="EE180" s="870"/>
      <c r="EF180" s="444"/>
      <c r="EG180" s="870"/>
      <c r="EH180" s="321"/>
      <c r="EI180" s="1278"/>
      <c r="EJ180" s="870"/>
      <c r="EK180" s="321"/>
      <c r="EL180" s="870"/>
      <c r="EM180" s="444"/>
      <c r="EN180" s="870"/>
      <c r="EO180" s="321"/>
      <c r="EP180" s="1278"/>
      <c r="EQ180" s="303"/>
      <c r="ER180" s="46"/>
    </row>
    <row r="181" spans="1:148" ht="10.199999999999999" customHeight="1">
      <c r="A181" s="43"/>
      <c r="B181" s="191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717"/>
      <c r="R181" s="223"/>
      <c r="S181" s="223"/>
      <c r="T181" s="1270"/>
      <c r="U181" s="223"/>
      <c r="V181" s="223"/>
      <c r="W181" s="223"/>
      <c r="X181" s="717"/>
      <c r="Y181" s="223"/>
      <c r="Z181" s="223"/>
      <c r="AA181" s="1270"/>
      <c r="AB181" s="223"/>
      <c r="AC181" s="223"/>
      <c r="AD181" s="223"/>
      <c r="AE181" s="717"/>
      <c r="AF181" s="223"/>
      <c r="AG181" s="223"/>
      <c r="AH181" s="1270"/>
      <c r="AI181" s="223"/>
      <c r="AJ181" s="223"/>
      <c r="AK181" s="223"/>
      <c r="AL181" s="717"/>
      <c r="AM181" s="223"/>
      <c r="AN181" s="223"/>
      <c r="AO181" s="1270"/>
      <c r="AP181" s="223"/>
      <c r="AQ181" s="223"/>
      <c r="AR181" s="223"/>
      <c r="AS181" s="717"/>
      <c r="AT181" s="223"/>
      <c r="AU181" s="223"/>
      <c r="AV181" s="1270"/>
      <c r="AW181" s="223"/>
      <c r="AX181" s="223"/>
      <c r="AY181" s="223"/>
      <c r="AZ181" s="717"/>
      <c r="BA181" s="223"/>
      <c r="BB181" s="223"/>
      <c r="BC181" s="1270"/>
      <c r="BD181" s="223"/>
      <c r="BE181" s="223"/>
      <c r="BF181" s="223"/>
      <c r="BG181" s="717"/>
      <c r="BH181" s="223"/>
      <c r="BI181" s="223"/>
      <c r="BJ181" s="1270"/>
      <c r="BK181" s="223"/>
      <c r="BL181" s="223"/>
      <c r="BM181" s="223"/>
      <c r="BN181" s="717"/>
      <c r="BO181" s="223"/>
      <c r="BP181" s="223"/>
      <c r="BQ181" s="1270"/>
      <c r="BR181" s="223"/>
      <c r="BS181" s="223"/>
      <c r="BT181" s="223"/>
      <c r="BU181" s="717"/>
      <c r="BV181" s="223"/>
      <c r="BW181" s="223"/>
      <c r="BX181" s="1270"/>
      <c r="BY181" s="223"/>
      <c r="BZ181" s="223"/>
      <c r="CA181" s="223"/>
      <c r="CB181" s="717"/>
      <c r="CC181" s="223"/>
      <c r="CD181" s="223"/>
      <c r="CE181" s="1270"/>
      <c r="CF181" s="223"/>
      <c r="CG181" s="223"/>
      <c r="CH181" s="223"/>
      <c r="CI181" s="717"/>
      <c r="CJ181" s="223"/>
      <c r="CK181" s="223"/>
      <c r="CL181" s="1270"/>
      <c r="CM181" s="223"/>
      <c r="CN181" s="223"/>
      <c r="CO181" s="223"/>
      <c r="CP181" s="717"/>
      <c r="CQ181" s="223"/>
      <c r="CR181" s="223"/>
      <c r="CS181" s="1270"/>
      <c r="CT181" s="223"/>
      <c r="CU181" s="223"/>
      <c r="CV181" s="223"/>
      <c r="CW181" s="717"/>
      <c r="CX181" s="223"/>
      <c r="CY181" s="223"/>
      <c r="CZ181" s="1270"/>
      <c r="DA181" s="223"/>
      <c r="DB181" s="223"/>
      <c r="DC181" s="223"/>
      <c r="DD181" s="1887"/>
      <c r="DE181" s="223"/>
      <c r="DF181" s="223"/>
      <c r="DG181" s="1270"/>
      <c r="DH181" s="530"/>
      <c r="DI181" s="223"/>
      <c r="DJ181" s="530"/>
      <c r="DK181" s="444"/>
      <c r="DL181" s="223"/>
      <c r="DM181" s="321"/>
      <c r="DN181" s="1279"/>
      <c r="DO181" s="530"/>
      <c r="DP181" s="321"/>
      <c r="DQ181" s="530"/>
      <c r="DR181" s="444"/>
      <c r="DS181" s="530"/>
      <c r="DT181" s="321"/>
      <c r="DU181" s="1279"/>
      <c r="DV181" s="530"/>
      <c r="DW181" s="321"/>
      <c r="DX181" s="530"/>
      <c r="DY181" s="444"/>
      <c r="DZ181" s="530"/>
      <c r="EA181" s="321"/>
      <c r="EB181" s="1279"/>
      <c r="EC181" s="530"/>
      <c r="ED181" s="321"/>
      <c r="EE181" s="530"/>
      <c r="EF181" s="444"/>
      <c r="EG181" s="530"/>
      <c r="EH181" s="321"/>
      <c r="EI181" s="1279"/>
      <c r="EJ181" s="530"/>
      <c r="EK181" s="321"/>
      <c r="EL181" s="530"/>
      <c r="EM181" s="444"/>
      <c r="EN181" s="530"/>
      <c r="EO181" s="321"/>
      <c r="EP181" s="1279"/>
      <c r="EQ181" s="2069"/>
      <c r="ER181" s="46"/>
    </row>
    <row r="182" spans="1:148" ht="10.199999999999999" customHeight="1">
      <c r="A182" s="43" t="s">
        <v>224</v>
      </c>
      <c r="B182" s="191"/>
      <c r="C182" s="223"/>
      <c r="D182" s="197">
        <f t="shared" ref="D182:CL182" si="1467">D188-(D185+D186)</f>
        <v>-947</v>
      </c>
      <c r="E182" s="197">
        <f t="shared" si="1467"/>
        <v>143</v>
      </c>
      <c r="F182" s="197">
        <f t="shared" si="1467"/>
        <v>8421</v>
      </c>
      <c r="G182" s="197">
        <f t="shared" si="1467"/>
        <v>7903</v>
      </c>
      <c r="H182" s="197">
        <f t="shared" si="1467"/>
        <v>6440</v>
      </c>
      <c r="I182" s="197">
        <f t="shared" si="1467"/>
        <v>7514</v>
      </c>
      <c r="J182" s="197">
        <f t="shared" si="1467"/>
        <v>8794</v>
      </c>
      <c r="K182" s="197">
        <f t="shared" si="1467"/>
        <v>8185</v>
      </c>
      <c r="L182" s="197">
        <f t="shared" si="1467"/>
        <v>7777</v>
      </c>
      <c r="M182" s="197">
        <f t="shared" si="1467"/>
        <v>7811</v>
      </c>
      <c r="N182" s="197"/>
      <c r="O182" s="197"/>
      <c r="P182" s="197"/>
      <c r="Q182" s="688"/>
      <c r="R182" s="197"/>
      <c r="S182" s="197"/>
      <c r="T182" s="339">
        <f t="shared" si="1467"/>
        <v>7481</v>
      </c>
      <c r="U182" s="197">
        <f t="shared" si="1467"/>
        <v>7400</v>
      </c>
      <c r="V182" s="197">
        <f t="shared" si="1467"/>
        <v>8517</v>
      </c>
      <c r="W182" s="197">
        <f t="shared" si="1467"/>
        <v>9070</v>
      </c>
      <c r="X182" s="688">
        <f>Z182</f>
        <v>7051</v>
      </c>
      <c r="Y182" s="197">
        <f t="shared" ref="Y182" si="1468">Y188-(Y185+Y186)</f>
        <v>8517</v>
      </c>
      <c r="Z182" s="197">
        <f>AA182</f>
        <v>7051</v>
      </c>
      <c r="AA182" s="339">
        <f t="shared" si="1467"/>
        <v>7051</v>
      </c>
      <c r="AB182" s="197">
        <f t="shared" ref="AB182:AD182" si="1469">AB188-(AB185+AB186)</f>
        <v>7083</v>
      </c>
      <c r="AC182" s="197">
        <f t="shared" si="1469"/>
        <v>5690</v>
      </c>
      <c r="AD182" s="197">
        <f t="shared" si="1469"/>
        <v>5144</v>
      </c>
      <c r="AE182" s="688">
        <f>AG182</f>
        <v>4555</v>
      </c>
      <c r="AF182" s="197">
        <f t="shared" ref="AF182" si="1470">AF188-(AF185+AF186)</f>
        <v>5690</v>
      </c>
      <c r="AG182" s="197">
        <f>AH182</f>
        <v>4555</v>
      </c>
      <c r="AH182" s="339">
        <f t="shared" si="1467"/>
        <v>4555</v>
      </c>
      <c r="AI182" s="197">
        <f t="shared" si="1467"/>
        <v>5221</v>
      </c>
      <c r="AJ182" s="197">
        <f t="shared" si="1467"/>
        <v>6036</v>
      </c>
      <c r="AK182" s="197">
        <f t="shared" si="1467"/>
        <v>5761</v>
      </c>
      <c r="AL182" s="688">
        <f>AN182</f>
        <v>5263</v>
      </c>
      <c r="AM182" s="197">
        <f t="shared" ref="AM182" si="1471">AM188-(AM185+AM186)</f>
        <v>6036</v>
      </c>
      <c r="AN182" s="197">
        <f>AO182</f>
        <v>5263</v>
      </c>
      <c r="AO182" s="339">
        <f t="shared" si="1467"/>
        <v>5263</v>
      </c>
      <c r="AP182" s="197">
        <f t="shared" ref="AP182:AR182" si="1472">AP188-(AP185+AP186)</f>
        <v>4794</v>
      </c>
      <c r="AQ182" s="197">
        <f t="shared" si="1472"/>
        <v>4985</v>
      </c>
      <c r="AR182" s="197">
        <f t="shared" si="1472"/>
        <v>5263</v>
      </c>
      <c r="AS182" s="688">
        <f>AU182</f>
        <v>5264</v>
      </c>
      <c r="AT182" s="197">
        <f t="shared" ref="AT182" si="1473">AT188-(AT185+AT186)</f>
        <v>4985</v>
      </c>
      <c r="AU182" s="197">
        <f>AV182</f>
        <v>5264</v>
      </c>
      <c r="AV182" s="339">
        <f t="shared" si="1467"/>
        <v>5264</v>
      </c>
      <c r="AW182" s="197"/>
      <c r="AX182" s="197"/>
      <c r="AY182" s="197"/>
      <c r="AZ182" s="688"/>
      <c r="BA182" s="197"/>
      <c r="BB182" s="197"/>
      <c r="BC182" s="339">
        <f t="shared" si="1467"/>
        <v>9862</v>
      </c>
      <c r="BD182" s="197">
        <f t="shared" si="1467"/>
        <v>11869</v>
      </c>
      <c r="BE182" s="197">
        <f t="shared" si="1467"/>
        <v>11418</v>
      </c>
      <c r="BF182" s="197">
        <f t="shared" si="1467"/>
        <v>11754</v>
      </c>
      <c r="BG182" s="688">
        <f>BI182</f>
        <v>10838</v>
      </c>
      <c r="BH182" s="197">
        <f t="shared" ref="BH182" si="1474">BH188-(BH185+BH186)</f>
        <v>11418</v>
      </c>
      <c r="BI182" s="197">
        <f>BJ182</f>
        <v>10838</v>
      </c>
      <c r="BJ182" s="339">
        <f t="shared" si="1467"/>
        <v>10838</v>
      </c>
      <c r="BK182" s="197">
        <f t="shared" ref="BK182:BM182" si="1475">BK188-(BK185+BK186)</f>
        <v>10916</v>
      </c>
      <c r="BL182" s="197">
        <f t="shared" si="1475"/>
        <v>10475</v>
      </c>
      <c r="BM182" s="197">
        <f t="shared" si="1475"/>
        <v>11087</v>
      </c>
      <c r="BN182" s="688">
        <f>BP182</f>
        <v>11011</v>
      </c>
      <c r="BO182" s="197">
        <f t="shared" ref="BO182" si="1476">BO188-(BO185+BO186)</f>
        <v>10475</v>
      </c>
      <c r="BP182" s="197">
        <f>BQ182</f>
        <v>11011</v>
      </c>
      <c r="BQ182" s="339">
        <f t="shared" si="1467"/>
        <v>11011</v>
      </c>
      <c r="BR182" s="197">
        <f t="shared" si="1467"/>
        <v>11397</v>
      </c>
      <c r="BS182" s="197">
        <f t="shared" si="1467"/>
        <v>12240</v>
      </c>
      <c r="BT182" s="197">
        <f t="shared" si="1467"/>
        <v>9566</v>
      </c>
      <c r="BU182" s="688">
        <f>BW182</f>
        <v>9745</v>
      </c>
      <c r="BV182" s="197">
        <f t="shared" ref="BV182" si="1477">BV188-(BV185+BV186)</f>
        <v>12240</v>
      </c>
      <c r="BW182" s="197">
        <f>BX182</f>
        <v>9745</v>
      </c>
      <c r="BX182" s="339">
        <f t="shared" si="1467"/>
        <v>9745</v>
      </c>
      <c r="BY182" s="197">
        <f t="shared" ref="BY182:CA182" si="1478">BY188-(BY185+BY186)</f>
        <v>10523</v>
      </c>
      <c r="BZ182" s="197">
        <f t="shared" si="1478"/>
        <v>10595</v>
      </c>
      <c r="CA182" s="197">
        <f t="shared" si="1478"/>
        <v>10739</v>
      </c>
      <c r="CB182" s="688">
        <f>CD182</f>
        <v>10704</v>
      </c>
      <c r="CC182" s="197">
        <f t="shared" ref="CC182" si="1479">CC188-(CC185+CC186)</f>
        <v>10595</v>
      </c>
      <c r="CD182" s="197">
        <f>CE182</f>
        <v>10704</v>
      </c>
      <c r="CE182" s="339">
        <f t="shared" si="1467"/>
        <v>10704</v>
      </c>
      <c r="CF182" s="197">
        <f t="shared" si="1467"/>
        <v>10479</v>
      </c>
      <c r="CG182" s="197">
        <f t="shared" si="1467"/>
        <v>10507</v>
      </c>
      <c r="CH182" s="197">
        <f t="shared" si="1467"/>
        <v>10559</v>
      </c>
      <c r="CI182" s="688">
        <f>CK182</f>
        <v>8950</v>
      </c>
      <c r="CJ182" s="197">
        <f t="shared" ref="CJ182" si="1480">CJ188-(CJ185+CJ186)</f>
        <v>10507</v>
      </c>
      <c r="CK182" s="197">
        <f>CL182</f>
        <v>8950</v>
      </c>
      <c r="CL182" s="339">
        <f t="shared" si="1467"/>
        <v>8950</v>
      </c>
      <c r="CM182" s="197">
        <f t="shared" ref="CM182:CO182" si="1481">CM188-(CM185+CM186)</f>
        <v>9607</v>
      </c>
      <c r="CN182" s="197">
        <f t="shared" si="1481"/>
        <v>7129</v>
      </c>
      <c r="CO182" s="197">
        <f t="shared" si="1481"/>
        <v>7654</v>
      </c>
      <c r="CP182" s="688">
        <f>CR182</f>
        <v>7720</v>
      </c>
      <c r="CQ182" s="197">
        <f t="shared" ref="CQ182" si="1482">CQ188-(CQ185+CQ186)</f>
        <v>7129</v>
      </c>
      <c r="CR182" s="197">
        <f>CS182</f>
        <v>7720</v>
      </c>
      <c r="CS182" s="339">
        <f t="shared" ref="CS182:CT182" si="1483">CS188-(CS185+CS186)</f>
        <v>7720</v>
      </c>
      <c r="CT182" s="197">
        <f t="shared" si="1483"/>
        <v>8144</v>
      </c>
      <c r="CU182" s="197">
        <f t="shared" ref="CU182:CV182" si="1484">CU188-(CU185+CU186)</f>
        <v>7617</v>
      </c>
      <c r="CV182" s="197">
        <f t="shared" si="1484"/>
        <v>6733</v>
      </c>
      <c r="CW182" s="688">
        <f>CY182</f>
        <v>6969</v>
      </c>
      <c r="CX182" s="197">
        <f t="shared" ref="CX182" si="1485">CX188-(CX185+CX186)</f>
        <v>7617</v>
      </c>
      <c r="CY182" s="197">
        <f>CZ182</f>
        <v>6969</v>
      </c>
      <c r="CZ182" s="339">
        <f t="shared" ref="CZ182:DC182" si="1486">CZ188-(CZ185+CZ186)</f>
        <v>6969</v>
      </c>
      <c r="DA182" s="197">
        <f t="shared" si="1486"/>
        <v>5376</v>
      </c>
      <c r="DB182" s="197">
        <f t="shared" si="1486"/>
        <v>5582</v>
      </c>
      <c r="DC182" s="197">
        <f t="shared" si="1486"/>
        <v>6855</v>
      </c>
      <c r="DD182" s="1884">
        <f>DF182</f>
        <v>6775</v>
      </c>
      <c r="DE182" s="197">
        <f t="shared" ref="DE182" si="1487">DE188-(DE185+DE186)</f>
        <v>5582</v>
      </c>
      <c r="DF182" s="197">
        <f>DG182</f>
        <v>6775</v>
      </c>
      <c r="DG182" s="339">
        <f t="shared" ref="DG182:DI182" si="1488">DG188-(DG185+DG186)</f>
        <v>6775</v>
      </c>
      <c r="DH182" s="1984">
        <f t="shared" si="1488"/>
        <v>7323</v>
      </c>
      <c r="DI182" s="197">
        <f t="shared" si="1488"/>
        <v>6034</v>
      </c>
      <c r="DJ182" s="893">
        <f>DN182</f>
        <v>6775</v>
      </c>
      <c r="DK182" s="430">
        <f>DM182</f>
        <v>6775</v>
      </c>
      <c r="DL182" s="197">
        <f t="shared" ref="DL182" si="1489">DL188-(DL185+DL186)</f>
        <v>6034</v>
      </c>
      <c r="DM182" s="322">
        <f>DN182</f>
        <v>6775</v>
      </c>
      <c r="DN182" s="1629">
        <f>+DG182</f>
        <v>6775</v>
      </c>
      <c r="DO182" s="893">
        <f>DU182</f>
        <v>6775</v>
      </c>
      <c r="DP182" s="322">
        <f>DS182</f>
        <v>6775</v>
      </c>
      <c r="DQ182" s="893">
        <f>DU182</f>
        <v>6775</v>
      </c>
      <c r="DR182" s="430">
        <f>DT182</f>
        <v>6775</v>
      </c>
      <c r="DS182" s="893">
        <f>DU182</f>
        <v>6775</v>
      </c>
      <c r="DT182" s="322">
        <f>DU182</f>
        <v>6775</v>
      </c>
      <c r="DU182" s="1629">
        <f>+DN182</f>
        <v>6775</v>
      </c>
      <c r="DV182" s="893">
        <f>EB182</f>
        <v>6775</v>
      </c>
      <c r="DW182" s="322">
        <f>DZ182</f>
        <v>6775</v>
      </c>
      <c r="DX182" s="893">
        <f>EB182</f>
        <v>6775</v>
      </c>
      <c r="DY182" s="430">
        <f>EA182</f>
        <v>6775</v>
      </c>
      <c r="DZ182" s="893">
        <f>EB182</f>
        <v>6775</v>
      </c>
      <c r="EA182" s="322">
        <f>EB182</f>
        <v>6775</v>
      </c>
      <c r="EB182" s="1629">
        <f>+DU182</f>
        <v>6775</v>
      </c>
      <c r="EC182" s="893">
        <f>EI182</f>
        <v>6775</v>
      </c>
      <c r="ED182" s="322">
        <f>EG182</f>
        <v>6775</v>
      </c>
      <c r="EE182" s="893">
        <f>EI182</f>
        <v>6775</v>
      </c>
      <c r="EF182" s="430">
        <f>EH182</f>
        <v>6775</v>
      </c>
      <c r="EG182" s="893">
        <f>EI182</f>
        <v>6775</v>
      </c>
      <c r="EH182" s="322">
        <f>EI182</f>
        <v>6775</v>
      </c>
      <c r="EI182" s="1629">
        <f>+EB182</f>
        <v>6775</v>
      </c>
      <c r="EJ182" s="893">
        <f>EP182</f>
        <v>6775</v>
      </c>
      <c r="EK182" s="322">
        <f>EN182</f>
        <v>6775</v>
      </c>
      <c r="EL182" s="893">
        <f>EP182</f>
        <v>6775</v>
      </c>
      <c r="EM182" s="430">
        <f>EO182</f>
        <v>6775</v>
      </c>
      <c r="EN182" s="893">
        <f>EP182</f>
        <v>6775</v>
      </c>
      <c r="EO182" s="322">
        <f>EP182</f>
        <v>6775</v>
      </c>
      <c r="EP182" s="1629">
        <f t="shared" ref="EP182" si="1490">+EI182</f>
        <v>6775</v>
      </c>
      <c r="EQ182" s="303"/>
      <c r="ER182" s="46"/>
    </row>
    <row r="183" spans="1:148" ht="10.199999999999999" customHeight="1">
      <c r="A183" s="43"/>
      <c r="B183" s="191"/>
      <c r="C183" s="223"/>
      <c r="D183" s="197"/>
      <c r="E183" s="197"/>
      <c r="F183" s="197"/>
      <c r="G183" s="197"/>
      <c r="H183" s="197"/>
      <c r="I183" s="197"/>
      <c r="J183" s="197"/>
      <c r="K183" s="197"/>
      <c r="L183" s="223"/>
      <c r="M183" s="223"/>
      <c r="N183" s="223"/>
      <c r="O183" s="223"/>
      <c r="P183" s="223"/>
      <c r="Q183" s="717"/>
      <c r="R183" s="223"/>
      <c r="S183" s="223"/>
      <c r="T183" s="1270"/>
      <c r="U183" s="223"/>
      <c r="V183" s="223"/>
      <c r="W183" s="223"/>
      <c r="X183" s="717"/>
      <c r="Y183" s="223"/>
      <c r="Z183" s="223"/>
      <c r="AA183" s="1270"/>
      <c r="AB183" s="223"/>
      <c r="AC183" s="223"/>
      <c r="AD183" s="223"/>
      <c r="AE183" s="717"/>
      <c r="AF183" s="223"/>
      <c r="AG183" s="223"/>
      <c r="AH183" s="1270"/>
      <c r="AI183" s="223"/>
      <c r="AJ183" s="223"/>
      <c r="AK183" s="223"/>
      <c r="AL183" s="717"/>
      <c r="AM183" s="223"/>
      <c r="AN183" s="223"/>
      <c r="AO183" s="1270"/>
      <c r="AP183" s="223"/>
      <c r="AQ183" s="223"/>
      <c r="AR183" s="223"/>
      <c r="AS183" s="717"/>
      <c r="AT183" s="223"/>
      <c r="AU183" s="223"/>
      <c r="AV183" s="1270"/>
      <c r="AW183" s="223"/>
      <c r="AX183" s="223"/>
      <c r="AY183" s="223"/>
      <c r="AZ183" s="717"/>
      <c r="BA183" s="223"/>
      <c r="BB183" s="223"/>
      <c r="BC183" s="1270"/>
      <c r="BD183" s="223"/>
      <c r="BE183" s="223"/>
      <c r="BF183" s="223"/>
      <c r="BG183" s="717"/>
      <c r="BH183" s="223"/>
      <c r="BI183" s="223"/>
      <c r="BJ183" s="1270"/>
      <c r="BK183" s="223"/>
      <c r="BL183" s="223"/>
      <c r="BM183" s="223"/>
      <c r="BN183" s="717"/>
      <c r="BO183" s="223"/>
      <c r="BP183" s="223"/>
      <c r="BQ183" s="1270"/>
      <c r="BR183" s="223"/>
      <c r="BS183" s="223"/>
      <c r="BT183" s="223"/>
      <c r="BU183" s="717"/>
      <c r="BV183" s="223"/>
      <c r="BW183" s="223"/>
      <c r="BX183" s="1270"/>
      <c r="BY183" s="223"/>
      <c r="BZ183" s="223"/>
      <c r="CA183" s="223"/>
      <c r="CB183" s="717"/>
      <c r="CC183" s="223"/>
      <c r="CD183" s="223"/>
      <c r="CE183" s="1270"/>
      <c r="CF183" s="223"/>
      <c r="CG183" s="223"/>
      <c r="CH183" s="223"/>
      <c r="CI183" s="717"/>
      <c r="CJ183" s="223"/>
      <c r="CK183" s="223"/>
      <c r="CL183" s="1270"/>
      <c r="CM183" s="223"/>
      <c r="CN183" s="223"/>
      <c r="CO183" s="223"/>
      <c r="CP183" s="717"/>
      <c r="CQ183" s="223"/>
      <c r="CR183" s="223"/>
      <c r="CS183" s="1270"/>
      <c r="CT183" s="223"/>
      <c r="CU183" s="223"/>
      <c r="CV183" s="223"/>
      <c r="CW183" s="717"/>
      <c r="CX183" s="223"/>
      <c r="CY183" s="321"/>
      <c r="CZ183" s="592"/>
      <c r="DA183" s="223"/>
      <c r="DB183" s="223"/>
      <c r="DC183" s="894"/>
      <c r="DD183" s="1905"/>
      <c r="DE183" s="223"/>
      <c r="DF183" s="321"/>
      <c r="DG183" s="592"/>
      <c r="DH183" s="870"/>
      <c r="DI183" s="223"/>
      <c r="DJ183" s="894"/>
      <c r="DK183" s="1122"/>
      <c r="DL183" s="223"/>
      <c r="DM183" s="901"/>
      <c r="DN183" s="592"/>
      <c r="DO183" s="894"/>
      <c r="DP183" s="901"/>
      <c r="DQ183" s="894"/>
      <c r="DR183" s="1122"/>
      <c r="DS183" s="894"/>
      <c r="DT183" s="901"/>
      <c r="DU183" s="592"/>
      <c r="DV183" s="894"/>
      <c r="DW183" s="901"/>
      <c r="DX183" s="894"/>
      <c r="DY183" s="1122"/>
      <c r="DZ183" s="894"/>
      <c r="EA183" s="901"/>
      <c r="EB183" s="592"/>
      <c r="EC183" s="894"/>
      <c r="ED183" s="901"/>
      <c r="EE183" s="894"/>
      <c r="EF183" s="1122"/>
      <c r="EG183" s="894"/>
      <c r="EH183" s="901"/>
      <c r="EI183" s="592"/>
      <c r="EJ183" s="894"/>
      <c r="EK183" s="901"/>
      <c r="EL183" s="894"/>
      <c r="EM183" s="1122"/>
      <c r="EN183" s="894"/>
      <c r="EO183" s="901"/>
      <c r="EP183" s="592"/>
      <c r="EQ183" s="303"/>
      <c r="ER183" s="46"/>
    </row>
    <row r="184" spans="1:148" ht="10.199999999999999" customHeight="1">
      <c r="A184" s="43"/>
      <c r="B184" s="191"/>
      <c r="C184" s="843"/>
      <c r="D184" s="843"/>
      <c r="E184" s="843"/>
      <c r="F184" s="843"/>
      <c r="G184" s="843"/>
      <c r="H184" s="843"/>
      <c r="I184" s="843"/>
      <c r="J184" s="843"/>
      <c r="K184" s="843"/>
      <c r="L184" s="843"/>
      <c r="M184" s="843"/>
      <c r="N184" s="1570"/>
      <c r="O184" s="1570"/>
      <c r="P184" s="1570"/>
      <c r="Q184" s="1589"/>
      <c r="R184" s="1570"/>
      <c r="S184" s="1570"/>
      <c r="T184" s="1607"/>
      <c r="U184" s="1570"/>
      <c r="V184" s="1570"/>
      <c r="W184" s="1570"/>
      <c r="X184" s="1589"/>
      <c r="Y184" s="1570"/>
      <c r="Z184" s="1570"/>
      <c r="AA184" s="1607"/>
      <c r="AB184" s="1570"/>
      <c r="AC184" s="1570"/>
      <c r="AD184" s="1570"/>
      <c r="AE184" s="1589"/>
      <c r="AF184" s="1570"/>
      <c r="AG184" s="1570"/>
      <c r="AH184" s="1607"/>
      <c r="AI184" s="1570"/>
      <c r="AJ184" s="1570"/>
      <c r="AK184" s="1570"/>
      <c r="AL184" s="1589"/>
      <c r="AM184" s="1570"/>
      <c r="AN184" s="1570"/>
      <c r="AO184" s="1607"/>
      <c r="AP184" s="1570"/>
      <c r="AQ184" s="1570"/>
      <c r="AR184" s="1570"/>
      <c r="AS184" s="1589"/>
      <c r="AT184" s="1570"/>
      <c r="AU184" s="1570"/>
      <c r="AV184" s="1607"/>
      <c r="AW184" s="1570"/>
      <c r="AX184" s="1570"/>
      <c r="AY184" s="1570"/>
      <c r="AZ184" s="1589"/>
      <c r="BA184" s="1570"/>
      <c r="BB184" s="1570"/>
      <c r="BC184" s="1607"/>
      <c r="BD184" s="1570"/>
      <c r="BE184" s="1570"/>
      <c r="BF184" s="1570"/>
      <c r="BG184" s="1589"/>
      <c r="BH184" s="1570"/>
      <c r="BI184" s="1570"/>
      <c r="BJ184" s="1607"/>
      <c r="BK184" s="1570"/>
      <c r="BL184" s="1570"/>
      <c r="BM184" s="1570"/>
      <c r="BN184" s="1589"/>
      <c r="BO184" s="1570"/>
      <c r="BP184" s="1570"/>
      <c r="BQ184" s="1607"/>
      <c r="BR184" s="1570"/>
      <c r="BS184" s="1570"/>
      <c r="BT184" s="1570"/>
      <c r="BU184" s="1589"/>
      <c r="BV184" s="1570"/>
      <c r="BW184" s="1570"/>
      <c r="BX184" s="1607"/>
      <c r="BY184" s="1570"/>
      <c r="BZ184" s="1570"/>
      <c r="CA184" s="1570"/>
      <c r="CB184" s="1589"/>
      <c r="CC184" s="1570"/>
      <c r="CD184" s="1570"/>
      <c r="CE184" s="1607"/>
      <c r="CF184" s="1570"/>
      <c r="CG184" s="1570"/>
      <c r="CH184" s="1570"/>
      <c r="CI184" s="1589"/>
      <c r="CJ184" s="1570"/>
      <c r="CK184" s="1570"/>
      <c r="CL184" s="1607"/>
      <c r="CM184" s="1570"/>
      <c r="CN184" s="1570"/>
      <c r="CO184" s="1570"/>
      <c r="CP184" s="1589"/>
      <c r="CQ184" s="1570"/>
      <c r="CR184" s="1570"/>
      <c r="CS184" s="1607"/>
      <c r="CT184" s="1414"/>
      <c r="CU184" s="1414"/>
      <c r="CV184" s="1414"/>
      <c r="CW184" s="1521"/>
      <c r="CX184" s="1414"/>
      <c r="CY184" s="1414"/>
      <c r="CZ184" s="1496"/>
      <c r="DA184" s="1414"/>
      <c r="DB184" s="1414"/>
      <c r="DC184" s="1414"/>
      <c r="DD184" s="1900"/>
      <c r="DE184" s="1414"/>
      <c r="DF184" s="1414"/>
      <c r="DG184" s="1798"/>
      <c r="DH184" s="1977"/>
      <c r="DI184" s="1414"/>
      <c r="DJ184" s="1977"/>
      <c r="DK184" s="1979"/>
      <c r="DL184" s="1414"/>
      <c r="DM184" s="1978"/>
      <c r="DN184" s="1980"/>
      <c r="DO184" s="1799"/>
      <c r="DP184" s="1800"/>
      <c r="DQ184" s="1799"/>
      <c r="DR184" s="1801"/>
      <c r="DS184" s="1799"/>
      <c r="DT184" s="1800"/>
      <c r="DU184" s="1798"/>
      <c r="DV184" s="1799"/>
      <c r="DW184" s="1800"/>
      <c r="DX184" s="1799"/>
      <c r="DY184" s="1801"/>
      <c r="DZ184" s="1799"/>
      <c r="EA184" s="1800"/>
      <c r="EB184" s="1798"/>
      <c r="EC184" s="1799"/>
      <c r="ED184" s="1800"/>
      <c r="EE184" s="1799"/>
      <c r="EF184" s="1801"/>
      <c r="EG184" s="1799"/>
      <c r="EH184" s="1800"/>
      <c r="EI184" s="1798"/>
      <c r="EJ184" s="1799"/>
      <c r="EK184" s="1800"/>
      <c r="EL184" s="1799"/>
      <c r="EM184" s="1801"/>
      <c r="EN184" s="1799"/>
      <c r="EO184" s="1800"/>
      <c r="EP184" s="1798"/>
      <c r="EQ184" s="303"/>
      <c r="ER184" s="46"/>
    </row>
    <row r="185" spans="1:148" ht="10.199999999999999" customHeight="1">
      <c r="A185" s="48" t="s">
        <v>175</v>
      </c>
      <c r="B185" s="48"/>
      <c r="C185" s="130">
        <f t="shared" ref="C185:EP185" si="1491">C158+C161+C164+C167</f>
        <v>19714</v>
      </c>
      <c r="D185" s="130">
        <f t="shared" si="1491"/>
        <v>18946</v>
      </c>
      <c r="E185" s="130">
        <f t="shared" si="1491"/>
        <v>27506</v>
      </c>
      <c r="F185" s="130">
        <f t="shared" si="1491"/>
        <v>22205</v>
      </c>
      <c r="G185" s="130">
        <f t="shared" si="1491"/>
        <v>23689</v>
      </c>
      <c r="H185" s="130">
        <f t="shared" si="1491"/>
        <v>24862</v>
      </c>
      <c r="I185" s="130">
        <f t="shared" si="1491"/>
        <v>26185</v>
      </c>
      <c r="J185" s="130">
        <f t="shared" si="1491"/>
        <v>28862</v>
      </c>
      <c r="K185" s="130">
        <f t="shared" si="1491"/>
        <v>29206</v>
      </c>
      <c r="L185" s="130">
        <f t="shared" si="1491"/>
        <v>31210</v>
      </c>
      <c r="M185" s="130">
        <f t="shared" si="1491"/>
        <v>32052</v>
      </c>
      <c r="N185" s="130"/>
      <c r="O185" s="130"/>
      <c r="P185" s="130"/>
      <c r="Q185" s="698"/>
      <c r="R185" s="130"/>
      <c r="S185" s="130"/>
      <c r="T185" s="619">
        <f t="shared" si="1491"/>
        <v>32611</v>
      </c>
      <c r="U185" s="130">
        <f t="shared" ref="U185:X185" si="1492">U158+U161+U164+U167</f>
        <v>34217</v>
      </c>
      <c r="V185" s="130">
        <f t="shared" si="1492"/>
        <v>34333</v>
      </c>
      <c r="W185" s="130">
        <f t="shared" si="1492"/>
        <v>35083</v>
      </c>
      <c r="X185" s="698">
        <f t="shared" si="1492"/>
        <v>35274</v>
      </c>
      <c r="Y185" s="130">
        <f t="shared" ref="Y185:Z185" si="1493">Y158+Y161+Y164+Y167</f>
        <v>34333</v>
      </c>
      <c r="Z185" s="130">
        <f t="shared" si="1493"/>
        <v>35274</v>
      </c>
      <c r="AA185" s="619">
        <f t="shared" si="1491"/>
        <v>35274</v>
      </c>
      <c r="AB185" s="130">
        <f t="shared" si="1491"/>
        <v>40650</v>
      </c>
      <c r="AC185" s="130">
        <f t="shared" si="1491"/>
        <v>40350</v>
      </c>
      <c r="AD185" s="130">
        <f t="shared" si="1491"/>
        <v>41963</v>
      </c>
      <c r="AE185" s="698">
        <f t="shared" si="1491"/>
        <v>41439</v>
      </c>
      <c r="AF185" s="130">
        <f t="shared" ref="AF185:AG185" si="1494">AF158+AF161+AF164+AF167</f>
        <v>40350</v>
      </c>
      <c r="AG185" s="130">
        <f t="shared" si="1494"/>
        <v>41439</v>
      </c>
      <c r="AH185" s="619">
        <f t="shared" si="1491"/>
        <v>41439</v>
      </c>
      <c r="AI185" s="130">
        <f t="shared" ref="AI185:AL185" si="1495">AI158+AI161+AI164+AI167</f>
        <v>45424</v>
      </c>
      <c r="AJ185" s="130">
        <f t="shared" si="1495"/>
        <v>43128</v>
      </c>
      <c r="AK185" s="130">
        <f t="shared" si="1495"/>
        <v>45227</v>
      </c>
      <c r="AL185" s="698">
        <f t="shared" si="1495"/>
        <v>41513</v>
      </c>
      <c r="AM185" s="130">
        <f t="shared" ref="AM185:AN185" si="1496">AM158+AM161+AM164+AM167</f>
        <v>43128</v>
      </c>
      <c r="AN185" s="130">
        <f t="shared" si="1496"/>
        <v>41513</v>
      </c>
      <c r="AO185" s="619">
        <f t="shared" si="1491"/>
        <v>41513</v>
      </c>
      <c r="AP185" s="130">
        <f t="shared" si="1491"/>
        <v>45835</v>
      </c>
      <c r="AQ185" s="130">
        <f t="shared" si="1491"/>
        <v>47272</v>
      </c>
      <c r="AR185" s="130">
        <f t="shared" si="1491"/>
        <v>47715</v>
      </c>
      <c r="AS185" s="698">
        <f t="shared" si="1491"/>
        <v>42931</v>
      </c>
      <c r="AT185" s="130">
        <f t="shared" ref="AT185:AU185" si="1497">AT158+AT161+AT164+AT167</f>
        <v>47272</v>
      </c>
      <c r="AU185" s="130">
        <f t="shared" si="1497"/>
        <v>42931</v>
      </c>
      <c r="AV185" s="619">
        <f t="shared" si="1491"/>
        <v>42931</v>
      </c>
      <c r="AW185" s="130"/>
      <c r="AX185" s="130"/>
      <c r="AY185" s="130"/>
      <c r="AZ185" s="698"/>
      <c r="BA185" s="130"/>
      <c r="BB185" s="130"/>
      <c r="BC185" s="619">
        <f t="shared" si="1491"/>
        <v>38859</v>
      </c>
      <c r="BD185" s="130">
        <f t="shared" ref="BD185:BG185" si="1498">BD158+BD161+BD164+BD167</f>
        <v>44500</v>
      </c>
      <c r="BE185" s="130">
        <f t="shared" si="1498"/>
        <v>45382</v>
      </c>
      <c r="BF185" s="130">
        <f t="shared" si="1498"/>
        <v>47209</v>
      </c>
      <c r="BG185" s="698">
        <f t="shared" si="1498"/>
        <v>43338</v>
      </c>
      <c r="BH185" s="130">
        <f t="shared" ref="BH185:BI185" si="1499">BH158+BH161+BH164+BH167</f>
        <v>45382</v>
      </c>
      <c r="BI185" s="130">
        <f t="shared" si="1499"/>
        <v>43338</v>
      </c>
      <c r="BJ185" s="619">
        <f t="shared" si="1491"/>
        <v>43338</v>
      </c>
      <c r="BK185" s="130">
        <f t="shared" si="1491"/>
        <v>47863</v>
      </c>
      <c r="BL185" s="130">
        <f t="shared" si="1491"/>
        <v>45630</v>
      </c>
      <c r="BM185" s="130">
        <f t="shared" si="1491"/>
        <v>45386</v>
      </c>
      <c r="BN185" s="698">
        <f t="shared" si="1491"/>
        <v>40814</v>
      </c>
      <c r="BO185" s="130">
        <f t="shared" ref="BO185:BP185" si="1500">BO158+BO161+BO164+BO167</f>
        <v>45630</v>
      </c>
      <c r="BP185" s="130">
        <f t="shared" si="1500"/>
        <v>40814</v>
      </c>
      <c r="BQ185" s="619">
        <f t="shared" si="1491"/>
        <v>40814</v>
      </c>
      <c r="BR185" s="130">
        <f t="shared" ref="BR185:BU185" si="1501">BR158+BR161+BR164+BR167</f>
        <v>45230</v>
      </c>
      <c r="BS185" s="130">
        <f t="shared" si="1501"/>
        <v>45766</v>
      </c>
      <c r="BT185" s="130">
        <f t="shared" si="1501"/>
        <v>45776</v>
      </c>
      <c r="BU185" s="698">
        <f t="shared" si="1501"/>
        <v>38823</v>
      </c>
      <c r="BV185" s="130">
        <f t="shared" ref="BV185:BW185" si="1502">BV158+BV161+BV164+BV167</f>
        <v>45766</v>
      </c>
      <c r="BW185" s="130">
        <f t="shared" si="1502"/>
        <v>38823</v>
      </c>
      <c r="BX185" s="619">
        <f t="shared" si="1491"/>
        <v>38823</v>
      </c>
      <c r="BY185" s="130">
        <f t="shared" si="1491"/>
        <v>40538</v>
      </c>
      <c r="BZ185" s="130">
        <f t="shared" si="1491"/>
        <v>38658</v>
      </c>
      <c r="CA185" s="130">
        <f t="shared" si="1491"/>
        <v>39376</v>
      </c>
      <c r="CB185" s="698">
        <f t="shared" si="1491"/>
        <v>37371</v>
      </c>
      <c r="CC185" s="130">
        <f t="shared" ref="CC185:CD185" si="1503">CC158+CC161+CC164+CC167</f>
        <v>38658</v>
      </c>
      <c r="CD185" s="130">
        <f t="shared" si="1503"/>
        <v>37371</v>
      </c>
      <c r="CE185" s="619">
        <f t="shared" si="1491"/>
        <v>37371</v>
      </c>
      <c r="CF185" s="130">
        <f t="shared" ref="CF185:CI185" si="1504">CF158+CF161+CF164+CF167</f>
        <v>39988</v>
      </c>
      <c r="CG185" s="130">
        <f t="shared" si="1504"/>
        <v>41499</v>
      </c>
      <c r="CH185" s="130">
        <f t="shared" si="1504"/>
        <v>44235</v>
      </c>
      <c r="CI185" s="698">
        <f t="shared" si="1504"/>
        <v>41506</v>
      </c>
      <c r="CJ185" s="130">
        <f t="shared" ref="CJ185:CK185" si="1505">CJ158+CJ161+CJ164+CJ167</f>
        <v>41499</v>
      </c>
      <c r="CK185" s="130">
        <f t="shared" si="1505"/>
        <v>41506</v>
      </c>
      <c r="CL185" s="619">
        <f t="shared" si="1491"/>
        <v>41506</v>
      </c>
      <c r="CM185" s="130">
        <f t="shared" si="1491"/>
        <v>44871</v>
      </c>
      <c r="CN185" s="130">
        <f t="shared" si="1491"/>
        <v>46103</v>
      </c>
      <c r="CO185" s="130">
        <f t="shared" si="1491"/>
        <v>47156</v>
      </c>
      <c r="CP185" s="698">
        <f t="shared" si="1491"/>
        <v>43039</v>
      </c>
      <c r="CQ185" s="130">
        <f t="shared" ref="CQ185:CR185" si="1506">CQ158+CQ161+CQ164+CQ167</f>
        <v>46103</v>
      </c>
      <c r="CR185" s="130">
        <f t="shared" si="1506"/>
        <v>43039</v>
      </c>
      <c r="CS185" s="619">
        <f t="shared" ref="CS185:CT185" si="1507">CS158+CS161+CS164+CS167</f>
        <v>43039</v>
      </c>
      <c r="CT185" s="130">
        <f t="shared" si="1507"/>
        <v>48223</v>
      </c>
      <c r="CU185" s="130">
        <f t="shared" ref="CU185:CW185" si="1508">CU158+CU161+CU164+CU167</f>
        <v>49361</v>
      </c>
      <c r="CV185" s="130">
        <f t="shared" si="1508"/>
        <v>50459</v>
      </c>
      <c r="CW185" s="698">
        <f t="shared" si="1508"/>
        <v>48036</v>
      </c>
      <c r="CX185" s="130">
        <f t="shared" ref="CX185:DC185" si="1509">CX158+CX161+CX164+CX167</f>
        <v>49361</v>
      </c>
      <c r="CY185" s="130">
        <f t="shared" si="1509"/>
        <v>48036</v>
      </c>
      <c r="CZ185" s="619">
        <f t="shared" si="1509"/>
        <v>48036</v>
      </c>
      <c r="DA185" s="130">
        <f t="shared" si="1509"/>
        <v>52145</v>
      </c>
      <c r="DB185" s="130">
        <f t="shared" si="1509"/>
        <v>53955</v>
      </c>
      <c r="DC185" s="130">
        <f t="shared" si="1509"/>
        <v>54648</v>
      </c>
      <c r="DD185" s="1907">
        <f t="shared" ref="DD185:DF185" si="1510">DD158+DD161+DD164+DD167</f>
        <v>52401</v>
      </c>
      <c r="DE185" s="130">
        <f t="shared" si="1510"/>
        <v>53955</v>
      </c>
      <c r="DF185" s="130">
        <f t="shared" si="1510"/>
        <v>52401</v>
      </c>
      <c r="DG185" s="619">
        <f t="shared" ref="DG185:DI185" si="1511">DG158+DG161+DG164+DG167</f>
        <v>52401</v>
      </c>
      <c r="DH185" s="317">
        <f t="shared" si="1511"/>
        <v>58016</v>
      </c>
      <c r="DI185" s="130">
        <f t="shared" si="1511"/>
        <v>59506</v>
      </c>
      <c r="DJ185" s="624">
        <f t="shared" si="1491"/>
        <v>52760.603662604786</v>
      </c>
      <c r="DK185" s="618">
        <f t="shared" si="1491"/>
        <v>55987.909962306752</v>
      </c>
      <c r="DL185" s="130">
        <f t="shared" si="1491"/>
        <v>59506</v>
      </c>
      <c r="DM185" s="617">
        <f t="shared" si="1491"/>
        <v>55987.909962306752</v>
      </c>
      <c r="DN185" s="1113">
        <f t="shared" si="1491"/>
        <v>55987.909962306752</v>
      </c>
      <c r="DO185" s="624">
        <f t="shared" si="1491"/>
        <v>54078.418343455676</v>
      </c>
      <c r="DP185" s="624">
        <f t="shared" si="1491"/>
        <v>56878.872430318159</v>
      </c>
      <c r="DQ185" s="624">
        <f t="shared" si="1491"/>
        <v>59399.20101820858</v>
      </c>
      <c r="DR185" s="618">
        <f t="shared" si="1491"/>
        <v>60070.181313840301</v>
      </c>
      <c r="DS185" s="624">
        <f t="shared" si="1491"/>
        <v>56878.872430318159</v>
      </c>
      <c r="DT185" s="617">
        <f t="shared" si="1491"/>
        <v>60070.181313840301</v>
      </c>
      <c r="DU185" s="1113">
        <f t="shared" si="1491"/>
        <v>60070.181313840301</v>
      </c>
      <c r="DV185" s="624">
        <f t="shared" si="1491"/>
        <v>56504.418263908185</v>
      </c>
      <c r="DW185" s="624">
        <f t="shared" si="1491"/>
        <v>59450.096463117261</v>
      </c>
      <c r="DX185" s="624">
        <f t="shared" si="1491"/>
        <v>62113.853966556715</v>
      </c>
      <c r="DY185" s="618">
        <f t="shared" si="1491"/>
        <v>62961.637024113414</v>
      </c>
      <c r="DZ185" s="624">
        <f t="shared" si="1491"/>
        <v>59450.096463117261</v>
      </c>
      <c r="EA185" s="617">
        <f t="shared" si="1491"/>
        <v>62961.637024113414</v>
      </c>
      <c r="EB185" s="1113">
        <f t="shared" si="1491"/>
        <v>62961.637024113414</v>
      </c>
      <c r="EC185" s="624">
        <f t="shared" si="1491"/>
        <v>60616.800870112362</v>
      </c>
      <c r="ED185" s="624">
        <f t="shared" si="1491"/>
        <v>62657.933452529716</v>
      </c>
      <c r="EE185" s="624">
        <f t="shared" si="1491"/>
        <v>64402.338441745436</v>
      </c>
      <c r="EF185" s="618">
        <f t="shared" si="1491"/>
        <v>65801.746169354446</v>
      </c>
      <c r="EG185" s="624">
        <f t="shared" si="1491"/>
        <v>62657.933452529716</v>
      </c>
      <c r="EH185" s="617">
        <f t="shared" si="1491"/>
        <v>65801.746169354446</v>
      </c>
      <c r="EI185" s="1113">
        <f t="shared" si="1491"/>
        <v>65801.746169354446</v>
      </c>
      <c r="EJ185" s="624">
        <f t="shared" si="1491"/>
        <v>62646.367513699326</v>
      </c>
      <c r="EK185" s="624">
        <f t="shared" si="1491"/>
        <v>64789.870813813599</v>
      </c>
      <c r="EL185" s="624">
        <f t="shared" si="1491"/>
        <v>66623.255275713091</v>
      </c>
      <c r="EM185" s="618">
        <f t="shared" si="1491"/>
        <v>68069.505560068064</v>
      </c>
      <c r="EN185" s="624">
        <f t="shared" si="1491"/>
        <v>64789.870813813599</v>
      </c>
      <c r="EO185" s="617">
        <f t="shared" si="1491"/>
        <v>68069.505560068064</v>
      </c>
      <c r="EP185" s="1113">
        <f t="shared" si="1491"/>
        <v>68069.505560068064</v>
      </c>
      <c r="EQ185" s="303"/>
      <c r="ER185" s="91"/>
    </row>
    <row r="186" spans="1:148" ht="10.199999999999999" customHeight="1">
      <c r="A186" s="48" t="s">
        <v>203</v>
      </c>
      <c r="B186" s="48"/>
      <c r="C186" s="197">
        <f t="shared" ref="C186:EP186" si="1512">+-(C170+C173+C178)</f>
        <v>-7473</v>
      </c>
      <c r="D186" s="197">
        <f t="shared" si="1512"/>
        <v>-7777</v>
      </c>
      <c r="E186" s="197">
        <f t="shared" si="1512"/>
        <v>-19582</v>
      </c>
      <c r="F186" s="197">
        <f t="shared" si="1512"/>
        <v>-23798</v>
      </c>
      <c r="G186" s="197">
        <f t="shared" si="1512"/>
        <v>-24621</v>
      </c>
      <c r="H186" s="197">
        <f t="shared" si="1512"/>
        <v>-25567</v>
      </c>
      <c r="I186" s="197">
        <f t="shared" si="1512"/>
        <v>-27792</v>
      </c>
      <c r="J186" s="197">
        <f t="shared" si="1512"/>
        <v>-31764</v>
      </c>
      <c r="K186" s="197">
        <f t="shared" si="1512"/>
        <v>-34318</v>
      </c>
      <c r="L186" s="197">
        <f t="shared" si="1512"/>
        <v>-37300</v>
      </c>
      <c r="M186" s="197">
        <f t="shared" si="1512"/>
        <v>-38100</v>
      </c>
      <c r="N186" s="197"/>
      <c r="O186" s="197"/>
      <c r="P186" s="197"/>
      <c r="Q186" s="688"/>
      <c r="R186" s="197"/>
      <c r="S186" s="197"/>
      <c r="T186" s="339">
        <f t="shared" si="1512"/>
        <v>-36238</v>
      </c>
      <c r="U186" s="197">
        <f t="shared" ref="U186:X186" si="1513">+-(U170+U173+U178)</f>
        <v>-35218</v>
      </c>
      <c r="V186" s="197">
        <f t="shared" si="1513"/>
        <v>-34972</v>
      </c>
      <c r="W186" s="197">
        <f t="shared" si="1513"/>
        <v>-36131</v>
      </c>
      <c r="X186" s="688">
        <f t="shared" si="1513"/>
        <v>-36085</v>
      </c>
      <c r="Y186" s="197">
        <f t="shared" ref="Y186:Z186" si="1514">+-(Y170+Y173+Y178)</f>
        <v>-34972</v>
      </c>
      <c r="Z186" s="197">
        <f t="shared" si="1514"/>
        <v>-36085</v>
      </c>
      <c r="AA186" s="339">
        <f t="shared" si="1512"/>
        <v>-36085</v>
      </c>
      <c r="AB186" s="197">
        <f t="shared" si="1512"/>
        <v>-40266</v>
      </c>
      <c r="AC186" s="197">
        <f t="shared" si="1512"/>
        <v>-37699</v>
      </c>
      <c r="AD186" s="197">
        <f t="shared" si="1512"/>
        <v>-37565</v>
      </c>
      <c r="AE186" s="688">
        <f t="shared" si="1512"/>
        <v>-39031</v>
      </c>
      <c r="AF186" s="197">
        <f t="shared" ref="AF186:AG186" si="1515">+-(AF170+AF173+AF178)</f>
        <v>-37699</v>
      </c>
      <c r="AG186" s="197">
        <f t="shared" si="1515"/>
        <v>-39031</v>
      </c>
      <c r="AH186" s="339">
        <f t="shared" si="1512"/>
        <v>-39031</v>
      </c>
      <c r="AI186" s="197">
        <f t="shared" ref="AI186:AL186" si="1516">+-(AI170+AI173+AI178)</f>
        <v>-40868</v>
      </c>
      <c r="AJ186" s="197">
        <f t="shared" si="1516"/>
        <v>-39704</v>
      </c>
      <c r="AK186" s="197">
        <f t="shared" si="1516"/>
        <v>-40449</v>
      </c>
      <c r="AL186" s="688">
        <f t="shared" si="1516"/>
        <v>-41058</v>
      </c>
      <c r="AM186" s="197">
        <f t="shared" ref="AM186:AN186" si="1517">+-(AM170+AM173+AM178)</f>
        <v>-39704</v>
      </c>
      <c r="AN186" s="197">
        <f t="shared" si="1517"/>
        <v>-41058</v>
      </c>
      <c r="AO186" s="339">
        <f t="shared" si="1512"/>
        <v>-41058</v>
      </c>
      <c r="AP186" s="197">
        <f t="shared" si="1512"/>
        <v>-43574</v>
      </c>
      <c r="AQ186" s="197">
        <f t="shared" si="1512"/>
        <v>-43400</v>
      </c>
      <c r="AR186" s="197">
        <f t="shared" si="1512"/>
        <v>-42801</v>
      </c>
      <c r="AS186" s="688">
        <f t="shared" si="1512"/>
        <v>-42743</v>
      </c>
      <c r="AT186" s="197">
        <f t="shared" ref="AT186:AU186" si="1518">+-(AT170+AT173+AT178)</f>
        <v>-43400</v>
      </c>
      <c r="AU186" s="197">
        <f t="shared" si="1518"/>
        <v>-42743</v>
      </c>
      <c r="AV186" s="339">
        <f t="shared" si="1512"/>
        <v>-42743</v>
      </c>
      <c r="AW186" s="197"/>
      <c r="AX186" s="197"/>
      <c r="AY186" s="197"/>
      <c r="AZ186" s="688"/>
      <c r="BA186" s="197"/>
      <c r="BB186" s="197"/>
      <c r="BC186" s="339">
        <f t="shared" si="1512"/>
        <v>-43364</v>
      </c>
      <c r="BD186" s="197">
        <f t="shared" ref="BD186:BG186" si="1519">+-(BD170+BD173+BD178)</f>
        <v>-47215</v>
      </c>
      <c r="BE186" s="197">
        <f t="shared" si="1519"/>
        <v>-46942</v>
      </c>
      <c r="BF186" s="197">
        <f t="shared" si="1519"/>
        <v>-47919</v>
      </c>
      <c r="BG186" s="688">
        <f t="shared" si="1519"/>
        <v>-48186</v>
      </c>
      <c r="BH186" s="197">
        <f t="shared" ref="BH186:BI186" si="1520">+-(BH170+BH173+BH178)</f>
        <v>-46942</v>
      </c>
      <c r="BI186" s="197">
        <f t="shared" si="1520"/>
        <v>-48186</v>
      </c>
      <c r="BJ186" s="339">
        <f t="shared" si="1512"/>
        <v>-48186</v>
      </c>
      <c r="BK186" s="197">
        <f t="shared" si="1512"/>
        <v>-48086</v>
      </c>
      <c r="BL186" s="197">
        <f t="shared" si="1512"/>
        <v>-44027</v>
      </c>
      <c r="BM186" s="197">
        <f t="shared" si="1512"/>
        <v>-42279</v>
      </c>
      <c r="BN186" s="688">
        <f t="shared" si="1512"/>
        <v>-48051</v>
      </c>
      <c r="BO186" s="197">
        <f t="shared" ref="BO186:BP186" si="1521">+-(BO170+BO173+BO178)</f>
        <v>-44027</v>
      </c>
      <c r="BP186" s="197">
        <f t="shared" si="1521"/>
        <v>-48051</v>
      </c>
      <c r="BQ186" s="339">
        <f t="shared" si="1512"/>
        <v>-48051</v>
      </c>
      <c r="BR186" s="197">
        <f t="shared" ref="BR186:BU186" si="1522">+-(BR170+BR173+BR178)</f>
        <v>-45081</v>
      </c>
      <c r="BS186" s="197">
        <f t="shared" si="1522"/>
        <v>-42294</v>
      </c>
      <c r="BT186" s="197">
        <f t="shared" si="1522"/>
        <v>-39252</v>
      </c>
      <c r="BU186" s="688">
        <f t="shared" si="1522"/>
        <v>-36557</v>
      </c>
      <c r="BV186" s="197">
        <f t="shared" ref="BV186:BW186" si="1523">+-(BV170+BV173+BV178)</f>
        <v>-42294</v>
      </c>
      <c r="BW186" s="197">
        <f t="shared" si="1523"/>
        <v>-36557</v>
      </c>
      <c r="BX186" s="339">
        <f t="shared" si="1512"/>
        <v>-36557</v>
      </c>
      <c r="BY186" s="197">
        <f t="shared" si="1512"/>
        <v>-40090</v>
      </c>
      <c r="BZ186" s="197">
        <f t="shared" si="1512"/>
        <v>-37982</v>
      </c>
      <c r="CA186" s="197">
        <f t="shared" si="1512"/>
        <v>-38934</v>
      </c>
      <c r="CB186" s="688">
        <f t="shared" si="1512"/>
        <v>-37131</v>
      </c>
      <c r="CC186" s="197">
        <f t="shared" ref="CC186:CD186" si="1524">+-(CC170+CC173+CC178)</f>
        <v>-37982</v>
      </c>
      <c r="CD186" s="197">
        <f t="shared" si="1524"/>
        <v>-37131</v>
      </c>
      <c r="CE186" s="339">
        <f t="shared" si="1512"/>
        <v>-37131</v>
      </c>
      <c r="CF186" s="197">
        <f t="shared" ref="CF186:CI186" si="1525">+-(CF170+CF173+CF178)</f>
        <v>-38861</v>
      </c>
      <c r="CG186" s="197">
        <f t="shared" si="1525"/>
        <v>-41385</v>
      </c>
      <c r="CH186" s="197">
        <f t="shared" si="1525"/>
        <v>-43928</v>
      </c>
      <c r="CI186" s="688">
        <f t="shared" si="1525"/>
        <v>-40933</v>
      </c>
      <c r="CJ186" s="197">
        <f t="shared" ref="CJ186:CK186" si="1526">+-(CJ170+CJ173+CJ178)</f>
        <v>-41385</v>
      </c>
      <c r="CK186" s="197">
        <f t="shared" si="1526"/>
        <v>-40933</v>
      </c>
      <c r="CL186" s="339">
        <f t="shared" si="1512"/>
        <v>-40933</v>
      </c>
      <c r="CM186" s="197">
        <f t="shared" si="1512"/>
        <v>-44218</v>
      </c>
      <c r="CN186" s="197">
        <f t="shared" si="1512"/>
        <v>-44357</v>
      </c>
      <c r="CO186" s="197">
        <f t="shared" si="1512"/>
        <v>-44345</v>
      </c>
      <c r="CP186" s="688">
        <f t="shared" si="1512"/>
        <v>-42441</v>
      </c>
      <c r="CQ186" s="197">
        <f t="shared" ref="CQ186:CR186" si="1527">+-(CQ170+CQ173+CQ178)</f>
        <v>-44357</v>
      </c>
      <c r="CR186" s="197">
        <f t="shared" si="1527"/>
        <v>-42441</v>
      </c>
      <c r="CS186" s="339">
        <f t="shared" ref="CS186:CT186" si="1528">+-(CS170+CS173+CS178)</f>
        <v>-42441</v>
      </c>
      <c r="CT186" s="197">
        <f t="shared" si="1528"/>
        <v>-45765</v>
      </c>
      <c r="CU186" s="197">
        <f t="shared" ref="CU186:CW186" si="1529">+-(CU170+CU173+CU178)</f>
        <v>-47116</v>
      </c>
      <c r="CV186" s="197">
        <f t="shared" si="1529"/>
        <v>-46651</v>
      </c>
      <c r="CW186" s="688">
        <f t="shared" si="1529"/>
        <v>-48024</v>
      </c>
      <c r="CX186" s="197">
        <f t="shared" ref="CX186:DC186" si="1530">+-(CX170+CX173+CX178)</f>
        <v>-47116</v>
      </c>
      <c r="CY186" s="197">
        <f t="shared" si="1530"/>
        <v>-48024</v>
      </c>
      <c r="CZ186" s="339">
        <f t="shared" si="1530"/>
        <v>-48024</v>
      </c>
      <c r="DA186" s="197">
        <f t="shared" si="1530"/>
        <v>-49640</v>
      </c>
      <c r="DB186" s="197">
        <f t="shared" si="1530"/>
        <v>-49522</v>
      </c>
      <c r="DC186" s="197">
        <f t="shared" si="1530"/>
        <v>-50851</v>
      </c>
      <c r="DD186" s="1884">
        <f t="shared" ref="DD186:DF186" si="1531">+-(DD170+DD173+DD178)</f>
        <v>-52295</v>
      </c>
      <c r="DE186" s="197">
        <f t="shared" si="1531"/>
        <v>-49522</v>
      </c>
      <c r="DF186" s="197">
        <f t="shared" si="1531"/>
        <v>-52295</v>
      </c>
      <c r="DG186" s="339">
        <f t="shared" ref="DG186:DI186" si="1532">+-(DG170+DG173+DG178)</f>
        <v>-52295</v>
      </c>
      <c r="DH186" s="530">
        <f t="shared" si="1532"/>
        <v>-55572</v>
      </c>
      <c r="DI186" s="197">
        <f t="shared" si="1532"/>
        <v>-54246</v>
      </c>
      <c r="DJ186" s="460">
        <f t="shared" si="1512"/>
        <v>-48477.074714775212</v>
      </c>
      <c r="DK186" s="430">
        <f t="shared" si="1512"/>
        <v>-55264.321965498923</v>
      </c>
      <c r="DL186" s="197">
        <f t="shared" si="1512"/>
        <v>-54246</v>
      </c>
      <c r="DM186" s="322">
        <f t="shared" si="1512"/>
        <v>-55264.321965498923</v>
      </c>
      <c r="DN186" s="592">
        <f t="shared" si="1512"/>
        <v>-55264.321965498923</v>
      </c>
      <c r="DO186" s="460">
        <f t="shared" si="1512"/>
        <v>-52717.288086948363</v>
      </c>
      <c r="DP186" s="460">
        <f t="shared" si="1512"/>
        <v>-55447.25596311254</v>
      </c>
      <c r="DQ186" s="460">
        <f t="shared" si="1512"/>
        <v>-57904.148977212128</v>
      </c>
      <c r="DR186" s="430">
        <f t="shared" si="1512"/>
        <v>-58558.24099079195</v>
      </c>
      <c r="DS186" s="460">
        <f t="shared" si="1512"/>
        <v>-55447.25596311254</v>
      </c>
      <c r="DT186" s="322">
        <f t="shared" si="1512"/>
        <v>-58558.24099079195</v>
      </c>
      <c r="DU186" s="592">
        <f t="shared" si="1512"/>
        <v>-58558.24099079195</v>
      </c>
      <c r="DV186" s="460">
        <f t="shared" si="1512"/>
        <v>-55056.79456399224</v>
      </c>
      <c r="DW186" s="460">
        <f t="shared" si="1512"/>
        <v>-57927.005504099834</v>
      </c>
      <c r="DX186" s="460">
        <f t="shared" si="1512"/>
        <v>-60522.5184593909</v>
      </c>
      <c r="DY186" s="430">
        <f t="shared" si="1512"/>
        <v>-61348.581607527878</v>
      </c>
      <c r="DZ186" s="460">
        <f t="shared" si="1512"/>
        <v>-57927.005504099834</v>
      </c>
      <c r="EA186" s="322">
        <f t="shared" si="1512"/>
        <v>-61348.581607527878</v>
      </c>
      <c r="EB186" s="592">
        <f t="shared" si="1512"/>
        <v>-61348.581607527878</v>
      </c>
      <c r="EC186" s="460">
        <f t="shared" si="1512"/>
        <v>-58548.789162513123</v>
      </c>
      <c r="ED186" s="460">
        <f t="shared" si="1512"/>
        <v>-60520.286165081146</v>
      </c>
      <c r="EE186" s="460">
        <f t="shared" si="1512"/>
        <v>-62205.178776726461</v>
      </c>
      <c r="EF186" s="430">
        <f t="shared" si="1512"/>
        <v>-63556.844104161602</v>
      </c>
      <c r="EG186" s="460">
        <f t="shared" si="1512"/>
        <v>-60520.286165081146</v>
      </c>
      <c r="EH186" s="322">
        <f t="shared" si="1512"/>
        <v>-63556.844104161602</v>
      </c>
      <c r="EI186" s="592">
        <f t="shared" si="1512"/>
        <v>-63556.844104161602</v>
      </c>
      <c r="EJ186" s="460">
        <f t="shared" si="1512"/>
        <v>-60242.977620689635</v>
      </c>
      <c r="EK186" s="460">
        <f t="shared" si="1512"/>
        <v>-62304.246716785594</v>
      </c>
      <c r="EL186" s="460">
        <f t="shared" si="1512"/>
        <v>-64067.294495799739</v>
      </c>
      <c r="EM186" s="430">
        <f t="shared" si="1512"/>
        <v>-65458.060265183871</v>
      </c>
      <c r="EN186" s="460">
        <f t="shared" si="1512"/>
        <v>-62304.246716785594</v>
      </c>
      <c r="EO186" s="322">
        <f t="shared" si="1512"/>
        <v>-65458.060265183871</v>
      </c>
      <c r="EP186" s="592">
        <f t="shared" si="1512"/>
        <v>-65458.060265183871</v>
      </c>
      <c r="EQ186" s="303"/>
      <c r="ER186" s="91"/>
    </row>
    <row r="187" spans="1:148" ht="10.199999999999999" customHeight="1">
      <c r="A187" s="48"/>
      <c r="B187" s="48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699"/>
      <c r="R187" s="92"/>
      <c r="S187" s="92"/>
      <c r="T187" s="1289"/>
      <c r="U187" s="92"/>
      <c r="V187" s="92"/>
      <c r="W187" s="92"/>
      <c r="X187" s="699"/>
      <c r="Y187" s="92"/>
      <c r="Z187" s="92"/>
      <c r="AA187" s="1289"/>
      <c r="AB187" s="92"/>
      <c r="AC187" s="92"/>
      <c r="AD187" s="92"/>
      <c r="AE187" s="699"/>
      <c r="AF187" s="92"/>
      <c r="AG187" s="92"/>
      <c r="AH187" s="1289"/>
      <c r="AI187" s="92"/>
      <c r="AJ187" s="92"/>
      <c r="AK187" s="92"/>
      <c r="AL187" s="699"/>
      <c r="AM187" s="92"/>
      <c r="AN187" s="92"/>
      <c r="AO187" s="1289"/>
      <c r="AP187" s="92"/>
      <c r="AQ187" s="92"/>
      <c r="AR187" s="92"/>
      <c r="AS187" s="699"/>
      <c r="AT187" s="92"/>
      <c r="AU187" s="92"/>
      <c r="AV187" s="1289"/>
      <c r="AW187" s="92"/>
      <c r="AX187" s="92"/>
      <c r="AY187" s="92"/>
      <c r="AZ187" s="699"/>
      <c r="BA187" s="92"/>
      <c r="BB187" s="92"/>
      <c r="BC187" s="1289"/>
      <c r="BD187" s="92"/>
      <c r="BE187" s="92"/>
      <c r="BF187" s="92"/>
      <c r="BG187" s="699"/>
      <c r="BH187" s="92"/>
      <c r="BI187" s="92"/>
      <c r="BJ187" s="1289"/>
      <c r="BK187" s="92"/>
      <c r="BL187" s="92"/>
      <c r="BM187" s="92"/>
      <c r="BN187" s="699"/>
      <c r="BO187" s="92"/>
      <c r="BP187" s="92"/>
      <c r="BQ187" s="1289"/>
      <c r="BR187" s="92"/>
      <c r="BS187" s="92"/>
      <c r="BT187" s="92"/>
      <c r="BU187" s="699"/>
      <c r="BV187" s="92"/>
      <c r="BW187" s="92"/>
      <c r="BX187" s="1289"/>
      <c r="BY187" s="92"/>
      <c r="BZ187" s="92"/>
      <c r="CA187" s="92"/>
      <c r="CB187" s="699"/>
      <c r="CC187" s="92"/>
      <c r="CD187" s="92"/>
      <c r="CE187" s="1289"/>
      <c r="CF187" s="92"/>
      <c r="CG187" s="92"/>
      <c r="CH187" s="92"/>
      <c r="CI187" s="699"/>
      <c r="CJ187" s="92"/>
      <c r="CK187" s="92"/>
      <c r="CL187" s="1289"/>
      <c r="CM187" s="92"/>
      <c r="CN187" s="92"/>
      <c r="CO187" s="92"/>
      <c r="CP187" s="699"/>
      <c r="CQ187" s="92"/>
      <c r="CR187" s="92"/>
      <c r="CS187" s="1289"/>
      <c r="CT187" s="92"/>
      <c r="CU187" s="92"/>
      <c r="CV187" s="92"/>
      <c r="CW187" s="699"/>
      <c r="CX187" s="92"/>
      <c r="CY187" s="92"/>
      <c r="CZ187" s="1289"/>
      <c r="DA187" s="92"/>
      <c r="DB187" s="625"/>
      <c r="DC187" s="92"/>
      <c r="DD187" s="1908"/>
      <c r="DE187" s="92"/>
      <c r="DF187" s="92"/>
      <c r="DG187" s="1289"/>
      <c r="DH187" s="319"/>
      <c r="DI187" s="625"/>
      <c r="DJ187" s="625"/>
      <c r="DK187" s="623"/>
      <c r="DL187" s="92"/>
      <c r="DM187" s="622"/>
      <c r="DN187" s="762"/>
      <c r="DO187" s="625"/>
      <c r="DP187" s="625"/>
      <c r="DQ187" s="625"/>
      <c r="DR187" s="623"/>
      <c r="DS187" s="625"/>
      <c r="DT187" s="622"/>
      <c r="DU187" s="762"/>
      <c r="DV187" s="625"/>
      <c r="DW187" s="625"/>
      <c r="DX187" s="625"/>
      <c r="DY187" s="623"/>
      <c r="DZ187" s="625"/>
      <c r="EA187" s="622"/>
      <c r="EB187" s="762"/>
      <c r="EC187" s="625"/>
      <c r="ED187" s="625"/>
      <c r="EE187" s="625"/>
      <c r="EF187" s="623"/>
      <c r="EG187" s="625"/>
      <c r="EH187" s="622"/>
      <c r="EI187" s="762"/>
      <c r="EJ187" s="625"/>
      <c r="EK187" s="625"/>
      <c r="EL187" s="625"/>
      <c r="EM187" s="623"/>
      <c r="EN187" s="625"/>
      <c r="EO187" s="622"/>
      <c r="EP187" s="762"/>
      <c r="EQ187" s="303"/>
      <c r="ER187" s="91"/>
    </row>
    <row r="188" spans="1:148" ht="10.199999999999999" customHeight="1">
      <c r="A188" s="48" t="s">
        <v>204</v>
      </c>
      <c r="B188" s="108"/>
      <c r="C188" s="126">
        <f>+C185+C186</f>
        <v>12241</v>
      </c>
      <c r="D188" s="126">
        <f t="shared" ref="D188:M188" si="1533">C188+D189</f>
        <v>10222</v>
      </c>
      <c r="E188" s="126">
        <f t="shared" si="1533"/>
        <v>8067</v>
      </c>
      <c r="F188" s="126">
        <f t="shared" si="1533"/>
        <v>6828</v>
      </c>
      <c r="G188" s="126">
        <f t="shared" si="1533"/>
        <v>6971</v>
      </c>
      <c r="H188" s="126">
        <f t="shared" si="1533"/>
        <v>5735</v>
      </c>
      <c r="I188" s="126">
        <f t="shared" si="1533"/>
        <v>5907</v>
      </c>
      <c r="J188" s="126">
        <f t="shared" si="1533"/>
        <v>5892</v>
      </c>
      <c r="K188" s="126">
        <f t="shared" si="1533"/>
        <v>3073</v>
      </c>
      <c r="L188" s="126">
        <f t="shared" si="1533"/>
        <v>1687</v>
      </c>
      <c r="M188" s="126">
        <f t="shared" si="1533"/>
        <v>1763</v>
      </c>
      <c r="N188" s="126"/>
      <c r="O188" s="126"/>
      <c r="P188" s="126"/>
      <c r="Q188" s="1276"/>
      <c r="R188" s="126"/>
      <c r="S188" s="126"/>
      <c r="T188" s="1082">
        <f>M188+T189</f>
        <v>3854</v>
      </c>
      <c r="U188" s="126">
        <f>T188+U189</f>
        <v>6399</v>
      </c>
      <c r="V188" s="126">
        <f>U188+V189</f>
        <v>7878</v>
      </c>
      <c r="W188" s="126">
        <f>V188+W189</f>
        <v>8022</v>
      </c>
      <c r="X188" s="1276">
        <f t="shared" ref="X188" si="1534">+X185+X186+X182</f>
        <v>6240</v>
      </c>
      <c r="Y188" s="126">
        <f>T188+Y189</f>
        <v>7878</v>
      </c>
      <c r="Z188" s="126">
        <f t="shared" ref="Z188" si="1535">+Z185+Z186+Z182</f>
        <v>6240</v>
      </c>
      <c r="AA188" s="1082">
        <f>T188+AA189</f>
        <v>6240</v>
      </c>
      <c r="AB188" s="126">
        <f>AA188+AB189</f>
        <v>7467</v>
      </c>
      <c r="AC188" s="126">
        <f>AB188+AC189</f>
        <v>8341</v>
      </c>
      <c r="AD188" s="126">
        <f>AC188+AD189</f>
        <v>9542</v>
      </c>
      <c r="AE188" s="1276">
        <f t="shared" ref="AE188" si="1536">+AE185+AE186+AE182</f>
        <v>6963</v>
      </c>
      <c r="AF188" s="126">
        <f>AA188+AF189</f>
        <v>8341</v>
      </c>
      <c r="AG188" s="126">
        <f t="shared" ref="AG188" si="1537">+AG185+AG186+AG182</f>
        <v>6963</v>
      </c>
      <c r="AH188" s="1082">
        <f>AA188+AH189</f>
        <v>6963</v>
      </c>
      <c r="AI188" s="126">
        <f>AH188+AI189</f>
        <v>9777</v>
      </c>
      <c r="AJ188" s="126">
        <f>AI188+AJ189</f>
        <v>9460</v>
      </c>
      <c r="AK188" s="126">
        <f>AJ188+AK189</f>
        <v>10539</v>
      </c>
      <c r="AL188" s="1276">
        <f t="shared" ref="AL188" si="1538">+AL185+AL186+AL182</f>
        <v>5718</v>
      </c>
      <c r="AM188" s="126">
        <f>AH188+AM189</f>
        <v>9460</v>
      </c>
      <c r="AN188" s="126">
        <f t="shared" ref="AN188" si="1539">+AN185+AN186+AN182</f>
        <v>5718</v>
      </c>
      <c r="AO188" s="1082">
        <f>AH188+AO189</f>
        <v>5718</v>
      </c>
      <c r="AP188" s="126">
        <f>AO188+AP189</f>
        <v>7055</v>
      </c>
      <c r="AQ188" s="126">
        <f>AP188+AQ189</f>
        <v>8857</v>
      </c>
      <c r="AR188" s="126">
        <f>AQ188+AR189</f>
        <v>10177</v>
      </c>
      <c r="AS188" s="1276">
        <f t="shared" ref="AS188" si="1540">+AS185+AS186+AS182</f>
        <v>5452</v>
      </c>
      <c r="AT188" s="126">
        <f>AO188+AT189</f>
        <v>8857</v>
      </c>
      <c r="AU188" s="126">
        <f t="shared" ref="AU188" si="1541">+AU185+AU186+AU182</f>
        <v>5452</v>
      </c>
      <c r="AV188" s="1082">
        <f>AO188+AV189</f>
        <v>5452</v>
      </c>
      <c r="AW188" s="126"/>
      <c r="AX188" s="126"/>
      <c r="AY188" s="126"/>
      <c r="AZ188" s="1276"/>
      <c r="BA188" s="126"/>
      <c r="BB188" s="126"/>
      <c r="BC188" s="1082">
        <f>AO188+BC189</f>
        <v>5357</v>
      </c>
      <c r="BD188" s="126">
        <f>BC188+BD189</f>
        <v>9154</v>
      </c>
      <c r="BE188" s="126">
        <f>BD188+BE189</f>
        <v>9858</v>
      </c>
      <c r="BF188" s="126">
        <f>BE188+BF189</f>
        <v>11044</v>
      </c>
      <c r="BG188" s="1276">
        <f t="shared" ref="BG188" si="1542">+BG185+BG186+BG182</f>
        <v>5990</v>
      </c>
      <c r="BH188" s="126">
        <f>BC188+BH189</f>
        <v>9858</v>
      </c>
      <c r="BI188" s="126">
        <f t="shared" ref="BI188" si="1543">+BI185+BI186+BI182</f>
        <v>5990</v>
      </c>
      <c r="BJ188" s="1082">
        <f>BC188+BJ189</f>
        <v>5990</v>
      </c>
      <c r="BK188" s="126">
        <f>BJ188+BK189</f>
        <v>10693</v>
      </c>
      <c r="BL188" s="126">
        <f>BK188+BL189</f>
        <v>12078</v>
      </c>
      <c r="BM188" s="126">
        <f>BL188+BM189</f>
        <v>14194</v>
      </c>
      <c r="BN188" s="1276">
        <f t="shared" ref="BN188" si="1544">+BN185+BN186+BN182</f>
        <v>3774</v>
      </c>
      <c r="BO188" s="126">
        <f>BJ188+BO189</f>
        <v>12078</v>
      </c>
      <c r="BP188" s="126">
        <f t="shared" ref="BP188" si="1545">+BP185+BP186+BP182</f>
        <v>3774</v>
      </c>
      <c r="BQ188" s="1082">
        <f>BJ188+BQ189</f>
        <v>3774</v>
      </c>
      <c r="BR188" s="126">
        <f>BQ188+BR189</f>
        <v>11546</v>
      </c>
      <c r="BS188" s="126">
        <f>BR188+BS189</f>
        <v>15712</v>
      </c>
      <c r="BT188" s="126">
        <f>BS188+BT189</f>
        <v>16090</v>
      </c>
      <c r="BU188" s="1276">
        <f t="shared" ref="BU188" si="1546">+BU185+BU186+BU182</f>
        <v>12011</v>
      </c>
      <c r="BV188" s="126">
        <f>BQ188+BV189</f>
        <v>15712</v>
      </c>
      <c r="BW188" s="126">
        <f t="shared" ref="BW188" si="1547">+BW185+BW186+BW182</f>
        <v>12011</v>
      </c>
      <c r="BX188" s="1082">
        <f>BQ188+BX189</f>
        <v>12011</v>
      </c>
      <c r="BY188" s="126">
        <f>BX188+BY189</f>
        <v>10971</v>
      </c>
      <c r="BZ188" s="126">
        <f>BY188+BZ189</f>
        <v>11271</v>
      </c>
      <c r="CA188" s="126">
        <f>BZ188+CA189</f>
        <v>11181</v>
      </c>
      <c r="CB188" s="1276">
        <f t="shared" ref="CB188" si="1548">+CB185+CB186+CB182</f>
        <v>10944</v>
      </c>
      <c r="CC188" s="126">
        <f>BX188+CC189</f>
        <v>11271</v>
      </c>
      <c r="CD188" s="126">
        <f t="shared" ref="CD188" si="1549">+CD185+CD186+CD182</f>
        <v>10944</v>
      </c>
      <c r="CE188" s="1082">
        <f>BX188+CE189</f>
        <v>10944</v>
      </c>
      <c r="CF188" s="126">
        <f>CE188+CF189</f>
        <v>11606</v>
      </c>
      <c r="CG188" s="126">
        <f>CF188+CG189</f>
        <v>10621</v>
      </c>
      <c r="CH188" s="126">
        <f>CG188+CH189</f>
        <v>10866</v>
      </c>
      <c r="CI188" s="1276">
        <f t="shared" ref="CI188" si="1550">+CI185+CI186+CI182</f>
        <v>9523</v>
      </c>
      <c r="CJ188" s="126">
        <f>CE188+CJ189</f>
        <v>10621</v>
      </c>
      <c r="CK188" s="126">
        <f t="shared" ref="CK188" si="1551">+CK185+CK186+CK182</f>
        <v>9523</v>
      </c>
      <c r="CL188" s="1082">
        <f>CE188+CL189</f>
        <v>9523</v>
      </c>
      <c r="CM188" s="126">
        <f>CL188+CM189</f>
        <v>10260</v>
      </c>
      <c r="CN188" s="126">
        <f>CM188+CN189</f>
        <v>8875</v>
      </c>
      <c r="CO188" s="126">
        <f>CN188+CO189</f>
        <v>10465</v>
      </c>
      <c r="CP188" s="1276">
        <f t="shared" ref="CP188" si="1552">+CP185+CP186+CP182</f>
        <v>8318</v>
      </c>
      <c r="CQ188" s="126">
        <f>CL188+CQ189</f>
        <v>8875</v>
      </c>
      <c r="CR188" s="126">
        <f t="shared" ref="CR188" si="1553">+CR185+CR186+CR182</f>
        <v>8318</v>
      </c>
      <c r="CS188" s="1082">
        <f t="shared" ref="CS188" si="1554">CL188+CS189</f>
        <v>8318</v>
      </c>
      <c r="CT188" s="126">
        <f>CS188+CT189</f>
        <v>10602</v>
      </c>
      <c r="CU188" s="126">
        <f>CT188+CU189</f>
        <v>9862</v>
      </c>
      <c r="CV188" s="126">
        <f>CU188+CV189</f>
        <v>10541</v>
      </c>
      <c r="CW188" s="1276">
        <f t="shared" ref="CW188" si="1555">+CW185+CW186+CW182</f>
        <v>6981</v>
      </c>
      <c r="CX188" s="126">
        <f>CS188+CX189</f>
        <v>9862</v>
      </c>
      <c r="CY188" s="126">
        <f t="shared" ref="CY188" si="1556">+CY185+CY186+CY182</f>
        <v>6981</v>
      </c>
      <c r="CZ188" s="1082">
        <f t="shared" ref="CZ188" si="1557">CS188+CZ189</f>
        <v>6981</v>
      </c>
      <c r="DA188" s="126">
        <f>CZ188+DA189</f>
        <v>7881</v>
      </c>
      <c r="DB188" s="126">
        <f>DA188+DB189</f>
        <v>10015</v>
      </c>
      <c r="DC188" s="126">
        <f>DB188+DC189</f>
        <v>10652</v>
      </c>
      <c r="DD188" s="1888">
        <f t="shared" ref="DD188" si="1558">+DD185+DD186+DD182</f>
        <v>6881</v>
      </c>
      <c r="DE188" s="126">
        <f>CZ188+DE189</f>
        <v>10015</v>
      </c>
      <c r="DF188" s="126">
        <f t="shared" ref="DF188" si="1559">+DF185+DF186+DF182</f>
        <v>6881</v>
      </c>
      <c r="DG188" s="1082">
        <f t="shared" ref="DG188" si="1560">CZ188+DG189</f>
        <v>6881</v>
      </c>
      <c r="DH188" s="852">
        <f>DG188+DH189</f>
        <v>9767</v>
      </c>
      <c r="DI188" s="126">
        <f>DH188+DI189</f>
        <v>11294</v>
      </c>
      <c r="DJ188" s="884">
        <f t="shared" ref="DJ188:EP188" si="1561">+DJ185+DJ186+DJ182</f>
        <v>11058.528947829574</v>
      </c>
      <c r="DK188" s="1111">
        <f t="shared" si="1561"/>
        <v>7498.5879968078298</v>
      </c>
      <c r="DL188" s="126">
        <f>DG188+DL189</f>
        <v>11294</v>
      </c>
      <c r="DM188" s="1110">
        <f t="shared" si="1561"/>
        <v>7498.5879968078298</v>
      </c>
      <c r="DN188" s="1486">
        <f t="shared" si="1561"/>
        <v>7498.5879968078298</v>
      </c>
      <c r="DO188" s="884">
        <f t="shared" si="1561"/>
        <v>8136.1302565073129</v>
      </c>
      <c r="DP188" s="884">
        <f t="shared" si="1561"/>
        <v>8206.6164672056184</v>
      </c>
      <c r="DQ188" s="884">
        <f t="shared" si="1561"/>
        <v>8270.052040996452</v>
      </c>
      <c r="DR188" s="1111">
        <f t="shared" si="1561"/>
        <v>8286.9403230483513</v>
      </c>
      <c r="DS188" s="884">
        <f t="shared" si="1561"/>
        <v>8206.6164672056184</v>
      </c>
      <c r="DT188" s="1110">
        <f t="shared" si="1561"/>
        <v>8286.9403230483513</v>
      </c>
      <c r="DU188" s="1486">
        <f t="shared" si="1561"/>
        <v>8286.9403230483513</v>
      </c>
      <c r="DV188" s="884">
        <f t="shared" si="1561"/>
        <v>8222.6236999159446</v>
      </c>
      <c r="DW188" s="884">
        <f t="shared" si="1561"/>
        <v>8298.0909590174269</v>
      </c>
      <c r="DX188" s="884">
        <f t="shared" si="1561"/>
        <v>8366.3355071658152</v>
      </c>
      <c r="DY188" s="1111">
        <f t="shared" si="1561"/>
        <v>8388.0554165855356</v>
      </c>
      <c r="DZ188" s="884">
        <f t="shared" si="1561"/>
        <v>8298.0909590174269</v>
      </c>
      <c r="EA188" s="1110">
        <f t="shared" si="1561"/>
        <v>8388.0554165855356</v>
      </c>
      <c r="EB188" s="1486">
        <f t="shared" si="1561"/>
        <v>8388.0554165855356</v>
      </c>
      <c r="EC188" s="884">
        <f t="shared" si="1561"/>
        <v>8843.0117075992384</v>
      </c>
      <c r="ED188" s="884">
        <f t="shared" si="1561"/>
        <v>8912.6472874485698</v>
      </c>
      <c r="EE188" s="884">
        <f t="shared" si="1561"/>
        <v>8972.1596650189749</v>
      </c>
      <c r="EF188" s="1111">
        <f t="shared" si="1561"/>
        <v>9019.902065192844</v>
      </c>
      <c r="EG188" s="884">
        <f t="shared" si="1561"/>
        <v>8912.6472874485698</v>
      </c>
      <c r="EH188" s="1110">
        <f t="shared" si="1561"/>
        <v>9019.902065192844</v>
      </c>
      <c r="EI188" s="1486">
        <f t="shared" si="1561"/>
        <v>9019.902065192844</v>
      </c>
      <c r="EJ188" s="884">
        <f t="shared" si="1561"/>
        <v>9178.3898930096911</v>
      </c>
      <c r="EK188" s="884">
        <f t="shared" si="1561"/>
        <v>9260.6240970280051</v>
      </c>
      <c r="EL188" s="884">
        <f t="shared" si="1561"/>
        <v>9330.9607799133519</v>
      </c>
      <c r="EM188" s="1111">
        <f t="shared" si="1561"/>
        <v>9386.4452948841936</v>
      </c>
      <c r="EN188" s="884">
        <f t="shared" si="1561"/>
        <v>9260.6240970280051</v>
      </c>
      <c r="EO188" s="1110">
        <f t="shared" si="1561"/>
        <v>9386.4452948841936</v>
      </c>
      <c r="EP188" s="1486">
        <f t="shared" si="1561"/>
        <v>9386.4452948841936</v>
      </c>
      <c r="EQ188" s="303"/>
      <c r="ER188" s="91"/>
    </row>
    <row r="189" spans="1:148" ht="10.199999999999999" customHeight="1">
      <c r="A189" s="48" t="s">
        <v>540</v>
      </c>
      <c r="B189" s="108"/>
      <c r="C189" s="126"/>
      <c r="D189" s="126">
        <f>-CFS!D20</f>
        <v>-2019</v>
      </c>
      <c r="E189" s="126">
        <f>-CFS!E20</f>
        <v>-2155</v>
      </c>
      <c r="F189" s="126">
        <f>-CFS!F20</f>
        <v>-1239</v>
      </c>
      <c r="G189" s="126">
        <f>-CFS!G20</f>
        <v>143</v>
      </c>
      <c r="H189" s="126">
        <f>-CFS!H20</f>
        <v>-1236</v>
      </c>
      <c r="I189" s="126">
        <f>-CFS!I20</f>
        <v>172</v>
      </c>
      <c r="J189" s="126">
        <f>-CFS!J20</f>
        <v>-15</v>
      </c>
      <c r="K189" s="126">
        <f>-CFS!K20</f>
        <v>-2819</v>
      </c>
      <c r="L189" s="126">
        <f>-CFS!L20</f>
        <v>-1386</v>
      </c>
      <c r="M189" s="126">
        <f>-CFS!M20</f>
        <v>76</v>
      </c>
      <c r="N189" s="126"/>
      <c r="O189" s="126"/>
      <c r="P189" s="126"/>
      <c r="Q189" s="1276"/>
      <c r="R189" s="126"/>
      <c r="S189" s="126"/>
      <c r="T189" s="1082">
        <f>-CFS!T20</f>
        <v>2091</v>
      </c>
      <c r="U189" s="126">
        <f>-CFS!U20</f>
        <v>2545</v>
      </c>
      <c r="V189" s="126">
        <f>-CFS!V20</f>
        <v>1479</v>
      </c>
      <c r="W189" s="126">
        <f>-CFS!W20</f>
        <v>144</v>
      </c>
      <c r="X189" s="1276">
        <f>-CFS!X20</f>
        <v>-1782</v>
      </c>
      <c r="Y189" s="126">
        <f>-CFS!Y20</f>
        <v>4024</v>
      </c>
      <c r="Z189" s="126">
        <f>-CFS!Z20</f>
        <v>-1638</v>
      </c>
      <c r="AA189" s="1082">
        <f>-CFS!AA20</f>
        <v>2386</v>
      </c>
      <c r="AB189" s="126">
        <f>-CFS!AB20</f>
        <v>1227</v>
      </c>
      <c r="AC189" s="126">
        <f>-CFS!AC20</f>
        <v>874</v>
      </c>
      <c r="AD189" s="126">
        <f>-CFS!AD20</f>
        <v>1201</v>
      </c>
      <c r="AE189" s="1276">
        <f>-CFS!AE20</f>
        <v>-2579</v>
      </c>
      <c r="AF189" s="126">
        <f>-CFS!AF20</f>
        <v>2101</v>
      </c>
      <c r="AG189" s="126">
        <f>-CFS!AG20</f>
        <v>-1378</v>
      </c>
      <c r="AH189" s="1082">
        <f>-CFS!AH20</f>
        <v>723</v>
      </c>
      <c r="AI189" s="126">
        <f>-CFS!AI20</f>
        <v>2814</v>
      </c>
      <c r="AJ189" s="126">
        <f>-CFS!AJ20</f>
        <v>-317</v>
      </c>
      <c r="AK189" s="126">
        <f>-CFS!AK20</f>
        <v>1079</v>
      </c>
      <c r="AL189" s="1276">
        <f>-CFS!AL20</f>
        <v>-4821</v>
      </c>
      <c r="AM189" s="126">
        <f>-CFS!AM20</f>
        <v>2497</v>
      </c>
      <c r="AN189" s="126">
        <f>-CFS!AN20</f>
        <v>-3742</v>
      </c>
      <c r="AO189" s="1082">
        <f>-CFS!AO20</f>
        <v>-1245</v>
      </c>
      <c r="AP189" s="126">
        <f>-CFS!AP20</f>
        <v>1337</v>
      </c>
      <c r="AQ189" s="126">
        <f>-CFS!AQ20</f>
        <v>1802</v>
      </c>
      <c r="AR189" s="126">
        <f>-CFS!AR20</f>
        <v>1320</v>
      </c>
      <c r="AS189" s="1276">
        <f>-CFS!AS20</f>
        <v>-4725</v>
      </c>
      <c r="AT189" s="126">
        <f>-CFS!AT20</f>
        <v>3139</v>
      </c>
      <c r="AU189" s="126">
        <f>-CFS!AU20</f>
        <v>-3405</v>
      </c>
      <c r="AV189" s="1082">
        <f>-CFS!AV20</f>
        <v>-266</v>
      </c>
      <c r="AW189" s="126"/>
      <c r="AX189" s="126"/>
      <c r="AY189" s="126"/>
      <c r="AZ189" s="1276"/>
      <c r="BA189" s="126"/>
      <c r="BB189" s="126"/>
      <c r="BC189" s="1082">
        <f>-CFS!BC20</f>
        <v>-361</v>
      </c>
      <c r="BD189" s="126">
        <f>-CFS!BD20</f>
        <v>3797</v>
      </c>
      <c r="BE189" s="126">
        <f>-CFS!BE20</f>
        <v>704</v>
      </c>
      <c r="BF189" s="126">
        <f>-CFS!BF20</f>
        <v>1186</v>
      </c>
      <c r="BG189" s="1276">
        <f>-CFS!BG20</f>
        <v>-5054</v>
      </c>
      <c r="BH189" s="126">
        <f>-CFS!BH20</f>
        <v>4501</v>
      </c>
      <c r="BI189" s="126">
        <f>-CFS!BI20</f>
        <v>-3868</v>
      </c>
      <c r="BJ189" s="1082">
        <f>-CFS!BJ20</f>
        <v>633</v>
      </c>
      <c r="BK189" s="126">
        <f>-CFS!BK20</f>
        <v>4703</v>
      </c>
      <c r="BL189" s="126">
        <f>-CFS!BL20</f>
        <v>1385</v>
      </c>
      <c r="BM189" s="126">
        <f>-CFS!BM20</f>
        <v>2116</v>
      </c>
      <c r="BN189" s="1276">
        <f>-CFS!BN20</f>
        <v>-10420</v>
      </c>
      <c r="BO189" s="126">
        <f>-CFS!BO20</f>
        <v>6088</v>
      </c>
      <c r="BP189" s="126">
        <f>-CFS!BP20</f>
        <v>-8304</v>
      </c>
      <c r="BQ189" s="1082">
        <f>-CFS!BQ20</f>
        <v>-2216</v>
      </c>
      <c r="BR189" s="126">
        <f>-CFS!BR20</f>
        <v>7772</v>
      </c>
      <c r="BS189" s="126">
        <f>-CFS!BS20</f>
        <v>4166</v>
      </c>
      <c r="BT189" s="126">
        <f>-CFS!BT20</f>
        <v>378</v>
      </c>
      <c r="BU189" s="1276">
        <f>-CFS!BU20</f>
        <v>-4079</v>
      </c>
      <c r="BV189" s="126">
        <f>-CFS!BV20</f>
        <v>11938</v>
      </c>
      <c r="BW189" s="126">
        <f>-CFS!BW20</f>
        <v>-3701</v>
      </c>
      <c r="BX189" s="1082">
        <f>-CFS!BX20</f>
        <v>8237</v>
      </c>
      <c r="BY189" s="126">
        <f>-CFS!BY20</f>
        <v>-1040</v>
      </c>
      <c r="BZ189" s="126">
        <f>-CFS!BZ20</f>
        <v>300</v>
      </c>
      <c r="CA189" s="126">
        <f>-CFS!CA20</f>
        <v>-90</v>
      </c>
      <c r="CB189" s="1276">
        <f>-CFS!CB20</f>
        <v>-237</v>
      </c>
      <c r="CC189" s="126">
        <f>-CFS!CC20</f>
        <v>-740</v>
      </c>
      <c r="CD189" s="126">
        <f>-CFS!CD20</f>
        <v>-327</v>
      </c>
      <c r="CE189" s="1082">
        <f>-CFS!CE20</f>
        <v>-1067</v>
      </c>
      <c r="CF189" s="126">
        <f>-CFS!CF20</f>
        <v>662</v>
      </c>
      <c r="CG189" s="126">
        <f>-CFS!CG20</f>
        <v>-985</v>
      </c>
      <c r="CH189" s="126">
        <f>-CFS!CH20</f>
        <v>245</v>
      </c>
      <c r="CI189" s="1276">
        <f>-CFS!CI20</f>
        <v>-1343</v>
      </c>
      <c r="CJ189" s="126">
        <f>-CFS!CJ20</f>
        <v>-323</v>
      </c>
      <c r="CK189" s="126">
        <f>-CFS!CK20</f>
        <v>-1098</v>
      </c>
      <c r="CL189" s="1082">
        <f>-CFS!CL20</f>
        <v>-1421</v>
      </c>
      <c r="CM189" s="126">
        <f>-CFS!CM20</f>
        <v>737</v>
      </c>
      <c r="CN189" s="126">
        <f>-CFS!CN20</f>
        <v>-1385</v>
      </c>
      <c r="CO189" s="126">
        <f>-CFS!CO20</f>
        <v>1590</v>
      </c>
      <c r="CP189" s="1276">
        <f>-CFS!CP20</f>
        <v>-2147</v>
      </c>
      <c r="CQ189" s="126">
        <f>-CFS!CQ20</f>
        <v>-648</v>
      </c>
      <c r="CR189" s="126">
        <f>-CFS!CR20</f>
        <v>-557</v>
      </c>
      <c r="CS189" s="1082">
        <f>-CFS!CS20</f>
        <v>-1205</v>
      </c>
      <c r="CT189" s="126">
        <f>-CFS!CT20</f>
        <v>2284</v>
      </c>
      <c r="CU189" s="126">
        <f>-CFS!CU20</f>
        <v>-740</v>
      </c>
      <c r="CV189" s="126">
        <f>-CFS!CV20</f>
        <v>679</v>
      </c>
      <c r="CW189" s="1276">
        <f>-CFS!CW20</f>
        <v>-3560</v>
      </c>
      <c r="CX189" s="126">
        <f>-CFS!CX20</f>
        <v>1544</v>
      </c>
      <c r="CY189" s="126">
        <f>-CFS!CY20</f>
        <v>-2881</v>
      </c>
      <c r="CZ189" s="1082">
        <f>-CFS!CZ20</f>
        <v>-1337</v>
      </c>
      <c r="DA189" s="126">
        <f>-CFS!DA20</f>
        <v>900</v>
      </c>
      <c r="DB189" s="126">
        <f>-CFS!DB20</f>
        <v>2134</v>
      </c>
      <c r="DC189" s="126">
        <f>-CFS!DC20</f>
        <v>637</v>
      </c>
      <c r="DD189" s="1888">
        <f>-CFS!DD20</f>
        <v>-3771</v>
      </c>
      <c r="DE189" s="126">
        <f>-CFS!DE20</f>
        <v>3034</v>
      </c>
      <c r="DF189" s="126">
        <f>-CFS!DF20</f>
        <v>-3134</v>
      </c>
      <c r="DG189" s="1082">
        <f>-CFS!DG20</f>
        <v>-100</v>
      </c>
      <c r="DH189" s="852">
        <f>-CFS!DH20</f>
        <v>2886</v>
      </c>
      <c r="DI189" s="126">
        <f>-CFS!DI20</f>
        <v>1527</v>
      </c>
      <c r="DJ189" s="884">
        <f>-CFS!DJ20</f>
        <v>500</v>
      </c>
      <c r="DK189" s="1111">
        <f>-CFS!DK20</f>
        <v>-5119.1874641168752</v>
      </c>
      <c r="DL189" s="126">
        <f>-CFS!DL20</f>
        <v>4413</v>
      </c>
      <c r="DM189" s="1110">
        <f>-CFS!DM20</f>
        <v>-4619.1874641168752</v>
      </c>
      <c r="DN189" s="1486">
        <f>-CFS!DN20</f>
        <v>-206.18746411687493</v>
      </c>
      <c r="DO189" s="884">
        <f>-CFS!DO20</f>
        <v>2773.5405815505828</v>
      </c>
      <c r="DP189" s="884">
        <f>-CFS!DP20</f>
        <v>-1233.0357546633422</v>
      </c>
      <c r="DQ189" s="884">
        <f>-CFS!DQ20</f>
        <v>-1109.6969155636884</v>
      </c>
      <c r="DR189" s="1111">
        <f>-CFS!DR20</f>
        <v>-295.43162270351502</v>
      </c>
      <c r="DS189" s="884">
        <f>-CFS!DS20</f>
        <v>1540.5048268872406</v>
      </c>
      <c r="DT189" s="1110">
        <f>-CFS!DT20</f>
        <v>-1405.1285382672036</v>
      </c>
      <c r="DU189" s="1486">
        <f>-CFS!DU20</f>
        <v>135.37628862003714</v>
      </c>
      <c r="DV189" s="884">
        <f>-CFS!DV20</f>
        <v>2357.7801327452844</v>
      </c>
      <c r="DW189" s="884">
        <f>-CFS!DW20</f>
        <v>-1255.9093097403024</v>
      </c>
      <c r="DX189" s="884">
        <f>-CFS!DX20</f>
        <v>-1135.7105634819372</v>
      </c>
      <c r="DY189" s="1111">
        <f>-CFS!DY20</f>
        <v>-361.45789275673224</v>
      </c>
      <c r="DZ189" s="884">
        <f>-CFS!DZ20</f>
        <v>1101.870823004982</v>
      </c>
      <c r="EA189" s="1110">
        <f>-CFS!EA20</f>
        <v>-1497.1684562386695</v>
      </c>
      <c r="EB189" s="1486">
        <f>-CFS!EB20</f>
        <v>-395.29763323368741</v>
      </c>
      <c r="EC189" s="884">
        <f>-CFS!EC20</f>
        <v>1939.5317070564481</v>
      </c>
      <c r="ED189" s="884">
        <f>-CFS!ED20</f>
        <v>-838.6048594427823</v>
      </c>
      <c r="EE189" s="884">
        <f>-CFS!EE20</f>
        <v>-716.69352270103411</v>
      </c>
      <c r="EF189" s="1111">
        <f>-CFS!EF20</f>
        <v>-574.95046173082744</v>
      </c>
      <c r="EG189" s="884">
        <f>-CFS!EG20</f>
        <v>1100.9268476136658</v>
      </c>
      <c r="EH189" s="1110">
        <f>-CFS!EH20</f>
        <v>-1291.6439844318616</v>
      </c>
      <c r="EI189" s="1486">
        <f>-CFS!EI20</f>
        <v>-190.71713681819574</v>
      </c>
      <c r="EJ189" s="884">
        <f>-CFS!EJ20</f>
        <v>1782.0266377009302</v>
      </c>
      <c r="EK189" s="884">
        <f>-CFS!EK20</f>
        <v>-864.04784190653038</v>
      </c>
      <c r="EL189" s="884">
        <f>-CFS!EL20</f>
        <v>-739.03869781995297</v>
      </c>
      <c r="EM189" s="1111">
        <f>-CFS!EM20</f>
        <v>-582.98461074772536</v>
      </c>
      <c r="EN189" s="884">
        <f>-CFS!EN20</f>
        <v>917.97879579439984</v>
      </c>
      <c r="EO189" s="1110">
        <f>-CFS!EO20</f>
        <v>-1322.0233085676782</v>
      </c>
      <c r="EP189" s="1486">
        <f>-CFS!EP20</f>
        <v>-404.04451277327848</v>
      </c>
      <c r="EQ189" s="851"/>
      <c r="ER189" s="46"/>
    </row>
    <row r="190" spans="1:148" ht="10.199999999999999" customHeight="1">
      <c r="A190" s="43"/>
      <c r="B190" s="108"/>
      <c r="C190" s="108"/>
      <c r="D190" s="108"/>
      <c r="E190" s="108"/>
      <c r="F190" s="108"/>
      <c r="G190" s="108"/>
      <c r="H190" s="108"/>
      <c r="I190" s="133"/>
      <c r="J190" s="133"/>
      <c r="K190" s="133"/>
      <c r="L190" s="133"/>
      <c r="M190" s="133"/>
      <c r="N190" s="133"/>
      <c r="O190" s="133"/>
      <c r="P190" s="133"/>
      <c r="Q190" s="688"/>
      <c r="R190" s="133"/>
      <c r="S190" s="133"/>
      <c r="T190" s="339"/>
      <c r="U190" s="133"/>
      <c r="V190" s="133"/>
      <c r="W190" s="133"/>
      <c r="X190" s="688"/>
      <c r="Y190" s="133"/>
      <c r="Z190" s="133"/>
      <c r="AA190" s="339"/>
      <c r="AB190" s="133"/>
      <c r="AC190" s="133"/>
      <c r="AD190" s="133"/>
      <c r="AE190" s="688"/>
      <c r="AF190" s="133"/>
      <c r="AG190" s="133"/>
      <c r="AH190" s="339"/>
      <c r="AI190" s="133"/>
      <c r="AJ190" s="133"/>
      <c r="AK190" s="133"/>
      <c r="AL190" s="688"/>
      <c r="AM190" s="133"/>
      <c r="AN190" s="133"/>
      <c r="AO190" s="339"/>
      <c r="AP190" s="133"/>
      <c r="AQ190" s="133"/>
      <c r="AR190" s="133"/>
      <c r="AS190" s="688"/>
      <c r="AT190" s="133"/>
      <c r="AU190" s="133"/>
      <c r="AV190" s="339"/>
      <c r="AW190" s="133"/>
      <c r="AX190" s="133"/>
      <c r="AY190" s="133"/>
      <c r="AZ190" s="688"/>
      <c r="BA190" s="133"/>
      <c r="BB190" s="133"/>
      <c r="BC190" s="339"/>
      <c r="BD190" s="133"/>
      <c r="BE190" s="133"/>
      <c r="BF190" s="133"/>
      <c r="BG190" s="688"/>
      <c r="BH190" s="133"/>
      <c r="BI190" s="133"/>
      <c r="BJ190" s="339"/>
      <c r="BK190" s="133"/>
      <c r="BL190" s="133"/>
      <c r="BM190" s="133"/>
      <c r="BN190" s="688"/>
      <c r="BO190" s="133"/>
      <c r="BP190" s="133"/>
      <c r="BQ190" s="339"/>
      <c r="BR190" s="133"/>
      <c r="BS190" s="133"/>
      <c r="BT190" s="133"/>
      <c r="BU190" s="688"/>
      <c r="BV190" s="133"/>
      <c r="BW190" s="133"/>
      <c r="BX190" s="339"/>
      <c r="BY190" s="133"/>
      <c r="BZ190" s="133"/>
      <c r="CA190" s="133"/>
      <c r="CB190" s="688"/>
      <c r="CC190" s="133"/>
      <c r="CD190" s="133"/>
      <c r="CE190" s="339"/>
      <c r="CF190" s="133"/>
      <c r="CG190" s="133"/>
      <c r="CH190" s="133"/>
      <c r="CI190" s="688"/>
      <c r="CJ190" s="133"/>
      <c r="CK190" s="133"/>
      <c r="CL190" s="339"/>
      <c r="CM190" s="133"/>
      <c r="CN190" s="133"/>
      <c r="CO190" s="133"/>
      <c r="CP190" s="688"/>
      <c r="CQ190" s="133"/>
      <c r="CR190" s="133"/>
      <c r="CS190" s="339"/>
      <c r="CT190" s="133"/>
      <c r="CU190" s="133"/>
      <c r="CV190" s="133"/>
      <c r="CW190" s="688"/>
      <c r="CX190" s="133"/>
      <c r="CY190" s="133"/>
      <c r="CZ190" s="1630"/>
      <c r="DA190" s="858"/>
      <c r="DB190" s="858"/>
      <c r="DC190" s="858"/>
      <c r="DD190" s="1886"/>
      <c r="DE190" s="858"/>
      <c r="DF190" s="858"/>
      <c r="DG190" s="1630"/>
      <c r="DH190" s="530"/>
      <c r="DI190" s="858"/>
      <c r="DJ190" s="858"/>
      <c r="DK190" s="1654"/>
      <c r="DL190" s="858"/>
      <c r="DM190" s="858"/>
      <c r="DN190" s="1630"/>
      <c r="DO190" s="858"/>
      <c r="DP190" s="858"/>
      <c r="DQ190" s="858"/>
      <c r="DR190" s="1654"/>
      <c r="DS190" s="858"/>
      <c r="DT190" s="858"/>
      <c r="DU190" s="1630"/>
      <c r="DV190" s="858"/>
      <c r="DW190" s="858"/>
      <c r="DX190" s="858"/>
      <c r="DY190" s="1654"/>
      <c r="DZ190" s="858"/>
      <c r="EA190" s="858"/>
      <c r="EB190" s="1630"/>
      <c r="EC190" s="858"/>
      <c r="ED190" s="858"/>
      <c r="EE190" s="858"/>
      <c r="EF190" s="1654"/>
      <c r="EG190" s="858"/>
      <c r="EH190" s="858"/>
      <c r="EI190" s="1630"/>
      <c r="EJ190" s="858"/>
      <c r="EK190" s="858"/>
      <c r="EL190" s="858"/>
      <c r="EM190" s="1654"/>
      <c r="EN190" s="858"/>
      <c r="EO190" s="858"/>
      <c r="EP190" s="1630"/>
      <c r="EQ190" s="303"/>
      <c r="ER190" s="46"/>
    </row>
    <row r="191" spans="1:148" ht="10.199999999999999" customHeight="1">
      <c r="A191" s="43"/>
      <c r="B191" s="108"/>
      <c r="C191" s="108"/>
      <c r="D191" s="203"/>
      <c r="E191" s="203"/>
      <c r="F191" s="203"/>
      <c r="G191" s="203"/>
      <c r="H191" s="203"/>
      <c r="I191" s="203"/>
      <c r="J191" s="203"/>
      <c r="K191" s="203"/>
      <c r="L191" s="203"/>
      <c r="M191" s="133"/>
      <c r="N191" s="133"/>
      <c r="O191" s="133"/>
      <c r="P191" s="133"/>
      <c r="Q191" s="688"/>
      <c r="R191" s="133"/>
      <c r="S191" s="133"/>
      <c r="T191" s="339"/>
      <c r="U191" s="133"/>
      <c r="V191" s="133"/>
      <c r="W191" s="133"/>
      <c r="X191" s="688"/>
      <c r="Y191" s="133"/>
      <c r="Z191" s="133"/>
      <c r="AA191" s="339"/>
      <c r="AB191" s="133"/>
      <c r="AC191" s="133"/>
      <c r="AD191" s="133"/>
      <c r="AE191" s="688"/>
      <c r="AF191" s="133"/>
      <c r="AG191" s="133"/>
      <c r="AH191" s="339"/>
      <c r="AI191" s="133"/>
      <c r="AJ191" s="133"/>
      <c r="AK191" s="133"/>
      <c r="AL191" s="688"/>
      <c r="AM191" s="133"/>
      <c r="AN191" s="133"/>
      <c r="AO191" s="339"/>
      <c r="AP191" s="133"/>
      <c r="AQ191" s="133"/>
      <c r="AR191" s="133"/>
      <c r="AS191" s="688"/>
      <c r="AT191" s="133"/>
      <c r="AU191" s="133"/>
      <c r="AV191" s="339"/>
      <c r="AW191" s="133"/>
      <c r="AX191" s="133"/>
      <c r="AY191" s="133"/>
      <c r="AZ191" s="688"/>
      <c r="BA191" s="133"/>
      <c r="BB191" s="133"/>
      <c r="BC191" s="339"/>
      <c r="BD191" s="133"/>
      <c r="BE191" s="133"/>
      <c r="BF191" s="133"/>
      <c r="BG191" s="688"/>
      <c r="BH191" s="133"/>
      <c r="BI191" s="133"/>
      <c r="BJ191" s="339"/>
      <c r="BK191" s="133"/>
      <c r="BL191" s="133"/>
      <c r="BM191" s="133"/>
      <c r="BN191" s="688"/>
      <c r="BO191" s="133"/>
      <c r="BP191" s="133"/>
      <c r="BQ191" s="339"/>
      <c r="BR191" s="133"/>
      <c r="BS191" s="133"/>
      <c r="BT191" s="133"/>
      <c r="BU191" s="688"/>
      <c r="BV191" s="133"/>
      <c r="BW191" s="133"/>
      <c r="BX191" s="339"/>
      <c r="BY191" s="133"/>
      <c r="BZ191" s="133"/>
      <c r="CA191" s="133"/>
      <c r="CB191" s="688"/>
      <c r="CC191" s="133"/>
      <c r="CD191" s="133"/>
      <c r="CE191" s="339"/>
      <c r="CF191" s="133"/>
      <c r="CG191" s="133"/>
      <c r="CH191" s="133"/>
      <c r="CI191" s="688"/>
      <c r="CJ191" s="133"/>
      <c r="CK191" s="133"/>
      <c r="CL191" s="339"/>
      <c r="CM191" s="133"/>
      <c r="CN191" s="133"/>
      <c r="CO191" s="133"/>
      <c r="CP191" s="688"/>
      <c r="CQ191" s="133"/>
      <c r="CR191" s="133"/>
      <c r="CS191" s="339"/>
      <c r="CT191" s="133"/>
      <c r="CU191" s="133"/>
      <c r="CV191" s="133"/>
      <c r="CW191" s="688"/>
      <c r="CX191" s="133"/>
      <c r="CY191" s="133"/>
      <c r="CZ191" s="1630"/>
      <c r="DA191" s="858"/>
      <c r="DB191" s="858"/>
      <c r="DC191" s="858"/>
      <c r="DD191" s="1886"/>
      <c r="DE191" s="858"/>
      <c r="DF191" s="858"/>
      <c r="DG191" s="1630"/>
      <c r="DH191" s="530"/>
      <c r="DI191" s="858"/>
      <c r="DJ191" s="858"/>
      <c r="DK191" s="1654"/>
      <c r="DL191" s="858"/>
      <c r="DM191" s="858"/>
      <c r="DN191" s="1630"/>
      <c r="DO191" s="858"/>
      <c r="DP191" s="858"/>
      <c r="DQ191" s="858"/>
      <c r="DR191" s="1654"/>
      <c r="DS191" s="858"/>
      <c r="DT191" s="858"/>
      <c r="DU191" s="1630"/>
      <c r="DV191" s="858"/>
      <c r="DW191" s="858"/>
      <c r="DX191" s="858"/>
      <c r="DY191" s="1654"/>
      <c r="DZ191" s="858"/>
      <c r="EA191" s="858"/>
      <c r="EB191" s="1630"/>
      <c r="EC191" s="858"/>
      <c r="ED191" s="858"/>
      <c r="EE191" s="858"/>
      <c r="EF191" s="1654"/>
      <c r="EG191" s="858"/>
      <c r="EH191" s="858"/>
      <c r="EI191" s="1630"/>
      <c r="EJ191" s="858"/>
      <c r="EK191" s="858"/>
      <c r="EL191" s="858"/>
      <c r="EM191" s="1654"/>
      <c r="EN191" s="858"/>
      <c r="EO191" s="858"/>
      <c r="EP191" s="1630"/>
      <c r="EQ191" s="303"/>
      <c r="ER191" s="46"/>
    </row>
    <row r="192" spans="1:148" ht="10.199999999999999" customHeight="1">
      <c r="A192" s="43"/>
      <c r="B192" s="108"/>
      <c r="C192" s="108"/>
      <c r="D192" s="130"/>
      <c r="E192" s="108"/>
      <c r="F192" s="108"/>
      <c r="G192" s="108"/>
      <c r="H192" s="108"/>
      <c r="I192" s="133"/>
      <c r="J192" s="133"/>
      <c r="K192" s="133"/>
      <c r="L192" s="133"/>
      <c r="M192" s="133"/>
      <c r="N192" s="133"/>
      <c r="O192" s="133"/>
      <c r="P192" s="133"/>
      <c r="Q192" s="688"/>
      <c r="R192" s="133"/>
      <c r="S192" s="133"/>
      <c r="T192" s="339"/>
      <c r="U192" s="133"/>
      <c r="V192" s="133"/>
      <c r="W192" s="133"/>
      <c r="X192" s="688"/>
      <c r="Y192" s="133"/>
      <c r="Z192" s="133"/>
      <c r="AA192" s="339"/>
      <c r="AB192" s="133"/>
      <c r="AC192" s="133"/>
      <c r="AD192" s="133"/>
      <c r="AE192" s="688"/>
      <c r="AF192" s="133"/>
      <c r="AG192" s="133"/>
      <c r="AH192" s="339"/>
      <c r="AI192" s="133"/>
      <c r="AJ192" s="133"/>
      <c r="AK192" s="133"/>
      <c r="AL192" s="688"/>
      <c r="AM192" s="133"/>
      <c r="AN192" s="133"/>
      <c r="AO192" s="339"/>
      <c r="AP192" s="133"/>
      <c r="AQ192" s="133"/>
      <c r="AR192" s="133"/>
      <c r="AS192" s="688"/>
      <c r="AT192" s="133"/>
      <c r="AU192" s="133"/>
      <c r="AV192" s="339"/>
      <c r="AW192" s="133"/>
      <c r="AX192" s="133"/>
      <c r="AY192" s="133"/>
      <c r="AZ192" s="688"/>
      <c r="BA192" s="133"/>
      <c r="BB192" s="133"/>
      <c r="BC192" s="339"/>
      <c r="BD192" s="133"/>
      <c r="BE192" s="133"/>
      <c r="BF192" s="133"/>
      <c r="BG192" s="688"/>
      <c r="BH192" s="133"/>
      <c r="BI192" s="133"/>
      <c r="BJ192" s="339"/>
      <c r="BK192" s="133"/>
      <c r="BL192" s="133"/>
      <c r="BM192" s="133"/>
      <c r="BN192" s="688"/>
      <c r="BO192" s="133"/>
      <c r="BP192" s="133"/>
      <c r="BQ192" s="339"/>
      <c r="BR192" s="133"/>
      <c r="BS192" s="133"/>
      <c r="BT192" s="133"/>
      <c r="BU192" s="688"/>
      <c r="BV192" s="133"/>
      <c r="BW192" s="133"/>
      <c r="BX192" s="339"/>
      <c r="BY192" s="133"/>
      <c r="BZ192" s="133"/>
      <c r="CA192" s="133"/>
      <c r="CB192" s="688"/>
      <c r="CC192" s="133"/>
      <c r="CD192" s="133"/>
      <c r="CE192" s="339"/>
      <c r="CF192" s="133"/>
      <c r="CG192" s="133"/>
      <c r="CH192" s="133"/>
      <c r="CI192" s="688"/>
      <c r="CJ192" s="133"/>
      <c r="CK192" s="133"/>
      <c r="CL192" s="339"/>
      <c r="CM192" s="133"/>
      <c r="CN192" s="133"/>
      <c r="CO192" s="133"/>
      <c r="CP192" s="688"/>
      <c r="CQ192" s="133"/>
      <c r="CR192" s="133"/>
      <c r="CS192" s="339"/>
      <c r="CT192" s="133"/>
      <c r="CU192" s="133"/>
      <c r="CV192" s="133"/>
      <c r="CW192" s="688"/>
      <c r="CX192" s="133"/>
      <c r="CY192" s="133"/>
      <c r="CZ192" s="1084"/>
      <c r="DA192" s="855"/>
      <c r="DB192" s="855"/>
      <c r="DC192" s="855"/>
      <c r="DD192" s="1905"/>
      <c r="DE192" s="855"/>
      <c r="DF192" s="855"/>
      <c r="DG192" s="1084"/>
      <c r="DH192" s="812"/>
      <c r="DI192" s="855"/>
      <c r="DJ192" s="855"/>
      <c r="DK192" s="710"/>
      <c r="DL192" s="855"/>
      <c r="DM192" s="855"/>
      <c r="DN192" s="1084"/>
      <c r="DO192" s="855"/>
      <c r="DP192" s="855"/>
      <c r="DQ192" s="855"/>
      <c r="DR192" s="710"/>
      <c r="DS192" s="855"/>
      <c r="DT192" s="855"/>
      <c r="DU192" s="1084"/>
      <c r="DV192" s="855"/>
      <c r="DW192" s="855"/>
      <c r="DX192" s="855"/>
      <c r="DY192" s="710"/>
      <c r="DZ192" s="855"/>
      <c r="EA192" s="855"/>
      <c r="EB192" s="1084"/>
      <c r="EC192" s="855"/>
      <c r="ED192" s="855"/>
      <c r="EE192" s="855"/>
      <c r="EF192" s="710"/>
      <c r="EG192" s="855"/>
      <c r="EH192" s="855"/>
      <c r="EI192" s="1084"/>
      <c r="EJ192" s="855"/>
      <c r="EK192" s="855"/>
      <c r="EL192" s="855"/>
      <c r="EM192" s="710"/>
      <c r="EN192" s="855"/>
      <c r="EO192" s="855"/>
      <c r="EP192" s="1084"/>
      <c r="EQ192" s="303"/>
      <c r="ER192" s="46"/>
    </row>
    <row r="193" spans="1:148" ht="10.199999999999999" customHeight="1">
      <c r="A193" s="48" t="s">
        <v>110</v>
      </c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700"/>
      <c r="R193" s="108"/>
      <c r="S193" s="108"/>
      <c r="T193" s="538"/>
      <c r="U193" s="108"/>
      <c r="V193" s="108"/>
      <c r="W193" s="108"/>
      <c r="X193" s="700"/>
      <c r="Y193" s="108"/>
      <c r="Z193" s="108"/>
      <c r="AA193" s="538"/>
      <c r="AB193" s="108"/>
      <c r="AC193" s="108"/>
      <c r="AD193" s="108"/>
      <c r="AE193" s="700"/>
      <c r="AF193" s="108"/>
      <c r="AG193" s="108"/>
      <c r="AH193" s="538"/>
      <c r="AI193" s="108"/>
      <c r="AJ193" s="108"/>
      <c r="AK193" s="108"/>
      <c r="AL193" s="700"/>
      <c r="AM193" s="108"/>
      <c r="AN193" s="108"/>
      <c r="AO193" s="538"/>
      <c r="AP193" s="108"/>
      <c r="AQ193" s="108"/>
      <c r="AR193" s="108"/>
      <c r="AS193" s="700"/>
      <c r="AT193" s="108"/>
      <c r="AU193" s="108"/>
      <c r="AV193" s="538"/>
      <c r="AW193" s="108"/>
      <c r="AX193" s="108"/>
      <c r="AY193" s="108"/>
      <c r="AZ193" s="700"/>
      <c r="BA193" s="108"/>
      <c r="BB193" s="108"/>
      <c r="BC193" s="538"/>
      <c r="BD193" s="108"/>
      <c r="BE193" s="108"/>
      <c r="BF193" s="108"/>
      <c r="BG193" s="700"/>
      <c r="BH193" s="108"/>
      <c r="BI193" s="108"/>
      <c r="BJ193" s="538"/>
      <c r="BK193" s="108"/>
      <c r="BL193" s="108"/>
      <c r="BM193" s="108"/>
      <c r="BN193" s="700"/>
      <c r="BO193" s="108"/>
      <c r="BP193" s="108"/>
      <c r="BQ193" s="538"/>
      <c r="BR193" s="108"/>
      <c r="BS193" s="108"/>
      <c r="BT193" s="108"/>
      <c r="BU193" s="700"/>
      <c r="BV193" s="108"/>
      <c r="BW193" s="108"/>
      <c r="BX193" s="538"/>
      <c r="BY193" s="108"/>
      <c r="BZ193" s="108"/>
      <c r="CA193" s="108"/>
      <c r="CB193" s="700"/>
      <c r="CC193" s="108"/>
      <c r="CD193" s="108"/>
      <c r="CE193" s="538"/>
      <c r="CF193" s="108"/>
      <c r="CG193" s="108"/>
      <c r="CH193" s="108"/>
      <c r="CI193" s="700"/>
      <c r="CJ193" s="108"/>
      <c r="CK193" s="108"/>
      <c r="CL193" s="538"/>
      <c r="CM193" s="108"/>
      <c r="CN193" s="108"/>
      <c r="CO193" s="108"/>
      <c r="CP193" s="700"/>
      <c r="CQ193" s="108"/>
      <c r="CR193" s="108"/>
      <c r="CS193" s="538"/>
      <c r="CT193" s="108"/>
      <c r="CU193" s="108"/>
      <c r="CV193" s="108"/>
      <c r="CW193" s="700"/>
      <c r="CX193" s="108"/>
      <c r="CY193" s="108"/>
      <c r="CZ193" s="1631"/>
      <c r="DA193" s="868"/>
      <c r="DB193" s="868"/>
      <c r="DC193" s="868"/>
      <c r="DD193" s="1904"/>
      <c r="DE193" s="868"/>
      <c r="DF193" s="868"/>
      <c r="DG193" s="1631"/>
      <c r="DH193" s="1"/>
      <c r="DI193" s="868"/>
      <c r="DJ193" s="868"/>
      <c r="DK193" s="1655"/>
      <c r="DL193" s="868"/>
      <c r="DM193" s="868"/>
      <c r="DN193" s="1631"/>
      <c r="DO193" s="868"/>
      <c r="DP193" s="868"/>
      <c r="DQ193" s="868"/>
      <c r="DR193" s="1655"/>
      <c r="DS193" s="868"/>
      <c r="DT193" s="868"/>
      <c r="DU193" s="1631"/>
      <c r="DV193" s="868"/>
      <c r="DW193" s="868"/>
      <c r="DX193" s="868"/>
      <c r="DY193" s="1655"/>
      <c r="DZ193" s="868"/>
      <c r="EA193" s="868"/>
      <c r="EB193" s="1631"/>
      <c r="EC193" s="868"/>
      <c r="ED193" s="868"/>
      <c r="EE193" s="868"/>
      <c r="EF193" s="1655"/>
      <c r="EG193" s="868"/>
      <c r="EH193" s="868"/>
      <c r="EI193" s="1631"/>
      <c r="EJ193" s="868"/>
      <c r="EK193" s="868"/>
      <c r="EL193" s="868"/>
      <c r="EM193" s="1655"/>
      <c r="EN193" s="868"/>
      <c r="EO193" s="868"/>
      <c r="EP193" s="1631"/>
      <c r="EQ193" s="303"/>
      <c r="ER193" s="46"/>
    </row>
    <row r="194" spans="1:148" ht="10.199999999999999" customHeight="1">
      <c r="A194" s="43" t="s">
        <v>119</v>
      </c>
      <c r="B194" s="108"/>
      <c r="C194" s="203">
        <v>198</v>
      </c>
      <c r="D194" s="203">
        <v>612</v>
      </c>
      <c r="E194" s="191">
        <v>127</v>
      </c>
      <c r="F194" s="203">
        <v>439</v>
      </c>
      <c r="G194" s="203">
        <v>112</v>
      </c>
      <c r="H194" s="203">
        <v>-64</v>
      </c>
      <c r="I194" s="203">
        <v>354</v>
      </c>
      <c r="J194" s="203">
        <v>208</v>
      </c>
      <c r="K194" s="191">
        <v>259</v>
      </c>
      <c r="L194" s="191">
        <v>253</v>
      </c>
      <c r="M194" s="191">
        <v>219</v>
      </c>
      <c r="N194" s="191"/>
      <c r="O194" s="191"/>
      <c r="P194" s="191"/>
      <c r="Q194" s="709"/>
      <c r="R194" s="191"/>
      <c r="S194" s="191"/>
      <c r="T194" s="352">
        <v>243</v>
      </c>
      <c r="U194" s="191"/>
      <c r="V194" s="191"/>
      <c r="W194" s="191"/>
      <c r="X194" s="709"/>
      <c r="Y194" s="191"/>
      <c r="Z194" s="191"/>
      <c r="AA194" s="352">
        <v>115</v>
      </c>
      <c r="AB194" s="191"/>
      <c r="AC194" s="191"/>
      <c r="AD194" s="191"/>
      <c r="AE194" s="709"/>
      <c r="AF194" s="191"/>
      <c r="AG194" s="191"/>
      <c r="AH194" s="352">
        <v>595</v>
      </c>
      <c r="AI194" s="191"/>
      <c r="AJ194" s="191"/>
      <c r="AK194" s="191"/>
      <c r="AL194" s="709"/>
      <c r="AM194" s="191"/>
      <c r="AN194" s="191"/>
      <c r="AO194" s="352">
        <v>559</v>
      </c>
      <c r="AP194" s="191"/>
      <c r="AQ194" s="191"/>
      <c r="AR194" s="191"/>
      <c r="AS194" s="709"/>
      <c r="AT194" s="191"/>
      <c r="AU194" s="191"/>
      <c r="AV194" s="352">
        <v>152</v>
      </c>
      <c r="AW194" s="191"/>
      <c r="AX194" s="191"/>
      <c r="AY194" s="191"/>
      <c r="AZ194" s="709"/>
      <c r="BA194" s="191"/>
      <c r="BB194" s="191"/>
      <c r="BC194" s="352">
        <v>152</v>
      </c>
      <c r="BD194" s="191"/>
      <c r="BE194" s="191"/>
      <c r="BF194" s="191"/>
      <c r="BG194" s="709"/>
      <c r="BH194" s="191"/>
      <c r="BI194" s="191"/>
      <c r="BJ194" s="352">
        <v>897</v>
      </c>
      <c r="BK194" s="191"/>
      <c r="BL194" s="191"/>
      <c r="BM194" s="191"/>
      <c r="BN194" s="709"/>
      <c r="BO194" s="191"/>
      <c r="BP194" s="191"/>
      <c r="BQ194" s="352">
        <v>1476</v>
      </c>
      <c r="BR194" s="191"/>
      <c r="BS194" s="191"/>
      <c r="BT194" s="191"/>
      <c r="BU194" s="709"/>
      <c r="BV194" s="191"/>
      <c r="BW194" s="191"/>
      <c r="BX194" s="352">
        <v>-79</v>
      </c>
      <c r="BY194" s="191"/>
      <c r="BZ194" s="191"/>
      <c r="CA194" s="191"/>
      <c r="CB194" s="709"/>
      <c r="CC194" s="191"/>
      <c r="CD194" s="191"/>
      <c r="CE194" s="352">
        <v>321</v>
      </c>
      <c r="CF194" s="191"/>
      <c r="CG194" s="191"/>
      <c r="CH194" s="191"/>
      <c r="CI194" s="709"/>
      <c r="CJ194" s="191"/>
      <c r="CK194" s="191"/>
      <c r="CL194" s="352">
        <v>790</v>
      </c>
      <c r="CM194" s="191"/>
      <c r="CN194" s="191"/>
      <c r="CO194" s="191"/>
      <c r="CP194" s="709"/>
      <c r="CQ194" s="191"/>
      <c r="CR194" s="191"/>
      <c r="CS194" s="352">
        <v>544</v>
      </c>
      <c r="CT194" s="191"/>
      <c r="CU194" s="191"/>
      <c r="CV194" s="191"/>
      <c r="CW194" s="709"/>
      <c r="CX194" s="191"/>
      <c r="CY194" s="191"/>
      <c r="CZ194" s="2102">
        <v>947</v>
      </c>
      <c r="DA194" s="593">
        <f t="shared" ref="DA194:DC194" si="1562">+DA196*DA197</f>
        <v>242.29136690647482</v>
      </c>
      <c r="DB194" s="863">
        <f>DE194-DA194</f>
        <v>217.99280575539569</v>
      </c>
      <c r="DC194" s="593">
        <f t="shared" si="1562"/>
        <v>379.75179856115108</v>
      </c>
      <c r="DD194" s="1889">
        <f>DF194-DC194</f>
        <v>124.96402877697841</v>
      </c>
      <c r="DE194" s="593">
        <f t="shared" ref="DE194" si="1563">+DE196*DE197</f>
        <v>460.28417266187051</v>
      </c>
      <c r="DF194" s="1891">
        <f>DG194-DE194</f>
        <v>504.71582733812949</v>
      </c>
      <c r="DG194" s="352">
        <v>965</v>
      </c>
      <c r="DH194" s="593">
        <f t="shared" ref="DH194" si="1564">+DH196*DH197</f>
        <v>139</v>
      </c>
      <c r="DI194" s="863">
        <f>DL194-DH194</f>
        <v>613</v>
      </c>
      <c r="DJ194" s="988">
        <f t="shared" ref="DJ194" si="1565">+DJ196*DJ197</f>
        <v>482.95064100233918</v>
      </c>
      <c r="DK194" s="1649">
        <f>DM194-DJ194</f>
        <v>701.95015758326122</v>
      </c>
      <c r="DL194" s="593">
        <f t="shared" ref="DL194" si="1566">+DL196*DL197</f>
        <v>752</v>
      </c>
      <c r="DM194" s="891">
        <f>DN194-DL194</f>
        <v>1184.9007985856003</v>
      </c>
      <c r="DN194" s="980">
        <f t="shared" ref="DN194:EP194" si="1567">+DN196*DN197</f>
        <v>1936.9007985856003</v>
      </c>
      <c r="DO194" s="988">
        <f t="shared" si="1567"/>
        <v>520.48734594352482</v>
      </c>
      <c r="DP194" s="891">
        <f>DS194-DO194</f>
        <v>586.8370544285508</v>
      </c>
      <c r="DQ194" s="988">
        <f t="shared" ref="DQ194" si="1568">+DQ196*DQ197</f>
        <v>581.1220694238898</v>
      </c>
      <c r="DR194" s="1649">
        <f>DT194-DQ194</f>
        <v>652.68092825509734</v>
      </c>
      <c r="DS194" s="988">
        <f t="shared" ref="DS194" si="1569">+DS196*DS197</f>
        <v>1107.3244003720756</v>
      </c>
      <c r="DT194" s="891">
        <f>DU194-DS194</f>
        <v>1233.8029976789871</v>
      </c>
      <c r="DU194" s="980">
        <f t="shared" si="1567"/>
        <v>2341.1273980510628</v>
      </c>
      <c r="DV194" s="988">
        <f t="shared" si="1567"/>
        <v>657.27101455020875</v>
      </c>
      <c r="DW194" s="891">
        <f>DZ194-DV194</f>
        <v>727.75009072144098</v>
      </c>
      <c r="DX194" s="988">
        <f t="shared" ref="DX194" si="1570">+DX196*DX197</f>
        <v>723.18468541704237</v>
      </c>
      <c r="DY194" s="1649">
        <f>EA194-DX194</f>
        <v>821.35476451418799</v>
      </c>
      <c r="DZ194" s="988">
        <f t="shared" ref="DZ194" si="1571">+DZ196*DZ197</f>
        <v>1385.0211052716497</v>
      </c>
      <c r="EA194" s="891">
        <f>EB194-DZ194</f>
        <v>1544.5394499312304</v>
      </c>
      <c r="EB194" s="980">
        <f t="shared" si="1567"/>
        <v>2929.5605552028801</v>
      </c>
      <c r="EC194" s="988">
        <f t="shared" si="1567"/>
        <v>753.00743893415904</v>
      </c>
      <c r="ED194" s="891">
        <f>EG194-EC194</f>
        <v>784.72799593390812</v>
      </c>
      <c r="EE194" s="988">
        <f t="shared" ref="EE194" si="1572">+EE196*EE197</f>
        <v>779.94236011656926</v>
      </c>
      <c r="EF194" s="1649">
        <f>EH194-EE194</f>
        <v>886.86337376716983</v>
      </c>
      <c r="EG194" s="988">
        <f t="shared" ref="EG194" si="1573">+EG196*EG197</f>
        <v>1537.7354348680672</v>
      </c>
      <c r="EH194" s="891">
        <f>EI194-EG194</f>
        <v>1666.8057338837391</v>
      </c>
      <c r="EI194" s="980">
        <f t="shared" si="1567"/>
        <v>3204.5411687518063</v>
      </c>
      <c r="EJ194" s="988">
        <f t="shared" si="1567"/>
        <v>805.00747137990368</v>
      </c>
      <c r="EK194" s="891">
        <f>EN194-EJ194</f>
        <v>838.5467174499662</v>
      </c>
      <c r="EL194" s="988">
        <f t="shared" ref="EL194" si="1574">+EL196*EL197</f>
        <v>836.39496513425752</v>
      </c>
      <c r="EM194" s="1649">
        <f>EO194-EL194</f>
        <v>942.52845629728176</v>
      </c>
      <c r="EN194" s="988">
        <f t="shared" ref="EN194" si="1575">+EN196*EN197</f>
        <v>1643.5541888298699</v>
      </c>
      <c r="EO194" s="891">
        <f>EP194-EN194</f>
        <v>1778.9234214315393</v>
      </c>
      <c r="EP194" s="980">
        <f t="shared" si="1567"/>
        <v>3422.4776102614092</v>
      </c>
      <c r="EQ194" s="303"/>
      <c r="ER194" s="46"/>
    </row>
    <row r="195" spans="1:148" ht="10.199999999999999" customHeight="1">
      <c r="A195" s="43" t="s">
        <v>120</v>
      </c>
      <c r="B195" s="108"/>
      <c r="C195" s="203">
        <f t="shared" ref="C195:K195" si="1576">C196-C194</f>
        <v>255</v>
      </c>
      <c r="D195" s="203">
        <f t="shared" si="1576"/>
        <v>-138</v>
      </c>
      <c r="E195" s="203">
        <f t="shared" si="1576"/>
        <v>537</v>
      </c>
      <c r="F195" s="203">
        <f t="shared" si="1576"/>
        <v>386</v>
      </c>
      <c r="G195" s="203">
        <f t="shared" si="1576"/>
        <v>-193</v>
      </c>
      <c r="H195" s="203">
        <f t="shared" si="1576"/>
        <v>-269</v>
      </c>
      <c r="I195" s="203">
        <f t="shared" si="1576"/>
        <v>349</v>
      </c>
      <c r="J195" s="203">
        <f t="shared" si="1576"/>
        <v>-428</v>
      </c>
      <c r="K195" s="203">
        <f t="shared" si="1576"/>
        <v>-15</v>
      </c>
      <c r="L195" s="203">
        <f t="shared" ref="L195:EP195" si="1577">+L196-L194</f>
        <v>103</v>
      </c>
      <c r="M195" s="203">
        <f t="shared" si="1577"/>
        <v>230</v>
      </c>
      <c r="N195" s="203"/>
      <c r="O195" s="203"/>
      <c r="P195" s="203"/>
      <c r="Q195" s="1448"/>
      <c r="R195" s="203"/>
      <c r="S195" s="203"/>
      <c r="T195" s="1461">
        <f t="shared" si="1577"/>
        <v>234</v>
      </c>
      <c r="U195" s="203"/>
      <c r="V195" s="203"/>
      <c r="W195" s="203"/>
      <c r="X195" s="1448"/>
      <c r="Y195" s="203"/>
      <c r="Z195" s="203"/>
      <c r="AA195" s="1461">
        <f t="shared" si="1577"/>
        <v>748</v>
      </c>
      <c r="AB195" s="203"/>
      <c r="AC195" s="203"/>
      <c r="AD195" s="203"/>
      <c r="AE195" s="1448"/>
      <c r="AF195" s="203"/>
      <c r="AG195" s="203"/>
      <c r="AH195" s="1461">
        <f t="shared" si="1577"/>
        <v>82</v>
      </c>
      <c r="AI195" s="203"/>
      <c r="AJ195" s="203"/>
      <c r="AK195" s="203"/>
      <c r="AL195" s="1448"/>
      <c r="AM195" s="203"/>
      <c r="AN195" s="203"/>
      <c r="AO195" s="1461">
        <f t="shared" si="1577"/>
        <v>-268</v>
      </c>
      <c r="AP195" s="203"/>
      <c r="AQ195" s="203"/>
      <c r="AR195" s="203"/>
      <c r="AS195" s="1448"/>
      <c r="AT195" s="203"/>
      <c r="AU195" s="203"/>
      <c r="AV195" s="1461">
        <f t="shared" si="1577"/>
        <v>1541</v>
      </c>
      <c r="AW195" s="203"/>
      <c r="AX195" s="203"/>
      <c r="AY195" s="203"/>
      <c r="AZ195" s="1448"/>
      <c r="BA195" s="203"/>
      <c r="BB195" s="203"/>
      <c r="BC195" s="1461">
        <f t="shared" si="1577"/>
        <v>1310</v>
      </c>
      <c r="BD195" s="203"/>
      <c r="BE195" s="203"/>
      <c r="BF195" s="203"/>
      <c r="BG195" s="1448"/>
      <c r="BH195" s="203"/>
      <c r="BI195" s="203"/>
      <c r="BJ195" s="1461">
        <f t="shared" si="1577"/>
        <v>377</v>
      </c>
      <c r="BK195" s="203"/>
      <c r="BL195" s="203"/>
      <c r="BM195" s="203"/>
      <c r="BN195" s="1448"/>
      <c r="BO195" s="203"/>
      <c r="BP195" s="203"/>
      <c r="BQ195" s="1461">
        <f t="shared" si="1577"/>
        <v>913</v>
      </c>
      <c r="BR195" s="203"/>
      <c r="BS195" s="203"/>
      <c r="BT195" s="203"/>
      <c r="BU195" s="1448"/>
      <c r="BV195" s="203"/>
      <c r="BW195" s="203"/>
      <c r="BX195" s="1461">
        <f t="shared" si="1577"/>
        <v>118</v>
      </c>
      <c r="BY195" s="203"/>
      <c r="BZ195" s="203"/>
      <c r="CA195" s="203"/>
      <c r="CB195" s="1448"/>
      <c r="CC195" s="203"/>
      <c r="CD195" s="203"/>
      <c r="CE195" s="1461">
        <f t="shared" si="1577"/>
        <v>532</v>
      </c>
      <c r="CF195" s="203"/>
      <c r="CG195" s="203"/>
      <c r="CH195" s="203"/>
      <c r="CI195" s="1448"/>
      <c r="CJ195" s="203"/>
      <c r="CK195" s="203"/>
      <c r="CL195" s="1461">
        <f t="shared" si="1577"/>
        <v>149</v>
      </c>
      <c r="CM195" s="203"/>
      <c r="CN195" s="203"/>
      <c r="CO195" s="203"/>
      <c r="CP195" s="1448"/>
      <c r="CQ195" s="203"/>
      <c r="CR195" s="203"/>
      <c r="CS195" s="1461">
        <f t="shared" ref="CS195" si="1578">+CS196-CS194</f>
        <v>612</v>
      </c>
      <c r="CT195" s="203"/>
      <c r="CU195" s="203"/>
      <c r="CV195" s="203"/>
      <c r="CW195" s="1448"/>
      <c r="CX195" s="203"/>
      <c r="CY195" s="203"/>
      <c r="CZ195" s="1461">
        <f t="shared" ref="CZ195" si="1579">+CZ196-CZ194</f>
        <v>400</v>
      </c>
      <c r="DA195" s="834">
        <f t="shared" ref="DA195:DB195" si="1580">+DA196-DA194</f>
        <v>106.70863309352518</v>
      </c>
      <c r="DB195" s="834">
        <f t="shared" si="1580"/>
        <v>96.007194244604307</v>
      </c>
      <c r="DC195" s="834">
        <f t="shared" ref="DC195:DD195" si="1581">+DC196-DC194</f>
        <v>167.24820143884892</v>
      </c>
      <c r="DD195" s="1890">
        <f t="shared" si="1581"/>
        <v>55.035971223021591</v>
      </c>
      <c r="DE195" s="834">
        <f t="shared" ref="DE195" si="1582">+DE196-DE194</f>
        <v>202.71582733812949</v>
      </c>
      <c r="DF195" s="1892">
        <f t="shared" si="1577"/>
        <v>222.28417266187051</v>
      </c>
      <c r="DG195" s="1461">
        <f t="shared" si="1577"/>
        <v>425</v>
      </c>
      <c r="DH195" s="834">
        <f t="shared" si="1577"/>
        <v>0</v>
      </c>
      <c r="DI195" s="834">
        <f t="shared" si="1577"/>
        <v>0</v>
      </c>
      <c r="DJ195" s="860">
        <f t="shared" si="1577"/>
        <v>0</v>
      </c>
      <c r="DK195" s="1109">
        <f t="shared" si="1577"/>
        <v>0</v>
      </c>
      <c r="DL195" s="834">
        <f t="shared" si="1577"/>
        <v>0</v>
      </c>
      <c r="DM195" s="860">
        <f t="shared" ref="DM195" si="1583">+DM196-DM194</f>
        <v>0</v>
      </c>
      <c r="DN195" s="1119">
        <f t="shared" si="1577"/>
        <v>0</v>
      </c>
      <c r="DO195" s="860">
        <f t="shared" si="1577"/>
        <v>0</v>
      </c>
      <c r="DP195" s="860">
        <f t="shared" si="1577"/>
        <v>0</v>
      </c>
      <c r="DQ195" s="860">
        <f t="shared" si="1577"/>
        <v>0</v>
      </c>
      <c r="DR195" s="1109">
        <f t="shared" si="1577"/>
        <v>0</v>
      </c>
      <c r="DS195" s="860">
        <f t="shared" si="1577"/>
        <v>0</v>
      </c>
      <c r="DT195" s="860">
        <f t="shared" ref="DT195" si="1584">+DT196-DT194</f>
        <v>0</v>
      </c>
      <c r="DU195" s="1119">
        <f t="shared" si="1577"/>
        <v>0</v>
      </c>
      <c r="DV195" s="860">
        <f t="shared" si="1577"/>
        <v>0</v>
      </c>
      <c r="DW195" s="860">
        <f t="shared" si="1577"/>
        <v>0</v>
      </c>
      <c r="DX195" s="860">
        <f t="shared" si="1577"/>
        <v>0</v>
      </c>
      <c r="DY195" s="1109">
        <f t="shared" si="1577"/>
        <v>0</v>
      </c>
      <c r="DZ195" s="860">
        <f t="shared" si="1577"/>
        <v>0</v>
      </c>
      <c r="EA195" s="860">
        <f t="shared" ref="EA195" si="1585">+EA196-EA194</f>
        <v>0</v>
      </c>
      <c r="EB195" s="1119">
        <f t="shared" si="1577"/>
        <v>0</v>
      </c>
      <c r="EC195" s="860">
        <f t="shared" si="1577"/>
        <v>0</v>
      </c>
      <c r="ED195" s="860">
        <f t="shared" si="1577"/>
        <v>0</v>
      </c>
      <c r="EE195" s="860">
        <f t="shared" si="1577"/>
        <v>0</v>
      </c>
      <c r="EF195" s="1109">
        <f t="shared" si="1577"/>
        <v>0</v>
      </c>
      <c r="EG195" s="860">
        <f t="shared" si="1577"/>
        <v>0</v>
      </c>
      <c r="EH195" s="860">
        <f t="shared" ref="EH195" si="1586">+EH196-EH194</f>
        <v>0</v>
      </c>
      <c r="EI195" s="1119">
        <f t="shared" si="1577"/>
        <v>0</v>
      </c>
      <c r="EJ195" s="860">
        <f t="shared" si="1577"/>
        <v>0</v>
      </c>
      <c r="EK195" s="860">
        <f t="shared" si="1577"/>
        <v>0</v>
      </c>
      <c r="EL195" s="860">
        <f t="shared" si="1577"/>
        <v>0</v>
      </c>
      <c r="EM195" s="1109">
        <f t="shared" si="1577"/>
        <v>0</v>
      </c>
      <c r="EN195" s="860">
        <f t="shared" si="1577"/>
        <v>0</v>
      </c>
      <c r="EO195" s="860">
        <f t="shared" ref="EO195" si="1587">+EO196-EO194</f>
        <v>0</v>
      </c>
      <c r="EP195" s="1119">
        <f t="shared" si="1577"/>
        <v>0</v>
      </c>
      <c r="EQ195" s="303"/>
      <c r="ER195" s="46"/>
    </row>
    <row r="196" spans="1:148" ht="10.199999999999999" customHeight="1">
      <c r="A196" s="43" t="s">
        <v>121</v>
      </c>
      <c r="B196" s="108"/>
      <c r="C196" s="203">
        <f>-IS!C40</f>
        <v>453</v>
      </c>
      <c r="D196" s="203">
        <f>-IS!D40</f>
        <v>474</v>
      </c>
      <c r="E196" s="203">
        <f>-IS!E40</f>
        <v>664</v>
      </c>
      <c r="F196" s="203">
        <f>-IS!F40</f>
        <v>825</v>
      </c>
      <c r="G196" s="203">
        <f>-IS!G40</f>
        <v>-81</v>
      </c>
      <c r="H196" s="203">
        <f>-IS!H40</f>
        <v>-333</v>
      </c>
      <c r="I196" s="203">
        <f>-IS!I40</f>
        <v>703</v>
      </c>
      <c r="J196" s="203">
        <f>-IS!J40</f>
        <v>-220</v>
      </c>
      <c r="K196" s="203">
        <f>-IS!K40</f>
        <v>244</v>
      </c>
      <c r="L196" s="203">
        <f>-IS!L40</f>
        <v>356</v>
      </c>
      <c r="M196" s="302">
        <f>-IS!M40</f>
        <v>449</v>
      </c>
      <c r="N196" s="203"/>
      <c r="O196" s="203"/>
      <c r="P196" s="203"/>
      <c r="Q196" s="1448"/>
      <c r="R196" s="203"/>
      <c r="S196" s="203"/>
      <c r="T196" s="1461">
        <f>-IS!T40</f>
        <v>477</v>
      </c>
      <c r="U196" s="203"/>
      <c r="V196" s="203"/>
      <c r="W196" s="203"/>
      <c r="X196" s="1448"/>
      <c r="Y196" s="203"/>
      <c r="Z196" s="203"/>
      <c r="AA196" s="1461">
        <f>-IS!AA40</f>
        <v>863</v>
      </c>
      <c r="AB196" s="203"/>
      <c r="AC196" s="203"/>
      <c r="AD196" s="203"/>
      <c r="AE196" s="1448"/>
      <c r="AF196" s="203"/>
      <c r="AG196" s="203"/>
      <c r="AH196" s="1461">
        <f>-IS!AH40</f>
        <v>677</v>
      </c>
      <c r="AI196" s="203"/>
      <c r="AJ196" s="203"/>
      <c r="AK196" s="203"/>
      <c r="AL196" s="1448"/>
      <c r="AM196" s="203"/>
      <c r="AN196" s="203"/>
      <c r="AO196" s="1461">
        <f>-IS!AO40</f>
        <v>291</v>
      </c>
      <c r="AP196" s="203"/>
      <c r="AQ196" s="203"/>
      <c r="AR196" s="203"/>
      <c r="AS196" s="1448"/>
      <c r="AT196" s="203"/>
      <c r="AU196" s="203"/>
      <c r="AV196" s="1461">
        <f>-IS!AV40</f>
        <v>1693</v>
      </c>
      <c r="AW196" s="203"/>
      <c r="AX196" s="203"/>
      <c r="AY196" s="203"/>
      <c r="AZ196" s="1448"/>
      <c r="BA196" s="203"/>
      <c r="BB196" s="203"/>
      <c r="BC196" s="1461">
        <f>-IS!BC40</f>
        <v>1462</v>
      </c>
      <c r="BD196" s="203"/>
      <c r="BE196" s="203"/>
      <c r="BF196" s="203"/>
      <c r="BG196" s="1448"/>
      <c r="BH196" s="203"/>
      <c r="BI196" s="203"/>
      <c r="BJ196" s="1461">
        <f>-IS!BJ40</f>
        <v>1274</v>
      </c>
      <c r="BK196" s="203"/>
      <c r="BL196" s="203"/>
      <c r="BM196" s="203"/>
      <c r="BN196" s="1448"/>
      <c r="BO196" s="203"/>
      <c r="BP196" s="203"/>
      <c r="BQ196" s="1461">
        <f>-IS!BQ40</f>
        <v>2389</v>
      </c>
      <c r="BR196" s="203"/>
      <c r="BS196" s="203"/>
      <c r="BT196" s="203"/>
      <c r="BU196" s="1448"/>
      <c r="BV196" s="203"/>
      <c r="BW196" s="203"/>
      <c r="BX196" s="1461">
        <f>-IS!BX40</f>
        <v>39</v>
      </c>
      <c r="BY196" s="203"/>
      <c r="BZ196" s="203"/>
      <c r="CA196" s="203"/>
      <c r="CB196" s="1448"/>
      <c r="CC196" s="203"/>
      <c r="CD196" s="203"/>
      <c r="CE196" s="1461">
        <f>-IS!CE40</f>
        <v>853</v>
      </c>
      <c r="CF196" s="203"/>
      <c r="CG196" s="203"/>
      <c r="CH196" s="203"/>
      <c r="CI196" s="1448"/>
      <c r="CJ196" s="203"/>
      <c r="CK196" s="203"/>
      <c r="CL196" s="1461">
        <f>-IS!CL40</f>
        <v>939</v>
      </c>
      <c r="CM196" s="203"/>
      <c r="CN196" s="203"/>
      <c r="CO196" s="203"/>
      <c r="CP196" s="1448"/>
      <c r="CQ196" s="203"/>
      <c r="CR196" s="203"/>
      <c r="CS196" s="1461">
        <f>-IS!CS40</f>
        <v>1156</v>
      </c>
      <c r="CT196" s="203"/>
      <c r="CU196" s="203"/>
      <c r="CV196" s="203"/>
      <c r="CW196" s="1448"/>
      <c r="CX196" s="203"/>
      <c r="CY196" s="203"/>
      <c r="CZ196" s="1461">
        <f>-IS!CZ40</f>
        <v>1347</v>
      </c>
      <c r="DA196" s="834">
        <f>-IS!DA40</f>
        <v>349</v>
      </c>
      <c r="DB196" s="834">
        <f>-IS!DB40</f>
        <v>314</v>
      </c>
      <c r="DC196" s="834">
        <f>-IS!DC40</f>
        <v>547</v>
      </c>
      <c r="DD196" s="1890">
        <f>-IS!DD40</f>
        <v>180</v>
      </c>
      <c r="DE196" s="834">
        <f>-IS!DE40</f>
        <v>663</v>
      </c>
      <c r="DF196" s="1892">
        <f>-IS!DF40</f>
        <v>727</v>
      </c>
      <c r="DG196" s="1461">
        <f>-IS!DG40</f>
        <v>1390</v>
      </c>
      <c r="DH196" s="834">
        <f>-IS!DH40</f>
        <v>139</v>
      </c>
      <c r="DI196" s="834">
        <f>-IS!DI40</f>
        <v>613</v>
      </c>
      <c r="DJ196" s="860">
        <f>-IS!DJ40</f>
        <v>482.95064100233918</v>
      </c>
      <c r="DK196" s="1109">
        <f>-IS!DK40</f>
        <v>701.95015758326122</v>
      </c>
      <c r="DL196" s="834">
        <f>-IS!DL40</f>
        <v>752</v>
      </c>
      <c r="DM196" s="860">
        <f>-IS!DM40</f>
        <v>1184.9007985856003</v>
      </c>
      <c r="DN196" s="1119">
        <f>-IS!DN40</f>
        <v>1936.9007985856003</v>
      </c>
      <c r="DO196" s="860">
        <f>-IS!DO40</f>
        <v>520.48734594352482</v>
      </c>
      <c r="DP196" s="860">
        <f>-IS!DP40</f>
        <v>586.8370544285508</v>
      </c>
      <c r="DQ196" s="860">
        <f>-IS!DQ40</f>
        <v>581.1220694238898</v>
      </c>
      <c r="DR196" s="1109">
        <f>-IS!DR40</f>
        <v>652.68092825509734</v>
      </c>
      <c r="DS196" s="860">
        <f>-IS!DS40</f>
        <v>1107.3244003720756</v>
      </c>
      <c r="DT196" s="860">
        <f>-IS!DT40</f>
        <v>1233.8029976789871</v>
      </c>
      <c r="DU196" s="1119">
        <f>-IS!DU40</f>
        <v>2341.1273980510628</v>
      </c>
      <c r="DV196" s="860">
        <f>-IS!DV40</f>
        <v>657.27101455020875</v>
      </c>
      <c r="DW196" s="860">
        <f>-IS!DW40</f>
        <v>727.75009072144098</v>
      </c>
      <c r="DX196" s="860">
        <f>-IS!DX40</f>
        <v>723.18468541704237</v>
      </c>
      <c r="DY196" s="1109">
        <f>-IS!DY40</f>
        <v>821.35476451418799</v>
      </c>
      <c r="DZ196" s="860">
        <f>-IS!DZ40</f>
        <v>1385.0211052716497</v>
      </c>
      <c r="EA196" s="860">
        <f>-IS!EA40</f>
        <v>1544.5394499312304</v>
      </c>
      <c r="EB196" s="1119">
        <f>-IS!EB40</f>
        <v>2929.5605552028801</v>
      </c>
      <c r="EC196" s="860">
        <f>-IS!EC40</f>
        <v>753.00743893415904</v>
      </c>
      <c r="ED196" s="860">
        <f>-IS!ED40</f>
        <v>784.72799593390812</v>
      </c>
      <c r="EE196" s="860">
        <f>-IS!EE40</f>
        <v>779.94236011656926</v>
      </c>
      <c r="EF196" s="1109">
        <f>-IS!EF40</f>
        <v>886.86337376716983</v>
      </c>
      <c r="EG196" s="860">
        <f>-IS!EG40</f>
        <v>1537.7354348680672</v>
      </c>
      <c r="EH196" s="860">
        <f>-IS!EH40</f>
        <v>1666.8057338837391</v>
      </c>
      <c r="EI196" s="1119">
        <f>-IS!EI40</f>
        <v>3204.5411687518063</v>
      </c>
      <c r="EJ196" s="860">
        <f>-IS!EJ40</f>
        <v>805.00747137990368</v>
      </c>
      <c r="EK196" s="860">
        <f>-IS!EK40</f>
        <v>838.5467174499662</v>
      </c>
      <c r="EL196" s="860">
        <f>-IS!EL40</f>
        <v>836.39496513425752</v>
      </c>
      <c r="EM196" s="1109">
        <f>-IS!EM40</f>
        <v>942.52845629728176</v>
      </c>
      <c r="EN196" s="860">
        <f>-IS!EN40</f>
        <v>1643.5541888298699</v>
      </c>
      <c r="EO196" s="860">
        <f>-IS!EO40</f>
        <v>1778.9234214315393</v>
      </c>
      <c r="EP196" s="1119">
        <f>-IS!EP40</f>
        <v>3422.4776102614092</v>
      </c>
      <c r="EQ196" s="303"/>
      <c r="ER196" s="46"/>
    </row>
    <row r="197" spans="1:148" ht="10.199999999999999" customHeight="1">
      <c r="A197" s="43" t="s">
        <v>122</v>
      </c>
      <c r="B197" s="108"/>
      <c r="C197" s="193">
        <f t="shared" ref="C197:CL197" si="1588">C194/C196</f>
        <v>0.4370860927152318</v>
      </c>
      <c r="D197" s="193">
        <f t="shared" si="1588"/>
        <v>1.2911392405063291</v>
      </c>
      <c r="E197" s="193">
        <f t="shared" si="1588"/>
        <v>0.19126506024096385</v>
      </c>
      <c r="F197" s="193">
        <f t="shared" si="1588"/>
        <v>0.53212121212121211</v>
      </c>
      <c r="G197" s="193">
        <f t="shared" si="1588"/>
        <v>-1.382716049382716</v>
      </c>
      <c r="H197" s="193">
        <f t="shared" si="1588"/>
        <v>0.19219219219219219</v>
      </c>
      <c r="I197" s="193">
        <f t="shared" si="1588"/>
        <v>0.50355618776671407</v>
      </c>
      <c r="J197" s="193">
        <f t="shared" si="1588"/>
        <v>-0.94545454545454544</v>
      </c>
      <c r="K197" s="193">
        <f t="shared" si="1588"/>
        <v>1.0614754098360655</v>
      </c>
      <c r="L197" s="193">
        <f t="shared" si="1588"/>
        <v>0.7106741573033708</v>
      </c>
      <c r="M197" s="193">
        <f t="shared" si="1588"/>
        <v>0.48775055679287305</v>
      </c>
      <c r="N197" s="193"/>
      <c r="O197" s="193"/>
      <c r="P197" s="193"/>
      <c r="Q197" s="712"/>
      <c r="R197" s="193"/>
      <c r="S197" s="193"/>
      <c r="T197" s="1334">
        <f t="shared" si="1588"/>
        <v>0.50943396226415094</v>
      </c>
      <c r="U197" s="193"/>
      <c r="V197" s="193"/>
      <c r="W197" s="193"/>
      <c r="X197" s="712"/>
      <c r="Y197" s="193"/>
      <c r="Z197" s="193"/>
      <c r="AA197" s="1334">
        <f t="shared" si="1588"/>
        <v>0.1332560834298957</v>
      </c>
      <c r="AB197" s="193"/>
      <c r="AC197" s="193"/>
      <c r="AD197" s="193"/>
      <c r="AE197" s="712"/>
      <c r="AF197" s="193"/>
      <c r="AG197" s="193"/>
      <c r="AH197" s="1334">
        <f t="shared" si="1588"/>
        <v>0.87887740029542094</v>
      </c>
      <c r="AI197" s="193"/>
      <c r="AJ197" s="193"/>
      <c r="AK197" s="193"/>
      <c r="AL197" s="712"/>
      <c r="AM197" s="193"/>
      <c r="AN197" s="193"/>
      <c r="AO197" s="1334">
        <f t="shared" si="1588"/>
        <v>1.9209621993127148</v>
      </c>
      <c r="AP197" s="193"/>
      <c r="AQ197" s="193"/>
      <c r="AR197" s="193"/>
      <c r="AS197" s="712"/>
      <c r="AT197" s="193"/>
      <c r="AU197" s="193"/>
      <c r="AV197" s="1334">
        <f t="shared" si="1588"/>
        <v>8.9781453041937395E-2</v>
      </c>
      <c r="AW197" s="193"/>
      <c r="AX197" s="193"/>
      <c r="AY197" s="193"/>
      <c r="AZ197" s="712"/>
      <c r="BA197" s="193"/>
      <c r="BB197" s="193"/>
      <c r="BC197" s="1334">
        <f t="shared" si="1588"/>
        <v>0.1039671682626539</v>
      </c>
      <c r="BD197" s="193"/>
      <c r="BE197" s="193"/>
      <c r="BF197" s="193"/>
      <c r="BG197" s="712"/>
      <c r="BH197" s="193"/>
      <c r="BI197" s="193"/>
      <c r="BJ197" s="1334">
        <f t="shared" si="1588"/>
        <v>0.70408163265306123</v>
      </c>
      <c r="BK197" s="193"/>
      <c r="BL197" s="193"/>
      <c r="BM197" s="193"/>
      <c r="BN197" s="712"/>
      <c r="BO197" s="193"/>
      <c r="BP197" s="193"/>
      <c r="BQ197" s="1334">
        <f t="shared" si="1588"/>
        <v>0.61783172875680203</v>
      </c>
      <c r="BR197" s="193"/>
      <c r="BS197" s="193"/>
      <c r="BT197" s="193"/>
      <c r="BU197" s="712"/>
      <c r="BV197" s="193"/>
      <c r="BW197" s="193"/>
      <c r="BX197" s="1334">
        <f t="shared" si="1588"/>
        <v>-2.0256410256410255</v>
      </c>
      <c r="BY197" s="193"/>
      <c r="BZ197" s="193"/>
      <c r="CA197" s="193"/>
      <c r="CB197" s="712"/>
      <c r="CC197" s="193"/>
      <c r="CD197" s="193"/>
      <c r="CE197" s="1334">
        <f t="shared" si="1588"/>
        <v>0.37631887456037516</v>
      </c>
      <c r="CF197" s="193"/>
      <c r="CG197" s="193"/>
      <c r="CH197" s="193"/>
      <c r="CI197" s="712"/>
      <c r="CJ197" s="193"/>
      <c r="CK197" s="193"/>
      <c r="CL197" s="1334">
        <f t="shared" si="1588"/>
        <v>0.84132055378061765</v>
      </c>
      <c r="CM197" s="193"/>
      <c r="CN197" s="193"/>
      <c r="CO197" s="193"/>
      <c r="CP197" s="712"/>
      <c r="CQ197" s="193"/>
      <c r="CR197" s="193"/>
      <c r="CS197" s="1334">
        <f t="shared" ref="CS197" si="1589">CS194/CS196</f>
        <v>0.47058823529411764</v>
      </c>
      <c r="CT197" s="193"/>
      <c r="CU197" s="193"/>
      <c r="CV197" s="193"/>
      <c r="CW197" s="712"/>
      <c r="CX197" s="193"/>
      <c r="CY197" s="193"/>
      <c r="CZ197" s="1334">
        <f t="shared" ref="CZ197" si="1590">CZ194/CZ196</f>
        <v>0.70304380103934672</v>
      </c>
      <c r="DA197" s="601">
        <f>DG197</f>
        <v>0.69424460431654678</v>
      </c>
      <c r="DB197" s="601">
        <f t="shared" ref="DB197" si="1591">DB194/DB196</f>
        <v>0.69424460431654678</v>
      </c>
      <c r="DC197" s="601">
        <f>DG197</f>
        <v>0.69424460431654678</v>
      </c>
      <c r="DD197" s="1899">
        <f t="shared" ref="DD197:DG197" si="1592">DD194/DD196</f>
        <v>0.69424460431654667</v>
      </c>
      <c r="DE197" s="601">
        <f>DG197</f>
        <v>0.69424460431654678</v>
      </c>
      <c r="DF197" s="1893">
        <f t="shared" si="1592"/>
        <v>0.69424460431654678</v>
      </c>
      <c r="DG197" s="1334">
        <f t="shared" si="1592"/>
        <v>0.69424460431654678</v>
      </c>
      <c r="DH197" s="601">
        <f>DN197</f>
        <v>1</v>
      </c>
      <c r="DI197" s="601">
        <f t="shared" ref="DI197" si="1593">DI194/DI196</f>
        <v>1</v>
      </c>
      <c r="DJ197" s="892">
        <f>DN197</f>
        <v>1</v>
      </c>
      <c r="DK197" s="1651">
        <f t="shared" ref="DK197" si="1594">DK194/DK196</f>
        <v>1</v>
      </c>
      <c r="DL197" s="601">
        <f>DN197</f>
        <v>1</v>
      </c>
      <c r="DM197" s="892">
        <f t="shared" ref="DM197" si="1595">DM194/DM196</f>
        <v>1</v>
      </c>
      <c r="DN197" s="1402">
        <v>1</v>
      </c>
      <c r="DO197" s="892">
        <f>DU197</f>
        <v>1</v>
      </c>
      <c r="DP197" s="892">
        <f t="shared" ref="DP197" si="1596">DP194/DP196</f>
        <v>1</v>
      </c>
      <c r="DQ197" s="892">
        <f>DU197</f>
        <v>1</v>
      </c>
      <c r="DR197" s="1651">
        <f t="shared" ref="DR197" si="1597">DR194/DR196</f>
        <v>1</v>
      </c>
      <c r="DS197" s="892">
        <f>DU197</f>
        <v>1</v>
      </c>
      <c r="DT197" s="892">
        <f t="shared" ref="DT197" si="1598">DT194/DT196</f>
        <v>1</v>
      </c>
      <c r="DU197" s="754">
        <f>DN197</f>
        <v>1</v>
      </c>
      <c r="DV197" s="892">
        <f>EB197</f>
        <v>1</v>
      </c>
      <c r="DW197" s="892">
        <f t="shared" ref="DW197" si="1599">DW194/DW196</f>
        <v>1</v>
      </c>
      <c r="DX197" s="892">
        <f>EB197</f>
        <v>1</v>
      </c>
      <c r="DY197" s="1651">
        <f t="shared" ref="DY197" si="1600">DY194/DY196</f>
        <v>1</v>
      </c>
      <c r="DZ197" s="892">
        <f>EB197</f>
        <v>1</v>
      </c>
      <c r="EA197" s="892">
        <f t="shared" ref="EA197" si="1601">EA194/EA196</f>
        <v>1</v>
      </c>
      <c r="EB197" s="754">
        <f>DU197</f>
        <v>1</v>
      </c>
      <c r="EC197" s="892">
        <f>EI197</f>
        <v>1</v>
      </c>
      <c r="ED197" s="892">
        <f t="shared" ref="ED197" si="1602">ED194/ED196</f>
        <v>1</v>
      </c>
      <c r="EE197" s="892">
        <f>EI197</f>
        <v>1</v>
      </c>
      <c r="EF197" s="1651">
        <f t="shared" ref="EF197" si="1603">EF194/EF196</f>
        <v>1</v>
      </c>
      <c r="EG197" s="892">
        <f>EI197</f>
        <v>1</v>
      </c>
      <c r="EH197" s="892">
        <f t="shared" ref="EH197" si="1604">EH194/EH196</f>
        <v>1</v>
      </c>
      <c r="EI197" s="754">
        <f>EB197</f>
        <v>1</v>
      </c>
      <c r="EJ197" s="892">
        <f>EP197</f>
        <v>1</v>
      </c>
      <c r="EK197" s="892">
        <f t="shared" ref="EK197" si="1605">EK194/EK196</f>
        <v>1</v>
      </c>
      <c r="EL197" s="892">
        <f>EP197</f>
        <v>1</v>
      </c>
      <c r="EM197" s="1651">
        <f t="shared" ref="EM197" si="1606">EM194/EM196</f>
        <v>1</v>
      </c>
      <c r="EN197" s="892">
        <f>EP197</f>
        <v>1</v>
      </c>
      <c r="EO197" s="892">
        <f t="shared" ref="EO197" si="1607">EO194/EO196</f>
        <v>1</v>
      </c>
      <c r="EP197" s="754">
        <f t="shared" ref="EP197" si="1608">EI197</f>
        <v>1</v>
      </c>
      <c r="EQ197" s="303"/>
      <c r="ER197" s="46"/>
    </row>
    <row r="198" spans="1:148" ht="10.199999999999999" customHeight="1">
      <c r="A198" s="43"/>
      <c r="B198" s="108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712"/>
      <c r="R198" s="193"/>
      <c r="S198" s="193"/>
      <c r="T198" s="1334"/>
      <c r="U198" s="193"/>
      <c r="V198" s="193"/>
      <c r="W198" s="193"/>
      <c r="X198" s="712"/>
      <c r="Y198" s="193"/>
      <c r="Z198" s="193"/>
      <c r="AA198" s="1334"/>
      <c r="AB198" s="193"/>
      <c r="AC198" s="193"/>
      <c r="AD198" s="193"/>
      <c r="AE198" s="712"/>
      <c r="AF198" s="193"/>
      <c r="AG198" s="193"/>
      <c r="AH198" s="1334"/>
      <c r="AI198" s="193"/>
      <c r="AJ198" s="193"/>
      <c r="AK198" s="193"/>
      <c r="AL198" s="712"/>
      <c r="AM198" s="193"/>
      <c r="AN198" s="193"/>
      <c r="AO198" s="1334"/>
      <c r="AP198" s="193"/>
      <c r="AQ198" s="193"/>
      <c r="AR198" s="193"/>
      <c r="AS198" s="712"/>
      <c r="AT198" s="193"/>
      <c r="AU198" s="193"/>
      <c r="AV198" s="1334"/>
      <c r="AW198" s="193"/>
      <c r="AX198" s="193"/>
      <c r="AY198" s="193"/>
      <c r="AZ198" s="712"/>
      <c r="BA198" s="193"/>
      <c r="BB198" s="193"/>
      <c r="BC198" s="1334"/>
      <c r="BD198" s="193"/>
      <c r="BE198" s="193"/>
      <c r="BF198" s="193"/>
      <c r="BG198" s="712"/>
      <c r="BH198" s="193"/>
      <c r="BI198" s="193"/>
      <c r="BJ198" s="1334"/>
      <c r="BK198" s="193"/>
      <c r="BL198" s="193"/>
      <c r="BM198" s="193"/>
      <c r="BN198" s="712"/>
      <c r="BO198" s="193"/>
      <c r="BP198" s="193"/>
      <c r="BQ198" s="1334"/>
      <c r="BR198" s="193"/>
      <c r="BS198" s="193"/>
      <c r="BT198" s="193"/>
      <c r="BU198" s="712"/>
      <c r="BV198" s="193"/>
      <c r="BW198" s="193"/>
      <c r="BX198" s="1334"/>
      <c r="BY198" s="193"/>
      <c r="BZ198" s="193"/>
      <c r="CA198" s="193"/>
      <c r="CB198" s="712"/>
      <c r="CC198" s="193"/>
      <c r="CD198" s="193"/>
      <c r="CE198" s="1334"/>
      <c r="CF198" s="193"/>
      <c r="CG198" s="193"/>
      <c r="CH198" s="193"/>
      <c r="CI198" s="712"/>
      <c r="CJ198" s="193"/>
      <c r="CK198" s="193"/>
      <c r="CL198" s="1334"/>
      <c r="CM198" s="193"/>
      <c r="CN198" s="193"/>
      <c r="CO198" s="193"/>
      <c r="CP198" s="712"/>
      <c r="CQ198" s="193"/>
      <c r="CR198" s="193"/>
      <c r="CS198" s="1334"/>
      <c r="CT198" s="193"/>
      <c r="CU198" s="193"/>
      <c r="CV198" s="193"/>
      <c r="CW198" s="712"/>
      <c r="CX198" s="193"/>
      <c r="CY198" s="193"/>
      <c r="CZ198" s="1632"/>
      <c r="DA198" s="10"/>
      <c r="DB198" s="10"/>
      <c r="DC198" s="10"/>
      <c r="DD198" s="1656"/>
      <c r="DE198" s="10"/>
      <c r="DF198" s="10"/>
      <c r="DG198" s="1632"/>
      <c r="DH198" s="601"/>
      <c r="DI198" s="10"/>
      <c r="DJ198" s="10"/>
      <c r="DK198" s="1656"/>
      <c r="DL198" s="10"/>
      <c r="DM198" s="10"/>
      <c r="DN198" s="1632"/>
      <c r="DO198" s="10"/>
      <c r="DP198" s="10"/>
      <c r="DQ198" s="10"/>
      <c r="DR198" s="1656"/>
      <c r="DS198" s="10"/>
      <c r="DT198" s="10"/>
      <c r="DU198" s="1632"/>
      <c r="DV198" s="10"/>
      <c r="DW198" s="10"/>
      <c r="DX198" s="10"/>
      <c r="DY198" s="1656"/>
      <c r="DZ198" s="10"/>
      <c r="EA198" s="10"/>
      <c r="EB198" s="1632"/>
      <c r="EC198" s="10"/>
      <c r="ED198" s="10"/>
      <c r="EE198" s="10"/>
      <c r="EF198" s="1656"/>
      <c r="EG198" s="10"/>
      <c r="EH198" s="10"/>
      <c r="EI198" s="1632"/>
      <c r="EJ198" s="10"/>
      <c r="EK198" s="10"/>
      <c r="EL198" s="10"/>
      <c r="EM198" s="1656"/>
      <c r="EN198" s="10"/>
      <c r="EO198" s="10"/>
      <c r="EP198" s="1632"/>
      <c r="EQ198" s="303"/>
      <c r="ER198" s="46"/>
    </row>
    <row r="199" spans="1:148" ht="10.199999999999999" customHeight="1">
      <c r="A199" s="48" t="s">
        <v>179</v>
      </c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700"/>
      <c r="R199" s="108"/>
      <c r="S199" s="108"/>
      <c r="T199" s="538"/>
      <c r="U199" s="108"/>
      <c r="V199" s="108"/>
      <c r="W199" s="108"/>
      <c r="X199" s="700"/>
      <c r="Y199" s="108"/>
      <c r="Z199" s="108"/>
      <c r="AA199" s="538"/>
      <c r="AB199" s="108"/>
      <c r="AC199" s="108"/>
      <c r="AD199" s="108"/>
      <c r="AE199" s="700"/>
      <c r="AF199" s="108"/>
      <c r="AG199" s="108"/>
      <c r="AH199" s="538"/>
      <c r="AI199" s="108"/>
      <c r="AJ199" s="108"/>
      <c r="AK199" s="108"/>
      <c r="AL199" s="700"/>
      <c r="AM199" s="108"/>
      <c r="AN199" s="108"/>
      <c r="AO199" s="538"/>
      <c r="AP199" s="108"/>
      <c r="AQ199" s="108"/>
      <c r="AR199" s="108"/>
      <c r="AS199" s="700"/>
      <c r="AT199" s="108"/>
      <c r="AU199" s="108"/>
      <c r="AV199" s="538"/>
      <c r="AW199" s="108"/>
      <c r="AX199" s="108"/>
      <c r="AY199" s="108"/>
      <c r="AZ199" s="700"/>
      <c r="BA199" s="108"/>
      <c r="BB199" s="108"/>
      <c r="BC199" s="538"/>
      <c r="BD199" s="108"/>
      <c r="BE199" s="108"/>
      <c r="BF199" s="108"/>
      <c r="BG199" s="700"/>
      <c r="BH199" s="108"/>
      <c r="BI199" s="108"/>
      <c r="BJ199" s="538"/>
      <c r="BK199" s="108"/>
      <c r="BL199" s="108"/>
      <c r="BM199" s="108"/>
      <c r="BN199" s="700"/>
      <c r="BO199" s="108"/>
      <c r="BP199" s="108"/>
      <c r="BQ199" s="538"/>
      <c r="BR199" s="108"/>
      <c r="BS199" s="108"/>
      <c r="BT199" s="108"/>
      <c r="BU199" s="700"/>
      <c r="BV199" s="108"/>
      <c r="BW199" s="108"/>
      <c r="BX199" s="538"/>
      <c r="BY199" s="108"/>
      <c r="BZ199" s="108"/>
      <c r="CA199" s="108"/>
      <c r="CB199" s="700"/>
      <c r="CC199" s="108"/>
      <c r="CD199" s="108"/>
      <c r="CE199" s="538"/>
      <c r="CF199" s="108"/>
      <c r="CG199" s="108"/>
      <c r="CH199" s="108"/>
      <c r="CI199" s="700"/>
      <c r="CJ199" s="108"/>
      <c r="CK199" s="108"/>
      <c r="CL199" s="538"/>
      <c r="CM199" s="108"/>
      <c r="CN199" s="108"/>
      <c r="CO199" s="108"/>
      <c r="CP199" s="700"/>
      <c r="CQ199" s="108"/>
      <c r="CR199" s="108"/>
      <c r="CS199" s="538"/>
      <c r="CT199" s="108"/>
      <c r="CU199" s="108"/>
      <c r="CV199" s="108"/>
      <c r="CW199" s="700"/>
      <c r="CX199" s="108"/>
      <c r="CY199" s="108"/>
      <c r="CZ199" s="1631"/>
      <c r="DA199" s="868"/>
      <c r="DB199" s="868"/>
      <c r="DC199" s="868"/>
      <c r="DD199" s="1655"/>
      <c r="DE199" s="868"/>
      <c r="DF199" s="868"/>
      <c r="DG199" s="1631"/>
      <c r="DH199" s="1"/>
      <c r="DI199" s="868"/>
      <c r="DJ199" s="868"/>
      <c r="DK199" s="1655"/>
      <c r="DL199" s="868"/>
      <c r="DM199" s="868"/>
      <c r="DN199" s="1631"/>
      <c r="DO199" s="868"/>
      <c r="DP199" s="868"/>
      <c r="DQ199" s="868"/>
      <c r="DR199" s="1655"/>
      <c r="DS199" s="868"/>
      <c r="DT199" s="868"/>
      <c r="DU199" s="1631"/>
      <c r="DV199" s="868"/>
      <c r="DW199" s="868"/>
      <c r="DX199" s="868"/>
      <c r="DY199" s="1655"/>
      <c r="DZ199" s="868"/>
      <c r="EA199" s="868"/>
      <c r="EB199" s="1631"/>
      <c r="EC199" s="868"/>
      <c r="ED199" s="868"/>
      <c r="EE199" s="868"/>
      <c r="EF199" s="1655"/>
      <c r="EG199" s="868"/>
      <c r="EH199" s="868"/>
      <c r="EI199" s="1631"/>
      <c r="EJ199" s="868"/>
      <c r="EK199" s="868"/>
      <c r="EL199" s="868"/>
      <c r="EM199" s="1655"/>
      <c r="EN199" s="868"/>
      <c r="EO199" s="868"/>
      <c r="EP199" s="1631"/>
      <c r="EQ199" s="303"/>
      <c r="ER199" s="46"/>
    </row>
    <row r="200" spans="1:148" ht="10.199999999999999" customHeight="1">
      <c r="A200" s="4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700"/>
      <c r="R200" s="108"/>
      <c r="S200" s="108"/>
      <c r="T200" s="538"/>
      <c r="U200" s="108"/>
      <c r="V200" s="108"/>
      <c r="W200" s="108"/>
      <c r="X200" s="700"/>
      <c r="Y200" s="108"/>
      <c r="Z200" s="108"/>
      <c r="AA200" s="538"/>
      <c r="AB200" s="108"/>
      <c r="AC200" s="108"/>
      <c r="AD200" s="108"/>
      <c r="AE200" s="700"/>
      <c r="AF200" s="108"/>
      <c r="AG200" s="108"/>
      <c r="AH200" s="538"/>
      <c r="AI200" s="108"/>
      <c r="AJ200" s="108"/>
      <c r="AK200" s="108"/>
      <c r="AL200" s="700"/>
      <c r="AM200" s="108"/>
      <c r="AN200" s="108"/>
      <c r="AO200" s="538"/>
      <c r="AP200" s="108"/>
      <c r="AQ200" s="108"/>
      <c r="AR200" s="108"/>
      <c r="AS200" s="700"/>
      <c r="AT200" s="108"/>
      <c r="AU200" s="108"/>
      <c r="AV200" s="538"/>
      <c r="AW200" s="108"/>
      <c r="AX200" s="108"/>
      <c r="AY200" s="108"/>
      <c r="AZ200" s="700"/>
      <c r="BA200" s="108"/>
      <c r="BB200" s="108"/>
      <c r="BC200" s="538"/>
      <c r="BD200" s="108"/>
      <c r="BE200" s="108"/>
      <c r="BF200" s="108"/>
      <c r="BG200" s="700"/>
      <c r="BH200" s="108"/>
      <c r="BI200" s="108"/>
      <c r="BJ200" s="538"/>
      <c r="BK200" s="108"/>
      <c r="BL200" s="108"/>
      <c r="BM200" s="108"/>
      <c r="BN200" s="700"/>
      <c r="BO200" s="108"/>
      <c r="BP200" s="108"/>
      <c r="BQ200" s="538"/>
      <c r="BR200" s="108"/>
      <c r="BS200" s="108"/>
      <c r="BT200" s="108"/>
      <c r="BU200" s="700"/>
      <c r="BV200" s="108"/>
      <c r="BW200" s="108"/>
      <c r="BX200" s="538"/>
      <c r="BY200" s="108"/>
      <c r="BZ200" s="108"/>
      <c r="CA200" s="108"/>
      <c r="CB200" s="700"/>
      <c r="CC200" s="108"/>
      <c r="CD200" s="108"/>
      <c r="CE200" s="538"/>
      <c r="CF200" s="108"/>
      <c r="CG200" s="108"/>
      <c r="CH200" s="108"/>
      <c r="CI200" s="700"/>
      <c r="CJ200" s="108"/>
      <c r="CK200" s="108"/>
      <c r="CL200" s="538"/>
      <c r="CM200" s="108"/>
      <c r="CN200" s="108"/>
      <c r="CO200" s="108"/>
      <c r="CP200" s="700"/>
      <c r="CQ200" s="108"/>
      <c r="CR200" s="108"/>
      <c r="CS200" s="538"/>
      <c r="CT200" s="108"/>
      <c r="CU200" s="108"/>
      <c r="CV200" s="108"/>
      <c r="CW200" s="700"/>
      <c r="CX200" s="108"/>
      <c r="CY200" s="108"/>
      <c r="CZ200" s="1631"/>
      <c r="DA200" s="868"/>
      <c r="DB200" s="868"/>
      <c r="DC200" s="868"/>
      <c r="DD200" s="1655"/>
      <c r="DE200" s="868"/>
      <c r="DF200" s="868"/>
      <c r="DG200" s="1631"/>
      <c r="DH200" s="1"/>
      <c r="DI200" s="868"/>
      <c r="DJ200" s="868"/>
      <c r="DK200" s="1655"/>
      <c r="DL200" s="868"/>
      <c r="DM200" s="868"/>
      <c r="DN200" s="1631"/>
      <c r="DO200" s="868"/>
      <c r="DP200" s="868"/>
      <c r="DQ200" s="868"/>
      <c r="DR200" s="1655"/>
      <c r="DS200" s="868"/>
      <c r="DT200" s="868"/>
      <c r="DU200" s="1631"/>
      <c r="DV200" s="868"/>
      <c r="DW200" s="868"/>
      <c r="DX200" s="868"/>
      <c r="DY200" s="1655"/>
      <c r="DZ200" s="868"/>
      <c r="EA200" s="868"/>
      <c r="EB200" s="1631"/>
      <c r="EC200" s="868"/>
      <c r="ED200" s="868"/>
      <c r="EE200" s="868"/>
      <c r="EF200" s="1655"/>
      <c r="EG200" s="868"/>
      <c r="EH200" s="868"/>
      <c r="EI200" s="1631"/>
      <c r="EJ200" s="868"/>
      <c r="EK200" s="868"/>
      <c r="EL200" s="868"/>
      <c r="EM200" s="1655"/>
      <c r="EN200" s="868"/>
      <c r="EO200" s="868"/>
      <c r="EP200" s="1631"/>
      <c r="EQ200" s="303"/>
      <c r="ER200" s="46"/>
    </row>
    <row r="201" spans="1:148" ht="10.199999999999999" customHeight="1">
      <c r="A201" s="116" t="s">
        <v>46</v>
      </c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700"/>
      <c r="R201" s="108"/>
      <c r="S201" s="108"/>
      <c r="T201" s="538"/>
      <c r="U201" s="108"/>
      <c r="V201" s="108"/>
      <c r="W201" s="108"/>
      <c r="X201" s="700"/>
      <c r="Y201" s="108"/>
      <c r="Z201" s="108"/>
      <c r="AA201" s="538"/>
      <c r="AB201" s="108"/>
      <c r="AC201" s="108"/>
      <c r="AD201" s="108"/>
      <c r="AE201" s="700"/>
      <c r="AF201" s="108"/>
      <c r="AG201" s="108"/>
      <c r="AH201" s="538"/>
      <c r="AI201" s="108"/>
      <c r="AJ201" s="108"/>
      <c r="AK201" s="108"/>
      <c r="AL201" s="700"/>
      <c r="AM201" s="108"/>
      <c r="AN201" s="108"/>
      <c r="AO201" s="538"/>
      <c r="AP201" s="108"/>
      <c r="AQ201" s="108"/>
      <c r="AR201" s="108"/>
      <c r="AS201" s="700"/>
      <c r="AT201" s="108"/>
      <c r="AU201" s="108"/>
      <c r="AV201" s="538"/>
      <c r="AW201" s="108"/>
      <c r="AX201" s="108"/>
      <c r="AY201" s="108"/>
      <c r="AZ201" s="700"/>
      <c r="BA201" s="108"/>
      <c r="BB201" s="108"/>
      <c r="BC201" s="538"/>
      <c r="BD201" s="108"/>
      <c r="BE201" s="108"/>
      <c r="BF201" s="108"/>
      <c r="BG201" s="700"/>
      <c r="BH201" s="108"/>
      <c r="BI201" s="108"/>
      <c r="BJ201" s="538"/>
      <c r="BK201" s="108"/>
      <c r="BL201" s="108"/>
      <c r="BM201" s="108"/>
      <c r="BN201" s="700"/>
      <c r="BO201" s="108"/>
      <c r="BP201" s="108"/>
      <c r="BQ201" s="538"/>
      <c r="BR201" s="108"/>
      <c r="BS201" s="108"/>
      <c r="BT201" s="108"/>
      <c r="BU201" s="700"/>
      <c r="BV201" s="108"/>
      <c r="BW201" s="108"/>
      <c r="BX201" s="538"/>
      <c r="BY201" s="108"/>
      <c r="BZ201" s="108"/>
      <c r="CA201" s="108"/>
      <c r="CB201" s="700"/>
      <c r="CC201" s="108"/>
      <c r="CD201" s="108"/>
      <c r="CE201" s="538"/>
      <c r="CF201" s="108"/>
      <c r="CG201" s="108"/>
      <c r="CH201" s="108"/>
      <c r="CI201" s="700"/>
      <c r="CJ201" s="108"/>
      <c r="CK201" s="108"/>
      <c r="CL201" s="538"/>
      <c r="CM201" s="108"/>
      <c r="CN201" s="108"/>
      <c r="CO201" s="108"/>
      <c r="CP201" s="700"/>
      <c r="CQ201" s="108"/>
      <c r="CR201" s="108"/>
      <c r="CS201" s="538"/>
      <c r="CT201" s="108"/>
      <c r="CU201" s="108"/>
      <c r="CV201" s="108"/>
      <c r="CW201" s="700"/>
      <c r="CX201" s="108"/>
      <c r="CY201" s="108"/>
      <c r="CZ201" s="1631"/>
      <c r="DA201" s="868"/>
      <c r="DB201" s="868"/>
      <c r="DC201" s="868"/>
      <c r="DD201" s="1655"/>
      <c r="DE201" s="868"/>
      <c r="DF201" s="868"/>
      <c r="DG201" s="1631"/>
      <c r="DH201" s="1"/>
      <c r="DI201" s="868"/>
      <c r="DJ201" s="868"/>
      <c r="DK201" s="1655"/>
      <c r="DL201" s="868"/>
      <c r="DM201" s="868"/>
      <c r="DN201" s="1631"/>
      <c r="DO201" s="868"/>
      <c r="DP201" s="868"/>
      <c r="DQ201" s="868"/>
      <c r="DR201" s="1655"/>
      <c r="DS201" s="868"/>
      <c r="DT201" s="868"/>
      <c r="DU201" s="1631"/>
      <c r="DV201" s="868"/>
      <c r="DW201" s="868"/>
      <c r="DX201" s="868"/>
      <c r="DY201" s="1655"/>
      <c r="DZ201" s="868"/>
      <c r="EA201" s="868"/>
      <c r="EB201" s="1631"/>
      <c r="EC201" s="868"/>
      <c r="ED201" s="868"/>
      <c r="EE201" s="868"/>
      <c r="EF201" s="1655"/>
      <c r="EG201" s="868"/>
      <c r="EH201" s="868"/>
      <c r="EI201" s="1631"/>
      <c r="EJ201" s="868"/>
      <c r="EK201" s="868"/>
      <c r="EL201" s="868"/>
      <c r="EM201" s="1655"/>
      <c r="EN201" s="868"/>
      <c r="EO201" s="868"/>
      <c r="EP201" s="1631"/>
      <c r="EQ201" s="303"/>
      <c r="ER201" s="46"/>
    </row>
    <row r="202" spans="1:148" ht="10.199999999999999" customHeight="1">
      <c r="A202" s="4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700"/>
      <c r="R202" s="108"/>
      <c r="S202" s="108"/>
      <c r="T202" s="538"/>
      <c r="U202" s="108"/>
      <c r="V202" s="108"/>
      <c r="W202" s="108"/>
      <c r="X202" s="700"/>
      <c r="Y202" s="108"/>
      <c r="Z202" s="108"/>
      <c r="AA202" s="538"/>
      <c r="AB202" s="108"/>
      <c r="AC202" s="108"/>
      <c r="AD202" s="108"/>
      <c r="AE202" s="700"/>
      <c r="AF202" s="108"/>
      <c r="AG202" s="108"/>
      <c r="AH202" s="538"/>
      <c r="AI202" s="108"/>
      <c r="AJ202" s="108"/>
      <c r="AK202" s="108"/>
      <c r="AL202" s="700"/>
      <c r="AM202" s="108"/>
      <c r="AN202" s="108"/>
      <c r="AO202" s="538"/>
      <c r="AP202" s="108"/>
      <c r="AQ202" s="108"/>
      <c r="AR202" s="108"/>
      <c r="AS202" s="700"/>
      <c r="AT202" s="108"/>
      <c r="AU202" s="108"/>
      <c r="AV202" s="538"/>
      <c r="AW202" s="108"/>
      <c r="AX202" s="108"/>
      <c r="AY202" s="108"/>
      <c r="AZ202" s="700"/>
      <c r="BA202" s="108"/>
      <c r="BB202" s="108"/>
      <c r="BC202" s="538"/>
      <c r="BD202" s="108"/>
      <c r="BE202" s="108"/>
      <c r="BF202" s="108"/>
      <c r="BG202" s="700"/>
      <c r="BH202" s="108"/>
      <c r="BI202" s="108"/>
      <c r="BJ202" s="538"/>
      <c r="BK202" s="108"/>
      <c r="BL202" s="108"/>
      <c r="BM202" s="108"/>
      <c r="BN202" s="700"/>
      <c r="BO202" s="108"/>
      <c r="BP202" s="108"/>
      <c r="BQ202" s="538"/>
      <c r="BR202" s="108"/>
      <c r="BS202" s="108"/>
      <c r="BT202" s="108"/>
      <c r="BU202" s="700"/>
      <c r="BV202" s="108"/>
      <c r="BW202" s="108"/>
      <c r="BX202" s="538"/>
      <c r="BY202" s="108"/>
      <c r="BZ202" s="108"/>
      <c r="CA202" s="108"/>
      <c r="CB202" s="700"/>
      <c r="CC202" s="108"/>
      <c r="CD202" s="108"/>
      <c r="CE202" s="538"/>
      <c r="CF202" s="108"/>
      <c r="CG202" s="108"/>
      <c r="CH202" s="108"/>
      <c r="CI202" s="700"/>
      <c r="CJ202" s="108"/>
      <c r="CK202" s="108"/>
      <c r="CL202" s="538"/>
      <c r="CM202" s="108"/>
      <c r="CN202" s="108"/>
      <c r="CO202" s="108"/>
      <c r="CP202" s="700"/>
      <c r="CQ202" s="108"/>
      <c r="CR202" s="108"/>
      <c r="CS202" s="538"/>
      <c r="CT202" s="108"/>
      <c r="CU202" s="108"/>
      <c r="CV202" s="108"/>
      <c r="CW202" s="700"/>
      <c r="CX202" s="108"/>
      <c r="CY202" s="108"/>
      <c r="CZ202" s="1631"/>
      <c r="DA202" s="868"/>
      <c r="DB202" s="868"/>
      <c r="DC202" s="868"/>
      <c r="DD202" s="1655"/>
      <c r="DE202" s="868"/>
      <c r="DF202" s="868"/>
      <c r="DG202" s="1631"/>
      <c r="DH202" s="1"/>
      <c r="DI202" s="868"/>
      <c r="DJ202" s="868"/>
      <c r="DK202" s="1655"/>
      <c r="DL202" s="868"/>
      <c r="DM202" s="868"/>
      <c r="DN202" s="1631"/>
      <c r="DO202" s="868"/>
      <c r="DP202" s="868"/>
      <c r="DQ202" s="868"/>
      <c r="DR202" s="1655"/>
      <c r="DS202" s="868"/>
      <c r="DT202" s="868"/>
      <c r="DU202" s="1631"/>
      <c r="DV202" s="868"/>
      <c r="DW202" s="868"/>
      <c r="DX202" s="868"/>
      <c r="DY202" s="1655"/>
      <c r="DZ202" s="868"/>
      <c r="EA202" s="868"/>
      <c r="EB202" s="1631"/>
      <c r="EC202" s="868"/>
      <c r="ED202" s="868"/>
      <c r="EE202" s="868"/>
      <c r="EF202" s="1655"/>
      <c r="EG202" s="868"/>
      <c r="EH202" s="868"/>
      <c r="EI202" s="1631"/>
      <c r="EJ202" s="868"/>
      <c r="EK202" s="868"/>
      <c r="EL202" s="868"/>
      <c r="EM202" s="1655"/>
      <c r="EN202" s="868"/>
      <c r="EO202" s="868"/>
      <c r="EP202" s="1631"/>
      <c r="EQ202" s="303"/>
      <c r="ER202" s="46"/>
    </row>
    <row r="203" spans="1:148" ht="10.199999999999999" customHeight="1">
      <c r="A203" s="48" t="s">
        <v>501</v>
      </c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700"/>
      <c r="R203" s="108"/>
      <c r="S203" s="108"/>
      <c r="T203" s="538"/>
      <c r="U203" s="108"/>
      <c r="V203" s="108"/>
      <c r="W203" s="108"/>
      <c r="X203" s="700"/>
      <c r="Y203" s="108"/>
      <c r="Z203" s="108"/>
      <c r="AA203" s="538"/>
      <c r="AB203" s="108"/>
      <c r="AC203" s="108"/>
      <c r="AD203" s="108"/>
      <c r="AE203" s="700"/>
      <c r="AF203" s="108"/>
      <c r="AG203" s="108"/>
      <c r="AH203" s="538"/>
      <c r="AI203" s="108"/>
      <c r="AJ203" s="108"/>
      <c r="AK203" s="108"/>
      <c r="AL203" s="700"/>
      <c r="AM203" s="108"/>
      <c r="AN203" s="108"/>
      <c r="AO203" s="538"/>
      <c r="AP203" s="108"/>
      <c r="AQ203" s="108"/>
      <c r="AR203" s="108"/>
      <c r="AS203" s="700"/>
      <c r="AT203" s="108"/>
      <c r="AU203" s="108"/>
      <c r="AV203" s="538"/>
      <c r="AW203" s="108"/>
      <c r="AX203" s="108"/>
      <c r="AY203" s="108"/>
      <c r="AZ203" s="700"/>
      <c r="BA203" s="108"/>
      <c r="BB203" s="108"/>
      <c r="BC203" s="538"/>
      <c r="BD203" s="108"/>
      <c r="BE203" s="108"/>
      <c r="BF203" s="108"/>
      <c r="BG203" s="700"/>
      <c r="BH203" s="108"/>
      <c r="BI203" s="108"/>
      <c r="BJ203" s="538"/>
      <c r="BK203" s="108"/>
      <c r="BL203" s="108"/>
      <c r="BM203" s="108"/>
      <c r="BN203" s="700"/>
      <c r="BO203" s="108"/>
      <c r="BP203" s="108"/>
      <c r="BQ203" s="538"/>
      <c r="BR203" s="108"/>
      <c r="BS203" s="108"/>
      <c r="BT203" s="108"/>
      <c r="BU203" s="700"/>
      <c r="BV203" s="108"/>
      <c r="BW203" s="108"/>
      <c r="BX203" s="538"/>
      <c r="BY203" s="108"/>
      <c r="BZ203" s="108"/>
      <c r="CA203" s="108"/>
      <c r="CB203" s="700"/>
      <c r="CC203" s="108"/>
      <c r="CD203" s="108"/>
      <c r="CE203" s="538"/>
      <c r="CF203" s="108"/>
      <c r="CG203" s="108"/>
      <c r="CH203" s="108"/>
      <c r="CI203" s="700"/>
      <c r="CJ203" s="108"/>
      <c r="CK203" s="108"/>
      <c r="CL203" s="538"/>
      <c r="CM203" s="108"/>
      <c r="CN203" s="108"/>
      <c r="CO203" s="108"/>
      <c r="CP203" s="700"/>
      <c r="CQ203" s="108"/>
      <c r="CR203" s="108"/>
      <c r="CS203" s="538"/>
      <c r="CT203" s="108"/>
      <c r="CU203" s="108"/>
      <c r="CV203" s="108"/>
      <c r="CW203" s="700"/>
      <c r="CX203" s="108"/>
      <c r="CY203" s="108"/>
      <c r="CZ203" s="1479"/>
      <c r="DA203" s="108"/>
      <c r="DB203" s="3"/>
      <c r="DC203" s="3"/>
      <c r="DD203" s="1509"/>
      <c r="DE203" s="3"/>
      <c r="DF203" s="3"/>
      <c r="DG203" s="1479"/>
      <c r="DH203" s="1"/>
      <c r="DI203" s="3"/>
      <c r="DJ203" s="3"/>
      <c r="DK203" s="1509"/>
      <c r="DL203" s="1879"/>
      <c r="DM203" s="3"/>
      <c r="DN203" s="1479"/>
      <c r="DO203" s="3"/>
      <c r="DP203" s="3"/>
      <c r="DQ203" s="3"/>
      <c r="DR203" s="1509"/>
      <c r="DS203" s="3"/>
      <c r="DT203" s="3"/>
      <c r="DU203" s="1479"/>
      <c r="DV203" s="3"/>
      <c r="DW203" s="3"/>
      <c r="DX203" s="3"/>
      <c r="DY203" s="1509"/>
      <c r="DZ203" s="3"/>
      <c r="EA203" s="3"/>
      <c r="EB203" s="1479"/>
      <c r="EC203" s="3"/>
      <c r="ED203" s="3"/>
      <c r="EE203" s="3"/>
      <c r="EF203" s="1509"/>
      <c r="EG203" s="3"/>
      <c r="EH203" s="3"/>
      <c r="EI203" s="1479"/>
      <c r="EJ203" s="3"/>
      <c r="EK203" s="3"/>
      <c r="EL203" s="3"/>
      <c r="EM203" s="1509"/>
      <c r="EN203" s="3"/>
      <c r="EO203" s="3"/>
      <c r="EP203" s="1479"/>
      <c r="EQ203" s="303"/>
      <c r="ER203" s="46"/>
    </row>
    <row r="204" spans="1:148" ht="10.199999999999999" customHeight="1">
      <c r="A204" s="43" t="s">
        <v>123</v>
      </c>
      <c r="B204" s="108"/>
      <c r="C204" s="191">
        <f>44+209</f>
        <v>253</v>
      </c>
      <c r="D204" s="191">
        <f>21+1640</f>
        <v>1661</v>
      </c>
      <c r="E204" s="135">
        <f>1648+23</f>
        <v>1671</v>
      </c>
      <c r="F204" s="135">
        <f t="shared" ref="F204:M204" si="1609">+F211-SUM(F205:F210)</f>
        <v>1792</v>
      </c>
      <c r="G204" s="135">
        <f t="shared" si="1609"/>
        <v>2726</v>
      </c>
      <c r="H204" s="135">
        <f t="shared" si="1609"/>
        <v>2048</v>
      </c>
      <c r="I204" s="135">
        <f t="shared" si="1609"/>
        <v>1527</v>
      </c>
      <c r="J204" s="135">
        <f t="shared" si="1609"/>
        <v>2474</v>
      </c>
      <c r="K204" s="135">
        <f t="shared" si="1609"/>
        <v>1535</v>
      </c>
      <c r="L204" s="135">
        <f t="shared" si="1609"/>
        <v>1605</v>
      </c>
      <c r="M204" s="135">
        <f t="shared" si="1609"/>
        <v>1834</v>
      </c>
      <c r="N204" s="135"/>
      <c r="O204" s="135"/>
      <c r="P204" s="135"/>
      <c r="Q204" s="961"/>
      <c r="R204" s="135"/>
      <c r="S204" s="135"/>
      <c r="T204" s="948">
        <v>2340</v>
      </c>
      <c r="U204" s="135"/>
      <c r="V204" s="135"/>
      <c r="W204" s="135"/>
      <c r="X204" s="961"/>
      <c r="Y204" s="135"/>
      <c r="Z204" s="135"/>
      <c r="AA204" s="948">
        <f>3917+1</f>
        <v>3918</v>
      </c>
      <c r="AB204" s="135"/>
      <c r="AC204" s="135">
        <f>AF204</f>
        <v>4458</v>
      </c>
      <c r="AD204" s="135">
        <f>3412+2248</f>
        <v>5660</v>
      </c>
      <c r="AE204" s="961">
        <f>AG204</f>
        <v>4966</v>
      </c>
      <c r="AF204" s="135">
        <f>3966+492</f>
        <v>4458</v>
      </c>
      <c r="AG204" s="135">
        <f>AH204</f>
        <v>4966</v>
      </c>
      <c r="AH204" s="948">
        <f>3443+1523</f>
        <v>4966</v>
      </c>
      <c r="AI204" s="135">
        <f>3506+2938</f>
        <v>6444</v>
      </c>
      <c r="AJ204" s="135">
        <f>AM204</f>
        <v>8218</v>
      </c>
      <c r="AK204" s="135">
        <f>6147+1133</f>
        <v>7280</v>
      </c>
      <c r="AL204" s="961">
        <f>AN204</f>
        <v>6013</v>
      </c>
      <c r="AM204" s="135">
        <f>6070+2148</f>
        <v>8218</v>
      </c>
      <c r="AN204" s="135">
        <f>AO204</f>
        <v>6013</v>
      </c>
      <c r="AO204" s="948">
        <v>6013</v>
      </c>
      <c r="AP204" s="135">
        <f>5963+234</f>
        <v>6197</v>
      </c>
      <c r="AQ204" s="135">
        <f>AT204</f>
        <v>7181</v>
      </c>
      <c r="AR204" s="135">
        <v>7111</v>
      </c>
      <c r="AS204" s="961">
        <f>AU204</f>
        <v>7063</v>
      </c>
      <c r="AT204" s="135">
        <v>7181</v>
      </c>
      <c r="AU204" s="135">
        <f>AV204</f>
        <v>7063</v>
      </c>
      <c r="AV204" s="948">
        <v>7063</v>
      </c>
      <c r="AW204" s="135"/>
      <c r="AX204" s="135"/>
      <c r="AY204" s="135"/>
      <c r="AZ204" s="961"/>
      <c r="BA204" s="135"/>
      <c r="BB204" s="135"/>
      <c r="BC204" s="948">
        <v>7063</v>
      </c>
      <c r="BD204" s="135">
        <f>6434+507</f>
        <v>6941</v>
      </c>
      <c r="BE204" s="135">
        <f>BH204</f>
        <v>7059</v>
      </c>
      <c r="BF204" s="135">
        <f>6535+1982</f>
        <v>8517</v>
      </c>
      <c r="BG204" s="961">
        <f>BI204</f>
        <v>6659</v>
      </c>
      <c r="BH204" s="135">
        <f>6557+502</f>
        <v>7059</v>
      </c>
      <c r="BI204" s="135">
        <f>BJ204</f>
        <v>6659</v>
      </c>
      <c r="BJ204" s="948">
        <v>6659</v>
      </c>
      <c r="BK204" s="135">
        <f>6830+528</f>
        <v>7358</v>
      </c>
      <c r="BL204" s="135">
        <f>BO204</f>
        <v>7691</v>
      </c>
      <c r="BM204" s="135">
        <f>7155+1677</f>
        <v>8832</v>
      </c>
      <c r="BN204" s="961">
        <f>BP204</f>
        <v>6491</v>
      </c>
      <c r="BO204" s="135">
        <f>6945+746</f>
        <v>7691</v>
      </c>
      <c r="BP204" s="135">
        <f>BQ204</f>
        <v>6491</v>
      </c>
      <c r="BQ204" s="948">
        <v>6491</v>
      </c>
      <c r="BR204" s="135">
        <f>6736+4168</f>
        <v>10904</v>
      </c>
      <c r="BS204" s="135">
        <f>BV204</f>
        <v>14346</v>
      </c>
      <c r="BT204" s="135">
        <f>11491+2542</f>
        <v>14033</v>
      </c>
      <c r="BU204" s="961">
        <f>BW204</f>
        <v>13107</v>
      </c>
      <c r="BV204" s="135">
        <f>11606+2740</f>
        <v>14346</v>
      </c>
      <c r="BW204" s="135">
        <f>BX204</f>
        <v>13107</v>
      </c>
      <c r="BX204" s="948">
        <f>12032+1075</f>
        <v>13107</v>
      </c>
      <c r="BY204" s="135">
        <f>12057+1077</f>
        <v>13134</v>
      </c>
      <c r="BZ204" s="135">
        <f>CC204</f>
        <v>11131</v>
      </c>
      <c r="CA204" s="135">
        <v>11110</v>
      </c>
      <c r="CB204" s="961">
        <f>CD204</f>
        <v>11061</v>
      </c>
      <c r="CC204" s="135">
        <v>11131</v>
      </c>
      <c r="CD204" s="135">
        <f>CE204</f>
        <v>11061</v>
      </c>
      <c r="CE204" s="948">
        <v>11061</v>
      </c>
      <c r="CF204" s="135">
        <v>10495</v>
      </c>
      <c r="CG204" s="135">
        <f>CJ204</f>
        <v>9138</v>
      </c>
      <c r="CH204" s="135">
        <v>8871</v>
      </c>
      <c r="CI204" s="961">
        <f>CK204</f>
        <v>8681</v>
      </c>
      <c r="CJ204" s="135">
        <v>9138</v>
      </c>
      <c r="CK204" s="135">
        <f>CL204</f>
        <v>8681</v>
      </c>
      <c r="CL204" s="948">
        <v>8681</v>
      </c>
      <c r="CM204" s="135">
        <v>8725</v>
      </c>
      <c r="CN204" s="135">
        <f>CQ204</f>
        <v>8732</v>
      </c>
      <c r="CO204" s="135">
        <f>7861+810</f>
        <v>8671</v>
      </c>
      <c r="CP204" s="961">
        <f>CR204</f>
        <v>9067</v>
      </c>
      <c r="CQ204" s="135">
        <v>8732</v>
      </c>
      <c r="CR204" s="135">
        <f>CS204</f>
        <v>9067</v>
      </c>
      <c r="CS204" s="948">
        <v>9067</v>
      </c>
      <c r="CT204" s="135">
        <f>8228+823</f>
        <v>9051</v>
      </c>
      <c r="CU204" s="135">
        <f>CX204</f>
        <v>8226</v>
      </c>
      <c r="CV204" s="135">
        <f>7852+550</f>
        <v>8402</v>
      </c>
      <c r="CW204" s="961">
        <f>CY204</f>
        <v>8542</v>
      </c>
      <c r="CX204" s="135">
        <f>7683+543</f>
        <v>8226</v>
      </c>
      <c r="CY204" s="135">
        <f>CZ204</f>
        <v>8542</v>
      </c>
      <c r="CZ204" s="948">
        <v>8542</v>
      </c>
      <c r="DA204" s="135">
        <f>7901+561</f>
        <v>8462</v>
      </c>
      <c r="DB204" s="135">
        <f>DE204</f>
        <v>7792</v>
      </c>
      <c r="DC204" s="135">
        <f>6462+1333</f>
        <v>7795</v>
      </c>
      <c r="DD204" s="1903">
        <f>DF204</f>
        <v>7765</v>
      </c>
      <c r="DE204" s="2104">
        <f>6467+1325</f>
        <v>7792</v>
      </c>
      <c r="DF204" s="1873">
        <f>DG204</f>
        <v>7765</v>
      </c>
      <c r="DG204" s="948">
        <v>7765</v>
      </c>
      <c r="DH204" s="865">
        <f>7901+561</f>
        <v>8462</v>
      </c>
      <c r="DI204" s="135">
        <f>DL204</f>
        <v>7274</v>
      </c>
      <c r="DJ204" s="897">
        <f t="shared" ref="DJ204:DJ210" si="1610">DN204</f>
        <v>7765</v>
      </c>
      <c r="DK204" s="443">
        <f>DM204</f>
        <v>7765</v>
      </c>
      <c r="DL204" s="2047">
        <f>6482+792</f>
        <v>7274</v>
      </c>
      <c r="DM204" s="442">
        <f>DN204</f>
        <v>7765</v>
      </c>
      <c r="DN204" s="1116">
        <f t="shared" ref="DN204:DN210" si="1611">+DG204</f>
        <v>7765</v>
      </c>
      <c r="DO204" s="897">
        <f t="shared" ref="DO204:DO210" si="1612">DU204</f>
        <v>7765</v>
      </c>
      <c r="DP204" s="442">
        <f>DS204</f>
        <v>7765</v>
      </c>
      <c r="DQ204" s="897">
        <f t="shared" ref="DQ204:DQ210" si="1613">DU204</f>
        <v>7765</v>
      </c>
      <c r="DR204" s="443">
        <f>DT204</f>
        <v>7765</v>
      </c>
      <c r="DS204" s="897">
        <f t="shared" ref="DS204:DS210" si="1614">DU204</f>
        <v>7765</v>
      </c>
      <c r="DT204" s="442">
        <f>DU204</f>
        <v>7765</v>
      </c>
      <c r="DU204" s="1116">
        <f t="shared" ref="DU204:DU210" si="1615">+DN204</f>
        <v>7765</v>
      </c>
      <c r="DV204" s="897">
        <f t="shared" ref="DV204:DV210" si="1616">EB204</f>
        <v>7765</v>
      </c>
      <c r="DW204" s="442">
        <f>DZ204</f>
        <v>7765</v>
      </c>
      <c r="DX204" s="897">
        <f t="shared" ref="DX204:DX210" si="1617">EB204</f>
        <v>7765</v>
      </c>
      <c r="DY204" s="443">
        <f>EA204</f>
        <v>7765</v>
      </c>
      <c r="DZ204" s="897">
        <f t="shared" ref="DZ204:DZ210" si="1618">EB204</f>
        <v>7765</v>
      </c>
      <c r="EA204" s="442">
        <f>EB204</f>
        <v>7765</v>
      </c>
      <c r="EB204" s="1116">
        <f t="shared" ref="EB204:EB210" si="1619">+DU204</f>
        <v>7765</v>
      </c>
      <c r="EC204" s="897">
        <f t="shared" ref="EC204:EC210" si="1620">EI204</f>
        <v>7765</v>
      </c>
      <c r="ED204" s="442">
        <f>EG204</f>
        <v>7765</v>
      </c>
      <c r="EE204" s="897">
        <f t="shared" ref="EE204:EE210" si="1621">EI204</f>
        <v>7765</v>
      </c>
      <c r="EF204" s="443">
        <f>EH204</f>
        <v>7765</v>
      </c>
      <c r="EG204" s="897">
        <f t="shared" ref="EG204:EG210" si="1622">EI204</f>
        <v>7765</v>
      </c>
      <c r="EH204" s="442">
        <f>EI204</f>
        <v>7765</v>
      </c>
      <c r="EI204" s="1116">
        <f t="shared" ref="EI204:EI210" si="1623">+EB204</f>
        <v>7765</v>
      </c>
      <c r="EJ204" s="897">
        <f t="shared" ref="EJ204:EJ210" si="1624">EP204</f>
        <v>7765</v>
      </c>
      <c r="EK204" s="442">
        <f>EN204</f>
        <v>7765</v>
      </c>
      <c r="EL204" s="897">
        <f t="shared" ref="EL204:EL210" si="1625">EP204</f>
        <v>7765</v>
      </c>
      <c r="EM204" s="443">
        <f>EO204</f>
        <v>7765</v>
      </c>
      <c r="EN204" s="897">
        <f t="shared" ref="EN204:EN210" si="1626">EP204</f>
        <v>7765</v>
      </c>
      <c r="EO204" s="442">
        <f>EP204</f>
        <v>7765</v>
      </c>
      <c r="EP204" s="1116">
        <f t="shared" ref="EP204:EP210" si="1627">+EI204</f>
        <v>7765</v>
      </c>
      <c r="EQ204" s="303"/>
      <c r="ER204" s="46"/>
    </row>
    <row r="205" spans="1:148" ht="10.199999999999999" customHeight="1">
      <c r="A205" s="43" t="s">
        <v>134</v>
      </c>
      <c r="B205" s="108"/>
      <c r="C205" s="191">
        <f>256+1313</f>
        <v>1569</v>
      </c>
      <c r="D205" s="191">
        <f>314+1075</f>
        <v>1389</v>
      </c>
      <c r="E205" s="135">
        <f>1629+145</f>
        <v>1774</v>
      </c>
      <c r="F205" s="135">
        <f>+E205</f>
        <v>1774</v>
      </c>
      <c r="G205" s="135">
        <f>1141+140</f>
        <v>1281</v>
      </c>
      <c r="H205" s="135">
        <f>952+108</f>
        <v>1060</v>
      </c>
      <c r="I205" s="135">
        <f>895+103</f>
        <v>998</v>
      </c>
      <c r="J205" s="135">
        <f>811+90</f>
        <v>901</v>
      </c>
      <c r="K205" s="135">
        <f>783+39</f>
        <v>822</v>
      </c>
      <c r="L205" s="135">
        <f>1480+74</f>
        <v>1554</v>
      </c>
      <c r="M205" s="135">
        <f>1382+53</f>
        <v>1435</v>
      </c>
      <c r="N205" s="135"/>
      <c r="O205" s="135"/>
      <c r="P205" s="135"/>
      <c r="Q205" s="961"/>
      <c r="R205" s="135"/>
      <c r="S205" s="135"/>
      <c r="T205" s="948">
        <f>1070+923</f>
        <v>1993</v>
      </c>
      <c r="U205" s="135"/>
      <c r="V205" s="135"/>
      <c r="W205" s="135"/>
      <c r="X205" s="961"/>
      <c r="Y205" s="135"/>
      <c r="Z205" s="135"/>
      <c r="AA205" s="948">
        <f>1751+22</f>
        <v>1773</v>
      </c>
      <c r="AB205" s="135"/>
      <c r="AC205" s="135">
        <f>AF205</f>
        <v>2007</v>
      </c>
      <c r="AD205" s="135">
        <f>1883+25</f>
        <v>1908</v>
      </c>
      <c r="AE205" s="961">
        <f t="shared" ref="AE205:AE210" si="1628">AG205</f>
        <v>2462</v>
      </c>
      <c r="AF205" s="135">
        <f>1980+27</f>
        <v>2007</v>
      </c>
      <c r="AG205" s="135">
        <f t="shared" ref="AG205:AG210" si="1629">AH205</f>
        <v>2462</v>
      </c>
      <c r="AH205" s="948">
        <f>2113+349</f>
        <v>2462</v>
      </c>
      <c r="AI205" s="135">
        <f>2045+1048</f>
        <v>3093</v>
      </c>
      <c r="AJ205" s="135">
        <f>AM205</f>
        <v>2225</v>
      </c>
      <c r="AK205" s="135">
        <f>1989+126</f>
        <v>2115</v>
      </c>
      <c r="AL205" s="961">
        <f t="shared" ref="AL205:AL210" si="1630">AN205</f>
        <v>2423</v>
      </c>
      <c r="AM205" s="135">
        <f>2100+125</f>
        <v>2225</v>
      </c>
      <c r="AN205" s="135">
        <f t="shared" ref="AN205:AN210" si="1631">AO205</f>
        <v>2423</v>
      </c>
      <c r="AO205" s="948">
        <f>2072+351</f>
        <v>2423</v>
      </c>
      <c r="AP205" s="135">
        <f>2112+257</f>
        <v>2369</v>
      </c>
      <c r="AQ205" s="135">
        <f>AT205</f>
        <v>2216</v>
      </c>
      <c r="AR205" s="135">
        <f>1832+273</f>
        <v>2105</v>
      </c>
      <c r="AS205" s="961">
        <f t="shared" ref="AS205:AS210" si="1632">AU205</f>
        <v>2012</v>
      </c>
      <c r="AT205" s="135">
        <f>1985+231</f>
        <v>2216</v>
      </c>
      <c r="AU205" s="135">
        <f t="shared" ref="AU205:AU210" si="1633">AV205</f>
        <v>2012</v>
      </c>
      <c r="AV205" s="948">
        <v>2012</v>
      </c>
      <c r="AW205" s="135"/>
      <c r="AX205" s="135"/>
      <c r="AY205" s="135"/>
      <c r="AZ205" s="961"/>
      <c r="BA205" s="135"/>
      <c r="BB205" s="135"/>
      <c r="BC205" s="948">
        <v>2012</v>
      </c>
      <c r="BD205" s="135">
        <f>1687+283</f>
        <v>1970</v>
      </c>
      <c r="BE205" s="135">
        <f>BH205</f>
        <v>448</v>
      </c>
      <c r="BF205" s="135">
        <f>258+90</f>
        <v>348</v>
      </c>
      <c r="BG205" s="961">
        <f t="shared" ref="BG205:BG210" si="1634">BI205</f>
        <v>353</v>
      </c>
      <c r="BH205" s="135">
        <f>351+97</f>
        <v>448</v>
      </c>
      <c r="BI205" s="135">
        <f t="shared" ref="BI205:BI210" si="1635">BJ205</f>
        <v>353</v>
      </c>
      <c r="BJ205" s="948">
        <v>353</v>
      </c>
      <c r="BK205" s="135">
        <f>270+92</f>
        <v>362</v>
      </c>
      <c r="BL205" s="135">
        <f>BO205</f>
        <v>317</v>
      </c>
      <c r="BM205" s="135">
        <f>188+101</f>
        <v>289</v>
      </c>
      <c r="BN205" s="961">
        <f t="shared" ref="BN205:BN210" si="1636">BP205</f>
        <v>350</v>
      </c>
      <c r="BO205" s="135">
        <f>216+101</f>
        <v>317</v>
      </c>
      <c r="BP205" s="135">
        <f t="shared" ref="BP205:BP210" si="1637">BQ205</f>
        <v>350</v>
      </c>
      <c r="BQ205" s="948">
        <f>244+106</f>
        <v>350</v>
      </c>
      <c r="BR205" s="135">
        <f>209+451</f>
        <v>660</v>
      </c>
      <c r="BS205" s="135">
        <f>BV205</f>
        <v>647</v>
      </c>
      <c r="BT205" s="135">
        <f>1017+219</f>
        <v>1236</v>
      </c>
      <c r="BU205" s="961">
        <f t="shared" ref="BU205:BU210" si="1638">BW205</f>
        <v>529</v>
      </c>
      <c r="BV205" s="135">
        <f>425+222</f>
        <v>647</v>
      </c>
      <c r="BW205" s="135">
        <f t="shared" ref="BW205:BW210" si="1639">BX205</f>
        <v>529</v>
      </c>
      <c r="BX205" s="948">
        <f>418+111</f>
        <v>529</v>
      </c>
      <c r="BY205" s="135">
        <f>426+29</f>
        <v>455</v>
      </c>
      <c r="BZ205" s="135">
        <f>CC205</f>
        <v>459</v>
      </c>
      <c r="CA205" s="135">
        <f>424+29</f>
        <v>453</v>
      </c>
      <c r="CB205" s="961">
        <f t="shared" ref="CB205:CB210" si="1640">CD205</f>
        <v>493</v>
      </c>
      <c r="CC205" s="135">
        <f>430+29</f>
        <v>459</v>
      </c>
      <c r="CD205" s="135">
        <f t="shared" ref="CD205:CD210" si="1641">CE205</f>
        <v>493</v>
      </c>
      <c r="CE205" s="948">
        <v>493</v>
      </c>
      <c r="CF205" s="135">
        <f>465+27</f>
        <v>492</v>
      </c>
      <c r="CG205" s="135">
        <f>CJ205</f>
        <v>489</v>
      </c>
      <c r="CH205" s="135">
        <f>454+27</f>
        <v>481</v>
      </c>
      <c r="CI205" s="961">
        <f t="shared" ref="CI205:CI210" si="1642">CK205</f>
        <v>410</v>
      </c>
      <c r="CJ205" s="135">
        <f>462+27</f>
        <v>489</v>
      </c>
      <c r="CK205" s="135">
        <f t="shared" ref="CK205:CK210" si="1643">CL205</f>
        <v>410</v>
      </c>
      <c r="CL205" s="948">
        <v>410</v>
      </c>
      <c r="CM205" s="135">
        <f>331+27</f>
        <v>358</v>
      </c>
      <c r="CN205" s="135">
        <f>CQ205</f>
        <v>50</v>
      </c>
      <c r="CO205" s="135">
        <f>49+51</f>
        <v>100</v>
      </c>
      <c r="CP205" s="961">
        <f t="shared" ref="CP205:CP210" si="1644">CR205</f>
        <v>324</v>
      </c>
      <c r="CQ205" s="135">
        <f>49+1</f>
        <v>50</v>
      </c>
      <c r="CR205" s="135">
        <f t="shared" ref="CR205:CR210" si="1645">CS205</f>
        <v>324</v>
      </c>
      <c r="CS205" s="948">
        <v>324</v>
      </c>
      <c r="CT205" s="135">
        <f>323+1</f>
        <v>324</v>
      </c>
      <c r="CU205" s="135">
        <f>CX205</f>
        <v>334</v>
      </c>
      <c r="CV205" s="135">
        <f>426+3</f>
        <v>429</v>
      </c>
      <c r="CW205" s="961">
        <f t="shared" ref="CW205:CW210" si="1646">CY205</f>
        <v>408</v>
      </c>
      <c r="CX205" s="135">
        <f>333+1</f>
        <v>334</v>
      </c>
      <c r="CY205" s="135">
        <f t="shared" ref="CY205:CY210" si="1647">CZ205</f>
        <v>408</v>
      </c>
      <c r="CZ205" s="948">
        <v>408</v>
      </c>
      <c r="DA205" s="135">
        <f>371+27</f>
        <v>398</v>
      </c>
      <c r="DB205" s="135">
        <f>DE205</f>
        <v>380</v>
      </c>
      <c r="DC205" s="135">
        <f>341+25</f>
        <v>366</v>
      </c>
      <c r="DD205" s="1903">
        <f t="shared" ref="DD205:DD210" si="1648">DF205</f>
        <v>354</v>
      </c>
      <c r="DE205" s="2104">
        <f>354+26</f>
        <v>380</v>
      </c>
      <c r="DF205" s="1873">
        <f t="shared" ref="DF205:DF210" si="1649">DG205</f>
        <v>354</v>
      </c>
      <c r="DG205" s="948">
        <v>354</v>
      </c>
      <c r="DH205" s="865">
        <f>371+27</f>
        <v>398</v>
      </c>
      <c r="DI205" s="135">
        <f>DL205</f>
        <v>511</v>
      </c>
      <c r="DJ205" s="897">
        <f t="shared" si="1610"/>
        <v>354</v>
      </c>
      <c r="DK205" s="443">
        <f t="shared" ref="DK205:DK210" si="1650">DM205</f>
        <v>354</v>
      </c>
      <c r="DL205" s="2047">
        <f>510+1</f>
        <v>511</v>
      </c>
      <c r="DM205" s="442">
        <f t="shared" ref="DM205:DM210" si="1651">DN205</f>
        <v>354</v>
      </c>
      <c r="DN205" s="1116">
        <f t="shared" si="1611"/>
        <v>354</v>
      </c>
      <c r="DO205" s="897">
        <f t="shared" si="1612"/>
        <v>354</v>
      </c>
      <c r="DP205" s="442">
        <f>DS205</f>
        <v>354</v>
      </c>
      <c r="DQ205" s="897">
        <f t="shared" si="1613"/>
        <v>354</v>
      </c>
      <c r="DR205" s="443">
        <f t="shared" ref="DR205:DR210" si="1652">DT205</f>
        <v>354</v>
      </c>
      <c r="DS205" s="897">
        <f t="shared" si="1614"/>
        <v>354</v>
      </c>
      <c r="DT205" s="442">
        <f t="shared" ref="DT205:DT210" si="1653">DU205</f>
        <v>354</v>
      </c>
      <c r="DU205" s="1116">
        <f t="shared" si="1615"/>
        <v>354</v>
      </c>
      <c r="DV205" s="897">
        <f t="shared" si="1616"/>
        <v>354</v>
      </c>
      <c r="DW205" s="442">
        <f>DZ205</f>
        <v>354</v>
      </c>
      <c r="DX205" s="897">
        <f t="shared" si="1617"/>
        <v>354</v>
      </c>
      <c r="DY205" s="443">
        <f t="shared" ref="DY205:DY210" si="1654">EA205</f>
        <v>354</v>
      </c>
      <c r="DZ205" s="897">
        <f t="shared" si="1618"/>
        <v>354</v>
      </c>
      <c r="EA205" s="442">
        <f t="shared" ref="EA205:EA210" si="1655">EB205</f>
        <v>354</v>
      </c>
      <c r="EB205" s="1116">
        <f t="shared" si="1619"/>
        <v>354</v>
      </c>
      <c r="EC205" s="897">
        <f t="shared" si="1620"/>
        <v>354</v>
      </c>
      <c r="ED205" s="442">
        <f>EG205</f>
        <v>354</v>
      </c>
      <c r="EE205" s="897">
        <f t="shared" si="1621"/>
        <v>354</v>
      </c>
      <c r="EF205" s="443">
        <f t="shared" ref="EF205:EF210" si="1656">EH205</f>
        <v>354</v>
      </c>
      <c r="EG205" s="897">
        <f t="shared" si="1622"/>
        <v>354</v>
      </c>
      <c r="EH205" s="442">
        <f t="shared" ref="EH205:EH210" si="1657">EI205</f>
        <v>354</v>
      </c>
      <c r="EI205" s="1116">
        <f t="shared" si="1623"/>
        <v>354</v>
      </c>
      <c r="EJ205" s="897">
        <f t="shared" si="1624"/>
        <v>354</v>
      </c>
      <c r="EK205" s="442">
        <f>EN205</f>
        <v>354</v>
      </c>
      <c r="EL205" s="897">
        <f t="shared" si="1625"/>
        <v>354</v>
      </c>
      <c r="EM205" s="443">
        <f t="shared" ref="EM205:EM210" si="1658">EO205</f>
        <v>354</v>
      </c>
      <c r="EN205" s="897">
        <f t="shared" si="1626"/>
        <v>354</v>
      </c>
      <c r="EO205" s="442">
        <f t="shared" ref="EO205:EO210" si="1659">EP205</f>
        <v>354</v>
      </c>
      <c r="EP205" s="1116">
        <f t="shared" si="1627"/>
        <v>354</v>
      </c>
      <c r="EQ205" s="303"/>
      <c r="ER205" s="46"/>
    </row>
    <row r="206" spans="1:148" ht="10.199999999999999" customHeight="1">
      <c r="A206" s="43" t="s">
        <v>287</v>
      </c>
      <c r="B206" s="108"/>
      <c r="C206" s="191">
        <f>166+0</f>
        <v>166</v>
      </c>
      <c r="D206" s="191">
        <f>6+90</f>
        <v>96</v>
      </c>
      <c r="E206" s="135">
        <v>110</v>
      </c>
      <c r="F206" s="135">
        <f>+E206</f>
        <v>110</v>
      </c>
      <c r="G206" s="135">
        <v>118</v>
      </c>
      <c r="H206" s="135">
        <v>0</v>
      </c>
      <c r="I206" s="135">
        <f>+H206</f>
        <v>0</v>
      </c>
      <c r="J206" s="135">
        <f>+I206</f>
        <v>0</v>
      </c>
      <c r="K206" s="135">
        <v>0</v>
      </c>
      <c r="L206" s="135">
        <v>0</v>
      </c>
      <c r="M206" s="135">
        <f>+L206</f>
        <v>0</v>
      </c>
      <c r="N206" s="135"/>
      <c r="O206" s="135"/>
      <c r="P206" s="135"/>
      <c r="Q206" s="961"/>
      <c r="R206" s="135"/>
      <c r="S206" s="135"/>
      <c r="T206" s="948">
        <v>0</v>
      </c>
      <c r="U206" s="135"/>
      <c r="V206" s="135"/>
      <c r="W206" s="135"/>
      <c r="X206" s="961"/>
      <c r="Y206" s="135"/>
      <c r="Z206" s="135"/>
      <c r="AA206" s="948">
        <f>+T206</f>
        <v>0</v>
      </c>
      <c r="AB206" s="135"/>
      <c r="AC206" s="135">
        <f t="shared" ref="AC206:AC210" si="1660">AF206</f>
        <v>0</v>
      </c>
      <c r="AD206" s="135">
        <v>0</v>
      </c>
      <c r="AE206" s="961">
        <f t="shared" si="1628"/>
        <v>0</v>
      </c>
      <c r="AF206" s="135">
        <v>0</v>
      </c>
      <c r="AG206" s="135">
        <f t="shared" si="1629"/>
        <v>0</v>
      </c>
      <c r="AH206" s="948">
        <f>+AA206</f>
        <v>0</v>
      </c>
      <c r="AI206" s="135">
        <v>0</v>
      </c>
      <c r="AJ206" s="135">
        <f t="shared" ref="AJ206:AJ210" si="1661">AM206</f>
        <v>0</v>
      </c>
      <c r="AK206" s="135">
        <v>0</v>
      </c>
      <c r="AL206" s="961">
        <f t="shared" si="1630"/>
        <v>0</v>
      </c>
      <c r="AM206" s="135">
        <v>0</v>
      </c>
      <c r="AN206" s="135">
        <f t="shared" si="1631"/>
        <v>0</v>
      </c>
      <c r="AO206" s="948">
        <f>+AH206</f>
        <v>0</v>
      </c>
      <c r="AP206" s="135">
        <v>0</v>
      </c>
      <c r="AQ206" s="135">
        <f t="shared" ref="AQ206:AQ210" si="1662">AT206</f>
        <v>0</v>
      </c>
      <c r="AR206" s="135">
        <v>0</v>
      </c>
      <c r="AS206" s="961">
        <f t="shared" si="1632"/>
        <v>0</v>
      </c>
      <c r="AT206" s="135">
        <v>0</v>
      </c>
      <c r="AU206" s="135">
        <f t="shared" si="1633"/>
        <v>0</v>
      </c>
      <c r="AV206" s="948">
        <f>+AO206</f>
        <v>0</v>
      </c>
      <c r="AW206" s="135"/>
      <c r="AX206" s="135"/>
      <c r="AY206" s="135"/>
      <c r="AZ206" s="961"/>
      <c r="BA206" s="135"/>
      <c r="BB206" s="135"/>
      <c r="BC206" s="948">
        <f>+AO206</f>
        <v>0</v>
      </c>
      <c r="BD206" s="135">
        <v>0</v>
      </c>
      <c r="BE206" s="135">
        <f t="shared" ref="BE206:BE210" si="1663">BH206</f>
        <v>0</v>
      </c>
      <c r="BF206" s="135">
        <v>0</v>
      </c>
      <c r="BG206" s="961">
        <f t="shared" si="1634"/>
        <v>0</v>
      </c>
      <c r="BH206" s="135">
        <v>0</v>
      </c>
      <c r="BI206" s="135">
        <f t="shared" si="1635"/>
        <v>0</v>
      </c>
      <c r="BJ206" s="948">
        <f>+BC206</f>
        <v>0</v>
      </c>
      <c r="BK206" s="135">
        <v>0</v>
      </c>
      <c r="BL206" s="135">
        <f t="shared" ref="BL206:BL210" si="1664">BO206</f>
        <v>0</v>
      </c>
      <c r="BM206" s="135">
        <v>0</v>
      </c>
      <c r="BN206" s="961">
        <f t="shared" si="1636"/>
        <v>0</v>
      </c>
      <c r="BO206" s="135">
        <v>0</v>
      </c>
      <c r="BP206" s="135">
        <f t="shared" si="1637"/>
        <v>0</v>
      </c>
      <c r="BQ206" s="948">
        <f>+BJ206</f>
        <v>0</v>
      </c>
      <c r="BR206" s="135">
        <v>0</v>
      </c>
      <c r="BS206" s="135">
        <f t="shared" ref="BS206:BS210" si="1665">BV206</f>
        <v>0</v>
      </c>
      <c r="BT206" s="135">
        <v>0</v>
      </c>
      <c r="BU206" s="961">
        <f t="shared" si="1638"/>
        <v>0</v>
      </c>
      <c r="BV206" s="135">
        <v>0</v>
      </c>
      <c r="BW206" s="135">
        <f t="shared" si="1639"/>
        <v>0</v>
      </c>
      <c r="BX206" s="948">
        <f>+BQ206</f>
        <v>0</v>
      </c>
      <c r="BY206" s="135">
        <v>0</v>
      </c>
      <c r="BZ206" s="135">
        <f t="shared" ref="BZ206:BZ210" si="1666">CC206</f>
        <v>0</v>
      </c>
      <c r="CA206" s="135">
        <v>0</v>
      </c>
      <c r="CB206" s="961">
        <f t="shared" si="1640"/>
        <v>0</v>
      </c>
      <c r="CC206" s="135">
        <v>0</v>
      </c>
      <c r="CD206" s="135">
        <f t="shared" si="1641"/>
        <v>0</v>
      </c>
      <c r="CE206" s="948">
        <f>+BX206</f>
        <v>0</v>
      </c>
      <c r="CF206" s="135">
        <v>0</v>
      </c>
      <c r="CG206" s="135">
        <f t="shared" ref="CG206:CG210" si="1667">CJ206</f>
        <v>0</v>
      </c>
      <c r="CH206" s="135">
        <v>0</v>
      </c>
      <c r="CI206" s="961">
        <f t="shared" si="1642"/>
        <v>0</v>
      </c>
      <c r="CJ206" s="135">
        <v>0</v>
      </c>
      <c r="CK206" s="135">
        <f t="shared" si="1643"/>
        <v>0</v>
      </c>
      <c r="CL206" s="948">
        <f>+CE206</f>
        <v>0</v>
      </c>
      <c r="CM206" s="135">
        <v>0</v>
      </c>
      <c r="CN206" s="135">
        <f t="shared" ref="CN206:CN210" si="1668">CQ206</f>
        <v>0</v>
      </c>
      <c r="CO206" s="135">
        <v>0</v>
      </c>
      <c r="CP206" s="961">
        <f t="shared" si="1644"/>
        <v>0</v>
      </c>
      <c r="CQ206" s="135">
        <v>0</v>
      </c>
      <c r="CR206" s="135">
        <f t="shared" si="1645"/>
        <v>0</v>
      </c>
      <c r="CS206" s="948">
        <v>0</v>
      </c>
      <c r="CT206" s="135">
        <v>0</v>
      </c>
      <c r="CU206" s="135">
        <f t="shared" ref="CU206:CU210" si="1669">CX206</f>
        <v>0</v>
      </c>
      <c r="CV206" s="135">
        <v>0</v>
      </c>
      <c r="CW206" s="961">
        <f t="shared" si="1646"/>
        <v>0</v>
      </c>
      <c r="CX206" s="135">
        <v>0</v>
      </c>
      <c r="CY206" s="135">
        <f t="shared" si="1647"/>
        <v>0</v>
      </c>
      <c r="CZ206" s="948">
        <v>0</v>
      </c>
      <c r="DA206" s="135">
        <v>0</v>
      </c>
      <c r="DB206" s="135">
        <f t="shared" ref="DB206:DB210" si="1670">DE206</f>
        <v>0</v>
      </c>
      <c r="DC206" s="135">
        <f t="shared" ref="DC206:DC210" si="1671">DG206</f>
        <v>0</v>
      </c>
      <c r="DD206" s="1903">
        <f t="shared" si="1648"/>
        <v>0</v>
      </c>
      <c r="DE206" s="135">
        <v>0</v>
      </c>
      <c r="DF206" s="1873">
        <f t="shared" si="1649"/>
        <v>0</v>
      </c>
      <c r="DG206" s="948">
        <v>0</v>
      </c>
      <c r="DH206" s="865">
        <v>0</v>
      </c>
      <c r="DI206" s="135">
        <f t="shared" ref="DI206:DI210" si="1672">DL206</f>
        <v>0</v>
      </c>
      <c r="DJ206" s="897">
        <f t="shared" si="1610"/>
        <v>0</v>
      </c>
      <c r="DK206" s="443">
        <f t="shared" si="1650"/>
        <v>0</v>
      </c>
      <c r="DL206" s="1872">
        <v>0</v>
      </c>
      <c r="DM206" s="442">
        <f t="shared" si="1651"/>
        <v>0</v>
      </c>
      <c r="DN206" s="1116">
        <f t="shared" si="1611"/>
        <v>0</v>
      </c>
      <c r="DO206" s="897">
        <f t="shared" si="1612"/>
        <v>0</v>
      </c>
      <c r="DP206" s="442">
        <f t="shared" ref="DP206:DP210" si="1673">DS206</f>
        <v>0</v>
      </c>
      <c r="DQ206" s="897">
        <f t="shared" si="1613"/>
        <v>0</v>
      </c>
      <c r="DR206" s="443">
        <f t="shared" si="1652"/>
        <v>0</v>
      </c>
      <c r="DS206" s="897">
        <f t="shared" si="1614"/>
        <v>0</v>
      </c>
      <c r="DT206" s="442">
        <f t="shared" si="1653"/>
        <v>0</v>
      </c>
      <c r="DU206" s="1116">
        <f t="shared" si="1615"/>
        <v>0</v>
      </c>
      <c r="DV206" s="897">
        <f t="shared" si="1616"/>
        <v>0</v>
      </c>
      <c r="DW206" s="442">
        <f t="shared" ref="DW206:DW210" si="1674">DZ206</f>
        <v>0</v>
      </c>
      <c r="DX206" s="897">
        <f t="shared" si="1617"/>
        <v>0</v>
      </c>
      <c r="DY206" s="443">
        <f t="shared" si="1654"/>
        <v>0</v>
      </c>
      <c r="DZ206" s="897">
        <f t="shared" si="1618"/>
        <v>0</v>
      </c>
      <c r="EA206" s="442">
        <f t="shared" si="1655"/>
        <v>0</v>
      </c>
      <c r="EB206" s="1116">
        <f t="shared" si="1619"/>
        <v>0</v>
      </c>
      <c r="EC206" s="897">
        <f t="shared" si="1620"/>
        <v>0</v>
      </c>
      <c r="ED206" s="442">
        <f t="shared" ref="ED206:ED210" si="1675">EG206</f>
        <v>0</v>
      </c>
      <c r="EE206" s="897">
        <f t="shared" si="1621"/>
        <v>0</v>
      </c>
      <c r="EF206" s="443">
        <f t="shared" si="1656"/>
        <v>0</v>
      </c>
      <c r="EG206" s="897">
        <f t="shared" si="1622"/>
        <v>0</v>
      </c>
      <c r="EH206" s="442">
        <f t="shared" si="1657"/>
        <v>0</v>
      </c>
      <c r="EI206" s="1116">
        <f t="shared" si="1623"/>
        <v>0</v>
      </c>
      <c r="EJ206" s="897">
        <f t="shared" si="1624"/>
        <v>0</v>
      </c>
      <c r="EK206" s="442">
        <f t="shared" ref="EK206:EK210" si="1676">EN206</f>
        <v>0</v>
      </c>
      <c r="EL206" s="897">
        <f t="shared" si="1625"/>
        <v>0</v>
      </c>
      <c r="EM206" s="443">
        <f t="shared" si="1658"/>
        <v>0</v>
      </c>
      <c r="EN206" s="897">
        <f t="shared" si="1626"/>
        <v>0</v>
      </c>
      <c r="EO206" s="442">
        <f t="shared" si="1659"/>
        <v>0</v>
      </c>
      <c r="EP206" s="1116">
        <f t="shared" si="1627"/>
        <v>0</v>
      </c>
      <c r="EQ206" s="303"/>
      <c r="ER206" s="46"/>
    </row>
    <row r="207" spans="1:148" ht="10.199999999999999" customHeight="1">
      <c r="A207" s="43" t="s">
        <v>288</v>
      </c>
      <c r="B207" s="108"/>
      <c r="C207" s="191">
        <f>80+968</f>
        <v>1048</v>
      </c>
      <c r="D207" s="191">
        <f>799+84</f>
        <v>883</v>
      </c>
      <c r="E207" s="135">
        <f>911+45</f>
        <v>956</v>
      </c>
      <c r="F207" s="135">
        <f>+E207</f>
        <v>956</v>
      </c>
      <c r="G207" s="135">
        <f>673+172</f>
        <v>845</v>
      </c>
      <c r="H207" s="135">
        <f>548+183</f>
        <v>731</v>
      </c>
      <c r="I207" s="135">
        <f>481+197</f>
        <v>678</v>
      </c>
      <c r="J207" s="135">
        <f>391+205</f>
        <v>596</v>
      </c>
      <c r="K207" s="135">
        <f>375+200</f>
        <v>575</v>
      </c>
      <c r="L207" s="135">
        <f>372+279</f>
        <v>651</v>
      </c>
      <c r="M207" s="135">
        <f>287+189</f>
        <v>476</v>
      </c>
      <c r="N207" s="135"/>
      <c r="O207" s="135"/>
      <c r="P207" s="135"/>
      <c r="Q207" s="961"/>
      <c r="R207" s="135"/>
      <c r="S207" s="135"/>
      <c r="T207" s="948">
        <f>232+116</f>
        <v>348</v>
      </c>
      <c r="U207" s="135"/>
      <c r="V207" s="135"/>
      <c r="W207" s="135"/>
      <c r="X207" s="961"/>
      <c r="Y207" s="135"/>
      <c r="Z207" s="135"/>
      <c r="AA207" s="948">
        <f>424+285</f>
        <v>709</v>
      </c>
      <c r="AB207" s="135"/>
      <c r="AC207" s="135">
        <f t="shared" si="1660"/>
        <v>696</v>
      </c>
      <c r="AD207" s="135">
        <f>380+282</f>
        <v>662</v>
      </c>
      <c r="AE207" s="961">
        <f t="shared" si="1628"/>
        <v>658</v>
      </c>
      <c r="AF207" s="135">
        <f>402+294</f>
        <v>696</v>
      </c>
      <c r="AG207" s="135">
        <f t="shared" si="1629"/>
        <v>658</v>
      </c>
      <c r="AH207" s="948">
        <f>403+255</f>
        <v>658</v>
      </c>
      <c r="AI207" s="135">
        <f>394+229</f>
        <v>623</v>
      </c>
      <c r="AJ207" s="135">
        <f t="shared" si="1661"/>
        <v>597</v>
      </c>
      <c r="AK207" s="135">
        <f>319+219</f>
        <v>538</v>
      </c>
      <c r="AL207" s="961">
        <f t="shared" si="1630"/>
        <v>663</v>
      </c>
      <c r="AM207" s="135">
        <f>389+208</f>
        <v>597</v>
      </c>
      <c r="AN207" s="135">
        <f t="shared" si="1631"/>
        <v>663</v>
      </c>
      <c r="AO207" s="948">
        <f>331+332</f>
        <v>663</v>
      </c>
      <c r="AP207" s="135">
        <f>294+266</f>
        <v>560</v>
      </c>
      <c r="AQ207" s="135">
        <f t="shared" si="1662"/>
        <v>554</v>
      </c>
      <c r="AR207" s="135">
        <f>255+315</f>
        <v>570</v>
      </c>
      <c r="AS207" s="961">
        <f t="shared" si="1632"/>
        <v>529</v>
      </c>
      <c r="AT207" s="135">
        <f>270+284</f>
        <v>554</v>
      </c>
      <c r="AU207" s="135">
        <f t="shared" si="1633"/>
        <v>529</v>
      </c>
      <c r="AV207" s="948">
        <v>529</v>
      </c>
      <c r="AW207" s="135"/>
      <c r="AX207" s="135"/>
      <c r="AY207" s="135"/>
      <c r="AZ207" s="961"/>
      <c r="BA207" s="135"/>
      <c r="BB207" s="135"/>
      <c r="BC207" s="948">
        <v>529</v>
      </c>
      <c r="BD207" s="135">
        <f>393+118</f>
        <v>511</v>
      </c>
      <c r="BE207" s="135">
        <f t="shared" si="1663"/>
        <v>539</v>
      </c>
      <c r="BF207" s="135">
        <f>392+139</f>
        <v>531</v>
      </c>
      <c r="BG207" s="961">
        <f t="shared" si="1634"/>
        <v>299</v>
      </c>
      <c r="BH207" s="135">
        <f>410+129</f>
        <v>539</v>
      </c>
      <c r="BI207" s="135">
        <f t="shared" si="1635"/>
        <v>299</v>
      </c>
      <c r="BJ207" s="948">
        <v>299</v>
      </c>
      <c r="BK207" s="135">
        <f>189+53</f>
        <v>242</v>
      </c>
      <c r="BL207" s="135">
        <f t="shared" si="1664"/>
        <v>293</v>
      </c>
      <c r="BM207" s="135">
        <f>169+127</f>
        <v>296</v>
      </c>
      <c r="BN207" s="961">
        <f t="shared" si="1636"/>
        <v>283</v>
      </c>
      <c r="BO207" s="135">
        <f>160+133</f>
        <v>293</v>
      </c>
      <c r="BP207" s="135">
        <f t="shared" si="1637"/>
        <v>283</v>
      </c>
      <c r="BQ207" s="948">
        <f>156+127</f>
        <v>283</v>
      </c>
      <c r="BR207" s="135">
        <f>146+134</f>
        <v>280</v>
      </c>
      <c r="BS207" s="135">
        <f t="shared" si="1665"/>
        <v>279</v>
      </c>
      <c r="BT207" s="135">
        <f>110+111</f>
        <v>221</v>
      </c>
      <c r="BU207" s="961">
        <f t="shared" si="1638"/>
        <v>188</v>
      </c>
      <c r="BV207" s="135">
        <f>145+134</f>
        <v>279</v>
      </c>
      <c r="BW207" s="135">
        <f t="shared" si="1639"/>
        <v>188</v>
      </c>
      <c r="BX207" s="948">
        <f>94+94</f>
        <v>188</v>
      </c>
      <c r="BY207" s="135">
        <f>96+90</f>
        <v>186</v>
      </c>
      <c r="BZ207" s="135">
        <f t="shared" si="1666"/>
        <v>172</v>
      </c>
      <c r="CA207" s="135">
        <f>72+95</f>
        <v>167</v>
      </c>
      <c r="CB207" s="961">
        <f t="shared" si="1640"/>
        <v>171</v>
      </c>
      <c r="CC207" s="135">
        <f>85+87</f>
        <v>172</v>
      </c>
      <c r="CD207" s="135">
        <f t="shared" si="1641"/>
        <v>171</v>
      </c>
      <c r="CE207" s="948">
        <f>75+96</f>
        <v>171</v>
      </c>
      <c r="CF207" s="135">
        <f>74+99</f>
        <v>173</v>
      </c>
      <c r="CG207" s="135">
        <f t="shared" si="1667"/>
        <v>169</v>
      </c>
      <c r="CH207" s="135">
        <f>78+90</f>
        <v>168</v>
      </c>
      <c r="CI207" s="961">
        <f t="shared" si="1642"/>
        <v>158</v>
      </c>
      <c r="CJ207" s="135">
        <f>82+87</f>
        <v>169</v>
      </c>
      <c r="CK207" s="135">
        <f t="shared" si="1643"/>
        <v>158</v>
      </c>
      <c r="CL207" s="948">
        <f>75+83</f>
        <v>158</v>
      </c>
      <c r="CM207" s="135">
        <f>168+78</f>
        <v>246</v>
      </c>
      <c r="CN207" s="135">
        <f t="shared" si="1668"/>
        <v>245</v>
      </c>
      <c r="CO207" s="135">
        <f>199+81</f>
        <v>280</v>
      </c>
      <c r="CP207" s="961">
        <f t="shared" si="1644"/>
        <v>314</v>
      </c>
      <c r="CQ207" s="135">
        <f>163+82</f>
        <v>245</v>
      </c>
      <c r="CR207" s="135">
        <f t="shared" si="1645"/>
        <v>314</v>
      </c>
      <c r="CS207" s="948">
        <v>314</v>
      </c>
      <c r="CT207" s="135">
        <f>271+77</f>
        <v>348</v>
      </c>
      <c r="CU207" s="135">
        <f t="shared" si="1669"/>
        <v>365</v>
      </c>
      <c r="CV207" s="135">
        <f>324+25</f>
        <v>349</v>
      </c>
      <c r="CW207" s="961">
        <f t="shared" si="1646"/>
        <v>376</v>
      </c>
      <c r="CX207" s="135">
        <f>303+62</f>
        <v>365</v>
      </c>
      <c r="CY207" s="135">
        <f t="shared" si="1647"/>
        <v>376</v>
      </c>
      <c r="CZ207" s="948">
        <v>376</v>
      </c>
      <c r="DA207" s="135">
        <f>288+61</f>
        <v>349</v>
      </c>
      <c r="DB207" s="135">
        <f t="shared" si="1670"/>
        <v>387</v>
      </c>
      <c r="DC207" s="135">
        <f>364+72</f>
        <v>436</v>
      </c>
      <c r="DD207" s="1903">
        <f t="shared" si="1648"/>
        <v>524</v>
      </c>
      <c r="DE207" s="2104">
        <f>328+59</f>
        <v>387</v>
      </c>
      <c r="DF207" s="1873">
        <f t="shared" si="1649"/>
        <v>524</v>
      </c>
      <c r="DG207" s="948">
        <v>524</v>
      </c>
      <c r="DH207" s="865">
        <f>288+61</f>
        <v>349</v>
      </c>
      <c r="DI207" s="135">
        <f t="shared" si="1672"/>
        <v>451</v>
      </c>
      <c r="DJ207" s="897">
        <f t="shared" si="1610"/>
        <v>524</v>
      </c>
      <c r="DK207" s="443">
        <f t="shared" si="1650"/>
        <v>524</v>
      </c>
      <c r="DL207" s="2047">
        <f>393+58</f>
        <v>451</v>
      </c>
      <c r="DM207" s="442">
        <f t="shared" si="1651"/>
        <v>524</v>
      </c>
      <c r="DN207" s="1116">
        <f t="shared" si="1611"/>
        <v>524</v>
      </c>
      <c r="DO207" s="897">
        <f t="shared" si="1612"/>
        <v>524</v>
      </c>
      <c r="DP207" s="442">
        <f t="shared" si="1673"/>
        <v>524</v>
      </c>
      <c r="DQ207" s="897">
        <f t="shared" si="1613"/>
        <v>524</v>
      </c>
      <c r="DR207" s="443">
        <f t="shared" si="1652"/>
        <v>524</v>
      </c>
      <c r="DS207" s="897">
        <f t="shared" si="1614"/>
        <v>524</v>
      </c>
      <c r="DT207" s="442">
        <f t="shared" si="1653"/>
        <v>524</v>
      </c>
      <c r="DU207" s="1116">
        <f t="shared" si="1615"/>
        <v>524</v>
      </c>
      <c r="DV207" s="897">
        <f t="shared" si="1616"/>
        <v>524</v>
      </c>
      <c r="DW207" s="442">
        <f t="shared" si="1674"/>
        <v>524</v>
      </c>
      <c r="DX207" s="897">
        <f t="shared" si="1617"/>
        <v>524</v>
      </c>
      <c r="DY207" s="443">
        <f t="shared" si="1654"/>
        <v>524</v>
      </c>
      <c r="DZ207" s="897">
        <f t="shared" si="1618"/>
        <v>524</v>
      </c>
      <c r="EA207" s="442">
        <f t="shared" si="1655"/>
        <v>524</v>
      </c>
      <c r="EB207" s="1116">
        <f t="shared" si="1619"/>
        <v>524</v>
      </c>
      <c r="EC207" s="897">
        <f t="shared" si="1620"/>
        <v>524</v>
      </c>
      <c r="ED207" s="442">
        <f t="shared" si="1675"/>
        <v>524</v>
      </c>
      <c r="EE207" s="897">
        <f t="shared" si="1621"/>
        <v>524</v>
      </c>
      <c r="EF207" s="443">
        <f t="shared" si="1656"/>
        <v>524</v>
      </c>
      <c r="EG207" s="897">
        <f t="shared" si="1622"/>
        <v>524</v>
      </c>
      <c r="EH207" s="442">
        <f t="shared" si="1657"/>
        <v>524</v>
      </c>
      <c r="EI207" s="1116">
        <f t="shared" si="1623"/>
        <v>524</v>
      </c>
      <c r="EJ207" s="897">
        <f t="shared" si="1624"/>
        <v>524</v>
      </c>
      <c r="EK207" s="442">
        <f t="shared" si="1676"/>
        <v>524</v>
      </c>
      <c r="EL207" s="897">
        <f t="shared" si="1625"/>
        <v>524</v>
      </c>
      <c r="EM207" s="443">
        <f t="shared" si="1658"/>
        <v>524</v>
      </c>
      <c r="EN207" s="897">
        <f t="shared" si="1626"/>
        <v>524</v>
      </c>
      <c r="EO207" s="442">
        <f t="shared" si="1659"/>
        <v>524</v>
      </c>
      <c r="EP207" s="1116">
        <f t="shared" si="1627"/>
        <v>524</v>
      </c>
      <c r="EQ207" s="303"/>
      <c r="ER207" s="46"/>
    </row>
    <row r="208" spans="1:148" ht="10.199999999999999" customHeight="1">
      <c r="A208" s="43" t="s">
        <v>289</v>
      </c>
      <c r="B208" s="108"/>
      <c r="C208" s="191">
        <f>320+100</f>
        <v>420</v>
      </c>
      <c r="D208" s="191">
        <f>82+269</f>
        <v>351</v>
      </c>
      <c r="E208" s="135">
        <f>218+52</f>
        <v>270</v>
      </c>
      <c r="F208" s="135">
        <f>+E208</f>
        <v>270</v>
      </c>
      <c r="G208" s="135">
        <f>178+97</f>
        <v>275</v>
      </c>
      <c r="H208" s="135">
        <f>121+69</f>
        <v>190</v>
      </c>
      <c r="I208" s="135">
        <f>143+19</f>
        <v>162</v>
      </c>
      <c r="J208" s="135">
        <f>165+17</f>
        <v>182</v>
      </c>
      <c r="K208" s="135">
        <f>177+13</f>
        <v>190</v>
      </c>
      <c r="L208" s="135">
        <f>171+13</f>
        <v>184</v>
      </c>
      <c r="M208" s="135">
        <f>168+13</f>
        <v>181</v>
      </c>
      <c r="N208" s="135"/>
      <c r="O208" s="135"/>
      <c r="P208" s="135"/>
      <c r="Q208" s="961"/>
      <c r="R208" s="135"/>
      <c r="S208" s="135"/>
      <c r="T208" s="948">
        <f>159+13</f>
        <v>172</v>
      </c>
      <c r="U208" s="135"/>
      <c r="V208" s="135"/>
      <c r="W208" s="135"/>
      <c r="X208" s="961"/>
      <c r="Y208" s="135"/>
      <c r="Z208" s="135"/>
      <c r="AA208" s="948">
        <f>186+12</f>
        <v>198</v>
      </c>
      <c r="AB208" s="135"/>
      <c r="AC208" s="135">
        <f t="shared" si="1660"/>
        <v>353</v>
      </c>
      <c r="AD208" s="135">
        <f>348+12</f>
        <v>360</v>
      </c>
      <c r="AE208" s="961">
        <f t="shared" si="1628"/>
        <v>388</v>
      </c>
      <c r="AF208" s="135">
        <f>341+12</f>
        <v>353</v>
      </c>
      <c r="AG208" s="135">
        <f t="shared" si="1629"/>
        <v>388</v>
      </c>
      <c r="AH208" s="948">
        <f>375+13</f>
        <v>388</v>
      </c>
      <c r="AI208" s="135">
        <f>364+12</f>
        <v>376</v>
      </c>
      <c r="AJ208" s="135">
        <f t="shared" si="1661"/>
        <v>387</v>
      </c>
      <c r="AK208" s="135">
        <f>369+14</f>
        <v>383</v>
      </c>
      <c r="AL208" s="961">
        <f t="shared" si="1630"/>
        <v>389</v>
      </c>
      <c r="AM208" s="135">
        <f>373+14</f>
        <v>387</v>
      </c>
      <c r="AN208" s="135">
        <f t="shared" si="1631"/>
        <v>389</v>
      </c>
      <c r="AO208" s="948">
        <f>374+15</f>
        <v>389</v>
      </c>
      <c r="AP208" s="135">
        <f>365+15</f>
        <v>380</v>
      </c>
      <c r="AQ208" s="135">
        <f t="shared" si="1662"/>
        <v>342</v>
      </c>
      <c r="AR208" s="135">
        <f>315+14</f>
        <v>329</v>
      </c>
      <c r="AS208" s="961">
        <f t="shared" si="1632"/>
        <v>342</v>
      </c>
      <c r="AT208" s="135">
        <f>327+15</f>
        <v>342</v>
      </c>
      <c r="AU208" s="135">
        <f t="shared" si="1633"/>
        <v>342</v>
      </c>
      <c r="AV208" s="948">
        <v>342</v>
      </c>
      <c r="AW208" s="135"/>
      <c r="AX208" s="135"/>
      <c r="AY208" s="135"/>
      <c r="AZ208" s="961"/>
      <c r="BA208" s="135"/>
      <c r="BB208" s="135"/>
      <c r="BC208" s="948">
        <v>342</v>
      </c>
      <c r="BD208" s="135">
        <f>313+17</f>
        <v>330</v>
      </c>
      <c r="BE208" s="135">
        <f t="shared" si="1663"/>
        <v>334</v>
      </c>
      <c r="BF208" s="135">
        <f>314+15</f>
        <v>329</v>
      </c>
      <c r="BG208" s="961">
        <f t="shared" si="1634"/>
        <v>330</v>
      </c>
      <c r="BH208" s="135">
        <f>317+17</f>
        <v>334</v>
      </c>
      <c r="BI208" s="135">
        <f t="shared" si="1635"/>
        <v>330</v>
      </c>
      <c r="BJ208" s="948">
        <v>330</v>
      </c>
      <c r="BK208" s="135">
        <f>1349+278</f>
        <v>1627</v>
      </c>
      <c r="BL208" s="135">
        <f t="shared" si="1664"/>
        <v>1570</v>
      </c>
      <c r="BM208" s="135">
        <f>1269+252</f>
        <v>1521</v>
      </c>
      <c r="BN208" s="961">
        <f t="shared" si="1636"/>
        <v>1560</v>
      </c>
      <c r="BO208" s="135">
        <f>1314+256</f>
        <v>1570</v>
      </c>
      <c r="BP208" s="135">
        <f t="shared" si="1637"/>
        <v>1560</v>
      </c>
      <c r="BQ208" s="948">
        <f>1298+262</f>
        <v>1560</v>
      </c>
      <c r="BR208" s="135">
        <f>1329+256</f>
        <v>1585</v>
      </c>
      <c r="BS208" s="135">
        <f t="shared" si="1665"/>
        <v>1517</v>
      </c>
      <c r="BT208" s="135">
        <f>1355+253</f>
        <v>1608</v>
      </c>
      <c r="BU208" s="961">
        <f t="shared" si="1638"/>
        <v>1798</v>
      </c>
      <c r="BV208" s="135">
        <f>1265+252</f>
        <v>1517</v>
      </c>
      <c r="BW208" s="135">
        <f t="shared" si="1639"/>
        <v>1798</v>
      </c>
      <c r="BX208" s="948">
        <f>1538+260</f>
        <v>1798</v>
      </c>
      <c r="BY208" s="135">
        <f>1462+240</f>
        <v>1702</v>
      </c>
      <c r="BZ208" s="135">
        <f t="shared" si="1666"/>
        <v>1642</v>
      </c>
      <c r="CA208" s="135">
        <f>1419+231</f>
        <v>1650</v>
      </c>
      <c r="CB208" s="961">
        <f t="shared" si="1640"/>
        <v>1736</v>
      </c>
      <c r="CC208" s="135">
        <f>1408+234</f>
        <v>1642</v>
      </c>
      <c r="CD208" s="135">
        <f t="shared" si="1641"/>
        <v>1736</v>
      </c>
      <c r="CE208" s="948">
        <f>1491+245</f>
        <v>1736</v>
      </c>
      <c r="CF208" s="135">
        <f>1493+235</f>
        <v>1728</v>
      </c>
      <c r="CG208" s="135">
        <f t="shared" si="1667"/>
        <v>1796</v>
      </c>
      <c r="CH208" s="135">
        <f>1597+258</f>
        <v>1855</v>
      </c>
      <c r="CI208" s="961">
        <f t="shared" si="1642"/>
        <v>1734</v>
      </c>
      <c r="CJ208" s="135">
        <f>1562+234</f>
        <v>1796</v>
      </c>
      <c r="CK208" s="135">
        <f t="shared" si="1643"/>
        <v>1734</v>
      </c>
      <c r="CL208" s="948">
        <f>1492+242</f>
        <v>1734</v>
      </c>
      <c r="CM208" s="135">
        <f>1426+232</f>
        <v>1658</v>
      </c>
      <c r="CN208" s="135">
        <f t="shared" si="1668"/>
        <v>1645</v>
      </c>
      <c r="CO208" s="135">
        <f>1417+218</f>
        <v>1635</v>
      </c>
      <c r="CP208" s="961">
        <f t="shared" si="1644"/>
        <v>1617</v>
      </c>
      <c r="CQ208" s="135">
        <f>1419+226</f>
        <v>1645</v>
      </c>
      <c r="CR208" s="135">
        <f t="shared" si="1645"/>
        <v>1617</v>
      </c>
      <c r="CS208" s="948">
        <v>1617</v>
      </c>
      <c r="CT208" s="135">
        <f>1464+218</f>
        <v>1682</v>
      </c>
      <c r="CU208" s="135">
        <f t="shared" si="1669"/>
        <v>1659</v>
      </c>
      <c r="CV208" s="135">
        <f>1542+215</f>
        <v>1757</v>
      </c>
      <c r="CW208" s="961">
        <f t="shared" si="1646"/>
        <v>1949</v>
      </c>
      <c r="CX208" s="135">
        <f>1446+213</f>
        <v>1659</v>
      </c>
      <c r="CY208" s="135">
        <f t="shared" si="1647"/>
        <v>1949</v>
      </c>
      <c r="CZ208" s="948">
        <v>1949</v>
      </c>
      <c r="DA208" s="135">
        <f>1746+256</f>
        <v>2002</v>
      </c>
      <c r="DB208" s="135">
        <f t="shared" si="1670"/>
        <v>2076</v>
      </c>
      <c r="DC208" s="135">
        <f>1981+297</f>
        <v>2278</v>
      </c>
      <c r="DD208" s="1903">
        <f t="shared" si="1648"/>
        <v>2380</v>
      </c>
      <c r="DE208" s="2104">
        <f>1802+274</f>
        <v>2076</v>
      </c>
      <c r="DF208" s="1873">
        <f t="shared" si="1649"/>
        <v>2380</v>
      </c>
      <c r="DG208" s="948">
        <v>2380</v>
      </c>
      <c r="DH208" s="865">
        <f>1746+256</f>
        <v>2002</v>
      </c>
      <c r="DI208" s="135">
        <f t="shared" si="1672"/>
        <v>2425</v>
      </c>
      <c r="DJ208" s="897">
        <f t="shared" si="1610"/>
        <v>2380</v>
      </c>
      <c r="DK208" s="443">
        <f t="shared" si="1650"/>
        <v>2380</v>
      </c>
      <c r="DL208" s="2047">
        <f>2040+385</f>
        <v>2425</v>
      </c>
      <c r="DM208" s="442">
        <f t="shared" si="1651"/>
        <v>2380</v>
      </c>
      <c r="DN208" s="1116">
        <f t="shared" si="1611"/>
        <v>2380</v>
      </c>
      <c r="DO208" s="897">
        <f t="shared" si="1612"/>
        <v>2380</v>
      </c>
      <c r="DP208" s="442">
        <f t="shared" si="1673"/>
        <v>2380</v>
      </c>
      <c r="DQ208" s="897">
        <f t="shared" si="1613"/>
        <v>2380</v>
      </c>
      <c r="DR208" s="443">
        <f t="shared" si="1652"/>
        <v>2380</v>
      </c>
      <c r="DS208" s="897">
        <f t="shared" si="1614"/>
        <v>2380</v>
      </c>
      <c r="DT208" s="442">
        <f t="shared" si="1653"/>
        <v>2380</v>
      </c>
      <c r="DU208" s="1116">
        <f t="shared" si="1615"/>
        <v>2380</v>
      </c>
      <c r="DV208" s="897">
        <f t="shared" si="1616"/>
        <v>2380</v>
      </c>
      <c r="DW208" s="442">
        <f t="shared" si="1674"/>
        <v>2380</v>
      </c>
      <c r="DX208" s="897">
        <f t="shared" si="1617"/>
        <v>2380</v>
      </c>
      <c r="DY208" s="443">
        <f t="shared" si="1654"/>
        <v>2380</v>
      </c>
      <c r="DZ208" s="897">
        <f t="shared" si="1618"/>
        <v>2380</v>
      </c>
      <c r="EA208" s="442">
        <f t="shared" si="1655"/>
        <v>2380</v>
      </c>
      <c r="EB208" s="1116">
        <f t="shared" si="1619"/>
        <v>2380</v>
      </c>
      <c r="EC208" s="897">
        <f t="shared" si="1620"/>
        <v>2380</v>
      </c>
      <c r="ED208" s="442">
        <f t="shared" si="1675"/>
        <v>2380</v>
      </c>
      <c r="EE208" s="897">
        <f t="shared" si="1621"/>
        <v>2380</v>
      </c>
      <c r="EF208" s="443">
        <f t="shared" si="1656"/>
        <v>2380</v>
      </c>
      <c r="EG208" s="897">
        <f t="shared" si="1622"/>
        <v>2380</v>
      </c>
      <c r="EH208" s="442">
        <f t="shared" si="1657"/>
        <v>2380</v>
      </c>
      <c r="EI208" s="1116">
        <f t="shared" si="1623"/>
        <v>2380</v>
      </c>
      <c r="EJ208" s="897">
        <f t="shared" si="1624"/>
        <v>2380</v>
      </c>
      <c r="EK208" s="442">
        <f t="shared" si="1676"/>
        <v>2380</v>
      </c>
      <c r="EL208" s="897">
        <f t="shared" si="1625"/>
        <v>2380</v>
      </c>
      <c r="EM208" s="443">
        <f t="shared" si="1658"/>
        <v>2380</v>
      </c>
      <c r="EN208" s="897">
        <f t="shared" si="1626"/>
        <v>2380</v>
      </c>
      <c r="EO208" s="442">
        <f t="shared" si="1659"/>
        <v>2380</v>
      </c>
      <c r="EP208" s="1116">
        <f t="shared" si="1627"/>
        <v>2380</v>
      </c>
      <c r="EQ208" s="303"/>
      <c r="ER208" s="46"/>
    </row>
    <row r="209" spans="1:148" ht="10.199999999999999" customHeight="1">
      <c r="A209" s="43" t="s">
        <v>140</v>
      </c>
      <c r="B209" s="108"/>
      <c r="C209" s="191">
        <v>374</v>
      </c>
      <c r="D209" s="191">
        <v>387</v>
      </c>
      <c r="E209" s="135">
        <v>345</v>
      </c>
      <c r="F209" s="135">
        <f>+E209</f>
        <v>345</v>
      </c>
      <c r="G209" s="135">
        <v>512</v>
      </c>
      <c r="H209" s="135">
        <v>785</v>
      </c>
      <c r="I209" s="135">
        <v>1139</v>
      </c>
      <c r="J209" s="135">
        <v>1143</v>
      </c>
      <c r="K209" s="135">
        <v>1156</v>
      </c>
      <c r="L209" s="135">
        <v>1110</v>
      </c>
      <c r="M209" s="135">
        <v>853</v>
      </c>
      <c r="N209" s="135"/>
      <c r="O209" s="135"/>
      <c r="P209" s="135"/>
      <c r="Q209" s="961"/>
      <c r="R209" s="135"/>
      <c r="S209" s="135"/>
      <c r="T209" s="948">
        <f>3+774</f>
        <v>777</v>
      </c>
      <c r="U209" s="135"/>
      <c r="V209" s="135"/>
      <c r="W209" s="135"/>
      <c r="X209" s="961"/>
      <c r="Y209" s="135"/>
      <c r="Z209" s="135"/>
      <c r="AA209" s="948">
        <v>753</v>
      </c>
      <c r="AB209" s="135"/>
      <c r="AC209" s="135">
        <f t="shared" si="1660"/>
        <v>892</v>
      </c>
      <c r="AD209" s="135">
        <f>43+806</f>
        <v>849</v>
      </c>
      <c r="AE209" s="961">
        <f t="shared" si="1628"/>
        <v>651</v>
      </c>
      <c r="AF209" s="135">
        <v>892</v>
      </c>
      <c r="AG209" s="135">
        <f t="shared" si="1629"/>
        <v>651</v>
      </c>
      <c r="AH209" s="948">
        <f>1+650</f>
        <v>651</v>
      </c>
      <c r="AI209" s="135">
        <f>1+1014</f>
        <v>1015</v>
      </c>
      <c r="AJ209" s="135">
        <f t="shared" si="1661"/>
        <v>917</v>
      </c>
      <c r="AK209" s="135">
        <f>1+1002</f>
        <v>1003</v>
      </c>
      <c r="AL209" s="961">
        <f t="shared" si="1630"/>
        <v>990</v>
      </c>
      <c r="AM209" s="135">
        <f>1+916</f>
        <v>917</v>
      </c>
      <c r="AN209" s="135">
        <f t="shared" si="1631"/>
        <v>990</v>
      </c>
      <c r="AO209" s="948">
        <f>1+989</f>
        <v>990</v>
      </c>
      <c r="AP209" s="135">
        <f>1+1067</f>
        <v>1068</v>
      </c>
      <c r="AQ209" s="135">
        <f t="shared" si="1662"/>
        <v>1149</v>
      </c>
      <c r="AR209" s="135">
        <f>1+1146</f>
        <v>1147</v>
      </c>
      <c r="AS209" s="961">
        <f t="shared" si="1632"/>
        <v>1250</v>
      </c>
      <c r="AT209" s="135">
        <f>1+1148</f>
        <v>1149</v>
      </c>
      <c r="AU209" s="135">
        <f t="shared" si="1633"/>
        <v>1250</v>
      </c>
      <c r="AV209" s="948">
        <v>1250</v>
      </c>
      <c r="AW209" s="135"/>
      <c r="AX209" s="135"/>
      <c r="AY209" s="135"/>
      <c r="AZ209" s="961"/>
      <c r="BA209" s="135"/>
      <c r="BB209" s="135"/>
      <c r="BC209" s="948">
        <v>1250</v>
      </c>
      <c r="BD209" s="135">
        <f>1+1401</f>
        <v>1402</v>
      </c>
      <c r="BE209" s="135">
        <f t="shared" si="1663"/>
        <v>1327</v>
      </c>
      <c r="BF209" s="135">
        <f>1+1412</f>
        <v>1413</v>
      </c>
      <c r="BG209" s="961">
        <f t="shared" si="1634"/>
        <v>1285</v>
      </c>
      <c r="BH209" s="135">
        <f>1+1326</f>
        <v>1327</v>
      </c>
      <c r="BI209" s="135">
        <f t="shared" si="1635"/>
        <v>1285</v>
      </c>
      <c r="BJ209" s="948">
        <v>1285</v>
      </c>
      <c r="BK209" s="135">
        <f>58+1372</f>
        <v>1430</v>
      </c>
      <c r="BL209" s="135">
        <f t="shared" si="1664"/>
        <v>1413</v>
      </c>
      <c r="BM209" s="135">
        <f>2+1259</f>
        <v>1261</v>
      </c>
      <c r="BN209" s="961">
        <f t="shared" si="1636"/>
        <v>1464</v>
      </c>
      <c r="BO209" s="135">
        <v>1413</v>
      </c>
      <c r="BP209" s="135">
        <f t="shared" si="1637"/>
        <v>1464</v>
      </c>
      <c r="BQ209" s="948">
        <v>1464</v>
      </c>
      <c r="BR209" s="135">
        <v>1388</v>
      </c>
      <c r="BS209" s="135">
        <f t="shared" si="1665"/>
        <v>1281</v>
      </c>
      <c r="BT209" s="135">
        <v>1239</v>
      </c>
      <c r="BU209" s="961">
        <f t="shared" si="1638"/>
        <v>1473</v>
      </c>
      <c r="BV209" s="135">
        <v>1281</v>
      </c>
      <c r="BW209" s="135">
        <f t="shared" si="1639"/>
        <v>1473</v>
      </c>
      <c r="BX209" s="948">
        <v>1473</v>
      </c>
      <c r="BY209" s="135">
        <v>1498</v>
      </c>
      <c r="BZ209" s="135">
        <f t="shared" si="1666"/>
        <v>1552</v>
      </c>
      <c r="CA209" s="135">
        <v>1543</v>
      </c>
      <c r="CB209" s="961">
        <f t="shared" si="1640"/>
        <v>1579</v>
      </c>
      <c r="CC209" s="135">
        <v>1552</v>
      </c>
      <c r="CD209" s="135">
        <f t="shared" si="1641"/>
        <v>1579</v>
      </c>
      <c r="CE209" s="948">
        <v>1579</v>
      </c>
      <c r="CF209" s="135">
        <v>1684</v>
      </c>
      <c r="CG209" s="135">
        <f t="shared" si="1667"/>
        <v>1705</v>
      </c>
      <c r="CH209" s="135">
        <v>1634</v>
      </c>
      <c r="CI209" s="961">
        <f t="shared" si="1642"/>
        <v>1790</v>
      </c>
      <c r="CJ209" s="135">
        <v>1705</v>
      </c>
      <c r="CK209" s="135">
        <f t="shared" si="1643"/>
        <v>1790</v>
      </c>
      <c r="CL209" s="948">
        <v>1790</v>
      </c>
      <c r="CM209" s="135">
        <v>1765</v>
      </c>
      <c r="CN209" s="135">
        <f t="shared" si="1668"/>
        <v>1877</v>
      </c>
      <c r="CO209" s="135">
        <v>1981</v>
      </c>
      <c r="CP209" s="961">
        <f t="shared" si="1644"/>
        <v>2269</v>
      </c>
      <c r="CQ209" s="135">
        <v>1877</v>
      </c>
      <c r="CR209" s="135">
        <f t="shared" si="1645"/>
        <v>2269</v>
      </c>
      <c r="CS209" s="948">
        <v>2269</v>
      </c>
      <c r="CT209" s="135">
        <v>2274</v>
      </c>
      <c r="CU209" s="135">
        <f t="shared" si="1669"/>
        <v>2294</v>
      </c>
      <c r="CV209" s="135">
        <v>2183</v>
      </c>
      <c r="CW209" s="961">
        <f t="shared" si="1646"/>
        <v>3004</v>
      </c>
      <c r="CX209" s="135">
        <v>2294</v>
      </c>
      <c r="CY209" s="135">
        <f t="shared" si="1647"/>
        <v>3004</v>
      </c>
      <c r="CZ209" s="948">
        <v>3004</v>
      </c>
      <c r="DA209" s="135">
        <v>3058</v>
      </c>
      <c r="DB209" s="135">
        <f t="shared" si="1670"/>
        <v>2720</v>
      </c>
      <c r="DC209" s="135">
        <v>2646</v>
      </c>
      <c r="DD209" s="1903">
        <f t="shared" si="1648"/>
        <v>3226</v>
      </c>
      <c r="DE209" s="2100">
        <v>2720</v>
      </c>
      <c r="DF209" s="1873">
        <f t="shared" si="1649"/>
        <v>3226</v>
      </c>
      <c r="DG209" s="948">
        <v>3226</v>
      </c>
      <c r="DH209" s="865">
        <v>3623</v>
      </c>
      <c r="DI209" s="135">
        <f t="shared" si="1672"/>
        <v>3615</v>
      </c>
      <c r="DJ209" s="897">
        <f t="shared" si="1610"/>
        <v>3226</v>
      </c>
      <c r="DK209" s="443">
        <f t="shared" si="1650"/>
        <v>3226</v>
      </c>
      <c r="DL209" s="2047">
        <v>3615</v>
      </c>
      <c r="DM209" s="442">
        <f t="shared" si="1651"/>
        <v>3226</v>
      </c>
      <c r="DN209" s="1116">
        <f t="shared" si="1611"/>
        <v>3226</v>
      </c>
      <c r="DO209" s="897">
        <f t="shared" si="1612"/>
        <v>3226</v>
      </c>
      <c r="DP209" s="442">
        <f t="shared" si="1673"/>
        <v>3226</v>
      </c>
      <c r="DQ209" s="897">
        <f t="shared" si="1613"/>
        <v>3226</v>
      </c>
      <c r="DR209" s="443">
        <f t="shared" si="1652"/>
        <v>3226</v>
      </c>
      <c r="DS209" s="897">
        <f t="shared" si="1614"/>
        <v>3226</v>
      </c>
      <c r="DT209" s="442">
        <f t="shared" si="1653"/>
        <v>3226</v>
      </c>
      <c r="DU209" s="1116">
        <f t="shared" si="1615"/>
        <v>3226</v>
      </c>
      <c r="DV209" s="897">
        <f t="shared" si="1616"/>
        <v>3226</v>
      </c>
      <c r="DW209" s="442">
        <f t="shared" si="1674"/>
        <v>3226</v>
      </c>
      <c r="DX209" s="897">
        <f t="shared" si="1617"/>
        <v>3226</v>
      </c>
      <c r="DY209" s="443">
        <f t="shared" si="1654"/>
        <v>3226</v>
      </c>
      <c r="DZ209" s="897">
        <f t="shared" si="1618"/>
        <v>3226</v>
      </c>
      <c r="EA209" s="442">
        <f t="shared" si="1655"/>
        <v>3226</v>
      </c>
      <c r="EB209" s="1116">
        <f t="shared" si="1619"/>
        <v>3226</v>
      </c>
      <c r="EC209" s="897">
        <f t="shared" si="1620"/>
        <v>3226</v>
      </c>
      <c r="ED209" s="442">
        <f t="shared" si="1675"/>
        <v>3226</v>
      </c>
      <c r="EE209" s="897">
        <f t="shared" si="1621"/>
        <v>3226</v>
      </c>
      <c r="EF209" s="443">
        <f t="shared" si="1656"/>
        <v>3226</v>
      </c>
      <c r="EG209" s="897">
        <f t="shared" si="1622"/>
        <v>3226</v>
      </c>
      <c r="EH209" s="442">
        <f t="shared" si="1657"/>
        <v>3226</v>
      </c>
      <c r="EI209" s="1116">
        <f t="shared" si="1623"/>
        <v>3226</v>
      </c>
      <c r="EJ209" s="897">
        <f t="shared" si="1624"/>
        <v>3226</v>
      </c>
      <c r="EK209" s="442">
        <f t="shared" si="1676"/>
        <v>3226</v>
      </c>
      <c r="EL209" s="897">
        <f t="shared" si="1625"/>
        <v>3226</v>
      </c>
      <c r="EM209" s="443">
        <f t="shared" si="1658"/>
        <v>3226</v>
      </c>
      <c r="EN209" s="897">
        <f t="shared" si="1626"/>
        <v>3226</v>
      </c>
      <c r="EO209" s="442">
        <f t="shared" si="1659"/>
        <v>3226</v>
      </c>
      <c r="EP209" s="1116">
        <f t="shared" si="1627"/>
        <v>3226</v>
      </c>
      <c r="EQ209" s="303"/>
      <c r="ER209" s="46"/>
    </row>
    <row r="210" spans="1:148" ht="10.199999999999999" customHeight="1">
      <c r="A210" s="43" t="s">
        <v>312</v>
      </c>
      <c r="B210" s="108"/>
      <c r="C210" s="210">
        <v>0</v>
      </c>
      <c r="D210" s="210">
        <v>0</v>
      </c>
      <c r="E210" s="206">
        <v>0</v>
      </c>
      <c r="F210" s="829">
        <v>-150</v>
      </c>
      <c r="G210" s="206">
        <v>0</v>
      </c>
      <c r="H210" s="206">
        <v>0</v>
      </c>
      <c r="I210" s="206">
        <f t="shared" ref="I210:M210" si="1677">+H210</f>
        <v>0</v>
      </c>
      <c r="J210" s="206">
        <f t="shared" si="1677"/>
        <v>0</v>
      </c>
      <c r="K210" s="206">
        <f t="shared" si="1677"/>
        <v>0</v>
      </c>
      <c r="L210" s="206">
        <f t="shared" si="1677"/>
        <v>0</v>
      </c>
      <c r="M210" s="206">
        <f t="shared" si="1677"/>
        <v>0</v>
      </c>
      <c r="N210" s="1563"/>
      <c r="O210" s="1563"/>
      <c r="P210" s="1563"/>
      <c r="Q210" s="1579"/>
      <c r="R210" s="1563"/>
      <c r="S210" s="1563"/>
      <c r="T210" s="1597">
        <f>+M210</f>
        <v>0</v>
      </c>
      <c r="U210" s="1563"/>
      <c r="V210" s="1563"/>
      <c r="W210" s="1563"/>
      <c r="X210" s="1579"/>
      <c r="Y210" s="1563"/>
      <c r="Z210" s="1563"/>
      <c r="AA210" s="1597">
        <f>+T210</f>
        <v>0</v>
      </c>
      <c r="AB210" s="1563"/>
      <c r="AC210" s="1563">
        <f t="shared" si="1660"/>
        <v>0</v>
      </c>
      <c r="AD210" s="1563">
        <v>0</v>
      </c>
      <c r="AE210" s="1579">
        <f t="shared" si="1628"/>
        <v>0</v>
      </c>
      <c r="AF210" s="1563">
        <v>0</v>
      </c>
      <c r="AG210" s="1563">
        <f t="shared" si="1629"/>
        <v>0</v>
      </c>
      <c r="AH210" s="1597">
        <f>+AA210</f>
        <v>0</v>
      </c>
      <c r="AI210" s="1563">
        <v>0</v>
      </c>
      <c r="AJ210" s="1563">
        <f t="shared" si="1661"/>
        <v>0</v>
      </c>
      <c r="AK210" s="1563">
        <v>0</v>
      </c>
      <c r="AL210" s="1579">
        <f t="shared" si="1630"/>
        <v>0</v>
      </c>
      <c r="AM210" s="1563">
        <v>0</v>
      </c>
      <c r="AN210" s="1563">
        <f t="shared" si="1631"/>
        <v>0</v>
      </c>
      <c r="AO210" s="1597">
        <f>+AH210</f>
        <v>0</v>
      </c>
      <c r="AP210" s="1563">
        <v>0</v>
      </c>
      <c r="AQ210" s="1563">
        <f t="shared" si="1662"/>
        <v>0</v>
      </c>
      <c r="AR210" s="1563">
        <v>0</v>
      </c>
      <c r="AS210" s="1579">
        <f t="shared" si="1632"/>
        <v>0</v>
      </c>
      <c r="AT210" s="1563">
        <v>0</v>
      </c>
      <c r="AU210" s="1563">
        <f t="shared" si="1633"/>
        <v>0</v>
      </c>
      <c r="AV210" s="1597">
        <f>+AO210</f>
        <v>0</v>
      </c>
      <c r="AW210" s="1563"/>
      <c r="AX210" s="1563"/>
      <c r="AY210" s="1563"/>
      <c r="AZ210" s="1579"/>
      <c r="BA210" s="1563"/>
      <c r="BB210" s="1563"/>
      <c r="BC210" s="1597">
        <f>+AO210</f>
        <v>0</v>
      </c>
      <c r="BD210" s="1563">
        <v>0</v>
      </c>
      <c r="BE210" s="1563">
        <f t="shared" si="1663"/>
        <v>0</v>
      </c>
      <c r="BF210" s="1563">
        <v>0</v>
      </c>
      <c r="BG210" s="1579">
        <f t="shared" si="1634"/>
        <v>0</v>
      </c>
      <c r="BH210" s="1563">
        <v>0</v>
      </c>
      <c r="BI210" s="1563">
        <f t="shared" si="1635"/>
        <v>0</v>
      </c>
      <c r="BJ210" s="1597">
        <f>+BC210</f>
        <v>0</v>
      </c>
      <c r="BK210" s="1563">
        <v>0</v>
      </c>
      <c r="BL210" s="1563">
        <f t="shared" si="1664"/>
        <v>0</v>
      </c>
      <c r="BM210" s="1563">
        <v>0</v>
      </c>
      <c r="BN210" s="1579">
        <f t="shared" si="1636"/>
        <v>0</v>
      </c>
      <c r="BO210" s="1563">
        <v>0</v>
      </c>
      <c r="BP210" s="1563">
        <f t="shared" si="1637"/>
        <v>0</v>
      </c>
      <c r="BQ210" s="1597">
        <f>+BJ210</f>
        <v>0</v>
      </c>
      <c r="BR210" s="1563">
        <v>0</v>
      </c>
      <c r="BS210" s="1563">
        <f t="shared" si="1665"/>
        <v>0</v>
      </c>
      <c r="BT210" s="1563">
        <v>0</v>
      </c>
      <c r="BU210" s="1579">
        <f t="shared" si="1638"/>
        <v>0</v>
      </c>
      <c r="BV210" s="1563">
        <v>0</v>
      </c>
      <c r="BW210" s="1563">
        <f t="shared" si="1639"/>
        <v>0</v>
      </c>
      <c r="BX210" s="1597">
        <f>+BQ210</f>
        <v>0</v>
      </c>
      <c r="BY210" s="1563">
        <v>0</v>
      </c>
      <c r="BZ210" s="1563">
        <f t="shared" si="1666"/>
        <v>0</v>
      </c>
      <c r="CA210" s="1563">
        <v>0</v>
      </c>
      <c r="CB210" s="1579">
        <f t="shared" si="1640"/>
        <v>0</v>
      </c>
      <c r="CC210" s="1563">
        <v>0</v>
      </c>
      <c r="CD210" s="1563">
        <f t="shared" si="1641"/>
        <v>0</v>
      </c>
      <c r="CE210" s="1597">
        <f>+BX210</f>
        <v>0</v>
      </c>
      <c r="CF210" s="1563">
        <v>0</v>
      </c>
      <c r="CG210" s="1563">
        <f t="shared" si="1667"/>
        <v>0</v>
      </c>
      <c r="CH210" s="1563">
        <v>0</v>
      </c>
      <c r="CI210" s="1579">
        <f t="shared" si="1642"/>
        <v>0</v>
      </c>
      <c r="CJ210" s="1563">
        <v>0</v>
      </c>
      <c r="CK210" s="1563">
        <f t="shared" si="1643"/>
        <v>0</v>
      </c>
      <c r="CL210" s="1597">
        <f>+CE210</f>
        <v>0</v>
      </c>
      <c r="CM210" s="1563">
        <v>0</v>
      </c>
      <c r="CN210" s="1563">
        <f t="shared" si="1668"/>
        <v>0</v>
      </c>
      <c r="CO210" s="1563">
        <v>0</v>
      </c>
      <c r="CP210" s="1579">
        <f t="shared" si="1644"/>
        <v>0</v>
      </c>
      <c r="CQ210" s="1563">
        <v>0</v>
      </c>
      <c r="CR210" s="1563">
        <f t="shared" si="1645"/>
        <v>0</v>
      </c>
      <c r="CS210" s="1597">
        <v>0</v>
      </c>
      <c r="CT210" s="1563">
        <v>0</v>
      </c>
      <c r="CU210" s="1563">
        <f t="shared" si="1669"/>
        <v>0</v>
      </c>
      <c r="CV210" s="1563">
        <v>0</v>
      </c>
      <c r="CW210" s="1579">
        <f t="shared" si="1646"/>
        <v>0</v>
      </c>
      <c r="CX210" s="1563">
        <v>0</v>
      </c>
      <c r="CY210" s="1563">
        <f t="shared" si="1647"/>
        <v>0</v>
      </c>
      <c r="CZ210" s="1597">
        <v>0</v>
      </c>
      <c r="DA210" s="1563">
        <v>0</v>
      </c>
      <c r="DB210" s="1563">
        <f t="shared" si="1670"/>
        <v>0</v>
      </c>
      <c r="DC210" s="1563">
        <f t="shared" si="1671"/>
        <v>0</v>
      </c>
      <c r="DD210" s="1922">
        <f t="shared" si="1648"/>
        <v>0</v>
      </c>
      <c r="DE210" s="1563">
        <v>0</v>
      </c>
      <c r="DF210" s="1913">
        <f t="shared" si="1649"/>
        <v>0</v>
      </c>
      <c r="DG210" s="1597">
        <v>0</v>
      </c>
      <c r="DH210" s="1568">
        <v>0</v>
      </c>
      <c r="DI210" s="1563">
        <f t="shared" si="1672"/>
        <v>0</v>
      </c>
      <c r="DJ210" s="1573">
        <f t="shared" si="1610"/>
        <v>0</v>
      </c>
      <c r="DK210" s="1700">
        <f t="shared" si="1650"/>
        <v>0</v>
      </c>
      <c r="DL210" s="1568">
        <v>0</v>
      </c>
      <c r="DM210" s="1698">
        <f t="shared" si="1651"/>
        <v>0</v>
      </c>
      <c r="DN210" s="1617">
        <f t="shared" si="1611"/>
        <v>0</v>
      </c>
      <c r="DO210" s="1573">
        <f t="shared" si="1612"/>
        <v>0</v>
      </c>
      <c r="DP210" s="1698">
        <f t="shared" si="1673"/>
        <v>0</v>
      </c>
      <c r="DQ210" s="1573">
        <f t="shared" si="1613"/>
        <v>0</v>
      </c>
      <c r="DR210" s="1700">
        <f t="shared" si="1652"/>
        <v>0</v>
      </c>
      <c r="DS210" s="1573">
        <f t="shared" si="1614"/>
        <v>0</v>
      </c>
      <c r="DT210" s="1698">
        <f t="shared" si="1653"/>
        <v>0</v>
      </c>
      <c r="DU210" s="1617">
        <f t="shared" si="1615"/>
        <v>0</v>
      </c>
      <c r="DV210" s="1573">
        <f t="shared" si="1616"/>
        <v>0</v>
      </c>
      <c r="DW210" s="1698">
        <f t="shared" si="1674"/>
        <v>0</v>
      </c>
      <c r="DX210" s="1573">
        <f t="shared" si="1617"/>
        <v>0</v>
      </c>
      <c r="DY210" s="1700">
        <f t="shared" si="1654"/>
        <v>0</v>
      </c>
      <c r="DZ210" s="1573">
        <f t="shared" si="1618"/>
        <v>0</v>
      </c>
      <c r="EA210" s="1698">
        <f t="shared" si="1655"/>
        <v>0</v>
      </c>
      <c r="EB210" s="1617">
        <f t="shared" si="1619"/>
        <v>0</v>
      </c>
      <c r="EC210" s="1573">
        <f t="shared" si="1620"/>
        <v>0</v>
      </c>
      <c r="ED210" s="1698">
        <f t="shared" si="1675"/>
        <v>0</v>
      </c>
      <c r="EE210" s="1573">
        <f t="shared" si="1621"/>
        <v>0</v>
      </c>
      <c r="EF210" s="1700">
        <f t="shared" si="1656"/>
        <v>0</v>
      </c>
      <c r="EG210" s="1573">
        <f t="shared" si="1622"/>
        <v>0</v>
      </c>
      <c r="EH210" s="1698">
        <f t="shared" si="1657"/>
        <v>0</v>
      </c>
      <c r="EI210" s="1617">
        <f t="shared" si="1623"/>
        <v>0</v>
      </c>
      <c r="EJ210" s="1573">
        <f t="shared" si="1624"/>
        <v>0</v>
      </c>
      <c r="EK210" s="1698">
        <f t="shared" si="1676"/>
        <v>0</v>
      </c>
      <c r="EL210" s="1573">
        <f t="shared" si="1625"/>
        <v>0</v>
      </c>
      <c r="EM210" s="1700">
        <f t="shared" si="1658"/>
        <v>0</v>
      </c>
      <c r="EN210" s="1573">
        <f t="shared" si="1626"/>
        <v>0</v>
      </c>
      <c r="EO210" s="1698">
        <f t="shared" si="1659"/>
        <v>0</v>
      </c>
      <c r="EP210" s="1617">
        <f t="shared" si="1627"/>
        <v>0</v>
      </c>
      <c r="EQ210" s="303"/>
      <c r="ER210" s="46"/>
    </row>
    <row r="211" spans="1:148" ht="10.199999999999999" customHeight="1">
      <c r="A211" s="43" t="s">
        <v>184</v>
      </c>
      <c r="B211" s="108"/>
      <c r="C211" s="191">
        <f>SUM(C204:C210)</f>
        <v>3830</v>
      </c>
      <c r="D211" s="191">
        <f>SUM(D204:D210)</f>
        <v>4767</v>
      </c>
      <c r="E211" s="191">
        <f>SUM(E204:E210)</f>
        <v>5126</v>
      </c>
      <c r="F211" s="191">
        <f t="shared" ref="F211:BQ211" si="1678">F28+F38</f>
        <v>5097</v>
      </c>
      <c r="G211" s="191">
        <f t="shared" si="1678"/>
        <v>5757</v>
      </c>
      <c r="H211" s="191">
        <f t="shared" si="1678"/>
        <v>4814</v>
      </c>
      <c r="I211" s="191">
        <f t="shared" si="1678"/>
        <v>4504</v>
      </c>
      <c r="J211" s="191">
        <f t="shared" si="1678"/>
        <v>5296</v>
      </c>
      <c r="K211" s="191">
        <f t="shared" si="1678"/>
        <v>4278</v>
      </c>
      <c r="L211" s="191">
        <f t="shared" si="1678"/>
        <v>5104</v>
      </c>
      <c r="M211" s="191">
        <f t="shared" si="1678"/>
        <v>4779</v>
      </c>
      <c r="N211" s="191"/>
      <c r="O211" s="191"/>
      <c r="P211" s="191"/>
      <c r="Q211" s="709"/>
      <c r="R211" s="191"/>
      <c r="S211" s="191"/>
      <c r="T211" s="352">
        <f t="shared" si="1678"/>
        <v>5630</v>
      </c>
      <c r="U211" s="176">
        <f t="shared" ref="U211:Z211" si="1679">U28+U38</f>
        <v>6607</v>
      </c>
      <c r="V211" s="176">
        <f t="shared" si="1679"/>
        <v>8124</v>
      </c>
      <c r="W211" s="176">
        <f t="shared" si="1679"/>
        <v>7073</v>
      </c>
      <c r="X211" s="709">
        <f t="shared" si="1679"/>
        <v>7351</v>
      </c>
      <c r="Y211" s="176">
        <f t="shared" ref="Y211" si="1680">Y28+Y38</f>
        <v>8124</v>
      </c>
      <c r="Z211" s="176">
        <f t="shared" si="1679"/>
        <v>7351</v>
      </c>
      <c r="AA211" s="352">
        <f t="shared" si="1678"/>
        <v>7351</v>
      </c>
      <c r="AB211" s="176">
        <f t="shared" si="1678"/>
        <v>7882</v>
      </c>
      <c r="AC211" s="176">
        <f t="shared" ref="AC211:AE211" si="1681">+SUM(AC204:AC210)</f>
        <v>8406</v>
      </c>
      <c r="AD211" s="176">
        <f t="shared" si="1681"/>
        <v>9439</v>
      </c>
      <c r="AE211" s="709">
        <f t="shared" si="1681"/>
        <v>9125</v>
      </c>
      <c r="AF211" s="176">
        <f t="shared" ref="AF211:AG211" si="1682">+SUM(AF204:AF210)</f>
        <v>8406</v>
      </c>
      <c r="AG211" s="191">
        <f t="shared" si="1682"/>
        <v>9125</v>
      </c>
      <c r="AH211" s="352">
        <f t="shared" si="1678"/>
        <v>9125</v>
      </c>
      <c r="AI211" s="176">
        <f t="shared" ref="AI211" si="1683">+SUM(AI204:AI210)</f>
        <v>11551</v>
      </c>
      <c r="AJ211" s="176">
        <f t="shared" ref="AJ211:AL211" si="1684">+SUM(AJ204:AJ210)</f>
        <v>12344</v>
      </c>
      <c r="AK211" s="176">
        <f t="shared" si="1684"/>
        <v>11319</v>
      </c>
      <c r="AL211" s="709">
        <f t="shared" si="1684"/>
        <v>10478</v>
      </c>
      <c r="AM211" s="176">
        <f t="shared" ref="AM211:AN211" si="1685">+SUM(AM204:AM210)</f>
        <v>12344</v>
      </c>
      <c r="AN211" s="191">
        <f t="shared" si="1685"/>
        <v>10478</v>
      </c>
      <c r="AO211" s="352">
        <f t="shared" si="1678"/>
        <v>10478</v>
      </c>
      <c r="AP211" s="176">
        <f t="shared" ref="AP211" si="1686">+SUM(AP204:AP210)</f>
        <v>10574</v>
      </c>
      <c r="AQ211" s="176">
        <f t="shared" ref="AQ211:AS211" si="1687">+SUM(AQ204:AQ210)</f>
        <v>11442</v>
      </c>
      <c r="AR211" s="176">
        <f t="shared" si="1687"/>
        <v>11262</v>
      </c>
      <c r="AS211" s="709">
        <f t="shared" si="1687"/>
        <v>11196</v>
      </c>
      <c r="AT211" s="176">
        <f t="shared" ref="AT211:AU211" si="1688">+SUM(AT204:AT210)</f>
        <v>11442</v>
      </c>
      <c r="AU211" s="191">
        <f t="shared" si="1688"/>
        <v>11196</v>
      </c>
      <c r="AV211" s="352">
        <f t="shared" si="1678"/>
        <v>11196</v>
      </c>
      <c r="AW211" s="191"/>
      <c r="AX211" s="191"/>
      <c r="AY211" s="191"/>
      <c r="AZ211" s="709"/>
      <c r="BA211" s="191"/>
      <c r="BB211" s="191"/>
      <c r="BC211" s="352">
        <f t="shared" si="1678"/>
        <v>11196</v>
      </c>
      <c r="BD211" s="176">
        <f t="shared" ref="BD211" si="1689">+SUM(BD204:BD210)</f>
        <v>11154</v>
      </c>
      <c r="BE211" s="176">
        <f t="shared" ref="BE211:BG211" si="1690">+SUM(BE204:BE210)</f>
        <v>9707</v>
      </c>
      <c r="BF211" s="176">
        <f t="shared" si="1690"/>
        <v>11138</v>
      </c>
      <c r="BG211" s="709">
        <f t="shared" si="1690"/>
        <v>8926</v>
      </c>
      <c r="BH211" s="176">
        <f t="shared" ref="BH211:BI211" si="1691">+SUM(BH204:BH210)</f>
        <v>9707</v>
      </c>
      <c r="BI211" s="191">
        <f t="shared" si="1691"/>
        <v>8926</v>
      </c>
      <c r="BJ211" s="352">
        <f t="shared" si="1678"/>
        <v>8926</v>
      </c>
      <c r="BK211" s="176">
        <f t="shared" ref="BK211" si="1692">+SUM(BK204:BK210)</f>
        <v>11019</v>
      </c>
      <c r="BL211" s="176">
        <f t="shared" ref="BL211" si="1693">+SUM(BL204:BL210)</f>
        <v>11284</v>
      </c>
      <c r="BM211" s="176">
        <f t="shared" ref="BM211:BN211" si="1694">+SUM(BM204:BM210)</f>
        <v>12199</v>
      </c>
      <c r="BN211" s="709">
        <f t="shared" si="1694"/>
        <v>10148</v>
      </c>
      <c r="BO211" s="176">
        <f t="shared" ref="BO211:BP211" si="1695">+SUM(BO204:BO210)</f>
        <v>11284</v>
      </c>
      <c r="BP211" s="191">
        <f t="shared" si="1695"/>
        <v>10148</v>
      </c>
      <c r="BQ211" s="352">
        <f t="shared" si="1678"/>
        <v>10148</v>
      </c>
      <c r="BR211" s="176">
        <f t="shared" ref="BR211" si="1696">+SUM(BR204:BR210)</f>
        <v>14817</v>
      </c>
      <c r="BS211" s="176">
        <f t="shared" ref="BS211:BU211" si="1697">+SUM(BS204:BS210)</f>
        <v>18070</v>
      </c>
      <c r="BT211" s="176">
        <f t="shared" si="1697"/>
        <v>18337</v>
      </c>
      <c r="BU211" s="709">
        <f t="shared" si="1697"/>
        <v>17095</v>
      </c>
      <c r="BV211" s="176">
        <f t="shared" ref="BV211:BW211" si="1698">+SUM(BV204:BV210)</f>
        <v>18070</v>
      </c>
      <c r="BW211" s="191">
        <f t="shared" si="1698"/>
        <v>17095</v>
      </c>
      <c r="BX211" s="352">
        <f t="shared" ref="BX211:EP211" si="1699">+SUM(BX204:BX210)</f>
        <v>17095</v>
      </c>
      <c r="BY211" s="176">
        <f t="shared" ref="BY211" si="1700">+SUM(BY204:BY210)</f>
        <v>16975</v>
      </c>
      <c r="BZ211" s="176">
        <f t="shared" ref="BZ211:CB211" si="1701">+SUM(BZ204:BZ210)</f>
        <v>14956</v>
      </c>
      <c r="CA211" s="176">
        <f t="shared" si="1701"/>
        <v>14923</v>
      </c>
      <c r="CB211" s="709">
        <f t="shared" si="1701"/>
        <v>15040</v>
      </c>
      <c r="CC211" s="176">
        <f t="shared" ref="CC211:CD211" si="1702">+SUM(CC204:CC210)</f>
        <v>14956</v>
      </c>
      <c r="CD211" s="191">
        <f t="shared" si="1702"/>
        <v>15040</v>
      </c>
      <c r="CE211" s="352">
        <f t="shared" si="1699"/>
        <v>15040</v>
      </c>
      <c r="CF211" s="176">
        <f t="shared" ref="CF211" si="1703">+SUM(CF204:CF210)</f>
        <v>14572</v>
      </c>
      <c r="CG211" s="176">
        <f t="shared" ref="CG211:CI211" si="1704">+SUM(CG204:CG210)</f>
        <v>13297</v>
      </c>
      <c r="CH211" s="176">
        <f t="shared" si="1704"/>
        <v>13009</v>
      </c>
      <c r="CI211" s="709">
        <f t="shared" si="1704"/>
        <v>12773</v>
      </c>
      <c r="CJ211" s="176">
        <f t="shared" ref="CJ211:CK211" si="1705">+SUM(CJ204:CJ210)</f>
        <v>13297</v>
      </c>
      <c r="CK211" s="191">
        <f t="shared" si="1705"/>
        <v>12773</v>
      </c>
      <c r="CL211" s="352">
        <f t="shared" si="1699"/>
        <v>12773</v>
      </c>
      <c r="CM211" s="176">
        <f t="shared" ref="CM211" si="1706">+SUM(CM204:CM210)</f>
        <v>12752</v>
      </c>
      <c r="CN211" s="176">
        <f t="shared" ref="CN211:CP211" si="1707">+SUM(CN204:CN210)</f>
        <v>12549</v>
      </c>
      <c r="CO211" s="176">
        <f t="shared" si="1707"/>
        <v>12667</v>
      </c>
      <c r="CP211" s="709">
        <f t="shared" si="1707"/>
        <v>13591</v>
      </c>
      <c r="CQ211" s="176">
        <f t="shared" ref="CQ211:CR211" si="1708">+SUM(CQ204:CQ210)</f>
        <v>12549</v>
      </c>
      <c r="CR211" s="191">
        <f t="shared" si="1708"/>
        <v>13591</v>
      </c>
      <c r="CS211" s="352">
        <f t="shared" ref="CS211:CT211" si="1709">+SUM(CS204:CS210)</f>
        <v>13591</v>
      </c>
      <c r="CT211" s="176">
        <f t="shared" si="1709"/>
        <v>13679</v>
      </c>
      <c r="CU211" s="176">
        <f t="shared" ref="CU211:CW211" si="1710">+SUM(CU204:CU210)</f>
        <v>12878</v>
      </c>
      <c r="CV211" s="176">
        <f t="shared" si="1710"/>
        <v>13120</v>
      </c>
      <c r="CW211" s="709">
        <f t="shared" si="1710"/>
        <v>14279</v>
      </c>
      <c r="CX211" s="176">
        <f t="shared" ref="CX211:CY211" si="1711">+SUM(CX204:CX210)</f>
        <v>12878</v>
      </c>
      <c r="CY211" s="191">
        <f t="shared" si="1711"/>
        <v>14279</v>
      </c>
      <c r="CZ211" s="352">
        <f t="shared" ref="CZ211:DC211" si="1712">+SUM(CZ204:CZ210)</f>
        <v>14279</v>
      </c>
      <c r="DA211" s="176">
        <f t="shared" si="1712"/>
        <v>14269</v>
      </c>
      <c r="DB211" s="176">
        <f t="shared" si="1712"/>
        <v>13355</v>
      </c>
      <c r="DC211" s="176">
        <f t="shared" si="1712"/>
        <v>13521</v>
      </c>
      <c r="DD211" s="1889">
        <f t="shared" ref="DD211:DE211" si="1713">+SUM(DD204:DD210)</f>
        <v>14249</v>
      </c>
      <c r="DE211" s="176">
        <f t="shared" si="1713"/>
        <v>13355</v>
      </c>
      <c r="DF211" s="1914">
        <f t="shared" ref="DF211:DI211" si="1714">+SUM(DF204:DF210)</f>
        <v>14249</v>
      </c>
      <c r="DG211" s="352">
        <f t="shared" si="1714"/>
        <v>14249</v>
      </c>
      <c r="DH211" s="593">
        <f t="shared" si="1714"/>
        <v>14834</v>
      </c>
      <c r="DI211" s="176">
        <f t="shared" si="1714"/>
        <v>14276</v>
      </c>
      <c r="DJ211" s="988">
        <f t="shared" ref="DJ211:DM211" si="1715">+SUM(DJ204:DJ210)</f>
        <v>14249</v>
      </c>
      <c r="DK211" s="1649">
        <f t="shared" si="1715"/>
        <v>14249</v>
      </c>
      <c r="DL211" s="176">
        <f t="shared" si="1715"/>
        <v>14276</v>
      </c>
      <c r="DM211" s="988">
        <f t="shared" si="1715"/>
        <v>14249</v>
      </c>
      <c r="DN211" s="980">
        <f t="shared" si="1699"/>
        <v>14249</v>
      </c>
      <c r="DO211" s="988">
        <f t="shared" ref="DO211:DT211" si="1716">+SUM(DO204:DO210)</f>
        <v>14249</v>
      </c>
      <c r="DP211" s="324">
        <f t="shared" si="1716"/>
        <v>14249</v>
      </c>
      <c r="DQ211" s="988">
        <f t="shared" si="1716"/>
        <v>14249</v>
      </c>
      <c r="DR211" s="1649">
        <f t="shared" si="1716"/>
        <v>14249</v>
      </c>
      <c r="DS211" s="988">
        <f t="shared" si="1716"/>
        <v>14249</v>
      </c>
      <c r="DT211" s="988">
        <f t="shared" si="1716"/>
        <v>14249</v>
      </c>
      <c r="DU211" s="980">
        <f t="shared" si="1699"/>
        <v>14249</v>
      </c>
      <c r="DV211" s="988">
        <f t="shared" ref="DV211:EA211" si="1717">+SUM(DV204:DV210)</f>
        <v>14249</v>
      </c>
      <c r="DW211" s="324">
        <f t="shared" si="1717"/>
        <v>14249</v>
      </c>
      <c r="DX211" s="988">
        <f t="shared" si="1717"/>
        <v>14249</v>
      </c>
      <c r="DY211" s="1649">
        <f t="shared" si="1717"/>
        <v>14249</v>
      </c>
      <c r="DZ211" s="988">
        <f t="shared" si="1717"/>
        <v>14249</v>
      </c>
      <c r="EA211" s="988">
        <f t="shared" si="1717"/>
        <v>14249</v>
      </c>
      <c r="EB211" s="980">
        <f t="shared" si="1699"/>
        <v>14249</v>
      </c>
      <c r="EC211" s="988">
        <f t="shared" ref="EC211:EH211" si="1718">+SUM(EC204:EC210)</f>
        <v>14249</v>
      </c>
      <c r="ED211" s="324">
        <f t="shared" si="1718"/>
        <v>14249</v>
      </c>
      <c r="EE211" s="988">
        <f t="shared" si="1718"/>
        <v>14249</v>
      </c>
      <c r="EF211" s="1649">
        <f t="shared" si="1718"/>
        <v>14249</v>
      </c>
      <c r="EG211" s="988">
        <f t="shared" si="1718"/>
        <v>14249</v>
      </c>
      <c r="EH211" s="988">
        <f t="shared" si="1718"/>
        <v>14249</v>
      </c>
      <c r="EI211" s="980">
        <f t="shared" si="1699"/>
        <v>14249</v>
      </c>
      <c r="EJ211" s="988">
        <f t="shared" ref="EJ211:EO211" si="1719">+SUM(EJ204:EJ210)</f>
        <v>14249</v>
      </c>
      <c r="EK211" s="324">
        <f t="shared" si="1719"/>
        <v>14249</v>
      </c>
      <c r="EL211" s="988">
        <f t="shared" si="1719"/>
        <v>14249</v>
      </c>
      <c r="EM211" s="1649">
        <f t="shared" si="1719"/>
        <v>14249</v>
      </c>
      <c r="EN211" s="988">
        <f t="shared" si="1719"/>
        <v>14249</v>
      </c>
      <c r="EO211" s="988">
        <f t="shared" si="1719"/>
        <v>14249</v>
      </c>
      <c r="EP211" s="980">
        <f t="shared" si="1699"/>
        <v>14249</v>
      </c>
      <c r="EQ211" s="303"/>
      <c r="ER211" s="46"/>
    </row>
    <row r="212" spans="1:148" ht="10.199999999999999" customHeight="1">
      <c r="A212" s="43" t="s">
        <v>185</v>
      </c>
      <c r="B212" s="108"/>
      <c r="C212" s="130">
        <f t="shared" ref="C212:EP212" si="1720">C41</f>
        <v>4265</v>
      </c>
      <c r="D212" s="130">
        <f t="shared" si="1720"/>
        <v>4851</v>
      </c>
      <c r="E212" s="130">
        <f t="shared" si="1720"/>
        <v>5119</v>
      </c>
      <c r="F212" s="130">
        <f t="shared" si="1720"/>
        <v>4950</v>
      </c>
      <c r="G212" s="130">
        <f t="shared" si="1720"/>
        <v>5029</v>
      </c>
      <c r="H212" s="130">
        <f t="shared" si="1720"/>
        <v>4854</v>
      </c>
      <c r="I212" s="130">
        <f t="shared" si="1720"/>
        <v>4563</v>
      </c>
      <c r="J212" s="130">
        <f t="shared" si="1720"/>
        <v>4882</v>
      </c>
      <c r="K212" s="130">
        <f t="shared" si="1720"/>
        <v>5968</v>
      </c>
      <c r="L212" s="130">
        <f t="shared" si="1720"/>
        <v>5526</v>
      </c>
      <c r="M212" s="130">
        <f t="shared" si="1720"/>
        <v>5754</v>
      </c>
      <c r="N212" s="130"/>
      <c r="O212" s="130"/>
      <c r="P212" s="130"/>
      <c r="Q212" s="698"/>
      <c r="R212" s="130"/>
      <c r="S212" s="130"/>
      <c r="T212" s="619">
        <f t="shared" si="1720"/>
        <v>5907</v>
      </c>
      <c r="U212" s="130">
        <f t="shared" ref="U212:X212" si="1721">U41</f>
        <v>5907</v>
      </c>
      <c r="V212" s="130">
        <f t="shared" si="1721"/>
        <v>5907</v>
      </c>
      <c r="W212" s="130">
        <f t="shared" si="1721"/>
        <v>5907</v>
      </c>
      <c r="X212" s="698">
        <f t="shared" si="1721"/>
        <v>6020</v>
      </c>
      <c r="Y212" s="130">
        <f t="shared" ref="Y212:Z212" si="1722">Y41</f>
        <v>5907</v>
      </c>
      <c r="Z212" s="130">
        <f t="shared" si="1722"/>
        <v>6020</v>
      </c>
      <c r="AA212" s="619">
        <f t="shared" si="1720"/>
        <v>6020</v>
      </c>
      <c r="AB212" s="130">
        <f t="shared" si="1720"/>
        <v>6020</v>
      </c>
      <c r="AC212" s="130">
        <f t="shared" si="1720"/>
        <v>6487</v>
      </c>
      <c r="AD212" s="130">
        <f t="shared" si="1720"/>
        <v>6454</v>
      </c>
      <c r="AE212" s="698">
        <f t="shared" si="1720"/>
        <v>6716</v>
      </c>
      <c r="AF212" s="130">
        <f t="shared" ref="AF212:AG212" si="1723">AF41</f>
        <v>6487</v>
      </c>
      <c r="AG212" s="130">
        <f t="shared" si="1723"/>
        <v>6716</v>
      </c>
      <c r="AH212" s="619">
        <f t="shared" si="1720"/>
        <v>6716</v>
      </c>
      <c r="AI212" s="130">
        <f t="shared" ref="AI212:AL212" si="1724">AI41</f>
        <v>6573</v>
      </c>
      <c r="AJ212" s="130">
        <f t="shared" si="1724"/>
        <v>6466</v>
      </c>
      <c r="AK212" s="130">
        <f t="shared" si="1724"/>
        <v>6427</v>
      </c>
      <c r="AL212" s="698">
        <f t="shared" si="1724"/>
        <v>6340</v>
      </c>
      <c r="AM212" s="130">
        <f t="shared" ref="AM212:AN212" si="1725">AM41</f>
        <v>6466</v>
      </c>
      <c r="AN212" s="130">
        <f t="shared" si="1725"/>
        <v>6340</v>
      </c>
      <c r="AO212" s="619">
        <f t="shared" si="1720"/>
        <v>6340</v>
      </c>
      <c r="AP212" s="130">
        <f t="shared" si="1720"/>
        <v>6610</v>
      </c>
      <c r="AQ212" s="130">
        <f t="shared" si="1720"/>
        <v>6564</v>
      </c>
      <c r="AR212" s="130">
        <f t="shared" si="1720"/>
        <v>6569</v>
      </c>
      <c r="AS212" s="698">
        <f t="shared" si="1720"/>
        <v>5537</v>
      </c>
      <c r="AT212" s="130">
        <f t="shared" ref="AT212:AU212" si="1726">AT41</f>
        <v>6564</v>
      </c>
      <c r="AU212" s="130">
        <f t="shared" si="1726"/>
        <v>5537</v>
      </c>
      <c r="AV212" s="619">
        <f t="shared" si="1720"/>
        <v>5537</v>
      </c>
      <c r="AW212" s="130"/>
      <c r="AX212" s="130"/>
      <c r="AY212" s="130"/>
      <c r="AZ212" s="698"/>
      <c r="BA212" s="130"/>
      <c r="BB212" s="130"/>
      <c r="BC212" s="619">
        <f t="shared" si="1720"/>
        <v>5537</v>
      </c>
      <c r="BD212" s="130">
        <f t="shared" ref="BD212:BG212" si="1727">BD41</f>
        <v>5527</v>
      </c>
      <c r="BE212" s="130">
        <f t="shared" si="1727"/>
        <v>5359</v>
      </c>
      <c r="BF212" s="130">
        <f t="shared" si="1727"/>
        <v>5752</v>
      </c>
      <c r="BG212" s="698">
        <f t="shared" si="1727"/>
        <v>4233</v>
      </c>
      <c r="BH212" s="130">
        <f t="shared" ref="BH212:BI212" si="1728">BH41</f>
        <v>5359</v>
      </c>
      <c r="BI212" s="130">
        <f t="shared" si="1728"/>
        <v>4233</v>
      </c>
      <c r="BJ212" s="619">
        <f t="shared" si="1720"/>
        <v>4233</v>
      </c>
      <c r="BK212" s="130">
        <f t="shared" si="1720"/>
        <v>2994</v>
      </c>
      <c r="BL212" s="130">
        <f t="shared" si="1720"/>
        <v>3658</v>
      </c>
      <c r="BM212" s="130">
        <f t="shared" si="1720"/>
        <v>3816</v>
      </c>
      <c r="BN212" s="698">
        <f t="shared" si="1720"/>
        <v>3725</v>
      </c>
      <c r="BO212" s="130">
        <f t="shared" ref="BO212:BP212" si="1729">BO41</f>
        <v>3658</v>
      </c>
      <c r="BP212" s="130">
        <f t="shared" si="1729"/>
        <v>3725</v>
      </c>
      <c r="BQ212" s="619">
        <f t="shared" si="1720"/>
        <v>3725</v>
      </c>
      <c r="BR212" s="130">
        <f t="shared" ref="BR212:BU212" si="1730">BR41</f>
        <v>3520</v>
      </c>
      <c r="BS212" s="130">
        <f t="shared" si="1730"/>
        <v>3481</v>
      </c>
      <c r="BT212" s="130">
        <f t="shared" si="1730"/>
        <v>3779</v>
      </c>
      <c r="BU212" s="698">
        <f t="shared" si="1730"/>
        <v>3712</v>
      </c>
      <c r="BV212" s="130">
        <f t="shared" ref="BV212:BW212" si="1731">BV41</f>
        <v>3481</v>
      </c>
      <c r="BW212" s="130">
        <f t="shared" si="1731"/>
        <v>3712</v>
      </c>
      <c r="BX212" s="619">
        <f t="shared" si="1720"/>
        <v>3712</v>
      </c>
      <c r="BY212" s="130">
        <f t="shared" si="1720"/>
        <v>3730</v>
      </c>
      <c r="BZ212" s="130">
        <f t="shared" si="1720"/>
        <v>3747</v>
      </c>
      <c r="CA212" s="130">
        <f t="shared" si="1720"/>
        <v>3751</v>
      </c>
      <c r="CB212" s="698">
        <f t="shared" si="1720"/>
        <v>3730</v>
      </c>
      <c r="CC212" s="130">
        <f t="shared" ref="CC212:CD212" si="1732">CC41</f>
        <v>3747</v>
      </c>
      <c r="CD212" s="130">
        <f t="shared" si="1732"/>
        <v>3730</v>
      </c>
      <c r="CE212" s="619">
        <f t="shared" si="1720"/>
        <v>3730</v>
      </c>
      <c r="CF212" s="130">
        <f t="shared" ref="CF212:CI212" si="1733">CF41</f>
        <v>3742</v>
      </c>
      <c r="CG212" s="130">
        <f t="shared" si="1733"/>
        <v>3772</v>
      </c>
      <c r="CH212" s="130">
        <f t="shared" si="1733"/>
        <v>3782</v>
      </c>
      <c r="CI212" s="698">
        <f t="shared" si="1733"/>
        <v>3717</v>
      </c>
      <c r="CJ212" s="130">
        <f t="shared" ref="CJ212:CK212" si="1734">CJ41</f>
        <v>3772</v>
      </c>
      <c r="CK212" s="130">
        <f t="shared" si="1734"/>
        <v>3717</v>
      </c>
      <c r="CL212" s="619">
        <f t="shared" si="1720"/>
        <v>3717</v>
      </c>
      <c r="CM212" s="130">
        <f t="shared" si="1720"/>
        <v>3709</v>
      </c>
      <c r="CN212" s="130">
        <f t="shared" si="1720"/>
        <v>3719</v>
      </c>
      <c r="CO212" s="130">
        <f t="shared" si="1720"/>
        <v>3722</v>
      </c>
      <c r="CP212" s="698">
        <f t="shared" si="1720"/>
        <v>3671</v>
      </c>
      <c r="CQ212" s="130">
        <f t="shared" ref="CQ212:CR212" si="1735">CQ41</f>
        <v>3719</v>
      </c>
      <c r="CR212" s="130">
        <f t="shared" si="1735"/>
        <v>3671</v>
      </c>
      <c r="CS212" s="619">
        <f t="shared" ref="CS212:CT212" si="1736">CS41</f>
        <v>3671</v>
      </c>
      <c r="CT212" s="130">
        <f t="shared" si="1736"/>
        <v>3660</v>
      </c>
      <c r="CU212" s="130">
        <f t="shared" ref="CU212:CW212" si="1737">CU41</f>
        <v>3683</v>
      </c>
      <c r="CV212" s="130">
        <f t="shared" si="1737"/>
        <v>3684</v>
      </c>
      <c r="CW212" s="698">
        <f t="shared" si="1737"/>
        <v>3698</v>
      </c>
      <c r="CX212" s="130">
        <f t="shared" ref="CX212:DC212" si="1738">CX41</f>
        <v>3683</v>
      </c>
      <c r="CY212" s="130">
        <f t="shared" si="1738"/>
        <v>3698</v>
      </c>
      <c r="CZ212" s="619">
        <f t="shared" si="1738"/>
        <v>3698</v>
      </c>
      <c r="DA212" s="130">
        <f t="shared" si="1738"/>
        <v>3694</v>
      </c>
      <c r="DB212" s="130">
        <f t="shared" si="1738"/>
        <v>3658</v>
      </c>
      <c r="DC212" s="130">
        <f t="shared" si="1738"/>
        <v>3648</v>
      </c>
      <c r="DD212" s="1906">
        <f t="shared" ref="DD212:DE212" si="1739">DD41</f>
        <v>3620</v>
      </c>
      <c r="DE212" s="130">
        <f t="shared" si="1739"/>
        <v>3658</v>
      </c>
      <c r="DF212" s="1909">
        <f t="shared" ref="DF212:DI212" si="1740">DF41</f>
        <v>3620</v>
      </c>
      <c r="DG212" s="619">
        <f t="shared" si="1740"/>
        <v>3620</v>
      </c>
      <c r="DH212" s="317">
        <f t="shared" si="1740"/>
        <v>3611</v>
      </c>
      <c r="DI212" s="130">
        <f t="shared" si="1740"/>
        <v>3608</v>
      </c>
      <c r="DJ212" s="624">
        <f t="shared" si="1720"/>
        <v>3620</v>
      </c>
      <c r="DK212" s="741">
        <f t="shared" si="1720"/>
        <v>3620</v>
      </c>
      <c r="DL212" s="130">
        <f t="shared" si="1720"/>
        <v>3608</v>
      </c>
      <c r="DM212" s="624">
        <f t="shared" si="1720"/>
        <v>3620</v>
      </c>
      <c r="DN212" s="1113">
        <f t="shared" si="1720"/>
        <v>3620</v>
      </c>
      <c r="DO212" s="624">
        <f t="shared" si="1720"/>
        <v>3620</v>
      </c>
      <c r="DP212" s="617">
        <f t="shared" si="1720"/>
        <v>3620</v>
      </c>
      <c r="DQ212" s="624">
        <f t="shared" si="1720"/>
        <v>3620</v>
      </c>
      <c r="DR212" s="741">
        <f t="shared" si="1720"/>
        <v>3620</v>
      </c>
      <c r="DS212" s="624">
        <f t="shared" si="1720"/>
        <v>3620</v>
      </c>
      <c r="DT212" s="624">
        <f t="shared" si="1720"/>
        <v>3620</v>
      </c>
      <c r="DU212" s="1113">
        <f t="shared" si="1720"/>
        <v>3620</v>
      </c>
      <c r="DV212" s="624">
        <f t="shared" si="1720"/>
        <v>3620</v>
      </c>
      <c r="DW212" s="617">
        <f t="shared" si="1720"/>
        <v>3620</v>
      </c>
      <c r="DX212" s="624">
        <f t="shared" si="1720"/>
        <v>3620</v>
      </c>
      <c r="DY212" s="741">
        <f t="shared" si="1720"/>
        <v>3620</v>
      </c>
      <c r="DZ212" s="624">
        <f t="shared" si="1720"/>
        <v>3620</v>
      </c>
      <c r="EA212" s="624">
        <f t="shared" si="1720"/>
        <v>3620</v>
      </c>
      <c r="EB212" s="1113">
        <f t="shared" si="1720"/>
        <v>3620</v>
      </c>
      <c r="EC212" s="624">
        <f t="shared" si="1720"/>
        <v>3620</v>
      </c>
      <c r="ED212" s="617">
        <f t="shared" si="1720"/>
        <v>3620</v>
      </c>
      <c r="EE212" s="624">
        <f t="shared" si="1720"/>
        <v>3620</v>
      </c>
      <c r="EF212" s="741">
        <f t="shared" si="1720"/>
        <v>3620</v>
      </c>
      <c r="EG212" s="624">
        <f t="shared" si="1720"/>
        <v>3620</v>
      </c>
      <c r="EH212" s="624">
        <f t="shared" si="1720"/>
        <v>3620</v>
      </c>
      <c r="EI212" s="1113">
        <f t="shared" si="1720"/>
        <v>3620</v>
      </c>
      <c r="EJ212" s="624">
        <f t="shared" si="1720"/>
        <v>3620</v>
      </c>
      <c r="EK212" s="617">
        <f t="shared" si="1720"/>
        <v>3620</v>
      </c>
      <c r="EL212" s="624">
        <f t="shared" si="1720"/>
        <v>3620</v>
      </c>
      <c r="EM212" s="741">
        <f t="shared" si="1720"/>
        <v>3620</v>
      </c>
      <c r="EN212" s="624">
        <f t="shared" si="1720"/>
        <v>3620</v>
      </c>
      <c r="EO212" s="624">
        <f t="shared" si="1720"/>
        <v>3620</v>
      </c>
      <c r="EP212" s="1113">
        <f t="shared" si="1720"/>
        <v>3620</v>
      </c>
      <c r="EQ212" s="303"/>
      <c r="ER212" s="46"/>
    </row>
    <row r="213" spans="1:148" ht="10.199999999999999" customHeight="1">
      <c r="A213" s="43" t="s">
        <v>51</v>
      </c>
      <c r="B213" s="108"/>
      <c r="C213" s="130">
        <f t="shared" ref="C213:EP213" si="1741">+C211+C212</f>
        <v>8095</v>
      </c>
      <c r="D213" s="130">
        <f t="shared" si="1741"/>
        <v>9618</v>
      </c>
      <c r="E213" s="135">
        <f t="shared" si="1741"/>
        <v>10245</v>
      </c>
      <c r="F213" s="135">
        <f t="shared" si="1741"/>
        <v>10047</v>
      </c>
      <c r="G213" s="135">
        <f t="shared" si="1741"/>
        <v>10786</v>
      </c>
      <c r="H213" s="135">
        <f t="shared" si="1741"/>
        <v>9668</v>
      </c>
      <c r="I213" s="135">
        <f t="shared" si="1741"/>
        <v>9067</v>
      </c>
      <c r="J213" s="135">
        <f t="shared" si="1741"/>
        <v>10178</v>
      </c>
      <c r="K213" s="135">
        <f t="shared" si="1741"/>
        <v>10246</v>
      </c>
      <c r="L213" s="135">
        <f t="shared" si="1741"/>
        <v>10630</v>
      </c>
      <c r="M213" s="135">
        <f t="shared" si="1741"/>
        <v>10533</v>
      </c>
      <c r="N213" s="135"/>
      <c r="O213" s="135"/>
      <c r="P213" s="135"/>
      <c r="Q213" s="961"/>
      <c r="R213" s="135"/>
      <c r="S213" s="135"/>
      <c r="T213" s="948">
        <f t="shared" si="1741"/>
        <v>11537</v>
      </c>
      <c r="U213" s="135">
        <f t="shared" ref="U213:X213" si="1742">+U211+U212</f>
        <v>12514</v>
      </c>
      <c r="V213" s="135">
        <f t="shared" si="1742"/>
        <v>14031</v>
      </c>
      <c r="W213" s="135">
        <f t="shared" si="1742"/>
        <v>12980</v>
      </c>
      <c r="X213" s="961">
        <f t="shared" si="1742"/>
        <v>13371</v>
      </c>
      <c r="Y213" s="135">
        <f t="shared" ref="Y213:Z213" si="1743">+Y211+Y212</f>
        <v>14031</v>
      </c>
      <c r="Z213" s="135">
        <f t="shared" si="1743"/>
        <v>13371</v>
      </c>
      <c r="AA213" s="948">
        <f t="shared" si="1741"/>
        <v>13371</v>
      </c>
      <c r="AB213" s="135">
        <f t="shared" si="1741"/>
        <v>13902</v>
      </c>
      <c r="AC213" s="135">
        <f t="shared" si="1741"/>
        <v>14893</v>
      </c>
      <c r="AD213" s="135">
        <f t="shared" si="1741"/>
        <v>15893</v>
      </c>
      <c r="AE213" s="961">
        <f t="shared" si="1741"/>
        <v>15841</v>
      </c>
      <c r="AF213" s="135">
        <f t="shared" ref="AF213:AG213" si="1744">+AF211+AF212</f>
        <v>14893</v>
      </c>
      <c r="AG213" s="135">
        <f t="shared" si="1744"/>
        <v>15841</v>
      </c>
      <c r="AH213" s="948">
        <f t="shared" si="1741"/>
        <v>15841</v>
      </c>
      <c r="AI213" s="135">
        <f t="shared" ref="AI213:AL213" si="1745">+AI211+AI212</f>
        <v>18124</v>
      </c>
      <c r="AJ213" s="135">
        <f t="shared" si="1745"/>
        <v>18810</v>
      </c>
      <c r="AK213" s="135">
        <f t="shared" si="1745"/>
        <v>17746</v>
      </c>
      <c r="AL213" s="961">
        <f t="shared" si="1745"/>
        <v>16818</v>
      </c>
      <c r="AM213" s="135">
        <f t="shared" ref="AM213:AN213" si="1746">+AM211+AM212</f>
        <v>18810</v>
      </c>
      <c r="AN213" s="135">
        <f t="shared" si="1746"/>
        <v>16818</v>
      </c>
      <c r="AO213" s="948">
        <f t="shared" si="1741"/>
        <v>16818</v>
      </c>
      <c r="AP213" s="135">
        <f t="shared" si="1741"/>
        <v>17184</v>
      </c>
      <c r="AQ213" s="135">
        <f t="shared" si="1741"/>
        <v>18006</v>
      </c>
      <c r="AR213" s="135">
        <f t="shared" si="1741"/>
        <v>17831</v>
      </c>
      <c r="AS213" s="961">
        <f t="shared" si="1741"/>
        <v>16733</v>
      </c>
      <c r="AT213" s="135">
        <f t="shared" ref="AT213:AU213" si="1747">+AT211+AT212</f>
        <v>18006</v>
      </c>
      <c r="AU213" s="135">
        <f t="shared" si="1747"/>
        <v>16733</v>
      </c>
      <c r="AV213" s="948">
        <f t="shared" si="1741"/>
        <v>16733</v>
      </c>
      <c r="AW213" s="135"/>
      <c r="AX213" s="135"/>
      <c r="AY213" s="135"/>
      <c r="AZ213" s="961"/>
      <c r="BA213" s="135"/>
      <c r="BB213" s="135"/>
      <c r="BC213" s="948">
        <f t="shared" si="1741"/>
        <v>16733</v>
      </c>
      <c r="BD213" s="135">
        <f t="shared" ref="BD213:BG213" si="1748">+BD211+BD212</f>
        <v>16681</v>
      </c>
      <c r="BE213" s="135">
        <f t="shared" si="1748"/>
        <v>15066</v>
      </c>
      <c r="BF213" s="135">
        <f t="shared" si="1748"/>
        <v>16890</v>
      </c>
      <c r="BG213" s="961">
        <f t="shared" si="1748"/>
        <v>13159</v>
      </c>
      <c r="BH213" s="135">
        <f t="shared" ref="BH213:BI213" si="1749">+BH211+BH212</f>
        <v>15066</v>
      </c>
      <c r="BI213" s="135">
        <f t="shared" si="1749"/>
        <v>13159</v>
      </c>
      <c r="BJ213" s="948">
        <f t="shared" si="1741"/>
        <v>13159</v>
      </c>
      <c r="BK213" s="135">
        <f t="shared" si="1741"/>
        <v>14013</v>
      </c>
      <c r="BL213" s="135">
        <f t="shared" si="1741"/>
        <v>14942</v>
      </c>
      <c r="BM213" s="135">
        <f t="shared" si="1741"/>
        <v>16015</v>
      </c>
      <c r="BN213" s="961">
        <f t="shared" si="1741"/>
        <v>13873</v>
      </c>
      <c r="BO213" s="135">
        <f t="shared" ref="BO213:BP213" si="1750">+BO211+BO212</f>
        <v>14942</v>
      </c>
      <c r="BP213" s="135">
        <f t="shared" si="1750"/>
        <v>13873</v>
      </c>
      <c r="BQ213" s="948">
        <f t="shared" si="1741"/>
        <v>13873</v>
      </c>
      <c r="BR213" s="135">
        <f t="shared" ref="BR213:BU213" si="1751">+BR211+BR212</f>
        <v>18337</v>
      </c>
      <c r="BS213" s="135">
        <f t="shared" si="1751"/>
        <v>21551</v>
      </c>
      <c r="BT213" s="135">
        <f t="shared" si="1751"/>
        <v>22116</v>
      </c>
      <c r="BU213" s="961">
        <f t="shared" si="1751"/>
        <v>20807</v>
      </c>
      <c r="BV213" s="135">
        <f t="shared" ref="BV213:BW213" si="1752">+BV211+BV212</f>
        <v>21551</v>
      </c>
      <c r="BW213" s="135">
        <f t="shared" si="1752"/>
        <v>20807</v>
      </c>
      <c r="BX213" s="948">
        <f t="shared" si="1741"/>
        <v>20807</v>
      </c>
      <c r="BY213" s="135">
        <f t="shared" si="1741"/>
        <v>20705</v>
      </c>
      <c r="BZ213" s="135">
        <f t="shared" si="1741"/>
        <v>18703</v>
      </c>
      <c r="CA213" s="135">
        <f t="shared" si="1741"/>
        <v>18674</v>
      </c>
      <c r="CB213" s="961">
        <f t="shared" si="1741"/>
        <v>18770</v>
      </c>
      <c r="CC213" s="135">
        <f t="shared" ref="CC213:CD213" si="1753">+CC211+CC212</f>
        <v>18703</v>
      </c>
      <c r="CD213" s="135">
        <f t="shared" si="1753"/>
        <v>18770</v>
      </c>
      <c r="CE213" s="948">
        <f t="shared" si="1741"/>
        <v>18770</v>
      </c>
      <c r="CF213" s="135">
        <f t="shared" ref="CF213:CI213" si="1754">+CF211+CF212</f>
        <v>18314</v>
      </c>
      <c r="CG213" s="135">
        <f t="shared" si="1754"/>
        <v>17069</v>
      </c>
      <c r="CH213" s="135">
        <f t="shared" si="1754"/>
        <v>16791</v>
      </c>
      <c r="CI213" s="961">
        <f t="shared" si="1754"/>
        <v>16490</v>
      </c>
      <c r="CJ213" s="135">
        <f t="shared" ref="CJ213:CK213" si="1755">+CJ211+CJ212</f>
        <v>17069</v>
      </c>
      <c r="CK213" s="135">
        <f t="shared" si="1755"/>
        <v>16490</v>
      </c>
      <c r="CL213" s="948">
        <f t="shared" si="1741"/>
        <v>16490</v>
      </c>
      <c r="CM213" s="135">
        <f t="shared" si="1741"/>
        <v>16461</v>
      </c>
      <c r="CN213" s="135">
        <f t="shared" si="1741"/>
        <v>16268</v>
      </c>
      <c r="CO213" s="135">
        <f t="shared" si="1741"/>
        <v>16389</v>
      </c>
      <c r="CP213" s="961">
        <f t="shared" si="1741"/>
        <v>17262</v>
      </c>
      <c r="CQ213" s="135">
        <f t="shared" ref="CQ213:CR213" si="1756">+CQ211+CQ212</f>
        <v>16268</v>
      </c>
      <c r="CR213" s="135">
        <f t="shared" si="1756"/>
        <v>17262</v>
      </c>
      <c r="CS213" s="948">
        <f t="shared" ref="CS213:CT213" si="1757">+CS211+CS212</f>
        <v>17262</v>
      </c>
      <c r="CT213" s="135">
        <f t="shared" si="1757"/>
        <v>17339</v>
      </c>
      <c r="CU213" s="135">
        <f t="shared" ref="CU213:CW213" si="1758">+CU211+CU212</f>
        <v>16561</v>
      </c>
      <c r="CV213" s="135">
        <f t="shared" si="1758"/>
        <v>16804</v>
      </c>
      <c r="CW213" s="961">
        <f t="shared" si="1758"/>
        <v>17977</v>
      </c>
      <c r="CX213" s="135">
        <f t="shared" ref="CX213:DC213" si="1759">+CX211+CX212</f>
        <v>16561</v>
      </c>
      <c r="CY213" s="135">
        <f t="shared" si="1759"/>
        <v>17977</v>
      </c>
      <c r="CZ213" s="948">
        <f t="shared" si="1759"/>
        <v>17977</v>
      </c>
      <c r="DA213" s="135">
        <f t="shared" si="1759"/>
        <v>17963</v>
      </c>
      <c r="DB213" s="135">
        <f t="shared" si="1759"/>
        <v>17013</v>
      </c>
      <c r="DC213" s="135">
        <f t="shared" si="1759"/>
        <v>17169</v>
      </c>
      <c r="DD213" s="1902">
        <f t="shared" ref="DD213:DE213" si="1760">+DD211+DD212</f>
        <v>17869</v>
      </c>
      <c r="DE213" s="135">
        <f t="shared" si="1760"/>
        <v>17013</v>
      </c>
      <c r="DF213" s="1872">
        <f t="shared" ref="DF213:DI213" si="1761">+DF211+DF212</f>
        <v>17869</v>
      </c>
      <c r="DG213" s="948">
        <f t="shared" si="1761"/>
        <v>17869</v>
      </c>
      <c r="DH213" s="865">
        <f t="shared" si="1761"/>
        <v>18445</v>
      </c>
      <c r="DI213" s="135">
        <f t="shared" si="1761"/>
        <v>17884</v>
      </c>
      <c r="DJ213" s="897">
        <f t="shared" si="1741"/>
        <v>17869</v>
      </c>
      <c r="DK213" s="1117">
        <f t="shared" si="1741"/>
        <v>17869</v>
      </c>
      <c r="DL213" s="135">
        <f t="shared" si="1741"/>
        <v>17884</v>
      </c>
      <c r="DM213" s="897">
        <f t="shared" si="1741"/>
        <v>17869</v>
      </c>
      <c r="DN213" s="1116">
        <f t="shared" si="1741"/>
        <v>17869</v>
      </c>
      <c r="DO213" s="897">
        <f t="shared" si="1741"/>
        <v>17869</v>
      </c>
      <c r="DP213" s="442">
        <f t="shared" si="1741"/>
        <v>17869</v>
      </c>
      <c r="DQ213" s="897">
        <f t="shared" si="1741"/>
        <v>17869</v>
      </c>
      <c r="DR213" s="1117">
        <f t="shared" si="1741"/>
        <v>17869</v>
      </c>
      <c r="DS213" s="897">
        <f t="shared" si="1741"/>
        <v>17869</v>
      </c>
      <c r="DT213" s="897">
        <f t="shared" si="1741"/>
        <v>17869</v>
      </c>
      <c r="DU213" s="1116">
        <f t="shared" si="1741"/>
        <v>17869</v>
      </c>
      <c r="DV213" s="897">
        <f t="shared" si="1741"/>
        <v>17869</v>
      </c>
      <c r="DW213" s="442">
        <f t="shared" si="1741"/>
        <v>17869</v>
      </c>
      <c r="DX213" s="897">
        <f t="shared" si="1741"/>
        <v>17869</v>
      </c>
      <c r="DY213" s="1117">
        <f t="shared" si="1741"/>
        <v>17869</v>
      </c>
      <c r="DZ213" s="897">
        <f t="shared" si="1741"/>
        <v>17869</v>
      </c>
      <c r="EA213" s="897">
        <f t="shared" si="1741"/>
        <v>17869</v>
      </c>
      <c r="EB213" s="1116">
        <f t="shared" si="1741"/>
        <v>17869</v>
      </c>
      <c r="EC213" s="897">
        <f t="shared" si="1741"/>
        <v>17869</v>
      </c>
      <c r="ED213" s="442">
        <f t="shared" si="1741"/>
        <v>17869</v>
      </c>
      <c r="EE213" s="897">
        <f t="shared" si="1741"/>
        <v>17869</v>
      </c>
      <c r="EF213" s="1117">
        <f t="shared" si="1741"/>
        <v>17869</v>
      </c>
      <c r="EG213" s="897">
        <f t="shared" si="1741"/>
        <v>17869</v>
      </c>
      <c r="EH213" s="897">
        <f t="shared" si="1741"/>
        <v>17869</v>
      </c>
      <c r="EI213" s="1116">
        <f t="shared" si="1741"/>
        <v>17869</v>
      </c>
      <c r="EJ213" s="897">
        <f t="shared" si="1741"/>
        <v>17869</v>
      </c>
      <c r="EK213" s="442">
        <f t="shared" si="1741"/>
        <v>17869</v>
      </c>
      <c r="EL213" s="897">
        <f t="shared" si="1741"/>
        <v>17869</v>
      </c>
      <c r="EM213" s="1117">
        <f t="shared" si="1741"/>
        <v>17869</v>
      </c>
      <c r="EN213" s="897">
        <f t="shared" si="1741"/>
        <v>17869</v>
      </c>
      <c r="EO213" s="897">
        <f t="shared" si="1741"/>
        <v>17869</v>
      </c>
      <c r="EP213" s="1116">
        <f t="shared" si="1741"/>
        <v>17869</v>
      </c>
      <c r="EQ213" s="303"/>
      <c r="ER213" s="46"/>
    </row>
    <row r="214" spans="1:148" ht="10.199999999999999" customHeight="1">
      <c r="A214" s="43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700"/>
      <c r="R214" s="108"/>
      <c r="S214" s="108"/>
      <c r="T214" s="538"/>
      <c r="U214" s="108"/>
      <c r="V214" s="108"/>
      <c r="W214" s="108"/>
      <c r="X214" s="700"/>
      <c r="Y214" s="108"/>
      <c r="Z214" s="108"/>
      <c r="AA214" s="538"/>
      <c r="AB214" s="108"/>
      <c r="AC214" s="108"/>
      <c r="AD214" s="108"/>
      <c r="AE214" s="700"/>
      <c r="AF214" s="108"/>
      <c r="AG214" s="108"/>
      <c r="AH214" s="538"/>
      <c r="AI214" s="108"/>
      <c r="AJ214" s="108"/>
      <c r="AK214" s="108"/>
      <c r="AL214" s="700"/>
      <c r="AM214" s="108"/>
      <c r="AN214" s="108"/>
      <c r="AO214" s="538"/>
      <c r="AP214" s="108"/>
      <c r="AQ214" s="108"/>
      <c r="AR214" s="108"/>
      <c r="AS214" s="700"/>
      <c r="AT214" s="108"/>
      <c r="AU214" s="108"/>
      <c r="AV214" s="538"/>
      <c r="AW214" s="108"/>
      <c r="AX214" s="108"/>
      <c r="AY214" s="108"/>
      <c r="AZ214" s="700"/>
      <c r="BA214" s="108"/>
      <c r="BB214" s="108"/>
      <c r="BC214" s="538"/>
      <c r="BD214" s="108"/>
      <c r="BE214" s="108"/>
      <c r="BF214" s="108"/>
      <c r="BG214" s="700"/>
      <c r="BH214" s="108"/>
      <c r="BI214" s="108"/>
      <c r="BJ214" s="538"/>
      <c r="BK214" s="108"/>
      <c r="BL214" s="108"/>
      <c r="BM214" s="108"/>
      <c r="BN214" s="700"/>
      <c r="BO214" s="108"/>
      <c r="BP214" s="108"/>
      <c r="BQ214" s="538"/>
      <c r="BR214" s="108"/>
      <c r="BS214" s="108"/>
      <c r="BT214" s="108"/>
      <c r="BU214" s="700"/>
      <c r="BV214" s="108"/>
      <c r="BW214" s="108"/>
      <c r="BX214" s="538"/>
      <c r="BY214" s="108"/>
      <c r="BZ214" s="108"/>
      <c r="CA214" s="108"/>
      <c r="CB214" s="700"/>
      <c r="CC214" s="108"/>
      <c r="CD214" s="108"/>
      <c r="CE214" s="538"/>
      <c r="CF214" s="108"/>
      <c r="CG214" s="108"/>
      <c r="CH214" s="108"/>
      <c r="CI214" s="700"/>
      <c r="CJ214" s="108"/>
      <c r="CK214" s="108"/>
      <c r="CL214" s="538"/>
      <c r="CM214" s="108"/>
      <c r="CN214" s="108"/>
      <c r="CO214" s="108"/>
      <c r="CP214" s="700"/>
      <c r="CQ214" s="108"/>
      <c r="CR214" s="108"/>
      <c r="CS214" s="538"/>
      <c r="CT214" s="108"/>
      <c r="CU214" s="108"/>
      <c r="CV214" s="108"/>
      <c r="CW214" s="700"/>
      <c r="CX214" s="108"/>
      <c r="CY214" s="108"/>
      <c r="CZ214" s="1479"/>
      <c r="DA214" s="108"/>
      <c r="DB214" s="456"/>
      <c r="DC214" s="108"/>
      <c r="DD214" s="1904"/>
      <c r="DE214" s="3"/>
      <c r="DF214" s="1879"/>
      <c r="DG214" s="1479"/>
      <c r="DH214" s="1"/>
      <c r="DI214" s="456"/>
      <c r="DJ214" s="3"/>
      <c r="DK214" s="1509"/>
      <c r="DL214" s="3"/>
      <c r="DM214" s="3"/>
      <c r="DN214" s="1479"/>
      <c r="DO214" s="3"/>
      <c r="DP214" s="456"/>
      <c r="DQ214" s="3"/>
      <c r="DR214" s="1509"/>
      <c r="DS214" s="3"/>
      <c r="DT214" s="3"/>
      <c r="DU214" s="1479"/>
      <c r="DV214" s="3"/>
      <c r="DW214" s="456"/>
      <c r="DX214" s="3"/>
      <c r="DY214" s="1509"/>
      <c r="DZ214" s="3"/>
      <c r="EA214" s="3"/>
      <c r="EB214" s="1479"/>
      <c r="EC214" s="3"/>
      <c r="ED214" s="456"/>
      <c r="EE214" s="3"/>
      <c r="EF214" s="1509"/>
      <c r="EG214" s="3"/>
      <c r="EH214" s="3"/>
      <c r="EI214" s="1479"/>
      <c r="EJ214" s="3"/>
      <c r="EK214" s="456"/>
      <c r="EL214" s="3"/>
      <c r="EM214" s="1509"/>
      <c r="EN214" s="3"/>
      <c r="EO214" s="3"/>
      <c r="EP214" s="1479"/>
      <c r="EQ214" s="303"/>
      <c r="ER214" s="46"/>
    </row>
    <row r="215" spans="1:148" ht="10.199999999999999" hidden="1" customHeight="1" outlineLevel="1">
      <c r="A215" s="48" t="s">
        <v>111</v>
      </c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700"/>
      <c r="R215" s="108"/>
      <c r="S215" s="108"/>
      <c r="T215" s="538"/>
      <c r="U215" s="108"/>
      <c r="V215" s="108"/>
      <c r="W215" s="108"/>
      <c r="X215" s="700"/>
      <c r="Y215" s="108"/>
      <c r="Z215" s="108"/>
      <c r="AA215" s="538"/>
      <c r="AB215" s="108"/>
      <c r="AC215" s="108"/>
      <c r="AD215" s="108"/>
      <c r="AE215" s="700"/>
      <c r="AF215" s="108"/>
      <c r="AG215" s="108"/>
      <c r="AH215" s="538"/>
      <c r="AI215" s="108"/>
      <c r="AJ215" s="108"/>
      <c r="AK215" s="108"/>
      <c r="AL215" s="700"/>
      <c r="AM215" s="108"/>
      <c r="AN215" s="108"/>
      <c r="AO215" s="538"/>
      <c r="AP215" s="108"/>
      <c r="AQ215" s="108"/>
      <c r="AR215" s="108"/>
      <c r="AS215" s="700"/>
      <c r="AT215" s="108"/>
      <c r="AU215" s="108"/>
      <c r="AV215" s="538"/>
      <c r="AW215" s="108"/>
      <c r="AX215" s="108"/>
      <c r="AY215" s="108"/>
      <c r="AZ215" s="700"/>
      <c r="BA215" s="108"/>
      <c r="BB215" s="108"/>
      <c r="BC215" s="538"/>
      <c r="BD215" s="108"/>
      <c r="BE215" s="108"/>
      <c r="BF215" s="108"/>
      <c r="BG215" s="700"/>
      <c r="BH215" s="108"/>
      <c r="BI215" s="108"/>
      <c r="BJ215" s="538"/>
      <c r="BK215" s="108"/>
      <c r="BL215" s="108"/>
      <c r="BM215" s="108"/>
      <c r="BN215" s="700"/>
      <c r="BO215" s="108"/>
      <c r="BP215" s="108"/>
      <c r="BQ215" s="538"/>
      <c r="BR215" s="108"/>
      <c r="BS215" s="108"/>
      <c r="BT215" s="108"/>
      <c r="BU215" s="700"/>
      <c r="BV215" s="108"/>
      <c r="BW215" s="108"/>
      <c r="BX215" s="538"/>
      <c r="BY215" s="108"/>
      <c r="BZ215" s="108"/>
      <c r="CA215" s="108"/>
      <c r="CB215" s="700"/>
      <c r="CC215" s="108"/>
      <c r="CD215" s="108"/>
      <c r="CE215" s="538"/>
      <c r="CF215" s="108"/>
      <c r="CG215" s="108"/>
      <c r="CH215" s="108"/>
      <c r="CI215" s="700"/>
      <c r="CJ215" s="108"/>
      <c r="CK215" s="108"/>
      <c r="CL215" s="538"/>
      <c r="CM215" s="108"/>
      <c r="CN215" s="108"/>
      <c r="CO215" s="108"/>
      <c r="CP215" s="700"/>
      <c r="CQ215" s="108"/>
      <c r="CR215" s="108"/>
      <c r="CS215" s="538"/>
      <c r="CT215" s="108"/>
      <c r="CU215" s="108"/>
      <c r="CV215" s="108"/>
      <c r="CW215" s="700"/>
      <c r="CX215" s="108"/>
      <c r="CY215" s="108"/>
      <c r="CZ215" s="1479"/>
      <c r="DA215" s="108"/>
      <c r="DB215" s="456"/>
      <c r="DC215" s="108"/>
      <c r="DD215" s="1904"/>
      <c r="DE215" s="3"/>
      <c r="DF215" s="1879"/>
      <c r="DG215" s="1479"/>
      <c r="DH215" s="1"/>
      <c r="DI215" s="456"/>
      <c r="DJ215" s="3"/>
      <c r="DK215" s="1509"/>
      <c r="DL215" s="3"/>
      <c r="DM215" s="3"/>
      <c r="DN215" s="1479"/>
      <c r="DO215" s="3"/>
      <c r="DP215" s="456"/>
      <c r="DQ215" s="3"/>
      <c r="DR215" s="1509"/>
      <c r="DS215" s="3"/>
      <c r="DT215" s="3"/>
      <c r="DU215" s="1479"/>
      <c r="DV215" s="3"/>
      <c r="DW215" s="456"/>
      <c r="DX215" s="3"/>
      <c r="DY215" s="1509"/>
      <c r="DZ215" s="3"/>
      <c r="EA215" s="3"/>
      <c r="EB215" s="1479"/>
      <c r="EC215" s="3"/>
      <c r="ED215" s="456"/>
      <c r="EE215" s="3"/>
      <c r="EF215" s="1509"/>
      <c r="EG215" s="3"/>
      <c r="EH215" s="3"/>
      <c r="EI215" s="1479"/>
      <c r="EJ215" s="3"/>
      <c r="EK215" s="456"/>
      <c r="EL215" s="3"/>
      <c r="EM215" s="1509"/>
      <c r="EN215" s="3"/>
      <c r="EO215" s="3"/>
      <c r="EP215" s="1479"/>
      <c r="EQ215" s="303"/>
      <c r="ER215" s="46"/>
    </row>
    <row r="216" spans="1:148" ht="10.199999999999999" hidden="1" customHeight="1" outlineLevel="1">
      <c r="A216" s="43" t="str">
        <f t="shared" ref="A216:A222" si="1762">+A204</f>
        <v>Bonds</v>
      </c>
      <c r="B216" s="108"/>
      <c r="C216" s="108"/>
      <c r="D216" s="193">
        <v>0.06</v>
      </c>
      <c r="E216" s="193">
        <f>+D216</f>
        <v>0.06</v>
      </c>
      <c r="F216" s="193">
        <f>+E216</f>
        <v>0.06</v>
      </c>
      <c r="G216" s="193">
        <f>+F216</f>
        <v>0.06</v>
      </c>
      <c r="H216" s="193">
        <f>G216+0.0025</f>
        <v>6.25E-2</v>
      </c>
      <c r="I216" s="193">
        <f>H216+0.0025</f>
        <v>6.5000000000000002E-2</v>
      </c>
      <c r="J216" s="193">
        <v>4.8000000000000001E-2</v>
      </c>
      <c r="K216" s="193">
        <f t="shared" ref="K216:L220" si="1763">+J216</f>
        <v>4.8000000000000001E-2</v>
      </c>
      <c r="L216" s="193">
        <f t="shared" si="1763"/>
        <v>4.8000000000000001E-2</v>
      </c>
      <c r="M216" s="193"/>
      <c r="N216" s="193"/>
      <c r="O216" s="193"/>
      <c r="P216" s="193"/>
      <c r="Q216" s="712"/>
      <c r="R216" s="193"/>
      <c r="S216" s="193"/>
      <c r="T216" s="1334"/>
      <c r="U216" s="193"/>
      <c r="V216" s="193"/>
      <c r="W216" s="193"/>
      <c r="X216" s="712"/>
      <c r="Y216" s="193"/>
      <c r="Z216" s="193"/>
      <c r="AA216" s="1334"/>
      <c r="AB216" s="193"/>
      <c r="AC216" s="193"/>
      <c r="AD216" s="193"/>
      <c r="AE216" s="712"/>
      <c r="AF216" s="193"/>
      <c r="AG216" s="193"/>
      <c r="AH216" s="1334"/>
      <c r="AI216" s="193"/>
      <c r="AJ216" s="193"/>
      <c r="AK216" s="193"/>
      <c r="AL216" s="712"/>
      <c r="AM216" s="193"/>
      <c r="AN216" s="193"/>
      <c r="AO216" s="1334"/>
      <c r="AP216" s="193"/>
      <c r="AQ216" s="193"/>
      <c r="AR216" s="193"/>
      <c r="AS216" s="712"/>
      <c r="AT216" s="193"/>
      <c r="AU216" s="193"/>
      <c r="AV216" s="1334"/>
      <c r="AW216" s="193"/>
      <c r="AX216" s="193"/>
      <c r="AY216" s="193"/>
      <c r="AZ216" s="712"/>
      <c r="BA216" s="193"/>
      <c r="BB216" s="193"/>
      <c r="BC216" s="1334"/>
      <c r="BD216" s="193"/>
      <c r="BE216" s="193"/>
      <c r="BF216" s="193"/>
      <c r="BG216" s="712"/>
      <c r="BH216" s="193"/>
      <c r="BI216" s="193"/>
      <c r="BJ216" s="1334"/>
      <c r="BK216" s="193"/>
      <c r="BL216" s="193"/>
      <c r="BM216" s="193"/>
      <c r="BN216" s="712"/>
      <c r="BO216" s="193"/>
      <c r="BP216" s="193"/>
      <c r="BQ216" s="1334"/>
      <c r="BR216" s="193"/>
      <c r="BS216" s="193"/>
      <c r="BT216" s="193"/>
      <c r="BU216" s="712"/>
      <c r="BV216" s="193"/>
      <c r="BW216" s="193"/>
      <c r="BX216" s="1334"/>
      <c r="BY216" s="193"/>
      <c r="BZ216" s="193"/>
      <c r="CA216" s="193"/>
      <c r="CB216" s="712"/>
      <c r="CC216" s="193"/>
      <c r="CD216" s="193"/>
      <c r="CE216" s="1334"/>
      <c r="CF216" s="193"/>
      <c r="CG216" s="193"/>
      <c r="CH216" s="193"/>
      <c r="CI216" s="712"/>
      <c r="CJ216" s="193"/>
      <c r="CK216" s="193"/>
      <c r="CL216" s="1334"/>
      <c r="CM216" s="193"/>
      <c r="CN216" s="193"/>
      <c r="CO216" s="193"/>
      <c r="CP216" s="712"/>
      <c r="CQ216" s="193"/>
      <c r="CR216" s="193"/>
      <c r="CS216" s="1334"/>
      <c r="CT216" s="193"/>
      <c r="CU216" s="193"/>
      <c r="CV216" s="193"/>
      <c r="CW216" s="712"/>
      <c r="CX216" s="193"/>
      <c r="CY216" s="193"/>
      <c r="CZ216" s="646"/>
      <c r="DA216" s="193"/>
      <c r="DB216" s="599"/>
      <c r="DC216" s="193"/>
      <c r="DD216" s="1899"/>
      <c r="DE216" s="11"/>
      <c r="DF216" s="1893"/>
      <c r="DG216" s="646"/>
      <c r="DH216" s="601"/>
      <c r="DI216" s="599"/>
      <c r="DJ216" s="11"/>
      <c r="DK216" s="1657"/>
      <c r="DL216" s="11"/>
      <c r="DM216" s="11"/>
      <c r="DN216" s="646"/>
      <c r="DO216" s="11"/>
      <c r="DP216" s="599"/>
      <c r="DQ216" s="11"/>
      <c r="DR216" s="1657"/>
      <c r="DS216" s="11"/>
      <c r="DT216" s="11"/>
      <c r="DU216" s="646"/>
      <c r="DV216" s="11"/>
      <c r="DW216" s="599"/>
      <c r="DX216" s="11"/>
      <c r="DY216" s="1657"/>
      <c r="DZ216" s="11"/>
      <c r="EA216" s="11"/>
      <c r="EB216" s="646"/>
      <c r="EC216" s="11"/>
      <c r="ED216" s="599"/>
      <c r="EE216" s="11"/>
      <c r="EF216" s="1657"/>
      <c r="EG216" s="11"/>
      <c r="EH216" s="11"/>
      <c r="EI216" s="646"/>
      <c r="EJ216" s="11"/>
      <c r="EK216" s="599"/>
      <c r="EL216" s="11"/>
      <c r="EM216" s="1657"/>
      <c r="EN216" s="11"/>
      <c r="EO216" s="11"/>
      <c r="EP216" s="646"/>
      <c r="EQ216" s="303"/>
      <c r="ER216" s="46"/>
    </row>
    <row r="217" spans="1:148" ht="10.199999999999999" hidden="1" customHeight="1" outlineLevel="1">
      <c r="A217" s="43" t="str">
        <f t="shared" si="1762"/>
        <v>Liabilities to financial institutions</v>
      </c>
      <c r="B217" s="108"/>
      <c r="C217" s="108"/>
      <c r="D217" s="193">
        <v>0.08</v>
      </c>
      <c r="E217" s="193">
        <v>0.08</v>
      </c>
      <c r="F217" s="193">
        <f t="shared" ref="F217:J222" si="1764">+E217</f>
        <v>0.08</v>
      </c>
      <c r="G217" s="193">
        <f t="shared" si="1764"/>
        <v>0.08</v>
      </c>
      <c r="H217" s="193">
        <f t="shared" si="1764"/>
        <v>0.08</v>
      </c>
      <c r="I217" s="193">
        <f t="shared" si="1764"/>
        <v>0.08</v>
      </c>
      <c r="J217" s="193">
        <f t="shared" si="1764"/>
        <v>0.08</v>
      </c>
      <c r="K217" s="193">
        <f t="shared" si="1763"/>
        <v>0.08</v>
      </c>
      <c r="L217" s="193">
        <f t="shared" si="1763"/>
        <v>0.08</v>
      </c>
      <c r="M217" s="193"/>
      <c r="N217" s="193"/>
      <c r="O217" s="193"/>
      <c r="P217" s="193"/>
      <c r="Q217" s="712"/>
      <c r="R217" s="193"/>
      <c r="S217" s="193"/>
      <c r="T217" s="1334"/>
      <c r="U217" s="193"/>
      <c r="V217" s="193"/>
      <c r="W217" s="193"/>
      <c r="X217" s="712"/>
      <c r="Y217" s="193"/>
      <c r="Z217" s="193"/>
      <c r="AA217" s="1334"/>
      <c r="AB217" s="193"/>
      <c r="AC217" s="193"/>
      <c r="AD217" s="193"/>
      <c r="AE217" s="712"/>
      <c r="AF217" s="193"/>
      <c r="AG217" s="193"/>
      <c r="AH217" s="1334"/>
      <c r="AI217" s="193"/>
      <c r="AJ217" s="193"/>
      <c r="AK217" s="193"/>
      <c r="AL217" s="712"/>
      <c r="AM217" s="193"/>
      <c r="AN217" s="193"/>
      <c r="AO217" s="1334"/>
      <c r="AP217" s="193"/>
      <c r="AQ217" s="193"/>
      <c r="AR217" s="193"/>
      <c r="AS217" s="712"/>
      <c r="AT217" s="193"/>
      <c r="AU217" s="193"/>
      <c r="AV217" s="1334"/>
      <c r="AW217" s="193"/>
      <c r="AX217" s="193"/>
      <c r="AY217" s="193"/>
      <c r="AZ217" s="712"/>
      <c r="BA217" s="193"/>
      <c r="BB217" s="193"/>
      <c r="BC217" s="1334"/>
      <c r="BD217" s="193"/>
      <c r="BE217" s="193"/>
      <c r="BF217" s="193"/>
      <c r="BG217" s="712"/>
      <c r="BH217" s="193"/>
      <c r="BI217" s="193"/>
      <c r="BJ217" s="1334"/>
      <c r="BK217" s="193"/>
      <c r="BL217" s="193"/>
      <c r="BM217" s="193"/>
      <c r="BN217" s="712"/>
      <c r="BO217" s="193"/>
      <c r="BP217" s="193"/>
      <c r="BQ217" s="1334"/>
      <c r="BR217" s="193"/>
      <c r="BS217" s="193"/>
      <c r="BT217" s="193"/>
      <c r="BU217" s="712"/>
      <c r="BV217" s="193"/>
      <c r="BW217" s="193"/>
      <c r="BX217" s="1334"/>
      <c r="BY217" s="193"/>
      <c r="BZ217" s="193"/>
      <c r="CA217" s="193"/>
      <c r="CB217" s="712"/>
      <c r="CC217" s="193"/>
      <c r="CD217" s="193"/>
      <c r="CE217" s="1334"/>
      <c r="CF217" s="193"/>
      <c r="CG217" s="193"/>
      <c r="CH217" s="193"/>
      <c r="CI217" s="712"/>
      <c r="CJ217" s="193"/>
      <c r="CK217" s="193"/>
      <c r="CL217" s="1334"/>
      <c r="CM217" s="193"/>
      <c r="CN217" s="193"/>
      <c r="CO217" s="193"/>
      <c r="CP217" s="712"/>
      <c r="CQ217" s="193"/>
      <c r="CR217" s="193"/>
      <c r="CS217" s="1334"/>
      <c r="CT217" s="193"/>
      <c r="CU217" s="193"/>
      <c r="CV217" s="193"/>
      <c r="CW217" s="712"/>
      <c r="CX217" s="193"/>
      <c r="CY217" s="193"/>
      <c r="CZ217" s="646"/>
      <c r="DA217" s="193"/>
      <c r="DB217" s="599"/>
      <c r="DC217" s="193"/>
      <c r="DD217" s="1899"/>
      <c r="DE217" s="11"/>
      <c r="DF217" s="1893"/>
      <c r="DG217" s="646"/>
      <c r="DH217" s="601"/>
      <c r="DI217" s="599"/>
      <c r="DJ217" s="11"/>
      <c r="DK217" s="1657"/>
      <c r="DL217" s="11"/>
      <c r="DM217" s="11"/>
      <c r="DN217" s="646"/>
      <c r="DO217" s="11"/>
      <c r="DP217" s="599"/>
      <c r="DQ217" s="11"/>
      <c r="DR217" s="1657"/>
      <c r="DS217" s="11"/>
      <c r="DT217" s="11"/>
      <c r="DU217" s="646"/>
      <c r="DV217" s="11"/>
      <c r="DW217" s="599"/>
      <c r="DX217" s="11"/>
      <c r="DY217" s="1657"/>
      <c r="DZ217" s="11"/>
      <c r="EA217" s="11"/>
      <c r="EB217" s="646"/>
      <c r="EC217" s="11"/>
      <c r="ED217" s="599"/>
      <c r="EE217" s="11"/>
      <c r="EF217" s="1657"/>
      <c r="EG217" s="11"/>
      <c r="EH217" s="11"/>
      <c r="EI217" s="646"/>
      <c r="EJ217" s="11"/>
      <c r="EK217" s="599"/>
      <c r="EL217" s="11"/>
      <c r="EM217" s="1657"/>
      <c r="EN217" s="11"/>
      <c r="EO217" s="11"/>
      <c r="EP217" s="646"/>
      <c r="EQ217" s="303"/>
      <c r="ER217" s="46"/>
    </row>
    <row r="218" spans="1:148" ht="10.199999999999999" hidden="1" customHeight="1" outlineLevel="1">
      <c r="A218" s="43" t="str">
        <f t="shared" si="1762"/>
        <v>Liabilities to affliated companies</v>
      </c>
      <c r="B218" s="108"/>
      <c r="C218" s="108"/>
      <c r="D218" s="193">
        <v>0.08</v>
      </c>
      <c r="E218" s="193">
        <f>+D218</f>
        <v>0.08</v>
      </c>
      <c r="F218" s="193">
        <f t="shared" si="1764"/>
        <v>0.08</v>
      </c>
      <c r="G218" s="193">
        <f t="shared" si="1764"/>
        <v>0.08</v>
      </c>
      <c r="H218" s="193">
        <f t="shared" si="1764"/>
        <v>0.08</v>
      </c>
      <c r="I218" s="193">
        <f t="shared" si="1764"/>
        <v>0.08</v>
      </c>
      <c r="J218" s="193">
        <f t="shared" si="1764"/>
        <v>0.08</v>
      </c>
      <c r="K218" s="193">
        <f t="shared" si="1763"/>
        <v>0.08</v>
      </c>
      <c r="L218" s="193">
        <f t="shared" si="1763"/>
        <v>0.08</v>
      </c>
      <c r="M218" s="193"/>
      <c r="N218" s="193"/>
      <c r="O218" s="193"/>
      <c r="P218" s="193"/>
      <c r="Q218" s="712"/>
      <c r="R218" s="193"/>
      <c r="S218" s="193"/>
      <c r="T218" s="1334"/>
      <c r="U218" s="193"/>
      <c r="V218" s="193"/>
      <c r="W218" s="193"/>
      <c r="X218" s="712"/>
      <c r="Y218" s="193"/>
      <c r="Z218" s="193"/>
      <c r="AA218" s="1334"/>
      <c r="AB218" s="193"/>
      <c r="AC218" s="193"/>
      <c r="AD218" s="193"/>
      <c r="AE218" s="712"/>
      <c r="AF218" s="193"/>
      <c r="AG218" s="193"/>
      <c r="AH218" s="1334"/>
      <c r="AI218" s="193"/>
      <c r="AJ218" s="193"/>
      <c r="AK218" s="193"/>
      <c r="AL218" s="712"/>
      <c r="AM218" s="193"/>
      <c r="AN218" s="193"/>
      <c r="AO218" s="1334"/>
      <c r="AP218" s="193"/>
      <c r="AQ218" s="193"/>
      <c r="AR218" s="193"/>
      <c r="AS218" s="712"/>
      <c r="AT218" s="193"/>
      <c r="AU218" s="193"/>
      <c r="AV218" s="1334"/>
      <c r="AW218" s="193"/>
      <c r="AX218" s="193"/>
      <c r="AY218" s="193"/>
      <c r="AZ218" s="712"/>
      <c r="BA218" s="193"/>
      <c r="BB218" s="193"/>
      <c r="BC218" s="1334"/>
      <c r="BD218" s="193"/>
      <c r="BE218" s="193"/>
      <c r="BF218" s="193"/>
      <c r="BG218" s="712"/>
      <c r="BH218" s="193"/>
      <c r="BI218" s="193"/>
      <c r="BJ218" s="1334"/>
      <c r="BK218" s="193"/>
      <c r="BL218" s="193"/>
      <c r="BM218" s="193"/>
      <c r="BN218" s="712"/>
      <c r="BO218" s="193"/>
      <c r="BP218" s="193"/>
      <c r="BQ218" s="1334"/>
      <c r="BR218" s="193"/>
      <c r="BS218" s="193"/>
      <c r="BT218" s="193"/>
      <c r="BU218" s="712"/>
      <c r="BV218" s="193"/>
      <c r="BW218" s="193"/>
      <c r="BX218" s="1334"/>
      <c r="BY218" s="193"/>
      <c r="BZ218" s="193"/>
      <c r="CA218" s="193"/>
      <c r="CB218" s="712"/>
      <c r="CC218" s="193"/>
      <c r="CD218" s="193"/>
      <c r="CE218" s="1334"/>
      <c r="CF218" s="193"/>
      <c r="CG218" s="193"/>
      <c r="CH218" s="193"/>
      <c r="CI218" s="712"/>
      <c r="CJ218" s="193"/>
      <c r="CK218" s="193"/>
      <c r="CL218" s="1334"/>
      <c r="CM218" s="193"/>
      <c r="CN218" s="193"/>
      <c r="CO218" s="193"/>
      <c r="CP218" s="712"/>
      <c r="CQ218" s="193"/>
      <c r="CR218" s="193"/>
      <c r="CS218" s="1334"/>
      <c r="CT218" s="193"/>
      <c r="CU218" s="193"/>
      <c r="CV218" s="193"/>
      <c r="CW218" s="712"/>
      <c r="CX218" s="193"/>
      <c r="CY218" s="193"/>
      <c r="CZ218" s="646"/>
      <c r="DA218" s="193"/>
      <c r="DB218" s="599"/>
      <c r="DC218" s="193"/>
      <c r="DD218" s="1899"/>
      <c r="DE218" s="11"/>
      <c r="DF218" s="1893"/>
      <c r="DG218" s="646"/>
      <c r="DH218" s="601"/>
      <c r="DI218" s="599"/>
      <c r="DJ218" s="11"/>
      <c r="DK218" s="1657"/>
      <c r="DL218" s="11"/>
      <c r="DM218" s="11"/>
      <c r="DN218" s="646"/>
      <c r="DO218" s="11"/>
      <c r="DP218" s="599"/>
      <c r="DQ218" s="11"/>
      <c r="DR218" s="1657"/>
      <c r="DS218" s="11"/>
      <c r="DT218" s="11"/>
      <c r="DU218" s="646"/>
      <c r="DV218" s="11"/>
      <c r="DW218" s="599"/>
      <c r="DX218" s="11"/>
      <c r="DY218" s="1657"/>
      <c r="DZ218" s="11"/>
      <c r="EA218" s="11"/>
      <c r="EB218" s="646"/>
      <c r="EC218" s="11"/>
      <c r="ED218" s="599"/>
      <c r="EE218" s="11"/>
      <c r="EF218" s="1657"/>
      <c r="EG218" s="11"/>
      <c r="EH218" s="11"/>
      <c r="EI218" s="646"/>
      <c r="EJ218" s="11"/>
      <c r="EK218" s="599"/>
      <c r="EL218" s="11"/>
      <c r="EM218" s="1657"/>
      <c r="EN218" s="11"/>
      <c r="EO218" s="11"/>
      <c r="EP218" s="646"/>
      <c r="EQ218" s="303"/>
      <c r="ER218" s="46"/>
    </row>
    <row r="219" spans="1:148" ht="10.199999999999999" hidden="1" customHeight="1" outlineLevel="1">
      <c r="A219" s="43" t="str">
        <f t="shared" si="1762"/>
        <v>Loans</v>
      </c>
      <c r="B219" s="108"/>
      <c r="C219" s="108"/>
      <c r="D219" s="193">
        <v>0.08</v>
      </c>
      <c r="E219" s="193">
        <f>+D219</f>
        <v>0.08</v>
      </c>
      <c r="F219" s="193">
        <f t="shared" si="1764"/>
        <v>0.08</v>
      </c>
      <c r="G219" s="193">
        <f t="shared" si="1764"/>
        <v>0.08</v>
      </c>
      <c r="H219" s="193">
        <f t="shared" si="1764"/>
        <v>0.08</v>
      </c>
      <c r="I219" s="193">
        <f t="shared" si="1764"/>
        <v>0.08</v>
      </c>
      <c r="J219" s="193">
        <f t="shared" si="1764"/>
        <v>0.08</v>
      </c>
      <c r="K219" s="193">
        <f t="shared" si="1763"/>
        <v>0.08</v>
      </c>
      <c r="L219" s="193">
        <f t="shared" si="1763"/>
        <v>0.08</v>
      </c>
      <c r="M219" s="193"/>
      <c r="N219" s="193"/>
      <c r="O219" s="193"/>
      <c r="P219" s="193"/>
      <c r="Q219" s="712"/>
      <c r="R219" s="193"/>
      <c r="S219" s="193"/>
      <c r="T219" s="1334"/>
      <c r="U219" s="193"/>
      <c r="V219" s="193"/>
      <c r="W219" s="193"/>
      <c r="X219" s="712"/>
      <c r="Y219" s="193"/>
      <c r="Z219" s="193"/>
      <c r="AA219" s="1334"/>
      <c r="AB219" s="193"/>
      <c r="AC219" s="193"/>
      <c r="AD219" s="193"/>
      <c r="AE219" s="712"/>
      <c r="AF219" s="193"/>
      <c r="AG219" s="193"/>
      <c r="AH219" s="1334"/>
      <c r="AI219" s="193"/>
      <c r="AJ219" s="193"/>
      <c r="AK219" s="193"/>
      <c r="AL219" s="712"/>
      <c r="AM219" s="193"/>
      <c r="AN219" s="193"/>
      <c r="AO219" s="1334"/>
      <c r="AP219" s="193"/>
      <c r="AQ219" s="193"/>
      <c r="AR219" s="193"/>
      <c r="AS219" s="712"/>
      <c r="AT219" s="193"/>
      <c r="AU219" s="193"/>
      <c r="AV219" s="1334"/>
      <c r="AW219" s="193"/>
      <c r="AX219" s="193"/>
      <c r="AY219" s="193"/>
      <c r="AZ219" s="712"/>
      <c r="BA219" s="193"/>
      <c r="BB219" s="193"/>
      <c r="BC219" s="1334"/>
      <c r="BD219" s="193"/>
      <c r="BE219" s="193"/>
      <c r="BF219" s="193"/>
      <c r="BG219" s="712"/>
      <c r="BH219" s="193"/>
      <c r="BI219" s="193"/>
      <c r="BJ219" s="1334"/>
      <c r="BK219" s="193"/>
      <c r="BL219" s="193"/>
      <c r="BM219" s="193"/>
      <c r="BN219" s="712"/>
      <c r="BO219" s="193"/>
      <c r="BP219" s="193"/>
      <c r="BQ219" s="1334"/>
      <c r="BR219" s="193"/>
      <c r="BS219" s="193"/>
      <c r="BT219" s="193"/>
      <c r="BU219" s="712"/>
      <c r="BV219" s="193"/>
      <c r="BW219" s="193"/>
      <c r="BX219" s="1334"/>
      <c r="BY219" s="193"/>
      <c r="BZ219" s="193"/>
      <c r="CA219" s="193"/>
      <c r="CB219" s="712"/>
      <c r="CC219" s="193"/>
      <c r="CD219" s="193"/>
      <c r="CE219" s="1334"/>
      <c r="CF219" s="193"/>
      <c r="CG219" s="193"/>
      <c r="CH219" s="193"/>
      <c r="CI219" s="712"/>
      <c r="CJ219" s="193"/>
      <c r="CK219" s="193"/>
      <c r="CL219" s="1334"/>
      <c r="CM219" s="193"/>
      <c r="CN219" s="193"/>
      <c r="CO219" s="193"/>
      <c r="CP219" s="712"/>
      <c r="CQ219" s="193"/>
      <c r="CR219" s="193"/>
      <c r="CS219" s="1334"/>
      <c r="CT219" s="193"/>
      <c r="CU219" s="193"/>
      <c r="CV219" s="193"/>
      <c r="CW219" s="712"/>
      <c r="CX219" s="193"/>
      <c r="CY219" s="193"/>
      <c r="CZ219" s="646"/>
      <c r="DA219" s="193"/>
      <c r="DB219" s="599"/>
      <c r="DC219" s="193"/>
      <c r="DD219" s="1899"/>
      <c r="DE219" s="11"/>
      <c r="DF219" s="1893"/>
      <c r="DG219" s="646"/>
      <c r="DH219" s="601"/>
      <c r="DI219" s="599"/>
      <c r="DJ219" s="11"/>
      <c r="DK219" s="1657"/>
      <c r="DL219" s="11"/>
      <c r="DM219" s="11"/>
      <c r="DN219" s="646"/>
      <c r="DO219" s="11"/>
      <c r="DP219" s="599"/>
      <c r="DQ219" s="11"/>
      <c r="DR219" s="1657"/>
      <c r="DS219" s="11"/>
      <c r="DT219" s="11"/>
      <c r="DU219" s="646"/>
      <c r="DV219" s="11"/>
      <c r="DW219" s="599"/>
      <c r="DX219" s="11"/>
      <c r="DY219" s="1657"/>
      <c r="DZ219" s="11"/>
      <c r="EA219" s="11"/>
      <c r="EB219" s="646"/>
      <c r="EC219" s="11"/>
      <c r="ED219" s="599"/>
      <c r="EE219" s="11"/>
      <c r="EF219" s="1657"/>
      <c r="EG219" s="11"/>
      <c r="EH219" s="11"/>
      <c r="EI219" s="646"/>
      <c r="EJ219" s="11"/>
      <c r="EK219" s="599"/>
      <c r="EL219" s="11"/>
      <c r="EM219" s="1657"/>
      <c r="EN219" s="11"/>
      <c r="EO219" s="11"/>
      <c r="EP219" s="646"/>
      <c r="EQ219" s="303"/>
      <c r="ER219" s="46"/>
    </row>
    <row r="220" spans="1:148" ht="10.199999999999999" hidden="1" customHeight="1" outlineLevel="1">
      <c r="A220" s="43" t="str">
        <f t="shared" si="1762"/>
        <v>Liabilities from finance leases</v>
      </c>
      <c r="B220" s="108"/>
      <c r="C220" s="108"/>
      <c r="D220" s="193">
        <v>0.09</v>
      </c>
      <c r="E220" s="193">
        <f>+D220</f>
        <v>0.09</v>
      </c>
      <c r="F220" s="193">
        <f t="shared" si="1764"/>
        <v>0.09</v>
      </c>
      <c r="G220" s="193">
        <f t="shared" si="1764"/>
        <v>0.09</v>
      </c>
      <c r="H220" s="193">
        <f t="shared" si="1764"/>
        <v>0.09</v>
      </c>
      <c r="I220" s="193">
        <f t="shared" si="1764"/>
        <v>0.09</v>
      </c>
      <c r="J220" s="193">
        <f t="shared" si="1764"/>
        <v>0.09</v>
      </c>
      <c r="K220" s="193">
        <f t="shared" si="1763"/>
        <v>0.09</v>
      </c>
      <c r="L220" s="193">
        <f t="shared" si="1763"/>
        <v>0.09</v>
      </c>
      <c r="M220" s="193"/>
      <c r="N220" s="193"/>
      <c r="O220" s="193"/>
      <c r="P220" s="193"/>
      <c r="Q220" s="712"/>
      <c r="R220" s="193"/>
      <c r="S220" s="193"/>
      <c r="T220" s="1334"/>
      <c r="U220" s="193"/>
      <c r="V220" s="193"/>
      <c r="W220" s="193"/>
      <c r="X220" s="712"/>
      <c r="Y220" s="193"/>
      <c r="Z220" s="193"/>
      <c r="AA220" s="1334"/>
      <c r="AB220" s="193"/>
      <c r="AC220" s="193"/>
      <c r="AD220" s="193"/>
      <c r="AE220" s="712"/>
      <c r="AF220" s="193"/>
      <c r="AG220" s="193"/>
      <c r="AH220" s="1334"/>
      <c r="AI220" s="193"/>
      <c r="AJ220" s="193"/>
      <c r="AK220" s="193"/>
      <c r="AL220" s="712"/>
      <c r="AM220" s="193"/>
      <c r="AN220" s="193"/>
      <c r="AO220" s="1334"/>
      <c r="AP220" s="193"/>
      <c r="AQ220" s="193"/>
      <c r="AR220" s="193"/>
      <c r="AS220" s="712"/>
      <c r="AT220" s="193"/>
      <c r="AU220" s="193"/>
      <c r="AV220" s="1334"/>
      <c r="AW220" s="193"/>
      <c r="AX220" s="193"/>
      <c r="AY220" s="193"/>
      <c r="AZ220" s="712"/>
      <c r="BA220" s="193"/>
      <c r="BB220" s="193"/>
      <c r="BC220" s="1334"/>
      <c r="BD220" s="193"/>
      <c r="BE220" s="193"/>
      <c r="BF220" s="193"/>
      <c r="BG220" s="712"/>
      <c r="BH220" s="193"/>
      <c r="BI220" s="193"/>
      <c r="BJ220" s="1334"/>
      <c r="BK220" s="193"/>
      <c r="BL220" s="193"/>
      <c r="BM220" s="193"/>
      <c r="BN220" s="712"/>
      <c r="BO220" s="193"/>
      <c r="BP220" s="193"/>
      <c r="BQ220" s="1334"/>
      <c r="BR220" s="193"/>
      <c r="BS220" s="193"/>
      <c r="BT220" s="193"/>
      <c r="BU220" s="712"/>
      <c r="BV220" s="193"/>
      <c r="BW220" s="193"/>
      <c r="BX220" s="1334"/>
      <c r="BY220" s="193"/>
      <c r="BZ220" s="193"/>
      <c r="CA220" s="193"/>
      <c r="CB220" s="712"/>
      <c r="CC220" s="193"/>
      <c r="CD220" s="193"/>
      <c r="CE220" s="1334"/>
      <c r="CF220" s="193"/>
      <c r="CG220" s="193"/>
      <c r="CH220" s="193"/>
      <c r="CI220" s="712"/>
      <c r="CJ220" s="193"/>
      <c r="CK220" s="193"/>
      <c r="CL220" s="1334"/>
      <c r="CM220" s="193"/>
      <c r="CN220" s="193"/>
      <c r="CO220" s="193"/>
      <c r="CP220" s="712"/>
      <c r="CQ220" s="193"/>
      <c r="CR220" s="193"/>
      <c r="CS220" s="1334"/>
      <c r="CT220" s="193"/>
      <c r="CU220" s="193"/>
      <c r="CV220" s="193"/>
      <c r="CW220" s="712"/>
      <c r="CX220" s="193"/>
      <c r="CY220" s="193"/>
      <c r="CZ220" s="646"/>
      <c r="DA220" s="193"/>
      <c r="DB220" s="599"/>
      <c r="DC220" s="193"/>
      <c r="DD220" s="1899"/>
      <c r="DE220" s="11"/>
      <c r="DF220" s="1893"/>
      <c r="DG220" s="646"/>
      <c r="DH220" s="601"/>
      <c r="DI220" s="599"/>
      <c r="DJ220" s="11"/>
      <c r="DK220" s="1657"/>
      <c r="DL220" s="11"/>
      <c r="DM220" s="11"/>
      <c r="DN220" s="646"/>
      <c r="DO220" s="11"/>
      <c r="DP220" s="599"/>
      <c r="DQ220" s="11"/>
      <c r="DR220" s="1657"/>
      <c r="DS220" s="11"/>
      <c r="DT220" s="11"/>
      <c r="DU220" s="646"/>
      <c r="DV220" s="11"/>
      <c r="DW220" s="599"/>
      <c r="DX220" s="11"/>
      <c r="DY220" s="1657"/>
      <c r="DZ220" s="11"/>
      <c r="EA220" s="11"/>
      <c r="EB220" s="646"/>
      <c r="EC220" s="11"/>
      <c r="ED220" s="599"/>
      <c r="EE220" s="11"/>
      <c r="EF220" s="1657"/>
      <c r="EG220" s="11"/>
      <c r="EH220" s="11"/>
      <c r="EI220" s="646"/>
      <c r="EJ220" s="11"/>
      <c r="EK220" s="599"/>
      <c r="EL220" s="11"/>
      <c r="EM220" s="1657"/>
      <c r="EN220" s="11"/>
      <c r="EO220" s="11"/>
      <c r="EP220" s="646"/>
      <c r="EQ220" s="303"/>
      <c r="ER220" s="46"/>
    </row>
    <row r="221" spans="1:148" ht="10.199999999999999" hidden="1" customHeight="1" outlineLevel="1">
      <c r="A221" s="43" t="str">
        <f t="shared" si="1762"/>
        <v>Other</v>
      </c>
      <c r="B221" s="108"/>
      <c r="C221" s="108"/>
      <c r="D221" s="193">
        <v>0.05</v>
      </c>
      <c r="E221" s="193">
        <f>D221</f>
        <v>0.05</v>
      </c>
      <c r="F221" s="193">
        <f t="shared" si="1764"/>
        <v>0.05</v>
      </c>
      <c r="G221" s="193">
        <f t="shared" si="1764"/>
        <v>0.05</v>
      </c>
      <c r="H221" s="193">
        <f t="shared" si="1764"/>
        <v>0.05</v>
      </c>
      <c r="I221" s="193">
        <f t="shared" si="1764"/>
        <v>0.05</v>
      </c>
      <c r="J221" s="193">
        <f t="shared" si="1764"/>
        <v>0.05</v>
      </c>
      <c r="K221" s="193">
        <v>0.04</v>
      </c>
      <c r="L221" s="193">
        <v>0.04</v>
      </c>
      <c r="M221" s="193"/>
      <c r="N221" s="193"/>
      <c r="O221" s="193"/>
      <c r="P221" s="193"/>
      <c r="Q221" s="712"/>
      <c r="R221" s="193"/>
      <c r="S221" s="193"/>
      <c r="T221" s="1334"/>
      <c r="U221" s="193"/>
      <c r="V221" s="193"/>
      <c r="W221" s="193"/>
      <c r="X221" s="712"/>
      <c r="Y221" s="193"/>
      <c r="Z221" s="193"/>
      <c r="AA221" s="1334"/>
      <c r="AB221" s="193"/>
      <c r="AC221" s="193"/>
      <c r="AD221" s="193"/>
      <c r="AE221" s="712"/>
      <c r="AF221" s="193"/>
      <c r="AG221" s="193"/>
      <c r="AH221" s="1334"/>
      <c r="AI221" s="193"/>
      <c r="AJ221" s="193"/>
      <c r="AK221" s="193"/>
      <c r="AL221" s="712"/>
      <c r="AM221" s="193"/>
      <c r="AN221" s="193"/>
      <c r="AO221" s="1334"/>
      <c r="AP221" s="193"/>
      <c r="AQ221" s="193"/>
      <c r="AR221" s="193"/>
      <c r="AS221" s="712"/>
      <c r="AT221" s="193"/>
      <c r="AU221" s="193"/>
      <c r="AV221" s="1334"/>
      <c r="AW221" s="193"/>
      <c r="AX221" s="193"/>
      <c r="AY221" s="193"/>
      <c r="AZ221" s="712"/>
      <c r="BA221" s="193"/>
      <c r="BB221" s="193"/>
      <c r="BC221" s="1334"/>
      <c r="BD221" s="193"/>
      <c r="BE221" s="193"/>
      <c r="BF221" s="193"/>
      <c r="BG221" s="712"/>
      <c r="BH221" s="193"/>
      <c r="BI221" s="193"/>
      <c r="BJ221" s="1334"/>
      <c r="BK221" s="193"/>
      <c r="BL221" s="193"/>
      <c r="BM221" s="193"/>
      <c r="BN221" s="712"/>
      <c r="BO221" s="193"/>
      <c r="BP221" s="193"/>
      <c r="BQ221" s="1334"/>
      <c r="BR221" s="193"/>
      <c r="BS221" s="193"/>
      <c r="BT221" s="193"/>
      <c r="BU221" s="712"/>
      <c r="BV221" s="193"/>
      <c r="BW221" s="193"/>
      <c r="BX221" s="1334"/>
      <c r="BY221" s="193"/>
      <c r="BZ221" s="193"/>
      <c r="CA221" s="193"/>
      <c r="CB221" s="712"/>
      <c r="CC221" s="193"/>
      <c r="CD221" s="193"/>
      <c r="CE221" s="1334"/>
      <c r="CF221" s="193"/>
      <c r="CG221" s="193"/>
      <c r="CH221" s="193"/>
      <c r="CI221" s="712"/>
      <c r="CJ221" s="193"/>
      <c r="CK221" s="193"/>
      <c r="CL221" s="1334"/>
      <c r="CM221" s="193"/>
      <c r="CN221" s="193"/>
      <c r="CO221" s="193"/>
      <c r="CP221" s="712"/>
      <c r="CQ221" s="193"/>
      <c r="CR221" s="193"/>
      <c r="CS221" s="1334"/>
      <c r="CT221" s="193"/>
      <c r="CU221" s="193"/>
      <c r="CV221" s="193"/>
      <c r="CW221" s="712"/>
      <c r="CX221" s="193"/>
      <c r="CY221" s="193"/>
      <c r="CZ221" s="1305"/>
      <c r="DA221" s="193"/>
      <c r="DB221" s="599"/>
      <c r="DC221" s="193"/>
      <c r="DD221" s="1899"/>
      <c r="DE221" s="601"/>
      <c r="DF221" s="1893"/>
      <c r="DG221" s="1305"/>
      <c r="DH221" s="601"/>
      <c r="DI221" s="599"/>
      <c r="DJ221" s="601"/>
      <c r="DK221" s="965"/>
      <c r="DL221" s="601"/>
      <c r="DM221" s="601"/>
      <c r="DN221" s="1305"/>
      <c r="DO221" s="601"/>
      <c r="DP221" s="599"/>
      <c r="DQ221" s="601"/>
      <c r="DR221" s="965"/>
      <c r="DS221" s="601"/>
      <c r="DT221" s="601"/>
      <c r="DU221" s="1305"/>
      <c r="DV221" s="601"/>
      <c r="DW221" s="599"/>
      <c r="DX221" s="601"/>
      <c r="DY221" s="965"/>
      <c r="DZ221" s="601"/>
      <c r="EA221" s="601"/>
      <c r="EB221" s="1305"/>
      <c r="EC221" s="601"/>
      <c r="ED221" s="599"/>
      <c r="EE221" s="601"/>
      <c r="EF221" s="965"/>
      <c r="EG221" s="601"/>
      <c r="EH221" s="601"/>
      <c r="EI221" s="1305"/>
      <c r="EJ221" s="601"/>
      <c r="EK221" s="599"/>
      <c r="EL221" s="601"/>
      <c r="EM221" s="965"/>
      <c r="EN221" s="601"/>
      <c r="EO221" s="601"/>
      <c r="EP221" s="1305"/>
      <c r="EQ221" s="303"/>
      <c r="ER221" s="46"/>
    </row>
    <row r="222" spans="1:148" ht="10.199999999999999" hidden="1" customHeight="1" outlineLevel="1">
      <c r="A222" s="43" t="str">
        <f t="shared" si="1762"/>
        <v>Incremental Paradigm Debt after 2003</v>
      </c>
      <c r="B222" s="108"/>
      <c r="C222" s="108"/>
      <c r="D222" s="193">
        <v>0.06</v>
      </c>
      <c r="E222" s="193">
        <f>+D222</f>
        <v>0.06</v>
      </c>
      <c r="F222" s="193">
        <f t="shared" si="1764"/>
        <v>0.06</v>
      </c>
      <c r="G222" s="193">
        <f t="shared" si="1764"/>
        <v>0.06</v>
      </c>
      <c r="H222" s="193">
        <f t="shared" si="1764"/>
        <v>0.06</v>
      </c>
      <c r="I222" s="193">
        <f t="shared" si="1764"/>
        <v>0.06</v>
      </c>
      <c r="J222" s="193">
        <f t="shared" si="1764"/>
        <v>0.06</v>
      </c>
      <c r="K222" s="193">
        <f>+J222</f>
        <v>0.06</v>
      </c>
      <c r="L222" s="193">
        <f>+K222</f>
        <v>0.06</v>
      </c>
      <c r="M222" s="193"/>
      <c r="N222" s="193"/>
      <c r="O222" s="193"/>
      <c r="P222" s="193"/>
      <c r="Q222" s="712"/>
      <c r="R222" s="193"/>
      <c r="S222" s="193"/>
      <c r="T222" s="1334"/>
      <c r="U222" s="193"/>
      <c r="V222" s="193"/>
      <c r="W222" s="193"/>
      <c r="X222" s="712"/>
      <c r="Y222" s="193"/>
      <c r="Z222" s="193"/>
      <c r="AA222" s="1334"/>
      <c r="AB222" s="193"/>
      <c r="AC222" s="193"/>
      <c r="AD222" s="193"/>
      <c r="AE222" s="712"/>
      <c r="AF222" s="193"/>
      <c r="AG222" s="193"/>
      <c r="AH222" s="1334"/>
      <c r="AI222" s="193"/>
      <c r="AJ222" s="193"/>
      <c r="AK222" s="193"/>
      <c r="AL222" s="712"/>
      <c r="AM222" s="193"/>
      <c r="AN222" s="193"/>
      <c r="AO222" s="1334"/>
      <c r="AP222" s="193"/>
      <c r="AQ222" s="193"/>
      <c r="AR222" s="193"/>
      <c r="AS222" s="712"/>
      <c r="AT222" s="193"/>
      <c r="AU222" s="193"/>
      <c r="AV222" s="1334"/>
      <c r="AW222" s="193"/>
      <c r="AX222" s="193"/>
      <c r="AY222" s="193"/>
      <c r="AZ222" s="712"/>
      <c r="BA222" s="193"/>
      <c r="BB222" s="193"/>
      <c r="BC222" s="1334"/>
      <c r="BD222" s="193"/>
      <c r="BE222" s="193"/>
      <c r="BF222" s="193"/>
      <c r="BG222" s="712"/>
      <c r="BH222" s="193"/>
      <c r="BI222" s="193"/>
      <c r="BJ222" s="1334"/>
      <c r="BK222" s="193"/>
      <c r="BL222" s="193"/>
      <c r="BM222" s="193"/>
      <c r="BN222" s="712"/>
      <c r="BO222" s="193"/>
      <c r="BP222" s="193"/>
      <c r="BQ222" s="1334"/>
      <c r="BR222" s="193"/>
      <c r="BS222" s="193"/>
      <c r="BT222" s="193"/>
      <c r="BU222" s="712"/>
      <c r="BV222" s="193"/>
      <c r="BW222" s="193"/>
      <c r="BX222" s="1334"/>
      <c r="BY222" s="193"/>
      <c r="BZ222" s="193"/>
      <c r="CA222" s="193"/>
      <c r="CB222" s="712"/>
      <c r="CC222" s="193"/>
      <c r="CD222" s="193"/>
      <c r="CE222" s="1334"/>
      <c r="CF222" s="193"/>
      <c r="CG222" s="193"/>
      <c r="CH222" s="193"/>
      <c r="CI222" s="712"/>
      <c r="CJ222" s="193"/>
      <c r="CK222" s="193"/>
      <c r="CL222" s="1334"/>
      <c r="CM222" s="193"/>
      <c r="CN222" s="193"/>
      <c r="CO222" s="193"/>
      <c r="CP222" s="712"/>
      <c r="CQ222" s="193"/>
      <c r="CR222" s="193"/>
      <c r="CS222" s="1334"/>
      <c r="CT222" s="193"/>
      <c r="CU222" s="193"/>
      <c r="CV222" s="193"/>
      <c r="CW222" s="712"/>
      <c r="CX222" s="193"/>
      <c r="CY222" s="193"/>
      <c r="CZ222" s="646"/>
      <c r="DA222" s="193"/>
      <c r="DB222" s="599"/>
      <c r="DC222" s="193"/>
      <c r="DD222" s="1899"/>
      <c r="DE222" s="11"/>
      <c r="DF222" s="1893"/>
      <c r="DG222" s="646"/>
      <c r="DH222" s="601"/>
      <c r="DI222" s="599"/>
      <c r="DJ222" s="11"/>
      <c r="DK222" s="1657"/>
      <c r="DL222" s="11"/>
      <c r="DM222" s="11"/>
      <c r="DN222" s="646"/>
      <c r="DO222" s="11"/>
      <c r="DP222" s="599"/>
      <c r="DQ222" s="11"/>
      <c r="DR222" s="1657"/>
      <c r="DS222" s="11"/>
      <c r="DT222" s="11"/>
      <c r="DU222" s="646"/>
      <c r="DV222" s="11"/>
      <c r="DW222" s="599"/>
      <c r="DX222" s="11"/>
      <c r="DY222" s="1657"/>
      <c r="DZ222" s="11"/>
      <c r="EA222" s="11"/>
      <c r="EB222" s="646"/>
      <c r="EC222" s="11"/>
      <c r="ED222" s="599"/>
      <c r="EE222" s="11"/>
      <c r="EF222" s="1657"/>
      <c r="EG222" s="11"/>
      <c r="EH222" s="11"/>
      <c r="EI222" s="646"/>
      <c r="EJ222" s="11"/>
      <c r="EK222" s="599"/>
      <c r="EL222" s="11"/>
      <c r="EM222" s="1657"/>
      <c r="EN222" s="11"/>
      <c r="EO222" s="11"/>
      <c r="EP222" s="646"/>
      <c r="EQ222" s="303"/>
      <c r="ER222" s="46"/>
    </row>
    <row r="223" spans="1:148" ht="10.199999999999999" hidden="1" customHeight="1" outlineLevel="1">
      <c r="A223" s="43" t="str">
        <f>+A212</f>
        <v>Government Launch Aid</v>
      </c>
      <c r="B223" s="108"/>
      <c r="C223" s="108"/>
      <c r="D223" s="193">
        <v>0.05</v>
      </c>
      <c r="E223" s="193">
        <f t="shared" ref="E223:L223" si="1765">D223</f>
        <v>0.05</v>
      </c>
      <c r="F223" s="193">
        <f t="shared" si="1765"/>
        <v>0.05</v>
      </c>
      <c r="G223" s="193">
        <f t="shared" si="1765"/>
        <v>0.05</v>
      </c>
      <c r="H223" s="193">
        <f t="shared" si="1765"/>
        <v>0.05</v>
      </c>
      <c r="I223" s="193">
        <f t="shared" si="1765"/>
        <v>0.05</v>
      </c>
      <c r="J223" s="193">
        <f t="shared" si="1765"/>
        <v>0.05</v>
      </c>
      <c r="K223" s="193">
        <f t="shared" si="1765"/>
        <v>0.05</v>
      </c>
      <c r="L223" s="193">
        <f t="shared" si="1765"/>
        <v>0.05</v>
      </c>
      <c r="M223" s="193"/>
      <c r="N223" s="193"/>
      <c r="O223" s="193"/>
      <c r="P223" s="193"/>
      <c r="Q223" s="712"/>
      <c r="R223" s="193"/>
      <c r="S223" s="193"/>
      <c r="T223" s="1334"/>
      <c r="U223" s="193"/>
      <c r="V223" s="193"/>
      <c r="W223" s="193"/>
      <c r="X223" s="712"/>
      <c r="Y223" s="193"/>
      <c r="Z223" s="193"/>
      <c r="AA223" s="1334"/>
      <c r="AB223" s="193"/>
      <c r="AC223" s="193"/>
      <c r="AD223" s="193"/>
      <c r="AE223" s="712"/>
      <c r="AF223" s="193"/>
      <c r="AG223" s="193"/>
      <c r="AH223" s="1334"/>
      <c r="AI223" s="193"/>
      <c r="AJ223" s="193"/>
      <c r="AK223" s="193"/>
      <c r="AL223" s="712"/>
      <c r="AM223" s="193"/>
      <c r="AN223" s="193"/>
      <c r="AO223" s="1334"/>
      <c r="AP223" s="193"/>
      <c r="AQ223" s="193"/>
      <c r="AR223" s="193"/>
      <c r="AS223" s="712"/>
      <c r="AT223" s="193"/>
      <c r="AU223" s="193"/>
      <c r="AV223" s="1334"/>
      <c r="AW223" s="193"/>
      <c r="AX223" s="193"/>
      <c r="AY223" s="193"/>
      <c r="AZ223" s="712"/>
      <c r="BA223" s="193"/>
      <c r="BB223" s="193"/>
      <c r="BC223" s="1334"/>
      <c r="BD223" s="193"/>
      <c r="BE223" s="193"/>
      <c r="BF223" s="193"/>
      <c r="BG223" s="712"/>
      <c r="BH223" s="193"/>
      <c r="BI223" s="193"/>
      <c r="BJ223" s="1334"/>
      <c r="BK223" s="193"/>
      <c r="BL223" s="193"/>
      <c r="BM223" s="193"/>
      <c r="BN223" s="712"/>
      <c r="BO223" s="193"/>
      <c r="BP223" s="193"/>
      <c r="BQ223" s="1334"/>
      <c r="BR223" s="193"/>
      <c r="BS223" s="193"/>
      <c r="BT223" s="193"/>
      <c r="BU223" s="712"/>
      <c r="BV223" s="193"/>
      <c r="BW223" s="193"/>
      <c r="BX223" s="1334"/>
      <c r="BY223" s="193"/>
      <c r="BZ223" s="193"/>
      <c r="CA223" s="193"/>
      <c r="CB223" s="712"/>
      <c r="CC223" s="193"/>
      <c r="CD223" s="193"/>
      <c r="CE223" s="1334"/>
      <c r="CF223" s="193"/>
      <c r="CG223" s="193"/>
      <c r="CH223" s="193"/>
      <c r="CI223" s="712"/>
      <c r="CJ223" s="193"/>
      <c r="CK223" s="193"/>
      <c r="CL223" s="1334"/>
      <c r="CM223" s="193"/>
      <c r="CN223" s="193"/>
      <c r="CO223" s="193"/>
      <c r="CP223" s="712"/>
      <c r="CQ223" s="193"/>
      <c r="CR223" s="193"/>
      <c r="CS223" s="1334"/>
      <c r="CT223" s="193"/>
      <c r="CU223" s="193"/>
      <c r="CV223" s="193"/>
      <c r="CW223" s="712"/>
      <c r="CX223" s="193"/>
      <c r="CY223" s="193"/>
      <c r="CZ223" s="646"/>
      <c r="DA223" s="193"/>
      <c r="DB223" s="599"/>
      <c r="DC223" s="193"/>
      <c r="DD223" s="1899"/>
      <c r="DE223" s="11"/>
      <c r="DF223" s="1893"/>
      <c r="DG223" s="646"/>
      <c r="DH223" s="601"/>
      <c r="DI223" s="599"/>
      <c r="DJ223" s="11"/>
      <c r="DK223" s="1657"/>
      <c r="DL223" s="11"/>
      <c r="DM223" s="11"/>
      <c r="DN223" s="646"/>
      <c r="DO223" s="11"/>
      <c r="DP223" s="599"/>
      <c r="DQ223" s="11"/>
      <c r="DR223" s="1657"/>
      <c r="DS223" s="11"/>
      <c r="DT223" s="11"/>
      <c r="DU223" s="646"/>
      <c r="DV223" s="11"/>
      <c r="DW223" s="599"/>
      <c r="DX223" s="11"/>
      <c r="DY223" s="1657"/>
      <c r="DZ223" s="11"/>
      <c r="EA223" s="11"/>
      <c r="EB223" s="646"/>
      <c r="EC223" s="11"/>
      <c r="ED223" s="599"/>
      <c r="EE223" s="11"/>
      <c r="EF223" s="1657"/>
      <c r="EG223" s="11"/>
      <c r="EH223" s="11"/>
      <c r="EI223" s="646"/>
      <c r="EJ223" s="11"/>
      <c r="EK223" s="599"/>
      <c r="EL223" s="11"/>
      <c r="EM223" s="1657"/>
      <c r="EN223" s="11"/>
      <c r="EO223" s="11"/>
      <c r="EP223" s="646"/>
      <c r="EQ223" s="303"/>
      <c r="ER223" s="46"/>
    </row>
    <row r="224" spans="1:148" ht="10.199999999999999" hidden="1" customHeight="1" outlineLevel="1">
      <c r="A224" s="43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700"/>
      <c r="R224" s="108"/>
      <c r="S224" s="108"/>
      <c r="T224" s="538"/>
      <c r="U224" s="108"/>
      <c r="V224" s="108"/>
      <c r="W224" s="108"/>
      <c r="X224" s="700"/>
      <c r="Y224" s="108"/>
      <c r="Z224" s="108"/>
      <c r="AA224" s="538"/>
      <c r="AB224" s="108"/>
      <c r="AC224" s="108"/>
      <c r="AD224" s="108"/>
      <c r="AE224" s="700"/>
      <c r="AF224" s="108"/>
      <c r="AG224" s="108"/>
      <c r="AH224" s="538"/>
      <c r="AI224" s="108"/>
      <c r="AJ224" s="108"/>
      <c r="AK224" s="108"/>
      <c r="AL224" s="700"/>
      <c r="AM224" s="108"/>
      <c r="AN224" s="108"/>
      <c r="AO224" s="538"/>
      <c r="AP224" s="108"/>
      <c r="AQ224" s="108"/>
      <c r="AR224" s="108"/>
      <c r="AS224" s="700"/>
      <c r="AT224" s="108"/>
      <c r="AU224" s="108"/>
      <c r="AV224" s="538"/>
      <c r="AW224" s="108"/>
      <c r="AX224" s="108"/>
      <c r="AY224" s="108"/>
      <c r="AZ224" s="700"/>
      <c r="BA224" s="108"/>
      <c r="BB224" s="108"/>
      <c r="BC224" s="538"/>
      <c r="BD224" s="108"/>
      <c r="BE224" s="108"/>
      <c r="BF224" s="108"/>
      <c r="BG224" s="700"/>
      <c r="BH224" s="108"/>
      <c r="BI224" s="108"/>
      <c r="BJ224" s="538"/>
      <c r="BK224" s="108"/>
      <c r="BL224" s="108"/>
      <c r="BM224" s="108"/>
      <c r="BN224" s="700"/>
      <c r="BO224" s="108"/>
      <c r="BP224" s="108"/>
      <c r="BQ224" s="538"/>
      <c r="BR224" s="108"/>
      <c r="BS224" s="108"/>
      <c r="BT224" s="108"/>
      <c r="BU224" s="700"/>
      <c r="BV224" s="108"/>
      <c r="BW224" s="108"/>
      <c r="BX224" s="538"/>
      <c r="BY224" s="108"/>
      <c r="BZ224" s="108"/>
      <c r="CA224" s="108"/>
      <c r="CB224" s="700"/>
      <c r="CC224" s="108"/>
      <c r="CD224" s="108"/>
      <c r="CE224" s="538"/>
      <c r="CF224" s="108"/>
      <c r="CG224" s="108"/>
      <c r="CH224" s="108"/>
      <c r="CI224" s="700"/>
      <c r="CJ224" s="108"/>
      <c r="CK224" s="108"/>
      <c r="CL224" s="538"/>
      <c r="CM224" s="108"/>
      <c r="CN224" s="108"/>
      <c r="CO224" s="108"/>
      <c r="CP224" s="700"/>
      <c r="CQ224" s="108"/>
      <c r="CR224" s="108"/>
      <c r="CS224" s="538"/>
      <c r="CT224" s="108"/>
      <c r="CU224" s="108"/>
      <c r="CV224" s="108"/>
      <c r="CW224" s="700"/>
      <c r="CX224" s="108"/>
      <c r="CY224" s="108"/>
      <c r="CZ224" s="1479"/>
      <c r="DA224" s="108"/>
      <c r="DB224" s="456"/>
      <c r="DC224" s="108"/>
      <c r="DD224" s="1904"/>
      <c r="DE224" s="3"/>
      <c r="DF224" s="1879"/>
      <c r="DG224" s="1479"/>
      <c r="DH224" s="1"/>
      <c r="DI224" s="456"/>
      <c r="DJ224" s="3"/>
      <c r="DK224" s="1509"/>
      <c r="DL224" s="3"/>
      <c r="DM224" s="3"/>
      <c r="DN224" s="1479"/>
      <c r="DO224" s="3"/>
      <c r="DP224" s="456"/>
      <c r="DQ224" s="3"/>
      <c r="DR224" s="1509"/>
      <c r="DS224" s="3"/>
      <c r="DT224" s="3"/>
      <c r="DU224" s="1479"/>
      <c r="DV224" s="3"/>
      <c r="DW224" s="456"/>
      <c r="DX224" s="3"/>
      <c r="DY224" s="1509"/>
      <c r="DZ224" s="3"/>
      <c r="EA224" s="3"/>
      <c r="EB224" s="1479"/>
      <c r="EC224" s="3"/>
      <c r="ED224" s="456"/>
      <c r="EE224" s="3"/>
      <c r="EF224" s="1509"/>
      <c r="EG224" s="3"/>
      <c r="EH224" s="3"/>
      <c r="EI224" s="1479"/>
      <c r="EJ224" s="3"/>
      <c r="EK224" s="456"/>
      <c r="EL224" s="3"/>
      <c r="EM224" s="1509"/>
      <c r="EN224" s="3"/>
      <c r="EO224" s="3"/>
      <c r="EP224" s="1479"/>
      <c r="EQ224" s="303"/>
      <c r="ER224" s="46"/>
    </row>
    <row r="225" spans="1:148" ht="10.199999999999999" hidden="1" customHeight="1" outlineLevel="1">
      <c r="A225" s="48" t="s">
        <v>112</v>
      </c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700"/>
      <c r="R225" s="108"/>
      <c r="S225" s="108"/>
      <c r="T225" s="538"/>
      <c r="U225" s="108"/>
      <c r="V225" s="108"/>
      <c r="W225" s="108"/>
      <c r="X225" s="700"/>
      <c r="Y225" s="108"/>
      <c r="Z225" s="108"/>
      <c r="AA225" s="538"/>
      <c r="AB225" s="108"/>
      <c r="AC225" s="108"/>
      <c r="AD225" s="108"/>
      <c r="AE225" s="700"/>
      <c r="AF225" s="108"/>
      <c r="AG225" s="108"/>
      <c r="AH225" s="538"/>
      <c r="AI225" s="108"/>
      <c r="AJ225" s="108"/>
      <c r="AK225" s="108"/>
      <c r="AL225" s="700"/>
      <c r="AM225" s="108"/>
      <c r="AN225" s="108"/>
      <c r="AO225" s="538"/>
      <c r="AP225" s="108"/>
      <c r="AQ225" s="108"/>
      <c r="AR225" s="108"/>
      <c r="AS225" s="700"/>
      <c r="AT225" s="108"/>
      <c r="AU225" s="108"/>
      <c r="AV225" s="538"/>
      <c r="AW225" s="108"/>
      <c r="AX225" s="108"/>
      <c r="AY225" s="108"/>
      <c r="AZ225" s="700"/>
      <c r="BA225" s="108"/>
      <c r="BB225" s="108"/>
      <c r="BC225" s="538"/>
      <c r="BD225" s="108"/>
      <c r="BE225" s="108"/>
      <c r="BF225" s="108"/>
      <c r="BG225" s="700"/>
      <c r="BH225" s="108"/>
      <c r="BI225" s="108"/>
      <c r="BJ225" s="538"/>
      <c r="BK225" s="108"/>
      <c r="BL225" s="108"/>
      <c r="BM225" s="108"/>
      <c r="BN225" s="700"/>
      <c r="BO225" s="108"/>
      <c r="BP225" s="108"/>
      <c r="BQ225" s="538"/>
      <c r="BR225" s="108"/>
      <c r="BS225" s="108"/>
      <c r="BT225" s="108"/>
      <c r="BU225" s="700"/>
      <c r="BV225" s="108"/>
      <c r="BW225" s="108"/>
      <c r="BX225" s="538"/>
      <c r="BY225" s="108"/>
      <c r="BZ225" s="108"/>
      <c r="CA225" s="108"/>
      <c r="CB225" s="700"/>
      <c r="CC225" s="108"/>
      <c r="CD225" s="108"/>
      <c r="CE225" s="538"/>
      <c r="CF225" s="108"/>
      <c r="CG225" s="108"/>
      <c r="CH225" s="108"/>
      <c r="CI225" s="700"/>
      <c r="CJ225" s="108"/>
      <c r="CK225" s="108"/>
      <c r="CL225" s="538"/>
      <c r="CM225" s="108"/>
      <c r="CN225" s="108"/>
      <c r="CO225" s="108"/>
      <c r="CP225" s="700"/>
      <c r="CQ225" s="108"/>
      <c r="CR225" s="108"/>
      <c r="CS225" s="538"/>
      <c r="CT225" s="108"/>
      <c r="CU225" s="108"/>
      <c r="CV225" s="108"/>
      <c r="CW225" s="700"/>
      <c r="CX225" s="108"/>
      <c r="CY225" s="108"/>
      <c r="CZ225" s="1479"/>
      <c r="DA225" s="108"/>
      <c r="DB225" s="456"/>
      <c r="DC225" s="108"/>
      <c r="DD225" s="1904"/>
      <c r="DE225" s="3"/>
      <c r="DF225" s="1879"/>
      <c r="DG225" s="1479"/>
      <c r="DH225" s="1"/>
      <c r="DI225" s="456"/>
      <c r="DJ225" s="3"/>
      <c r="DK225" s="1509"/>
      <c r="DL225" s="3"/>
      <c r="DM225" s="3"/>
      <c r="DN225" s="1479"/>
      <c r="DO225" s="3"/>
      <c r="DP225" s="456"/>
      <c r="DQ225" s="3"/>
      <c r="DR225" s="1509"/>
      <c r="DS225" s="3"/>
      <c r="DT225" s="3"/>
      <c r="DU225" s="1479"/>
      <c r="DV225" s="3"/>
      <c r="DW225" s="456"/>
      <c r="DX225" s="3"/>
      <c r="DY225" s="1509"/>
      <c r="DZ225" s="3"/>
      <c r="EA225" s="3"/>
      <c r="EB225" s="1479"/>
      <c r="EC225" s="3"/>
      <c r="ED225" s="456"/>
      <c r="EE225" s="3"/>
      <c r="EF225" s="1509"/>
      <c r="EG225" s="3"/>
      <c r="EH225" s="3"/>
      <c r="EI225" s="1479"/>
      <c r="EJ225" s="3"/>
      <c r="EK225" s="456"/>
      <c r="EL225" s="3"/>
      <c r="EM225" s="1509"/>
      <c r="EN225" s="3"/>
      <c r="EO225" s="3"/>
      <c r="EP225" s="1479"/>
      <c r="EQ225" s="303"/>
      <c r="ER225" s="46"/>
    </row>
    <row r="226" spans="1:148" ht="10.199999999999999" hidden="1" customHeight="1" outlineLevel="1">
      <c r="A226" s="43" t="str">
        <f t="shared" ref="A226:A232" si="1766">+A204</f>
        <v>Bonds</v>
      </c>
      <c r="B226" s="108"/>
      <c r="C226" s="108"/>
      <c r="D226" s="191">
        <f>+D216*D204</f>
        <v>99.66</v>
      </c>
      <c r="E226" s="191">
        <f t="shared" ref="E226:L230" si="1767">+E216*AVERAGE(D204:E204)</f>
        <v>99.96</v>
      </c>
      <c r="F226" s="191">
        <f t="shared" si="1767"/>
        <v>103.89</v>
      </c>
      <c r="G226" s="191">
        <f t="shared" si="1767"/>
        <v>135.54</v>
      </c>
      <c r="H226" s="191">
        <f t="shared" si="1767"/>
        <v>149.1875</v>
      </c>
      <c r="I226" s="191">
        <f t="shared" si="1767"/>
        <v>116.1875</v>
      </c>
      <c r="J226" s="191">
        <f t="shared" si="1767"/>
        <v>96.024000000000001</v>
      </c>
      <c r="K226" s="191">
        <f t="shared" si="1767"/>
        <v>96.216000000000008</v>
      </c>
      <c r="L226" s="191">
        <f t="shared" si="1767"/>
        <v>75.36</v>
      </c>
      <c r="M226" s="191"/>
      <c r="N226" s="191"/>
      <c r="O226" s="191"/>
      <c r="P226" s="191"/>
      <c r="Q226" s="709"/>
      <c r="R226" s="191"/>
      <c r="S226" s="191"/>
      <c r="T226" s="352"/>
      <c r="U226" s="191"/>
      <c r="V226" s="191"/>
      <c r="W226" s="191"/>
      <c r="X226" s="709"/>
      <c r="Y226" s="191"/>
      <c r="Z226" s="191"/>
      <c r="AA226" s="352"/>
      <c r="AB226" s="191"/>
      <c r="AC226" s="191"/>
      <c r="AD226" s="191"/>
      <c r="AE226" s="709"/>
      <c r="AF226" s="191"/>
      <c r="AG226" s="191"/>
      <c r="AH226" s="352"/>
      <c r="AI226" s="191"/>
      <c r="AJ226" s="191"/>
      <c r="AK226" s="191"/>
      <c r="AL226" s="709"/>
      <c r="AM226" s="191"/>
      <c r="AN226" s="191"/>
      <c r="AO226" s="352"/>
      <c r="AP226" s="191"/>
      <c r="AQ226" s="191"/>
      <c r="AR226" s="191"/>
      <c r="AS226" s="709"/>
      <c r="AT226" s="191"/>
      <c r="AU226" s="191"/>
      <c r="AV226" s="352"/>
      <c r="AW226" s="191"/>
      <c r="AX226" s="191"/>
      <c r="AY226" s="191"/>
      <c r="AZ226" s="709"/>
      <c r="BA226" s="191"/>
      <c r="BB226" s="191"/>
      <c r="BC226" s="352"/>
      <c r="BD226" s="191"/>
      <c r="BE226" s="191"/>
      <c r="BF226" s="191"/>
      <c r="BG226" s="709"/>
      <c r="BH226" s="191"/>
      <c r="BI226" s="191"/>
      <c r="BJ226" s="352"/>
      <c r="BK226" s="191"/>
      <c r="BL226" s="191"/>
      <c r="BM226" s="191"/>
      <c r="BN226" s="709"/>
      <c r="BO226" s="191"/>
      <c r="BP226" s="191"/>
      <c r="BQ226" s="352"/>
      <c r="BR226" s="191"/>
      <c r="BS226" s="191"/>
      <c r="BT226" s="191"/>
      <c r="BU226" s="709"/>
      <c r="BV226" s="191"/>
      <c r="BW226" s="191"/>
      <c r="BX226" s="352"/>
      <c r="BY226" s="191"/>
      <c r="BZ226" s="191"/>
      <c r="CA226" s="191"/>
      <c r="CB226" s="709"/>
      <c r="CC226" s="191"/>
      <c r="CD226" s="191"/>
      <c r="CE226" s="352"/>
      <c r="CF226" s="191"/>
      <c r="CG226" s="191"/>
      <c r="CH226" s="191"/>
      <c r="CI226" s="709"/>
      <c r="CJ226" s="191"/>
      <c r="CK226" s="191"/>
      <c r="CL226" s="352"/>
      <c r="CM226" s="191"/>
      <c r="CN226" s="191"/>
      <c r="CO226" s="191"/>
      <c r="CP226" s="709"/>
      <c r="CQ226" s="191"/>
      <c r="CR226" s="191"/>
      <c r="CS226" s="352"/>
      <c r="CT226" s="191"/>
      <c r="CU226" s="191"/>
      <c r="CV226" s="191"/>
      <c r="CW226" s="709"/>
      <c r="CX226" s="191"/>
      <c r="CY226" s="191"/>
      <c r="CZ226" s="1633"/>
      <c r="DA226" s="191"/>
      <c r="DB226" s="1716"/>
      <c r="DC226" s="191"/>
      <c r="DD226" s="1889"/>
      <c r="DE226" s="17"/>
      <c r="DF226" s="1891"/>
      <c r="DG226" s="1633"/>
      <c r="DH226" s="593"/>
      <c r="DI226" s="1716"/>
      <c r="DJ226" s="17"/>
      <c r="DK226" s="1658"/>
      <c r="DL226" s="17"/>
      <c r="DM226" s="15"/>
      <c r="DN226" s="1633"/>
      <c r="DO226" s="17"/>
      <c r="DP226" s="1716"/>
      <c r="DQ226" s="17"/>
      <c r="DR226" s="1658"/>
      <c r="DS226" s="17"/>
      <c r="DT226" s="15"/>
      <c r="DU226" s="1633"/>
      <c r="DV226" s="17"/>
      <c r="DW226" s="1716"/>
      <c r="DX226" s="17"/>
      <c r="DY226" s="1658"/>
      <c r="DZ226" s="17"/>
      <c r="EA226" s="15"/>
      <c r="EB226" s="1633"/>
      <c r="EC226" s="17"/>
      <c r="ED226" s="1716"/>
      <c r="EE226" s="17"/>
      <c r="EF226" s="1658"/>
      <c r="EG226" s="17"/>
      <c r="EH226" s="15"/>
      <c r="EI226" s="1633"/>
      <c r="EJ226" s="17"/>
      <c r="EK226" s="1716"/>
      <c r="EL226" s="17"/>
      <c r="EM226" s="1658"/>
      <c r="EN226" s="17"/>
      <c r="EO226" s="15"/>
      <c r="EP226" s="1633"/>
      <c r="EQ226" s="303"/>
      <c r="ER226" s="46"/>
    </row>
    <row r="227" spans="1:148" ht="10.199999999999999" hidden="1" customHeight="1" outlineLevel="1">
      <c r="A227" s="43" t="str">
        <f t="shared" si="1766"/>
        <v>Liabilities to financial institutions</v>
      </c>
      <c r="B227" s="108"/>
      <c r="C227" s="108"/>
      <c r="D227" s="191">
        <f>+D217*AVERAGE(C205:D205)</f>
        <v>118.32000000000001</v>
      </c>
      <c r="E227" s="191">
        <f t="shared" si="1767"/>
        <v>126.52</v>
      </c>
      <c r="F227" s="191">
        <f t="shared" si="1767"/>
        <v>141.92000000000002</v>
      </c>
      <c r="G227" s="191">
        <f t="shared" si="1767"/>
        <v>122.2</v>
      </c>
      <c r="H227" s="191">
        <f t="shared" si="1767"/>
        <v>93.64</v>
      </c>
      <c r="I227" s="191">
        <f t="shared" si="1767"/>
        <v>82.320000000000007</v>
      </c>
      <c r="J227" s="191">
        <f t="shared" si="1767"/>
        <v>75.960000000000008</v>
      </c>
      <c r="K227" s="191">
        <f t="shared" si="1767"/>
        <v>68.92</v>
      </c>
      <c r="L227" s="191">
        <f t="shared" si="1767"/>
        <v>95.04</v>
      </c>
      <c r="M227" s="191"/>
      <c r="N227" s="191"/>
      <c r="O227" s="191"/>
      <c r="P227" s="191"/>
      <c r="Q227" s="709"/>
      <c r="R227" s="191"/>
      <c r="S227" s="191"/>
      <c r="T227" s="352"/>
      <c r="U227" s="191"/>
      <c r="V227" s="191"/>
      <c r="W227" s="191"/>
      <c r="X227" s="709"/>
      <c r="Y227" s="191"/>
      <c r="Z227" s="191"/>
      <c r="AA227" s="352"/>
      <c r="AB227" s="191"/>
      <c r="AC227" s="191"/>
      <c r="AD227" s="191"/>
      <c r="AE227" s="709"/>
      <c r="AF227" s="191"/>
      <c r="AG227" s="191"/>
      <c r="AH227" s="352"/>
      <c r="AI227" s="191"/>
      <c r="AJ227" s="191"/>
      <c r="AK227" s="191"/>
      <c r="AL227" s="709"/>
      <c r="AM227" s="191"/>
      <c r="AN227" s="191"/>
      <c r="AO227" s="352"/>
      <c r="AP227" s="191"/>
      <c r="AQ227" s="191"/>
      <c r="AR227" s="191"/>
      <c r="AS227" s="709"/>
      <c r="AT227" s="191"/>
      <c r="AU227" s="191"/>
      <c r="AV227" s="352"/>
      <c r="AW227" s="191"/>
      <c r="AX227" s="191"/>
      <c r="AY227" s="191"/>
      <c r="AZ227" s="709"/>
      <c r="BA227" s="191"/>
      <c r="BB227" s="191"/>
      <c r="BC227" s="352"/>
      <c r="BD227" s="191"/>
      <c r="BE227" s="191"/>
      <c r="BF227" s="191"/>
      <c r="BG227" s="709"/>
      <c r="BH227" s="191"/>
      <c r="BI227" s="191"/>
      <c r="BJ227" s="352"/>
      <c r="BK227" s="191"/>
      <c r="BL227" s="191"/>
      <c r="BM227" s="191"/>
      <c r="BN227" s="709"/>
      <c r="BO227" s="191"/>
      <c r="BP227" s="191"/>
      <c r="BQ227" s="352"/>
      <c r="BR227" s="191"/>
      <c r="BS227" s="191"/>
      <c r="BT227" s="191"/>
      <c r="BU227" s="709"/>
      <c r="BV227" s="191"/>
      <c r="BW227" s="191"/>
      <c r="BX227" s="352"/>
      <c r="BY227" s="191"/>
      <c r="BZ227" s="191"/>
      <c r="CA227" s="191"/>
      <c r="CB227" s="709"/>
      <c r="CC227" s="191"/>
      <c r="CD227" s="191"/>
      <c r="CE227" s="352"/>
      <c r="CF227" s="191"/>
      <c r="CG227" s="191"/>
      <c r="CH227" s="191"/>
      <c r="CI227" s="709"/>
      <c r="CJ227" s="191"/>
      <c r="CK227" s="191"/>
      <c r="CL227" s="352"/>
      <c r="CM227" s="191"/>
      <c r="CN227" s="191"/>
      <c r="CO227" s="191"/>
      <c r="CP227" s="709"/>
      <c r="CQ227" s="191"/>
      <c r="CR227" s="191"/>
      <c r="CS227" s="352"/>
      <c r="CT227" s="191"/>
      <c r="CU227" s="191"/>
      <c r="CV227" s="191"/>
      <c r="CW227" s="709"/>
      <c r="CX227" s="191"/>
      <c r="CY227" s="191"/>
      <c r="CZ227" s="1633"/>
      <c r="DA227" s="191"/>
      <c r="DB227" s="1716"/>
      <c r="DC227" s="191"/>
      <c r="DD227" s="1889"/>
      <c r="DE227" s="17"/>
      <c r="DF227" s="1891"/>
      <c r="DG227" s="1633"/>
      <c r="DH227" s="593"/>
      <c r="DI227" s="1716"/>
      <c r="DJ227" s="17"/>
      <c r="DK227" s="1658"/>
      <c r="DL227" s="17"/>
      <c r="DM227" s="15"/>
      <c r="DN227" s="1633"/>
      <c r="DO227" s="17"/>
      <c r="DP227" s="1716"/>
      <c r="DQ227" s="17"/>
      <c r="DR227" s="1658"/>
      <c r="DS227" s="17"/>
      <c r="DT227" s="15"/>
      <c r="DU227" s="1633"/>
      <c r="DV227" s="17"/>
      <c r="DW227" s="1716"/>
      <c r="DX227" s="17"/>
      <c r="DY227" s="1658"/>
      <c r="DZ227" s="17"/>
      <c r="EA227" s="15"/>
      <c r="EB227" s="1633"/>
      <c r="EC227" s="17"/>
      <c r="ED227" s="1716"/>
      <c r="EE227" s="17"/>
      <c r="EF227" s="1658"/>
      <c r="EG227" s="17"/>
      <c r="EH227" s="15"/>
      <c r="EI227" s="1633"/>
      <c r="EJ227" s="17"/>
      <c r="EK227" s="1716"/>
      <c r="EL227" s="17"/>
      <c r="EM227" s="1658"/>
      <c r="EN227" s="17"/>
      <c r="EO227" s="15"/>
      <c r="EP227" s="1633"/>
      <c r="EQ227" s="303"/>
      <c r="ER227" s="46"/>
    </row>
    <row r="228" spans="1:148" ht="10.199999999999999" hidden="1" customHeight="1" outlineLevel="1">
      <c r="A228" s="43" t="str">
        <f t="shared" si="1766"/>
        <v>Liabilities to affliated companies</v>
      </c>
      <c r="B228" s="108"/>
      <c r="C228" s="108"/>
      <c r="D228" s="191">
        <f>+D218*AVERAGE(C206:D206)</f>
        <v>10.48</v>
      </c>
      <c r="E228" s="191">
        <f t="shared" si="1767"/>
        <v>8.24</v>
      </c>
      <c r="F228" s="191">
        <f t="shared" si="1767"/>
        <v>8.8000000000000007</v>
      </c>
      <c r="G228" s="191">
        <f t="shared" si="1767"/>
        <v>9.120000000000001</v>
      </c>
      <c r="H228" s="191">
        <f t="shared" si="1767"/>
        <v>4.72</v>
      </c>
      <c r="I228" s="191">
        <f t="shared" si="1767"/>
        <v>0</v>
      </c>
      <c r="J228" s="191">
        <f t="shared" si="1767"/>
        <v>0</v>
      </c>
      <c r="K228" s="191">
        <f t="shared" si="1767"/>
        <v>0</v>
      </c>
      <c r="L228" s="191">
        <f t="shared" si="1767"/>
        <v>0</v>
      </c>
      <c r="M228" s="191"/>
      <c r="N228" s="191"/>
      <c r="O228" s="191"/>
      <c r="P228" s="191"/>
      <c r="Q228" s="709"/>
      <c r="R228" s="191"/>
      <c r="S228" s="191"/>
      <c r="T228" s="352"/>
      <c r="U228" s="191"/>
      <c r="V228" s="191"/>
      <c r="W228" s="191"/>
      <c r="X228" s="709"/>
      <c r="Y228" s="191"/>
      <c r="Z228" s="191"/>
      <c r="AA228" s="352"/>
      <c r="AB228" s="191"/>
      <c r="AC228" s="191"/>
      <c r="AD228" s="191"/>
      <c r="AE228" s="709"/>
      <c r="AF228" s="191"/>
      <c r="AG228" s="191"/>
      <c r="AH228" s="352"/>
      <c r="AI228" s="191"/>
      <c r="AJ228" s="191"/>
      <c r="AK228" s="191"/>
      <c r="AL228" s="709"/>
      <c r="AM228" s="191"/>
      <c r="AN228" s="191"/>
      <c r="AO228" s="352"/>
      <c r="AP228" s="191"/>
      <c r="AQ228" s="191"/>
      <c r="AR228" s="191"/>
      <c r="AS228" s="709"/>
      <c r="AT228" s="191"/>
      <c r="AU228" s="191"/>
      <c r="AV228" s="352"/>
      <c r="AW228" s="191"/>
      <c r="AX228" s="191"/>
      <c r="AY228" s="191"/>
      <c r="AZ228" s="709"/>
      <c r="BA228" s="191"/>
      <c r="BB228" s="191"/>
      <c r="BC228" s="352"/>
      <c r="BD228" s="191"/>
      <c r="BE228" s="191"/>
      <c r="BF228" s="191"/>
      <c r="BG228" s="709"/>
      <c r="BH228" s="191"/>
      <c r="BI228" s="191"/>
      <c r="BJ228" s="352"/>
      <c r="BK228" s="191"/>
      <c r="BL228" s="191"/>
      <c r="BM228" s="191"/>
      <c r="BN228" s="709"/>
      <c r="BO228" s="191"/>
      <c r="BP228" s="191"/>
      <c r="BQ228" s="352"/>
      <c r="BR228" s="191"/>
      <c r="BS228" s="191"/>
      <c r="BT228" s="191"/>
      <c r="BU228" s="709"/>
      <c r="BV228" s="191"/>
      <c r="BW228" s="191"/>
      <c r="BX228" s="352"/>
      <c r="BY228" s="191"/>
      <c r="BZ228" s="191"/>
      <c r="CA228" s="191"/>
      <c r="CB228" s="709"/>
      <c r="CC228" s="191"/>
      <c r="CD228" s="191"/>
      <c r="CE228" s="352"/>
      <c r="CF228" s="191"/>
      <c r="CG228" s="191"/>
      <c r="CH228" s="191"/>
      <c r="CI228" s="709"/>
      <c r="CJ228" s="191"/>
      <c r="CK228" s="191"/>
      <c r="CL228" s="352"/>
      <c r="CM228" s="191"/>
      <c r="CN228" s="191"/>
      <c r="CO228" s="191"/>
      <c r="CP228" s="709"/>
      <c r="CQ228" s="191"/>
      <c r="CR228" s="191"/>
      <c r="CS228" s="352"/>
      <c r="CT228" s="191"/>
      <c r="CU228" s="191"/>
      <c r="CV228" s="191"/>
      <c r="CW228" s="709"/>
      <c r="CX228" s="191"/>
      <c r="CY228" s="191"/>
      <c r="CZ228" s="1633"/>
      <c r="DA228" s="191"/>
      <c r="DB228" s="1716"/>
      <c r="DC228" s="191"/>
      <c r="DD228" s="1889"/>
      <c r="DE228" s="17"/>
      <c r="DF228" s="1891"/>
      <c r="DG228" s="1633"/>
      <c r="DH228" s="593"/>
      <c r="DI228" s="1716"/>
      <c r="DJ228" s="17"/>
      <c r="DK228" s="1658"/>
      <c r="DL228" s="17"/>
      <c r="DM228" s="15"/>
      <c r="DN228" s="1633"/>
      <c r="DO228" s="17"/>
      <c r="DP228" s="1716"/>
      <c r="DQ228" s="17"/>
      <c r="DR228" s="1658"/>
      <c r="DS228" s="17"/>
      <c r="DT228" s="15"/>
      <c r="DU228" s="1633"/>
      <c r="DV228" s="17"/>
      <c r="DW228" s="1716"/>
      <c r="DX228" s="17"/>
      <c r="DY228" s="1658"/>
      <c r="DZ228" s="17"/>
      <c r="EA228" s="15"/>
      <c r="EB228" s="1633"/>
      <c r="EC228" s="17"/>
      <c r="ED228" s="1716"/>
      <c r="EE228" s="17"/>
      <c r="EF228" s="1658"/>
      <c r="EG228" s="17"/>
      <c r="EH228" s="15"/>
      <c r="EI228" s="1633"/>
      <c r="EJ228" s="17"/>
      <c r="EK228" s="1716"/>
      <c r="EL228" s="17"/>
      <c r="EM228" s="1658"/>
      <c r="EN228" s="17"/>
      <c r="EO228" s="15"/>
      <c r="EP228" s="1633"/>
      <c r="EQ228" s="303"/>
      <c r="ER228" s="46"/>
    </row>
    <row r="229" spans="1:148" ht="10.199999999999999" hidden="1" customHeight="1" outlineLevel="1">
      <c r="A229" s="43" t="str">
        <f t="shared" si="1766"/>
        <v>Loans</v>
      </c>
      <c r="B229" s="108"/>
      <c r="C229" s="108"/>
      <c r="D229" s="191">
        <f>+D219*AVERAGE(C207:D207)</f>
        <v>77.239999999999995</v>
      </c>
      <c r="E229" s="191">
        <f t="shared" si="1767"/>
        <v>73.56</v>
      </c>
      <c r="F229" s="191">
        <f t="shared" si="1767"/>
        <v>76.48</v>
      </c>
      <c r="G229" s="191">
        <f t="shared" si="1767"/>
        <v>72.040000000000006</v>
      </c>
      <c r="H229" s="191">
        <f t="shared" si="1767"/>
        <v>63.04</v>
      </c>
      <c r="I229" s="191">
        <f t="shared" si="1767"/>
        <v>56.36</v>
      </c>
      <c r="J229" s="191">
        <f t="shared" si="1767"/>
        <v>50.96</v>
      </c>
      <c r="K229" s="191">
        <f t="shared" si="1767"/>
        <v>46.84</v>
      </c>
      <c r="L229" s="191">
        <f t="shared" si="1767"/>
        <v>49.04</v>
      </c>
      <c r="M229" s="191"/>
      <c r="N229" s="191"/>
      <c r="O229" s="191"/>
      <c r="P229" s="191"/>
      <c r="Q229" s="709"/>
      <c r="R229" s="191"/>
      <c r="S229" s="191"/>
      <c r="T229" s="352"/>
      <c r="U229" s="191"/>
      <c r="V229" s="191"/>
      <c r="W229" s="191"/>
      <c r="X229" s="709"/>
      <c r="Y229" s="191"/>
      <c r="Z229" s="191"/>
      <c r="AA229" s="352"/>
      <c r="AB229" s="191"/>
      <c r="AC229" s="191"/>
      <c r="AD229" s="191"/>
      <c r="AE229" s="709"/>
      <c r="AF229" s="191"/>
      <c r="AG229" s="191"/>
      <c r="AH229" s="352"/>
      <c r="AI229" s="191"/>
      <c r="AJ229" s="191"/>
      <c r="AK229" s="191"/>
      <c r="AL229" s="709"/>
      <c r="AM229" s="191"/>
      <c r="AN229" s="191"/>
      <c r="AO229" s="352"/>
      <c r="AP229" s="191"/>
      <c r="AQ229" s="191"/>
      <c r="AR229" s="191"/>
      <c r="AS229" s="709"/>
      <c r="AT229" s="191"/>
      <c r="AU229" s="191"/>
      <c r="AV229" s="352"/>
      <c r="AW229" s="191"/>
      <c r="AX229" s="191"/>
      <c r="AY229" s="191"/>
      <c r="AZ229" s="709"/>
      <c r="BA229" s="191"/>
      <c r="BB229" s="191"/>
      <c r="BC229" s="352"/>
      <c r="BD229" s="191"/>
      <c r="BE229" s="191"/>
      <c r="BF229" s="191"/>
      <c r="BG229" s="709"/>
      <c r="BH229" s="191"/>
      <c r="BI229" s="191"/>
      <c r="BJ229" s="352"/>
      <c r="BK229" s="191"/>
      <c r="BL229" s="191"/>
      <c r="BM229" s="191"/>
      <c r="BN229" s="709"/>
      <c r="BO229" s="191"/>
      <c r="BP229" s="191"/>
      <c r="BQ229" s="352"/>
      <c r="BR229" s="191"/>
      <c r="BS229" s="191"/>
      <c r="BT229" s="191"/>
      <c r="BU229" s="709"/>
      <c r="BV229" s="191"/>
      <c r="BW229" s="191"/>
      <c r="BX229" s="352"/>
      <c r="BY229" s="191"/>
      <c r="BZ229" s="191"/>
      <c r="CA229" s="191"/>
      <c r="CB229" s="709"/>
      <c r="CC229" s="191"/>
      <c r="CD229" s="191"/>
      <c r="CE229" s="352"/>
      <c r="CF229" s="191"/>
      <c r="CG229" s="191"/>
      <c r="CH229" s="191"/>
      <c r="CI229" s="709"/>
      <c r="CJ229" s="191"/>
      <c r="CK229" s="191"/>
      <c r="CL229" s="352"/>
      <c r="CM229" s="191"/>
      <c r="CN229" s="191"/>
      <c r="CO229" s="191"/>
      <c r="CP229" s="709"/>
      <c r="CQ229" s="191"/>
      <c r="CR229" s="191"/>
      <c r="CS229" s="352"/>
      <c r="CT229" s="191"/>
      <c r="CU229" s="191"/>
      <c r="CV229" s="191"/>
      <c r="CW229" s="709"/>
      <c r="CX229" s="191"/>
      <c r="CY229" s="191"/>
      <c r="CZ229" s="1633"/>
      <c r="DA229" s="191"/>
      <c r="DB229" s="1716"/>
      <c r="DC229" s="191"/>
      <c r="DD229" s="1889"/>
      <c r="DE229" s="17"/>
      <c r="DF229" s="1891"/>
      <c r="DG229" s="1633"/>
      <c r="DH229" s="593"/>
      <c r="DI229" s="1716"/>
      <c r="DJ229" s="17"/>
      <c r="DK229" s="1658"/>
      <c r="DL229" s="17"/>
      <c r="DM229" s="15"/>
      <c r="DN229" s="1633"/>
      <c r="DO229" s="17"/>
      <c r="DP229" s="1716"/>
      <c r="DQ229" s="17"/>
      <c r="DR229" s="1658"/>
      <c r="DS229" s="17"/>
      <c r="DT229" s="15"/>
      <c r="DU229" s="1633"/>
      <c r="DV229" s="17"/>
      <c r="DW229" s="1716"/>
      <c r="DX229" s="17"/>
      <c r="DY229" s="1658"/>
      <c r="DZ229" s="17"/>
      <c r="EA229" s="15"/>
      <c r="EB229" s="1633"/>
      <c r="EC229" s="17"/>
      <c r="ED229" s="1716"/>
      <c r="EE229" s="17"/>
      <c r="EF229" s="1658"/>
      <c r="EG229" s="17"/>
      <c r="EH229" s="15"/>
      <c r="EI229" s="1633"/>
      <c r="EJ229" s="17"/>
      <c r="EK229" s="1716"/>
      <c r="EL229" s="17"/>
      <c r="EM229" s="1658"/>
      <c r="EN229" s="17"/>
      <c r="EO229" s="15"/>
      <c r="EP229" s="1633"/>
      <c r="EQ229" s="303"/>
      <c r="ER229" s="46"/>
    </row>
    <row r="230" spans="1:148" ht="10.199999999999999" hidden="1" customHeight="1" outlineLevel="1">
      <c r="A230" s="43" t="str">
        <f t="shared" si="1766"/>
        <v>Liabilities from finance leases</v>
      </c>
      <c r="B230" s="108"/>
      <c r="C230" s="108"/>
      <c r="D230" s="191">
        <f>+D220*AVERAGE(C208:D208)</f>
        <v>34.695</v>
      </c>
      <c r="E230" s="191">
        <f t="shared" si="1767"/>
        <v>27.945</v>
      </c>
      <c r="F230" s="191">
        <f t="shared" si="1767"/>
        <v>24.3</v>
      </c>
      <c r="G230" s="191">
        <f t="shared" si="1767"/>
        <v>24.524999999999999</v>
      </c>
      <c r="H230" s="191">
        <f t="shared" si="1767"/>
        <v>20.925000000000001</v>
      </c>
      <c r="I230" s="191">
        <f t="shared" si="1767"/>
        <v>15.84</v>
      </c>
      <c r="J230" s="191">
        <f t="shared" si="1767"/>
        <v>15.479999999999999</v>
      </c>
      <c r="K230" s="191">
        <f t="shared" si="1767"/>
        <v>16.739999999999998</v>
      </c>
      <c r="L230" s="191">
        <f t="shared" si="1767"/>
        <v>16.829999999999998</v>
      </c>
      <c r="M230" s="191"/>
      <c r="N230" s="191"/>
      <c r="O230" s="191"/>
      <c r="P230" s="191"/>
      <c r="Q230" s="709"/>
      <c r="R230" s="191"/>
      <c r="S230" s="191"/>
      <c r="T230" s="352"/>
      <c r="U230" s="191"/>
      <c r="V230" s="191"/>
      <c r="W230" s="191"/>
      <c r="X230" s="709"/>
      <c r="Y230" s="191"/>
      <c r="Z230" s="191"/>
      <c r="AA230" s="352"/>
      <c r="AB230" s="191"/>
      <c r="AC230" s="191"/>
      <c r="AD230" s="191"/>
      <c r="AE230" s="709"/>
      <c r="AF230" s="191"/>
      <c r="AG230" s="191"/>
      <c r="AH230" s="352"/>
      <c r="AI230" s="191"/>
      <c r="AJ230" s="191"/>
      <c r="AK230" s="191"/>
      <c r="AL230" s="709"/>
      <c r="AM230" s="191"/>
      <c r="AN230" s="191"/>
      <c r="AO230" s="352"/>
      <c r="AP230" s="191"/>
      <c r="AQ230" s="191"/>
      <c r="AR230" s="191"/>
      <c r="AS230" s="709"/>
      <c r="AT230" s="191"/>
      <c r="AU230" s="191"/>
      <c r="AV230" s="352"/>
      <c r="AW230" s="191"/>
      <c r="AX230" s="191"/>
      <c r="AY230" s="191"/>
      <c r="AZ230" s="709"/>
      <c r="BA230" s="191"/>
      <c r="BB230" s="191"/>
      <c r="BC230" s="352"/>
      <c r="BD230" s="191"/>
      <c r="BE230" s="191"/>
      <c r="BF230" s="191"/>
      <c r="BG230" s="709"/>
      <c r="BH230" s="191"/>
      <c r="BI230" s="191"/>
      <c r="BJ230" s="352"/>
      <c r="BK230" s="191"/>
      <c r="BL230" s="191"/>
      <c r="BM230" s="191"/>
      <c r="BN230" s="709"/>
      <c r="BO230" s="191"/>
      <c r="BP230" s="191"/>
      <c r="BQ230" s="352"/>
      <c r="BR230" s="191"/>
      <c r="BS230" s="191"/>
      <c r="BT230" s="191"/>
      <c r="BU230" s="709"/>
      <c r="BV230" s="191"/>
      <c r="BW230" s="191"/>
      <c r="BX230" s="352"/>
      <c r="BY230" s="191"/>
      <c r="BZ230" s="191"/>
      <c r="CA230" s="191"/>
      <c r="CB230" s="709"/>
      <c r="CC230" s="191"/>
      <c r="CD230" s="191"/>
      <c r="CE230" s="352"/>
      <c r="CF230" s="191"/>
      <c r="CG230" s="191"/>
      <c r="CH230" s="191"/>
      <c r="CI230" s="709"/>
      <c r="CJ230" s="191"/>
      <c r="CK230" s="191"/>
      <c r="CL230" s="352"/>
      <c r="CM230" s="191"/>
      <c r="CN230" s="191"/>
      <c r="CO230" s="191"/>
      <c r="CP230" s="709"/>
      <c r="CQ230" s="191"/>
      <c r="CR230" s="191"/>
      <c r="CS230" s="352"/>
      <c r="CT230" s="191"/>
      <c r="CU230" s="191"/>
      <c r="CV230" s="191"/>
      <c r="CW230" s="709"/>
      <c r="CX230" s="191"/>
      <c r="CY230" s="191"/>
      <c r="CZ230" s="1633"/>
      <c r="DA230" s="191"/>
      <c r="DB230" s="1716"/>
      <c r="DC230" s="191"/>
      <c r="DD230" s="1889"/>
      <c r="DE230" s="17"/>
      <c r="DF230" s="1891"/>
      <c r="DG230" s="1633"/>
      <c r="DH230" s="593"/>
      <c r="DI230" s="1716"/>
      <c r="DJ230" s="17"/>
      <c r="DK230" s="1658"/>
      <c r="DL230" s="17"/>
      <c r="DM230" s="15"/>
      <c r="DN230" s="1633"/>
      <c r="DO230" s="17"/>
      <c r="DP230" s="1716"/>
      <c r="DQ230" s="17"/>
      <c r="DR230" s="1658"/>
      <c r="DS230" s="17"/>
      <c r="DT230" s="15"/>
      <c r="DU230" s="1633"/>
      <c r="DV230" s="17"/>
      <c r="DW230" s="1716"/>
      <c r="DX230" s="17"/>
      <c r="DY230" s="1658"/>
      <c r="DZ230" s="17"/>
      <c r="EA230" s="15"/>
      <c r="EB230" s="1633"/>
      <c r="EC230" s="17"/>
      <c r="ED230" s="1716"/>
      <c r="EE230" s="17"/>
      <c r="EF230" s="1658"/>
      <c r="EG230" s="17"/>
      <c r="EH230" s="15"/>
      <c r="EI230" s="1633"/>
      <c r="EJ230" s="17"/>
      <c r="EK230" s="1716"/>
      <c r="EL230" s="17"/>
      <c r="EM230" s="1658"/>
      <c r="EN230" s="17"/>
      <c r="EO230" s="15"/>
      <c r="EP230" s="1633"/>
      <c r="EQ230" s="303"/>
      <c r="ER230" s="46"/>
    </row>
    <row r="231" spans="1:148" ht="10.199999999999999" hidden="1" customHeight="1" outlineLevel="1">
      <c r="A231" s="43" t="str">
        <f t="shared" si="1766"/>
        <v>Other</v>
      </c>
      <c r="B231" s="108"/>
      <c r="C231" s="108"/>
      <c r="D231" s="133">
        <f t="shared" ref="D231:L231" si="1768">D234-D233-D232-D230-D229-D228-D227-D226</f>
        <v>-337.39499999999998</v>
      </c>
      <c r="E231" s="133">
        <f t="shared" si="1768"/>
        <v>41.52500000000002</v>
      </c>
      <c r="F231" s="133">
        <f t="shared" si="1768"/>
        <v>-24.61500000000008</v>
      </c>
      <c r="G231" s="133">
        <f t="shared" si="1768"/>
        <v>-33.40000000000002</v>
      </c>
      <c r="H231" s="133">
        <f t="shared" si="1768"/>
        <v>122.41249999999991</v>
      </c>
      <c r="I231" s="133">
        <f t="shared" si="1768"/>
        <v>74.867500000000007</v>
      </c>
      <c r="J231" s="133">
        <f t="shared" si="1768"/>
        <v>28.450999999999993</v>
      </c>
      <c r="K231" s="133">
        <f t="shared" si="1768"/>
        <v>-84.966000000000008</v>
      </c>
      <c r="L231" s="133">
        <f t="shared" si="1768"/>
        <v>-159.62</v>
      </c>
      <c r="M231" s="133"/>
      <c r="N231" s="133"/>
      <c r="O231" s="133"/>
      <c r="P231" s="133"/>
      <c r="Q231" s="688"/>
      <c r="R231" s="133"/>
      <c r="S231" s="133"/>
      <c r="T231" s="339"/>
      <c r="U231" s="133"/>
      <c r="V231" s="133"/>
      <c r="W231" s="133"/>
      <c r="X231" s="688"/>
      <c r="Y231" s="133"/>
      <c r="Z231" s="133"/>
      <c r="AA231" s="339"/>
      <c r="AB231" s="133"/>
      <c r="AC231" s="133"/>
      <c r="AD231" s="133"/>
      <c r="AE231" s="688"/>
      <c r="AF231" s="133"/>
      <c r="AG231" s="133"/>
      <c r="AH231" s="339"/>
      <c r="AI231" s="133"/>
      <c r="AJ231" s="133"/>
      <c r="AK231" s="133"/>
      <c r="AL231" s="688"/>
      <c r="AM231" s="133"/>
      <c r="AN231" s="133"/>
      <c r="AO231" s="339"/>
      <c r="AP231" s="133"/>
      <c r="AQ231" s="133"/>
      <c r="AR231" s="133"/>
      <c r="AS231" s="688"/>
      <c r="AT231" s="133"/>
      <c r="AU231" s="133"/>
      <c r="AV231" s="339"/>
      <c r="AW231" s="133"/>
      <c r="AX231" s="133"/>
      <c r="AY231" s="133"/>
      <c r="AZ231" s="688"/>
      <c r="BA231" s="133"/>
      <c r="BB231" s="133"/>
      <c r="BC231" s="339"/>
      <c r="BD231" s="133"/>
      <c r="BE231" s="133"/>
      <c r="BF231" s="133"/>
      <c r="BG231" s="688"/>
      <c r="BH231" s="133"/>
      <c r="BI231" s="133"/>
      <c r="BJ231" s="339"/>
      <c r="BK231" s="133"/>
      <c r="BL231" s="133"/>
      <c r="BM231" s="133"/>
      <c r="BN231" s="688"/>
      <c r="BO231" s="133"/>
      <c r="BP231" s="133"/>
      <c r="BQ231" s="339"/>
      <c r="BR231" s="133"/>
      <c r="BS231" s="133"/>
      <c r="BT231" s="133"/>
      <c r="BU231" s="688"/>
      <c r="BV231" s="133"/>
      <c r="BW231" s="133"/>
      <c r="BX231" s="339"/>
      <c r="BY231" s="133"/>
      <c r="BZ231" s="133"/>
      <c r="CA231" s="133"/>
      <c r="CB231" s="688"/>
      <c r="CC231" s="133"/>
      <c r="CD231" s="133"/>
      <c r="CE231" s="339"/>
      <c r="CF231" s="133"/>
      <c r="CG231" s="133"/>
      <c r="CH231" s="133"/>
      <c r="CI231" s="688"/>
      <c r="CJ231" s="133"/>
      <c r="CK231" s="133"/>
      <c r="CL231" s="339"/>
      <c r="CM231" s="133"/>
      <c r="CN231" s="133"/>
      <c r="CO231" s="133"/>
      <c r="CP231" s="688"/>
      <c r="CQ231" s="133"/>
      <c r="CR231" s="133"/>
      <c r="CS231" s="339"/>
      <c r="CT231" s="133"/>
      <c r="CU231" s="133"/>
      <c r="CV231" s="133"/>
      <c r="CW231" s="688"/>
      <c r="CX231" s="133"/>
      <c r="CY231" s="133"/>
      <c r="CZ231" s="1633"/>
      <c r="DA231" s="133"/>
      <c r="DB231" s="1692"/>
      <c r="DC231" s="133"/>
      <c r="DD231" s="1889"/>
      <c r="DE231" s="17"/>
      <c r="DF231" s="1891"/>
      <c r="DG231" s="1633"/>
      <c r="DH231" s="593"/>
      <c r="DI231" s="1692"/>
      <c r="DJ231" s="17"/>
      <c r="DK231" s="1658"/>
      <c r="DL231" s="17"/>
      <c r="DM231" s="15"/>
      <c r="DN231" s="1633"/>
      <c r="DO231" s="17"/>
      <c r="DP231" s="1692"/>
      <c r="DQ231" s="17"/>
      <c r="DR231" s="1658"/>
      <c r="DS231" s="17"/>
      <c r="DT231" s="15"/>
      <c r="DU231" s="1633"/>
      <c r="DV231" s="17"/>
      <c r="DW231" s="1692"/>
      <c r="DX231" s="17"/>
      <c r="DY231" s="1658"/>
      <c r="DZ231" s="17"/>
      <c r="EA231" s="15"/>
      <c r="EB231" s="1633"/>
      <c r="EC231" s="17"/>
      <c r="ED231" s="1692"/>
      <c r="EE231" s="17"/>
      <c r="EF231" s="1658"/>
      <c r="EG231" s="17"/>
      <c r="EH231" s="15"/>
      <c r="EI231" s="1633"/>
      <c r="EJ231" s="17"/>
      <c r="EK231" s="1692"/>
      <c r="EL231" s="17"/>
      <c r="EM231" s="1658"/>
      <c r="EN231" s="17"/>
      <c r="EO231" s="15"/>
      <c r="EP231" s="1633"/>
      <c r="EQ231" s="303"/>
      <c r="ER231" s="46"/>
    </row>
    <row r="232" spans="1:148" ht="10.199999999999999" hidden="1" customHeight="1" outlineLevel="1">
      <c r="A232" s="43" t="str">
        <f t="shared" si="1766"/>
        <v>Incremental Paradigm Debt after 2003</v>
      </c>
      <c r="B232" s="108"/>
      <c r="C232" s="108"/>
      <c r="D232" s="133">
        <f t="shared" ref="D232:L232" si="1769">+D222*AVERAGE(C210:D210)</f>
        <v>0</v>
      </c>
      <c r="E232" s="133">
        <f t="shared" si="1769"/>
        <v>0</v>
      </c>
      <c r="F232" s="133">
        <f t="shared" si="1769"/>
        <v>-4.5</v>
      </c>
      <c r="G232" s="133">
        <f t="shared" si="1769"/>
        <v>-4.5</v>
      </c>
      <c r="H232" s="133">
        <f t="shared" si="1769"/>
        <v>0</v>
      </c>
      <c r="I232" s="133">
        <f t="shared" si="1769"/>
        <v>0</v>
      </c>
      <c r="J232" s="133">
        <f t="shared" si="1769"/>
        <v>0</v>
      </c>
      <c r="K232" s="133">
        <f t="shared" si="1769"/>
        <v>0</v>
      </c>
      <c r="L232" s="133">
        <f t="shared" si="1769"/>
        <v>0</v>
      </c>
      <c r="M232" s="133"/>
      <c r="N232" s="133"/>
      <c r="O232" s="133"/>
      <c r="P232" s="133"/>
      <c r="Q232" s="688"/>
      <c r="R232" s="133"/>
      <c r="S232" s="133"/>
      <c r="T232" s="339"/>
      <c r="U232" s="133"/>
      <c r="V232" s="133"/>
      <c r="W232" s="133"/>
      <c r="X232" s="688"/>
      <c r="Y232" s="133"/>
      <c r="Z232" s="133"/>
      <c r="AA232" s="339"/>
      <c r="AB232" s="133"/>
      <c r="AC232" s="133"/>
      <c r="AD232" s="133"/>
      <c r="AE232" s="688"/>
      <c r="AF232" s="133"/>
      <c r="AG232" s="133"/>
      <c r="AH232" s="339"/>
      <c r="AI232" s="133"/>
      <c r="AJ232" s="133"/>
      <c r="AK232" s="133"/>
      <c r="AL232" s="688"/>
      <c r="AM232" s="133"/>
      <c r="AN232" s="133"/>
      <c r="AO232" s="339"/>
      <c r="AP232" s="133"/>
      <c r="AQ232" s="133"/>
      <c r="AR232" s="133"/>
      <c r="AS232" s="688"/>
      <c r="AT232" s="133"/>
      <c r="AU232" s="133"/>
      <c r="AV232" s="339"/>
      <c r="AW232" s="133"/>
      <c r="AX232" s="133"/>
      <c r="AY232" s="133"/>
      <c r="AZ232" s="688"/>
      <c r="BA232" s="133"/>
      <c r="BB232" s="133"/>
      <c r="BC232" s="339"/>
      <c r="BD232" s="133"/>
      <c r="BE232" s="133"/>
      <c r="BF232" s="133"/>
      <c r="BG232" s="688"/>
      <c r="BH232" s="133"/>
      <c r="BI232" s="133"/>
      <c r="BJ232" s="339"/>
      <c r="BK232" s="133"/>
      <c r="BL232" s="133"/>
      <c r="BM232" s="133"/>
      <c r="BN232" s="688"/>
      <c r="BO232" s="133"/>
      <c r="BP232" s="133"/>
      <c r="BQ232" s="339"/>
      <c r="BR232" s="133"/>
      <c r="BS232" s="133"/>
      <c r="BT232" s="133"/>
      <c r="BU232" s="688"/>
      <c r="BV232" s="133"/>
      <c r="BW232" s="133"/>
      <c r="BX232" s="339"/>
      <c r="BY232" s="133"/>
      <c r="BZ232" s="133"/>
      <c r="CA232" s="133"/>
      <c r="CB232" s="688"/>
      <c r="CC232" s="133"/>
      <c r="CD232" s="133"/>
      <c r="CE232" s="339"/>
      <c r="CF232" s="133"/>
      <c r="CG232" s="133"/>
      <c r="CH232" s="133"/>
      <c r="CI232" s="688"/>
      <c r="CJ232" s="133"/>
      <c r="CK232" s="133"/>
      <c r="CL232" s="339"/>
      <c r="CM232" s="133"/>
      <c r="CN232" s="133"/>
      <c r="CO232" s="133"/>
      <c r="CP232" s="688"/>
      <c r="CQ232" s="133"/>
      <c r="CR232" s="133"/>
      <c r="CS232" s="339"/>
      <c r="CT232" s="133"/>
      <c r="CU232" s="133"/>
      <c r="CV232" s="133"/>
      <c r="CW232" s="688"/>
      <c r="CX232" s="133"/>
      <c r="CY232" s="133"/>
      <c r="CZ232" s="1630"/>
      <c r="DA232" s="133"/>
      <c r="DB232" s="1692"/>
      <c r="DC232" s="133"/>
      <c r="DD232" s="1886"/>
      <c r="DE232" s="858"/>
      <c r="DF232" s="1915"/>
      <c r="DG232" s="1630"/>
      <c r="DH232" s="530"/>
      <c r="DI232" s="1692"/>
      <c r="DJ232" s="858"/>
      <c r="DK232" s="1654"/>
      <c r="DL232" s="858"/>
      <c r="DM232" s="26"/>
      <c r="DN232" s="1630"/>
      <c r="DO232" s="858"/>
      <c r="DP232" s="1692"/>
      <c r="DQ232" s="858"/>
      <c r="DR232" s="1654"/>
      <c r="DS232" s="858"/>
      <c r="DT232" s="26"/>
      <c r="DU232" s="1630"/>
      <c r="DV232" s="858"/>
      <c r="DW232" s="1692"/>
      <c r="DX232" s="858"/>
      <c r="DY232" s="1654"/>
      <c r="DZ232" s="858"/>
      <c r="EA232" s="26"/>
      <c r="EB232" s="1630"/>
      <c r="EC232" s="858"/>
      <c r="ED232" s="1692"/>
      <c r="EE232" s="858"/>
      <c r="EF232" s="1654"/>
      <c r="EG232" s="858"/>
      <c r="EH232" s="26"/>
      <c r="EI232" s="1630"/>
      <c r="EJ232" s="858"/>
      <c r="EK232" s="1692"/>
      <c r="EL232" s="858"/>
      <c r="EM232" s="1654"/>
      <c r="EN232" s="858"/>
      <c r="EO232" s="26"/>
      <c r="EP232" s="1630"/>
      <c r="EQ232" s="303"/>
      <c r="ER232" s="46"/>
    </row>
    <row r="233" spans="1:148" ht="10.199999999999999" hidden="1" customHeight="1" outlineLevel="1">
      <c r="A233" s="43" t="str">
        <f>+A212</f>
        <v>Government Launch Aid</v>
      </c>
      <c r="B233" s="108"/>
      <c r="C233" s="822"/>
      <c r="D233" s="210">
        <v>200</v>
      </c>
      <c r="E233" s="829">
        <f t="shared" ref="E233:L233" si="1770">+E223*AVERAGE(D212:E212)</f>
        <v>249.25</v>
      </c>
      <c r="F233" s="829">
        <f t="shared" si="1770"/>
        <v>251.72500000000002</v>
      </c>
      <c r="G233" s="829">
        <f t="shared" si="1770"/>
        <v>249.47500000000002</v>
      </c>
      <c r="H233" s="829">
        <f t="shared" si="1770"/>
        <v>247.07500000000002</v>
      </c>
      <c r="I233" s="829">
        <f t="shared" si="1770"/>
        <v>235.42500000000001</v>
      </c>
      <c r="J233" s="829">
        <f t="shared" si="1770"/>
        <v>236.125</v>
      </c>
      <c r="K233" s="829">
        <f t="shared" si="1770"/>
        <v>271.25</v>
      </c>
      <c r="L233" s="829">
        <f t="shared" si="1770"/>
        <v>287.35000000000002</v>
      </c>
      <c r="M233" s="829"/>
      <c r="N233" s="1444"/>
      <c r="O233" s="1444"/>
      <c r="P233" s="1444"/>
      <c r="Q233" s="1456"/>
      <c r="R233" s="1444"/>
      <c r="S233" s="1444"/>
      <c r="T233" s="1468"/>
      <c r="U233" s="1444"/>
      <c r="V233" s="1444"/>
      <c r="W233" s="1444"/>
      <c r="X233" s="1456"/>
      <c r="Y233" s="1444"/>
      <c r="Z233" s="1444"/>
      <c r="AA233" s="1468"/>
      <c r="AB233" s="1444"/>
      <c r="AC233" s="1444"/>
      <c r="AD233" s="1444"/>
      <c r="AE233" s="1456"/>
      <c r="AF233" s="1444"/>
      <c r="AG233" s="1444"/>
      <c r="AH233" s="1468"/>
      <c r="AI233" s="1444"/>
      <c r="AJ233" s="1444"/>
      <c r="AK233" s="1444"/>
      <c r="AL233" s="1456"/>
      <c r="AM233" s="1444"/>
      <c r="AN233" s="1444"/>
      <c r="AO233" s="1468"/>
      <c r="AP233" s="1444"/>
      <c r="AQ233" s="1444"/>
      <c r="AR233" s="1444"/>
      <c r="AS233" s="1456"/>
      <c r="AT233" s="1444"/>
      <c r="AU233" s="1444"/>
      <c r="AV233" s="1468"/>
      <c r="AW233" s="1444"/>
      <c r="AX233" s="1444"/>
      <c r="AY233" s="1444"/>
      <c r="AZ233" s="1456"/>
      <c r="BA233" s="1444"/>
      <c r="BB233" s="1444"/>
      <c r="BC233" s="1468"/>
      <c r="BD233" s="1444"/>
      <c r="BE233" s="1444"/>
      <c r="BF233" s="1444"/>
      <c r="BG233" s="1456"/>
      <c r="BH233" s="1444"/>
      <c r="BI233" s="1444"/>
      <c r="BJ233" s="1468"/>
      <c r="BK233" s="1444"/>
      <c r="BL233" s="1444"/>
      <c r="BM233" s="1444"/>
      <c r="BN233" s="1456"/>
      <c r="BO233" s="1444"/>
      <c r="BP233" s="1444"/>
      <c r="BQ233" s="1468"/>
      <c r="BR233" s="1444"/>
      <c r="BS233" s="1444"/>
      <c r="BT233" s="1444"/>
      <c r="BU233" s="1456"/>
      <c r="BV233" s="1444"/>
      <c r="BW233" s="1444"/>
      <c r="BX233" s="1468"/>
      <c r="BY233" s="1444"/>
      <c r="BZ233" s="1444"/>
      <c r="CA233" s="1444"/>
      <c r="CB233" s="1456"/>
      <c r="CC233" s="1444"/>
      <c r="CD233" s="1444"/>
      <c r="CE233" s="1468"/>
      <c r="CF233" s="1444"/>
      <c r="CG233" s="1444"/>
      <c r="CH233" s="1444"/>
      <c r="CI233" s="1456"/>
      <c r="CJ233" s="1444"/>
      <c r="CK233" s="1444"/>
      <c r="CL233" s="1468"/>
      <c r="CM233" s="1444"/>
      <c r="CN233" s="1444"/>
      <c r="CO233" s="1444"/>
      <c r="CP233" s="1456"/>
      <c r="CQ233" s="1444"/>
      <c r="CR233" s="1444"/>
      <c r="CS233" s="1468"/>
      <c r="CT233" s="1444"/>
      <c r="CU233" s="1444"/>
      <c r="CV233" s="1444"/>
      <c r="CW233" s="1456"/>
      <c r="CX233" s="1444"/>
      <c r="CY233" s="1444"/>
      <c r="CZ233" s="1634"/>
      <c r="DA233" s="1444"/>
      <c r="DB233" s="1693"/>
      <c r="DC233" s="1444"/>
      <c r="DD233" s="1900"/>
      <c r="DE233" s="1575"/>
      <c r="DF233" s="1916"/>
      <c r="DG233" s="1634"/>
      <c r="DH233" s="1673"/>
      <c r="DI233" s="1693"/>
      <c r="DJ233" s="1575"/>
      <c r="DK233" s="1659"/>
      <c r="DL233" s="1575"/>
      <c r="DM233" s="1575"/>
      <c r="DN233" s="1634"/>
      <c r="DO233" s="1575"/>
      <c r="DP233" s="1693"/>
      <c r="DQ233" s="1575"/>
      <c r="DR233" s="1659"/>
      <c r="DS233" s="1575"/>
      <c r="DT233" s="1575"/>
      <c r="DU233" s="1634"/>
      <c r="DV233" s="1575"/>
      <c r="DW233" s="1693"/>
      <c r="DX233" s="1575"/>
      <c r="DY233" s="1659"/>
      <c r="DZ233" s="1575"/>
      <c r="EA233" s="1575"/>
      <c r="EB233" s="1634"/>
      <c r="EC233" s="1575"/>
      <c r="ED233" s="1693"/>
      <c r="EE233" s="1575"/>
      <c r="EF233" s="1659"/>
      <c r="EG233" s="1575"/>
      <c r="EH233" s="1575"/>
      <c r="EI233" s="1634"/>
      <c r="EJ233" s="1575"/>
      <c r="EK233" s="1693"/>
      <c r="EL233" s="1575"/>
      <c r="EM233" s="1659"/>
      <c r="EN233" s="1575"/>
      <c r="EO233" s="1575"/>
      <c r="EP233" s="1634"/>
      <c r="EQ233" s="303"/>
      <c r="ER233" s="46"/>
    </row>
    <row r="234" spans="1:148" ht="10.199999999999999" customHeight="1" collapsed="1">
      <c r="A234" s="48" t="s">
        <v>239</v>
      </c>
      <c r="B234" s="48"/>
      <c r="C234" s="48"/>
      <c r="D234" s="125">
        <f>-IS!D29</f>
        <v>203</v>
      </c>
      <c r="E234" s="125">
        <f>-IS!E29</f>
        <v>627</v>
      </c>
      <c r="F234" s="125">
        <f>-IS!F29</f>
        <v>578</v>
      </c>
      <c r="G234" s="125">
        <f>-IS!G29</f>
        <v>575</v>
      </c>
      <c r="H234" s="125">
        <f>-IS!H29</f>
        <v>701</v>
      </c>
      <c r="I234" s="125">
        <f>-IS!I29</f>
        <v>581</v>
      </c>
      <c r="J234" s="125">
        <f>-IS!J29</f>
        <v>503</v>
      </c>
      <c r="K234" s="125">
        <f>-IS!K29</f>
        <v>415</v>
      </c>
      <c r="L234" s="125">
        <f>-IS!L29</f>
        <v>364</v>
      </c>
      <c r="M234" s="125">
        <f>-IS!M29</f>
        <v>522</v>
      </c>
      <c r="N234" s="125"/>
      <c r="O234" s="125"/>
      <c r="P234" s="125"/>
      <c r="Q234" s="692"/>
      <c r="R234" s="125"/>
      <c r="S234" s="125"/>
      <c r="T234" s="345">
        <f>-IS!T29</f>
        <v>493</v>
      </c>
      <c r="U234" s="123">
        <f>-IS!U29</f>
        <v>130</v>
      </c>
      <c r="V234" s="123">
        <f>-IS!V29</f>
        <v>138</v>
      </c>
      <c r="W234" s="123">
        <f>-IS!W29</f>
        <v>127</v>
      </c>
      <c r="X234" s="692">
        <f>-IS!X29</f>
        <v>67</v>
      </c>
      <c r="Y234" s="123">
        <f>-IS!Y29</f>
        <v>268</v>
      </c>
      <c r="Z234" s="125">
        <f>-IS!Z29</f>
        <v>194</v>
      </c>
      <c r="AA234" s="345">
        <f>-IS!AA29</f>
        <v>462</v>
      </c>
      <c r="AB234" s="123">
        <f>-IS!AB29</f>
        <v>146</v>
      </c>
      <c r="AC234" s="123">
        <f>-IS!AC29</f>
        <v>128</v>
      </c>
      <c r="AD234" s="123">
        <f>-IS!AD29</f>
        <v>155</v>
      </c>
      <c r="AE234" s="692">
        <f>-IS!AE29</f>
        <v>122</v>
      </c>
      <c r="AF234" s="123">
        <f>-IS!AF29</f>
        <v>274</v>
      </c>
      <c r="AG234" s="125">
        <f>-IS!AG29</f>
        <v>277</v>
      </c>
      <c r="AH234" s="345">
        <f>-IS!AH29</f>
        <v>551</v>
      </c>
      <c r="AI234" s="123">
        <f>-IS!AI29</f>
        <v>143</v>
      </c>
      <c r="AJ234" s="123">
        <f>-IS!AJ29</f>
        <v>91</v>
      </c>
      <c r="AK234" s="123">
        <f>-IS!AK29</f>
        <v>155</v>
      </c>
      <c r="AL234" s="692">
        <f>-IS!AL29</f>
        <v>133</v>
      </c>
      <c r="AM234" s="123">
        <f>-IS!AM29</f>
        <v>234</v>
      </c>
      <c r="AN234" s="125">
        <f>-IS!AN29</f>
        <v>288</v>
      </c>
      <c r="AO234" s="345">
        <f>-IS!AO29</f>
        <v>522</v>
      </c>
      <c r="AP234" s="123">
        <f>-IS!AP29</f>
        <v>127</v>
      </c>
      <c r="AQ234" s="123">
        <f>-IS!AQ29</f>
        <v>124</v>
      </c>
      <c r="AR234" s="123">
        <f>-IS!AR29</f>
        <v>134</v>
      </c>
      <c r="AS234" s="692">
        <f>-IS!AS29</f>
        <v>132</v>
      </c>
      <c r="AT234" s="123">
        <f>-IS!AT29</f>
        <v>251</v>
      </c>
      <c r="AU234" s="125">
        <f>-IS!AU29</f>
        <v>266</v>
      </c>
      <c r="AV234" s="345">
        <f>-IS!AV29</f>
        <v>517</v>
      </c>
      <c r="AW234" s="125"/>
      <c r="AX234" s="125"/>
      <c r="AY234" s="125"/>
      <c r="AZ234" s="692"/>
      <c r="BA234" s="125"/>
      <c r="BB234" s="125"/>
      <c r="BC234" s="345">
        <f>-IS!BC29</f>
        <v>517</v>
      </c>
      <c r="BD234" s="123">
        <f>-IS!BD29</f>
        <v>104</v>
      </c>
      <c r="BE234" s="123">
        <f>-IS!BE29</f>
        <v>95</v>
      </c>
      <c r="BF234" s="123">
        <f>-IS!BF29</f>
        <v>168</v>
      </c>
      <c r="BG234" s="692">
        <f>-IS!BG29</f>
        <v>73</v>
      </c>
      <c r="BH234" s="123">
        <f>-IS!BH29</f>
        <v>199</v>
      </c>
      <c r="BI234" s="125">
        <f>-IS!BI29</f>
        <v>241</v>
      </c>
      <c r="BJ234" s="345">
        <f>-IS!BJ29</f>
        <v>440</v>
      </c>
      <c r="BK234" s="123">
        <f>-IS!BK29</f>
        <v>92</v>
      </c>
      <c r="BL234" s="123">
        <f>-IS!BL29</f>
        <v>99</v>
      </c>
      <c r="BM234" s="123">
        <f>-IS!BM29</f>
        <v>75</v>
      </c>
      <c r="BN234" s="692">
        <f>-IS!BN29</f>
        <v>73</v>
      </c>
      <c r="BO234" s="123">
        <f>-IS!BO29</f>
        <v>191</v>
      </c>
      <c r="BP234" s="125">
        <f>-IS!BP29</f>
        <v>148</v>
      </c>
      <c r="BQ234" s="345">
        <f>-IS!BQ29</f>
        <v>339</v>
      </c>
      <c r="BR234" s="123">
        <f>-IS!BR29</f>
        <v>98</v>
      </c>
      <c r="BS234" s="123">
        <f>-IS!BS29</f>
        <v>113</v>
      </c>
      <c r="BT234" s="123">
        <f>-IS!BT29</f>
        <v>102</v>
      </c>
      <c r="BU234" s="692">
        <f>-IS!BU29</f>
        <v>98</v>
      </c>
      <c r="BV234" s="123">
        <f>-IS!BV29</f>
        <v>211</v>
      </c>
      <c r="BW234" s="125">
        <f>-IS!BW29</f>
        <v>200</v>
      </c>
      <c r="BX234" s="345">
        <f>-IS!BX29</f>
        <v>411</v>
      </c>
      <c r="BY234" s="123">
        <f>-IS!BY29</f>
        <v>96</v>
      </c>
      <c r="BZ234" s="123">
        <f>-IS!BZ29</f>
        <v>108</v>
      </c>
      <c r="CA234" s="123">
        <f>-IS!CA29</f>
        <v>77</v>
      </c>
      <c r="CB234" s="692">
        <f>-IS!CB29</f>
        <v>53</v>
      </c>
      <c r="CC234" s="123">
        <f>-IS!CC29</f>
        <v>204</v>
      </c>
      <c r="CD234" s="125">
        <f>-IS!CD29</f>
        <v>130</v>
      </c>
      <c r="CE234" s="345">
        <f>-IS!CE29</f>
        <v>334</v>
      </c>
      <c r="CF234" s="123">
        <f>-IS!CF29</f>
        <v>78</v>
      </c>
      <c r="CG234" s="123">
        <f>-IS!CG29</f>
        <v>88</v>
      </c>
      <c r="CH234" s="123">
        <f>-IS!CH29</f>
        <v>92</v>
      </c>
      <c r="CI234" s="692">
        <f>-IS!CI29</f>
        <v>154</v>
      </c>
      <c r="CJ234" s="123">
        <f>-IS!CJ29</f>
        <v>166</v>
      </c>
      <c r="CK234" s="125">
        <f>-IS!CK29</f>
        <v>246</v>
      </c>
      <c r="CL234" s="345">
        <f>-IS!CL29</f>
        <v>412</v>
      </c>
      <c r="CM234" s="123">
        <f>-IS!CM29</f>
        <v>166</v>
      </c>
      <c r="CN234" s="123">
        <f>-IS!CN29</f>
        <v>170</v>
      </c>
      <c r="CO234" s="123">
        <f>-IS!CO29</f>
        <v>195</v>
      </c>
      <c r="CP234" s="692">
        <f>-IS!CP29</f>
        <v>222</v>
      </c>
      <c r="CQ234" s="123">
        <f>-IS!CQ29</f>
        <v>336</v>
      </c>
      <c r="CR234" s="125">
        <f>-IS!CR29</f>
        <v>417</v>
      </c>
      <c r="CS234" s="345">
        <f>-IS!CS29</f>
        <v>753</v>
      </c>
      <c r="CT234" s="123">
        <f>-IS!CT29</f>
        <v>213</v>
      </c>
      <c r="CU234" s="123">
        <f>-IS!CU29</f>
        <v>215</v>
      </c>
      <c r="CV234" s="123">
        <f>-IS!CV29</f>
        <v>212</v>
      </c>
      <c r="CW234" s="692">
        <f>-IS!CW29</f>
        <v>260</v>
      </c>
      <c r="CX234" s="123">
        <f>-IS!CX29</f>
        <v>428</v>
      </c>
      <c r="CY234" s="125">
        <f>-IS!CY29</f>
        <v>472</v>
      </c>
      <c r="CZ234" s="345">
        <f>-IS!CZ29</f>
        <v>900</v>
      </c>
      <c r="DA234" s="123">
        <f>-IS!DA29</f>
        <v>189</v>
      </c>
      <c r="DB234" s="123">
        <f>-IS!DB29</f>
        <v>194</v>
      </c>
      <c r="DC234" s="123">
        <f>-IS!DC29</f>
        <v>181</v>
      </c>
      <c r="DD234" s="1877">
        <f>DF234-DC234</f>
        <v>206</v>
      </c>
      <c r="DE234" s="123">
        <f>-IS!DE29</f>
        <v>383</v>
      </c>
      <c r="DF234" s="1917">
        <f>DG234-DE234</f>
        <v>387</v>
      </c>
      <c r="DG234" s="345">
        <f>-IS!DG29</f>
        <v>770</v>
      </c>
      <c r="DH234" s="871">
        <f>-IS!DH29</f>
        <v>175</v>
      </c>
      <c r="DI234" s="123">
        <f>-IS!DI29</f>
        <v>185</v>
      </c>
      <c r="DJ234" s="895">
        <f>((DI213+DJ213)/2)*(DJ235/4)</f>
        <v>223.45625000000001</v>
      </c>
      <c r="DK234" s="448">
        <f>DM234-DJ234</f>
        <v>309.99375000000003</v>
      </c>
      <c r="DL234" s="123">
        <f>-IS!DL29</f>
        <v>360</v>
      </c>
      <c r="DM234" s="1699">
        <f>DN234-DL234</f>
        <v>533.45000000000005</v>
      </c>
      <c r="DN234" s="975">
        <f>((DG213+DN213)/2)*DN235</f>
        <v>893.45</v>
      </c>
      <c r="DO234" s="895">
        <f>((DN213+DO213)/2)*(DO235/4)</f>
        <v>223.36250000000001</v>
      </c>
      <c r="DP234" s="415">
        <f>DS234-DO234</f>
        <v>223.36250000000001</v>
      </c>
      <c r="DQ234" s="895">
        <f>((DP213+DQ213)/2)*(DQ235/4)</f>
        <v>223.36250000000001</v>
      </c>
      <c r="DR234" s="448">
        <f>DT234-DQ234</f>
        <v>223.36250000000001</v>
      </c>
      <c r="DS234" s="895">
        <f>((DN213+DS213)/2)*(DS235/2)</f>
        <v>446.72500000000002</v>
      </c>
      <c r="DT234" s="1699">
        <f>DU234-DS234</f>
        <v>446.72500000000002</v>
      </c>
      <c r="DU234" s="975">
        <f>((DN213+DU213)/2)*DU235</f>
        <v>893.45</v>
      </c>
      <c r="DV234" s="895">
        <f>((DU213+DV213)/2)*(DV235/4)</f>
        <v>223.36250000000001</v>
      </c>
      <c r="DW234" s="415">
        <f>DZ234-DV234</f>
        <v>223.36250000000001</v>
      </c>
      <c r="DX234" s="895">
        <f>((DW213+DX213)/2)*(DX235/4)</f>
        <v>223.36250000000001</v>
      </c>
      <c r="DY234" s="448">
        <f>EA234-DX234</f>
        <v>223.36250000000001</v>
      </c>
      <c r="DZ234" s="895">
        <f>((DU213+DZ213)/2)*(DZ235/2)</f>
        <v>446.72500000000002</v>
      </c>
      <c r="EA234" s="1699">
        <f>EB234-DZ234</f>
        <v>446.72500000000002</v>
      </c>
      <c r="EB234" s="975">
        <f>((DU213+EB213)/2)*EB235</f>
        <v>893.45</v>
      </c>
      <c r="EC234" s="895">
        <f>((EB213+EC213)/2)*(EC235/4)</f>
        <v>223.36250000000001</v>
      </c>
      <c r="ED234" s="415">
        <f>EG234-EC234</f>
        <v>223.36250000000001</v>
      </c>
      <c r="EE234" s="895">
        <f>((ED213+EE213)/2)*(EE235/4)</f>
        <v>223.36250000000001</v>
      </c>
      <c r="EF234" s="448">
        <f>EH234-EE234</f>
        <v>223.36250000000001</v>
      </c>
      <c r="EG234" s="895">
        <f>((EB213+EG213)/2)*(EG235/2)</f>
        <v>446.72500000000002</v>
      </c>
      <c r="EH234" s="1699">
        <f>EI234-EG234</f>
        <v>446.72500000000002</v>
      </c>
      <c r="EI234" s="975">
        <f>((EB213+EI213)/2)*EI235</f>
        <v>893.45</v>
      </c>
      <c r="EJ234" s="895">
        <f>((EI213+EJ213)/2)*(EJ235/4)</f>
        <v>223.36250000000001</v>
      </c>
      <c r="EK234" s="415">
        <f>EN234-EJ234</f>
        <v>223.36250000000001</v>
      </c>
      <c r="EL234" s="895">
        <f>((EK213+EL213)/2)*(EL235/4)</f>
        <v>223.36250000000001</v>
      </c>
      <c r="EM234" s="448">
        <f>EO234-EL234</f>
        <v>223.36250000000001</v>
      </c>
      <c r="EN234" s="895">
        <f>((EI213+EN213)/2)*(EN235/2)</f>
        <v>446.72500000000002</v>
      </c>
      <c r="EO234" s="1699">
        <f>EP234-EN234</f>
        <v>446.72500000000002</v>
      </c>
      <c r="EP234" s="975">
        <f t="shared" ref="EP234" si="1771">((EI213+EP213)/2)*EP235</f>
        <v>893.45</v>
      </c>
      <c r="EQ234" s="303"/>
      <c r="ER234" s="46"/>
    </row>
    <row r="235" spans="1:148" ht="10.199999999999999" customHeight="1">
      <c r="A235" s="108" t="s">
        <v>500</v>
      </c>
      <c r="B235" s="108"/>
      <c r="C235" s="108"/>
      <c r="D235" s="191"/>
      <c r="E235" s="191"/>
      <c r="F235" s="191"/>
      <c r="G235" s="191"/>
      <c r="H235" s="191"/>
      <c r="I235" s="191"/>
      <c r="J235" s="191"/>
      <c r="K235" s="191"/>
      <c r="L235" s="191"/>
      <c r="M235" s="157">
        <f t="shared" ref="M235" si="1772">M234/((L213+M213)/2)</f>
        <v>4.9331380239096535E-2</v>
      </c>
      <c r="N235" s="157"/>
      <c r="O235" s="157"/>
      <c r="P235" s="157"/>
      <c r="Q235" s="1277"/>
      <c r="R235" s="157"/>
      <c r="S235" s="157"/>
      <c r="T235" s="1295">
        <f>T234/((M213+T213)/2)</f>
        <v>4.4676030811055735E-2</v>
      </c>
      <c r="U235" s="251">
        <f>U234*4/((T213+U213)/2)</f>
        <v>4.3241445262151262E-2</v>
      </c>
      <c r="V235" s="251">
        <f>V234*4/((U213+V213)/2)</f>
        <v>4.1589753249199474E-2</v>
      </c>
      <c r="W235" s="251">
        <f>W234*4/((V213+W213)/2)</f>
        <v>3.7614305283032841E-2</v>
      </c>
      <c r="X235" s="1277">
        <f>X234*4/((W213+X213)/2)</f>
        <v>2.0340784030966567E-2</v>
      </c>
      <c r="Y235" s="251">
        <f>Y234*2/((T213+Y213)/2)</f>
        <v>4.1927409261576974E-2</v>
      </c>
      <c r="Z235" s="157">
        <f>Z234*2/((Y213+Z213)/2)</f>
        <v>2.8319100795562369E-2</v>
      </c>
      <c r="AA235" s="1295">
        <f>AA234/((T213+AA213)/2)</f>
        <v>3.7096515175847118E-2</v>
      </c>
      <c r="AB235" s="251">
        <f>AB234*4/((AA213+AB213)/2)</f>
        <v>4.2826238404282624E-2</v>
      </c>
      <c r="AC235" s="251">
        <f>AC234*4/((AB213+AC213)/2)</f>
        <v>3.5561729466921342E-2</v>
      </c>
      <c r="AD235" s="251">
        <f>AD234*4/((AC213+AD213)/2)</f>
        <v>4.0278048463587346E-2</v>
      </c>
      <c r="AE235" s="1277">
        <f>AE234*4/((AD213+AE213)/2)</f>
        <v>3.0755656393773239E-2</v>
      </c>
      <c r="AF235" s="251">
        <f>AF234*2/((AA213+AF213)/2)</f>
        <v>3.8777243136144918E-2</v>
      </c>
      <c r="AG235" s="157">
        <f>AG234*2/((AF213+AG213)/2)</f>
        <v>3.6051278714127673E-2</v>
      </c>
      <c r="AH235" s="1295">
        <f>AH234/((AA213+AH213)/2)</f>
        <v>3.7724222922086811E-2</v>
      </c>
      <c r="AI235" s="251">
        <f>AI234*4/((AH213+AI213)/2)</f>
        <v>3.3681731193876047E-2</v>
      </c>
      <c r="AJ235" s="251">
        <f>AJ234*4/((AI213+AJ213)/2)</f>
        <v>1.9710835544484755E-2</v>
      </c>
      <c r="AK235" s="251">
        <f>AK234*4/((AJ213+AK213)/2)</f>
        <v>3.3920560236349713E-2</v>
      </c>
      <c r="AL235" s="1277">
        <f>AL234*4/((AK213+AL213)/2)</f>
        <v>3.0783474134938087E-2</v>
      </c>
      <c r="AM235" s="251">
        <f>AM234*2/((AH213+AM213)/2)</f>
        <v>2.7012207439900723E-2</v>
      </c>
      <c r="AN235" s="157">
        <f>AN234*2/((AM213+AN213)/2)</f>
        <v>3.2334119232064668E-2</v>
      </c>
      <c r="AO235" s="1295">
        <f>AO234/((AH213+AO213)/2)</f>
        <v>3.1966686058973022E-2</v>
      </c>
      <c r="AP235" s="251">
        <f>AP234*4/((AO213+AP213)/2)</f>
        <v>2.9880595259102406E-2</v>
      </c>
      <c r="AQ235" s="251">
        <f>AQ234*4/((AP213+AQ213)/2)</f>
        <v>2.8189826655299802E-2</v>
      </c>
      <c r="AR235" s="251">
        <f>AR234*4/((AQ213+AR213)/2)</f>
        <v>2.9913218182325528E-2</v>
      </c>
      <c r="AS235" s="1277">
        <f>AS234*4/((AR213+AS213)/2)</f>
        <v>3.0552019442194191E-2</v>
      </c>
      <c r="AT235" s="251">
        <f>AT234*2/((AO213+AT213)/2)</f>
        <v>2.8830691477142199E-2</v>
      </c>
      <c r="AU235" s="157">
        <f>AU234*2/((AT213+AU213)/2)</f>
        <v>3.0628400356947524E-2</v>
      </c>
      <c r="AV235" s="1295">
        <f>AV234/((AO213+AV213)/2)</f>
        <v>3.0818753539387799E-2</v>
      </c>
      <c r="AW235" s="157"/>
      <c r="AX235" s="157"/>
      <c r="AY235" s="157"/>
      <c r="AZ235" s="1277"/>
      <c r="BA235" s="157"/>
      <c r="BB235" s="157"/>
      <c r="BC235" s="1295">
        <f>BC234/((AO213+BC213)/2)</f>
        <v>3.0818753539387799E-2</v>
      </c>
      <c r="BD235" s="251">
        <f>BD234*4/((BC213+BD213)/2)</f>
        <v>2.4899742622852696E-2</v>
      </c>
      <c r="BE235" s="251">
        <f>BE234*4/((BD213+BE213)/2)</f>
        <v>2.3939269852269504E-2</v>
      </c>
      <c r="BF235" s="251">
        <f>BF234*4/((BE213+BF213)/2)</f>
        <v>4.2057829515583928E-2</v>
      </c>
      <c r="BG235" s="1277">
        <f>BG234*4/((BF213+BG213)/2)</f>
        <v>1.9434922959166694E-2</v>
      </c>
      <c r="BH235" s="251">
        <f>BH234*2/((BC213+BH213)/2)</f>
        <v>2.5032233718041447E-2</v>
      </c>
      <c r="BI235" s="157">
        <f>BI234*2/((BH213+BI213)/2)</f>
        <v>3.4154118689105402E-2</v>
      </c>
      <c r="BJ235" s="1295">
        <f>BJ234/((AV213+BJ213)/2)</f>
        <v>2.9439314866854006E-2</v>
      </c>
      <c r="BK235" s="251">
        <f>BK234*4/((BJ213+BK213)/2)</f>
        <v>2.7086706904166053E-2</v>
      </c>
      <c r="BL235" s="251">
        <f>BL234*4/((BK213+BL213)/2)</f>
        <v>2.735278881022276E-2</v>
      </c>
      <c r="BM235" s="251">
        <f>BM234*4/((BL213+BM213)/2)</f>
        <v>1.9381723035177826E-2</v>
      </c>
      <c r="BN235" s="1277">
        <f>BN234*4/((BM213+BN213)/2)</f>
        <v>1.9539614561027836E-2</v>
      </c>
      <c r="BO235" s="251">
        <f>BO234*2/((BJ213+BO213)/2)</f>
        <v>2.7187644567808974E-2</v>
      </c>
      <c r="BP235" s="157">
        <f>BP234*2/((BO213+BP213)/2)</f>
        <v>2.0544855110185667E-2</v>
      </c>
      <c r="BQ235" s="1295">
        <f>BQ234/((BJ213+BQ213)/2)</f>
        <v>2.5081385025155372E-2</v>
      </c>
      <c r="BR235" s="251">
        <f>BR234*4/((BQ213+BR213)/2)</f>
        <v>2.4340266997826761E-2</v>
      </c>
      <c r="BS235" s="251">
        <f>BS234*4/((BR213+BS213)/2)</f>
        <v>2.2663457681508223E-2</v>
      </c>
      <c r="BT235" s="251">
        <f>BT234*4/((BS213+BT213)/2)</f>
        <v>1.8686880252822499E-2</v>
      </c>
      <c r="BU235" s="1277">
        <f>BU234*4/((BT213+BU213)/2)</f>
        <v>1.8265265708361483E-2</v>
      </c>
      <c r="BV235" s="251">
        <f>BV234*2/((BQ213+BV213)/2)</f>
        <v>2.3825654923215898E-2</v>
      </c>
      <c r="BW235" s="157">
        <f>BW234*2/((BV213+BW213)/2)</f>
        <v>1.8886632985504508E-2</v>
      </c>
      <c r="BX235" s="1295">
        <f>BX234/((BQ213+BX213)/2)</f>
        <v>2.3702422145328719E-2</v>
      </c>
      <c r="BY235" s="251">
        <f>BY234*4/((BX213+BY213)/2)</f>
        <v>1.850067450375795E-2</v>
      </c>
      <c r="BZ235" s="251">
        <f>BZ234*4/((BY213+BZ213)/2)</f>
        <v>2.192448233861145E-2</v>
      </c>
      <c r="CA235" s="251">
        <f>CA234*4/((BZ213+CA213)/2)</f>
        <v>1.6480723439548386E-2</v>
      </c>
      <c r="CB235" s="1277">
        <f>CB234*4/((CA213+CB213)/2)</f>
        <v>1.1323576540967845E-2</v>
      </c>
      <c r="CC235" s="251">
        <f>CC234*2/((BX213+CC213)/2)</f>
        <v>2.0652999240698557E-2</v>
      </c>
      <c r="CD235" s="157">
        <f>CD234*2/((CC213+CD213)/2)</f>
        <v>1.3876657860326101E-2</v>
      </c>
      <c r="CE235" s="1295">
        <f>CE234/((BX213+CE213)/2)</f>
        <v>1.6878490032089345E-2</v>
      </c>
      <c r="CF235" s="251">
        <f>CF234*4/((CE213+CF213)/2)</f>
        <v>1.6826663790313882E-2</v>
      </c>
      <c r="CG235" s="251">
        <f>CG234*4/((CF213+CG213)/2)</f>
        <v>1.9896560495153041E-2</v>
      </c>
      <c r="CH235" s="251">
        <f>CH234*4/((CG213+CH213)/2)</f>
        <v>2.173656231541642E-2</v>
      </c>
      <c r="CI235" s="1277">
        <f>CI234*4/((CH213+CI213)/2)</f>
        <v>3.701811844596016E-2</v>
      </c>
      <c r="CJ235" s="251">
        <f>CJ234*2/((CE213+CJ213)/2)</f>
        <v>1.8527302659114373E-2</v>
      </c>
      <c r="CK235" s="157">
        <f>CK234*2/((CJ213+CK213)/2)</f>
        <v>2.9321493489078934E-2</v>
      </c>
      <c r="CL235" s="1295">
        <f>CL234/((CE213+CL213)/2)</f>
        <v>2.3369256948383436E-2</v>
      </c>
      <c r="CM235" s="251">
        <f>CM234*4/((CL213+CM213)/2)</f>
        <v>4.0302267002518891E-2</v>
      </c>
      <c r="CN235" s="251">
        <f>CN234*4/((CM213+CN213)/2)</f>
        <v>4.1553362461425644E-2</v>
      </c>
      <c r="CO235" s="251">
        <f>CO234*4/((CN213+CO213)/2)</f>
        <v>4.7769237835686068E-2</v>
      </c>
      <c r="CP235" s="1277">
        <f>CP234*4/((CO213+CP213)/2)</f>
        <v>5.2777034857805119E-2</v>
      </c>
      <c r="CQ235" s="251">
        <f>CQ234*2/((CL213+CQ213)/2)</f>
        <v>4.1028145796446668E-2</v>
      </c>
      <c r="CR235" s="157">
        <f>CR234*2/((CQ213+CR213)/2)</f>
        <v>4.9746495675514465E-2</v>
      </c>
      <c r="CS235" s="1295">
        <f>CS234/((CL213+CS213)/2)</f>
        <v>4.4619578099075609E-2</v>
      </c>
      <c r="CT235" s="251">
        <f>CT234*4/((CS213+CT213)/2)</f>
        <v>4.9247131585792317E-2</v>
      </c>
      <c r="CU235" s="251">
        <f>CU234*4/((CT213+CU213)/2)</f>
        <v>5.0737463126843657E-2</v>
      </c>
      <c r="CV235" s="251">
        <f>CV234*4/((CU213+CV213)/2)</f>
        <v>5.0831709875618164E-2</v>
      </c>
      <c r="CW235" s="1277">
        <f>CW234*4/((CV213+CW213)/2)</f>
        <v>5.9802765877921854E-2</v>
      </c>
      <c r="CX235" s="251">
        <f>CX234*2/((CS213+CX213)/2)</f>
        <v>5.0616444431304142E-2</v>
      </c>
      <c r="CY235" s="157">
        <f>CY234*2/((CX213+CY213)/2)</f>
        <v>5.4664427587005619E-2</v>
      </c>
      <c r="CZ235" s="1295">
        <f>CZ234/((CS213+CZ213)/2)</f>
        <v>5.1079769573483924E-2</v>
      </c>
      <c r="DA235" s="251">
        <f>DA234*4/((CZ213+DA213)/2)</f>
        <v>4.2070116861435726E-2</v>
      </c>
      <c r="DB235" s="251">
        <f>DB234*4/((DA213+DB213)/2)</f>
        <v>4.4373284537968891E-2</v>
      </c>
      <c r="DC235" s="251">
        <f>DC234*4/((DB213+DC213)/2)</f>
        <v>4.2361476800655315E-2</v>
      </c>
      <c r="DD235" s="1880">
        <f>DD234*4/((DC213+DD213)/2)</f>
        <v>4.7034648096352528E-2</v>
      </c>
      <c r="DE235" s="251">
        <f>DE234*2/((CZ213+DE213)/2)</f>
        <v>4.378393826807659E-2</v>
      </c>
      <c r="DF235" s="1871">
        <f>DF234*2/((DE213+DF213)/2)</f>
        <v>4.4378189324006653E-2</v>
      </c>
      <c r="DG235" s="1295">
        <f>DG234/((CZ213+DG213)/2)</f>
        <v>4.2961557774926072E-2</v>
      </c>
      <c r="DH235" s="809">
        <f>DH234*4/((DG213+DH213)/2)</f>
        <v>3.8552624332213473E-2</v>
      </c>
      <c r="DI235" s="251">
        <f>DI234*4/((DH213+DI213)/2)</f>
        <v>4.0738803710534281E-2</v>
      </c>
      <c r="DJ235" s="900">
        <f>DN235</f>
        <v>0.05</v>
      </c>
      <c r="DK235" s="450">
        <f>DK234*4/((DJ213+DK213)/2)</f>
        <v>6.9392523364485995E-2</v>
      </c>
      <c r="DL235" s="251">
        <f>DL234*2/((DG213+DL213)/2)</f>
        <v>4.0276340446955501E-2</v>
      </c>
      <c r="DM235" s="449">
        <f>DM234*2/((DL213+DM213)/2)</f>
        <v>5.9681705031745594E-2</v>
      </c>
      <c r="DN235" s="648">
        <v>0.05</v>
      </c>
      <c r="DO235" s="900">
        <f>DU235</f>
        <v>0.05</v>
      </c>
      <c r="DP235" s="449">
        <f>DP234*4/((DO213+DP213)/2)</f>
        <v>0.05</v>
      </c>
      <c r="DQ235" s="900">
        <f>DU235</f>
        <v>0.05</v>
      </c>
      <c r="DR235" s="450">
        <f>DR234*4/((DQ213+DR213)/2)</f>
        <v>0.05</v>
      </c>
      <c r="DS235" s="900">
        <f>DU235</f>
        <v>0.05</v>
      </c>
      <c r="DT235" s="449">
        <f>DT234*2/((DS213+DT213)/2)</f>
        <v>0.05</v>
      </c>
      <c r="DU235" s="755">
        <f>DN235</f>
        <v>0.05</v>
      </c>
      <c r="DV235" s="900">
        <f>EB235</f>
        <v>0.05</v>
      </c>
      <c r="DW235" s="449">
        <f>DW234*4/((DV213+DW213)/2)</f>
        <v>0.05</v>
      </c>
      <c r="DX235" s="900">
        <f>EB235</f>
        <v>0.05</v>
      </c>
      <c r="DY235" s="450">
        <f>DY234*4/((DX213+DY213)/2)</f>
        <v>0.05</v>
      </c>
      <c r="DZ235" s="900">
        <f>EB235</f>
        <v>0.05</v>
      </c>
      <c r="EA235" s="449">
        <f>EA234*2/((DZ213+EA213)/2)</f>
        <v>0.05</v>
      </c>
      <c r="EB235" s="755">
        <f>DU235</f>
        <v>0.05</v>
      </c>
      <c r="EC235" s="900">
        <f>EI235</f>
        <v>0.05</v>
      </c>
      <c r="ED235" s="449">
        <f>ED234*4/((EC213+ED213)/2)</f>
        <v>0.05</v>
      </c>
      <c r="EE235" s="900">
        <f>EI235</f>
        <v>0.05</v>
      </c>
      <c r="EF235" s="450">
        <f>EF234*4/((EE213+EF213)/2)</f>
        <v>0.05</v>
      </c>
      <c r="EG235" s="900">
        <f>EI235</f>
        <v>0.05</v>
      </c>
      <c r="EH235" s="449">
        <f>EH234*2/((EG213+EH213)/2)</f>
        <v>0.05</v>
      </c>
      <c r="EI235" s="755">
        <f>EB235</f>
        <v>0.05</v>
      </c>
      <c r="EJ235" s="900">
        <f>EP235</f>
        <v>0.05</v>
      </c>
      <c r="EK235" s="449">
        <f>EK234*4/((EJ213+EK213)/2)</f>
        <v>0.05</v>
      </c>
      <c r="EL235" s="900">
        <f>EP235</f>
        <v>0.05</v>
      </c>
      <c r="EM235" s="450">
        <f>EM234*4/((EL213+EM213)/2)</f>
        <v>0.05</v>
      </c>
      <c r="EN235" s="900">
        <f>EP235</f>
        <v>0.05</v>
      </c>
      <c r="EO235" s="449">
        <f>EO234*2/((EN213+EO213)/2)</f>
        <v>0.05</v>
      </c>
      <c r="EP235" s="755">
        <f t="shared" ref="EP235" si="1773">EI235</f>
        <v>0.05</v>
      </c>
      <c r="EQ235" s="303"/>
      <c r="ER235" s="46"/>
    </row>
    <row r="236" spans="1:148" ht="10.199999999999999" customHeight="1">
      <c r="A236" s="43"/>
      <c r="B236" s="108"/>
      <c r="C236" s="108"/>
      <c r="D236" s="191"/>
      <c r="E236" s="191"/>
      <c r="F236" s="191"/>
      <c r="G236" s="191"/>
      <c r="H236" s="191"/>
      <c r="I236" s="191"/>
      <c r="J236" s="191"/>
      <c r="K236" s="157"/>
      <c r="L236" s="191"/>
      <c r="M236" s="191"/>
      <c r="N236" s="191"/>
      <c r="O236" s="191"/>
      <c r="P236" s="191"/>
      <c r="Q236" s="709"/>
      <c r="R236" s="191"/>
      <c r="S236" s="191"/>
      <c r="T236" s="352"/>
      <c r="U236" s="191"/>
      <c r="V236" s="191"/>
      <c r="W236" s="191"/>
      <c r="X236" s="709"/>
      <c r="Y236" s="191"/>
      <c r="Z236" s="191"/>
      <c r="AA236" s="352"/>
      <c r="AB236" s="191"/>
      <c r="AC236" s="191"/>
      <c r="AD236" s="191"/>
      <c r="AE236" s="709"/>
      <c r="AF236" s="191"/>
      <c r="AG236" s="191"/>
      <c r="AH236" s="352"/>
      <c r="AI236" s="191"/>
      <c r="AJ236" s="191"/>
      <c r="AK236" s="191"/>
      <c r="AL236" s="709"/>
      <c r="AM236" s="191"/>
      <c r="AN236" s="191"/>
      <c r="AO236" s="352"/>
      <c r="AP236" s="191"/>
      <c r="AQ236" s="191"/>
      <c r="AR236" s="191"/>
      <c r="AS236" s="709"/>
      <c r="AT236" s="191"/>
      <c r="AU236" s="191"/>
      <c r="AV236" s="352"/>
      <c r="AW236" s="191"/>
      <c r="AX236" s="191"/>
      <c r="AY236" s="191"/>
      <c r="AZ236" s="709"/>
      <c r="BA236" s="191"/>
      <c r="BB236" s="191"/>
      <c r="BC236" s="352"/>
      <c r="BD236" s="191"/>
      <c r="BE236" s="191"/>
      <c r="BF236" s="191"/>
      <c r="BG236" s="709"/>
      <c r="BH236" s="191"/>
      <c r="BI236" s="191"/>
      <c r="BJ236" s="352"/>
      <c r="BK236" s="191"/>
      <c r="BL236" s="191"/>
      <c r="BM236" s="191"/>
      <c r="BN236" s="709"/>
      <c r="BO236" s="191"/>
      <c r="BP236" s="191"/>
      <c r="BQ236" s="352"/>
      <c r="BR236" s="191"/>
      <c r="BS236" s="191"/>
      <c r="BT236" s="191"/>
      <c r="BU236" s="709"/>
      <c r="BV236" s="191"/>
      <c r="BW236" s="191"/>
      <c r="BX236" s="352"/>
      <c r="BY236" s="191"/>
      <c r="BZ236" s="191"/>
      <c r="CA236" s="191"/>
      <c r="CB236" s="709"/>
      <c r="CC236" s="191"/>
      <c r="CD236" s="191"/>
      <c r="CE236" s="352"/>
      <c r="CF236" s="191"/>
      <c r="CG236" s="191"/>
      <c r="CH236" s="191"/>
      <c r="CI236" s="709"/>
      <c r="CJ236" s="191"/>
      <c r="CK236" s="191"/>
      <c r="CL236" s="352"/>
      <c r="CM236" s="191"/>
      <c r="CN236" s="191"/>
      <c r="CO236" s="191"/>
      <c r="CP236" s="709"/>
      <c r="CQ236" s="191"/>
      <c r="CR236" s="191"/>
      <c r="CS236" s="352"/>
      <c r="CT236" s="191"/>
      <c r="CU236" s="191"/>
      <c r="CV236" s="191"/>
      <c r="CW236" s="709"/>
      <c r="CX236" s="191"/>
      <c r="CY236" s="191"/>
      <c r="CZ236" s="1635"/>
      <c r="DA236" s="14"/>
      <c r="DB236" s="1716"/>
      <c r="DC236" s="14"/>
      <c r="DD236" s="1881"/>
      <c r="DE236" s="14"/>
      <c r="DF236" s="267"/>
      <c r="DG236" s="1635"/>
      <c r="DH236" s="863"/>
      <c r="DI236" s="1716"/>
      <c r="DJ236" s="14"/>
      <c r="DK236" s="709"/>
      <c r="DL236" s="14"/>
      <c r="DM236" s="191"/>
      <c r="DN236" s="1635"/>
      <c r="DO236" s="14"/>
      <c r="DP236" s="1716"/>
      <c r="DQ236" s="14"/>
      <c r="DR236" s="709"/>
      <c r="DS236" s="14"/>
      <c r="DT236" s="191"/>
      <c r="DU236" s="1635"/>
      <c r="DV236" s="14"/>
      <c r="DW236" s="1716"/>
      <c r="DX236" s="14"/>
      <c r="DY236" s="709"/>
      <c r="DZ236" s="14"/>
      <c r="EA236" s="191"/>
      <c r="EB236" s="1635"/>
      <c r="EC236" s="14"/>
      <c r="ED236" s="1716"/>
      <c r="EE236" s="14"/>
      <c r="EF236" s="709"/>
      <c r="EG236" s="14"/>
      <c r="EH236" s="191"/>
      <c r="EI236" s="1635"/>
      <c r="EJ236" s="14"/>
      <c r="EK236" s="1716"/>
      <c r="EL236" s="14"/>
      <c r="EM236" s="709"/>
      <c r="EN236" s="14"/>
      <c r="EO236" s="191"/>
      <c r="EP236" s="1635"/>
      <c r="EQ236" s="303"/>
      <c r="ER236" s="46"/>
    </row>
    <row r="237" spans="1:148" ht="10.199999999999999" customHeight="1">
      <c r="A237" s="116" t="s">
        <v>47</v>
      </c>
      <c r="B237" s="108"/>
      <c r="C237" s="108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709"/>
      <c r="R237" s="191"/>
      <c r="S237" s="191"/>
      <c r="T237" s="352"/>
      <c r="U237" s="191"/>
      <c r="V237" s="191"/>
      <c r="W237" s="191"/>
      <c r="X237" s="709"/>
      <c r="Y237" s="191"/>
      <c r="Z237" s="191"/>
      <c r="AA237" s="352"/>
      <c r="AB237" s="191"/>
      <c r="AC237" s="191"/>
      <c r="AD237" s="191"/>
      <c r="AE237" s="709"/>
      <c r="AF237" s="191"/>
      <c r="AG237" s="191"/>
      <c r="AH237" s="352"/>
      <c r="AI237" s="191"/>
      <c r="AJ237" s="191"/>
      <c r="AK237" s="191"/>
      <c r="AL237" s="709"/>
      <c r="AM237" s="191"/>
      <c r="AN237" s="191"/>
      <c r="AO237" s="352"/>
      <c r="AP237" s="191"/>
      <c r="AQ237" s="191"/>
      <c r="AR237" s="191"/>
      <c r="AS237" s="709"/>
      <c r="AT237" s="191"/>
      <c r="AU237" s="191"/>
      <c r="AV237" s="352"/>
      <c r="AW237" s="191"/>
      <c r="AX237" s="191"/>
      <c r="AY237" s="191"/>
      <c r="AZ237" s="709"/>
      <c r="BA237" s="191"/>
      <c r="BB237" s="191"/>
      <c r="BC237" s="352"/>
      <c r="BD237" s="191"/>
      <c r="BE237" s="191"/>
      <c r="BF237" s="191"/>
      <c r="BG237" s="709"/>
      <c r="BH237" s="191"/>
      <c r="BI237" s="191"/>
      <c r="BJ237" s="352"/>
      <c r="BK237" s="191"/>
      <c r="BL237" s="191"/>
      <c r="BM237" s="191"/>
      <c r="BN237" s="709"/>
      <c r="BO237" s="191"/>
      <c r="BP237" s="191"/>
      <c r="BQ237" s="352"/>
      <c r="BR237" s="191"/>
      <c r="BS237" s="191"/>
      <c r="BT237" s="191"/>
      <c r="BU237" s="709"/>
      <c r="BV237" s="191"/>
      <c r="BW237" s="191"/>
      <c r="BX237" s="352"/>
      <c r="BY237" s="191"/>
      <c r="BZ237" s="191"/>
      <c r="CA237" s="191"/>
      <c r="CB237" s="709"/>
      <c r="CC237" s="191"/>
      <c r="CD237" s="191"/>
      <c r="CE237" s="352"/>
      <c r="CF237" s="191"/>
      <c r="CG237" s="191"/>
      <c r="CH237" s="191"/>
      <c r="CI237" s="709"/>
      <c r="CJ237" s="191"/>
      <c r="CK237" s="191"/>
      <c r="CL237" s="352"/>
      <c r="CM237" s="191"/>
      <c r="CN237" s="191"/>
      <c r="CO237" s="191"/>
      <c r="CP237" s="709"/>
      <c r="CQ237" s="191"/>
      <c r="CR237" s="191"/>
      <c r="CS237" s="352"/>
      <c r="CT237" s="191"/>
      <c r="CU237" s="191"/>
      <c r="CV237" s="191"/>
      <c r="CW237" s="709"/>
      <c r="CX237" s="191"/>
      <c r="CY237" s="191"/>
      <c r="CZ237" s="1635"/>
      <c r="DA237" s="14"/>
      <c r="DB237" s="1716"/>
      <c r="DC237" s="14"/>
      <c r="DD237" s="1881"/>
      <c r="DE237" s="14"/>
      <c r="DF237" s="267"/>
      <c r="DG237" s="1635"/>
      <c r="DH237" s="863"/>
      <c r="DI237" s="1716"/>
      <c r="DJ237" s="14"/>
      <c r="DK237" s="709"/>
      <c r="DL237" s="14"/>
      <c r="DM237" s="191"/>
      <c r="DN237" s="1635"/>
      <c r="DO237" s="14"/>
      <c r="DP237" s="1716"/>
      <c r="DQ237" s="14"/>
      <c r="DR237" s="709"/>
      <c r="DS237" s="14"/>
      <c r="DT237" s="191"/>
      <c r="DU237" s="1635"/>
      <c r="DV237" s="14"/>
      <c r="DW237" s="1716"/>
      <c r="DX237" s="14"/>
      <c r="DY237" s="709"/>
      <c r="DZ237" s="14"/>
      <c r="EA237" s="191"/>
      <c r="EB237" s="1635"/>
      <c r="EC237" s="14"/>
      <c r="ED237" s="1716"/>
      <c r="EE237" s="14"/>
      <c r="EF237" s="709"/>
      <c r="EG237" s="14"/>
      <c r="EH237" s="191"/>
      <c r="EI237" s="1635"/>
      <c r="EJ237" s="14"/>
      <c r="EK237" s="1716"/>
      <c r="EL237" s="14"/>
      <c r="EM237" s="709"/>
      <c r="EN237" s="14"/>
      <c r="EO237" s="191"/>
      <c r="EP237" s="1635"/>
      <c r="EQ237" s="303"/>
      <c r="ER237" s="46"/>
    </row>
    <row r="238" spans="1:148" ht="10.199999999999999" customHeight="1">
      <c r="A238" s="43"/>
      <c r="B238" s="108"/>
      <c r="C238" s="108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709"/>
      <c r="R238" s="191"/>
      <c r="S238" s="191"/>
      <c r="T238" s="352"/>
      <c r="U238" s="191"/>
      <c r="V238" s="191"/>
      <c r="W238" s="191"/>
      <c r="X238" s="709"/>
      <c r="Y238" s="191"/>
      <c r="Z238" s="191"/>
      <c r="AA238" s="352"/>
      <c r="AB238" s="191"/>
      <c r="AC238" s="191"/>
      <c r="AD238" s="191"/>
      <c r="AE238" s="709"/>
      <c r="AF238" s="191"/>
      <c r="AG238" s="191"/>
      <c r="AH238" s="352"/>
      <c r="AI238" s="191"/>
      <c r="AJ238" s="191"/>
      <c r="AK238" s="191"/>
      <c r="AL238" s="709"/>
      <c r="AM238" s="191"/>
      <c r="AN238" s="191"/>
      <c r="AO238" s="352"/>
      <c r="AP238" s="191"/>
      <c r="AQ238" s="191"/>
      <c r="AR238" s="191"/>
      <c r="AS238" s="709"/>
      <c r="AT238" s="191"/>
      <c r="AU238" s="191"/>
      <c r="AV238" s="352"/>
      <c r="AW238" s="191"/>
      <c r="AX238" s="191"/>
      <c r="AY238" s="191"/>
      <c r="AZ238" s="709"/>
      <c r="BA238" s="191"/>
      <c r="BB238" s="191"/>
      <c r="BC238" s="352"/>
      <c r="BD238" s="191"/>
      <c r="BE238" s="191"/>
      <c r="BF238" s="191"/>
      <c r="BG238" s="709"/>
      <c r="BH238" s="191"/>
      <c r="BI238" s="191"/>
      <c r="BJ238" s="352"/>
      <c r="BK238" s="191"/>
      <c r="BL238" s="191"/>
      <c r="BM238" s="191"/>
      <c r="BN238" s="709"/>
      <c r="BO238" s="191"/>
      <c r="BP238" s="191"/>
      <c r="BQ238" s="352"/>
      <c r="BR238" s="191"/>
      <c r="BS238" s="191"/>
      <c r="BT238" s="191"/>
      <c r="BU238" s="709"/>
      <c r="BV238" s="191"/>
      <c r="BW238" s="191"/>
      <c r="BX238" s="352"/>
      <c r="BY238" s="191"/>
      <c r="BZ238" s="191"/>
      <c r="CA238" s="191"/>
      <c r="CB238" s="709"/>
      <c r="CC238" s="191"/>
      <c r="CD238" s="191"/>
      <c r="CE238" s="352"/>
      <c r="CF238" s="191"/>
      <c r="CG238" s="191"/>
      <c r="CH238" s="191"/>
      <c r="CI238" s="709"/>
      <c r="CJ238" s="191"/>
      <c r="CK238" s="191"/>
      <c r="CL238" s="352"/>
      <c r="CM238" s="191"/>
      <c r="CN238" s="191"/>
      <c r="CO238" s="191"/>
      <c r="CP238" s="709"/>
      <c r="CQ238" s="191"/>
      <c r="CR238" s="191"/>
      <c r="CS238" s="352"/>
      <c r="CT238" s="191"/>
      <c r="CU238" s="191"/>
      <c r="CV238" s="191"/>
      <c r="CW238" s="709"/>
      <c r="CX238" s="191"/>
      <c r="CY238" s="191"/>
      <c r="CZ238" s="1635"/>
      <c r="DA238" s="14"/>
      <c r="DB238" s="1716"/>
      <c r="DC238" s="14"/>
      <c r="DD238" s="1881"/>
      <c r="DE238" s="14"/>
      <c r="DF238" s="267"/>
      <c r="DG238" s="1635"/>
      <c r="DH238" s="863"/>
      <c r="DI238" s="1716"/>
      <c r="DJ238" s="14"/>
      <c r="DK238" s="709"/>
      <c r="DL238" s="14"/>
      <c r="DM238" s="191"/>
      <c r="DN238" s="1635"/>
      <c r="DO238" s="14"/>
      <c r="DP238" s="1716"/>
      <c r="DQ238" s="14"/>
      <c r="DR238" s="709"/>
      <c r="DS238" s="14"/>
      <c r="DT238" s="191"/>
      <c r="DU238" s="1635"/>
      <c r="DV238" s="14"/>
      <c r="DW238" s="1716"/>
      <c r="DX238" s="14"/>
      <c r="DY238" s="709"/>
      <c r="DZ238" s="14"/>
      <c r="EA238" s="191"/>
      <c r="EB238" s="1635"/>
      <c r="EC238" s="14"/>
      <c r="ED238" s="1716"/>
      <c r="EE238" s="14"/>
      <c r="EF238" s="709"/>
      <c r="EG238" s="14"/>
      <c r="EH238" s="191"/>
      <c r="EI238" s="1635"/>
      <c r="EJ238" s="14"/>
      <c r="EK238" s="1716"/>
      <c r="EL238" s="14"/>
      <c r="EM238" s="709"/>
      <c r="EN238" s="14"/>
      <c r="EO238" s="191"/>
      <c r="EP238" s="1635"/>
      <c r="EQ238" s="303"/>
      <c r="ER238" s="46"/>
    </row>
    <row r="239" spans="1:148" ht="10.199999999999999" customHeight="1">
      <c r="A239" s="48" t="s">
        <v>216</v>
      </c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700"/>
      <c r="R239" s="108"/>
      <c r="S239" s="108"/>
      <c r="T239" s="538"/>
      <c r="U239" s="108"/>
      <c r="V239" s="108"/>
      <c r="W239" s="108"/>
      <c r="X239" s="700"/>
      <c r="Y239" s="108"/>
      <c r="Z239" s="108"/>
      <c r="AA239" s="538"/>
      <c r="AB239" s="108"/>
      <c r="AC239" s="108"/>
      <c r="AD239" s="108"/>
      <c r="AE239" s="700"/>
      <c r="AF239" s="108"/>
      <c r="AG239" s="108"/>
      <c r="AH239" s="538"/>
      <c r="AI239" s="108"/>
      <c r="AJ239" s="108"/>
      <c r="AK239" s="108"/>
      <c r="AL239" s="700"/>
      <c r="AM239" s="108"/>
      <c r="AN239" s="108"/>
      <c r="AO239" s="538"/>
      <c r="AP239" s="108"/>
      <c r="AQ239" s="108"/>
      <c r="AR239" s="108"/>
      <c r="AS239" s="700"/>
      <c r="AT239" s="108"/>
      <c r="AU239" s="108"/>
      <c r="AV239" s="538"/>
      <c r="AW239" s="108"/>
      <c r="AX239" s="108"/>
      <c r="AY239" s="108"/>
      <c r="AZ239" s="700"/>
      <c r="BA239" s="108"/>
      <c r="BB239" s="108"/>
      <c r="BC239" s="538"/>
      <c r="BD239" s="108"/>
      <c r="BE239" s="108"/>
      <c r="BF239" s="108"/>
      <c r="BG239" s="700"/>
      <c r="BH239" s="108"/>
      <c r="BI239" s="108"/>
      <c r="BJ239" s="538"/>
      <c r="BK239" s="108"/>
      <c r="BL239" s="108"/>
      <c r="BM239" s="108"/>
      <c r="BN239" s="700"/>
      <c r="BO239" s="108"/>
      <c r="BP239" s="108"/>
      <c r="BQ239" s="538"/>
      <c r="BR239" s="108"/>
      <c r="BS239" s="108"/>
      <c r="BT239" s="108"/>
      <c r="BU239" s="700"/>
      <c r="BV239" s="108"/>
      <c r="BW239" s="108"/>
      <c r="BX239" s="538"/>
      <c r="BY239" s="108"/>
      <c r="BZ239" s="108"/>
      <c r="CA239" s="108"/>
      <c r="CB239" s="700"/>
      <c r="CC239" s="108"/>
      <c r="CD239" s="108"/>
      <c r="CE239" s="538"/>
      <c r="CF239" s="108"/>
      <c r="CG239" s="108"/>
      <c r="CH239" s="108"/>
      <c r="CI239" s="700"/>
      <c r="CJ239" s="108"/>
      <c r="CK239" s="108"/>
      <c r="CL239" s="538"/>
      <c r="CM239" s="108"/>
      <c r="CN239" s="108"/>
      <c r="CO239" s="108"/>
      <c r="CP239" s="700"/>
      <c r="CQ239" s="108"/>
      <c r="CR239" s="108"/>
      <c r="CS239" s="538"/>
      <c r="CT239" s="108"/>
      <c r="CU239" s="108"/>
      <c r="CV239" s="108"/>
      <c r="CW239" s="700"/>
      <c r="CX239" s="108"/>
      <c r="CY239" s="108"/>
      <c r="CZ239" s="1479"/>
      <c r="DA239" s="3"/>
      <c r="DB239" s="456"/>
      <c r="DC239" s="3"/>
      <c r="DD239" s="1868"/>
      <c r="DE239" s="3"/>
      <c r="DF239" s="266"/>
      <c r="DG239" s="1479"/>
      <c r="DH239" s="1"/>
      <c r="DI239" s="456"/>
      <c r="DJ239" s="3"/>
      <c r="DK239" s="700"/>
      <c r="DL239" s="3"/>
      <c r="DM239" s="108"/>
      <c r="DN239" s="1479"/>
      <c r="DO239" s="3"/>
      <c r="DP239" s="456"/>
      <c r="DQ239" s="3"/>
      <c r="DR239" s="700"/>
      <c r="DS239" s="3"/>
      <c r="DT239" s="108"/>
      <c r="DU239" s="1479"/>
      <c r="DV239" s="3"/>
      <c r="DW239" s="456"/>
      <c r="DX239" s="3"/>
      <c r="DY239" s="700"/>
      <c r="DZ239" s="3"/>
      <c r="EA239" s="108"/>
      <c r="EB239" s="1479"/>
      <c r="EC239" s="3"/>
      <c r="ED239" s="456"/>
      <c r="EE239" s="3"/>
      <c r="EF239" s="700"/>
      <c r="EG239" s="3"/>
      <c r="EH239" s="108"/>
      <c r="EI239" s="1479"/>
      <c r="EJ239" s="3"/>
      <c r="EK239" s="456"/>
      <c r="EL239" s="3"/>
      <c r="EM239" s="700"/>
      <c r="EN239" s="3"/>
      <c r="EO239" s="108"/>
      <c r="EP239" s="1479"/>
      <c r="EQ239" s="303"/>
      <c r="ER239" s="46"/>
    </row>
    <row r="240" spans="1:148" ht="10.199999999999999" customHeight="1">
      <c r="A240" s="60" t="s">
        <v>180</v>
      </c>
      <c r="B240" s="108"/>
      <c r="C240" s="130">
        <f t="shared" ref="C240:K240" si="1774">+C6</f>
        <v>799</v>
      </c>
      <c r="D240" s="130">
        <f t="shared" si="1774"/>
        <v>468</v>
      </c>
      <c r="E240" s="130">
        <f t="shared" si="1774"/>
        <v>466</v>
      </c>
      <c r="F240" s="130">
        <f t="shared" si="1774"/>
        <v>29</v>
      </c>
      <c r="G240" s="130">
        <f t="shared" si="1774"/>
        <v>549</v>
      </c>
      <c r="H240" s="130">
        <f t="shared" si="1774"/>
        <v>1598</v>
      </c>
      <c r="I240" s="130">
        <f t="shared" si="1774"/>
        <v>3912</v>
      </c>
      <c r="J240" s="130">
        <f t="shared" si="1774"/>
        <v>4072</v>
      </c>
      <c r="K240" s="130">
        <f t="shared" si="1774"/>
        <v>5834</v>
      </c>
      <c r="L240" s="130">
        <f t="shared" ref="L240:EP240" si="1775">+L6+L18</f>
        <v>11501</v>
      </c>
      <c r="M240" s="130">
        <f t="shared" si="1775"/>
        <v>8315</v>
      </c>
      <c r="N240" s="130"/>
      <c r="O240" s="130"/>
      <c r="P240" s="130"/>
      <c r="Q240" s="698"/>
      <c r="R240" s="130"/>
      <c r="S240" s="130"/>
      <c r="T240" s="619">
        <f t="shared" si="1775"/>
        <v>6883</v>
      </c>
      <c r="U240" s="130">
        <f t="shared" ref="U240:X240" si="1776">+U6+U18</f>
        <v>7290</v>
      </c>
      <c r="V240" s="130">
        <f t="shared" si="1776"/>
        <v>7340</v>
      </c>
      <c r="W240" s="130">
        <f t="shared" si="1776"/>
        <v>7263</v>
      </c>
      <c r="X240" s="698">
        <f t="shared" si="1776"/>
        <v>9172</v>
      </c>
      <c r="Y240" s="130">
        <f t="shared" ref="Y240:Z240" si="1777">+Y6+Y18</f>
        <v>7340</v>
      </c>
      <c r="Z240" s="130">
        <f t="shared" si="1777"/>
        <v>9172</v>
      </c>
      <c r="AA240" s="619">
        <f t="shared" si="1775"/>
        <v>9172</v>
      </c>
      <c r="AB240" s="130">
        <f t="shared" si="1775"/>
        <v>9903</v>
      </c>
      <c r="AC240" s="130">
        <f t="shared" si="1775"/>
        <v>11270</v>
      </c>
      <c r="AD240" s="130">
        <f t="shared" si="1775"/>
        <v>11427</v>
      </c>
      <c r="AE240" s="698">
        <f t="shared" si="1775"/>
        <v>11639</v>
      </c>
      <c r="AF240" s="130">
        <f t="shared" ref="AF240:AG240" si="1778">+AF6+AF18</f>
        <v>11270</v>
      </c>
      <c r="AG240" s="130">
        <f t="shared" si="1778"/>
        <v>11639</v>
      </c>
      <c r="AH240" s="619">
        <f t="shared" si="1775"/>
        <v>11639</v>
      </c>
      <c r="AI240" s="130">
        <f t="shared" ref="AI240:AL240" si="1779">+AI6+AI18</f>
        <v>11278</v>
      </c>
      <c r="AJ240" s="130">
        <f t="shared" si="1779"/>
        <v>11453</v>
      </c>
      <c r="AK240" s="130">
        <f t="shared" si="1779"/>
        <v>11178</v>
      </c>
      <c r="AL240" s="698">
        <f t="shared" si="1779"/>
        <v>11448</v>
      </c>
      <c r="AM240" s="130">
        <f t="shared" ref="AM240:AN240" si="1780">+AM6+AM18</f>
        <v>11453</v>
      </c>
      <c r="AN240" s="130">
        <f t="shared" si="1780"/>
        <v>11448</v>
      </c>
      <c r="AO240" s="619">
        <f t="shared" si="1775"/>
        <v>11448</v>
      </c>
      <c r="AP240" s="130">
        <f t="shared" si="1775"/>
        <v>11138</v>
      </c>
      <c r="AQ240" s="130">
        <f t="shared" si="1775"/>
        <v>11454</v>
      </c>
      <c r="AR240" s="130">
        <f t="shared" si="1775"/>
        <v>11388</v>
      </c>
      <c r="AS240" s="698">
        <f t="shared" si="1775"/>
        <v>12571</v>
      </c>
      <c r="AT240" s="130">
        <f t="shared" ref="AT240:AU240" si="1781">+AT6+AT18</f>
        <v>11454</v>
      </c>
      <c r="AU240" s="130">
        <f t="shared" si="1781"/>
        <v>12571</v>
      </c>
      <c r="AV240" s="619">
        <f t="shared" si="1775"/>
        <v>12571</v>
      </c>
      <c r="AW240" s="130"/>
      <c r="AX240" s="130"/>
      <c r="AY240" s="130"/>
      <c r="AZ240" s="698"/>
      <c r="BA240" s="130"/>
      <c r="BB240" s="130"/>
      <c r="BC240" s="619">
        <f t="shared" si="1775"/>
        <v>12571</v>
      </c>
      <c r="BD240" s="130">
        <f t="shared" ref="BD240:BG240" si="1782">+BD6+BD18</f>
        <v>12569</v>
      </c>
      <c r="BE240" s="130">
        <f t="shared" si="1782"/>
        <v>12637</v>
      </c>
      <c r="BF240" s="130">
        <f t="shared" si="1782"/>
        <v>12722</v>
      </c>
      <c r="BG240" s="698">
        <f t="shared" si="1782"/>
        <v>12794</v>
      </c>
      <c r="BH240" s="130">
        <f t="shared" ref="BH240:BI240" si="1783">+BH6+BH18</f>
        <v>12637</v>
      </c>
      <c r="BI240" s="130">
        <f t="shared" si="1783"/>
        <v>12794</v>
      </c>
      <c r="BJ240" s="619">
        <f t="shared" si="1775"/>
        <v>12794</v>
      </c>
      <c r="BK240" s="130">
        <f t="shared" si="1775"/>
        <v>12495</v>
      </c>
      <c r="BL240" s="130">
        <f t="shared" si="1775"/>
        <v>12631</v>
      </c>
      <c r="BM240" s="130">
        <f t="shared" si="1775"/>
        <v>13162</v>
      </c>
      <c r="BN240" s="698">
        <f t="shared" si="1775"/>
        <v>13368</v>
      </c>
      <c r="BO240" s="130">
        <f t="shared" ref="BO240:BP240" si="1784">+BO6+BO18</f>
        <v>12631</v>
      </c>
      <c r="BP240" s="130">
        <f t="shared" si="1784"/>
        <v>13368</v>
      </c>
      <c r="BQ240" s="619">
        <f t="shared" si="1775"/>
        <v>13368</v>
      </c>
      <c r="BR240" s="130">
        <f t="shared" ref="BR240:BU240" si="1785">+BR6+BR18</f>
        <v>12055</v>
      </c>
      <c r="BS240" s="130">
        <f t="shared" si="1785"/>
        <v>7560</v>
      </c>
      <c r="BT240" s="130">
        <f t="shared" si="1785"/>
        <v>7168</v>
      </c>
      <c r="BU240" s="698">
        <f t="shared" si="1785"/>
        <v>6968</v>
      </c>
      <c r="BV240" s="130">
        <f t="shared" ref="BV240:BW240" si="1786">+BV6+BV18</f>
        <v>7560</v>
      </c>
      <c r="BW240" s="130">
        <f t="shared" si="1786"/>
        <v>6968</v>
      </c>
      <c r="BX240" s="619">
        <f t="shared" si="1775"/>
        <v>6968</v>
      </c>
      <c r="BY240" s="130">
        <f t="shared" si="1775"/>
        <v>6577</v>
      </c>
      <c r="BZ240" s="130">
        <f t="shared" si="1775"/>
        <v>6780</v>
      </c>
      <c r="CA240" s="130">
        <f t="shared" si="1775"/>
        <v>6802</v>
      </c>
      <c r="CB240" s="698">
        <f t="shared" si="1775"/>
        <v>8111</v>
      </c>
      <c r="CC240" s="130">
        <f t="shared" ref="CC240:CD240" si="1787">+CC6+CC18</f>
        <v>6780</v>
      </c>
      <c r="CD240" s="130">
        <f t="shared" si="1787"/>
        <v>8111</v>
      </c>
      <c r="CE240" s="619">
        <f t="shared" si="1775"/>
        <v>8111</v>
      </c>
      <c r="CF240" s="130">
        <f t="shared" ref="CF240:CI240" si="1788">+CF6+CF18</f>
        <v>7771</v>
      </c>
      <c r="CG240" s="130">
        <f t="shared" si="1788"/>
        <v>7416</v>
      </c>
      <c r="CH240" s="130">
        <f t="shared" si="1788"/>
        <v>7942</v>
      </c>
      <c r="CI240" s="698">
        <f t="shared" si="1788"/>
        <v>7775</v>
      </c>
      <c r="CJ240" s="130">
        <f t="shared" ref="CJ240:CK240" si="1789">+CJ6+CJ18</f>
        <v>7416</v>
      </c>
      <c r="CK240" s="130">
        <f t="shared" si="1789"/>
        <v>7775</v>
      </c>
      <c r="CL240" s="619">
        <f t="shared" si="1775"/>
        <v>7775</v>
      </c>
      <c r="CM240" s="130">
        <f t="shared" si="1775"/>
        <v>7906</v>
      </c>
      <c r="CN240" s="130">
        <f t="shared" si="1775"/>
        <v>8386</v>
      </c>
      <c r="CO240" s="130">
        <f t="shared" si="1775"/>
        <v>8763</v>
      </c>
      <c r="CP240" s="698">
        <f t="shared" si="1775"/>
        <v>8809</v>
      </c>
      <c r="CQ240" s="130">
        <f t="shared" ref="CQ240:CR240" si="1790">+CQ6+CQ18</f>
        <v>8386</v>
      </c>
      <c r="CR240" s="130">
        <f t="shared" si="1790"/>
        <v>8809</v>
      </c>
      <c r="CS240" s="619">
        <f t="shared" ref="CS240:CT240" si="1791">+CS6+CS18</f>
        <v>8809</v>
      </c>
      <c r="CT240" s="130">
        <f t="shared" si="1791"/>
        <v>9809</v>
      </c>
      <c r="CU240" s="130">
        <f t="shared" ref="CU240:CW240" si="1792">+CU6+CU18</f>
        <v>10947</v>
      </c>
      <c r="CV240" s="130">
        <f t="shared" si="1792"/>
        <v>11907</v>
      </c>
      <c r="CW240" s="698">
        <f t="shared" si="1792"/>
        <v>11861</v>
      </c>
      <c r="CX240" s="130">
        <f t="shared" ref="CX240:DC240" si="1793">+CX6+CX18</f>
        <v>10947</v>
      </c>
      <c r="CY240" s="130">
        <f t="shared" si="1793"/>
        <v>11861</v>
      </c>
      <c r="CZ240" s="619">
        <f t="shared" si="1793"/>
        <v>11861</v>
      </c>
      <c r="DA240" s="130">
        <f t="shared" si="1793"/>
        <v>12417</v>
      </c>
      <c r="DB240" s="130">
        <f t="shared" si="1793"/>
        <v>12886</v>
      </c>
      <c r="DC240" s="130">
        <f t="shared" si="1793"/>
        <v>12990</v>
      </c>
      <c r="DD240" s="1906">
        <f t="shared" ref="DD240:DE240" si="1794">+DD6+DD18</f>
        <v>13090</v>
      </c>
      <c r="DE240" s="130">
        <f t="shared" si="1794"/>
        <v>12886</v>
      </c>
      <c r="DF240" s="1909">
        <f t="shared" ref="DF240:DI240" si="1795">+DF6+DF18</f>
        <v>13090</v>
      </c>
      <c r="DG240" s="619">
        <f t="shared" si="1795"/>
        <v>13090</v>
      </c>
      <c r="DH240" s="317">
        <f t="shared" si="1795"/>
        <v>13365</v>
      </c>
      <c r="DI240" s="130">
        <f t="shared" si="1795"/>
        <v>13877</v>
      </c>
      <c r="DJ240" s="624">
        <f t="shared" si="1775"/>
        <v>13877</v>
      </c>
      <c r="DK240" s="741">
        <f t="shared" si="1775"/>
        <v>13811</v>
      </c>
      <c r="DL240" s="130">
        <f t="shared" si="1775"/>
        <v>13877</v>
      </c>
      <c r="DM240" s="624">
        <f t="shared" si="1775"/>
        <v>13811</v>
      </c>
      <c r="DN240" s="1113">
        <f t="shared" si="1775"/>
        <v>13811</v>
      </c>
      <c r="DO240" s="624">
        <f t="shared" si="1775"/>
        <v>13811</v>
      </c>
      <c r="DP240" s="617">
        <f t="shared" si="1775"/>
        <v>13811</v>
      </c>
      <c r="DQ240" s="624">
        <f t="shared" si="1775"/>
        <v>13811</v>
      </c>
      <c r="DR240" s="741">
        <f t="shared" si="1775"/>
        <v>13811</v>
      </c>
      <c r="DS240" s="624">
        <f t="shared" si="1775"/>
        <v>13811</v>
      </c>
      <c r="DT240" s="624">
        <f t="shared" si="1775"/>
        <v>13811</v>
      </c>
      <c r="DU240" s="1113">
        <f t="shared" si="1775"/>
        <v>13811</v>
      </c>
      <c r="DV240" s="624">
        <f t="shared" si="1775"/>
        <v>13811</v>
      </c>
      <c r="DW240" s="617">
        <f t="shared" si="1775"/>
        <v>13811</v>
      </c>
      <c r="DX240" s="624">
        <f t="shared" si="1775"/>
        <v>13811</v>
      </c>
      <c r="DY240" s="741">
        <f t="shared" si="1775"/>
        <v>13811</v>
      </c>
      <c r="DZ240" s="624">
        <f t="shared" si="1775"/>
        <v>13811</v>
      </c>
      <c r="EA240" s="624">
        <f t="shared" si="1775"/>
        <v>13811</v>
      </c>
      <c r="EB240" s="1113">
        <f t="shared" si="1775"/>
        <v>13811</v>
      </c>
      <c r="EC240" s="624">
        <f t="shared" si="1775"/>
        <v>13811</v>
      </c>
      <c r="ED240" s="617">
        <f t="shared" si="1775"/>
        <v>13811</v>
      </c>
      <c r="EE240" s="624">
        <f t="shared" si="1775"/>
        <v>13811</v>
      </c>
      <c r="EF240" s="741">
        <f t="shared" si="1775"/>
        <v>13811</v>
      </c>
      <c r="EG240" s="624">
        <f t="shared" si="1775"/>
        <v>13811</v>
      </c>
      <c r="EH240" s="624">
        <f t="shared" si="1775"/>
        <v>13811</v>
      </c>
      <c r="EI240" s="1113">
        <f t="shared" si="1775"/>
        <v>13811</v>
      </c>
      <c r="EJ240" s="624">
        <f t="shared" si="1775"/>
        <v>13811</v>
      </c>
      <c r="EK240" s="617">
        <f t="shared" si="1775"/>
        <v>13811</v>
      </c>
      <c r="EL240" s="624">
        <f t="shared" si="1775"/>
        <v>13811</v>
      </c>
      <c r="EM240" s="741">
        <f t="shared" si="1775"/>
        <v>13811</v>
      </c>
      <c r="EN240" s="624">
        <f t="shared" si="1775"/>
        <v>13811</v>
      </c>
      <c r="EO240" s="624">
        <f t="shared" si="1775"/>
        <v>13811</v>
      </c>
      <c r="EP240" s="1113">
        <f t="shared" si="1775"/>
        <v>13811</v>
      </c>
      <c r="EQ240" s="303"/>
      <c r="ER240" s="46"/>
    </row>
    <row r="241" spans="1:148" ht="10.199999999999999" customHeight="1">
      <c r="A241" s="60" t="str">
        <f>A7</f>
        <v>Cash and cash equivalents</v>
      </c>
      <c r="B241" s="108"/>
      <c r="C241" s="130">
        <f t="shared" ref="C241:K241" si="1796">+C7</f>
        <v>5401</v>
      </c>
      <c r="D241" s="130">
        <f t="shared" si="1796"/>
        <v>7404</v>
      </c>
      <c r="E241" s="130">
        <f t="shared" si="1796"/>
        <v>8718</v>
      </c>
      <c r="F241" s="130">
        <f t="shared" si="1796"/>
        <v>9546</v>
      </c>
      <c r="G241" s="130">
        <f t="shared" si="1796"/>
        <v>8143</v>
      </c>
      <c r="H241" s="130">
        <f t="shared" si="1796"/>
        <v>7549</v>
      </c>
      <c r="I241" s="130">
        <f t="shared" si="1796"/>
        <v>6745</v>
      </c>
      <c r="J241" s="130">
        <f t="shared" si="1796"/>
        <v>7038</v>
      </c>
      <c r="K241" s="130">
        <f t="shared" si="1796"/>
        <v>5030</v>
      </c>
      <c r="L241" s="130">
        <f t="shared" ref="L241:EP241" si="1797">+L7</f>
        <v>5284</v>
      </c>
      <c r="M241" s="130">
        <f t="shared" si="1797"/>
        <v>8756</v>
      </c>
      <c r="N241" s="130"/>
      <c r="O241" s="130"/>
      <c r="P241" s="130"/>
      <c r="Q241" s="698"/>
      <c r="R241" s="130"/>
      <c r="S241" s="130"/>
      <c r="T241" s="619">
        <f t="shared" si="1797"/>
        <v>7201</v>
      </c>
      <c r="U241" s="130">
        <f t="shared" ref="U241:X241" si="1798">+U7</f>
        <v>5864</v>
      </c>
      <c r="V241" s="130">
        <f t="shared" si="1798"/>
        <v>6145</v>
      </c>
      <c r="W241" s="130">
        <f t="shared" si="1798"/>
        <v>5156</v>
      </c>
      <c r="X241" s="698">
        <f t="shared" si="1798"/>
        <v>7289</v>
      </c>
      <c r="Y241" s="130">
        <f t="shared" ref="Y241:Z241" si="1799">+Y7</f>
        <v>6145</v>
      </c>
      <c r="Z241" s="130">
        <f t="shared" si="1799"/>
        <v>7289</v>
      </c>
      <c r="AA241" s="619">
        <f t="shared" si="1797"/>
        <v>7289</v>
      </c>
      <c r="AB241" s="130">
        <f t="shared" si="1797"/>
        <v>7439</v>
      </c>
      <c r="AC241" s="130">
        <f t="shared" si="1797"/>
        <v>5613</v>
      </c>
      <c r="AD241" s="130">
        <f t="shared" si="1797"/>
        <v>5850</v>
      </c>
      <c r="AE241" s="698">
        <f t="shared" si="1797"/>
        <v>7576</v>
      </c>
      <c r="AF241" s="130">
        <f t="shared" ref="AF241:AG241" si="1800">+AF7</f>
        <v>5613</v>
      </c>
      <c r="AG241" s="130">
        <f t="shared" si="1800"/>
        <v>7576</v>
      </c>
      <c r="AH241" s="619">
        <f t="shared" si="1797"/>
        <v>7576</v>
      </c>
      <c r="AI241" s="130">
        <f t="shared" ref="AI241:AL241" si="1801">+AI7</f>
        <v>6794</v>
      </c>
      <c r="AJ241" s="130">
        <f t="shared" si="1801"/>
        <v>7986</v>
      </c>
      <c r="AK241" s="130">
        <f t="shared" si="1801"/>
        <v>5715</v>
      </c>
      <c r="AL241" s="698">
        <f t="shared" si="1801"/>
        <v>10143</v>
      </c>
      <c r="AM241" s="130">
        <f t="shared" ref="AM241:AN241" si="1802">+AM7</f>
        <v>7986</v>
      </c>
      <c r="AN241" s="130">
        <f t="shared" si="1802"/>
        <v>10143</v>
      </c>
      <c r="AO241" s="619">
        <f t="shared" si="1797"/>
        <v>10143</v>
      </c>
      <c r="AP241" s="130">
        <f t="shared" si="1797"/>
        <v>9186</v>
      </c>
      <c r="AQ241" s="130">
        <f t="shared" si="1797"/>
        <v>7887</v>
      </c>
      <c r="AR241" s="130">
        <f t="shared" si="1797"/>
        <v>6592</v>
      </c>
      <c r="AS241" s="698">
        <f t="shared" si="1797"/>
        <v>12016</v>
      </c>
      <c r="AT241" s="130">
        <f t="shared" ref="AT241:AU241" si="1803">+AT7</f>
        <v>7887</v>
      </c>
      <c r="AU241" s="130">
        <f t="shared" si="1803"/>
        <v>12016</v>
      </c>
      <c r="AV241" s="619">
        <f t="shared" si="1797"/>
        <v>12016</v>
      </c>
      <c r="AW241" s="130"/>
      <c r="AX241" s="130"/>
      <c r="AY241" s="130"/>
      <c r="AZ241" s="698"/>
      <c r="BA241" s="130"/>
      <c r="BB241" s="130"/>
      <c r="BC241" s="619">
        <f t="shared" si="1797"/>
        <v>12016</v>
      </c>
      <c r="BD241" s="130">
        <f t="shared" ref="BD241:BG241" si="1804">+BD7</f>
        <v>8354</v>
      </c>
      <c r="BE241" s="130">
        <f t="shared" si="1804"/>
        <v>5138</v>
      </c>
      <c r="BF241" s="130">
        <f t="shared" si="1804"/>
        <v>5603</v>
      </c>
      <c r="BG241" s="698">
        <f t="shared" si="1804"/>
        <v>9413</v>
      </c>
      <c r="BH241" s="130">
        <f t="shared" ref="BH241:BI241" si="1805">+BH7</f>
        <v>5138</v>
      </c>
      <c r="BI241" s="130">
        <f t="shared" si="1805"/>
        <v>9413</v>
      </c>
      <c r="BJ241" s="619">
        <f t="shared" si="1797"/>
        <v>9413</v>
      </c>
      <c r="BK241" s="130">
        <f t="shared" si="1797"/>
        <v>5987</v>
      </c>
      <c r="BL241" s="130">
        <f t="shared" si="1797"/>
        <v>5218</v>
      </c>
      <c r="BM241" s="130">
        <f t="shared" si="1797"/>
        <v>4613</v>
      </c>
      <c r="BN241" s="698">
        <f t="shared" si="1797"/>
        <v>9314</v>
      </c>
      <c r="BO241" s="130">
        <f t="shared" ref="BO241:BP241" si="1806">+BO7</f>
        <v>5218</v>
      </c>
      <c r="BP241" s="130">
        <f t="shared" si="1806"/>
        <v>9314</v>
      </c>
      <c r="BQ241" s="619">
        <f t="shared" si="1797"/>
        <v>9314</v>
      </c>
      <c r="BR241" s="130">
        <f t="shared" ref="BR241:BU241" si="1807">+BR7</f>
        <v>6348</v>
      </c>
      <c r="BS241" s="130">
        <f t="shared" si="1807"/>
        <v>9924</v>
      </c>
      <c r="BT241" s="130">
        <f t="shared" si="1807"/>
        <v>10927</v>
      </c>
      <c r="BU241" s="698">
        <f t="shared" si="1807"/>
        <v>14439</v>
      </c>
      <c r="BV241" s="130">
        <f t="shared" ref="BV241:BW241" si="1808">+BV7</f>
        <v>9924</v>
      </c>
      <c r="BW241" s="130">
        <f t="shared" si="1808"/>
        <v>14439</v>
      </c>
      <c r="BX241" s="619">
        <f t="shared" si="1797"/>
        <v>14439</v>
      </c>
      <c r="BY241" s="130">
        <f t="shared" si="1797"/>
        <v>15973</v>
      </c>
      <c r="BZ241" s="130">
        <f t="shared" si="1797"/>
        <v>14661</v>
      </c>
      <c r="CA241" s="130">
        <f t="shared" si="1797"/>
        <v>14854</v>
      </c>
      <c r="CB241" s="698">
        <f t="shared" si="1797"/>
        <v>14572</v>
      </c>
      <c r="CC241" s="130">
        <f t="shared" ref="CC241:CD241" si="1809">+CC7</f>
        <v>14661</v>
      </c>
      <c r="CD241" s="130">
        <f t="shared" si="1809"/>
        <v>14572</v>
      </c>
      <c r="CE241" s="619">
        <f t="shared" si="1797"/>
        <v>14572</v>
      </c>
      <c r="CF241" s="130">
        <f t="shared" ref="CF241:CI241" si="1810">+CF7</f>
        <v>15045</v>
      </c>
      <c r="CG241" s="130">
        <f t="shared" si="1810"/>
        <v>14145</v>
      </c>
      <c r="CH241" s="130">
        <f t="shared" si="1810"/>
        <v>14515</v>
      </c>
      <c r="CI241" s="698">
        <f t="shared" si="1810"/>
        <v>15823</v>
      </c>
      <c r="CJ241" s="130">
        <f t="shared" ref="CJ241:CK241" si="1811">+CJ7</f>
        <v>14145</v>
      </c>
      <c r="CK241" s="130">
        <f t="shared" si="1811"/>
        <v>15823</v>
      </c>
      <c r="CL241" s="619">
        <f t="shared" si="1797"/>
        <v>15823</v>
      </c>
      <c r="CM241" s="130">
        <f t="shared" si="1797"/>
        <v>14512</v>
      </c>
      <c r="CN241" s="130">
        <f t="shared" si="1797"/>
        <v>14533</v>
      </c>
      <c r="CO241" s="130">
        <f t="shared" si="1797"/>
        <v>13642</v>
      </c>
      <c r="CP241" s="698">
        <f t="shared" si="1797"/>
        <v>16469</v>
      </c>
      <c r="CQ241" s="130">
        <f t="shared" ref="CQ241:CR241" si="1812">+CQ7</f>
        <v>14533</v>
      </c>
      <c r="CR241" s="130">
        <f t="shared" si="1812"/>
        <v>16469</v>
      </c>
      <c r="CS241" s="619">
        <f t="shared" ref="CS241:CT241" si="1813">+CS7</f>
        <v>16469</v>
      </c>
      <c r="CT241" s="130">
        <f t="shared" si="1813"/>
        <v>13615</v>
      </c>
      <c r="CU241" s="130">
        <f t="shared" ref="CU241:CW241" si="1814">+CU7</f>
        <v>10928</v>
      </c>
      <c r="CV241" s="130">
        <f t="shared" si="1814"/>
        <v>9181</v>
      </c>
      <c r="CW241" s="698">
        <f t="shared" si="1814"/>
        <v>15003</v>
      </c>
      <c r="CX241" s="130">
        <f t="shared" ref="CX241:DC241" si="1815">+CX7</f>
        <v>10928</v>
      </c>
      <c r="CY241" s="130">
        <f t="shared" si="1815"/>
        <v>15003</v>
      </c>
      <c r="CZ241" s="619">
        <f t="shared" si="1815"/>
        <v>15003</v>
      </c>
      <c r="DA241" s="130">
        <f t="shared" si="1815"/>
        <v>13676</v>
      </c>
      <c r="DB241" s="130">
        <f t="shared" si="1815"/>
        <v>8195</v>
      </c>
      <c r="DC241" s="130">
        <f t="shared" si="1815"/>
        <v>8344</v>
      </c>
      <c r="DD241" s="1906">
        <f t="shared" ref="DD241:DE241" si="1816">+DD7</f>
        <v>14128</v>
      </c>
      <c r="DE241" s="130">
        <f t="shared" si="1816"/>
        <v>8195</v>
      </c>
      <c r="DF241" s="1909">
        <f t="shared" ref="DF241:DI241" si="1817">+DF7</f>
        <v>14128</v>
      </c>
      <c r="DG241" s="619">
        <f t="shared" si="1817"/>
        <v>14128</v>
      </c>
      <c r="DH241" s="317">
        <f t="shared" si="1817"/>
        <v>11872</v>
      </c>
      <c r="DI241" s="130">
        <f t="shared" si="1817"/>
        <v>9499</v>
      </c>
      <c r="DJ241" s="624">
        <f t="shared" si="1797"/>
        <v>10174.888926706955</v>
      </c>
      <c r="DK241" s="741">
        <f t="shared" si="1797"/>
        <v>15251.315290264629</v>
      </c>
      <c r="DL241" s="130">
        <f t="shared" si="1797"/>
        <v>9499</v>
      </c>
      <c r="DM241" s="624">
        <f t="shared" si="1797"/>
        <v>15251.315290264629</v>
      </c>
      <c r="DN241" s="1113">
        <f t="shared" si="1797"/>
        <v>15251.315290264629</v>
      </c>
      <c r="DO241" s="624">
        <f t="shared" si="1797"/>
        <v>13799.703557681096</v>
      </c>
      <c r="DP241" s="617">
        <f t="shared" si="1797"/>
        <v>12925.897155872839</v>
      </c>
      <c r="DQ241" s="624">
        <f t="shared" si="1797"/>
        <v>15516.919444198786</v>
      </c>
      <c r="DR241" s="741">
        <f t="shared" si="1797"/>
        <v>17679.264435215046</v>
      </c>
      <c r="DS241" s="624">
        <f t="shared" si="1797"/>
        <v>12925.897155872839</v>
      </c>
      <c r="DT241" s="624">
        <f t="shared" si="1797"/>
        <v>17679.264435215046</v>
      </c>
      <c r="DU241" s="1113">
        <f t="shared" si="1797"/>
        <v>17679.264435215046</v>
      </c>
      <c r="DV241" s="624">
        <f t="shared" si="1797"/>
        <v>17083.438205138318</v>
      </c>
      <c r="DW241" s="617">
        <f t="shared" si="1797"/>
        <v>16220.931632107349</v>
      </c>
      <c r="DX241" s="624">
        <f t="shared" si="1797"/>
        <v>19295.638034577278</v>
      </c>
      <c r="DY241" s="741">
        <f t="shared" si="1797"/>
        <v>22077.961050330177</v>
      </c>
      <c r="DZ241" s="624">
        <f t="shared" si="1797"/>
        <v>16220.931632107349</v>
      </c>
      <c r="EA241" s="624">
        <f t="shared" si="1797"/>
        <v>22077.961050330177</v>
      </c>
      <c r="EB241" s="1113">
        <f t="shared" si="1797"/>
        <v>22077.961050330177</v>
      </c>
      <c r="EC241" s="624">
        <f t="shared" si="1797"/>
        <v>22222.621604674034</v>
      </c>
      <c r="ED241" s="617">
        <f t="shared" si="1797"/>
        <v>20460.333860053208</v>
      </c>
      <c r="EE241" s="624">
        <f t="shared" si="1797"/>
        <v>23322.939250051364</v>
      </c>
      <c r="EF241" s="741">
        <f t="shared" si="1797"/>
        <v>26559.263487631168</v>
      </c>
      <c r="EG241" s="624">
        <f t="shared" si="1797"/>
        <v>20460.333860053208</v>
      </c>
      <c r="EH241" s="624">
        <f t="shared" si="1797"/>
        <v>26559.263487631168</v>
      </c>
      <c r="EI241" s="1113">
        <f t="shared" si="1797"/>
        <v>26559.263487631168</v>
      </c>
      <c r="EJ241" s="624">
        <f t="shared" si="1797"/>
        <v>27013.988714170395</v>
      </c>
      <c r="EK241" s="617">
        <f t="shared" si="1797"/>
        <v>26604.707690911229</v>
      </c>
      <c r="EL241" s="624">
        <f t="shared" si="1797"/>
        <v>29654.917834988901</v>
      </c>
      <c r="EM241" s="741">
        <f t="shared" si="1797"/>
        <v>33068.021652357987</v>
      </c>
      <c r="EN241" s="624">
        <f t="shared" si="1797"/>
        <v>26604.707690911229</v>
      </c>
      <c r="EO241" s="624">
        <f t="shared" si="1797"/>
        <v>33068.021652357987</v>
      </c>
      <c r="EP241" s="1113">
        <f t="shared" si="1797"/>
        <v>33068.021652357987</v>
      </c>
      <c r="EQ241" s="303"/>
      <c r="ER241" s="46"/>
    </row>
    <row r="242" spans="1:148" ht="10.199999999999999" customHeight="1">
      <c r="A242" s="60" t="s">
        <v>145</v>
      </c>
      <c r="B242" s="108"/>
      <c r="C242" s="831">
        <v>1146</v>
      </c>
      <c r="D242" s="831">
        <v>1131</v>
      </c>
      <c r="E242" s="831">
        <v>1089</v>
      </c>
      <c r="F242" s="831">
        <v>1102</v>
      </c>
      <c r="G242" s="831">
        <v>927</v>
      </c>
      <c r="H242" s="831">
        <v>677</v>
      </c>
      <c r="I242" s="831">
        <v>273</v>
      </c>
      <c r="J242" s="831">
        <v>306</v>
      </c>
      <c r="K242" s="831">
        <v>0</v>
      </c>
      <c r="L242" s="831">
        <f t="shared" ref="L242:M242" si="1818">K242</f>
        <v>0</v>
      </c>
      <c r="M242" s="831">
        <f t="shared" si="1818"/>
        <v>0</v>
      </c>
      <c r="N242" s="1571"/>
      <c r="O242" s="1571"/>
      <c r="P242" s="1571"/>
      <c r="Q242" s="1590"/>
      <c r="R242" s="1571"/>
      <c r="S242" s="1571"/>
      <c r="T242" s="1608">
        <f>M242</f>
        <v>0</v>
      </c>
      <c r="U242" s="1571">
        <v>0</v>
      </c>
      <c r="V242" s="1571">
        <v>0</v>
      </c>
      <c r="W242" s="1571">
        <v>0</v>
      </c>
      <c r="X242" s="1590">
        <f>Z242</f>
        <v>0</v>
      </c>
      <c r="Y242" s="1571">
        <v>0</v>
      </c>
      <c r="Z242" s="1571">
        <f>AA242</f>
        <v>0</v>
      </c>
      <c r="AA242" s="1608">
        <f>T242</f>
        <v>0</v>
      </c>
      <c r="AB242" s="1571">
        <v>0</v>
      </c>
      <c r="AC242" s="1571">
        <v>0</v>
      </c>
      <c r="AD242" s="1571">
        <v>0</v>
      </c>
      <c r="AE242" s="1590">
        <f>AG242</f>
        <v>0</v>
      </c>
      <c r="AF242" s="1571">
        <v>0</v>
      </c>
      <c r="AG242" s="1571">
        <f>AH242</f>
        <v>0</v>
      </c>
      <c r="AH242" s="1608">
        <f>AA242</f>
        <v>0</v>
      </c>
      <c r="AI242" s="1571">
        <v>0</v>
      </c>
      <c r="AJ242" s="1571">
        <v>0</v>
      </c>
      <c r="AK242" s="1571">
        <v>0</v>
      </c>
      <c r="AL242" s="1590">
        <f>AN242</f>
        <v>0</v>
      </c>
      <c r="AM242" s="1571">
        <v>0</v>
      </c>
      <c r="AN242" s="1571">
        <f>AO242</f>
        <v>0</v>
      </c>
      <c r="AO242" s="1608">
        <f>AH242</f>
        <v>0</v>
      </c>
      <c r="AP242" s="1571">
        <v>0</v>
      </c>
      <c r="AQ242" s="1571">
        <v>0</v>
      </c>
      <c r="AR242" s="1571">
        <v>0</v>
      </c>
      <c r="AS242" s="1590">
        <f>AU242</f>
        <v>0</v>
      </c>
      <c r="AT242" s="1571">
        <v>0</v>
      </c>
      <c r="AU242" s="1571">
        <f>AV242</f>
        <v>0</v>
      </c>
      <c r="AV242" s="1608">
        <f>AO242</f>
        <v>0</v>
      </c>
      <c r="AW242" s="1571"/>
      <c r="AX242" s="1571"/>
      <c r="AY242" s="1571"/>
      <c r="AZ242" s="1590"/>
      <c r="BA242" s="1571"/>
      <c r="BB242" s="1571"/>
      <c r="BC242" s="1608">
        <f>AO242</f>
        <v>0</v>
      </c>
      <c r="BD242" s="1571">
        <v>0</v>
      </c>
      <c r="BE242" s="1571">
        <v>0</v>
      </c>
      <c r="BF242" s="1571">
        <v>0</v>
      </c>
      <c r="BG242" s="1590">
        <f>BI242</f>
        <v>0</v>
      </c>
      <c r="BH242" s="1571">
        <v>0</v>
      </c>
      <c r="BI242" s="1571">
        <f>BJ242</f>
        <v>0</v>
      </c>
      <c r="BJ242" s="1608">
        <f>BC242</f>
        <v>0</v>
      </c>
      <c r="BK242" s="1571">
        <v>0</v>
      </c>
      <c r="BL242" s="1571">
        <v>0</v>
      </c>
      <c r="BM242" s="1571">
        <v>0</v>
      </c>
      <c r="BN242" s="1590">
        <f>BP242</f>
        <v>0</v>
      </c>
      <c r="BO242" s="1571">
        <v>0</v>
      </c>
      <c r="BP242" s="1571">
        <f>BQ242</f>
        <v>0</v>
      </c>
      <c r="BQ242" s="1608">
        <f>BJ242</f>
        <v>0</v>
      </c>
      <c r="BR242" s="1571">
        <v>0</v>
      </c>
      <c r="BS242" s="1571">
        <v>0</v>
      </c>
      <c r="BT242" s="1571">
        <v>0</v>
      </c>
      <c r="BU242" s="1590">
        <f>BW242</f>
        <v>0</v>
      </c>
      <c r="BV242" s="1571">
        <v>0</v>
      </c>
      <c r="BW242" s="1571">
        <f>BX242</f>
        <v>0</v>
      </c>
      <c r="BX242" s="1608">
        <f>BQ242</f>
        <v>0</v>
      </c>
      <c r="BY242" s="1571">
        <v>0</v>
      </c>
      <c r="BZ242" s="1571">
        <v>0</v>
      </c>
      <c r="CA242" s="1571">
        <v>0</v>
      </c>
      <c r="CB242" s="1590">
        <f>CD242</f>
        <v>0</v>
      </c>
      <c r="CC242" s="1571">
        <v>0</v>
      </c>
      <c r="CD242" s="1571">
        <f>CE242</f>
        <v>0</v>
      </c>
      <c r="CE242" s="1608">
        <f>BX242</f>
        <v>0</v>
      </c>
      <c r="CF242" s="1571">
        <v>0</v>
      </c>
      <c r="CG242" s="1571">
        <v>0</v>
      </c>
      <c r="CH242" s="1571">
        <v>0</v>
      </c>
      <c r="CI242" s="1590">
        <f>CK242</f>
        <v>0</v>
      </c>
      <c r="CJ242" s="1571">
        <v>0</v>
      </c>
      <c r="CK242" s="1571">
        <f>CL242</f>
        <v>0</v>
      </c>
      <c r="CL242" s="1608">
        <f>CE242</f>
        <v>0</v>
      </c>
      <c r="CM242" s="1571">
        <v>0</v>
      </c>
      <c r="CN242" s="1571">
        <v>0</v>
      </c>
      <c r="CO242" s="1571">
        <v>0</v>
      </c>
      <c r="CP242" s="1590">
        <f>CR242</f>
        <v>0</v>
      </c>
      <c r="CQ242" s="1571">
        <v>0</v>
      </c>
      <c r="CR242" s="1571">
        <f>CS242</f>
        <v>0</v>
      </c>
      <c r="CS242" s="1608">
        <f>CL242</f>
        <v>0</v>
      </c>
      <c r="CT242" s="1571">
        <v>0</v>
      </c>
      <c r="CU242" s="1571">
        <v>0</v>
      </c>
      <c r="CV242" s="1571">
        <v>0</v>
      </c>
      <c r="CW242" s="1590">
        <f>CY242</f>
        <v>0</v>
      </c>
      <c r="CX242" s="1571">
        <v>0</v>
      </c>
      <c r="CY242" s="1571">
        <f>CZ242</f>
        <v>0</v>
      </c>
      <c r="CZ242" s="1608">
        <f>CS242</f>
        <v>0</v>
      </c>
      <c r="DA242" s="1571">
        <v>0</v>
      </c>
      <c r="DB242" s="1571">
        <v>0</v>
      </c>
      <c r="DC242" s="1571">
        <v>0</v>
      </c>
      <c r="DD242" s="1923">
        <f>DF242</f>
        <v>0</v>
      </c>
      <c r="DE242" s="1571">
        <v>0</v>
      </c>
      <c r="DF242" s="1918">
        <f>DG242</f>
        <v>0</v>
      </c>
      <c r="DG242" s="1608">
        <f>CZ242</f>
        <v>0</v>
      </c>
      <c r="DH242" s="1988">
        <v>0</v>
      </c>
      <c r="DI242" s="1571">
        <v>0</v>
      </c>
      <c r="DJ242" s="1576">
        <f>DN242</f>
        <v>0</v>
      </c>
      <c r="DK242" s="1660">
        <f>DM242</f>
        <v>0</v>
      </c>
      <c r="DL242" s="1571">
        <v>0</v>
      </c>
      <c r="DM242" s="1576">
        <f>DN242</f>
        <v>0</v>
      </c>
      <c r="DN242" s="1636">
        <f>DG242</f>
        <v>0</v>
      </c>
      <c r="DO242" s="1576">
        <f>DU242</f>
        <v>0</v>
      </c>
      <c r="DP242" s="1719">
        <f>DS242</f>
        <v>0</v>
      </c>
      <c r="DQ242" s="1576">
        <f>DU242</f>
        <v>0</v>
      </c>
      <c r="DR242" s="1660">
        <f>DT242</f>
        <v>0</v>
      </c>
      <c r="DS242" s="1576">
        <f>DU242</f>
        <v>0</v>
      </c>
      <c r="DT242" s="1576">
        <f>DU242</f>
        <v>0</v>
      </c>
      <c r="DU242" s="1636">
        <f>DN242</f>
        <v>0</v>
      </c>
      <c r="DV242" s="1576">
        <f>EB242</f>
        <v>0</v>
      </c>
      <c r="DW242" s="1719">
        <f>DZ242</f>
        <v>0</v>
      </c>
      <c r="DX242" s="1576">
        <f>EB242</f>
        <v>0</v>
      </c>
      <c r="DY242" s="1660">
        <f>EA242</f>
        <v>0</v>
      </c>
      <c r="DZ242" s="1576">
        <f>EB242</f>
        <v>0</v>
      </c>
      <c r="EA242" s="1576">
        <f>EB242</f>
        <v>0</v>
      </c>
      <c r="EB242" s="1636">
        <f>DU242</f>
        <v>0</v>
      </c>
      <c r="EC242" s="1576">
        <f>EI242</f>
        <v>0</v>
      </c>
      <c r="ED242" s="1719">
        <f>EG242</f>
        <v>0</v>
      </c>
      <c r="EE242" s="1576">
        <f>EI242</f>
        <v>0</v>
      </c>
      <c r="EF242" s="1660">
        <f>EH242</f>
        <v>0</v>
      </c>
      <c r="EG242" s="1576">
        <f>EI242</f>
        <v>0</v>
      </c>
      <c r="EH242" s="1576">
        <f>EI242</f>
        <v>0</v>
      </c>
      <c r="EI242" s="1636">
        <f>EB242</f>
        <v>0</v>
      </c>
      <c r="EJ242" s="1576">
        <f>EP242</f>
        <v>0</v>
      </c>
      <c r="EK242" s="1719">
        <f>EN242</f>
        <v>0</v>
      </c>
      <c r="EL242" s="1576">
        <f>EP242</f>
        <v>0</v>
      </c>
      <c r="EM242" s="1660">
        <f>EO242</f>
        <v>0</v>
      </c>
      <c r="EN242" s="1576">
        <f>EP242</f>
        <v>0</v>
      </c>
      <c r="EO242" s="1576">
        <f>EP242</f>
        <v>0</v>
      </c>
      <c r="EP242" s="1636">
        <f t="shared" ref="EP242" si="1819">EI242</f>
        <v>0</v>
      </c>
      <c r="EQ242" s="303"/>
      <c r="ER242" s="46"/>
    </row>
    <row r="243" spans="1:148" ht="10.199999999999999" customHeight="1">
      <c r="A243" s="48" t="s">
        <v>146</v>
      </c>
      <c r="B243" s="48"/>
      <c r="C243" s="92">
        <f t="shared" ref="C243:EP243" si="1820">SUM(C240:C242)</f>
        <v>7346</v>
      </c>
      <c r="D243" s="92">
        <f t="shared" si="1820"/>
        <v>9003</v>
      </c>
      <c r="E243" s="92">
        <f t="shared" si="1820"/>
        <v>10273</v>
      </c>
      <c r="F243" s="92">
        <f t="shared" si="1820"/>
        <v>10677</v>
      </c>
      <c r="G243" s="92">
        <f t="shared" si="1820"/>
        <v>9619</v>
      </c>
      <c r="H243" s="92">
        <f t="shared" si="1820"/>
        <v>9824</v>
      </c>
      <c r="I243" s="92">
        <f t="shared" si="1820"/>
        <v>10930</v>
      </c>
      <c r="J243" s="92">
        <f t="shared" si="1820"/>
        <v>11416</v>
      </c>
      <c r="K243" s="92">
        <f t="shared" si="1820"/>
        <v>10864</v>
      </c>
      <c r="L243" s="92">
        <f t="shared" si="1820"/>
        <v>16785</v>
      </c>
      <c r="M243" s="92">
        <f t="shared" si="1820"/>
        <v>17071</v>
      </c>
      <c r="N243" s="92"/>
      <c r="O243" s="92"/>
      <c r="P243" s="92"/>
      <c r="Q243" s="699"/>
      <c r="R243" s="92"/>
      <c r="S243" s="92"/>
      <c r="T243" s="1289">
        <f t="shared" si="1820"/>
        <v>14084</v>
      </c>
      <c r="U243" s="92">
        <f t="shared" ref="U243:X243" si="1821">SUM(U240:U242)</f>
        <v>13154</v>
      </c>
      <c r="V243" s="92">
        <f t="shared" si="1821"/>
        <v>13485</v>
      </c>
      <c r="W243" s="92">
        <f t="shared" si="1821"/>
        <v>12419</v>
      </c>
      <c r="X243" s="699">
        <f t="shared" si="1821"/>
        <v>16461</v>
      </c>
      <c r="Y243" s="92">
        <f t="shared" ref="Y243:Z243" si="1822">SUM(Y240:Y242)</f>
        <v>13485</v>
      </c>
      <c r="Z243" s="92">
        <f t="shared" si="1822"/>
        <v>16461</v>
      </c>
      <c r="AA243" s="1289">
        <f t="shared" si="1820"/>
        <v>16461</v>
      </c>
      <c r="AB243" s="92">
        <f t="shared" ref="AB243:AE243" si="1823">SUM(AB240:AB242)</f>
        <v>17342</v>
      </c>
      <c r="AC243" s="92">
        <f t="shared" si="1823"/>
        <v>16883</v>
      </c>
      <c r="AD243" s="92">
        <f t="shared" si="1823"/>
        <v>17277</v>
      </c>
      <c r="AE243" s="699">
        <f t="shared" si="1823"/>
        <v>19215</v>
      </c>
      <c r="AF243" s="92">
        <f t="shared" ref="AF243:AG243" si="1824">SUM(AF240:AF242)</f>
        <v>16883</v>
      </c>
      <c r="AG243" s="92">
        <f t="shared" si="1824"/>
        <v>19215</v>
      </c>
      <c r="AH243" s="1289">
        <f t="shared" si="1820"/>
        <v>19215</v>
      </c>
      <c r="AI243" s="92">
        <f t="shared" ref="AI243:AL243" si="1825">SUM(AI240:AI242)</f>
        <v>18072</v>
      </c>
      <c r="AJ243" s="92">
        <f t="shared" si="1825"/>
        <v>19439</v>
      </c>
      <c r="AK243" s="92">
        <f t="shared" si="1825"/>
        <v>16893</v>
      </c>
      <c r="AL243" s="699">
        <f t="shared" si="1825"/>
        <v>21591</v>
      </c>
      <c r="AM243" s="92">
        <f t="shared" ref="AM243:AN243" si="1826">SUM(AM240:AM242)</f>
        <v>19439</v>
      </c>
      <c r="AN243" s="92">
        <f t="shared" si="1826"/>
        <v>21591</v>
      </c>
      <c r="AO243" s="1289">
        <f t="shared" si="1820"/>
        <v>21591</v>
      </c>
      <c r="AP243" s="92">
        <f t="shared" ref="AP243:AS243" si="1827">SUM(AP240:AP242)</f>
        <v>20324</v>
      </c>
      <c r="AQ243" s="92">
        <f t="shared" si="1827"/>
        <v>19341</v>
      </c>
      <c r="AR243" s="92">
        <f t="shared" si="1827"/>
        <v>17980</v>
      </c>
      <c r="AS243" s="699">
        <f t="shared" si="1827"/>
        <v>24587</v>
      </c>
      <c r="AT243" s="92">
        <f t="shared" ref="AT243:AU243" si="1828">SUM(AT240:AT242)</f>
        <v>19341</v>
      </c>
      <c r="AU243" s="92">
        <f t="shared" si="1828"/>
        <v>24587</v>
      </c>
      <c r="AV243" s="1289">
        <f t="shared" si="1820"/>
        <v>24587</v>
      </c>
      <c r="AW243" s="92"/>
      <c r="AX243" s="92"/>
      <c r="AY243" s="92"/>
      <c r="AZ243" s="699"/>
      <c r="BA243" s="92"/>
      <c r="BB243" s="92"/>
      <c r="BC243" s="1289">
        <f t="shared" si="1820"/>
        <v>24587</v>
      </c>
      <c r="BD243" s="92">
        <f t="shared" ref="BD243:BG243" si="1829">SUM(BD240:BD242)</f>
        <v>20923</v>
      </c>
      <c r="BE243" s="92">
        <f t="shared" si="1829"/>
        <v>17775</v>
      </c>
      <c r="BF243" s="92">
        <f t="shared" si="1829"/>
        <v>18325</v>
      </c>
      <c r="BG243" s="699">
        <f t="shared" si="1829"/>
        <v>22207</v>
      </c>
      <c r="BH243" s="92">
        <f t="shared" ref="BH243:BI243" si="1830">SUM(BH240:BH242)</f>
        <v>17775</v>
      </c>
      <c r="BI243" s="92">
        <f t="shared" si="1830"/>
        <v>22207</v>
      </c>
      <c r="BJ243" s="1289">
        <f t="shared" si="1820"/>
        <v>22207</v>
      </c>
      <c r="BK243" s="92">
        <f t="shared" ref="BK243:BN243" si="1831">SUM(BK240:BK242)</f>
        <v>18482</v>
      </c>
      <c r="BL243" s="92">
        <f t="shared" si="1831"/>
        <v>17849</v>
      </c>
      <c r="BM243" s="92">
        <f t="shared" si="1831"/>
        <v>17775</v>
      </c>
      <c r="BN243" s="699">
        <f t="shared" si="1831"/>
        <v>22682</v>
      </c>
      <c r="BO243" s="92">
        <f t="shared" ref="BO243:BP243" si="1832">SUM(BO240:BO242)</f>
        <v>17849</v>
      </c>
      <c r="BP243" s="92">
        <f t="shared" si="1832"/>
        <v>22682</v>
      </c>
      <c r="BQ243" s="1289">
        <f t="shared" si="1820"/>
        <v>22682</v>
      </c>
      <c r="BR243" s="92">
        <f t="shared" ref="BR243:BU243" si="1833">SUM(BR240:BR242)</f>
        <v>18403</v>
      </c>
      <c r="BS243" s="92">
        <f t="shared" si="1833"/>
        <v>17484</v>
      </c>
      <c r="BT243" s="92">
        <f t="shared" si="1833"/>
        <v>18095</v>
      </c>
      <c r="BU243" s="699">
        <f t="shared" si="1833"/>
        <v>21407</v>
      </c>
      <c r="BV243" s="92">
        <f t="shared" ref="BV243:BW243" si="1834">SUM(BV240:BV242)</f>
        <v>17484</v>
      </c>
      <c r="BW243" s="92">
        <f t="shared" si="1834"/>
        <v>21407</v>
      </c>
      <c r="BX243" s="1289">
        <f t="shared" si="1820"/>
        <v>21407</v>
      </c>
      <c r="BY243" s="92">
        <f t="shared" ref="BY243:CB243" si="1835">SUM(BY240:BY242)</f>
        <v>22550</v>
      </c>
      <c r="BZ243" s="92">
        <f t="shared" si="1835"/>
        <v>21441</v>
      </c>
      <c r="CA243" s="92">
        <f t="shared" si="1835"/>
        <v>21656</v>
      </c>
      <c r="CB243" s="699">
        <f t="shared" si="1835"/>
        <v>22683</v>
      </c>
      <c r="CC243" s="92">
        <f t="shared" ref="CC243:CD243" si="1836">SUM(CC240:CC242)</f>
        <v>21441</v>
      </c>
      <c r="CD243" s="92">
        <f t="shared" si="1836"/>
        <v>22683</v>
      </c>
      <c r="CE243" s="1289">
        <f t="shared" si="1820"/>
        <v>22683</v>
      </c>
      <c r="CF243" s="92">
        <f t="shared" ref="CF243:CI243" si="1837">SUM(CF240:CF242)</f>
        <v>22816</v>
      </c>
      <c r="CG243" s="92">
        <f t="shared" si="1837"/>
        <v>21561</v>
      </c>
      <c r="CH243" s="92">
        <f t="shared" si="1837"/>
        <v>22457</v>
      </c>
      <c r="CI243" s="699">
        <f t="shared" si="1837"/>
        <v>23598</v>
      </c>
      <c r="CJ243" s="92">
        <f t="shared" ref="CJ243:CK243" si="1838">SUM(CJ240:CJ242)</f>
        <v>21561</v>
      </c>
      <c r="CK243" s="92">
        <f t="shared" si="1838"/>
        <v>23598</v>
      </c>
      <c r="CL243" s="1289">
        <f t="shared" si="1820"/>
        <v>23598</v>
      </c>
      <c r="CM243" s="92">
        <f t="shared" ref="CM243:CP243" si="1839">SUM(CM240:CM242)</f>
        <v>22418</v>
      </c>
      <c r="CN243" s="92">
        <f t="shared" si="1839"/>
        <v>22919</v>
      </c>
      <c r="CO243" s="92">
        <f t="shared" si="1839"/>
        <v>22405</v>
      </c>
      <c r="CP243" s="699">
        <f t="shared" si="1839"/>
        <v>25278</v>
      </c>
      <c r="CQ243" s="92">
        <f t="shared" ref="CQ243:CR243" si="1840">SUM(CQ240:CQ242)</f>
        <v>22919</v>
      </c>
      <c r="CR243" s="92">
        <f t="shared" si="1840"/>
        <v>25278</v>
      </c>
      <c r="CS243" s="1289">
        <f t="shared" ref="CS243:CT243" si="1841">SUM(CS240:CS242)</f>
        <v>25278</v>
      </c>
      <c r="CT243" s="92">
        <f t="shared" si="1841"/>
        <v>23424</v>
      </c>
      <c r="CU243" s="92">
        <f t="shared" ref="CU243:CW243" si="1842">SUM(CU240:CU242)</f>
        <v>21875</v>
      </c>
      <c r="CV243" s="92">
        <f t="shared" si="1842"/>
        <v>21088</v>
      </c>
      <c r="CW243" s="699">
        <f t="shared" si="1842"/>
        <v>26864</v>
      </c>
      <c r="CX243" s="92">
        <f t="shared" ref="CX243:CY243" si="1843">SUM(CX240:CX242)</f>
        <v>21875</v>
      </c>
      <c r="CY243" s="92">
        <f t="shared" si="1843"/>
        <v>26864</v>
      </c>
      <c r="CZ243" s="1289">
        <f t="shared" ref="CZ243:DC243" si="1844">SUM(CZ240:CZ242)</f>
        <v>26864</v>
      </c>
      <c r="DA243" s="92">
        <f t="shared" si="1844"/>
        <v>26093</v>
      </c>
      <c r="DB243" s="92">
        <f t="shared" si="1844"/>
        <v>21081</v>
      </c>
      <c r="DC243" s="92">
        <f t="shared" si="1844"/>
        <v>21334</v>
      </c>
      <c r="DD243" s="1924">
        <f t="shared" ref="DD243:DE243" si="1845">SUM(DD240:DD242)</f>
        <v>27218</v>
      </c>
      <c r="DE243" s="92">
        <f t="shared" si="1845"/>
        <v>21081</v>
      </c>
      <c r="DF243" s="1919">
        <f t="shared" ref="DF243:DI243" si="1846">SUM(DF240:DF242)</f>
        <v>27218</v>
      </c>
      <c r="DG243" s="1289">
        <f t="shared" si="1846"/>
        <v>27218</v>
      </c>
      <c r="DH243" s="319">
        <f t="shared" si="1846"/>
        <v>25237</v>
      </c>
      <c r="DI243" s="92">
        <f t="shared" si="1846"/>
        <v>23376</v>
      </c>
      <c r="DJ243" s="625">
        <f t="shared" ref="DJ243:DM243" si="1847">SUM(DJ240:DJ242)</f>
        <v>24051.888926706953</v>
      </c>
      <c r="DK243" s="761">
        <f t="shared" si="1847"/>
        <v>29062.315290264629</v>
      </c>
      <c r="DL243" s="92">
        <f t="shared" si="1847"/>
        <v>23376</v>
      </c>
      <c r="DM243" s="625">
        <f t="shared" si="1847"/>
        <v>29062.315290264629</v>
      </c>
      <c r="DN243" s="762">
        <f t="shared" si="1820"/>
        <v>29062.315290264629</v>
      </c>
      <c r="DO243" s="625">
        <f t="shared" ref="DO243:DT243" si="1848">SUM(DO240:DO242)</f>
        <v>27610.703557681096</v>
      </c>
      <c r="DP243" s="622">
        <f t="shared" si="1848"/>
        <v>26736.897155872837</v>
      </c>
      <c r="DQ243" s="625">
        <f t="shared" si="1848"/>
        <v>29327.919444198786</v>
      </c>
      <c r="DR243" s="761">
        <f t="shared" si="1848"/>
        <v>31490.264435215046</v>
      </c>
      <c r="DS243" s="625">
        <f t="shared" si="1848"/>
        <v>26736.897155872837</v>
      </c>
      <c r="DT243" s="625">
        <f t="shared" si="1848"/>
        <v>31490.264435215046</v>
      </c>
      <c r="DU243" s="762">
        <f t="shared" si="1820"/>
        <v>31490.264435215046</v>
      </c>
      <c r="DV243" s="625">
        <f t="shared" ref="DV243:EA243" si="1849">SUM(DV240:DV242)</f>
        <v>30894.438205138318</v>
      </c>
      <c r="DW243" s="622">
        <f t="shared" si="1849"/>
        <v>30031.931632107349</v>
      </c>
      <c r="DX243" s="625">
        <f t="shared" si="1849"/>
        <v>33106.638034577278</v>
      </c>
      <c r="DY243" s="761">
        <f t="shared" si="1849"/>
        <v>35888.961050330181</v>
      </c>
      <c r="DZ243" s="625">
        <f t="shared" si="1849"/>
        <v>30031.931632107349</v>
      </c>
      <c r="EA243" s="625">
        <f t="shared" si="1849"/>
        <v>35888.961050330181</v>
      </c>
      <c r="EB243" s="762">
        <f t="shared" si="1820"/>
        <v>35888.961050330181</v>
      </c>
      <c r="EC243" s="625">
        <f t="shared" ref="EC243:EH243" si="1850">SUM(EC240:EC242)</f>
        <v>36033.62160467403</v>
      </c>
      <c r="ED243" s="622">
        <f t="shared" si="1850"/>
        <v>34271.333860053208</v>
      </c>
      <c r="EE243" s="625">
        <f t="shared" si="1850"/>
        <v>37133.939250051364</v>
      </c>
      <c r="EF243" s="761">
        <f t="shared" si="1850"/>
        <v>40370.263487631164</v>
      </c>
      <c r="EG243" s="625">
        <f t="shared" si="1850"/>
        <v>34271.333860053208</v>
      </c>
      <c r="EH243" s="625">
        <f t="shared" si="1850"/>
        <v>40370.263487631164</v>
      </c>
      <c r="EI243" s="762">
        <f t="shared" si="1820"/>
        <v>40370.263487631164</v>
      </c>
      <c r="EJ243" s="625">
        <f t="shared" ref="EJ243:EO243" si="1851">SUM(EJ240:EJ242)</f>
        <v>40824.988714170395</v>
      </c>
      <c r="EK243" s="622">
        <f t="shared" si="1851"/>
        <v>40415.707690911229</v>
      </c>
      <c r="EL243" s="625">
        <f t="shared" si="1851"/>
        <v>43465.917834988897</v>
      </c>
      <c r="EM243" s="761">
        <f t="shared" si="1851"/>
        <v>46879.021652357987</v>
      </c>
      <c r="EN243" s="625">
        <f t="shared" si="1851"/>
        <v>40415.707690911229</v>
      </c>
      <c r="EO243" s="625">
        <f t="shared" si="1851"/>
        <v>46879.021652357987</v>
      </c>
      <c r="EP243" s="762">
        <f t="shared" si="1820"/>
        <v>46879.021652357987</v>
      </c>
      <c r="EQ243" s="303"/>
      <c r="ER243" s="46"/>
    </row>
    <row r="244" spans="1:148" ht="10.199999999999999" customHeight="1">
      <c r="A244" s="48"/>
      <c r="B244" s="48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699"/>
      <c r="R244" s="92"/>
      <c r="S244" s="92"/>
      <c r="T244" s="1289"/>
      <c r="U244" s="92"/>
      <c r="V244" s="92"/>
      <c r="W244" s="92"/>
      <c r="X244" s="699"/>
      <c r="Y244" s="92"/>
      <c r="Z244" s="92"/>
      <c r="AA244" s="1289"/>
      <c r="AB244" s="92"/>
      <c r="AC244" s="92"/>
      <c r="AD244" s="92"/>
      <c r="AE244" s="699"/>
      <c r="AF244" s="92"/>
      <c r="AG244" s="92"/>
      <c r="AH244" s="1289"/>
      <c r="AI244" s="92"/>
      <c r="AJ244" s="92"/>
      <c r="AK244" s="92"/>
      <c r="AL244" s="699"/>
      <c r="AM244" s="92"/>
      <c r="AN244" s="92"/>
      <c r="AO244" s="1289"/>
      <c r="AP244" s="92"/>
      <c r="AQ244" s="92"/>
      <c r="AR244" s="92"/>
      <c r="AS244" s="699"/>
      <c r="AT244" s="92"/>
      <c r="AU244" s="92"/>
      <c r="AV244" s="1289"/>
      <c r="AW244" s="92"/>
      <c r="AX244" s="92"/>
      <c r="AY244" s="92"/>
      <c r="AZ244" s="699"/>
      <c r="BA244" s="92"/>
      <c r="BB244" s="92"/>
      <c r="BC244" s="1289"/>
      <c r="BD244" s="92"/>
      <c r="BE244" s="92"/>
      <c r="BF244" s="92"/>
      <c r="BG244" s="699"/>
      <c r="BH244" s="92"/>
      <c r="BI244" s="92"/>
      <c r="BJ244" s="1289"/>
      <c r="BK244" s="92"/>
      <c r="BL244" s="92"/>
      <c r="BM244" s="92"/>
      <c r="BN244" s="699"/>
      <c r="BO244" s="92"/>
      <c r="BP244" s="92"/>
      <c r="BQ244" s="1289"/>
      <c r="BR244" s="92"/>
      <c r="BS244" s="92"/>
      <c r="BT244" s="92"/>
      <c r="BU244" s="699"/>
      <c r="BV244" s="92"/>
      <c r="BW244" s="92"/>
      <c r="BX244" s="1289"/>
      <c r="BY244" s="92"/>
      <c r="BZ244" s="92"/>
      <c r="CA244" s="92"/>
      <c r="CB244" s="699"/>
      <c r="CC244" s="92"/>
      <c r="CD244" s="92"/>
      <c r="CE244" s="1289"/>
      <c r="CF244" s="92"/>
      <c r="CG244" s="92"/>
      <c r="CH244" s="92"/>
      <c r="CI244" s="699"/>
      <c r="CJ244" s="92"/>
      <c r="CK244" s="92"/>
      <c r="CL244" s="1289"/>
      <c r="CM244" s="92"/>
      <c r="CN244" s="92"/>
      <c r="CO244" s="92"/>
      <c r="CP244" s="699"/>
      <c r="CQ244" s="92"/>
      <c r="CR244" s="92"/>
      <c r="CS244" s="1289"/>
      <c r="CT244" s="92"/>
      <c r="CU244" s="92"/>
      <c r="CV244" s="92"/>
      <c r="CW244" s="699"/>
      <c r="CX244" s="92"/>
      <c r="CY244" s="92"/>
      <c r="CZ244" s="1289"/>
      <c r="DA244" s="92"/>
      <c r="DB244" s="92"/>
      <c r="DC244" s="319"/>
      <c r="DD244" s="1908"/>
      <c r="DE244" s="92"/>
      <c r="DF244" s="1874"/>
      <c r="DG244" s="1289"/>
      <c r="DH244" s="319"/>
      <c r="DI244" s="92"/>
      <c r="DJ244" s="319"/>
      <c r="DK244" s="699"/>
      <c r="DL244" s="92"/>
      <c r="DM244" s="92"/>
      <c r="DN244" s="1268"/>
      <c r="DO244" s="319"/>
      <c r="DP244" s="622"/>
      <c r="DQ244" s="319"/>
      <c r="DR244" s="699"/>
      <c r="DS244" s="319"/>
      <c r="DT244" s="92"/>
      <c r="DU244" s="1268"/>
      <c r="DV244" s="319"/>
      <c r="DW244" s="622"/>
      <c r="DX244" s="319"/>
      <c r="DY244" s="699"/>
      <c r="DZ244" s="319"/>
      <c r="EA244" s="92"/>
      <c r="EB244" s="1268"/>
      <c r="EC244" s="319"/>
      <c r="ED244" s="622"/>
      <c r="EE244" s="319"/>
      <c r="EF244" s="699"/>
      <c r="EG244" s="319"/>
      <c r="EH244" s="92"/>
      <c r="EI244" s="1268"/>
      <c r="EJ244" s="319"/>
      <c r="EK244" s="622"/>
      <c r="EL244" s="319"/>
      <c r="EM244" s="699"/>
      <c r="EN244" s="319"/>
      <c r="EO244" s="92"/>
      <c r="EP244" s="1268"/>
      <c r="EQ244" s="303"/>
      <c r="ER244" s="46"/>
    </row>
    <row r="245" spans="1:148" ht="10.199999999999999" customHeight="1">
      <c r="A245" s="48" t="s">
        <v>215</v>
      </c>
      <c r="B245" s="48"/>
      <c r="C245" s="126">
        <f>+IS!C30</f>
        <v>526</v>
      </c>
      <c r="D245" s="126">
        <f>+IS!D30</f>
        <v>186</v>
      </c>
      <c r="E245" s="126">
        <f>+IS!E30</f>
        <v>352</v>
      </c>
      <c r="F245" s="126">
        <f>+IS!F30</f>
        <v>423</v>
      </c>
      <c r="G245" s="126">
        <f>+IS!G30</f>
        <v>454</v>
      </c>
      <c r="H245" s="126">
        <f>+IS!H30</f>
        <v>502</v>
      </c>
      <c r="I245" s="126">
        <f>+IS!I30</f>
        <v>617</v>
      </c>
      <c r="J245" s="126">
        <f>+IS!J30</f>
        <v>356</v>
      </c>
      <c r="K245" s="126">
        <f>+IS!K30</f>
        <v>316</v>
      </c>
      <c r="L245" s="126">
        <f>+IS!L30</f>
        <v>377</v>
      </c>
      <c r="M245" s="126">
        <f>+IS!M30</f>
        <v>237</v>
      </c>
      <c r="N245" s="126"/>
      <c r="O245" s="126"/>
      <c r="P245" s="126"/>
      <c r="Q245" s="1276"/>
      <c r="R245" s="126"/>
      <c r="S245" s="126"/>
      <c r="T245" s="1082">
        <f>+IS!T30</f>
        <v>161</v>
      </c>
      <c r="U245" s="126">
        <f>+IS!U30</f>
        <v>36</v>
      </c>
      <c r="V245" s="126">
        <f>+IS!V30</f>
        <v>43</v>
      </c>
      <c r="W245" s="126">
        <f>+IS!W30</f>
        <v>38</v>
      </c>
      <c r="X245" s="1276">
        <f>+IS!X30</f>
        <v>25</v>
      </c>
      <c r="Y245" s="126">
        <f>+IS!Y30</f>
        <v>79</v>
      </c>
      <c r="Z245" s="126">
        <f>+IS!Z30</f>
        <v>63</v>
      </c>
      <c r="AA245" s="1082">
        <f>+IS!AA30</f>
        <v>142</v>
      </c>
      <c r="AB245" s="126">
        <f>+IS!AB30</f>
        <v>40</v>
      </c>
      <c r="AC245" s="126">
        <f>+IS!AC30</f>
        <v>45</v>
      </c>
      <c r="AD245" s="126">
        <f>+IS!AD30</f>
        <v>46</v>
      </c>
      <c r="AE245" s="1276">
        <f>+IS!AE30</f>
        <v>52</v>
      </c>
      <c r="AF245" s="126">
        <f>+IS!AF30</f>
        <v>85</v>
      </c>
      <c r="AG245" s="126">
        <f>+IS!AG30</f>
        <v>98</v>
      </c>
      <c r="AH245" s="1082">
        <f>+IS!AH30</f>
        <v>183</v>
      </c>
      <c r="AI245" s="126">
        <f>+IS!AI30</f>
        <v>75</v>
      </c>
      <c r="AJ245" s="126">
        <f>+IS!AJ30</f>
        <v>62</v>
      </c>
      <c r="AK245" s="126">
        <f>+IS!AK30</f>
        <v>49</v>
      </c>
      <c r="AL245" s="1276">
        <f>+IS!AL30</f>
        <v>61</v>
      </c>
      <c r="AM245" s="126">
        <f>+IS!AM30</f>
        <v>137</v>
      </c>
      <c r="AN245" s="126">
        <f>+IS!AN30</f>
        <v>110</v>
      </c>
      <c r="AO245" s="1082">
        <f>+IS!AO30</f>
        <v>247</v>
      </c>
      <c r="AP245" s="126">
        <f>+IS!AP30</f>
        <v>39</v>
      </c>
      <c r="AQ245" s="126">
        <f>+IS!AQ30</f>
        <v>42</v>
      </c>
      <c r="AR245" s="126">
        <f>+IS!AR30</f>
        <v>53</v>
      </c>
      <c r="AS245" s="1276">
        <f>+IS!AS30</f>
        <v>55</v>
      </c>
      <c r="AT245" s="126">
        <f>+IS!AT30</f>
        <v>81</v>
      </c>
      <c r="AU245" s="126">
        <f>+IS!AU30</f>
        <v>108</v>
      </c>
      <c r="AV245" s="1082">
        <f>+IS!AV30</f>
        <v>189</v>
      </c>
      <c r="AW245" s="126"/>
      <c r="AX245" s="126"/>
      <c r="AY245" s="126"/>
      <c r="AZ245" s="1276"/>
      <c r="BA245" s="126"/>
      <c r="BB245" s="126"/>
      <c r="BC245" s="1082">
        <f>+IS!BC30</f>
        <v>189</v>
      </c>
      <c r="BD245" s="126">
        <f>+IS!BD30</f>
        <v>41</v>
      </c>
      <c r="BE245" s="126">
        <f>+IS!BE30</f>
        <v>46</v>
      </c>
      <c r="BF245" s="126">
        <f>+IS!BF30</f>
        <v>57</v>
      </c>
      <c r="BG245" s="1276">
        <f>+IS!BG30</f>
        <v>64</v>
      </c>
      <c r="BH245" s="126">
        <f>+IS!BH30</f>
        <v>87</v>
      </c>
      <c r="BI245" s="126">
        <f>+IS!BI30</f>
        <v>121</v>
      </c>
      <c r="BJ245" s="1082">
        <f>+IS!BJ30</f>
        <v>208</v>
      </c>
      <c r="BK245" s="126">
        <f>+IS!BK30</f>
        <v>56</v>
      </c>
      <c r="BL245" s="126">
        <f>+IS!BL30</f>
        <v>35</v>
      </c>
      <c r="BM245" s="126">
        <f>+IS!BM30</f>
        <v>52</v>
      </c>
      <c r="BN245" s="1276">
        <f>+IS!BN30</f>
        <v>85</v>
      </c>
      <c r="BO245" s="126">
        <f>+IS!BO30</f>
        <v>91</v>
      </c>
      <c r="BP245" s="126">
        <f>+IS!BP30</f>
        <v>137</v>
      </c>
      <c r="BQ245" s="1082">
        <f>+IS!BQ30</f>
        <v>228</v>
      </c>
      <c r="BR245" s="126">
        <f>+IS!BR30</f>
        <v>53</v>
      </c>
      <c r="BS245" s="126">
        <f>+IS!BS30</f>
        <v>29</v>
      </c>
      <c r="BT245" s="126">
        <f>+IS!BT30</f>
        <v>19</v>
      </c>
      <c r="BU245" s="1276">
        <f>+IS!BU30</f>
        <v>39</v>
      </c>
      <c r="BV245" s="126">
        <f>+IS!BV30</f>
        <v>82</v>
      </c>
      <c r="BW245" s="126">
        <f>+IS!BW30</f>
        <v>58</v>
      </c>
      <c r="BX245" s="1082">
        <f>+IS!BX30</f>
        <v>140</v>
      </c>
      <c r="BY245" s="126">
        <f>+IS!BY30</f>
        <v>14</v>
      </c>
      <c r="BZ245" s="126">
        <f>+IS!BZ30</f>
        <v>18</v>
      </c>
      <c r="CA245" s="126">
        <f>+IS!CA30</f>
        <v>16</v>
      </c>
      <c r="CB245" s="1276">
        <f>+IS!CB30</f>
        <v>40</v>
      </c>
      <c r="CC245" s="126">
        <f>+IS!CC30</f>
        <v>32</v>
      </c>
      <c r="CD245" s="126">
        <f>+IS!CD30</f>
        <v>56</v>
      </c>
      <c r="CE245" s="1082">
        <f>+IS!CE30</f>
        <v>88</v>
      </c>
      <c r="CF245" s="126">
        <f>+IS!CF30</f>
        <v>2</v>
      </c>
      <c r="CG245" s="126">
        <f>+IS!CG30</f>
        <v>28</v>
      </c>
      <c r="CH245" s="126">
        <f>+IS!CH30</f>
        <v>62</v>
      </c>
      <c r="CI245" s="1276">
        <f>+IS!CI30</f>
        <v>88</v>
      </c>
      <c r="CJ245" s="126">
        <f>+IS!CJ30</f>
        <v>30</v>
      </c>
      <c r="CK245" s="126">
        <f>+IS!CK30</f>
        <v>150</v>
      </c>
      <c r="CL245" s="1082">
        <f>+IS!CL30</f>
        <v>180</v>
      </c>
      <c r="CM245" s="126">
        <f>+IS!CM30</f>
        <v>133</v>
      </c>
      <c r="CN245" s="126">
        <f>+IS!CN30</f>
        <v>145</v>
      </c>
      <c r="CO245" s="126">
        <f>+IS!CO30</f>
        <v>246</v>
      </c>
      <c r="CP245" s="1276">
        <f>+IS!CP30</f>
        <v>204</v>
      </c>
      <c r="CQ245" s="126">
        <f>+IS!CQ30</f>
        <v>278</v>
      </c>
      <c r="CR245" s="126">
        <f>+IS!CR30</f>
        <v>450</v>
      </c>
      <c r="CS245" s="1082">
        <f>+IS!CS30</f>
        <v>728</v>
      </c>
      <c r="CT245" s="126">
        <f>+IS!CT30</f>
        <v>217</v>
      </c>
      <c r="CU245" s="126">
        <f>+IS!CU30</f>
        <v>182</v>
      </c>
      <c r="CV245" s="126">
        <f>+IS!CV30</f>
        <v>183</v>
      </c>
      <c r="CW245" s="1276">
        <f>+IS!CW30</f>
        <v>220</v>
      </c>
      <c r="CX245" s="126">
        <f>+IS!CX30</f>
        <v>399</v>
      </c>
      <c r="CY245" s="126">
        <f>+IS!CY30</f>
        <v>403</v>
      </c>
      <c r="CZ245" s="1082">
        <f>+IS!CZ30</f>
        <v>802</v>
      </c>
      <c r="DA245" s="126">
        <f>+IS!DA30</f>
        <v>209</v>
      </c>
      <c r="DB245" s="126">
        <f>+IS!DB30</f>
        <v>171</v>
      </c>
      <c r="DC245" s="126">
        <f>+IS!DC30</f>
        <v>157</v>
      </c>
      <c r="DD245" s="1888">
        <f>DF245-DC245</f>
        <v>173</v>
      </c>
      <c r="DE245" s="126">
        <f>+IS!DE30</f>
        <v>380</v>
      </c>
      <c r="DF245" s="1920">
        <f>DG245-DE245</f>
        <v>330</v>
      </c>
      <c r="DG245" s="1082">
        <f>+IS!DG30</f>
        <v>710</v>
      </c>
      <c r="DH245" s="852">
        <f>+IS!DH30</f>
        <v>176</v>
      </c>
      <c r="DI245" s="126">
        <f>+IS!DI30</f>
        <v>165</v>
      </c>
      <c r="DJ245" s="884">
        <f>(DJ246/4)*(DI243)</f>
        <v>146.1</v>
      </c>
      <c r="DK245" s="1111">
        <f>DM245-DJ245</f>
        <v>193.35000000000005</v>
      </c>
      <c r="DL245" s="126">
        <f>+IS!DL30</f>
        <v>341</v>
      </c>
      <c r="DM245" s="1110">
        <f>DN245-DL245</f>
        <v>339.45000000000005</v>
      </c>
      <c r="DN245" s="1486">
        <f>DN246*(DG243)</f>
        <v>680.45</v>
      </c>
      <c r="DO245" s="884">
        <f>(DO246/4)*(DN243)</f>
        <v>181.63947056415395</v>
      </c>
      <c r="DP245" s="1110">
        <f>DS245-DO245</f>
        <v>181.63947056415395</v>
      </c>
      <c r="DQ245" s="884">
        <f>(DQ246/4)*(DP243)</f>
        <v>167.10560722420524</v>
      </c>
      <c r="DR245" s="1111">
        <f>DT245-DQ245</f>
        <v>196.17333390410266</v>
      </c>
      <c r="DS245" s="884">
        <f>(DS246/2)*(DN243)</f>
        <v>363.27894112830791</v>
      </c>
      <c r="DT245" s="1110">
        <f>DU245-DS245</f>
        <v>363.27894112830791</v>
      </c>
      <c r="DU245" s="1486">
        <f>DU246*(DN243)</f>
        <v>726.55788225661581</v>
      </c>
      <c r="DV245" s="884">
        <f>(DV246/4)*(DU243)</f>
        <v>196.81415272009406</v>
      </c>
      <c r="DW245" s="1110">
        <f>DZ245-DV245</f>
        <v>196.81415272009406</v>
      </c>
      <c r="DX245" s="884">
        <f>(DX246/4)*(DW243)</f>
        <v>187.69957270067096</v>
      </c>
      <c r="DY245" s="1111">
        <f>EA245-DX245</f>
        <v>205.92873273951716</v>
      </c>
      <c r="DZ245" s="884">
        <f>(DZ246/2)*(DU243)</f>
        <v>393.62830544018811</v>
      </c>
      <c r="EA245" s="1110">
        <f>EB245-DZ245</f>
        <v>393.62830544018811</v>
      </c>
      <c r="EB245" s="1486">
        <f>EB246*(DU243)</f>
        <v>787.25661088037623</v>
      </c>
      <c r="EC245" s="884">
        <f>(EC246/4)*(EB243)</f>
        <v>224.30600656456363</v>
      </c>
      <c r="ED245" s="1110">
        <f>EG245-EC245</f>
        <v>224.30600656456363</v>
      </c>
      <c r="EE245" s="884">
        <f>(EE246/4)*(ED243)</f>
        <v>214.19583662533256</v>
      </c>
      <c r="EF245" s="1111">
        <f>EH245-EE245</f>
        <v>234.4161765037947</v>
      </c>
      <c r="EG245" s="884">
        <f>(EG246/2)*(EB243)</f>
        <v>448.61201312912726</v>
      </c>
      <c r="EH245" s="1110">
        <f>EI245-EG245</f>
        <v>448.61201312912726</v>
      </c>
      <c r="EI245" s="1486">
        <f>EI246*(EB243)</f>
        <v>897.22402625825453</v>
      </c>
      <c r="EJ245" s="884">
        <f>(EJ246/4)*(EI243)</f>
        <v>252.31414679769478</v>
      </c>
      <c r="EK245" s="1110">
        <f>EN245-EJ245</f>
        <v>252.31414679769478</v>
      </c>
      <c r="EL245" s="884">
        <f>(EL246/4)*(EK243)</f>
        <v>252.59817306819519</v>
      </c>
      <c r="EM245" s="1111">
        <f>EO245-EL245</f>
        <v>252.03012052719436</v>
      </c>
      <c r="EN245" s="884">
        <f>(EN246/2)*(EI243)</f>
        <v>504.62829359538955</v>
      </c>
      <c r="EO245" s="1110">
        <f>EP245-EN245</f>
        <v>504.62829359538955</v>
      </c>
      <c r="EP245" s="1486">
        <f t="shared" ref="EP245" si="1852">EP246*(EI243)</f>
        <v>1009.2565871907791</v>
      </c>
      <c r="EQ245" s="303"/>
      <c r="ER245" s="46"/>
    </row>
    <row r="246" spans="1:148" ht="10.199999999999999" customHeight="1">
      <c r="A246" s="108" t="s">
        <v>500</v>
      </c>
      <c r="B246" s="48"/>
      <c r="C246" s="92"/>
      <c r="D246" s="193">
        <f t="shared" ref="D246:L246" si="1853">+D245/C243</f>
        <v>2.5319901987476176E-2</v>
      </c>
      <c r="E246" s="193">
        <f t="shared" si="1853"/>
        <v>3.909807841830501E-2</v>
      </c>
      <c r="F246" s="193">
        <f t="shared" si="1853"/>
        <v>4.1175897985009251E-2</v>
      </c>
      <c r="G246" s="193">
        <f t="shared" si="1853"/>
        <v>4.252130748337548E-2</v>
      </c>
      <c r="H246" s="193">
        <f t="shared" si="1853"/>
        <v>5.2188377170184014E-2</v>
      </c>
      <c r="I246" s="193">
        <f t="shared" si="1853"/>
        <v>6.2805374592833876E-2</v>
      </c>
      <c r="J246" s="193">
        <f t="shared" si="1853"/>
        <v>3.2570905763952426E-2</v>
      </c>
      <c r="K246" s="193">
        <f t="shared" si="1853"/>
        <v>2.7680448493342676E-2</v>
      </c>
      <c r="L246" s="193">
        <f t="shared" si="1853"/>
        <v>3.470176730486009E-2</v>
      </c>
      <c r="M246" s="193">
        <f t="shared" ref="M246" si="1854">M245/((L243+M243)/2)</f>
        <v>1.4000472589792061E-2</v>
      </c>
      <c r="N246" s="193"/>
      <c r="O246" s="193"/>
      <c r="P246" s="193"/>
      <c r="Q246" s="712"/>
      <c r="R246" s="193"/>
      <c r="S246" s="193"/>
      <c r="T246" s="1334">
        <f>T245/((M243+T243)/2)</f>
        <v>1.0335419675814476E-2</v>
      </c>
      <c r="U246" s="193">
        <f>U245*4/((T243+U243)/2)</f>
        <v>1.0573463543578824E-2</v>
      </c>
      <c r="V246" s="193">
        <f>V245*4/((U243+V243)/2)</f>
        <v>1.291339765006194E-2</v>
      </c>
      <c r="W246" s="193">
        <f>W245*4/((V243+W243)/2)</f>
        <v>1.1735639283508339E-2</v>
      </c>
      <c r="X246" s="712">
        <f>X245*4/((W243+X243)/2)</f>
        <v>6.9252077562326868E-3</v>
      </c>
      <c r="Y246" s="193">
        <f>Y245*2/((T243+Y243)/2)</f>
        <v>1.1462149515760455E-2</v>
      </c>
      <c r="Z246" s="193">
        <f>Z245*2/((Y243+Z243)/2)</f>
        <v>8.4151472650771386E-3</v>
      </c>
      <c r="AA246" s="1334">
        <f>AA245/((T243+AA243)/2)</f>
        <v>9.2977574071042724E-3</v>
      </c>
      <c r="AB246" s="193">
        <f>AB245*4/((AA243+AB243)/2)</f>
        <v>9.4666153891666428E-3</v>
      </c>
      <c r="AC246" s="193">
        <f>AC245*4/((AB243+AC243)/2)</f>
        <v>1.0518626734842952E-2</v>
      </c>
      <c r="AD246" s="193">
        <f>AD245*4/((AC243+AD243)/2)</f>
        <v>1.0772833723653397E-2</v>
      </c>
      <c r="AE246" s="712">
        <f>AE245*4/((AD243+AE243)/2)</f>
        <v>1.1399758851255069E-2</v>
      </c>
      <c r="AF246" s="193">
        <f>AF245*2/((AA243+AF243)/2)</f>
        <v>1.0196737044145874E-2</v>
      </c>
      <c r="AG246" s="193">
        <f>AG245*2/((AF243+AG243)/2)</f>
        <v>1.0859327386558813E-2</v>
      </c>
      <c r="AH246" s="1334">
        <f>AH245/((AA243+AH243)/2)</f>
        <v>1.0258997645475951E-2</v>
      </c>
      <c r="AI246" s="193">
        <f>AI245*4/((AH243+AI243)/2)</f>
        <v>1.6091399147155846E-2</v>
      </c>
      <c r="AJ246" s="193">
        <f>AJ245*4/((AI243+AJ243)/2)</f>
        <v>1.322278798219189E-2</v>
      </c>
      <c r="AK246" s="193">
        <f>AK245*4/((AJ243+AK243)/2)</f>
        <v>1.0789386766486844E-2</v>
      </c>
      <c r="AL246" s="712">
        <f>AL245*4/((AK243+AL243)/2)</f>
        <v>1.268059453279285E-2</v>
      </c>
      <c r="AM246" s="193">
        <f>AM245*2/((AH243+AM243)/2)</f>
        <v>1.4177058001759196E-2</v>
      </c>
      <c r="AN246" s="193">
        <f>AN245*2/((AM243+AN243)/2)</f>
        <v>1.0723860589812333E-2</v>
      </c>
      <c r="AO246" s="1334">
        <f>AO245/((AH243+AO243)/2)</f>
        <v>1.2106062833896977E-2</v>
      </c>
      <c r="AP246" s="193">
        <f>AP245*4/((AO243+AP243)/2)</f>
        <v>7.4436359298580461E-3</v>
      </c>
      <c r="AQ246" s="193">
        <f>AQ245*4/((AP243+AQ243)/2)</f>
        <v>8.4709441573175351E-3</v>
      </c>
      <c r="AR246" s="193">
        <f>AR245*4/((AQ243+AR243)/2)</f>
        <v>1.1360896010289114E-2</v>
      </c>
      <c r="AS246" s="712">
        <f>AS245*4/((AR243+AS243)/2)</f>
        <v>1.0336645758451382E-2</v>
      </c>
      <c r="AT246" s="193">
        <f>AT245*2/((AO243+AT243)/2)</f>
        <v>7.9155672823219003E-3</v>
      </c>
      <c r="AU246" s="193">
        <f>AU245*2/((AT243+AU243)/2)</f>
        <v>9.8342742669823343E-3</v>
      </c>
      <c r="AV246" s="1334">
        <f>AV245/((AO243+AV243)/2)</f>
        <v>8.1857161418857471E-3</v>
      </c>
      <c r="AW246" s="193"/>
      <c r="AX246" s="193"/>
      <c r="AY246" s="193"/>
      <c r="AZ246" s="712"/>
      <c r="BA246" s="193"/>
      <c r="BB246" s="193"/>
      <c r="BC246" s="1334">
        <f>BC245/((AO243+BC243)/2)</f>
        <v>8.1857161418857471E-3</v>
      </c>
      <c r="BD246" s="193">
        <f>BD245*4/((BC243+BD243)/2)</f>
        <v>7.2072072072072073E-3</v>
      </c>
      <c r="BE246" s="193">
        <f>BE245*4/((BD243+BE243)/2)</f>
        <v>9.5095353765052449E-3</v>
      </c>
      <c r="BF246" s="193">
        <f>BF245*4/((BE243+BF243)/2)</f>
        <v>1.2631578947368421E-2</v>
      </c>
      <c r="BG246" s="712">
        <f>BG245*4/((BF243+BG243)/2)</f>
        <v>1.2631994473502418E-2</v>
      </c>
      <c r="BH246" s="193">
        <f>BH245*2/((BC243+BH243)/2)</f>
        <v>8.214909588782399E-3</v>
      </c>
      <c r="BI246" s="193">
        <f>BI245*2/((BH243+BI243)/2)</f>
        <v>1.2105447451353109E-2</v>
      </c>
      <c r="BJ246" s="1334">
        <f>BJ245/((BC243+BJ243)/2)</f>
        <v>8.8900286361499343E-3</v>
      </c>
      <c r="BK246" s="193">
        <f>BK245*4/((BJ243+BK243)/2)</f>
        <v>1.1010346776770135E-2</v>
      </c>
      <c r="BL246" s="193">
        <f>BL245*4/((BK243+BL243)/2)</f>
        <v>7.7069169579697776E-3</v>
      </c>
      <c r="BM246" s="193">
        <f>BM245*4/((BL243+BM243)/2)</f>
        <v>1.1677520772512913E-2</v>
      </c>
      <c r="BN246" s="712">
        <f>BN245*4/((BM243+BN243)/2)</f>
        <v>1.6807968954692637E-2</v>
      </c>
      <c r="BO246" s="193">
        <f>BO245*2/((BJ243+BO243)/2)</f>
        <v>9.0872778110645102E-3</v>
      </c>
      <c r="BP246" s="193">
        <f>BP245*2/((BO243+BP243)/2)</f>
        <v>1.3520515161234611E-2</v>
      </c>
      <c r="BQ246" s="1334">
        <f>BQ245/((BJ243+BQ243)/2)</f>
        <v>1.015839069705273E-2</v>
      </c>
      <c r="BR246" s="193">
        <f>BR245*4/((BQ243+BR243)/2)</f>
        <v>1.0320068151393453E-2</v>
      </c>
      <c r="BS246" s="193">
        <f>BS245*4/((BR243+BS243)/2)</f>
        <v>6.4647365341209909E-3</v>
      </c>
      <c r="BT246" s="193">
        <f>BT245*4/((BS243+BT243)/2)</f>
        <v>4.2721830293150458E-3</v>
      </c>
      <c r="BU246" s="712">
        <f>BU245*4/((BT243+BU243)/2)</f>
        <v>7.8983342615563772E-3</v>
      </c>
      <c r="BV246" s="193">
        <f>BV245*2/((BQ243+BV243)/2)</f>
        <v>8.1661106408405116E-3</v>
      </c>
      <c r="BW246" s="193">
        <f>BW245*2/((BV243+BW243)/2)</f>
        <v>5.9653904502327019E-3</v>
      </c>
      <c r="BX246" s="1334">
        <f>BX245/((BQ243+BX243)/2)</f>
        <v>6.3507904465966566E-3</v>
      </c>
      <c r="BY246" s="193">
        <f>BY245*4/((BX243+BY243)/2)</f>
        <v>2.5479445822053372E-3</v>
      </c>
      <c r="BZ246" s="193">
        <f>BZ245*4/((BY243+BZ243)/2)</f>
        <v>3.2733968311700122E-3</v>
      </c>
      <c r="CA246" s="193">
        <f>CA245*4/((BZ243+CA243)/2)</f>
        <v>2.970044318630067E-3</v>
      </c>
      <c r="CB246" s="712">
        <f>CB245*4/((CA243+CB243)/2)</f>
        <v>7.2171226234240739E-3</v>
      </c>
      <c r="CC246" s="193">
        <f>CC245*2/((BX243+CC243)/2)</f>
        <v>2.9873039581777448E-3</v>
      </c>
      <c r="CD246" s="193">
        <f>CD245*2/((CC243+CD243)/2)</f>
        <v>5.0766023026017583E-3</v>
      </c>
      <c r="CE246" s="1334">
        <f>CE245/((BX243+CE243)/2)</f>
        <v>3.9918348831934677E-3</v>
      </c>
      <c r="CF246" s="193">
        <f>CF245*4/((CE243+CF243)/2)</f>
        <v>3.5165608035341435E-4</v>
      </c>
      <c r="CG246" s="193">
        <f>CG245*4/((CF243+CG243)/2)</f>
        <v>5.0476598237825902E-3</v>
      </c>
      <c r="CH246" s="193">
        <f>CH245*4/((CG243+CH243)/2)</f>
        <v>1.1268117588259349E-2</v>
      </c>
      <c r="CI246" s="712">
        <f>CI245*4/((CH243+CI243)/2)</f>
        <v>1.5286071002062751E-2</v>
      </c>
      <c r="CJ246" s="193">
        <f>CJ245*2/((CE243+CJ243)/2)</f>
        <v>2.7122321670735015E-3</v>
      </c>
      <c r="CK246" s="193">
        <f>CK245*2/((CJ243+CK243)/2)</f>
        <v>1.3286388095396267E-2</v>
      </c>
      <c r="CL246" s="1334">
        <f>CL245/((CE243+CL243)/2)</f>
        <v>7.7785700395410643E-3</v>
      </c>
      <c r="CM246" s="193">
        <f>CM245*4/((CL243+CM243)/2)</f>
        <v>2.3122392211404729E-2</v>
      </c>
      <c r="CN246" s="193">
        <f>CN245*4/((CM243+CN243)/2)</f>
        <v>2.5586165824822992E-2</v>
      </c>
      <c r="CO246" s="193">
        <f>CO245*4/((CN243+CO243)/2)</f>
        <v>4.3420704262642308E-2</v>
      </c>
      <c r="CP246" s="712">
        <f>CP245*4/((CO243+CP243)/2)</f>
        <v>3.4226034435752783E-2</v>
      </c>
      <c r="CQ246" s="193">
        <f>CQ245*2/((CL243+CQ243)/2)</f>
        <v>2.3905238944901864E-2</v>
      </c>
      <c r="CR246" s="193">
        <f>CR245*2/((CQ243+CR243)/2)</f>
        <v>3.73467228250721E-2</v>
      </c>
      <c r="CS246" s="1334">
        <f t="shared" ref="CS246" si="1855">CS245/((CL243+CS243)/2)</f>
        <v>2.9789671822571404E-2</v>
      </c>
      <c r="CT246" s="193">
        <f>CT245*4/((CS243+CT243)/2)</f>
        <v>3.564535337357809E-2</v>
      </c>
      <c r="CU246" s="193">
        <f>CU245*4/((CT243+CU243)/2)</f>
        <v>3.2141989889401534E-2</v>
      </c>
      <c r="CV246" s="193">
        <f>CV245*4/((CU243+CV243)/2)</f>
        <v>3.4075832693247675E-2</v>
      </c>
      <c r="CW246" s="712">
        <f>CW245*4/((CV243+CW243)/2)</f>
        <v>3.6703370036703369E-2</v>
      </c>
      <c r="CX246" s="193">
        <f>CX245*2/((CS243+CX243)/2)</f>
        <v>3.3847263164591863E-2</v>
      </c>
      <c r="CY246" s="193">
        <f>CY245*2/((CX243+CY243)/2)</f>
        <v>3.3074129547179879E-2</v>
      </c>
      <c r="CZ246" s="1334">
        <f t="shared" ref="CZ246" si="1856">CZ245/((CS243+CZ243)/2)</f>
        <v>3.0762149514786546E-2</v>
      </c>
      <c r="DA246" s="193">
        <f>DA245*4/((CZ243+DA243)/2)</f>
        <v>3.1572785467454727E-2</v>
      </c>
      <c r="DB246" s="193">
        <f>DB245*4/((DA243+DB243)/2)</f>
        <v>2.899902488659007E-2</v>
      </c>
      <c r="DC246" s="193">
        <f>DC245*4/((DB243+DC243)/2)</f>
        <v>2.961216550748556E-2</v>
      </c>
      <c r="DD246" s="1882">
        <f>DD245*4/((DC243+DD243)/2)</f>
        <v>2.8505519855000824E-2</v>
      </c>
      <c r="DE246" s="193">
        <f>DE245*2/((CZ243+DE243)/2)</f>
        <v>3.1702993012827196E-2</v>
      </c>
      <c r="DF246" s="1921">
        <f>DF245*2/((DE243+DF243)/2)</f>
        <v>2.7329758380090684E-2</v>
      </c>
      <c r="DG246" s="1334">
        <f t="shared" ref="DG246" si="1857">DG245/((CZ243+DG243)/2)</f>
        <v>2.6256425428053697E-2</v>
      </c>
      <c r="DH246" s="809">
        <f>DH245*4/((DG243+DH243)/2)</f>
        <v>2.6842055094843199E-2</v>
      </c>
      <c r="DI246" s="193">
        <f>DI245*4/((DH243+DI243)/2)</f>
        <v>2.7153230617324584E-2</v>
      </c>
      <c r="DJ246" s="900">
        <f>DN246</f>
        <v>2.5000000000000001E-2</v>
      </c>
      <c r="DK246" s="600">
        <f>DK245*4/((DJ243+DK243)/2)</f>
        <v>2.9122153344919199E-2</v>
      </c>
      <c r="DL246" s="193">
        <f>DL245*2/((DG243+DL243)/2)</f>
        <v>2.6959718543700835E-2</v>
      </c>
      <c r="DM246" s="599">
        <f>DM245*2/((DL243+DM243)/2)</f>
        <v>2.5893280371119799E-2</v>
      </c>
      <c r="DN246" s="648">
        <v>2.5000000000000001E-2</v>
      </c>
      <c r="DO246" s="900">
        <f>DU246</f>
        <v>2.5000000000000001E-2</v>
      </c>
      <c r="DP246" s="599">
        <f>DP245*4/((DO243+DP243)/2)</f>
        <v>2.6737440943751436E-2</v>
      </c>
      <c r="DQ246" s="900">
        <f>DU246</f>
        <v>2.5000000000000001E-2</v>
      </c>
      <c r="DR246" s="600">
        <f>DR245*4/((DQ243+DR243)/2)</f>
        <v>2.580456322642739E-2</v>
      </c>
      <c r="DS246" s="900">
        <f>DU246</f>
        <v>2.5000000000000001E-2</v>
      </c>
      <c r="DT246" s="599">
        <f>DT245*2/((DS243+DT243)/2)</f>
        <v>2.4955978014488039E-2</v>
      </c>
      <c r="DU246" s="755">
        <f>DN246</f>
        <v>2.5000000000000001E-2</v>
      </c>
      <c r="DV246" s="900">
        <f>EB246</f>
        <v>2.5000000000000001E-2</v>
      </c>
      <c r="DW246" s="599">
        <f>DW245*4/((DV243+DW243)/2)</f>
        <v>2.5842885863162274E-2</v>
      </c>
      <c r="DX246" s="900">
        <f>EB246</f>
        <v>2.5000000000000001E-2</v>
      </c>
      <c r="DY246" s="600">
        <f>DY245*4/((DX243+DY243)/2)</f>
        <v>2.3877318028484321E-2</v>
      </c>
      <c r="DZ246" s="900">
        <f>EB246</f>
        <v>2.5000000000000001E-2</v>
      </c>
      <c r="EA246" s="599">
        <f>EA245*2/((DZ243+EA243)/2)</f>
        <v>2.3884889261826248E-2</v>
      </c>
      <c r="EB246" s="755">
        <f>DU246</f>
        <v>2.5000000000000001E-2</v>
      </c>
      <c r="EC246" s="900">
        <f>EI246</f>
        <v>2.5000000000000001E-2</v>
      </c>
      <c r="ED246" s="599">
        <f>ED245*4/((EC243+ED243)/2)</f>
        <v>2.552377767192816E-2</v>
      </c>
      <c r="EE246" s="900">
        <f>EI246</f>
        <v>2.5000000000000001E-2</v>
      </c>
      <c r="EF246" s="600">
        <f>EF245*4/((EE243+EF243)/2)</f>
        <v>2.4196486716694821E-2</v>
      </c>
      <c r="EG246" s="900">
        <f>EI246</f>
        <v>2.5000000000000001E-2</v>
      </c>
      <c r="EH246" s="599">
        <f>EH245*2/((EG243+EH243)/2)</f>
        <v>2.4040858131128655E-2</v>
      </c>
      <c r="EI246" s="755">
        <f>EB246</f>
        <v>2.5000000000000001E-2</v>
      </c>
      <c r="EJ246" s="900">
        <f>EP246</f>
        <v>2.5000000000000001E-2</v>
      </c>
      <c r="EK246" s="599">
        <f>EK245*4/((EJ243+EK243)/2)</f>
        <v>2.4846084089639828E-2</v>
      </c>
      <c r="EL246" s="900">
        <f>EP246</f>
        <v>2.5000000000000001E-2</v>
      </c>
      <c r="EM246" s="600">
        <f>EM245*4/((EL243+EM243)/2)</f>
        <v>2.2317143335957808E-2</v>
      </c>
      <c r="EN246" s="900">
        <f>EP246</f>
        <v>2.5000000000000001E-2</v>
      </c>
      <c r="EO246" s="599">
        <f>EO245*2/((EN243+EO243)/2)</f>
        <v>2.3122967326516988E-2</v>
      </c>
      <c r="EP246" s="755">
        <f t="shared" ref="EP246" si="1858">EI246</f>
        <v>2.5000000000000001E-2</v>
      </c>
      <c r="EQ246" s="303"/>
      <c r="ER246" s="46"/>
    </row>
    <row r="247" spans="1:148" ht="10.199999999999999" customHeight="1">
      <c r="A247" s="43"/>
      <c r="B247" s="108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1448"/>
      <c r="R247" s="203"/>
      <c r="S247" s="203"/>
      <c r="T247" s="1461"/>
      <c r="U247" s="203"/>
      <c r="V247" s="203"/>
      <c r="W247" s="203"/>
      <c r="X247" s="1448"/>
      <c r="Y247" s="203"/>
      <c r="Z247" s="203"/>
      <c r="AA247" s="1461"/>
      <c r="AB247" s="203"/>
      <c r="AC247" s="203"/>
      <c r="AD247" s="203"/>
      <c r="AE247" s="1448"/>
      <c r="AF247" s="203"/>
      <c r="AG247" s="203"/>
      <c r="AH247" s="1461"/>
      <c r="AI247" s="203"/>
      <c r="AJ247" s="203"/>
      <c r="AK247" s="203"/>
      <c r="AL247" s="1448"/>
      <c r="AM247" s="203"/>
      <c r="AN247" s="203"/>
      <c r="AO247" s="1461"/>
      <c r="AP247" s="203"/>
      <c r="AQ247" s="203"/>
      <c r="AR247" s="203"/>
      <c r="AS247" s="1448"/>
      <c r="AT247" s="203"/>
      <c r="AU247" s="203"/>
      <c r="AV247" s="1461"/>
      <c r="AW247" s="203"/>
      <c r="AX247" s="203"/>
      <c r="AY247" s="203"/>
      <c r="AZ247" s="1448"/>
      <c r="BA247" s="203"/>
      <c r="BB247" s="203"/>
      <c r="BC247" s="1461"/>
      <c r="BD247" s="203"/>
      <c r="BE247" s="203"/>
      <c r="BF247" s="203"/>
      <c r="BG247" s="1448"/>
      <c r="BH247" s="203"/>
      <c r="BI247" s="203"/>
      <c r="BJ247" s="1461"/>
      <c r="BK247" s="203"/>
      <c r="BL247" s="203"/>
      <c r="BM247" s="203"/>
      <c r="BN247" s="1448"/>
      <c r="BO247" s="203"/>
      <c r="BP247" s="203"/>
      <c r="BQ247" s="1461"/>
      <c r="BR247" s="203"/>
      <c r="BS247" s="203"/>
      <c r="BT247" s="203"/>
      <c r="BU247" s="1448"/>
      <c r="BV247" s="203"/>
      <c r="BW247" s="203"/>
      <c r="BX247" s="1461"/>
      <c r="BY247" s="203"/>
      <c r="BZ247" s="203"/>
      <c r="CA247" s="203"/>
      <c r="CB247" s="1448"/>
      <c r="CC247" s="203"/>
      <c r="CD247" s="203"/>
      <c r="CE247" s="1461"/>
      <c r="CF247" s="203"/>
      <c r="CG247" s="203"/>
      <c r="CH247" s="203"/>
      <c r="CI247" s="1448"/>
      <c r="CJ247" s="203"/>
      <c r="CK247" s="203"/>
      <c r="CL247" s="1461"/>
      <c r="CM247" s="203"/>
      <c r="CN247" s="203"/>
      <c r="CO247" s="203"/>
      <c r="CP247" s="1448"/>
      <c r="CQ247" s="203"/>
      <c r="CR247" s="203"/>
      <c r="CS247" s="1461"/>
      <c r="CT247" s="203"/>
      <c r="CU247" s="203"/>
      <c r="CV247" s="203"/>
      <c r="CW247" s="1448"/>
      <c r="CX247" s="203"/>
      <c r="CY247" s="203"/>
      <c r="CZ247" s="1483"/>
      <c r="DA247" s="12"/>
      <c r="DB247" s="12"/>
      <c r="DC247" s="12"/>
      <c r="DD247" s="1448"/>
      <c r="DE247" s="12"/>
      <c r="DF247" s="12"/>
      <c r="DG247" s="1461"/>
      <c r="DH247" s="834"/>
      <c r="DI247" s="12"/>
      <c r="DJ247" s="12"/>
      <c r="DK247" s="1448"/>
      <c r="DL247" s="12"/>
      <c r="DM247" s="12"/>
      <c r="DN247" s="1483"/>
      <c r="DO247" s="12"/>
      <c r="DP247" s="12"/>
      <c r="DQ247" s="12"/>
      <c r="DR247" s="1448"/>
      <c r="DS247" s="12"/>
      <c r="DT247" s="12"/>
      <c r="DU247" s="1483"/>
      <c r="DV247" s="12"/>
      <c r="DW247" s="12"/>
      <c r="DX247" s="12"/>
      <c r="DY247" s="1448"/>
      <c r="DZ247" s="12"/>
      <c r="EA247" s="12"/>
      <c r="EB247" s="1483"/>
      <c r="EC247" s="12"/>
      <c r="ED247" s="12"/>
      <c r="EE247" s="12"/>
      <c r="EF247" s="1448"/>
      <c r="EG247" s="12"/>
      <c r="EH247" s="12"/>
      <c r="EI247" s="1483"/>
      <c r="EJ247" s="12"/>
      <c r="EK247" s="12"/>
      <c r="EL247" s="12"/>
      <c r="EM247" s="1448"/>
      <c r="EN247" s="12"/>
      <c r="EO247" s="12"/>
      <c r="EP247" s="1483"/>
      <c r="EQ247" s="303"/>
      <c r="ER247" s="46"/>
    </row>
    <row r="248" spans="1:148" ht="10.199999999999999" customHeight="1">
      <c r="A248" s="43"/>
      <c r="B248" s="108"/>
      <c r="C248" s="203"/>
      <c r="D248" s="203"/>
      <c r="E248" s="203"/>
      <c r="F248" s="203"/>
      <c r="G248" s="203"/>
      <c r="H248" s="203"/>
      <c r="I248" s="203"/>
      <c r="J248" s="203"/>
      <c r="K248" s="203">
        <f>K245-K234</f>
        <v>-99</v>
      </c>
      <c r="L248" s="203"/>
      <c r="M248" s="203"/>
      <c r="N248" s="203"/>
      <c r="O248" s="203"/>
      <c r="P248" s="203"/>
      <c r="Q248" s="1448"/>
      <c r="R248" s="203"/>
      <c r="S248" s="203"/>
      <c r="T248" s="1461"/>
      <c r="U248" s="203"/>
      <c r="V248" s="203"/>
      <c r="W248" s="203"/>
      <c r="X248" s="1448"/>
      <c r="Y248" s="203"/>
      <c r="Z248" s="203"/>
      <c r="AA248" s="1461"/>
      <c r="AB248" s="203"/>
      <c r="AC248" s="203"/>
      <c r="AD248" s="203"/>
      <c r="AE248" s="1448"/>
      <c r="AF248" s="203"/>
      <c r="AG248" s="203"/>
      <c r="AH248" s="1461"/>
      <c r="AI248" s="203"/>
      <c r="AJ248" s="203"/>
      <c r="AK248" s="203"/>
      <c r="AL248" s="1448"/>
      <c r="AM248" s="203"/>
      <c r="AN248" s="203"/>
      <c r="AO248" s="1461"/>
      <c r="AP248" s="203"/>
      <c r="AQ248" s="203"/>
      <c r="AR248" s="203"/>
      <c r="AS248" s="1448"/>
      <c r="AT248" s="203"/>
      <c r="AU248" s="203"/>
      <c r="AV248" s="1461"/>
      <c r="AW248" s="203"/>
      <c r="AX248" s="203"/>
      <c r="AY248" s="203"/>
      <c r="AZ248" s="1448"/>
      <c r="BA248" s="203"/>
      <c r="BB248" s="203"/>
      <c r="BC248" s="1461"/>
      <c r="BD248" s="203"/>
      <c r="BE248" s="203"/>
      <c r="BF248" s="203"/>
      <c r="BG248" s="1448"/>
      <c r="BH248" s="203"/>
      <c r="BI248" s="203"/>
      <c r="BJ248" s="1461"/>
      <c r="BK248" s="203"/>
      <c r="BL248" s="203"/>
      <c r="BM248" s="203"/>
      <c r="BN248" s="1448"/>
      <c r="BO248" s="203"/>
      <c r="BP248" s="203"/>
      <c r="BQ248" s="1461"/>
      <c r="BR248" s="203"/>
      <c r="BS248" s="203"/>
      <c r="BT248" s="203"/>
      <c r="BU248" s="1448"/>
      <c r="BV248" s="203"/>
      <c r="BW248" s="203"/>
      <c r="BX248" s="1461"/>
      <c r="BY248" s="203"/>
      <c r="BZ248" s="203"/>
      <c r="CA248" s="203"/>
      <c r="CB248" s="1448"/>
      <c r="CC248" s="203"/>
      <c r="CD248" s="203"/>
      <c r="CE248" s="1461"/>
      <c r="CF248" s="203"/>
      <c r="CG248" s="203"/>
      <c r="CH248" s="203"/>
      <c r="CI248" s="1448"/>
      <c r="CJ248" s="203"/>
      <c r="CK248" s="203"/>
      <c r="CL248" s="1461"/>
      <c r="CM248" s="203"/>
      <c r="CN248" s="203"/>
      <c r="CO248" s="203"/>
      <c r="CP248" s="1448"/>
      <c r="CQ248" s="203"/>
      <c r="CR248" s="203"/>
      <c r="CS248" s="1461"/>
      <c r="CT248" s="203"/>
      <c r="CU248" s="203"/>
      <c r="CV248" s="203"/>
      <c r="CW248" s="1448"/>
      <c r="CX248" s="203"/>
      <c r="CY248" s="203"/>
      <c r="CZ248" s="1483"/>
      <c r="DA248" s="12"/>
      <c r="DB248" s="12"/>
      <c r="DC248" s="12"/>
      <c r="DD248" s="1513"/>
      <c r="DE248" s="12"/>
      <c r="DF248" s="12"/>
      <c r="DG248" s="1461"/>
      <c r="DH248" s="834"/>
      <c r="DI248" s="12"/>
      <c r="DJ248" s="12"/>
      <c r="DK248" s="1513"/>
      <c r="DL248" s="12"/>
      <c r="DM248" s="12"/>
      <c r="DN248" s="1483"/>
      <c r="DO248" s="12"/>
      <c r="DP248" s="12"/>
      <c r="DQ248" s="12"/>
      <c r="DR248" s="1513"/>
      <c r="DS248" s="12"/>
      <c r="DT248" s="12"/>
      <c r="DU248" s="1483"/>
      <c r="DV248" s="12"/>
      <c r="DW248" s="12"/>
      <c r="DX248" s="12"/>
      <c r="DY248" s="1513"/>
      <c r="DZ248" s="12"/>
      <c r="EA248" s="12"/>
      <c r="EB248" s="1483"/>
      <c r="EC248" s="12"/>
      <c r="ED248" s="12"/>
      <c r="EE248" s="12"/>
      <c r="EF248" s="1513"/>
      <c r="EG248" s="12"/>
      <c r="EH248" s="12"/>
      <c r="EI248" s="1483"/>
      <c r="EJ248" s="12"/>
      <c r="EK248" s="12"/>
      <c r="EL248" s="12"/>
      <c r="EM248" s="1513"/>
      <c r="EN248" s="12"/>
      <c r="EO248" s="12"/>
      <c r="EP248" s="1483"/>
      <c r="EQ248" s="303"/>
      <c r="ER248" s="46"/>
    </row>
    <row r="249" spans="1:148" ht="10.199999999999999" customHeight="1">
      <c r="A249" s="48" t="s">
        <v>163</v>
      </c>
      <c r="B249" s="108"/>
      <c r="C249" s="108"/>
      <c r="D249" s="108"/>
      <c r="E249" s="130"/>
      <c r="F249" s="227"/>
      <c r="G249" s="227"/>
      <c r="H249" s="108"/>
      <c r="I249" s="108"/>
      <c r="J249" s="108"/>
      <c r="K249" s="108"/>
      <c r="L249" s="108"/>
      <c r="M249" s="108"/>
      <c r="N249" s="108"/>
      <c r="O249" s="108"/>
      <c r="P249" s="108"/>
      <c r="Q249" s="700"/>
      <c r="R249" s="108"/>
      <c r="S249" s="108"/>
      <c r="T249" s="538"/>
      <c r="U249" s="108"/>
      <c r="V249" s="108"/>
      <c r="W249" s="108"/>
      <c r="X249" s="700"/>
      <c r="Y249" s="108"/>
      <c r="Z249" s="108"/>
      <c r="AA249" s="538"/>
      <c r="AB249" s="108"/>
      <c r="AC249" s="108"/>
      <c r="AD249" s="108"/>
      <c r="AE249" s="700"/>
      <c r="AF249" s="108"/>
      <c r="AG249" s="108"/>
      <c r="AH249" s="538"/>
      <c r="AI249" s="108"/>
      <c r="AJ249" s="108"/>
      <c r="AK249" s="108"/>
      <c r="AL249" s="700"/>
      <c r="AM249" s="108"/>
      <c r="AN249" s="108"/>
      <c r="AO249" s="538"/>
      <c r="AP249" s="108"/>
      <c r="AQ249" s="108"/>
      <c r="AR249" s="108"/>
      <c r="AS249" s="700"/>
      <c r="AT249" s="108"/>
      <c r="AU249" s="108"/>
      <c r="AV249" s="538"/>
      <c r="AW249" s="108"/>
      <c r="AX249" s="108"/>
      <c r="AY249" s="108"/>
      <c r="AZ249" s="700"/>
      <c r="BA249" s="108"/>
      <c r="BB249" s="108"/>
      <c r="BC249" s="538"/>
      <c r="BD249" s="108"/>
      <c r="BE249" s="108"/>
      <c r="BF249" s="108"/>
      <c r="BG249" s="700"/>
      <c r="BH249" s="108"/>
      <c r="BI249" s="108"/>
      <c r="BJ249" s="538"/>
      <c r="BK249" s="108"/>
      <c r="BL249" s="108"/>
      <c r="BM249" s="108"/>
      <c r="BN249" s="700"/>
      <c r="BO249" s="108"/>
      <c r="BP249" s="108"/>
      <c r="BQ249" s="538"/>
      <c r="BR249" s="108"/>
      <c r="BS249" s="108"/>
      <c r="BT249" s="108"/>
      <c r="BU249" s="700"/>
      <c r="BV249" s="108"/>
      <c r="BW249" s="108"/>
      <c r="BX249" s="538"/>
      <c r="BY249" s="108"/>
      <c r="BZ249" s="108"/>
      <c r="CA249" s="108"/>
      <c r="CB249" s="700"/>
      <c r="CC249" s="108"/>
      <c r="CD249" s="108"/>
      <c r="CE249" s="538"/>
      <c r="CF249" s="108"/>
      <c r="CG249" s="108"/>
      <c r="CH249" s="108"/>
      <c r="CI249" s="700"/>
      <c r="CJ249" s="108"/>
      <c r="CK249" s="108"/>
      <c r="CL249" s="538"/>
      <c r="CM249" s="108"/>
      <c r="CN249" s="108"/>
      <c r="CO249" s="108"/>
      <c r="CP249" s="700"/>
      <c r="CQ249" s="108"/>
      <c r="CR249" s="108"/>
      <c r="CS249" s="538"/>
      <c r="CT249" s="108"/>
      <c r="CU249" s="108"/>
      <c r="CV249" s="108"/>
      <c r="CW249" s="700"/>
      <c r="CX249" s="108"/>
      <c r="CY249" s="108"/>
      <c r="CZ249" s="1479"/>
      <c r="DA249" s="3"/>
      <c r="DB249" s="3"/>
      <c r="DC249" s="3"/>
      <c r="DD249" s="1509"/>
      <c r="DE249" s="3"/>
      <c r="DF249" s="3"/>
      <c r="DG249" s="538"/>
      <c r="DH249" s="1"/>
      <c r="DI249" s="3"/>
      <c r="DJ249" s="3"/>
      <c r="DK249" s="1509"/>
      <c r="DL249" s="3"/>
      <c r="DM249" s="3"/>
      <c r="DN249" s="1479"/>
      <c r="DO249" s="3"/>
      <c r="DP249" s="3"/>
      <c r="DQ249" s="3"/>
      <c r="DR249" s="1509"/>
      <c r="DS249" s="3"/>
      <c r="DT249" s="3"/>
      <c r="DU249" s="1479"/>
      <c r="DV249" s="3"/>
      <c r="DW249" s="3"/>
      <c r="DX249" s="3"/>
      <c r="DY249" s="1509"/>
      <c r="DZ249" s="3"/>
      <c r="EA249" s="3"/>
      <c r="EB249" s="1479"/>
      <c r="EC249" s="3"/>
      <c r="ED249" s="3"/>
      <c r="EE249" s="3"/>
      <c r="EF249" s="1509"/>
      <c r="EG249" s="3"/>
      <c r="EH249" s="3"/>
      <c r="EI249" s="1479"/>
      <c r="EJ249" s="3"/>
      <c r="EK249" s="3"/>
      <c r="EL249" s="3"/>
      <c r="EM249" s="1509"/>
      <c r="EN249" s="3"/>
      <c r="EO249" s="3"/>
      <c r="EP249" s="1479"/>
      <c r="EQ249" s="303"/>
      <c r="ER249" s="46"/>
    </row>
    <row r="250" spans="1:148" ht="10.199999999999999" customHeight="1">
      <c r="A250" s="48"/>
      <c r="B250" s="48"/>
      <c r="C250" s="48"/>
      <c r="D250" s="48"/>
      <c r="E250" s="135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700"/>
      <c r="R250" s="108"/>
      <c r="S250" s="108"/>
      <c r="T250" s="538"/>
      <c r="U250" s="108"/>
      <c r="V250" s="108"/>
      <c r="W250" s="108"/>
      <c r="X250" s="700"/>
      <c r="Y250" s="108"/>
      <c r="Z250" s="108"/>
      <c r="AA250" s="538"/>
      <c r="AB250" s="108"/>
      <c r="AC250" s="108"/>
      <c r="AD250" s="108"/>
      <c r="AE250" s="700"/>
      <c r="AF250" s="108"/>
      <c r="AG250" s="108"/>
      <c r="AH250" s="538"/>
      <c r="AI250" s="108"/>
      <c r="AJ250" s="108"/>
      <c r="AK250" s="108"/>
      <c r="AL250" s="700"/>
      <c r="AM250" s="108"/>
      <c r="AN250" s="108"/>
      <c r="AO250" s="538"/>
      <c r="AP250" s="108"/>
      <c r="AQ250" s="108"/>
      <c r="AR250" s="108"/>
      <c r="AS250" s="700"/>
      <c r="AT250" s="108"/>
      <c r="AU250" s="108"/>
      <c r="AV250" s="538"/>
      <c r="AW250" s="108"/>
      <c r="AX250" s="108"/>
      <c r="AY250" s="108"/>
      <c r="AZ250" s="700"/>
      <c r="BA250" s="108"/>
      <c r="BB250" s="108"/>
      <c r="BC250" s="538"/>
      <c r="BD250" s="108"/>
      <c r="BE250" s="108"/>
      <c r="BF250" s="108"/>
      <c r="BG250" s="700"/>
      <c r="BH250" s="108"/>
      <c r="BI250" s="108"/>
      <c r="BJ250" s="538"/>
      <c r="BK250" s="108"/>
      <c r="BL250" s="108"/>
      <c r="BM250" s="108"/>
      <c r="BN250" s="700"/>
      <c r="BO250" s="108"/>
      <c r="BP250" s="108"/>
      <c r="BQ250" s="538"/>
      <c r="BR250" s="108"/>
      <c r="BS250" s="108"/>
      <c r="BT250" s="108"/>
      <c r="BU250" s="700"/>
      <c r="BV250" s="108"/>
      <c r="BW250" s="108"/>
      <c r="BX250" s="538"/>
      <c r="BY250" s="108"/>
      <c r="BZ250" s="108"/>
      <c r="CA250" s="108"/>
      <c r="CB250" s="700"/>
      <c r="CC250" s="108"/>
      <c r="CD250" s="108"/>
      <c r="CE250" s="538"/>
      <c r="CF250" s="108"/>
      <c r="CG250" s="108"/>
      <c r="CH250" s="108"/>
      <c r="CI250" s="700"/>
      <c r="CJ250" s="108"/>
      <c r="CK250" s="108"/>
      <c r="CL250" s="538"/>
      <c r="CM250" s="108"/>
      <c r="CN250" s="108"/>
      <c r="CO250" s="108"/>
      <c r="CP250" s="700"/>
      <c r="CQ250" s="108"/>
      <c r="CR250" s="108"/>
      <c r="CS250" s="538"/>
      <c r="CT250" s="108"/>
      <c r="CU250" s="108"/>
      <c r="CV250" s="108"/>
      <c r="CW250" s="700"/>
      <c r="CX250" s="108"/>
      <c r="CY250" s="108"/>
      <c r="CZ250" s="1637"/>
      <c r="DA250" s="19"/>
      <c r="DB250" s="19"/>
      <c r="DC250" s="19"/>
      <c r="DD250" s="1661"/>
      <c r="DE250" s="19"/>
      <c r="DF250" s="19"/>
      <c r="DG250" s="538"/>
      <c r="DH250" s="1965"/>
      <c r="DI250" s="19"/>
      <c r="DJ250" s="19"/>
      <c r="DK250" s="1661"/>
      <c r="DL250" s="19"/>
      <c r="DM250" s="19"/>
      <c r="DN250" s="1637"/>
      <c r="DO250" s="19"/>
      <c r="DP250" s="19"/>
      <c r="DQ250" s="19"/>
      <c r="DR250" s="1661"/>
      <c r="DS250" s="19"/>
      <c r="DT250" s="19"/>
      <c r="DU250" s="1637"/>
      <c r="DV250" s="19"/>
      <c r="DW250" s="19"/>
      <c r="DX250" s="19"/>
      <c r="DY250" s="1661"/>
      <c r="DZ250" s="19"/>
      <c r="EA250" s="19"/>
      <c r="EB250" s="1637"/>
      <c r="EC250" s="19"/>
      <c r="ED250" s="19"/>
      <c r="EE250" s="19"/>
      <c r="EF250" s="1661"/>
      <c r="EG250" s="19"/>
      <c r="EH250" s="19"/>
      <c r="EI250" s="1637"/>
      <c r="EJ250" s="19"/>
      <c r="EK250" s="19"/>
      <c r="EL250" s="19"/>
      <c r="EM250" s="1661"/>
      <c r="EN250" s="19"/>
      <c r="EO250" s="19"/>
      <c r="EP250" s="1637"/>
      <c r="EQ250" s="303"/>
      <c r="ER250" s="46"/>
    </row>
    <row r="251" spans="1:148" ht="10.199999999999999" customHeight="1">
      <c r="A251" s="3" t="s">
        <v>40</v>
      </c>
      <c r="B251" s="176">
        <f t="shared" ref="B251:EP251" si="1859">B39</f>
        <v>0</v>
      </c>
      <c r="C251" s="176">
        <f t="shared" si="1859"/>
        <v>0</v>
      </c>
      <c r="D251" s="176">
        <f t="shared" si="1859"/>
        <v>4102</v>
      </c>
      <c r="E251" s="176">
        <f t="shared" si="1859"/>
        <v>4535</v>
      </c>
      <c r="F251" s="176">
        <f t="shared" si="1859"/>
        <v>5128</v>
      </c>
      <c r="G251" s="176">
        <f t="shared" si="1859"/>
        <v>5751</v>
      </c>
      <c r="H251" s="176">
        <f t="shared" si="1859"/>
        <v>4542</v>
      </c>
      <c r="I251" s="176">
        <f t="shared" si="1859"/>
        <v>4442</v>
      </c>
      <c r="J251" s="176">
        <f t="shared" si="1859"/>
        <v>5139</v>
      </c>
      <c r="K251" s="176">
        <f t="shared" si="1859"/>
        <v>4983</v>
      </c>
      <c r="L251" s="176">
        <f t="shared" si="1859"/>
        <v>5504</v>
      </c>
      <c r="M251" s="176">
        <f t="shared" si="1859"/>
        <v>6024</v>
      </c>
      <c r="N251" s="176"/>
      <c r="O251" s="176"/>
      <c r="P251" s="176"/>
      <c r="Q251" s="709"/>
      <c r="R251" s="176"/>
      <c r="S251" s="176"/>
      <c r="T251" s="352">
        <f t="shared" si="1859"/>
        <v>5866</v>
      </c>
      <c r="U251" s="176">
        <f t="shared" ref="U251:X251" si="1860">U39</f>
        <v>5921</v>
      </c>
      <c r="V251" s="176">
        <f t="shared" si="1860"/>
        <v>6199</v>
      </c>
      <c r="W251" s="176">
        <f t="shared" si="1860"/>
        <v>6588</v>
      </c>
      <c r="X251" s="709">
        <f t="shared" si="1860"/>
        <v>7864</v>
      </c>
      <c r="Y251" s="176">
        <f t="shared" ref="Y251:Z251" si="1861">Y39</f>
        <v>6199</v>
      </c>
      <c r="Z251" s="176">
        <f t="shared" si="1861"/>
        <v>7864</v>
      </c>
      <c r="AA251" s="352">
        <f t="shared" si="1859"/>
        <v>7864</v>
      </c>
      <c r="AB251" s="176">
        <f t="shared" si="1859"/>
        <v>8522</v>
      </c>
      <c r="AC251" s="176">
        <f t="shared" si="1859"/>
        <v>8014</v>
      </c>
      <c r="AD251" s="176">
        <f t="shared" si="1859"/>
        <v>7924</v>
      </c>
      <c r="AE251" s="709">
        <f t="shared" si="1859"/>
        <v>7172</v>
      </c>
      <c r="AF251" s="176">
        <f t="shared" ref="AF251:AG251" si="1862">AF39</f>
        <v>8014</v>
      </c>
      <c r="AG251" s="176">
        <f t="shared" si="1862"/>
        <v>7172</v>
      </c>
      <c r="AH251" s="352">
        <f t="shared" si="1859"/>
        <v>7172</v>
      </c>
      <c r="AI251" s="176">
        <f t="shared" ref="AI251:AL251" si="1863">AI39</f>
        <v>8023</v>
      </c>
      <c r="AJ251" s="176">
        <f t="shared" si="1863"/>
        <v>8781</v>
      </c>
      <c r="AK251" s="176">
        <f t="shared" si="1863"/>
        <v>9264</v>
      </c>
      <c r="AL251" s="709">
        <f t="shared" si="1863"/>
        <v>8656</v>
      </c>
      <c r="AM251" s="176">
        <f t="shared" ref="AM251:AN251" si="1864">AM39</f>
        <v>8781</v>
      </c>
      <c r="AN251" s="176">
        <f t="shared" si="1864"/>
        <v>8656</v>
      </c>
      <c r="AO251" s="352">
        <f t="shared" si="1859"/>
        <v>8656</v>
      </c>
      <c r="AP251" s="176">
        <f t="shared" si="1859"/>
        <v>8556</v>
      </c>
      <c r="AQ251" s="176">
        <f t="shared" si="1859"/>
        <v>8281</v>
      </c>
      <c r="AR251" s="176">
        <f t="shared" si="1859"/>
        <v>8392</v>
      </c>
      <c r="AS251" s="709">
        <f t="shared" si="1859"/>
        <v>8361</v>
      </c>
      <c r="AT251" s="176">
        <f t="shared" ref="AT251:AU251" si="1865">AT39</f>
        <v>8281</v>
      </c>
      <c r="AU251" s="176">
        <f t="shared" si="1865"/>
        <v>8361</v>
      </c>
      <c r="AV251" s="352">
        <f t="shared" si="1859"/>
        <v>8361</v>
      </c>
      <c r="AW251" s="176"/>
      <c r="AX251" s="176"/>
      <c r="AY251" s="176"/>
      <c r="AZ251" s="709"/>
      <c r="BA251" s="176"/>
      <c r="BB251" s="176"/>
      <c r="BC251" s="352">
        <f t="shared" si="1859"/>
        <v>8361</v>
      </c>
      <c r="BD251" s="176">
        <f t="shared" ref="BD251:BG251" si="1866">BD39</f>
        <v>8669</v>
      </c>
      <c r="BE251" s="176">
        <f t="shared" si="1866"/>
        <v>8447</v>
      </c>
      <c r="BF251" s="176">
        <f t="shared" si="1866"/>
        <v>7677</v>
      </c>
      <c r="BG251" s="709">
        <f t="shared" si="1866"/>
        <v>7072</v>
      </c>
      <c r="BH251" s="176">
        <f t="shared" ref="BH251:BI251" si="1867">BH39</f>
        <v>8447</v>
      </c>
      <c r="BI251" s="176">
        <f t="shared" si="1867"/>
        <v>7072</v>
      </c>
      <c r="BJ251" s="352">
        <f t="shared" si="1859"/>
        <v>7072</v>
      </c>
      <c r="BK251" s="176">
        <f t="shared" si="1859"/>
        <v>7809</v>
      </c>
      <c r="BL251" s="176">
        <f t="shared" si="1859"/>
        <v>10075</v>
      </c>
      <c r="BM251" s="176">
        <f t="shared" si="1859"/>
        <v>11355</v>
      </c>
      <c r="BN251" s="709">
        <f t="shared" si="1859"/>
        <v>8353</v>
      </c>
      <c r="BO251" s="176">
        <f t="shared" ref="BO251:BP251" si="1868">BO39</f>
        <v>10075</v>
      </c>
      <c r="BP251" s="176">
        <f t="shared" si="1868"/>
        <v>8353</v>
      </c>
      <c r="BQ251" s="352">
        <f t="shared" si="1859"/>
        <v>8353</v>
      </c>
      <c r="BR251" s="176">
        <f t="shared" ref="BR251:BU251" si="1869">BR39</f>
        <v>6697</v>
      </c>
      <c r="BS251" s="176">
        <f t="shared" si="1869"/>
        <v>9210</v>
      </c>
      <c r="BT251" s="176">
        <f t="shared" si="1869"/>
        <v>9502</v>
      </c>
      <c r="BU251" s="709">
        <f t="shared" si="1869"/>
        <v>9980</v>
      </c>
      <c r="BV251" s="176">
        <f t="shared" ref="BV251:BW251" si="1870">BV39</f>
        <v>9210</v>
      </c>
      <c r="BW251" s="176">
        <f t="shared" si="1870"/>
        <v>9980</v>
      </c>
      <c r="BX251" s="352">
        <f t="shared" si="1859"/>
        <v>9980</v>
      </c>
      <c r="BY251" s="176">
        <f t="shared" si="1859"/>
        <v>7593</v>
      </c>
      <c r="BZ251" s="176">
        <f t="shared" si="1859"/>
        <v>7569</v>
      </c>
      <c r="CA251" s="176">
        <f t="shared" si="1859"/>
        <v>7197</v>
      </c>
      <c r="CB251" s="709">
        <f t="shared" si="1859"/>
        <v>7072</v>
      </c>
      <c r="CC251" s="176">
        <f t="shared" ref="CC251:CD251" si="1871">CC39</f>
        <v>7569</v>
      </c>
      <c r="CD251" s="176">
        <f t="shared" si="1871"/>
        <v>7072</v>
      </c>
      <c r="CE251" s="352">
        <f t="shared" si="1859"/>
        <v>7072</v>
      </c>
      <c r="CF251" s="176">
        <f t="shared" ref="CF251:CI251" si="1872">CF39</f>
        <v>5660</v>
      </c>
      <c r="CG251" s="176">
        <f t="shared" si="1872"/>
        <v>3546</v>
      </c>
      <c r="CH251" s="176">
        <f t="shared" si="1872"/>
        <v>3636</v>
      </c>
      <c r="CI251" s="709">
        <f t="shared" si="1872"/>
        <v>3509</v>
      </c>
      <c r="CJ251" s="176">
        <f t="shared" ref="CJ251:CK251" si="1873">CJ39</f>
        <v>3546</v>
      </c>
      <c r="CK251" s="176">
        <f t="shared" si="1873"/>
        <v>3509</v>
      </c>
      <c r="CL251" s="352">
        <f t="shared" si="1859"/>
        <v>3509</v>
      </c>
      <c r="CM251" s="176">
        <f t="shared" si="1859"/>
        <v>3358</v>
      </c>
      <c r="CN251" s="176">
        <f t="shared" ref="CN251:CP251" si="1874">CN39</f>
        <v>3006</v>
      </c>
      <c r="CO251" s="176">
        <f t="shared" si="1874"/>
        <v>2751</v>
      </c>
      <c r="CP251" s="709">
        <f t="shared" si="1874"/>
        <v>2715</v>
      </c>
      <c r="CQ251" s="176">
        <f t="shared" ref="CQ251:CR251" si="1875">CQ39</f>
        <v>3006</v>
      </c>
      <c r="CR251" s="176">
        <f t="shared" si="1875"/>
        <v>2715</v>
      </c>
      <c r="CS251" s="352">
        <f t="shared" ref="CS251:CT251" si="1876">CS39</f>
        <v>2715</v>
      </c>
      <c r="CT251" s="176">
        <f t="shared" si="1876"/>
        <v>2499</v>
      </c>
      <c r="CU251" s="176">
        <f t="shared" ref="CU251:CW251" si="1877">CU39</f>
        <v>2145</v>
      </c>
      <c r="CV251" s="176">
        <f t="shared" si="1877"/>
        <v>2155</v>
      </c>
      <c r="CW251" s="709">
        <f t="shared" si="1877"/>
        <v>1821</v>
      </c>
      <c r="CX251" s="176">
        <f t="shared" ref="CX251:DB251" si="1878">CX39</f>
        <v>2145</v>
      </c>
      <c r="CY251" s="176">
        <f t="shared" si="1878"/>
        <v>1821</v>
      </c>
      <c r="CZ251" s="352">
        <f t="shared" si="1878"/>
        <v>1821</v>
      </c>
      <c r="DA251" s="176">
        <f t="shared" si="1878"/>
        <v>1616</v>
      </c>
      <c r="DB251" s="176">
        <f t="shared" si="1878"/>
        <v>1633</v>
      </c>
      <c r="DC251" s="1965">
        <f t="shared" ref="DC251:DE251" si="1879">DC39</f>
        <v>1445</v>
      </c>
      <c r="DD251" s="1966">
        <f t="shared" si="1879"/>
        <v>1255</v>
      </c>
      <c r="DE251" s="176">
        <f t="shared" si="1879"/>
        <v>1633</v>
      </c>
      <c r="DF251" s="1965">
        <f t="shared" ref="DF251:DI251" si="1880">DF39</f>
        <v>1255</v>
      </c>
      <c r="DG251" s="352">
        <f t="shared" si="1880"/>
        <v>1255</v>
      </c>
      <c r="DH251" s="1965">
        <f t="shared" si="1880"/>
        <v>1115</v>
      </c>
      <c r="DI251" s="176">
        <f t="shared" si="1880"/>
        <v>1093</v>
      </c>
      <c r="DJ251" s="896">
        <f t="shared" si="1859"/>
        <v>1093</v>
      </c>
      <c r="DK251" s="1662">
        <f t="shared" si="1859"/>
        <v>1255</v>
      </c>
      <c r="DL251" s="176">
        <f t="shared" si="1859"/>
        <v>1093</v>
      </c>
      <c r="DM251" s="896">
        <f t="shared" si="1859"/>
        <v>1255</v>
      </c>
      <c r="DN251" s="1638">
        <f t="shared" si="1859"/>
        <v>1255</v>
      </c>
      <c r="DO251" s="896">
        <f t="shared" si="1859"/>
        <v>1255</v>
      </c>
      <c r="DP251" s="324">
        <f t="shared" si="1859"/>
        <v>1255</v>
      </c>
      <c r="DQ251" s="896">
        <f t="shared" si="1859"/>
        <v>1255</v>
      </c>
      <c r="DR251" s="1662">
        <f t="shared" si="1859"/>
        <v>1255</v>
      </c>
      <c r="DS251" s="896">
        <f t="shared" si="1859"/>
        <v>1255</v>
      </c>
      <c r="DT251" s="896">
        <f t="shared" si="1859"/>
        <v>1255</v>
      </c>
      <c r="DU251" s="1638">
        <f t="shared" si="1859"/>
        <v>1255</v>
      </c>
      <c r="DV251" s="896">
        <f t="shared" si="1859"/>
        <v>1255</v>
      </c>
      <c r="DW251" s="324">
        <f t="shared" si="1859"/>
        <v>1255</v>
      </c>
      <c r="DX251" s="896">
        <f t="shared" si="1859"/>
        <v>1255</v>
      </c>
      <c r="DY251" s="1662">
        <f t="shared" si="1859"/>
        <v>1255</v>
      </c>
      <c r="DZ251" s="896">
        <f t="shared" si="1859"/>
        <v>1255</v>
      </c>
      <c r="EA251" s="896">
        <f t="shared" si="1859"/>
        <v>1255</v>
      </c>
      <c r="EB251" s="1638">
        <f t="shared" si="1859"/>
        <v>1255</v>
      </c>
      <c r="EC251" s="896">
        <f t="shared" si="1859"/>
        <v>1255</v>
      </c>
      <c r="ED251" s="324">
        <f t="shared" si="1859"/>
        <v>1255</v>
      </c>
      <c r="EE251" s="896">
        <f t="shared" si="1859"/>
        <v>1255</v>
      </c>
      <c r="EF251" s="1662">
        <f t="shared" si="1859"/>
        <v>1255</v>
      </c>
      <c r="EG251" s="896">
        <f t="shared" si="1859"/>
        <v>1255</v>
      </c>
      <c r="EH251" s="896">
        <f t="shared" si="1859"/>
        <v>1255</v>
      </c>
      <c r="EI251" s="1638">
        <f t="shared" si="1859"/>
        <v>1255</v>
      </c>
      <c r="EJ251" s="896">
        <f t="shared" si="1859"/>
        <v>1255</v>
      </c>
      <c r="EK251" s="324">
        <f t="shared" si="1859"/>
        <v>1255</v>
      </c>
      <c r="EL251" s="896">
        <f t="shared" si="1859"/>
        <v>1255</v>
      </c>
      <c r="EM251" s="1662">
        <f t="shared" si="1859"/>
        <v>1255</v>
      </c>
      <c r="EN251" s="896">
        <f t="shared" si="1859"/>
        <v>1255</v>
      </c>
      <c r="EO251" s="896">
        <f t="shared" si="1859"/>
        <v>1255</v>
      </c>
      <c r="EP251" s="1638">
        <f t="shared" si="1859"/>
        <v>1255</v>
      </c>
      <c r="EQ251" s="303"/>
      <c r="ER251" s="46"/>
    </row>
    <row r="252" spans="1:148" ht="10.199999999999999" customHeight="1">
      <c r="A252" s="43" t="s">
        <v>212</v>
      </c>
      <c r="B252" s="831">
        <f t="shared" ref="B252:CL252" si="1881">B37+B27</f>
        <v>11918</v>
      </c>
      <c r="C252" s="831">
        <f t="shared" si="1881"/>
        <v>8248</v>
      </c>
      <c r="D252" s="831">
        <f t="shared" si="1881"/>
        <v>4624</v>
      </c>
      <c r="E252" s="831">
        <f t="shared" si="1881"/>
        <v>3889</v>
      </c>
      <c r="F252" s="831">
        <f t="shared" si="1881"/>
        <v>4478</v>
      </c>
      <c r="G252" s="831">
        <f t="shared" si="1881"/>
        <v>6712</v>
      </c>
      <c r="H252" s="829">
        <f t="shared" si="1881"/>
        <v>7891</v>
      </c>
      <c r="I252" s="829">
        <f t="shared" si="1881"/>
        <v>7620</v>
      </c>
      <c r="J252" s="829">
        <f t="shared" si="1881"/>
        <v>8881</v>
      </c>
      <c r="K252" s="829">
        <f t="shared" si="1881"/>
        <v>8996</v>
      </c>
      <c r="L252" s="829">
        <f t="shared" si="1881"/>
        <v>9496</v>
      </c>
      <c r="M252" s="829">
        <f t="shared" si="1881"/>
        <v>9837</v>
      </c>
      <c r="N252" s="1444"/>
      <c r="O252" s="1444"/>
      <c r="P252" s="1444"/>
      <c r="Q252" s="1456"/>
      <c r="R252" s="1444"/>
      <c r="S252" s="1444"/>
      <c r="T252" s="1468">
        <f t="shared" si="1881"/>
        <v>8960</v>
      </c>
      <c r="U252" s="1444">
        <f t="shared" ref="U252:W252" si="1882">U37+U27</f>
        <v>8496</v>
      </c>
      <c r="V252" s="1444">
        <f t="shared" si="1882"/>
        <v>7944</v>
      </c>
      <c r="W252" s="1444">
        <f t="shared" si="1882"/>
        <v>7800</v>
      </c>
      <c r="X252" s="1456">
        <f>Z252</f>
        <v>8248</v>
      </c>
      <c r="Y252" s="1444">
        <f t="shared" ref="Y252" si="1883">Y37+Y27</f>
        <v>7944</v>
      </c>
      <c r="Z252" s="1444">
        <f>AA252</f>
        <v>8248</v>
      </c>
      <c r="AA252" s="1468">
        <f t="shared" si="1881"/>
        <v>8248</v>
      </c>
      <c r="AB252" s="1444">
        <f t="shared" si="1881"/>
        <v>8079</v>
      </c>
      <c r="AC252" s="1444">
        <f t="shared" si="1881"/>
        <v>7002</v>
      </c>
      <c r="AD252" s="1444">
        <f t="shared" si="1881"/>
        <v>7154</v>
      </c>
      <c r="AE252" s="1456">
        <f>AG252</f>
        <v>7908</v>
      </c>
      <c r="AF252" s="1444">
        <f t="shared" ref="AF252" si="1884">AF37+AF27</f>
        <v>7002</v>
      </c>
      <c r="AG252" s="1444">
        <f>AH252</f>
        <v>7908</v>
      </c>
      <c r="AH252" s="1468">
        <f t="shared" si="1881"/>
        <v>7908</v>
      </c>
      <c r="AI252" s="1444">
        <f t="shared" ref="AI252:AK252" si="1885">AI37+AI27</f>
        <v>6648</v>
      </c>
      <c r="AJ252" s="1444">
        <f t="shared" si="1885"/>
        <v>7278</v>
      </c>
      <c r="AK252" s="1444">
        <f t="shared" si="1885"/>
        <v>6941</v>
      </c>
      <c r="AL252" s="1456">
        <f>AN252</f>
        <v>8313</v>
      </c>
      <c r="AM252" s="1444">
        <f t="shared" ref="AM252" si="1886">AM37+AM27</f>
        <v>7278</v>
      </c>
      <c r="AN252" s="1444">
        <f>AO252</f>
        <v>8313</v>
      </c>
      <c r="AO252" s="1468">
        <f t="shared" si="1881"/>
        <v>8313</v>
      </c>
      <c r="AP252" s="1444">
        <f t="shared" si="1881"/>
        <v>7943</v>
      </c>
      <c r="AQ252" s="1444">
        <f t="shared" si="1881"/>
        <v>7432</v>
      </c>
      <c r="AR252" s="1444">
        <f t="shared" si="1881"/>
        <v>7227</v>
      </c>
      <c r="AS252" s="1456">
        <f>AU252</f>
        <v>8367</v>
      </c>
      <c r="AT252" s="1444">
        <f t="shared" ref="AT252" si="1887">AT37+AT27</f>
        <v>7432</v>
      </c>
      <c r="AU252" s="1444">
        <f>AV252</f>
        <v>8367</v>
      </c>
      <c r="AV252" s="1468">
        <f t="shared" si="1881"/>
        <v>8367</v>
      </c>
      <c r="AW252" s="1444"/>
      <c r="AX252" s="1444"/>
      <c r="AY252" s="1444"/>
      <c r="AZ252" s="1456"/>
      <c r="BA252" s="1444"/>
      <c r="BB252" s="1444"/>
      <c r="BC252" s="1468">
        <f t="shared" si="1881"/>
        <v>7690</v>
      </c>
      <c r="BD252" s="1444">
        <f t="shared" ref="BD252:BF252" si="1888">BD37+BD27</f>
        <v>7369</v>
      </c>
      <c r="BE252" s="1444">
        <f t="shared" si="1888"/>
        <v>7080</v>
      </c>
      <c r="BF252" s="1444">
        <f t="shared" si="1888"/>
        <v>9380</v>
      </c>
      <c r="BG252" s="1456">
        <f>BI252</f>
        <v>11816</v>
      </c>
      <c r="BH252" s="1444">
        <f t="shared" ref="BH252" si="1889">BH37+BH27</f>
        <v>7080</v>
      </c>
      <c r="BI252" s="1444">
        <f>BJ252</f>
        <v>11816</v>
      </c>
      <c r="BJ252" s="1468">
        <f t="shared" si="1881"/>
        <v>11816</v>
      </c>
      <c r="BK252" s="1444">
        <f t="shared" si="1881"/>
        <v>10930</v>
      </c>
      <c r="BL252" s="1444">
        <f t="shared" si="1881"/>
        <v>10388</v>
      </c>
      <c r="BM252" s="1444">
        <f t="shared" si="1881"/>
        <v>10042</v>
      </c>
      <c r="BN252" s="1456">
        <f>BP252</f>
        <v>10561</v>
      </c>
      <c r="BO252" s="1444">
        <f t="shared" ref="BO252" si="1890">BO37+BO27</f>
        <v>10388</v>
      </c>
      <c r="BP252" s="1444">
        <f>BQ252</f>
        <v>10561</v>
      </c>
      <c r="BQ252" s="1468">
        <f t="shared" si="1881"/>
        <v>10561</v>
      </c>
      <c r="BR252" s="1444">
        <f t="shared" ref="BR252:BT252" si="1891">BR37+BR27</f>
        <v>10109</v>
      </c>
      <c r="BS252" s="1444">
        <f t="shared" si="1891"/>
        <v>10347</v>
      </c>
      <c r="BT252" s="1444">
        <f t="shared" si="1891"/>
        <v>11339</v>
      </c>
      <c r="BU252" s="1456">
        <f>BW252</f>
        <v>10563</v>
      </c>
      <c r="BV252" s="1444">
        <f t="shared" ref="BV252" si="1892">BV37+BV27</f>
        <v>10347</v>
      </c>
      <c r="BW252" s="1444">
        <f>BX252</f>
        <v>10563</v>
      </c>
      <c r="BX252" s="1468">
        <f t="shared" si="1881"/>
        <v>10563</v>
      </c>
      <c r="BY252" s="1444">
        <f t="shared" si="1881"/>
        <v>10151</v>
      </c>
      <c r="BZ252" s="1444">
        <f t="shared" si="1881"/>
        <v>8939</v>
      </c>
      <c r="CA252" s="1444">
        <f t="shared" si="1881"/>
        <v>8682</v>
      </c>
      <c r="CB252" s="1456">
        <f>CD252</f>
        <v>8209</v>
      </c>
      <c r="CC252" s="1444">
        <f t="shared" ref="CC252" si="1893">CC37+CC27</f>
        <v>8939</v>
      </c>
      <c r="CD252" s="1444">
        <f>CE252</f>
        <v>8209</v>
      </c>
      <c r="CE252" s="1468">
        <f>CE37+CE27</f>
        <v>8209</v>
      </c>
      <c r="CF252" s="1444">
        <f t="shared" ref="CF252:CH252" si="1894">CF37+CF27</f>
        <v>8119</v>
      </c>
      <c r="CG252" s="1444">
        <f t="shared" si="1894"/>
        <v>7740</v>
      </c>
      <c r="CH252" s="1444">
        <f t="shared" si="1894"/>
        <v>8118</v>
      </c>
      <c r="CI252" s="1456">
        <f>CK252</f>
        <v>7514</v>
      </c>
      <c r="CJ252" s="1444">
        <f t="shared" ref="CJ252" si="1895">CJ37+CJ27</f>
        <v>7740</v>
      </c>
      <c r="CK252" s="1444">
        <f>CL252</f>
        <v>7514</v>
      </c>
      <c r="CL252" s="1468">
        <f t="shared" si="1881"/>
        <v>7514</v>
      </c>
      <c r="CM252" s="1444">
        <f t="shared" ref="CM252" si="1896">CM37+CM27</f>
        <v>7366</v>
      </c>
      <c r="CN252" s="1444">
        <f t="shared" ref="CN252:CO252" si="1897">CN37+CN27</f>
        <v>6919</v>
      </c>
      <c r="CO252" s="1444">
        <f t="shared" si="1897"/>
        <v>7018</v>
      </c>
      <c r="CP252" s="1456">
        <f>CR252</f>
        <v>7113</v>
      </c>
      <c r="CQ252" s="1444">
        <f t="shared" ref="CQ252" si="1898">CQ37+CQ27</f>
        <v>6919</v>
      </c>
      <c r="CR252" s="1444">
        <f>CS252</f>
        <v>7113</v>
      </c>
      <c r="CS252" s="1468">
        <f t="shared" ref="CS252:CT252" si="1899">CS37+CS27</f>
        <v>7113</v>
      </c>
      <c r="CT252" s="1444">
        <f t="shared" si="1899"/>
        <v>7141</v>
      </c>
      <c r="CU252" s="1444">
        <f t="shared" ref="CU252:CV252" si="1900">CU37+CU27</f>
        <v>7227</v>
      </c>
      <c r="CV252" s="1444">
        <f t="shared" si="1900"/>
        <v>7058</v>
      </c>
      <c r="CW252" s="1456">
        <f>CY252</f>
        <v>7116</v>
      </c>
      <c r="CX252" s="1444">
        <f t="shared" ref="CX252" si="1901">CX37+CX27</f>
        <v>7227</v>
      </c>
      <c r="CY252" s="1444">
        <f>CZ252</f>
        <v>7116</v>
      </c>
      <c r="CZ252" s="1468">
        <f t="shared" ref="CZ252:DC252" si="1902">CZ37+CZ27</f>
        <v>7116</v>
      </c>
      <c r="DA252" s="1444">
        <f t="shared" si="1902"/>
        <v>7095</v>
      </c>
      <c r="DB252" s="1444">
        <f t="shared" si="1902"/>
        <v>6896</v>
      </c>
      <c r="DC252" s="1444">
        <f t="shared" si="1902"/>
        <v>7029</v>
      </c>
      <c r="DD252" s="1456">
        <f>DF252</f>
        <v>7090</v>
      </c>
      <c r="DE252" s="1444">
        <f t="shared" ref="DE252" si="1903">DE37+DE27</f>
        <v>6896</v>
      </c>
      <c r="DF252" s="1444">
        <f>DG252</f>
        <v>7090</v>
      </c>
      <c r="DG252" s="1468">
        <f t="shared" ref="DG252:DI252" si="1904">DG37+DG27</f>
        <v>7090</v>
      </c>
      <c r="DH252" s="1673">
        <f t="shared" si="1904"/>
        <v>6807</v>
      </c>
      <c r="DI252" s="1444">
        <f t="shared" si="1904"/>
        <v>6471</v>
      </c>
      <c r="DJ252" s="1711">
        <f>DI252+CFS!DJ10+CFS!DJ11</f>
        <v>6399.5</v>
      </c>
      <c r="DK252" s="1696">
        <f>DM252</f>
        <v>6488</v>
      </c>
      <c r="DL252" s="1444">
        <f t="shared" ref="DL252" si="1905">DL37+DL27</f>
        <v>6471</v>
      </c>
      <c r="DM252" s="1693">
        <f>DN252</f>
        <v>6488</v>
      </c>
      <c r="DN252" s="1666">
        <f>+DG252+CFS!DN10+CFS!DN11</f>
        <v>6488</v>
      </c>
      <c r="DO252" s="1711">
        <f>DN252+CFS!DO10+CFS!DO11</f>
        <v>6413</v>
      </c>
      <c r="DP252" s="1693">
        <f>DS252</f>
        <v>6338</v>
      </c>
      <c r="DQ252" s="1711">
        <f>DP252+CFS!DQ10+CFS!DQ11</f>
        <v>6263</v>
      </c>
      <c r="DR252" s="1696">
        <f>DT252</f>
        <v>6188</v>
      </c>
      <c r="DS252" s="1711">
        <f>DN252+CFS!DS10+CFS!DS11</f>
        <v>6338</v>
      </c>
      <c r="DT252" s="1693">
        <f>DU252</f>
        <v>6188</v>
      </c>
      <c r="DU252" s="1666">
        <f>+DN252+CFS!DU10+CFS!DU11</f>
        <v>6188</v>
      </c>
      <c r="DV252" s="1711">
        <f>DU252+CFS!DV10+CFS!DV11</f>
        <v>6113</v>
      </c>
      <c r="DW252" s="1693">
        <f>DZ252</f>
        <v>6038</v>
      </c>
      <c r="DX252" s="1711">
        <f>DW252+CFS!DX10+CFS!DX11</f>
        <v>5963</v>
      </c>
      <c r="DY252" s="1696">
        <f>EA252</f>
        <v>5888</v>
      </c>
      <c r="DZ252" s="1711">
        <f>DU252+CFS!DZ10+CFS!DZ11</f>
        <v>6038</v>
      </c>
      <c r="EA252" s="1693">
        <f>EB252</f>
        <v>5888</v>
      </c>
      <c r="EB252" s="1666">
        <f>+DU252+CFS!EB10+CFS!EB11</f>
        <v>5888</v>
      </c>
      <c r="EC252" s="1711">
        <f>EB252+CFS!EC10+CFS!EC11</f>
        <v>5813</v>
      </c>
      <c r="ED252" s="1693">
        <f>EG252</f>
        <v>5738</v>
      </c>
      <c r="EE252" s="1711">
        <f>ED252+CFS!EE10+CFS!EE11</f>
        <v>5663</v>
      </c>
      <c r="EF252" s="1696">
        <f>EH252</f>
        <v>5588</v>
      </c>
      <c r="EG252" s="1711">
        <f>EB252+CFS!EG10+CFS!EG11</f>
        <v>5738</v>
      </c>
      <c r="EH252" s="1693">
        <f>EI252</f>
        <v>5588</v>
      </c>
      <c r="EI252" s="1666">
        <f>+EB252+CFS!EI10+CFS!EI11</f>
        <v>5588</v>
      </c>
      <c r="EJ252" s="1711">
        <f>EI252+CFS!EJ10+CFS!EJ11</f>
        <v>5513</v>
      </c>
      <c r="EK252" s="1693">
        <f>EN252</f>
        <v>5438</v>
      </c>
      <c r="EL252" s="1711">
        <f>EK252+CFS!EL10+CFS!EL11</f>
        <v>5363</v>
      </c>
      <c r="EM252" s="1696">
        <f>EO252</f>
        <v>5288</v>
      </c>
      <c r="EN252" s="1711">
        <f>EI252+CFS!EN10+CFS!EN11</f>
        <v>5438</v>
      </c>
      <c r="EO252" s="1693">
        <f>EP252</f>
        <v>5288</v>
      </c>
      <c r="EP252" s="1666">
        <f>+EI252+CFS!EP10+CFS!EP11</f>
        <v>5288</v>
      </c>
      <c r="EQ252" s="303"/>
      <c r="ER252" s="46"/>
    </row>
    <row r="253" spans="1:148" ht="10.199999999999999" customHeight="1">
      <c r="A253" s="48" t="s">
        <v>41</v>
      </c>
      <c r="B253" s="120">
        <f t="shared" ref="B253:EP253" si="1906">B252+B251</f>
        <v>11918</v>
      </c>
      <c r="C253" s="120">
        <f t="shared" si="1906"/>
        <v>8248</v>
      </c>
      <c r="D253" s="120">
        <f t="shared" si="1906"/>
        <v>8726</v>
      </c>
      <c r="E253" s="120">
        <f t="shared" si="1906"/>
        <v>8424</v>
      </c>
      <c r="F253" s="120">
        <f t="shared" si="1906"/>
        <v>9606</v>
      </c>
      <c r="G253" s="120">
        <f t="shared" si="1906"/>
        <v>12463</v>
      </c>
      <c r="H253" s="120">
        <f t="shared" si="1906"/>
        <v>12433</v>
      </c>
      <c r="I253" s="120">
        <f t="shared" si="1906"/>
        <v>12062</v>
      </c>
      <c r="J253" s="120">
        <f t="shared" si="1906"/>
        <v>14020</v>
      </c>
      <c r="K253" s="120">
        <f t="shared" si="1906"/>
        <v>13979</v>
      </c>
      <c r="L253" s="120">
        <f t="shared" si="1906"/>
        <v>15000</v>
      </c>
      <c r="M253" s="120">
        <f t="shared" si="1906"/>
        <v>15861</v>
      </c>
      <c r="N253" s="120"/>
      <c r="O253" s="120"/>
      <c r="P253" s="120"/>
      <c r="Q253" s="691"/>
      <c r="R253" s="120"/>
      <c r="S253" s="120"/>
      <c r="T253" s="1299">
        <f t="shared" si="1906"/>
        <v>14826</v>
      </c>
      <c r="U253" s="120">
        <f t="shared" ref="U253:X253" si="1907">U252+U251</f>
        <v>14417</v>
      </c>
      <c r="V253" s="120">
        <f t="shared" si="1907"/>
        <v>14143</v>
      </c>
      <c r="W253" s="120">
        <f t="shared" si="1907"/>
        <v>14388</v>
      </c>
      <c r="X253" s="691">
        <f t="shared" si="1907"/>
        <v>16112</v>
      </c>
      <c r="Y253" s="120">
        <f t="shared" ref="Y253:Z253" si="1908">Y252+Y251</f>
        <v>14143</v>
      </c>
      <c r="Z253" s="120">
        <f t="shared" si="1908"/>
        <v>16112</v>
      </c>
      <c r="AA253" s="1299">
        <f t="shared" si="1906"/>
        <v>16112</v>
      </c>
      <c r="AB253" s="120">
        <f t="shared" si="1906"/>
        <v>16601</v>
      </c>
      <c r="AC253" s="120">
        <f t="shared" si="1906"/>
        <v>15016</v>
      </c>
      <c r="AD253" s="120">
        <f t="shared" si="1906"/>
        <v>15078</v>
      </c>
      <c r="AE253" s="691">
        <f t="shared" si="1906"/>
        <v>15080</v>
      </c>
      <c r="AF253" s="120">
        <f t="shared" ref="AF253:AG253" si="1909">AF252+AF251</f>
        <v>15016</v>
      </c>
      <c r="AG253" s="120">
        <f t="shared" si="1909"/>
        <v>15080</v>
      </c>
      <c r="AH253" s="1299">
        <f t="shared" si="1906"/>
        <v>15080</v>
      </c>
      <c r="AI253" s="120">
        <f t="shared" ref="AI253:AL253" si="1910">AI252+AI251</f>
        <v>14671</v>
      </c>
      <c r="AJ253" s="120">
        <f t="shared" si="1910"/>
        <v>16059</v>
      </c>
      <c r="AK253" s="120">
        <f t="shared" si="1910"/>
        <v>16205</v>
      </c>
      <c r="AL253" s="691">
        <f t="shared" si="1910"/>
        <v>16969</v>
      </c>
      <c r="AM253" s="120">
        <f t="shared" ref="AM253:AN253" si="1911">AM252+AM251</f>
        <v>16059</v>
      </c>
      <c r="AN253" s="120">
        <f t="shared" si="1911"/>
        <v>16969</v>
      </c>
      <c r="AO253" s="1299">
        <f t="shared" si="1906"/>
        <v>16969</v>
      </c>
      <c r="AP253" s="120">
        <f t="shared" si="1906"/>
        <v>16499</v>
      </c>
      <c r="AQ253" s="120">
        <f t="shared" si="1906"/>
        <v>15713</v>
      </c>
      <c r="AR253" s="120">
        <f t="shared" si="1906"/>
        <v>15619</v>
      </c>
      <c r="AS253" s="691">
        <f t="shared" si="1906"/>
        <v>16728</v>
      </c>
      <c r="AT253" s="120">
        <f t="shared" ref="AT253:AU253" si="1912">AT252+AT251</f>
        <v>15713</v>
      </c>
      <c r="AU253" s="120">
        <f t="shared" si="1912"/>
        <v>16728</v>
      </c>
      <c r="AV253" s="1299">
        <f t="shared" si="1906"/>
        <v>16728</v>
      </c>
      <c r="AW253" s="120"/>
      <c r="AX253" s="120"/>
      <c r="AY253" s="120"/>
      <c r="AZ253" s="691"/>
      <c r="BA253" s="120"/>
      <c r="BB253" s="120"/>
      <c r="BC253" s="1299">
        <f t="shared" si="1906"/>
        <v>16051</v>
      </c>
      <c r="BD253" s="120">
        <f t="shared" ref="BD253:BG253" si="1913">BD252+BD251</f>
        <v>16038</v>
      </c>
      <c r="BE253" s="120">
        <f t="shared" si="1913"/>
        <v>15527</v>
      </c>
      <c r="BF253" s="120">
        <f t="shared" si="1913"/>
        <v>17057</v>
      </c>
      <c r="BG253" s="691">
        <f t="shared" si="1913"/>
        <v>18888</v>
      </c>
      <c r="BH253" s="120">
        <f t="shared" ref="BH253:BI253" si="1914">BH252+BH251</f>
        <v>15527</v>
      </c>
      <c r="BI253" s="120">
        <f t="shared" si="1914"/>
        <v>18888</v>
      </c>
      <c r="BJ253" s="1299">
        <f t="shared" si="1906"/>
        <v>18888</v>
      </c>
      <c r="BK253" s="120">
        <f t="shared" si="1906"/>
        <v>18739</v>
      </c>
      <c r="BL253" s="120">
        <f t="shared" si="1906"/>
        <v>20463</v>
      </c>
      <c r="BM253" s="120">
        <f t="shared" si="1906"/>
        <v>21397</v>
      </c>
      <c r="BN253" s="691">
        <f t="shared" si="1906"/>
        <v>18914</v>
      </c>
      <c r="BO253" s="120">
        <f t="shared" ref="BO253:BP253" si="1915">BO252+BO251</f>
        <v>20463</v>
      </c>
      <c r="BP253" s="120">
        <f t="shared" si="1915"/>
        <v>18914</v>
      </c>
      <c r="BQ253" s="1299">
        <f t="shared" si="1906"/>
        <v>18914</v>
      </c>
      <c r="BR253" s="120">
        <f t="shared" ref="BR253:BU253" si="1916">BR252+BR251</f>
        <v>16806</v>
      </c>
      <c r="BS253" s="120">
        <f t="shared" si="1916"/>
        <v>19557</v>
      </c>
      <c r="BT253" s="120">
        <f t="shared" si="1916"/>
        <v>20841</v>
      </c>
      <c r="BU253" s="691">
        <f t="shared" si="1916"/>
        <v>20543</v>
      </c>
      <c r="BV253" s="120">
        <f t="shared" ref="BV253:BW253" si="1917">BV252+BV251</f>
        <v>19557</v>
      </c>
      <c r="BW253" s="120">
        <f t="shared" si="1917"/>
        <v>20543</v>
      </c>
      <c r="BX253" s="1299">
        <f t="shared" si="1906"/>
        <v>20543</v>
      </c>
      <c r="BY253" s="120">
        <f t="shared" si="1906"/>
        <v>17744</v>
      </c>
      <c r="BZ253" s="120">
        <f t="shared" si="1906"/>
        <v>16508</v>
      </c>
      <c r="CA253" s="120">
        <f t="shared" si="1906"/>
        <v>15879</v>
      </c>
      <c r="CB253" s="691">
        <f t="shared" si="1906"/>
        <v>15281</v>
      </c>
      <c r="CC253" s="120">
        <f t="shared" ref="CC253:CD253" si="1918">CC252+CC251</f>
        <v>16508</v>
      </c>
      <c r="CD253" s="120">
        <f t="shared" si="1918"/>
        <v>15281</v>
      </c>
      <c r="CE253" s="1299">
        <f t="shared" si="1906"/>
        <v>15281</v>
      </c>
      <c r="CF253" s="120">
        <f t="shared" ref="CF253:CI253" si="1919">CF252+CF251</f>
        <v>13779</v>
      </c>
      <c r="CG253" s="120">
        <f t="shared" si="1919"/>
        <v>11286</v>
      </c>
      <c r="CH253" s="120">
        <f t="shared" si="1919"/>
        <v>11754</v>
      </c>
      <c r="CI253" s="691">
        <f t="shared" si="1919"/>
        <v>11023</v>
      </c>
      <c r="CJ253" s="120">
        <f t="shared" ref="CJ253:CK253" si="1920">CJ252+CJ251</f>
        <v>11286</v>
      </c>
      <c r="CK253" s="120">
        <f t="shared" si="1920"/>
        <v>11023</v>
      </c>
      <c r="CL253" s="1299">
        <f t="shared" si="1906"/>
        <v>11023</v>
      </c>
      <c r="CM253" s="120">
        <f t="shared" si="1906"/>
        <v>10724</v>
      </c>
      <c r="CN253" s="120">
        <f t="shared" ref="CN253:CP253" si="1921">CN252+CN251</f>
        <v>9925</v>
      </c>
      <c r="CO253" s="120">
        <f t="shared" si="1921"/>
        <v>9769</v>
      </c>
      <c r="CP253" s="691">
        <f t="shared" si="1921"/>
        <v>9828</v>
      </c>
      <c r="CQ253" s="120">
        <f t="shared" ref="CQ253:CR253" si="1922">CQ252+CQ251</f>
        <v>9925</v>
      </c>
      <c r="CR253" s="120">
        <f t="shared" si="1922"/>
        <v>9828</v>
      </c>
      <c r="CS253" s="1299">
        <f t="shared" ref="CS253:CT253" si="1923">CS252+CS251</f>
        <v>9828</v>
      </c>
      <c r="CT253" s="120">
        <f t="shared" si="1923"/>
        <v>9640</v>
      </c>
      <c r="CU253" s="120">
        <f t="shared" ref="CU253:CW253" si="1924">CU252+CU251</f>
        <v>9372</v>
      </c>
      <c r="CV253" s="120">
        <f t="shared" si="1924"/>
        <v>9213</v>
      </c>
      <c r="CW253" s="691">
        <f t="shared" si="1924"/>
        <v>8937</v>
      </c>
      <c r="CX253" s="120">
        <f t="shared" ref="CX253:DB253" si="1925">CX252+CX251</f>
        <v>9372</v>
      </c>
      <c r="CY253" s="120">
        <f t="shared" si="1925"/>
        <v>8937</v>
      </c>
      <c r="CZ253" s="1299">
        <f t="shared" si="1925"/>
        <v>8937</v>
      </c>
      <c r="DA253" s="120">
        <f t="shared" si="1925"/>
        <v>8711</v>
      </c>
      <c r="DB253" s="120">
        <f t="shared" si="1925"/>
        <v>8529</v>
      </c>
      <c r="DC253" s="20">
        <f t="shared" ref="DC253:DE253" si="1926">DC252+DC251</f>
        <v>8474</v>
      </c>
      <c r="DD253" s="1967">
        <f t="shared" si="1926"/>
        <v>8345</v>
      </c>
      <c r="DE253" s="120">
        <f t="shared" si="1926"/>
        <v>8529</v>
      </c>
      <c r="DF253" s="20">
        <f t="shared" ref="DF253:DI253" si="1927">DF252+DF251</f>
        <v>8345</v>
      </c>
      <c r="DG253" s="1299">
        <f t="shared" si="1927"/>
        <v>8345</v>
      </c>
      <c r="DH253" s="20">
        <f t="shared" si="1927"/>
        <v>7922</v>
      </c>
      <c r="DI253" s="120">
        <f t="shared" si="1927"/>
        <v>7564</v>
      </c>
      <c r="DJ253" s="883">
        <f t="shared" si="1906"/>
        <v>7492.5</v>
      </c>
      <c r="DK253" s="1512">
        <f t="shared" si="1906"/>
        <v>7743</v>
      </c>
      <c r="DL253" s="120">
        <f t="shared" si="1906"/>
        <v>7564</v>
      </c>
      <c r="DM253" s="883">
        <f t="shared" si="1906"/>
        <v>7743</v>
      </c>
      <c r="DN253" s="1482">
        <f t="shared" si="1906"/>
        <v>7743</v>
      </c>
      <c r="DO253" s="883">
        <f t="shared" si="1906"/>
        <v>7668</v>
      </c>
      <c r="DP253" s="446">
        <f t="shared" si="1906"/>
        <v>7593</v>
      </c>
      <c r="DQ253" s="883">
        <f t="shared" si="1906"/>
        <v>7518</v>
      </c>
      <c r="DR253" s="1512">
        <f t="shared" si="1906"/>
        <v>7443</v>
      </c>
      <c r="DS253" s="883">
        <f t="shared" si="1906"/>
        <v>7593</v>
      </c>
      <c r="DT253" s="883">
        <f t="shared" si="1906"/>
        <v>7443</v>
      </c>
      <c r="DU253" s="1482">
        <f t="shared" si="1906"/>
        <v>7443</v>
      </c>
      <c r="DV253" s="883">
        <f t="shared" si="1906"/>
        <v>7368</v>
      </c>
      <c r="DW253" s="446">
        <f t="shared" si="1906"/>
        <v>7293</v>
      </c>
      <c r="DX253" s="883">
        <f t="shared" si="1906"/>
        <v>7218</v>
      </c>
      <c r="DY253" s="1512">
        <f t="shared" si="1906"/>
        <v>7143</v>
      </c>
      <c r="DZ253" s="883">
        <f t="shared" si="1906"/>
        <v>7293</v>
      </c>
      <c r="EA253" s="883">
        <f t="shared" si="1906"/>
        <v>7143</v>
      </c>
      <c r="EB253" s="1482">
        <f t="shared" si="1906"/>
        <v>7143</v>
      </c>
      <c r="EC253" s="883">
        <f t="shared" si="1906"/>
        <v>7068</v>
      </c>
      <c r="ED253" s="446">
        <f t="shared" si="1906"/>
        <v>6993</v>
      </c>
      <c r="EE253" s="883">
        <f t="shared" si="1906"/>
        <v>6918</v>
      </c>
      <c r="EF253" s="1512">
        <f t="shared" si="1906"/>
        <v>6843</v>
      </c>
      <c r="EG253" s="883">
        <f t="shared" si="1906"/>
        <v>6993</v>
      </c>
      <c r="EH253" s="883">
        <f t="shared" si="1906"/>
        <v>6843</v>
      </c>
      <c r="EI253" s="1482">
        <f t="shared" si="1906"/>
        <v>6843</v>
      </c>
      <c r="EJ253" s="883">
        <f t="shared" si="1906"/>
        <v>6768</v>
      </c>
      <c r="EK253" s="446">
        <f t="shared" si="1906"/>
        <v>6693</v>
      </c>
      <c r="EL253" s="883">
        <f t="shared" si="1906"/>
        <v>6618</v>
      </c>
      <c r="EM253" s="1512">
        <f t="shared" si="1906"/>
        <v>6543</v>
      </c>
      <c r="EN253" s="883">
        <f t="shared" si="1906"/>
        <v>6693</v>
      </c>
      <c r="EO253" s="883">
        <f t="shared" si="1906"/>
        <v>6543</v>
      </c>
      <c r="EP253" s="1482">
        <f t="shared" si="1906"/>
        <v>6543</v>
      </c>
      <c r="EQ253" s="303"/>
      <c r="ER253" s="46"/>
    </row>
    <row r="254" spans="1:148" ht="10.199999999999999" customHeight="1">
      <c r="A254" s="43"/>
      <c r="B254" s="108"/>
      <c r="C254" s="203"/>
      <c r="D254" s="108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961"/>
      <c r="R254" s="135"/>
      <c r="S254" s="135"/>
      <c r="T254" s="948"/>
      <c r="U254" s="135"/>
      <c r="V254" s="135"/>
      <c r="W254" s="135"/>
      <c r="X254" s="961"/>
      <c r="Y254" s="135"/>
      <c r="Z254" s="135"/>
      <c r="AA254" s="948"/>
      <c r="AB254" s="135"/>
      <c r="AC254" s="135"/>
      <c r="AD254" s="135"/>
      <c r="AE254" s="961"/>
      <c r="AF254" s="135"/>
      <c r="AG254" s="135"/>
      <c r="AH254" s="948"/>
      <c r="AI254" s="135"/>
      <c r="AJ254" s="135"/>
      <c r="AK254" s="135"/>
      <c r="AL254" s="961"/>
      <c r="AM254" s="135"/>
      <c r="AN254" s="135"/>
      <c r="AO254" s="948"/>
      <c r="AP254" s="135"/>
      <c r="AQ254" s="135"/>
      <c r="AR254" s="135"/>
      <c r="AS254" s="961"/>
      <c r="AT254" s="135"/>
      <c r="AU254" s="135"/>
      <c r="AV254" s="948"/>
      <c r="AW254" s="135"/>
      <c r="AX254" s="135"/>
      <c r="AY254" s="135"/>
      <c r="AZ254" s="961"/>
      <c r="BA254" s="135"/>
      <c r="BB254" s="135"/>
      <c r="BC254" s="948"/>
      <c r="BD254" s="135"/>
      <c r="BE254" s="135"/>
      <c r="BF254" s="135"/>
      <c r="BG254" s="961"/>
      <c r="BH254" s="135"/>
      <c r="BI254" s="135"/>
      <c r="BJ254" s="948"/>
      <c r="BK254" s="135"/>
      <c r="BL254" s="135"/>
      <c r="BM254" s="135"/>
      <c r="BN254" s="961"/>
      <c r="BO254" s="135"/>
      <c r="BP254" s="135"/>
      <c r="BQ254" s="948"/>
      <c r="BR254" s="135"/>
      <c r="BS254" s="135"/>
      <c r="BT254" s="135"/>
      <c r="BU254" s="961"/>
      <c r="BV254" s="135"/>
      <c r="BW254" s="135"/>
      <c r="BX254" s="948"/>
      <c r="BY254" s="135"/>
      <c r="BZ254" s="135"/>
      <c r="CA254" s="135"/>
      <c r="CB254" s="961"/>
      <c r="CC254" s="135"/>
      <c r="CD254" s="135"/>
      <c r="CE254" s="948"/>
      <c r="CF254" s="135"/>
      <c r="CG254" s="135"/>
      <c r="CH254" s="135"/>
      <c r="CI254" s="961"/>
      <c r="CJ254" s="135"/>
      <c r="CK254" s="135"/>
      <c r="CL254" s="948"/>
      <c r="CM254" s="135"/>
      <c r="CN254" s="135"/>
      <c r="CO254" s="135"/>
      <c r="CP254" s="961"/>
      <c r="CQ254" s="135"/>
      <c r="CR254" s="135"/>
      <c r="CS254" s="948"/>
      <c r="CT254" s="135"/>
      <c r="CU254" s="135"/>
      <c r="CV254" s="135"/>
      <c r="CW254" s="961"/>
      <c r="CX254" s="135"/>
      <c r="CY254" s="135"/>
      <c r="CZ254" s="948"/>
      <c r="DA254" s="135"/>
      <c r="DB254" s="135"/>
      <c r="DC254" s="865"/>
      <c r="DD254" s="961"/>
      <c r="DE254" s="135"/>
      <c r="DF254" s="135"/>
      <c r="DG254" s="948"/>
      <c r="DH254" s="865"/>
      <c r="DI254" s="135"/>
      <c r="DJ254" s="7"/>
      <c r="DK254" s="961"/>
      <c r="DL254" s="135"/>
      <c r="DM254" s="135"/>
      <c r="DN254" s="1639"/>
      <c r="DO254" s="7"/>
      <c r="DP254" s="442"/>
      <c r="DQ254" s="7"/>
      <c r="DR254" s="961"/>
      <c r="DS254" s="7"/>
      <c r="DT254" s="135"/>
      <c r="DU254" s="1639"/>
      <c r="DV254" s="7"/>
      <c r="DW254" s="442"/>
      <c r="DX254" s="7"/>
      <c r="DY254" s="961"/>
      <c r="DZ254" s="7"/>
      <c r="EA254" s="135"/>
      <c r="EB254" s="1639"/>
      <c r="EC254" s="7"/>
      <c r="ED254" s="442"/>
      <c r="EE254" s="7"/>
      <c r="EF254" s="961"/>
      <c r="EG254" s="7"/>
      <c r="EH254" s="135"/>
      <c r="EI254" s="1639"/>
      <c r="EJ254" s="7"/>
      <c r="EK254" s="442"/>
      <c r="EL254" s="7"/>
      <c r="EM254" s="961"/>
      <c r="EN254" s="7"/>
      <c r="EO254" s="135"/>
      <c r="EP254" s="1639"/>
      <c r="EQ254" s="303"/>
      <c r="ER254" s="46"/>
    </row>
    <row r="255" spans="1:148" ht="10.199999999999999" customHeight="1">
      <c r="A255" s="43" t="s">
        <v>149</v>
      </c>
      <c r="B255" s="135">
        <f t="shared" ref="B255:EP255" si="1928">B27</f>
        <v>4330</v>
      </c>
      <c r="C255" s="135">
        <f t="shared" si="1928"/>
        <v>2328</v>
      </c>
      <c r="D255" s="135">
        <f t="shared" si="1928"/>
        <v>1834</v>
      </c>
      <c r="E255" s="135">
        <f t="shared" si="1928"/>
        <v>2350</v>
      </c>
      <c r="F255" s="135">
        <f t="shared" si="1928"/>
        <v>2727</v>
      </c>
      <c r="G255" s="135">
        <f t="shared" si="1928"/>
        <v>3552</v>
      </c>
      <c r="H255" s="135">
        <f t="shared" si="1928"/>
        <v>4378</v>
      </c>
      <c r="I255" s="135">
        <f t="shared" si="1928"/>
        <v>4583</v>
      </c>
      <c r="J255" s="135">
        <f t="shared" si="1928"/>
        <v>5883</v>
      </c>
      <c r="K255" s="135">
        <f t="shared" si="1928"/>
        <v>5766</v>
      </c>
      <c r="L255" s="135">
        <f t="shared" si="1928"/>
        <v>5856</v>
      </c>
      <c r="M255" s="135">
        <f t="shared" si="1928"/>
        <v>6045</v>
      </c>
      <c r="N255" s="135"/>
      <c r="O255" s="135"/>
      <c r="P255" s="135"/>
      <c r="Q255" s="961"/>
      <c r="R255" s="135"/>
      <c r="S255" s="135"/>
      <c r="T255" s="948">
        <f t="shared" si="1928"/>
        <v>5222</v>
      </c>
      <c r="U255" s="135">
        <f t="shared" ref="U255:X255" si="1929">U27</f>
        <v>4911</v>
      </c>
      <c r="V255" s="135">
        <f t="shared" si="1929"/>
        <v>4664</v>
      </c>
      <c r="W255" s="135">
        <f t="shared" si="1929"/>
        <v>4678</v>
      </c>
      <c r="X255" s="961">
        <f t="shared" si="1929"/>
        <v>5712</v>
      </c>
      <c r="Y255" s="135">
        <f t="shared" ref="Y255:Z255" si="1930">Y27</f>
        <v>4664</v>
      </c>
      <c r="Z255" s="135">
        <f t="shared" si="1930"/>
        <v>5712</v>
      </c>
      <c r="AA255" s="948">
        <f t="shared" si="1928"/>
        <v>5712</v>
      </c>
      <c r="AB255" s="135">
        <f t="shared" si="1928"/>
        <v>5395</v>
      </c>
      <c r="AC255" s="135">
        <f t="shared" si="1928"/>
        <v>4762</v>
      </c>
      <c r="AD255" s="135">
        <f t="shared" si="1928"/>
        <v>4841</v>
      </c>
      <c r="AE255" s="961">
        <f t="shared" si="1928"/>
        <v>5209</v>
      </c>
      <c r="AF255" s="135">
        <f t="shared" ref="AF255:AG255" si="1931">AF27</f>
        <v>4762</v>
      </c>
      <c r="AG255" s="135">
        <f t="shared" si="1931"/>
        <v>5209</v>
      </c>
      <c r="AH255" s="948">
        <f t="shared" si="1928"/>
        <v>5209</v>
      </c>
      <c r="AI255" s="135">
        <f t="shared" ref="AI255:AL255" si="1932">AI27</f>
        <v>4754</v>
      </c>
      <c r="AJ255" s="135">
        <f t="shared" si="1932"/>
        <v>4994</v>
      </c>
      <c r="AK255" s="135">
        <f t="shared" si="1932"/>
        <v>5066</v>
      </c>
      <c r="AL255" s="961">
        <f t="shared" si="1932"/>
        <v>6143</v>
      </c>
      <c r="AM255" s="135">
        <f t="shared" ref="AM255:AN255" si="1933">AM27</f>
        <v>4994</v>
      </c>
      <c r="AN255" s="135">
        <f t="shared" si="1933"/>
        <v>6143</v>
      </c>
      <c r="AO255" s="948">
        <f t="shared" si="1928"/>
        <v>6143</v>
      </c>
      <c r="AP255" s="135">
        <f t="shared" si="1928"/>
        <v>5848</v>
      </c>
      <c r="AQ255" s="135">
        <f t="shared" si="1928"/>
        <v>5360</v>
      </c>
      <c r="AR255" s="135">
        <f t="shared" si="1928"/>
        <v>5228</v>
      </c>
      <c r="AS255" s="961">
        <f t="shared" si="1928"/>
        <v>6575</v>
      </c>
      <c r="AT255" s="135">
        <f t="shared" ref="AT255:AU255" si="1934">AT27</f>
        <v>5360</v>
      </c>
      <c r="AU255" s="135">
        <f t="shared" si="1934"/>
        <v>6575</v>
      </c>
      <c r="AV255" s="948">
        <f t="shared" si="1928"/>
        <v>6575</v>
      </c>
      <c r="AW255" s="135"/>
      <c r="AX255" s="135"/>
      <c r="AY255" s="135"/>
      <c r="AZ255" s="961"/>
      <c r="BA255" s="135"/>
      <c r="BB255" s="135"/>
      <c r="BC255" s="948">
        <f t="shared" si="1928"/>
        <v>6272</v>
      </c>
      <c r="BD255" s="135">
        <f t="shared" ref="BD255:BG255" si="1935">BD27</f>
        <v>5891</v>
      </c>
      <c r="BE255" s="135">
        <f t="shared" si="1935"/>
        <v>5684</v>
      </c>
      <c r="BF255" s="135">
        <f t="shared" si="1935"/>
        <v>5510</v>
      </c>
      <c r="BG255" s="961">
        <f t="shared" si="1935"/>
        <v>7317</v>
      </c>
      <c r="BH255" s="135">
        <f t="shared" ref="BH255:BI255" si="1936">BH27</f>
        <v>5684</v>
      </c>
      <c r="BI255" s="135">
        <f t="shared" si="1936"/>
        <v>7317</v>
      </c>
      <c r="BJ255" s="948">
        <f t="shared" si="1928"/>
        <v>7317</v>
      </c>
      <c r="BK255" s="135">
        <f t="shared" si="1928"/>
        <v>6197</v>
      </c>
      <c r="BL255" s="135">
        <f t="shared" si="1928"/>
        <v>5998</v>
      </c>
      <c r="BM255" s="135">
        <f t="shared" si="1928"/>
        <v>5714</v>
      </c>
      <c r="BN255" s="961">
        <f t="shared" si="1928"/>
        <v>6372</v>
      </c>
      <c r="BO255" s="135">
        <f t="shared" ref="BO255:BP255" si="1937">BO27</f>
        <v>5998</v>
      </c>
      <c r="BP255" s="135">
        <f t="shared" si="1937"/>
        <v>6372</v>
      </c>
      <c r="BQ255" s="948">
        <f t="shared" si="1928"/>
        <v>6372</v>
      </c>
      <c r="BR255" s="135">
        <f t="shared" ref="BR255:BU255" si="1938">BR27</f>
        <v>6033</v>
      </c>
      <c r="BS255" s="135">
        <f t="shared" si="1938"/>
        <v>6030</v>
      </c>
      <c r="BT255" s="135">
        <f t="shared" si="1938"/>
        <v>7081</v>
      </c>
      <c r="BU255" s="961">
        <f t="shared" si="1938"/>
        <v>6545</v>
      </c>
      <c r="BV255" s="135">
        <f t="shared" ref="BV255:BW255" si="1939">BV27</f>
        <v>6030</v>
      </c>
      <c r="BW255" s="135">
        <f t="shared" si="1939"/>
        <v>6545</v>
      </c>
      <c r="BX255" s="948">
        <f t="shared" si="1928"/>
        <v>6545</v>
      </c>
      <c r="BY255" s="135">
        <f t="shared" si="1928"/>
        <v>6104</v>
      </c>
      <c r="BZ255" s="135">
        <f t="shared" si="1928"/>
        <v>5319</v>
      </c>
      <c r="CA255" s="135">
        <f t="shared" si="1928"/>
        <v>5197</v>
      </c>
      <c r="CB255" s="961">
        <f t="shared" si="1928"/>
        <v>4510</v>
      </c>
      <c r="CC255" s="135">
        <f t="shared" ref="CC255:CD255" si="1940">CC27</f>
        <v>5319</v>
      </c>
      <c r="CD255" s="135">
        <f t="shared" si="1940"/>
        <v>4510</v>
      </c>
      <c r="CE255" s="948">
        <f t="shared" si="1928"/>
        <v>4510</v>
      </c>
      <c r="CF255" s="135">
        <f t="shared" ref="CF255:CI255" si="1941">CF27</f>
        <v>4447</v>
      </c>
      <c r="CG255" s="135">
        <f t="shared" si="1941"/>
        <v>4080</v>
      </c>
      <c r="CH255" s="135">
        <f t="shared" si="1941"/>
        <v>4277</v>
      </c>
      <c r="CI255" s="961">
        <f t="shared" si="1941"/>
        <v>4127</v>
      </c>
      <c r="CJ255" s="135">
        <f t="shared" ref="CJ255:CK255" si="1942">CJ27</f>
        <v>4080</v>
      </c>
      <c r="CK255" s="135">
        <f t="shared" si="1942"/>
        <v>4127</v>
      </c>
      <c r="CL255" s="948">
        <f t="shared" si="1928"/>
        <v>4127</v>
      </c>
      <c r="CM255" s="135">
        <f t="shared" si="1928"/>
        <v>4008</v>
      </c>
      <c r="CN255" s="135">
        <f t="shared" ref="CN255:CP255" si="1943">CN27</f>
        <v>3713</v>
      </c>
      <c r="CO255" s="135">
        <f t="shared" si="1943"/>
        <v>3930</v>
      </c>
      <c r="CP255" s="961">
        <f t="shared" si="1943"/>
        <v>4161</v>
      </c>
      <c r="CQ255" s="135">
        <f t="shared" ref="CQ255:CR255" si="1944">CQ27</f>
        <v>3713</v>
      </c>
      <c r="CR255" s="135">
        <f t="shared" si="1944"/>
        <v>4161</v>
      </c>
      <c r="CS255" s="948">
        <f t="shared" ref="CS255:CT255" si="1945">CS27</f>
        <v>4161</v>
      </c>
      <c r="CT255" s="135">
        <f t="shared" si="1945"/>
        <v>4125</v>
      </c>
      <c r="CU255" s="135">
        <f t="shared" ref="CU255:CW255" si="1946">CU27</f>
        <v>4182</v>
      </c>
      <c r="CV255" s="135">
        <f t="shared" si="1946"/>
        <v>4049</v>
      </c>
      <c r="CW255" s="961">
        <f t="shared" si="1946"/>
        <v>4307</v>
      </c>
      <c r="CX255" s="135">
        <f t="shared" ref="CX255:DB255" si="1947">CX27</f>
        <v>4182</v>
      </c>
      <c r="CY255" s="135">
        <f t="shared" si="1947"/>
        <v>4307</v>
      </c>
      <c r="CZ255" s="948">
        <f t="shared" si="1947"/>
        <v>4307</v>
      </c>
      <c r="DA255" s="135">
        <f t="shared" si="1947"/>
        <v>4275</v>
      </c>
      <c r="DB255" s="135">
        <f t="shared" si="1947"/>
        <v>4106</v>
      </c>
      <c r="DC255" s="865">
        <f t="shared" ref="DC255:DE255" si="1948">DC27</f>
        <v>4163</v>
      </c>
      <c r="DD255" s="1102">
        <f t="shared" si="1948"/>
        <v>4369</v>
      </c>
      <c r="DE255" s="135">
        <f t="shared" si="1948"/>
        <v>4106</v>
      </c>
      <c r="DF255" s="865">
        <f t="shared" ref="DF255:DI255" si="1949">DF27</f>
        <v>4369</v>
      </c>
      <c r="DG255" s="948">
        <f t="shared" si="1949"/>
        <v>4369</v>
      </c>
      <c r="DH255" s="865">
        <f t="shared" si="1949"/>
        <v>4163</v>
      </c>
      <c r="DI255" s="135">
        <f t="shared" si="1949"/>
        <v>3735</v>
      </c>
      <c r="DJ255" s="897">
        <f t="shared" si="1928"/>
        <v>3663.5</v>
      </c>
      <c r="DK255" s="1117">
        <f t="shared" si="1928"/>
        <v>3767</v>
      </c>
      <c r="DL255" s="135">
        <f t="shared" si="1928"/>
        <v>3735</v>
      </c>
      <c r="DM255" s="897">
        <f t="shared" si="1928"/>
        <v>3767</v>
      </c>
      <c r="DN255" s="1116">
        <f t="shared" si="1928"/>
        <v>3767</v>
      </c>
      <c r="DO255" s="897">
        <f t="shared" si="1928"/>
        <v>3692</v>
      </c>
      <c r="DP255" s="442">
        <f t="shared" si="1928"/>
        <v>3617</v>
      </c>
      <c r="DQ255" s="897">
        <f t="shared" si="1928"/>
        <v>3542</v>
      </c>
      <c r="DR255" s="1117">
        <f t="shared" si="1928"/>
        <v>3467</v>
      </c>
      <c r="DS255" s="897">
        <f t="shared" si="1928"/>
        <v>3617</v>
      </c>
      <c r="DT255" s="897">
        <f t="shared" si="1928"/>
        <v>3467</v>
      </c>
      <c r="DU255" s="1116">
        <f t="shared" si="1928"/>
        <v>3467</v>
      </c>
      <c r="DV255" s="897">
        <f t="shared" si="1928"/>
        <v>3392</v>
      </c>
      <c r="DW255" s="442">
        <f t="shared" si="1928"/>
        <v>3317</v>
      </c>
      <c r="DX255" s="897">
        <f t="shared" si="1928"/>
        <v>3242</v>
      </c>
      <c r="DY255" s="1117">
        <f t="shared" si="1928"/>
        <v>3167</v>
      </c>
      <c r="DZ255" s="897">
        <f t="shared" si="1928"/>
        <v>3317</v>
      </c>
      <c r="EA255" s="897">
        <f t="shared" si="1928"/>
        <v>3167</v>
      </c>
      <c r="EB255" s="1116">
        <f t="shared" si="1928"/>
        <v>3167</v>
      </c>
      <c r="EC255" s="897">
        <f t="shared" si="1928"/>
        <v>3092</v>
      </c>
      <c r="ED255" s="442">
        <f t="shared" si="1928"/>
        <v>3017</v>
      </c>
      <c r="EE255" s="897">
        <f t="shared" si="1928"/>
        <v>2942</v>
      </c>
      <c r="EF255" s="1117">
        <f t="shared" si="1928"/>
        <v>2867</v>
      </c>
      <c r="EG255" s="897">
        <f t="shared" si="1928"/>
        <v>3017</v>
      </c>
      <c r="EH255" s="897">
        <f t="shared" si="1928"/>
        <v>2867</v>
      </c>
      <c r="EI255" s="1116">
        <f t="shared" si="1928"/>
        <v>2867</v>
      </c>
      <c r="EJ255" s="897">
        <f t="shared" si="1928"/>
        <v>2792</v>
      </c>
      <c r="EK255" s="442">
        <f t="shared" si="1928"/>
        <v>2717</v>
      </c>
      <c r="EL255" s="897">
        <f t="shared" si="1928"/>
        <v>2642</v>
      </c>
      <c r="EM255" s="1117">
        <f t="shared" si="1928"/>
        <v>2567</v>
      </c>
      <c r="EN255" s="897">
        <f t="shared" si="1928"/>
        <v>2717</v>
      </c>
      <c r="EO255" s="897">
        <f t="shared" si="1928"/>
        <v>2567</v>
      </c>
      <c r="EP255" s="1116">
        <f t="shared" si="1928"/>
        <v>2567</v>
      </c>
      <c r="EQ255" s="303"/>
      <c r="ER255" s="46"/>
    </row>
    <row r="256" spans="1:148" ht="10.199999999999999" customHeight="1">
      <c r="A256" s="43" t="s">
        <v>150</v>
      </c>
      <c r="B256" s="839">
        <f t="shared" ref="B256:J256" si="1950">B39+B37</f>
        <v>7588</v>
      </c>
      <c r="C256" s="839">
        <f t="shared" si="1950"/>
        <v>5920</v>
      </c>
      <c r="D256" s="839">
        <f t="shared" si="1950"/>
        <v>6892</v>
      </c>
      <c r="E256" s="839">
        <f t="shared" si="1950"/>
        <v>6074</v>
      </c>
      <c r="F256" s="839">
        <f t="shared" si="1950"/>
        <v>6879</v>
      </c>
      <c r="G256" s="839">
        <f t="shared" si="1950"/>
        <v>8911</v>
      </c>
      <c r="H256" s="839">
        <f t="shared" si="1950"/>
        <v>8055</v>
      </c>
      <c r="I256" s="839">
        <f t="shared" si="1950"/>
        <v>7479</v>
      </c>
      <c r="J256" s="839">
        <f t="shared" si="1950"/>
        <v>8137</v>
      </c>
      <c r="K256" s="130">
        <f t="shared" ref="K256:EP256" si="1951">K37+K39</f>
        <v>8213</v>
      </c>
      <c r="L256" s="130">
        <f t="shared" si="1951"/>
        <v>9144</v>
      </c>
      <c r="M256" s="130">
        <f t="shared" si="1951"/>
        <v>9816</v>
      </c>
      <c r="N256" s="130"/>
      <c r="O256" s="130"/>
      <c r="P256" s="130"/>
      <c r="Q256" s="698"/>
      <c r="R256" s="130"/>
      <c r="S256" s="130"/>
      <c r="T256" s="619">
        <f t="shared" si="1951"/>
        <v>9604</v>
      </c>
      <c r="U256" s="130">
        <f t="shared" ref="U256:X256" si="1952">U37+U39</f>
        <v>9506</v>
      </c>
      <c r="V256" s="130">
        <f t="shared" si="1952"/>
        <v>9479</v>
      </c>
      <c r="W256" s="130">
        <f t="shared" si="1952"/>
        <v>9710</v>
      </c>
      <c r="X256" s="698">
        <f t="shared" si="1952"/>
        <v>10400</v>
      </c>
      <c r="Y256" s="130">
        <f t="shared" ref="Y256:Z256" si="1953">Y37+Y39</f>
        <v>9479</v>
      </c>
      <c r="Z256" s="130">
        <f t="shared" si="1953"/>
        <v>10400</v>
      </c>
      <c r="AA256" s="619">
        <f t="shared" si="1951"/>
        <v>10400</v>
      </c>
      <c r="AB256" s="130">
        <f t="shared" si="1951"/>
        <v>11206</v>
      </c>
      <c r="AC256" s="130">
        <f t="shared" si="1951"/>
        <v>10254</v>
      </c>
      <c r="AD256" s="130">
        <f t="shared" si="1951"/>
        <v>10237</v>
      </c>
      <c r="AE256" s="698">
        <f t="shared" si="1951"/>
        <v>9871</v>
      </c>
      <c r="AF256" s="130">
        <f t="shared" ref="AF256:AG256" si="1954">AF37+AF39</f>
        <v>10254</v>
      </c>
      <c r="AG256" s="130">
        <f t="shared" si="1954"/>
        <v>9871</v>
      </c>
      <c r="AH256" s="619">
        <f t="shared" si="1951"/>
        <v>9871</v>
      </c>
      <c r="AI256" s="130">
        <f t="shared" ref="AI256:AL256" si="1955">AI37+AI39</f>
        <v>9917</v>
      </c>
      <c r="AJ256" s="130">
        <f t="shared" si="1955"/>
        <v>11065</v>
      </c>
      <c r="AK256" s="130">
        <f t="shared" si="1955"/>
        <v>11139</v>
      </c>
      <c r="AL256" s="698">
        <f t="shared" si="1955"/>
        <v>10826</v>
      </c>
      <c r="AM256" s="130">
        <f t="shared" ref="AM256:AN256" si="1956">AM37+AM39</f>
        <v>11065</v>
      </c>
      <c r="AN256" s="130">
        <f t="shared" si="1956"/>
        <v>10826</v>
      </c>
      <c r="AO256" s="619">
        <f t="shared" si="1951"/>
        <v>10826</v>
      </c>
      <c r="AP256" s="130">
        <f t="shared" si="1951"/>
        <v>10651</v>
      </c>
      <c r="AQ256" s="130">
        <f t="shared" si="1951"/>
        <v>10353</v>
      </c>
      <c r="AR256" s="130">
        <f t="shared" si="1951"/>
        <v>10391</v>
      </c>
      <c r="AS256" s="698">
        <f t="shared" si="1951"/>
        <v>10153</v>
      </c>
      <c r="AT256" s="130">
        <f t="shared" ref="AT256:AU256" si="1957">AT37+AT39</f>
        <v>10353</v>
      </c>
      <c r="AU256" s="130">
        <f t="shared" si="1957"/>
        <v>10153</v>
      </c>
      <c r="AV256" s="619">
        <f t="shared" si="1951"/>
        <v>10153</v>
      </c>
      <c r="AW256" s="130"/>
      <c r="AX256" s="130"/>
      <c r="AY256" s="130"/>
      <c r="AZ256" s="698"/>
      <c r="BA256" s="130"/>
      <c r="BB256" s="130"/>
      <c r="BC256" s="619">
        <f t="shared" si="1951"/>
        <v>9779</v>
      </c>
      <c r="BD256" s="130">
        <f t="shared" ref="BD256:BG256" si="1958">BD37+BD39</f>
        <v>10147</v>
      </c>
      <c r="BE256" s="130">
        <f t="shared" si="1958"/>
        <v>9843</v>
      </c>
      <c r="BF256" s="130">
        <f t="shared" si="1958"/>
        <v>11547</v>
      </c>
      <c r="BG256" s="698">
        <f t="shared" si="1958"/>
        <v>11571</v>
      </c>
      <c r="BH256" s="130">
        <f t="shared" ref="BH256:BI256" si="1959">BH37+BH39</f>
        <v>9843</v>
      </c>
      <c r="BI256" s="130">
        <f t="shared" si="1959"/>
        <v>11571</v>
      </c>
      <c r="BJ256" s="619">
        <f t="shared" si="1951"/>
        <v>11571</v>
      </c>
      <c r="BK256" s="130">
        <f t="shared" si="1951"/>
        <v>12542</v>
      </c>
      <c r="BL256" s="130">
        <f t="shared" si="1951"/>
        <v>14465</v>
      </c>
      <c r="BM256" s="130">
        <f t="shared" si="1951"/>
        <v>15683</v>
      </c>
      <c r="BN256" s="698">
        <f t="shared" si="1951"/>
        <v>12542</v>
      </c>
      <c r="BO256" s="130">
        <f t="shared" ref="BO256:BP256" si="1960">BO37+BO39</f>
        <v>14465</v>
      </c>
      <c r="BP256" s="130">
        <f t="shared" si="1960"/>
        <v>12542</v>
      </c>
      <c r="BQ256" s="619">
        <f t="shared" si="1951"/>
        <v>12542</v>
      </c>
      <c r="BR256" s="130">
        <f t="shared" ref="BR256:BU256" si="1961">BR37+BR39</f>
        <v>10773</v>
      </c>
      <c r="BS256" s="130">
        <f t="shared" si="1961"/>
        <v>13527</v>
      </c>
      <c r="BT256" s="130">
        <f t="shared" si="1961"/>
        <v>13760</v>
      </c>
      <c r="BU256" s="698">
        <f t="shared" si="1961"/>
        <v>13998</v>
      </c>
      <c r="BV256" s="130">
        <f t="shared" ref="BV256:BW256" si="1962">BV37+BV39</f>
        <v>13527</v>
      </c>
      <c r="BW256" s="130">
        <f t="shared" si="1962"/>
        <v>13998</v>
      </c>
      <c r="BX256" s="619">
        <f t="shared" si="1951"/>
        <v>13998</v>
      </c>
      <c r="BY256" s="130">
        <f t="shared" si="1951"/>
        <v>11640</v>
      </c>
      <c r="BZ256" s="130">
        <f t="shared" si="1951"/>
        <v>11189</v>
      </c>
      <c r="CA256" s="130">
        <f t="shared" si="1951"/>
        <v>10682</v>
      </c>
      <c r="CB256" s="698">
        <f t="shared" si="1951"/>
        <v>10771</v>
      </c>
      <c r="CC256" s="130">
        <f t="shared" ref="CC256:CD256" si="1963">CC37+CC39</f>
        <v>11189</v>
      </c>
      <c r="CD256" s="130">
        <f t="shared" si="1963"/>
        <v>10771</v>
      </c>
      <c r="CE256" s="619">
        <f t="shared" si="1951"/>
        <v>10771</v>
      </c>
      <c r="CF256" s="130">
        <f t="shared" ref="CF256:CI256" si="1964">CF37+CF39</f>
        <v>9332</v>
      </c>
      <c r="CG256" s="130">
        <f t="shared" si="1964"/>
        <v>7206</v>
      </c>
      <c r="CH256" s="130">
        <f t="shared" si="1964"/>
        <v>7477</v>
      </c>
      <c r="CI256" s="698">
        <f t="shared" si="1964"/>
        <v>6896</v>
      </c>
      <c r="CJ256" s="130">
        <f t="shared" ref="CJ256:CK256" si="1965">CJ37+CJ39</f>
        <v>7206</v>
      </c>
      <c r="CK256" s="130">
        <f t="shared" si="1965"/>
        <v>6896</v>
      </c>
      <c r="CL256" s="619">
        <f t="shared" si="1951"/>
        <v>6896</v>
      </c>
      <c r="CM256" s="130">
        <f t="shared" si="1951"/>
        <v>6716</v>
      </c>
      <c r="CN256" s="130">
        <f t="shared" ref="CN256:CP256" si="1966">CN37+CN39</f>
        <v>6212</v>
      </c>
      <c r="CO256" s="130">
        <f t="shared" si="1966"/>
        <v>5839</v>
      </c>
      <c r="CP256" s="698">
        <f t="shared" si="1966"/>
        <v>5667</v>
      </c>
      <c r="CQ256" s="130">
        <f t="shared" ref="CQ256:CR256" si="1967">CQ37+CQ39</f>
        <v>6212</v>
      </c>
      <c r="CR256" s="130">
        <f t="shared" si="1967"/>
        <v>5667</v>
      </c>
      <c r="CS256" s="619">
        <f t="shared" ref="CS256:CT256" si="1968">CS37+CS39</f>
        <v>5667</v>
      </c>
      <c r="CT256" s="130">
        <f t="shared" si="1968"/>
        <v>5515</v>
      </c>
      <c r="CU256" s="130">
        <f t="shared" ref="CU256:CW256" si="1969">CU37+CU39</f>
        <v>5190</v>
      </c>
      <c r="CV256" s="130">
        <f t="shared" si="1969"/>
        <v>5164</v>
      </c>
      <c r="CW256" s="698">
        <f t="shared" si="1969"/>
        <v>4630</v>
      </c>
      <c r="CX256" s="130">
        <f t="shared" ref="CX256:DB256" si="1970">CX37+CX39</f>
        <v>5190</v>
      </c>
      <c r="CY256" s="130">
        <f t="shared" si="1970"/>
        <v>4630</v>
      </c>
      <c r="CZ256" s="619">
        <f t="shared" si="1970"/>
        <v>4630</v>
      </c>
      <c r="DA256" s="130">
        <f t="shared" si="1970"/>
        <v>4436</v>
      </c>
      <c r="DB256" s="130">
        <f t="shared" si="1970"/>
        <v>4423</v>
      </c>
      <c r="DC256" s="317">
        <f t="shared" ref="DC256:DE256" si="1971">DC37+DC39</f>
        <v>4311</v>
      </c>
      <c r="DD256" s="714">
        <f t="shared" si="1971"/>
        <v>3976</v>
      </c>
      <c r="DE256" s="130">
        <f t="shared" si="1971"/>
        <v>4423</v>
      </c>
      <c r="DF256" s="317">
        <f t="shared" ref="DF256:DI256" si="1972">DF37+DF39</f>
        <v>3976</v>
      </c>
      <c r="DG256" s="619">
        <f t="shared" si="1972"/>
        <v>3976</v>
      </c>
      <c r="DH256" s="317">
        <f t="shared" si="1972"/>
        <v>3759</v>
      </c>
      <c r="DI256" s="130">
        <f t="shared" si="1972"/>
        <v>3829</v>
      </c>
      <c r="DJ256" s="624">
        <f t="shared" si="1951"/>
        <v>3829</v>
      </c>
      <c r="DK256" s="741">
        <f t="shared" si="1951"/>
        <v>3976</v>
      </c>
      <c r="DL256" s="130">
        <f t="shared" si="1951"/>
        <v>3829</v>
      </c>
      <c r="DM256" s="624">
        <f t="shared" si="1951"/>
        <v>3976</v>
      </c>
      <c r="DN256" s="1113">
        <f t="shared" si="1951"/>
        <v>3976</v>
      </c>
      <c r="DO256" s="624">
        <f t="shared" si="1951"/>
        <v>3976</v>
      </c>
      <c r="DP256" s="617">
        <f t="shared" si="1951"/>
        <v>3976</v>
      </c>
      <c r="DQ256" s="624">
        <f t="shared" si="1951"/>
        <v>3976</v>
      </c>
      <c r="DR256" s="741">
        <f t="shared" si="1951"/>
        <v>3976</v>
      </c>
      <c r="DS256" s="624">
        <f t="shared" si="1951"/>
        <v>3976</v>
      </c>
      <c r="DT256" s="624">
        <f t="shared" si="1951"/>
        <v>3976</v>
      </c>
      <c r="DU256" s="1113">
        <f t="shared" si="1951"/>
        <v>3976</v>
      </c>
      <c r="DV256" s="624">
        <f t="shared" si="1951"/>
        <v>3976</v>
      </c>
      <c r="DW256" s="617">
        <f t="shared" si="1951"/>
        <v>3976</v>
      </c>
      <c r="DX256" s="624">
        <f t="shared" si="1951"/>
        <v>3976</v>
      </c>
      <c r="DY256" s="741">
        <f t="shared" si="1951"/>
        <v>3976</v>
      </c>
      <c r="DZ256" s="624">
        <f t="shared" si="1951"/>
        <v>3976</v>
      </c>
      <c r="EA256" s="624">
        <f t="shared" si="1951"/>
        <v>3976</v>
      </c>
      <c r="EB256" s="1113">
        <f t="shared" si="1951"/>
        <v>3976</v>
      </c>
      <c r="EC256" s="624">
        <f t="shared" si="1951"/>
        <v>3976</v>
      </c>
      <c r="ED256" s="617">
        <f t="shared" si="1951"/>
        <v>3976</v>
      </c>
      <c r="EE256" s="624">
        <f t="shared" si="1951"/>
        <v>3976</v>
      </c>
      <c r="EF256" s="741">
        <f t="shared" si="1951"/>
        <v>3976</v>
      </c>
      <c r="EG256" s="624">
        <f t="shared" si="1951"/>
        <v>3976</v>
      </c>
      <c r="EH256" s="624">
        <f t="shared" si="1951"/>
        <v>3976</v>
      </c>
      <c r="EI256" s="1113">
        <f t="shared" si="1951"/>
        <v>3976</v>
      </c>
      <c r="EJ256" s="624">
        <f t="shared" si="1951"/>
        <v>3976</v>
      </c>
      <c r="EK256" s="617">
        <f t="shared" si="1951"/>
        <v>3976</v>
      </c>
      <c r="EL256" s="624">
        <f t="shared" si="1951"/>
        <v>3976</v>
      </c>
      <c r="EM256" s="741">
        <f t="shared" si="1951"/>
        <v>3976</v>
      </c>
      <c r="EN256" s="624">
        <f t="shared" si="1951"/>
        <v>3976</v>
      </c>
      <c r="EO256" s="624">
        <f t="shared" si="1951"/>
        <v>3976</v>
      </c>
      <c r="EP256" s="1113">
        <f t="shared" si="1951"/>
        <v>3976</v>
      </c>
      <c r="EQ256" s="303"/>
      <c r="ER256" s="46"/>
    </row>
    <row r="257" spans="1:148" ht="10.199999999999999" customHeight="1">
      <c r="A257" s="43"/>
      <c r="B257" s="108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961"/>
      <c r="R257" s="135"/>
      <c r="S257" s="135"/>
      <c r="T257" s="948"/>
      <c r="U257" s="135"/>
      <c r="V257" s="135"/>
      <c r="W257" s="135"/>
      <c r="X257" s="961"/>
      <c r="Y257" s="135"/>
      <c r="Z257" s="135"/>
      <c r="AA257" s="948"/>
      <c r="AB257" s="135"/>
      <c r="AC257" s="135"/>
      <c r="AD257" s="135"/>
      <c r="AE257" s="961"/>
      <c r="AF257" s="135"/>
      <c r="AG257" s="135"/>
      <c r="AH257" s="948"/>
      <c r="AI257" s="135"/>
      <c r="AJ257" s="135"/>
      <c r="AK257" s="135"/>
      <c r="AL257" s="961"/>
      <c r="AM257" s="135"/>
      <c r="AN257" s="135"/>
      <c r="AO257" s="948"/>
      <c r="AP257" s="135"/>
      <c r="AQ257" s="135"/>
      <c r="AR257" s="135"/>
      <c r="AS257" s="961"/>
      <c r="AT257" s="135"/>
      <c r="AU257" s="135"/>
      <c r="AV257" s="948"/>
      <c r="AW257" s="135"/>
      <c r="AX257" s="135"/>
      <c r="AY257" s="135"/>
      <c r="AZ257" s="961"/>
      <c r="BA257" s="135"/>
      <c r="BB257" s="135"/>
      <c r="BC257" s="948"/>
      <c r="BD257" s="135"/>
      <c r="BE257" s="135"/>
      <c r="BF257" s="135"/>
      <c r="BG257" s="961"/>
      <c r="BH257" s="135"/>
      <c r="BI257" s="135"/>
      <c r="BJ257" s="948"/>
      <c r="BK257" s="135"/>
      <c r="BL257" s="135"/>
      <c r="BM257" s="135"/>
      <c r="BN257" s="961"/>
      <c r="BO257" s="135"/>
      <c r="BP257" s="135"/>
      <c r="BQ257" s="948"/>
      <c r="BR257" s="135"/>
      <c r="BS257" s="135"/>
      <c r="BT257" s="135"/>
      <c r="BU257" s="961"/>
      <c r="BV257" s="135"/>
      <c r="BW257" s="135"/>
      <c r="BX257" s="948"/>
      <c r="BY257" s="135"/>
      <c r="BZ257" s="135"/>
      <c r="CA257" s="135"/>
      <c r="CB257" s="961"/>
      <c r="CC257" s="135"/>
      <c r="CD257" s="135"/>
      <c r="CE257" s="948"/>
      <c r="CF257" s="135"/>
      <c r="CG257" s="135"/>
      <c r="CH257" s="135"/>
      <c r="CI257" s="961"/>
      <c r="CJ257" s="135"/>
      <c r="CK257" s="135"/>
      <c r="CL257" s="948"/>
      <c r="CM257" s="135"/>
      <c r="CN257" s="135"/>
      <c r="CO257" s="135"/>
      <c r="CP257" s="961"/>
      <c r="CQ257" s="135"/>
      <c r="CR257" s="135"/>
      <c r="CS257" s="948"/>
      <c r="CT257" s="135"/>
      <c r="CU257" s="135"/>
      <c r="CV257" s="135"/>
      <c r="CW257" s="961"/>
      <c r="CX257" s="135"/>
      <c r="CY257" s="135"/>
      <c r="CZ257" s="1639"/>
      <c r="DA257" s="135"/>
      <c r="DB257" s="442"/>
      <c r="DC257" s="7"/>
      <c r="DD257" s="961"/>
      <c r="DE257" s="7"/>
      <c r="DF257" s="135"/>
      <c r="DG257" s="948"/>
      <c r="DH257" s="865"/>
      <c r="DI257" s="442"/>
      <c r="DJ257" s="7"/>
      <c r="DK257" s="961"/>
      <c r="DL257" s="7"/>
      <c r="DM257" s="135"/>
      <c r="DN257" s="1639"/>
      <c r="DO257" s="7"/>
      <c r="DP257" s="442"/>
      <c r="DQ257" s="7"/>
      <c r="DR257" s="961"/>
      <c r="DS257" s="7"/>
      <c r="DT257" s="135"/>
      <c r="DU257" s="1639"/>
      <c r="DV257" s="7"/>
      <c r="DW257" s="442"/>
      <c r="DX257" s="7"/>
      <c r="DY257" s="961"/>
      <c r="DZ257" s="7"/>
      <c r="EA257" s="135"/>
      <c r="EB257" s="1639"/>
      <c r="EC257" s="7"/>
      <c r="ED257" s="442"/>
      <c r="EE257" s="7"/>
      <c r="EF257" s="961"/>
      <c r="EG257" s="7"/>
      <c r="EH257" s="135"/>
      <c r="EI257" s="1639"/>
      <c r="EJ257" s="7"/>
      <c r="EK257" s="442"/>
      <c r="EL257" s="7"/>
      <c r="EM257" s="961"/>
      <c r="EN257" s="7"/>
      <c r="EO257" s="135"/>
      <c r="EP257" s="1639"/>
      <c r="EQ257" s="303"/>
      <c r="ER257" s="46"/>
    </row>
    <row r="258" spans="1:148" ht="10.199999999999999" customHeight="1">
      <c r="A258" s="48" t="s">
        <v>157</v>
      </c>
      <c r="B258" s="108"/>
      <c r="C258" s="108"/>
      <c r="D258" s="108"/>
      <c r="E258" s="130"/>
      <c r="F258" s="227"/>
      <c r="G258" s="227"/>
      <c r="H258" s="108"/>
      <c r="I258" s="108"/>
      <c r="J258" s="108"/>
      <c r="K258" s="108"/>
      <c r="L258" s="108"/>
      <c r="M258" s="108"/>
      <c r="N258" s="108"/>
      <c r="O258" s="108"/>
      <c r="P258" s="108"/>
      <c r="Q258" s="700"/>
      <c r="R258" s="108"/>
      <c r="S258" s="108"/>
      <c r="T258" s="538"/>
      <c r="U258" s="108"/>
      <c r="V258" s="108"/>
      <c r="W258" s="108"/>
      <c r="X258" s="700"/>
      <c r="Y258" s="108"/>
      <c r="Z258" s="108"/>
      <c r="AA258" s="538"/>
      <c r="AB258" s="108"/>
      <c r="AC258" s="108"/>
      <c r="AD258" s="108"/>
      <c r="AE258" s="700"/>
      <c r="AF258" s="108"/>
      <c r="AG258" s="108"/>
      <c r="AH258" s="538"/>
      <c r="AI258" s="108"/>
      <c r="AJ258" s="108"/>
      <c r="AK258" s="108"/>
      <c r="AL258" s="700"/>
      <c r="AM258" s="108"/>
      <c r="AN258" s="108"/>
      <c r="AO258" s="538"/>
      <c r="AP258" s="108"/>
      <c r="AQ258" s="108"/>
      <c r="AR258" s="108"/>
      <c r="AS258" s="700"/>
      <c r="AT258" s="108"/>
      <c r="AU258" s="108"/>
      <c r="AV258" s="538"/>
      <c r="AW258" s="108"/>
      <c r="AX258" s="108"/>
      <c r="AY258" s="108"/>
      <c r="AZ258" s="700"/>
      <c r="BA258" s="108"/>
      <c r="BB258" s="108"/>
      <c r="BC258" s="538"/>
      <c r="BD258" s="108"/>
      <c r="BE258" s="108"/>
      <c r="BF258" s="108"/>
      <c r="BG258" s="700"/>
      <c r="BH258" s="108"/>
      <c r="BI258" s="108"/>
      <c r="BJ258" s="538"/>
      <c r="BK258" s="108"/>
      <c r="BL258" s="108"/>
      <c r="BM258" s="108"/>
      <c r="BN258" s="700"/>
      <c r="BO258" s="108"/>
      <c r="BP258" s="108"/>
      <c r="BQ258" s="538"/>
      <c r="BR258" s="108"/>
      <c r="BS258" s="108"/>
      <c r="BT258" s="108"/>
      <c r="BU258" s="700"/>
      <c r="BV258" s="108"/>
      <c r="BW258" s="108"/>
      <c r="BX258" s="538"/>
      <c r="BY258" s="108"/>
      <c r="BZ258" s="108"/>
      <c r="CA258" s="108"/>
      <c r="CB258" s="700"/>
      <c r="CC258" s="108"/>
      <c r="CD258" s="108"/>
      <c r="CE258" s="538"/>
      <c r="CF258" s="108"/>
      <c r="CG258" s="108"/>
      <c r="CH258" s="108"/>
      <c r="CI258" s="700"/>
      <c r="CJ258" s="108"/>
      <c r="CK258" s="108"/>
      <c r="CL258" s="538"/>
      <c r="CM258" s="108"/>
      <c r="CN258" s="108"/>
      <c r="CO258" s="108"/>
      <c r="CP258" s="700"/>
      <c r="CQ258" s="108"/>
      <c r="CR258" s="108"/>
      <c r="CS258" s="538"/>
      <c r="CT258" s="108"/>
      <c r="CU258" s="108"/>
      <c r="CV258" s="108"/>
      <c r="CW258" s="700"/>
      <c r="CX258" s="108"/>
      <c r="CY258" s="108"/>
      <c r="CZ258" s="1479"/>
      <c r="DA258" s="3"/>
      <c r="DB258" s="456"/>
      <c r="DC258" s="3"/>
      <c r="DD258" s="700"/>
      <c r="DE258" s="3"/>
      <c r="DF258" s="108"/>
      <c r="DG258" s="538"/>
      <c r="DH258" s="1"/>
      <c r="DI258" s="456"/>
      <c r="DJ258" s="3"/>
      <c r="DK258" s="700"/>
      <c r="DL258" s="3"/>
      <c r="DM258" s="108"/>
      <c r="DN258" s="1479"/>
      <c r="DO258" s="3"/>
      <c r="DP258" s="456"/>
      <c r="DQ258" s="3"/>
      <c r="DR258" s="700"/>
      <c r="DS258" s="3"/>
      <c r="DT258" s="108"/>
      <c r="DU258" s="1479"/>
      <c r="DV258" s="3"/>
      <c r="DW258" s="456"/>
      <c r="DX258" s="3"/>
      <c r="DY258" s="700"/>
      <c r="DZ258" s="3"/>
      <c r="EA258" s="108"/>
      <c r="EB258" s="1479"/>
      <c r="EC258" s="3"/>
      <c r="ED258" s="456"/>
      <c r="EE258" s="3"/>
      <c r="EF258" s="700"/>
      <c r="EG258" s="3"/>
      <c r="EH258" s="108"/>
      <c r="EI258" s="1479"/>
      <c r="EJ258" s="3"/>
      <c r="EK258" s="456"/>
      <c r="EL258" s="3"/>
      <c r="EM258" s="700"/>
      <c r="EN258" s="3"/>
      <c r="EO258" s="108"/>
      <c r="EP258" s="1479"/>
      <c r="EQ258" s="303"/>
      <c r="ER258" s="46"/>
    </row>
    <row r="259" spans="1:148" ht="10.199999999999999" customHeight="1">
      <c r="A259" s="154" t="s">
        <v>162</v>
      </c>
      <c r="B259" s="154"/>
      <c r="C259" s="154">
        <f>IS!C73</f>
        <v>804.11687700000004</v>
      </c>
      <c r="D259" s="154">
        <f>IS!D73</f>
        <v>800.95724800000005</v>
      </c>
      <c r="E259" s="154">
        <f>IS!E73</f>
        <v>804.08287199999995</v>
      </c>
      <c r="F259" s="154">
        <f>IS!F73</f>
        <v>800.21635300000003</v>
      </c>
      <c r="G259" s="154">
        <f>IS!G73</f>
        <v>804.31566299999997</v>
      </c>
      <c r="H259" s="154">
        <f>IS!H73</f>
        <v>805.54840100000001</v>
      </c>
      <c r="I259" s="154">
        <f>IS!I73</f>
        <v>807.59694200000001</v>
      </c>
      <c r="J259" s="154">
        <f>IS!J73</f>
        <v>811.190113</v>
      </c>
      <c r="K259" s="154">
        <f>IS!K73</f>
        <v>810.69333900000004</v>
      </c>
      <c r="L259" s="154">
        <f>IS!L73</f>
        <v>813.702</v>
      </c>
      <c r="M259" s="154">
        <f>IS!M70</f>
        <v>819.37826399999994</v>
      </c>
      <c r="N259" s="154"/>
      <c r="O259" s="154"/>
      <c r="P259" s="154"/>
      <c r="Q259" s="1591"/>
      <c r="R259" s="154"/>
      <c r="S259" s="154"/>
      <c r="T259" s="1609">
        <f>IS!T70</f>
        <v>792.46686199999999</v>
      </c>
      <c r="U259" s="154"/>
      <c r="V259" s="154"/>
      <c r="W259" s="154"/>
      <c r="X259" s="1591"/>
      <c r="Y259" s="154"/>
      <c r="Z259" s="154"/>
      <c r="AA259" s="1609">
        <f>IS!AA70</f>
        <v>782.96238500000004</v>
      </c>
      <c r="AB259" s="154"/>
      <c r="AC259" s="154"/>
      <c r="AD259" s="154"/>
      <c r="AE259" s="1591"/>
      <c r="AF259" s="154"/>
      <c r="AG259" s="154"/>
      <c r="AH259" s="1609">
        <f>IS!AH70</f>
        <v>785.62109899999996</v>
      </c>
      <c r="AI259" s="154"/>
      <c r="AJ259" s="154"/>
      <c r="AK259" s="154"/>
      <c r="AL259" s="1591"/>
      <c r="AM259" s="154"/>
      <c r="AN259" s="154"/>
      <c r="AO259" s="1609">
        <f>IS!AO70</f>
        <v>773.79883700000005</v>
      </c>
      <c r="AP259" s="154"/>
      <c r="AQ259" s="154"/>
      <c r="AR259" s="154"/>
      <c r="AS259" s="1591"/>
      <c r="AT259" s="154"/>
      <c r="AU259" s="154"/>
      <c r="AV259" s="1609">
        <f>IS!AV70</f>
        <v>773.77270199999998</v>
      </c>
      <c r="AW259" s="154"/>
      <c r="AX259" s="154"/>
      <c r="AY259" s="154"/>
      <c r="AZ259" s="1591"/>
      <c r="BA259" s="154"/>
      <c r="BB259" s="154"/>
      <c r="BC259" s="1609">
        <f>IS!BC70</f>
        <v>773.77270199999998</v>
      </c>
      <c r="BD259" s="154"/>
      <c r="BE259" s="154"/>
      <c r="BF259" s="154"/>
      <c r="BG259" s="1591"/>
      <c r="BH259" s="154"/>
      <c r="BI259" s="154"/>
      <c r="BJ259" s="1609">
        <f>IS!BJ70</f>
        <v>775.16794100000004</v>
      </c>
      <c r="BK259" s="154"/>
      <c r="BL259" s="154"/>
      <c r="BM259" s="154"/>
      <c r="BN259" s="1591"/>
      <c r="BO259" s="154"/>
      <c r="BP259" s="154"/>
      <c r="BQ259" s="1609">
        <f>IS!BQ70</f>
        <v>777.03985799999998</v>
      </c>
      <c r="BR259" s="154"/>
      <c r="BS259" s="154"/>
      <c r="BT259" s="154"/>
      <c r="BU259" s="1591"/>
      <c r="BV259" s="154"/>
      <c r="BW259" s="154"/>
      <c r="BX259" s="1609">
        <f>IS!BX70</f>
        <v>783.17819099999997</v>
      </c>
      <c r="BY259" s="154"/>
      <c r="BZ259" s="154"/>
      <c r="CA259" s="154"/>
      <c r="CB259" s="1591"/>
      <c r="CC259" s="154"/>
      <c r="CD259" s="154"/>
      <c r="CE259" s="1609">
        <f>IS!CE70</f>
        <v>785.32607399999995</v>
      </c>
      <c r="CF259" s="154"/>
      <c r="CG259" s="154"/>
      <c r="CH259" s="154"/>
      <c r="CI259" s="1591"/>
      <c r="CJ259" s="154"/>
      <c r="CK259" s="154"/>
      <c r="CL259" s="1609">
        <f>IS!CL70</f>
        <v>787.08057899999994</v>
      </c>
      <c r="CM259" s="154"/>
      <c r="CN259" s="154"/>
      <c r="CO259" s="154"/>
      <c r="CP259" s="1591"/>
      <c r="CQ259" s="154"/>
      <c r="CR259" s="154"/>
      <c r="CS259" s="1609">
        <f>IS!CS70</f>
        <v>788.72077899999999</v>
      </c>
      <c r="CT259" s="154"/>
      <c r="CU259" s="154"/>
      <c r="CV259" s="154"/>
      <c r="CW259" s="1591"/>
      <c r="CX259" s="154"/>
      <c r="CY259" s="154"/>
      <c r="CZ259" s="1609">
        <f>IS!CZ70</f>
        <v>789.96167100000002</v>
      </c>
      <c r="DA259" s="898"/>
      <c r="DB259" s="1720"/>
      <c r="DC259" s="898"/>
      <c r="DD259" s="1591"/>
      <c r="DE259" s="898"/>
      <c r="DF259" s="154"/>
      <c r="DG259" s="1609">
        <f>IS!DG70</f>
        <v>789.57321300000001</v>
      </c>
      <c r="DH259" s="1985"/>
      <c r="DI259" s="1720"/>
      <c r="DJ259" s="898"/>
      <c r="DK259" s="1591"/>
      <c r="DL259" s="898"/>
      <c r="DM259" s="154"/>
      <c r="DN259" s="1640">
        <f>IS!DN70</f>
        <v>786.06495430232553</v>
      </c>
      <c r="DO259" s="898"/>
      <c r="DP259" s="1720"/>
      <c r="DQ259" s="898"/>
      <c r="DR259" s="1591"/>
      <c r="DS259" s="898"/>
      <c r="DT259" s="154"/>
      <c r="DU259" s="1640">
        <f>IS!DU70</f>
        <v>781.86879656723954</v>
      </c>
      <c r="DV259" s="898"/>
      <c r="DW259" s="1720"/>
      <c r="DX259" s="898"/>
      <c r="DY259" s="1591"/>
      <c r="DZ259" s="898"/>
      <c r="EA259" s="154"/>
      <c r="EB259" s="1640">
        <f>IS!EB70</f>
        <v>776.19771906251367</v>
      </c>
      <c r="EC259" s="898"/>
      <c r="ED259" s="1720"/>
      <c r="EE259" s="898"/>
      <c r="EF259" s="1591"/>
      <c r="EG259" s="898"/>
      <c r="EH259" s="154"/>
      <c r="EI259" s="1640">
        <f>IS!EI70</f>
        <v>771.26634731927379</v>
      </c>
      <c r="EJ259" s="898"/>
      <c r="EK259" s="1720"/>
      <c r="EL259" s="898"/>
      <c r="EM259" s="1591"/>
      <c r="EN259" s="898"/>
      <c r="EO259" s="154"/>
      <c r="EP259" s="1640">
        <f>IS!EP70</f>
        <v>768.97268604334818</v>
      </c>
      <c r="EQ259" s="303"/>
      <c r="ER259" s="46"/>
    </row>
    <row r="260" spans="1:148" ht="10.199999999999999" customHeight="1">
      <c r="A260" s="154" t="s">
        <v>158</v>
      </c>
      <c r="B260" s="154"/>
      <c r="C260" s="154">
        <f t="shared" ref="C260:L260" si="1973">C259*C261</f>
        <v>241.23506309999999</v>
      </c>
      <c r="D260" s="154">
        <f t="shared" si="1973"/>
        <v>320.38289920000005</v>
      </c>
      <c r="E260" s="154">
        <f t="shared" si="1973"/>
        <v>402.04143599999998</v>
      </c>
      <c r="F260" s="154">
        <f t="shared" si="1973"/>
        <v>520.14062945000001</v>
      </c>
      <c r="G260" s="154">
        <f t="shared" si="1973"/>
        <v>96.517879559999997</v>
      </c>
      <c r="H260" s="154">
        <f t="shared" si="1973"/>
        <v>96.665808119999994</v>
      </c>
      <c r="I260" s="154">
        <f t="shared" si="1973"/>
        <v>161.51938840000003</v>
      </c>
      <c r="J260" s="154">
        <f t="shared" si="1973"/>
        <v>0</v>
      </c>
      <c r="K260" s="154">
        <f t="shared" si="1973"/>
        <v>178.35253458</v>
      </c>
      <c r="L260" s="154">
        <f t="shared" si="1973"/>
        <v>366.16590000000002</v>
      </c>
      <c r="M260" s="154">
        <f t="shared" ref="M260" si="1974">M259*L261</f>
        <v>368.7202188</v>
      </c>
      <c r="N260" s="154"/>
      <c r="O260" s="154"/>
      <c r="P260" s="154"/>
      <c r="Q260" s="1591"/>
      <c r="R260" s="154"/>
      <c r="S260" s="154"/>
      <c r="T260" s="1609">
        <f>T259*M261</f>
        <v>475.4801172</v>
      </c>
      <c r="U260" s="154"/>
      <c r="V260" s="154"/>
      <c r="W260" s="154"/>
      <c r="X260" s="1591"/>
      <c r="Y260" s="154"/>
      <c r="Z260" s="154"/>
      <c r="AA260" s="1609">
        <f>AA259*T261</f>
        <v>587.22178875000009</v>
      </c>
      <c r="AB260" s="154"/>
      <c r="AC260" s="154"/>
      <c r="AD260" s="154"/>
      <c r="AE260" s="1591"/>
      <c r="AF260" s="154"/>
      <c r="AG260" s="154"/>
      <c r="AH260" s="1609">
        <f>AH259*AA261</f>
        <v>942.74531879999995</v>
      </c>
      <c r="AI260" s="154"/>
      <c r="AJ260" s="154"/>
      <c r="AK260" s="154"/>
      <c r="AL260" s="1591"/>
      <c r="AM260" s="154"/>
      <c r="AN260" s="154"/>
      <c r="AO260" s="1609">
        <f>AO259*AH261</f>
        <v>1005.9384881000001</v>
      </c>
      <c r="AP260" s="154"/>
      <c r="AQ260" s="154"/>
      <c r="AR260" s="154"/>
      <c r="AS260" s="1591"/>
      <c r="AT260" s="154"/>
      <c r="AU260" s="154"/>
      <c r="AV260" s="1609">
        <f>AV259*AO261</f>
        <v>1044.5931477000001</v>
      </c>
      <c r="AW260" s="154"/>
      <c r="AX260" s="154"/>
      <c r="AY260" s="154"/>
      <c r="AZ260" s="1591"/>
      <c r="BA260" s="154"/>
      <c r="BB260" s="154"/>
      <c r="BC260" s="1609">
        <f>BC259*AO261</f>
        <v>1044.5931477000001</v>
      </c>
      <c r="BD260" s="154"/>
      <c r="BE260" s="154"/>
      <c r="BF260" s="154"/>
      <c r="BG260" s="1591"/>
      <c r="BH260" s="154"/>
      <c r="BI260" s="154"/>
      <c r="BJ260" s="1609">
        <f>BJ259*BC261</f>
        <v>1162.7519115</v>
      </c>
      <c r="BK260" s="154"/>
      <c r="BL260" s="154"/>
      <c r="BM260" s="154"/>
      <c r="BN260" s="1591"/>
      <c r="BO260" s="154"/>
      <c r="BP260" s="154"/>
      <c r="BQ260" s="1609">
        <f>BQ259*BJ261</f>
        <v>1282.1157656999999</v>
      </c>
      <c r="BR260" s="154"/>
      <c r="BS260" s="154"/>
      <c r="BT260" s="154"/>
      <c r="BU260" s="1591"/>
      <c r="BV260" s="154"/>
      <c r="BW260" s="154"/>
      <c r="BX260" s="1609">
        <f>BX259*BQ261</f>
        <v>0</v>
      </c>
      <c r="BY260" s="154"/>
      <c r="BZ260" s="154"/>
      <c r="CA260" s="154"/>
      <c r="CB260" s="1591"/>
      <c r="CC260" s="154"/>
      <c r="CD260" s="154"/>
      <c r="CE260" s="1609">
        <f>CE259*BX261</f>
        <v>0</v>
      </c>
      <c r="CF260" s="154"/>
      <c r="CG260" s="154"/>
      <c r="CH260" s="154"/>
      <c r="CI260" s="1591"/>
      <c r="CJ260" s="154"/>
      <c r="CK260" s="154"/>
      <c r="CL260" s="1609">
        <f>CL259*CE261</f>
        <v>1180.6208684999999</v>
      </c>
      <c r="CM260" s="154"/>
      <c r="CN260" s="154"/>
      <c r="CO260" s="154"/>
      <c r="CP260" s="1591"/>
      <c r="CQ260" s="154"/>
      <c r="CR260" s="154"/>
      <c r="CS260" s="1609">
        <f>CS259*CL261</f>
        <v>1419.6974021999999</v>
      </c>
      <c r="CT260" s="154"/>
      <c r="CU260" s="154"/>
      <c r="CV260" s="154"/>
      <c r="CW260" s="1591"/>
      <c r="CX260" s="154"/>
      <c r="CY260" s="154"/>
      <c r="CZ260" s="1609">
        <f>CZ259*CS261</f>
        <v>2211.8926787999999</v>
      </c>
      <c r="DA260" s="1436"/>
      <c r="DB260" s="1720"/>
      <c r="DC260" s="1436"/>
      <c r="DD260" s="1591"/>
      <c r="DE260" s="1436"/>
      <c r="DF260" s="154"/>
      <c r="DG260" s="1609">
        <f>DG259*CZ261</f>
        <v>2368.7196389999999</v>
      </c>
      <c r="DH260" s="1985"/>
      <c r="DI260" s="1720"/>
      <c r="DJ260" s="1436"/>
      <c r="DK260" s="1591"/>
      <c r="DL260" s="1436"/>
      <c r="DM260" s="154"/>
      <c r="DN260" s="1640">
        <f>DN259*DG261</f>
        <v>2515.4078537674418</v>
      </c>
      <c r="DO260" s="1436"/>
      <c r="DP260" s="1720"/>
      <c r="DQ260" s="1436"/>
      <c r="DR260" s="1591"/>
      <c r="DS260" s="1436"/>
      <c r="DT260" s="154"/>
      <c r="DU260" s="1640">
        <f>DU259*DN261</f>
        <v>2396.7181767715533</v>
      </c>
      <c r="DV260" s="1436"/>
      <c r="DW260" s="1720"/>
      <c r="DX260" s="1436"/>
      <c r="DY260" s="1591"/>
      <c r="DZ260" s="1436"/>
      <c r="EA260" s="154"/>
      <c r="EB260" s="1640">
        <f>EB259*DU261</f>
        <v>2888.2506598336122</v>
      </c>
      <c r="EC260" s="1436"/>
      <c r="ED260" s="1720"/>
      <c r="EE260" s="1436"/>
      <c r="EF260" s="1591"/>
      <c r="EG260" s="1436"/>
      <c r="EH260" s="154"/>
      <c r="EI260" s="1640">
        <f>EI259*EB261</f>
        <v>3592.5026944090851</v>
      </c>
      <c r="EJ260" s="1436"/>
      <c r="EK260" s="1720"/>
      <c r="EL260" s="1436"/>
      <c r="EM260" s="1591"/>
      <c r="EN260" s="1436"/>
      <c r="EO260" s="154"/>
      <c r="EP260" s="1640">
        <f t="shared" ref="EP260" si="1975">EP259*EI261</f>
        <v>3933.7160699872757</v>
      </c>
      <c r="EQ260" s="303"/>
      <c r="ER260" s="46"/>
    </row>
    <row r="261" spans="1:148" ht="10.199999999999999" customHeight="1">
      <c r="A261" s="154" t="s">
        <v>159</v>
      </c>
      <c r="B261" s="155">
        <v>0.5</v>
      </c>
      <c r="C261" s="155">
        <v>0.3</v>
      </c>
      <c r="D261" s="155">
        <v>0.4</v>
      </c>
      <c r="E261" s="155">
        <v>0.5</v>
      </c>
      <c r="F261" s="155">
        <v>0.65</v>
      </c>
      <c r="G261" s="155">
        <v>0.12</v>
      </c>
      <c r="H261" s="155">
        <v>0.12</v>
      </c>
      <c r="I261" s="155">
        <v>0.2</v>
      </c>
      <c r="J261" s="155">
        <v>0</v>
      </c>
      <c r="K261" s="155">
        <v>0.22</v>
      </c>
      <c r="L261" s="155">
        <v>0.45</v>
      </c>
      <c r="M261" s="155">
        <v>0.6</v>
      </c>
      <c r="N261" s="155"/>
      <c r="O261" s="155"/>
      <c r="P261" s="155"/>
      <c r="Q261" s="1592"/>
      <c r="R261" s="155"/>
      <c r="S261" s="155"/>
      <c r="T261" s="1610">
        <v>0.75</v>
      </c>
      <c r="U261" s="155"/>
      <c r="V261" s="155"/>
      <c r="W261" s="155"/>
      <c r="X261" s="1592"/>
      <c r="Y261" s="155"/>
      <c r="Z261" s="155"/>
      <c r="AA261" s="1610">
        <v>1.2</v>
      </c>
      <c r="AB261" s="155"/>
      <c r="AC261" s="155"/>
      <c r="AD261" s="155"/>
      <c r="AE261" s="1592"/>
      <c r="AF261" s="155"/>
      <c r="AG261" s="155"/>
      <c r="AH261" s="1610">
        <v>1.3</v>
      </c>
      <c r="AI261" s="155"/>
      <c r="AJ261" s="155"/>
      <c r="AK261" s="155"/>
      <c r="AL261" s="1592"/>
      <c r="AM261" s="155"/>
      <c r="AN261" s="155"/>
      <c r="AO261" s="1610">
        <v>1.35</v>
      </c>
      <c r="AP261" s="155"/>
      <c r="AQ261" s="155"/>
      <c r="AR261" s="155"/>
      <c r="AS261" s="1592"/>
      <c r="AT261" s="155"/>
      <c r="AU261" s="155"/>
      <c r="AV261" s="1610">
        <v>1.5</v>
      </c>
      <c r="AW261" s="155"/>
      <c r="AX261" s="155"/>
      <c r="AY261" s="155"/>
      <c r="AZ261" s="1592"/>
      <c r="BA261" s="155"/>
      <c r="BB261" s="155"/>
      <c r="BC261" s="1610">
        <v>1.5</v>
      </c>
      <c r="BD261" s="155"/>
      <c r="BE261" s="155"/>
      <c r="BF261" s="155"/>
      <c r="BG261" s="1592"/>
      <c r="BH261" s="155"/>
      <c r="BI261" s="155"/>
      <c r="BJ261" s="1610">
        <v>1.65</v>
      </c>
      <c r="BK261" s="155"/>
      <c r="BL261" s="155"/>
      <c r="BM261" s="155"/>
      <c r="BN261" s="1592"/>
      <c r="BO261" s="155"/>
      <c r="BP261" s="155"/>
      <c r="BQ261" s="1610">
        <v>0</v>
      </c>
      <c r="BR261" s="155"/>
      <c r="BS261" s="155"/>
      <c r="BT261" s="155"/>
      <c r="BU261" s="1592"/>
      <c r="BV261" s="155"/>
      <c r="BW261" s="155"/>
      <c r="BX261" s="1610">
        <v>0</v>
      </c>
      <c r="BY261" s="155"/>
      <c r="BZ261" s="155"/>
      <c r="CA261" s="155"/>
      <c r="CB261" s="1592"/>
      <c r="CC261" s="155"/>
      <c r="CD261" s="155"/>
      <c r="CE261" s="1610">
        <v>1.5</v>
      </c>
      <c r="CF261" s="155"/>
      <c r="CG261" s="155"/>
      <c r="CH261" s="155"/>
      <c r="CI261" s="1592"/>
      <c r="CJ261" s="155"/>
      <c r="CK261" s="155"/>
      <c r="CL261" s="1610">
        <v>1.8</v>
      </c>
      <c r="CM261" s="155"/>
      <c r="CN261" s="155"/>
      <c r="CO261" s="155"/>
      <c r="CP261" s="1592"/>
      <c r="CQ261" s="155"/>
      <c r="CR261" s="155"/>
      <c r="CS261" s="1610">
        <f>1.8+1</f>
        <v>2.8</v>
      </c>
      <c r="CT261" s="155"/>
      <c r="CU261" s="155"/>
      <c r="CV261" s="155"/>
      <c r="CW261" s="1592"/>
      <c r="CX261" s="155"/>
      <c r="CY261" s="155"/>
      <c r="CZ261" s="2105">
        <f>2+1</f>
        <v>3</v>
      </c>
      <c r="DA261" s="899"/>
      <c r="DB261" s="1721"/>
      <c r="DC261" s="899"/>
      <c r="DD261" s="1592"/>
      <c r="DE261" s="899"/>
      <c r="DF261" s="155"/>
      <c r="DG261" s="1610">
        <v>3.2</v>
      </c>
      <c r="DH261" s="1986"/>
      <c r="DI261" s="1721"/>
      <c r="DJ261" s="899"/>
      <c r="DK261" s="1592"/>
      <c r="DL261" s="899"/>
      <c r="DM261" s="155"/>
      <c r="DN261" s="1641">
        <f>DN262*IS!DN65</f>
        <v>3.0653713094757569</v>
      </c>
      <c r="DO261" s="899"/>
      <c r="DP261" s="1721"/>
      <c r="DQ261" s="899"/>
      <c r="DR261" s="1592"/>
      <c r="DS261" s="899"/>
      <c r="DT261" s="155"/>
      <c r="DU261" s="1641">
        <f>DU262*IS!DU65</f>
        <v>3.7210244102778631</v>
      </c>
      <c r="DV261" s="899"/>
      <c r="DW261" s="1721"/>
      <c r="DX261" s="899"/>
      <c r="DY261" s="1592"/>
      <c r="DZ261" s="899"/>
      <c r="EA261" s="155"/>
      <c r="EB261" s="1641">
        <f>EB262*IS!EB65</f>
        <v>4.6579274551466083</v>
      </c>
      <c r="EC261" s="899"/>
      <c r="ED261" s="1721"/>
      <c r="EE261" s="899"/>
      <c r="EF261" s="1592"/>
      <c r="EG261" s="899"/>
      <c r="EH261" s="155"/>
      <c r="EI261" s="1641">
        <f>EI262*IS!EI65</f>
        <v>5.1155471987278442</v>
      </c>
      <c r="EJ261" s="899"/>
      <c r="EK261" s="1721"/>
      <c r="EL261" s="899"/>
      <c r="EM261" s="1592"/>
      <c r="EN261" s="899"/>
      <c r="EO261" s="155"/>
      <c r="EP261" s="1641">
        <f>EP262*IS!EP65</f>
        <v>5.4709006037134298</v>
      </c>
      <c r="EQ261" s="303"/>
      <c r="ER261" s="46"/>
    </row>
    <row r="262" spans="1:148" ht="10.199999999999999" customHeight="1">
      <c r="A262" s="154" t="s">
        <v>462</v>
      </c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34">
        <f>M261/IS!M65</f>
        <v>0.26747930272034814</v>
      </c>
      <c r="N262" s="134"/>
      <c r="O262" s="134"/>
      <c r="P262" s="134"/>
      <c r="Q262" s="717"/>
      <c r="R262" s="134"/>
      <c r="S262" s="134"/>
      <c r="T262" s="1270">
        <f>T261/IS!T65</f>
        <v>0.26676397957809694</v>
      </c>
      <c r="U262" s="134"/>
      <c r="V262" s="134"/>
      <c r="W262" s="134"/>
      <c r="X262" s="717"/>
      <c r="Y262" s="134"/>
      <c r="Z262" s="134"/>
      <c r="AA262" s="1270">
        <f>AA261/IS!AA65</f>
        <v>0.35670268109339409</v>
      </c>
      <c r="AB262" s="134"/>
      <c r="AC262" s="134"/>
      <c r="AD262" s="134"/>
      <c r="AE262" s="717"/>
      <c r="AF262" s="134"/>
      <c r="AG262" s="134"/>
      <c r="AH262" s="1270">
        <f>AH261/IS!AH65</f>
        <v>0.38122711037700635</v>
      </c>
      <c r="AI262" s="134"/>
      <c r="AJ262" s="134"/>
      <c r="AK262" s="134"/>
      <c r="AL262" s="717"/>
      <c r="AM262" s="134"/>
      <c r="AN262" s="134"/>
      <c r="AO262" s="1270">
        <f>AO261/IS!AO65</f>
        <v>0.40773943401639351</v>
      </c>
      <c r="AP262" s="134"/>
      <c r="AQ262" s="134"/>
      <c r="AR262" s="134"/>
      <c r="AS262" s="717"/>
      <c r="AT262" s="134"/>
      <c r="AU262" s="134"/>
      <c r="AV262" s="1270">
        <f>AV261/IS!AV65</f>
        <v>0.40925918653032439</v>
      </c>
      <c r="AW262" s="134"/>
      <c r="AX262" s="134"/>
      <c r="AY262" s="134"/>
      <c r="AZ262" s="717"/>
      <c r="BA262" s="134"/>
      <c r="BB262" s="134"/>
      <c r="BC262" s="1270">
        <f>BC261/IS!BC65</f>
        <v>0.56201622771975179</v>
      </c>
      <c r="BD262" s="134"/>
      <c r="BE262" s="134"/>
      <c r="BF262" s="134"/>
      <c r="BG262" s="717"/>
      <c r="BH262" s="134"/>
      <c r="BI262" s="134"/>
      <c r="BJ262" s="1270">
        <f>BJ261/IS!BJ65</f>
        <v>0.31619953093943137</v>
      </c>
      <c r="BK262" s="134"/>
      <c r="BL262" s="134"/>
      <c r="BM262" s="134"/>
      <c r="BN262" s="717"/>
      <c r="BO262" s="134"/>
      <c r="BP262" s="134"/>
      <c r="BQ262" s="1270">
        <f>BQ261/IS!BQ65</f>
        <v>0</v>
      </c>
      <c r="BR262" s="134"/>
      <c r="BS262" s="134"/>
      <c r="BT262" s="134"/>
      <c r="BU262" s="717"/>
      <c r="BV262" s="134"/>
      <c r="BW262" s="134"/>
      <c r="BX262" s="1270">
        <f>BX261/IS!BX65</f>
        <v>0</v>
      </c>
      <c r="BY262" s="134"/>
      <c r="BZ262" s="134"/>
      <c r="CA262" s="134"/>
      <c r="CB262" s="717"/>
      <c r="CC262" s="134"/>
      <c r="CD262" s="134"/>
      <c r="CE262" s="1270">
        <f>CE261/IS!CE65</f>
        <v>0.34677336208419191</v>
      </c>
      <c r="CF262" s="134"/>
      <c r="CG262" s="134"/>
      <c r="CH262" s="134"/>
      <c r="CI262" s="717"/>
      <c r="CJ262" s="134"/>
      <c r="CK262" s="134"/>
      <c r="CL262" s="1270">
        <f>CL261/IS!CL65</f>
        <v>0.34938225454993832</v>
      </c>
      <c r="CM262" s="134"/>
      <c r="CN262" s="134"/>
      <c r="CO262" s="134"/>
      <c r="CP262" s="717"/>
      <c r="CQ262" s="134"/>
      <c r="CR262" s="134"/>
      <c r="CS262" s="1270">
        <f>CS261/IS!CS65</f>
        <v>0.49998147638668777</v>
      </c>
      <c r="CT262" s="134"/>
      <c r="CU262" s="134"/>
      <c r="CV262" s="134"/>
      <c r="CW262" s="717"/>
      <c r="CX262" s="134"/>
      <c r="CY262" s="134"/>
      <c r="CZ262" s="1270">
        <f>CZ261/IS!CZ65</f>
        <v>0.59365857039078151</v>
      </c>
      <c r="DA262" s="857"/>
      <c r="DB262" s="1722"/>
      <c r="DC262" s="857"/>
      <c r="DD262" s="717"/>
      <c r="DE262" s="857"/>
      <c r="DF262" s="134"/>
      <c r="DG262" s="1270">
        <f>DG261/IS!DG65</f>
        <v>0.46471110568328122</v>
      </c>
      <c r="DH262" s="812"/>
      <c r="DI262" s="1722"/>
      <c r="DJ262" s="857"/>
      <c r="DK262" s="717"/>
      <c r="DL262" s="857"/>
      <c r="DM262" s="134"/>
      <c r="DN262" s="1642">
        <v>0.4</v>
      </c>
      <c r="DO262" s="857"/>
      <c r="DP262" s="1722"/>
      <c r="DQ262" s="857"/>
      <c r="DR262" s="717"/>
      <c r="DS262" s="857"/>
      <c r="DT262" s="134"/>
      <c r="DU262" s="1667">
        <f>DN262</f>
        <v>0.4</v>
      </c>
      <c r="DV262" s="857"/>
      <c r="DW262" s="1722"/>
      <c r="DX262" s="857"/>
      <c r="DY262" s="717"/>
      <c r="DZ262" s="857"/>
      <c r="EA262" s="134"/>
      <c r="EB262" s="1667">
        <f>DU262</f>
        <v>0.4</v>
      </c>
      <c r="EC262" s="857"/>
      <c r="ED262" s="1722"/>
      <c r="EE262" s="857"/>
      <c r="EF262" s="717"/>
      <c r="EG262" s="857"/>
      <c r="EH262" s="134"/>
      <c r="EI262" s="1667">
        <f>EB262</f>
        <v>0.4</v>
      </c>
      <c r="EJ262" s="857"/>
      <c r="EK262" s="1722"/>
      <c r="EL262" s="857"/>
      <c r="EM262" s="717"/>
      <c r="EN262" s="857"/>
      <c r="EO262" s="134"/>
      <c r="EP262" s="1667">
        <f t="shared" ref="EP262" si="1976">EI262</f>
        <v>0.4</v>
      </c>
      <c r="EQ262" s="303"/>
      <c r="ER262" s="46"/>
    </row>
    <row r="263" spans="1:148" ht="10.199999999999999" customHeight="1">
      <c r="A263" s="154" t="s">
        <v>461</v>
      </c>
      <c r="B263" s="154"/>
      <c r="C263" s="134">
        <f>C261/IS!C62</f>
        <v>-0.80680623110367899</v>
      </c>
      <c r="D263" s="134">
        <f>D261/IS!D62</f>
        <v>0.94787840000000012</v>
      </c>
      <c r="E263" s="134">
        <f>E261/IS!E62</f>
        <v>0.3341990324189526</v>
      </c>
      <c r="F263" s="134">
        <f>F261/IS!F62</f>
        <v>0.31034643761933173</v>
      </c>
      <c r="G263" s="134">
        <f>G261/IS!G62</f>
        <v>0.97492807636363621</v>
      </c>
      <c r="H263" s="134">
        <f>H261/IS!H62</f>
        <v>-0.21673948008968608</v>
      </c>
      <c r="I263" s="134">
        <f>I261/IS!I62</f>
        <v>0.10274770254452927</v>
      </c>
      <c r="J263" s="134">
        <f>J261/IS!J62</f>
        <v>0</v>
      </c>
      <c r="K263" s="134">
        <f>K261/IS!K62</f>
        <v>0.29577534756218909</v>
      </c>
      <c r="L263" s="134">
        <f>L261/IS!L62</f>
        <v>0.34511394910461829</v>
      </c>
      <c r="M263" s="134">
        <f>M261/IS!M47</f>
        <v>0.4003476859934853</v>
      </c>
      <c r="N263" s="134"/>
      <c r="O263" s="134"/>
      <c r="P263" s="134"/>
      <c r="Q263" s="717"/>
      <c r="R263" s="134"/>
      <c r="S263" s="134"/>
      <c r="T263" s="1270">
        <f>T261/IS!T47</f>
        <v>0.40349636558044805</v>
      </c>
      <c r="U263" s="134"/>
      <c r="V263" s="134"/>
      <c r="W263" s="134"/>
      <c r="X263" s="717"/>
      <c r="Y263" s="134"/>
      <c r="Z263" s="134"/>
      <c r="AA263" s="1270">
        <f>AA261/IS!AA47</f>
        <v>0.4010050627400768</v>
      </c>
      <c r="AB263" s="134"/>
      <c r="AC263" s="134"/>
      <c r="AD263" s="134"/>
      <c r="AE263" s="717"/>
      <c r="AF263" s="134"/>
      <c r="AG263" s="134"/>
      <c r="AH263" s="1270">
        <f>AH261/IS!AH47</f>
        <v>0.37882323022997033</v>
      </c>
      <c r="AI263" s="134"/>
      <c r="AJ263" s="134"/>
      <c r="AK263" s="134"/>
      <c r="AL263" s="717"/>
      <c r="AM263" s="134"/>
      <c r="AN263" s="134"/>
      <c r="AO263" s="1270">
        <f>AO261/IS!AO47</f>
        <v>1.0498778190452263</v>
      </c>
      <c r="AP263" s="134"/>
      <c r="AQ263" s="134"/>
      <c r="AR263" s="134"/>
      <c r="AS263" s="717"/>
      <c r="AT263" s="134"/>
      <c r="AU263" s="134"/>
      <c r="AV263" s="1270">
        <f>AV261/IS!AV47</f>
        <v>0.40398853219631048</v>
      </c>
      <c r="AW263" s="134"/>
      <c r="AX263" s="134"/>
      <c r="AY263" s="134"/>
      <c r="AZ263" s="717"/>
      <c r="BA263" s="134"/>
      <c r="BB263" s="134"/>
      <c r="BC263" s="1270">
        <f>BC261/IS!BC47</f>
        <v>0.4915963799237611</v>
      </c>
      <c r="BD263" s="134"/>
      <c r="BE263" s="134"/>
      <c r="BF263" s="134"/>
      <c r="BG263" s="717"/>
      <c r="BH263" s="134"/>
      <c r="BI263" s="134"/>
      <c r="BJ263" s="1270">
        <f>BJ261/IS!BJ47</f>
        <v>0.41880389739685658</v>
      </c>
      <c r="BK263" s="134"/>
      <c r="BL263" s="134"/>
      <c r="BM263" s="134"/>
      <c r="BN263" s="717"/>
      <c r="BO263" s="134"/>
      <c r="BP263" s="134"/>
      <c r="BQ263" s="1270">
        <f>BQ261/IS!BQ47</f>
        <v>0</v>
      </c>
      <c r="BR263" s="134"/>
      <c r="BS263" s="134"/>
      <c r="BT263" s="134"/>
      <c r="BU263" s="717"/>
      <c r="BV263" s="134"/>
      <c r="BW263" s="134"/>
      <c r="BX263" s="1270">
        <f>BX261/IS!BX47</f>
        <v>0</v>
      </c>
      <c r="BY263" s="134"/>
      <c r="BZ263" s="134"/>
      <c r="CA263" s="134"/>
      <c r="CB263" s="717"/>
      <c r="CC263" s="134"/>
      <c r="CD263" s="134"/>
      <c r="CE263" s="1270">
        <f>CE261/IS!CE47</f>
        <v>0.27960814407785428</v>
      </c>
      <c r="CF263" s="134"/>
      <c r="CG263" s="134"/>
      <c r="CH263" s="134"/>
      <c r="CI263" s="717"/>
      <c r="CJ263" s="134"/>
      <c r="CK263" s="134"/>
      <c r="CL263" s="1270">
        <f>CL261/IS!CL47</f>
        <v>0.33358724798681422</v>
      </c>
      <c r="CM263" s="134"/>
      <c r="CN263" s="134"/>
      <c r="CO263" s="134"/>
      <c r="CP263" s="717"/>
      <c r="CQ263" s="134"/>
      <c r="CR263" s="134"/>
      <c r="CS263" s="1270">
        <f>CS261/IS!CS47</f>
        <v>0.58284987627342311</v>
      </c>
      <c r="CT263" s="134"/>
      <c r="CU263" s="134"/>
      <c r="CV263" s="134"/>
      <c r="CW263" s="717"/>
      <c r="CX263" s="134"/>
      <c r="CY263" s="134"/>
      <c r="CZ263" s="1270">
        <f>CZ261/IS!CZ47</f>
        <v>0.55999173275047265</v>
      </c>
      <c r="DA263" s="887"/>
      <c r="DB263" s="1722"/>
      <c r="DC263" s="887"/>
      <c r="DD263" s="717"/>
      <c r="DE263" s="887"/>
      <c r="DF263" s="134"/>
      <c r="DG263" s="1270">
        <f>DG261/IS!DG47</f>
        <v>0.4839368476537062</v>
      </c>
      <c r="DH263" s="812"/>
      <c r="DI263" s="1722"/>
      <c r="DJ263" s="887"/>
      <c r="DK263" s="717"/>
      <c r="DL263" s="887"/>
      <c r="DM263" s="134"/>
      <c r="DN263" s="1115">
        <f>DN261/IS!DN47</f>
        <v>0.39757453855343705</v>
      </c>
      <c r="DO263" s="887"/>
      <c r="DP263" s="1722"/>
      <c r="DQ263" s="887"/>
      <c r="DR263" s="717"/>
      <c r="DS263" s="887"/>
      <c r="DT263" s="134"/>
      <c r="DU263" s="1115">
        <f>DU261/IS!DU47</f>
        <v>0.4</v>
      </c>
      <c r="DV263" s="887"/>
      <c r="DW263" s="1722"/>
      <c r="DX263" s="887"/>
      <c r="DY263" s="717"/>
      <c r="DZ263" s="887"/>
      <c r="EA263" s="134"/>
      <c r="EB263" s="1115">
        <f>EB261/IS!EB47</f>
        <v>0.39999999999999997</v>
      </c>
      <c r="EC263" s="887"/>
      <c r="ED263" s="1722"/>
      <c r="EE263" s="887"/>
      <c r="EF263" s="717"/>
      <c r="EG263" s="887"/>
      <c r="EH263" s="134"/>
      <c r="EI263" s="1115">
        <f>EI261/IS!EI47</f>
        <v>0.4</v>
      </c>
      <c r="EJ263" s="887"/>
      <c r="EK263" s="1722"/>
      <c r="EL263" s="887"/>
      <c r="EM263" s="717"/>
      <c r="EN263" s="887"/>
      <c r="EO263" s="134"/>
      <c r="EP263" s="1115">
        <f>EP261/IS!EP47</f>
        <v>0.4</v>
      </c>
      <c r="EQ263" s="303"/>
      <c r="ER263" s="46"/>
    </row>
    <row r="264" spans="1:148" ht="10.199999999999999" customHeight="1">
      <c r="A264" s="154" t="s">
        <v>142</v>
      </c>
      <c r="B264" s="154"/>
      <c r="C264" s="134">
        <f t="shared" ref="C264:I264" si="1977">C261/B261-1</f>
        <v>-0.4</v>
      </c>
      <c r="D264" s="134">
        <f t="shared" si="1977"/>
        <v>0.33333333333333348</v>
      </c>
      <c r="E264" s="134">
        <f t="shared" si="1977"/>
        <v>0.25</v>
      </c>
      <c r="F264" s="134">
        <f t="shared" si="1977"/>
        <v>0.30000000000000004</v>
      </c>
      <c r="G264" s="134">
        <f t="shared" si="1977"/>
        <v>-0.81538461538461537</v>
      </c>
      <c r="H264" s="134">
        <f t="shared" si="1977"/>
        <v>0</v>
      </c>
      <c r="I264" s="134">
        <f t="shared" si="1977"/>
        <v>0.66666666666666674</v>
      </c>
      <c r="J264" s="156" t="s">
        <v>58</v>
      </c>
      <c r="K264" s="156" t="s">
        <v>58</v>
      </c>
      <c r="L264" s="134">
        <f t="shared" ref="L264:M264" si="1978">L261/K261-1</f>
        <v>1.0454545454545454</v>
      </c>
      <c r="M264" s="134">
        <f t="shared" si="1978"/>
        <v>0.33333333333333326</v>
      </c>
      <c r="N264" s="134"/>
      <c r="O264" s="134"/>
      <c r="P264" s="134"/>
      <c r="Q264" s="717"/>
      <c r="R264" s="134"/>
      <c r="S264" s="134"/>
      <c r="T264" s="1270">
        <f>T261/M261-1</f>
        <v>0.25</v>
      </c>
      <c r="U264" s="134"/>
      <c r="V264" s="134"/>
      <c r="W264" s="134"/>
      <c r="X264" s="717"/>
      <c r="Y264" s="134"/>
      <c r="Z264" s="134"/>
      <c r="AA264" s="1270">
        <f>AA261/T261-1</f>
        <v>0.59999999999999987</v>
      </c>
      <c r="AB264" s="134"/>
      <c r="AC264" s="134"/>
      <c r="AD264" s="134"/>
      <c r="AE264" s="717"/>
      <c r="AF264" s="134"/>
      <c r="AG264" s="134"/>
      <c r="AH264" s="1270">
        <f>AH261/AA261-1</f>
        <v>8.3333333333333481E-2</v>
      </c>
      <c r="AI264" s="134"/>
      <c r="AJ264" s="134"/>
      <c r="AK264" s="134"/>
      <c r="AL264" s="717"/>
      <c r="AM264" s="134"/>
      <c r="AN264" s="134"/>
      <c r="AO264" s="1270">
        <f>AO261/AH261-1</f>
        <v>3.8461538461538547E-2</v>
      </c>
      <c r="AP264" s="134"/>
      <c r="AQ264" s="134"/>
      <c r="AR264" s="134"/>
      <c r="AS264" s="717"/>
      <c r="AT264" s="134"/>
      <c r="AU264" s="134"/>
      <c r="AV264" s="1270">
        <f>AV261/AO261-1</f>
        <v>0.11111111111111094</v>
      </c>
      <c r="AW264" s="134"/>
      <c r="AX264" s="134"/>
      <c r="AY264" s="134"/>
      <c r="AZ264" s="717"/>
      <c r="BA264" s="134"/>
      <c r="BB264" s="134"/>
      <c r="BC264" s="1270">
        <f>BC261/AO261-1</f>
        <v>0.11111111111111094</v>
      </c>
      <c r="BD264" s="134"/>
      <c r="BE264" s="134"/>
      <c r="BF264" s="134"/>
      <c r="BG264" s="717"/>
      <c r="BH264" s="134"/>
      <c r="BI264" s="134"/>
      <c r="BJ264" s="1270">
        <f>BJ261/BC261-1</f>
        <v>9.9999999999999867E-2</v>
      </c>
      <c r="BK264" s="134"/>
      <c r="BL264" s="134"/>
      <c r="BM264" s="134"/>
      <c r="BN264" s="717"/>
      <c r="BO264" s="134"/>
      <c r="BP264" s="134"/>
      <c r="BQ264" s="1270">
        <f>BQ261/BJ261-1</f>
        <v>-1</v>
      </c>
      <c r="BR264" s="134"/>
      <c r="BS264" s="134"/>
      <c r="BT264" s="134"/>
      <c r="BU264" s="717"/>
      <c r="BV264" s="134"/>
      <c r="BW264" s="134"/>
      <c r="BX264" s="1270"/>
      <c r="BY264" s="134"/>
      <c r="BZ264" s="134"/>
      <c r="CA264" s="134"/>
      <c r="CB264" s="717"/>
      <c r="CC264" s="134"/>
      <c r="CD264" s="134"/>
      <c r="CE264" s="1270">
        <f>IFERROR(CE261/BX261-1,0)</f>
        <v>0</v>
      </c>
      <c r="CF264" s="134"/>
      <c r="CG264" s="134"/>
      <c r="CH264" s="134"/>
      <c r="CI264" s="717"/>
      <c r="CJ264" s="134"/>
      <c r="CK264" s="134"/>
      <c r="CL264" s="1270">
        <f>IFERROR(CL261/CE261-1,0)</f>
        <v>0.19999999999999996</v>
      </c>
      <c r="CM264" s="134"/>
      <c r="CN264" s="134"/>
      <c r="CO264" s="134"/>
      <c r="CP264" s="717"/>
      <c r="CQ264" s="134"/>
      <c r="CR264" s="134"/>
      <c r="CS264" s="1270">
        <f>IFERROR(CS261/CL261-1,0)</f>
        <v>0.55555555555555536</v>
      </c>
      <c r="CT264" s="134"/>
      <c r="CU264" s="134"/>
      <c r="CV264" s="134"/>
      <c r="CW264" s="717"/>
      <c r="CX264" s="134"/>
      <c r="CY264" s="134"/>
      <c r="CZ264" s="1270">
        <f>IFERROR(CZ261/CS261-1,0)</f>
        <v>7.1428571428571397E-2</v>
      </c>
      <c r="DA264" s="887"/>
      <c r="DB264" s="1722"/>
      <c r="DC264" s="887"/>
      <c r="DD264" s="717"/>
      <c r="DE264" s="887"/>
      <c r="DF264" s="134"/>
      <c r="DG264" s="1270">
        <f>IFERROR(DG261/CZ261-1,0)</f>
        <v>6.6666666666666652E-2</v>
      </c>
      <c r="DH264" s="812"/>
      <c r="DI264" s="1722"/>
      <c r="DJ264" s="887"/>
      <c r="DK264" s="717"/>
      <c r="DL264" s="887"/>
      <c r="DM264" s="134"/>
      <c r="DN264" s="1115">
        <f>IFERROR(DN261/DG261-1,0)</f>
        <v>-4.2071465788826035E-2</v>
      </c>
      <c r="DO264" s="887"/>
      <c r="DP264" s="1722"/>
      <c r="DQ264" s="887"/>
      <c r="DR264" s="717"/>
      <c r="DS264" s="887"/>
      <c r="DT264" s="134"/>
      <c r="DU264" s="1115">
        <f>IFERROR(DU261/DN261-1,0)</f>
        <v>0.21389027122924187</v>
      </c>
      <c r="DV264" s="887"/>
      <c r="DW264" s="1722"/>
      <c r="DX264" s="887"/>
      <c r="DY264" s="717"/>
      <c r="DZ264" s="887"/>
      <c r="EA264" s="134"/>
      <c r="EB264" s="1115">
        <f>IFERROR(EB261/DU261-1,0)</f>
        <v>0.25178632053069028</v>
      </c>
      <c r="EC264" s="887"/>
      <c r="ED264" s="1722"/>
      <c r="EE264" s="887"/>
      <c r="EF264" s="717"/>
      <c r="EG264" s="887"/>
      <c r="EH264" s="134"/>
      <c r="EI264" s="1115">
        <f>IFERROR(EI261/EB261-1,0)</f>
        <v>9.8245356542770113E-2</v>
      </c>
      <c r="EJ264" s="887"/>
      <c r="EK264" s="1722"/>
      <c r="EL264" s="887"/>
      <c r="EM264" s="717"/>
      <c r="EN264" s="887"/>
      <c r="EO264" s="134"/>
      <c r="EP264" s="1115">
        <f t="shared" ref="EP264" si="1979">IFERROR(EP261/EI261-1,0)</f>
        <v>6.9465375096911641E-2</v>
      </c>
      <c r="EQ264" s="303"/>
      <c r="ER264" s="46"/>
    </row>
    <row r="265" spans="1:148" ht="10.199999999999999" customHeight="1">
      <c r="A265" s="154" t="s">
        <v>160</v>
      </c>
      <c r="B265" s="154"/>
      <c r="C265" s="157">
        <f t="shared" ref="C265:EP265" si="1980">C261/C266</f>
        <v>3.0456852791878174E-2</v>
      </c>
      <c r="D265" s="157">
        <f t="shared" si="1980"/>
        <v>2.6666666666666668E-2</v>
      </c>
      <c r="E265" s="157">
        <f t="shared" si="1980"/>
        <v>2.6315789473684209E-2</v>
      </c>
      <c r="F265" s="157">
        <f t="shared" si="1980"/>
        <v>2.850877192982456E-2</v>
      </c>
      <c r="G265" s="157">
        <f t="shared" si="1980"/>
        <v>5.7142857142857143E-3</v>
      </c>
      <c r="H265" s="157">
        <f t="shared" si="1980"/>
        <v>5.2027106122289708E-3</v>
      </c>
      <c r="I265" s="157">
        <f t="shared" si="1980"/>
        <v>1.3937282229965159E-2</v>
      </c>
      <c r="J265" s="157">
        <f t="shared" si="1980"/>
        <v>0</v>
      </c>
      <c r="K265" s="157">
        <f t="shared" si="1980"/>
        <v>1.3264198721813579E-2</v>
      </c>
      <c r="L265" s="157">
        <f t="shared" si="1980"/>
        <v>2.0917584716218098E-2</v>
      </c>
      <c r="M265" s="157">
        <f t="shared" si="1980"/>
        <v>2.1500752526338422E-2</v>
      </c>
      <c r="N265" s="157"/>
      <c r="O265" s="157"/>
      <c r="P265" s="157"/>
      <c r="Q265" s="1277"/>
      <c r="R265" s="157"/>
      <c r="S265" s="157"/>
      <c r="T265" s="1295">
        <f t="shared" si="1980"/>
        <v>1.7289073305670814E-2</v>
      </c>
      <c r="U265" s="157"/>
      <c r="V265" s="157"/>
      <c r="W265" s="157"/>
      <c r="X265" s="1277"/>
      <c r="Y265" s="157"/>
      <c r="Z265" s="157"/>
      <c r="AA265" s="1295">
        <f t="shared" si="1980"/>
        <v>2.4464831804281346E-2</v>
      </c>
      <c r="AB265" s="157"/>
      <c r="AC265" s="157"/>
      <c r="AD265" s="157"/>
      <c r="AE265" s="1277"/>
      <c r="AF265" s="157"/>
      <c r="AG265" s="157"/>
      <c r="AH265" s="1295">
        <f t="shared" si="1980"/>
        <v>2.2093813732154997E-2</v>
      </c>
      <c r="AI265" s="157"/>
      <c r="AJ265" s="157"/>
      <c r="AK265" s="157"/>
      <c r="AL265" s="1277"/>
      <c r="AM265" s="157"/>
      <c r="AN265" s="157"/>
      <c r="AO265" s="1295">
        <f t="shared" si="1980"/>
        <v>1.9285714285714288E-2</v>
      </c>
      <c r="AP265" s="157"/>
      <c r="AQ265" s="157"/>
      <c r="AR265" s="157"/>
      <c r="AS265" s="1277"/>
      <c r="AT265" s="157"/>
      <c r="AU265" s="157"/>
      <c r="AV265" s="1295">
        <f t="shared" si="1980"/>
        <v>1.7647058823529412E-2</v>
      </c>
      <c r="AW265" s="157"/>
      <c r="AX265" s="157"/>
      <c r="AY265" s="157"/>
      <c r="AZ265" s="1277"/>
      <c r="BA265" s="157"/>
      <c r="BB265" s="157"/>
      <c r="BC265" s="1295">
        <f t="shared" si="1980"/>
        <v>1.7647058823529412E-2</v>
      </c>
      <c r="BD265" s="157"/>
      <c r="BE265" s="157"/>
      <c r="BF265" s="157"/>
      <c r="BG265" s="1277"/>
      <c r="BH265" s="157"/>
      <c r="BI265" s="157"/>
      <c r="BJ265" s="1295">
        <f t="shared" si="1980"/>
        <v>1.6500000000000001E-2</v>
      </c>
      <c r="BK265" s="157"/>
      <c r="BL265" s="157"/>
      <c r="BM265" s="157"/>
      <c r="BN265" s="1277"/>
      <c r="BO265" s="157"/>
      <c r="BP265" s="157"/>
      <c r="BQ265" s="1295">
        <f t="shared" si="1980"/>
        <v>0</v>
      </c>
      <c r="BR265" s="157"/>
      <c r="BS265" s="157"/>
      <c r="BT265" s="157"/>
      <c r="BU265" s="1277"/>
      <c r="BV265" s="157"/>
      <c r="BW265" s="157"/>
      <c r="BX265" s="1295">
        <f t="shared" si="1980"/>
        <v>0</v>
      </c>
      <c r="BY265" s="157"/>
      <c r="BZ265" s="157"/>
      <c r="CA265" s="157"/>
      <c r="CB265" s="1277"/>
      <c r="CC265" s="157"/>
      <c r="CD265" s="157"/>
      <c r="CE265" s="1295">
        <f t="shared" si="1980"/>
        <v>1.4705882352941176E-2</v>
      </c>
      <c r="CF265" s="157"/>
      <c r="CG265" s="157"/>
      <c r="CH265" s="157"/>
      <c r="CI265" s="1277"/>
      <c r="CJ265" s="157"/>
      <c r="CK265" s="157"/>
      <c r="CL265" s="1295">
        <f t="shared" si="1980"/>
        <v>1.8947368421052633E-2</v>
      </c>
      <c r="CM265" s="157"/>
      <c r="CN265" s="157"/>
      <c r="CO265" s="157"/>
      <c r="CP265" s="1277"/>
      <c r="CQ265" s="157"/>
      <c r="CR265" s="157"/>
      <c r="CS265" s="1295">
        <f t="shared" ref="CS265" si="1981">CS261/CS266</f>
        <v>2.003147803691515E-2</v>
      </c>
      <c r="CT265" s="157"/>
      <c r="CU265" s="157"/>
      <c r="CV265" s="157"/>
      <c r="CW265" s="1277"/>
      <c r="CX265" s="157"/>
      <c r="CY265" s="157"/>
      <c r="CZ265" s="1295">
        <f t="shared" ref="CZ265" si="1982">CZ261/CZ266</f>
        <v>1.9382349140715856E-2</v>
      </c>
      <c r="DA265" s="850"/>
      <c r="DB265" s="810"/>
      <c r="DC265" s="850"/>
      <c r="DD265" s="1277"/>
      <c r="DE265" s="850"/>
      <c r="DF265" s="157"/>
      <c r="DG265" s="1295">
        <f t="shared" ref="DG265" si="1983">DG261/DG266</f>
        <v>1.8090430670968421E-2</v>
      </c>
      <c r="DH265" s="315"/>
      <c r="DI265" s="810"/>
      <c r="DJ265" s="850"/>
      <c r="DK265" s="1277"/>
      <c r="DL265" s="850"/>
      <c r="DM265" s="157"/>
      <c r="DN265" s="755">
        <f t="shared" si="1980"/>
        <v>1.4398174304724081E-2</v>
      </c>
      <c r="DO265" s="850"/>
      <c r="DP265" s="810"/>
      <c r="DQ265" s="850"/>
      <c r="DR265" s="1277"/>
      <c r="DS265" s="850"/>
      <c r="DT265" s="157"/>
      <c r="DU265" s="755">
        <f t="shared" si="1980"/>
        <v>1.7477803711967416E-2</v>
      </c>
      <c r="DV265" s="850"/>
      <c r="DW265" s="810"/>
      <c r="DX265" s="850"/>
      <c r="DY265" s="1277"/>
      <c r="DZ265" s="850"/>
      <c r="EA265" s="157"/>
      <c r="EB265" s="755">
        <f t="shared" si="1980"/>
        <v>2.1878475599561336E-2</v>
      </c>
      <c r="EC265" s="850"/>
      <c r="ED265" s="810"/>
      <c r="EE265" s="850"/>
      <c r="EF265" s="1277"/>
      <c r="EG265" s="850"/>
      <c r="EH265" s="157"/>
      <c r="EI265" s="755">
        <f t="shared" si="1980"/>
        <v>2.4027934235452533E-2</v>
      </c>
      <c r="EJ265" s="850"/>
      <c r="EK265" s="810"/>
      <c r="EL265" s="850"/>
      <c r="EM265" s="1277"/>
      <c r="EN265" s="850"/>
      <c r="EO265" s="157"/>
      <c r="EP265" s="755">
        <f t="shared" si="1980"/>
        <v>2.5697043699922168E-2</v>
      </c>
      <c r="EQ265" s="303"/>
      <c r="ER265" s="46"/>
    </row>
    <row r="266" spans="1:148" ht="10.199999999999999" customHeight="1">
      <c r="A266" s="154" t="s">
        <v>161</v>
      </c>
      <c r="B266" s="154"/>
      <c r="C266" s="155">
        <v>9.85</v>
      </c>
      <c r="D266" s="155">
        <v>15</v>
      </c>
      <c r="E266" s="155">
        <v>19</v>
      </c>
      <c r="F266" s="155">
        <v>22.8</v>
      </c>
      <c r="G266" s="155">
        <v>21</v>
      </c>
      <c r="H266" s="155">
        <f>'Valuation Summary'!E4</f>
        <v>23.064900000000002</v>
      </c>
      <c r="I266" s="155">
        <f>'Valuation Summary'!F4</f>
        <v>14.35</v>
      </c>
      <c r="J266" s="155">
        <f>'Valuation Summary'!G4</f>
        <v>12.478</v>
      </c>
      <c r="K266" s="155">
        <f>'Valuation Summary'!H4</f>
        <v>16.585999999999999</v>
      </c>
      <c r="L266" s="155">
        <f>'Valuation Summary'!I4</f>
        <v>21.513000000000002</v>
      </c>
      <c r="M266" s="155">
        <f>'Valuation Summary'!J4</f>
        <v>27.905999999999999</v>
      </c>
      <c r="N266" s="155"/>
      <c r="O266" s="155"/>
      <c r="P266" s="155"/>
      <c r="Q266" s="1592"/>
      <c r="R266" s="155"/>
      <c r="S266" s="155"/>
      <c r="T266" s="1610">
        <f>'Valuation Summary'!K4</f>
        <v>43.38</v>
      </c>
      <c r="U266" s="155"/>
      <c r="V266" s="155"/>
      <c r="W266" s="155"/>
      <c r="X266" s="1592"/>
      <c r="Y266" s="155"/>
      <c r="Z266" s="155"/>
      <c r="AA266" s="1610">
        <f>'Valuation Summary'!L4</f>
        <v>49.05</v>
      </c>
      <c r="AB266" s="155"/>
      <c r="AC266" s="155"/>
      <c r="AD266" s="155"/>
      <c r="AE266" s="1592"/>
      <c r="AF266" s="155"/>
      <c r="AG266" s="155"/>
      <c r="AH266" s="1610">
        <f>'Valuation Summary'!M4</f>
        <v>58.84</v>
      </c>
      <c r="AI266" s="155"/>
      <c r="AJ266" s="155"/>
      <c r="AK266" s="155"/>
      <c r="AL266" s="1592"/>
      <c r="AM266" s="155"/>
      <c r="AN266" s="155"/>
      <c r="AO266" s="1610">
        <f>'Valuation Summary'!N4</f>
        <v>70</v>
      </c>
      <c r="AP266" s="155"/>
      <c r="AQ266" s="155"/>
      <c r="AR266" s="155"/>
      <c r="AS266" s="1592"/>
      <c r="AT266" s="155"/>
      <c r="AU266" s="155"/>
      <c r="AV266" s="1610">
        <f>'Valuation Summary'!O4</f>
        <v>85</v>
      </c>
      <c r="AW266" s="155"/>
      <c r="AX266" s="155"/>
      <c r="AY266" s="155"/>
      <c r="AZ266" s="1592"/>
      <c r="BA266" s="155"/>
      <c r="BB266" s="155"/>
      <c r="BC266" s="1610">
        <f>AV266</f>
        <v>85</v>
      </c>
      <c r="BD266" s="155"/>
      <c r="BE266" s="155"/>
      <c r="BF266" s="155"/>
      <c r="BG266" s="1592"/>
      <c r="BH266" s="155"/>
      <c r="BI266" s="155"/>
      <c r="BJ266" s="1610">
        <f>'Valuation Summary'!P4</f>
        <v>100</v>
      </c>
      <c r="BK266" s="155"/>
      <c r="BL266" s="155"/>
      <c r="BM266" s="155"/>
      <c r="BN266" s="1592"/>
      <c r="BO266" s="155"/>
      <c r="BP266" s="155"/>
      <c r="BQ266" s="1610">
        <f>'Valuation Summary'!Q4</f>
        <v>120</v>
      </c>
      <c r="BR266" s="155"/>
      <c r="BS266" s="155"/>
      <c r="BT266" s="155"/>
      <c r="BU266" s="1592"/>
      <c r="BV266" s="155"/>
      <c r="BW266" s="155"/>
      <c r="BX266" s="1610">
        <f>'Valuation Summary'!R4</f>
        <v>120</v>
      </c>
      <c r="BY266" s="155"/>
      <c r="BZ266" s="155"/>
      <c r="CA266" s="155"/>
      <c r="CB266" s="1592"/>
      <c r="CC266" s="155"/>
      <c r="CD266" s="155"/>
      <c r="CE266" s="1610">
        <f>'Valuation Summary'!S4</f>
        <v>102</v>
      </c>
      <c r="CF266" s="155"/>
      <c r="CG266" s="155"/>
      <c r="CH266" s="155"/>
      <c r="CI266" s="1592"/>
      <c r="CJ266" s="155"/>
      <c r="CK266" s="155"/>
      <c r="CL266" s="1610">
        <f>'Valuation Summary'!T4</f>
        <v>95</v>
      </c>
      <c r="CM266" s="155"/>
      <c r="CN266" s="155"/>
      <c r="CO266" s="155"/>
      <c r="CP266" s="1592"/>
      <c r="CQ266" s="155"/>
      <c r="CR266" s="155"/>
      <c r="CS266" s="1610">
        <f>'Valuation Summary'!U4</f>
        <v>139.78</v>
      </c>
      <c r="CT266" s="155"/>
      <c r="CU266" s="155"/>
      <c r="CV266" s="155"/>
      <c r="CW266" s="1592"/>
      <c r="CX266" s="155"/>
      <c r="CY266" s="155"/>
      <c r="CZ266" s="1610">
        <f>'Valuation Summary'!V4</f>
        <v>154.78</v>
      </c>
      <c r="DA266" s="899"/>
      <c r="DB266" s="1721"/>
      <c r="DC266" s="899"/>
      <c r="DD266" s="1592"/>
      <c r="DE266" s="899"/>
      <c r="DF266" s="155"/>
      <c r="DG266" s="1610">
        <f>'Valuation Summary'!W4</f>
        <v>176.88910000000001</v>
      </c>
      <c r="DH266" s="1986"/>
      <c r="DI266" s="1721"/>
      <c r="DJ266" s="899"/>
      <c r="DK266" s="1592"/>
      <c r="DL266" s="899"/>
      <c r="DM266" s="155"/>
      <c r="DN266" s="1641">
        <f>'Valuation Summary'!X4</f>
        <v>212.9</v>
      </c>
      <c r="DO266" s="899"/>
      <c r="DP266" s="1721"/>
      <c r="DQ266" s="899"/>
      <c r="DR266" s="1592"/>
      <c r="DS266" s="899"/>
      <c r="DT266" s="155"/>
      <c r="DU266" s="1641">
        <f>'Valuation Summary'!Y4</f>
        <v>212.9</v>
      </c>
      <c r="DV266" s="899"/>
      <c r="DW266" s="1721"/>
      <c r="DX266" s="899"/>
      <c r="DY266" s="1592"/>
      <c r="DZ266" s="899"/>
      <c r="EA266" s="155"/>
      <c r="EB266" s="1641">
        <f>'Valuation Summary'!Z4</f>
        <v>212.9</v>
      </c>
      <c r="EC266" s="899"/>
      <c r="ED266" s="1721"/>
      <c r="EE266" s="899"/>
      <c r="EF266" s="1592"/>
      <c r="EG266" s="899"/>
      <c r="EH266" s="155"/>
      <c r="EI266" s="1641">
        <f>'Valuation Summary'!AA4</f>
        <v>212.9</v>
      </c>
      <c r="EJ266" s="899"/>
      <c r="EK266" s="1721"/>
      <c r="EL266" s="899"/>
      <c r="EM266" s="1592"/>
      <c r="EN266" s="899"/>
      <c r="EO266" s="155"/>
      <c r="EP266" s="1641">
        <f>'Valuation Summary'!AB4</f>
        <v>212.9</v>
      </c>
      <c r="EQ266" s="303"/>
      <c r="ER266" s="46"/>
    </row>
    <row r="267" spans="1:148" ht="10.199999999999999" customHeight="1">
      <c r="A267" s="43"/>
      <c r="B267" s="108"/>
      <c r="C267" s="176"/>
      <c r="D267" s="176"/>
      <c r="E267" s="176"/>
      <c r="F267" s="176"/>
      <c r="G267" s="203"/>
      <c r="H267" s="176"/>
      <c r="I267" s="176"/>
      <c r="J267" s="176"/>
      <c r="K267" s="176"/>
      <c r="L267" s="176"/>
      <c r="M267" s="176"/>
      <c r="N267" s="176"/>
      <c r="O267" s="176"/>
      <c r="P267" s="176"/>
      <c r="Q267" s="709"/>
      <c r="R267" s="176"/>
      <c r="S267" s="176"/>
      <c r="T267" s="352"/>
      <c r="U267" s="176"/>
      <c r="V267" s="176"/>
      <c r="W267" s="176"/>
      <c r="X267" s="709"/>
      <c r="Y267" s="176"/>
      <c r="Z267" s="176"/>
      <c r="AA267" s="352"/>
      <c r="AB267" s="176"/>
      <c r="AC267" s="176"/>
      <c r="AD267" s="176"/>
      <c r="AE267" s="709"/>
      <c r="AF267" s="176"/>
      <c r="AG267" s="176"/>
      <c r="AH267" s="352"/>
      <c r="AI267" s="176"/>
      <c r="AJ267" s="176"/>
      <c r="AK267" s="176"/>
      <c r="AL267" s="709"/>
      <c r="AM267" s="176"/>
      <c r="AN267" s="176"/>
      <c r="AO267" s="352"/>
      <c r="AP267" s="176"/>
      <c r="AQ267" s="176"/>
      <c r="AR267" s="176"/>
      <c r="AS267" s="709"/>
      <c r="AT267" s="176"/>
      <c r="AU267" s="176"/>
      <c r="AV267" s="352"/>
      <c r="AW267" s="176"/>
      <c r="AX267" s="176"/>
      <c r="AY267" s="176"/>
      <c r="AZ267" s="709"/>
      <c r="BA267" s="176"/>
      <c r="BB267" s="176"/>
      <c r="BC267" s="352"/>
      <c r="BD267" s="176"/>
      <c r="BE267" s="176"/>
      <c r="BF267" s="176"/>
      <c r="BG267" s="709"/>
      <c r="BH267" s="176"/>
      <c r="BI267" s="176"/>
      <c r="BJ267" s="352"/>
      <c r="BK267" s="176"/>
      <c r="BL267" s="176"/>
      <c r="BM267" s="176"/>
      <c r="BN267" s="709"/>
      <c r="BO267" s="176"/>
      <c r="BP267" s="176"/>
      <c r="BQ267" s="352"/>
      <c r="BR267" s="176"/>
      <c r="BS267" s="176"/>
      <c r="BT267" s="176"/>
      <c r="BU267" s="709"/>
      <c r="BV267" s="176"/>
      <c r="BW267" s="176"/>
      <c r="BX267" s="352"/>
      <c r="BY267" s="176"/>
      <c r="BZ267" s="176"/>
      <c r="CA267" s="176"/>
      <c r="CB267" s="709"/>
      <c r="CC267" s="176"/>
      <c r="CD267" s="176"/>
      <c r="CE267" s="352"/>
      <c r="CF267" s="176"/>
      <c r="CG267" s="176"/>
      <c r="CH267" s="176"/>
      <c r="CI267" s="709"/>
      <c r="CJ267" s="176"/>
      <c r="CK267" s="176"/>
      <c r="CL267" s="352"/>
      <c r="CM267" s="176"/>
      <c r="CN267" s="176"/>
      <c r="CO267" s="176"/>
      <c r="CP267" s="709"/>
      <c r="CQ267" s="176"/>
      <c r="CR267" s="176"/>
      <c r="CS267" s="352"/>
      <c r="CT267" s="176"/>
      <c r="CU267" s="176"/>
      <c r="CV267" s="176"/>
      <c r="CW267" s="709"/>
      <c r="CX267" s="176"/>
      <c r="CY267" s="176"/>
      <c r="CZ267" s="352"/>
      <c r="DA267" s="17"/>
      <c r="DB267" s="324"/>
      <c r="DC267" s="17"/>
      <c r="DD267" s="709"/>
      <c r="DE267" s="17"/>
      <c r="DF267" s="176"/>
      <c r="DG267" s="352"/>
      <c r="DH267" s="593"/>
      <c r="DI267" s="324"/>
      <c r="DJ267" s="17"/>
      <c r="DK267" s="709"/>
      <c r="DL267" s="17"/>
      <c r="DM267" s="176"/>
      <c r="DN267" s="1633"/>
      <c r="DO267" s="17"/>
      <c r="DP267" s="324"/>
      <c r="DQ267" s="17"/>
      <c r="DR267" s="709"/>
      <c r="DS267" s="17"/>
      <c r="DT267" s="176"/>
      <c r="DU267" s="1633"/>
      <c r="DV267" s="17"/>
      <c r="DW267" s="324"/>
      <c r="DX267" s="17"/>
      <c r="DY267" s="709"/>
      <c r="DZ267" s="17"/>
      <c r="EA267" s="176"/>
      <c r="EB267" s="1633"/>
      <c r="EC267" s="17"/>
      <c r="ED267" s="324"/>
      <c r="EE267" s="17"/>
      <c r="EF267" s="709"/>
      <c r="EG267" s="17"/>
      <c r="EH267" s="176"/>
      <c r="EI267" s="1633"/>
      <c r="EJ267" s="17"/>
      <c r="EK267" s="324"/>
      <c r="EL267" s="17"/>
      <c r="EM267" s="709"/>
      <c r="EN267" s="17"/>
      <c r="EO267" s="176"/>
      <c r="EP267" s="1633"/>
      <c r="EQ267" s="303"/>
      <c r="ER267" s="46"/>
    </row>
    <row r="268" spans="1:148" ht="10.199999999999999" customHeight="1">
      <c r="A268" s="43" t="s">
        <v>195</v>
      </c>
      <c r="B268" s="108"/>
      <c r="C268" s="203">
        <f>-IS!C24</f>
        <v>243</v>
      </c>
      <c r="D268" s="203">
        <f>-IS!D24</f>
        <v>229</v>
      </c>
      <c r="E268" s="203">
        <f>-IS!E24</f>
        <v>217</v>
      </c>
      <c r="F268" s="203">
        <f>-IS!F24</f>
        <v>140</v>
      </c>
      <c r="G268" s="203">
        <f>-IS!G24</f>
        <v>57</v>
      </c>
      <c r="H268" s="203">
        <f>-IS!H24</f>
        <v>73</v>
      </c>
      <c r="I268" s="203">
        <f>-IS!I24</f>
        <v>58</v>
      </c>
      <c r="J268" s="203">
        <f>-IS!J24</f>
        <v>58</v>
      </c>
      <c r="K268" s="203">
        <f>-IS!K24</f>
        <v>44</v>
      </c>
      <c r="L268" s="203">
        <f>-IS!L24</f>
        <v>41</v>
      </c>
      <c r="M268" s="203">
        <f>-IS!M24</f>
        <v>38</v>
      </c>
      <c r="N268" s="203"/>
      <c r="O268" s="203"/>
      <c r="P268" s="203"/>
      <c r="Q268" s="1448"/>
      <c r="R268" s="203"/>
      <c r="S268" s="203"/>
      <c r="T268" s="1461">
        <f>-IS!T24</f>
        <v>39</v>
      </c>
      <c r="U268" s="203"/>
      <c r="V268" s="203"/>
      <c r="W268" s="203"/>
      <c r="X268" s="1448"/>
      <c r="Y268" s="203"/>
      <c r="Z268" s="203"/>
      <c r="AA268" s="1461">
        <f>-IS!AA24</f>
        <v>43</v>
      </c>
      <c r="AB268" s="203"/>
      <c r="AC268" s="203"/>
      <c r="AD268" s="203"/>
      <c r="AE268" s="1448"/>
      <c r="AF268" s="203"/>
      <c r="AG268" s="203"/>
      <c r="AH268" s="1461">
        <f>-IS!AH24</f>
        <v>24</v>
      </c>
      <c r="AI268" s="203"/>
      <c r="AJ268" s="203"/>
      <c r="AK268" s="203"/>
      <c r="AL268" s="1448"/>
      <c r="AM268" s="203"/>
      <c r="AN268" s="203"/>
      <c r="AO268" s="1461">
        <f>-IS!AO24</f>
        <v>0</v>
      </c>
      <c r="AP268" s="203"/>
      <c r="AQ268" s="203"/>
      <c r="AR268" s="203"/>
      <c r="AS268" s="1448"/>
      <c r="AT268" s="203"/>
      <c r="AU268" s="203"/>
      <c r="AV268" s="1461">
        <f>-IS!AV24</f>
        <v>0</v>
      </c>
      <c r="AW268" s="203"/>
      <c r="AX268" s="203"/>
      <c r="AY268" s="203"/>
      <c r="AZ268" s="1448"/>
      <c r="BA268" s="203"/>
      <c r="BB268" s="203"/>
      <c r="BC268" s="1461">
        <f>-IS!BC24</f>
        <v>0</v>
      </c>
      <c r="BD268" s="203"/>
      <c r="BE268" s="203"/>
      <c r="BF268" s="203"/>
      <c r="BG268" s="1448"/>
      <c r="BH268" s="203"/>
      <c r="BI268" s="203"/>
      <c r="BJ268" s="1461">
        <f>-IS!BJ24</f>
        <v>0</v>
      </c>
      <c r="BK268" s="203"/>
      <c r="BL268" s="203"/>
      <c r="BM268" s="203"/>
      <c r="BN268" s="1448"/>
      <c r="BO268" s="203"/>
      <c r="BP268" s="203"/>
      <c r="BQ268" s="1461">
        <f>-IS!BQ24</f>
        <v>0</v>
      </c>
      <c r="BR268" s="203"/>
      <c r="BS268" s="203"/>
      <c r="BT268" s="203"/>
      <c r="BU268" s="1448"/>
      <c r="BV268" s="203"/>
      <c r="BW268" s="203"/>
      <c r="BX268" s="1461">
        <f>-IS!BX24</f>
        <v>0</v>
      </c>
      <c r="BY268" s="203"/>
      <c r="BZ268" s="203"/>
      <c r="CA268" s="203"/>
      <c r="CB268" s="1448"/>
      <c r="CC268" s="203"/>
      <c r="CD268" s="203"/>
      <c r="CE268" s="1461">
        <f>-IS!CE24</f>
        <v>0</v>
      </c>
      <c r="CF268" s="203"/>
      <c r="CG268" s="203"/>
      <c r="CH268" s="203"/>
      <c r="CI268" s="1448"/>
      <c r="CJ268" s="203"/>
      <c r="CK268" s="203"/>
      <c r="CL268" s="1461">
        <f>-IS!CL24</f>
        <v>0</v>
      </c>
      <c r="CM268" s="203"/>
      <c r="CN268" s="203"/>
      <c r="CO268" s="203"/>
      <c r="CP268" s="1448"/>
      <c r="CQ268" s="203"/>
      <c r="CR268" s="203"/>
      <c r="CS268" s="1461">
        <f>-IS!CS24</f>
        <v>0</v>
      </c>
      <c r="CT268" s="203"/>
      <c r="CU268" s="203"/>
      <c r="CV268" s="203"/>
      <c r="CW268" s="1448"/>
      <c r="CX268" s="203"/>
      <c r="CY268" s="203"/>
      <c r="CZ268" s="1461">
        <f>-IS!CZ24</f>
        <v>0</v>
      </c>
      <c r="DA268" s="860"/>
      <c r="DB268" s="1422"/>
      <c r="DC268" s="860"/>
      <c r="DD268" s="1448"/>
      <c r="DE268" s="860"/>
      <c r="DF268" s="203"/>
      <c r="DG268" s="1461">
        <f>-IS!DG24</f>
        <v>0</v>
      </c>
      <c r="DH268" s="834"/>
      <c r="DI268" s="1422"/>
      <c r="DJ268" s="860"/>
      <c r="DK268" s="1448"/>
      <c r="DL268" s="860"/>
      <c r="DM268" s="203"/>
      <c r="DN268" s="1119">
        <f>-IS!DN24</f>
        <v>0</v>
      </c>
      <c r="DO268" s="860"/>
      <c r="DP268" s="1422"/>
      <c r="DQ268" s="860"/>
      <c r="DR268" s="1448"/>
      <c r="DS268" s="860"/>
      <c r="DT268" s="203"/>
      <c r="DU268" s="1119">
        <f>-IS!DU24</f>
        <v>0</v>
      </c>
      <c r="DV268" s="860"/>
      <c r="DW268" s="1422"/>
      <c r="DX268" s="860"/>
      <c r="DY268" s="1448"/>
      <c r="DZ268" s="860"/>
      <c r="EA268" s="203"/>
      <c r="EB268" s="1119">
        <f>-IS!EB24</f>
        <v>0</v>
      </c>
      <c r="EC268" s="860"/>
      <c r="ED268" s="1422"/>
      <c r="EE268" s="860"/>
      <c r="EF268" s="1448"/>
      <c r="EG268" s="860"/>
      <c r="EH268" s="203"/>
      <c r="EI268" s="1119">
        <f>-IS!EI24</f>
        <v>0</v>
      </c>
      <c r="EJ268" s="860"/>
      <c r="EK268" s="1422"/>
      <c r="EL268" s="860"/>
      <c r="EM268" s="1448"/>
      <c r="EN268" s="860"/>
      <c r="EO268" s="203"/>
      <c r="EP268" s="1119">
        <f>-IS!EP24</f>
        <v>0</v>
      </c>
      <c r="EQ268" s="303"/>
      <c r="ER268" s="46"/>
    </row>
    <row r="269" spans="1:148" ht="10.199999999999999" customHeight="1">
      <c r="A269" s="43"/>
      <c r="B269" s="108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709"/>
      <c r="R269" s="176"/>
      <c r="S269" s="176"/>
      <c r="T269" s="352"/>
      <c r="U269" s="176"/>
      <c r="V269" s="176"/>
      <c r="W269" s="176"/>
      <c r="X269" s="709"/>
      <c r="Y269" s="176"/>
      <c r="Z269" s="176"/>
      <c r="AA269" s="352"/>
      <c r="AB269" s="176"/>
      <c r="AC269" s="176"/>
      <c r="AD269" s="176"/>
      <c r="AE269" s="709"/>
      <c r="AF269" s="176"/>
      <c r="AG269" s="176"/>
      <c r="AH269" s="352"/>
      <c r="AI269" s="176"/>
      <c r="AJ269" s="176"/>
      <c r="AK269" s="176"/>
      <c r="AL269" s="709"/>
      <c r="AM269" s="176"/>
      <c r="AN269" s="176"/>
      <c r="AO269" s="352"/>
      <c r="AP269" s="176"/>
      <c r="AQ269" s="176"/>
      <c r="AR269" s="176"/>
      <c r="AS269" s="709"/>
      <c r="AT269" s="176"/>
      <c r="AU269" s="176"/>
      <c r="AV269" s="352"/>
      <c r="AW269" s="176"/>
      <c r="AX269" s="176"/>
      <c r="AY269" s="176"/>
      <c r="AZ269" s="709"/>
      <c r="BA269" s="176"/>
      <c r="BB269" s="176"/>
      <c r="BC269" s="352"/>
      <c r="BD269" s="176"/>
      <c r="BE269" s="176"/>
      <c r="BF269" s="176"/>
      <c r="BG269" s="709"/>
      <c r="BH269" s="176"/>
      <c r="BI269" s="176"/>
      <c r="BJ269" s="352"/>
      <c r="BK269" s="176"/>
      <c r="BL269" s="176"/>
      <c r="BM269" s="176"/>
      <c r="BN269" s="709"/>
      <c r="BO269" s="176"/>
      <c r="BP269" s="176"/>
      <c r="BQ269" s="352"/>
      <c r="BR269" s="176"/>
      <c r="BS269" s="176"/>
      <c r="BT269" s="176"/>
      <c r="BU269" s="709"/>
      <c r="BV269" s="176"/>
      <c r="BW269" s="176"/>
      <c r="BX269" s="352"/>
      <c r="BY269" s="176"/>
      <c r="BZ269" s="176"/>
      <c r="CA269" s="176"/>
      <c r="CB269" s="709"/>
      <c r="CC269" s="176"/>
      <c r="CD269" s="176"/>
      <c r="CE269" s="352"/>
      <c r="CF269" s="176"/>
      <c r="CG269" s="176"/>
      <c r="CH269" s="176"/>
      <c r="CI269" s="709"/>
      <c r="CJ269" s="176"/>
      <c r="CK269" s="176"/>
      <c r="CL269" s="352"/>
      <c r="CM269" s="176"/>
      <c r="CN269" s="176"/>
      <c r="CO269" s="176"/>
      <c r="CP269" s="709"/>
      <c r="CQ269" s="176"/>
      <c r="CR269" s="176"/>
      <c r="CS269" s="352"/>
      <c r="CT269" s="176"/>
      <c r="CU269" s="176"/>
      <c r="CV269" s="176"/>
      <c r="CW269" s="709"/>
      <c r="CX269" s="176"/>
      <c r="CY269" s="176"/>
      <c r="CZ269" s="1633"/>
      <c r="DA269" s="17"/>
      <c r="DB269" s="324"/>
      <c r="DC269" s="17"/>
      <c r="DD269" s="709"/>
      <c r="DE269" s="17"/>
      <c r="DF269" s="176"/>
      <c r="DG269" s="352"/>
      <c r="DH269" s="593"/>
      <c r="DI269" s="324"/>
      <c r="DJ269" s="17"/>
      <c r="DK269" s="709"/>
      <c r="DL269" s="17"/>
      <c r="DM269" s="176"/>
      <c r="DN269" s="1633"/>
      <c r="DO269" s="17"/>
      <c r="DP269" s="324"/>
      <c r="DQ269" s="17"/>
      <c r="DR269" s="709"/>
      <c r="DS269" s="17"/>
      <c r="DT269" s="176"/>
      <c r="DU269" s="1633"/>
      <c r="DV269" s="17"/>
      <c r="DW269" s="324"/>
      <c r="DX269" s="17"/>
      <c r="DY269" s="709"/>
      <c r="DZ269" s="17"/>
      <c r="EA269" s="176"/>
      <c r="EB269" s="1633"/>
      <c r="EC269" s="17"/>
      <c r="ED269" s="324"/>
      <c r="EE269" s="17"/>
      <c r="EF269" s="709"/>
      <c r="EG269" s="17"/>
      <c r="EH269" s="176"/>
      <c r="EI269" s="1633"/>
      <c r="EJ269" s="17"/>
      <c r="EK269" s="324"/>
      <c r="EL269" s="17"/>
      <c r="EM269" s="709"/>
      <c r="EN269" s="17"/>
      <c r="EO269" s="176"/>
      <c r="EP269" s="1633"/>
      <c r="EQ269" s="303"/>
      <c r="ER269" s="46"/>
    </row>
    <row r="270" spans="1:148" ht="10.199999999999999" customHeight="1">
      <c r="A270" s="43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709"/>
      <c r="R270" s="176"/>
      <c r="S270" s="176"/>
      <c r="T270" s="352"/>
      <c r="U270" s="176"/>
      <c r="V270" s="176"/>
      <c r="W270" s="176"/>
      <c r="X270" s="709"/>
      <c r="Y270" s="176"/>
      <c r="Z270" s="176"/>
      <c r="AA270" s="352"/>
      <c r="AB270" s="176"/>
      <c r="AC270" s="176"/>
      <c r="AD270" s="176"/>
      <c r="AE270" s="709"/>
      <c r="AF270" s="176"/>
      <c r="AG270" s="176"/>
      <c r="AH270" s="352"/>
      <c r="AI270" s="176"/>
      <c r="AJ270" s="176"/>
      <c r="AK270" s="176"/>
      <c r="AL270" s="709"/>
      <c r="AM270" s="176"/>
      <c r="AN270" s="176"/>
      <c r="AO270" s="352"/>
      <c r="AP270" s="176"/>
      <c r="AQ270" s="176"/>
      <c r="AR270" s="176"/>
      <c r="AS270" s="709"/>
      <c r="AT270" s="176"/>
      <c r="AU270" s="176"/>
      <c r="AV270" s="352"/>
      <c r="AW270" s="176"/>
      <c r="AX270" s="176"/>
      <c r="AY270" s="176"/>
      <c r="AZ270" s="709"/>
      <c r="BA270" s="176"/>
      <c r="BB270" s="176"/>
      <c r="BC270" s="352"/>
      <c r="BD270" s="176"/>
      <c r="BE270" s="176"/>
      <c r="BF270" s="176"/>
      <c r="BG270" s="709"/>
      <c r="BH270" s="176"/>
      <c r="BI270" s="176"/>
      <c r="BJ270" s="352"/>
      <c r="BK270" s="176"/>
      <c r="BL270" s="176"/>
      <c r="BM270" s="176"/>
      <c r="BN270" s="709"/>
      <c r="BO270" s="176"/>
      <c r="BP270" s="176"/>
      <c r="BQ270" s="352"/>
      <c r="BR270" s="176"/>
      <c r="BS270" s="176"/>
      <c r="BT270" s="176"/>
      <c r="BU270" s="709"/>
      <c r="BV270" s="176"/>
      <c r="BW270" s="176"/>
      <c r="BX270" s="352"/>
      <c r="BY270" s="176"/>
      <c r="BZ270" s="176"/>
      <c r="CA270" s="176"/>
      <c r="CB270" s="709"/>
      <c r="CC270" s="176"/>
      <c r="CD270" s="176"/>
      <c r="CE270" s="352"/>
      <c r="CF270" s="176"/>
      <c r="CG270" s="176"/>
      <c r="CH270" s="176"/>
      <c r="CI270" s="709"/>
      <c r="CJ270" s="176"/>
      <c r="CK270" s="176"/>
      <c r="CL270" s="352"/>
      <c r="CM270" s="176"/>
      <c r="CN270" s="176"/>
      <c r="CO270" s="176"/>
      <c r="CP270" s="709"/>
      <c r="CQ270" s="176"/>
      <c r="CR270" s="176"/>
      <c r="CS270" s="352"/>
      <c r="CT270" s="176"/>
      <c r="CU270" s="176"/>
      <c r="CV270" s="176"/>
      <c r="CW270" s="709"/>
      <c r="CX270" s="176"/>
      <c r="CY270" s="176"/>
      <c r="CZ270" s="1643"/>
      <c r="DA270" s="872"/>
      <c r="DB270" s="324"/>
      <c r="DC270" s="872"/>
      <c r="DD270" s="709"/>
      <c r="DE270" s="872"/>
      <c r="DF270" s="176"/>
      <c r="DG270" s="352"/>
      <c r="DH270" s="593"/>
      <c r="DI270" s="324"/>
      <c r="DJ270" s="872"/>
      <c r="DK270" s="709"/>
      <c r="DL270" s="872"/>
      <c r="DM270" s="176"/>
      <c r="DN270" s="1643"/>
      <c r="DO270" s="872"/>
      <c r="DP270" s="324"/>
      <c r="DQ270" s="872"/>
      <c r="DR270" s="709"/>
      <c r="DS270" s="872"/>
      <c r="DT270" s="176"/>
      <c r="DU270" s="1643"/>
      <c r="DV270" s="872"/>
      <c r="DW270" s="324"/>
      <c r="DX270" s="872"/>
      <c r="DY270" s="709"/>
      <c r="DZ270" s="872"/>
      <c r="EA270" s="176"/>
      <c r="EB270" s="1643"/>
      <c r="EC270" s="872"/>
      <c r="ED270" s="324"/>
      <c r="EE270" s="872"/>
      <c r="EF270" s="709"/>
      <c r="EG270" s="872"/>
      <c r="EH270" s="176"/>
      <c r="EI270" s="1643"/>
      <c r="EJ270" s="872"/>
      <c r="EK270" s="324"/>
      <c r="EL270" s="872"/>
      <c r="EM270" s="709"/>
      <c r="EN270" s="872"/>
      <c r="EO270" s="176"/>
      <c r="EP270" s="1643"/>
      <c r="EQ270" s="303"/>
      <c r="ER270" s="46"/>
    </row>
    <row r="271" spans="1:148" ht="10.199999999999999" customHeight="1">
      <c r="A271" s="48" t="s">
        <v>254</v>
      </c>
      <c r="B271" s="48"/>
      <c r="C271" s="120"/>
      <c r="D271" s="120"/>
      <c r="E271" s="120"/>
      <c r="F271" s="126"/>
      <c r="G271" s="126"/>
      <c r="H271" s="92"/>
      <c r="I271" s="92"/>
      <c r="J271" s="92"/>
      <c r="K271" s="92"/>
      <c r="L271" s="92"/>
      <c r="M271" s="92"/>
      <c r="N271" s="92"/>
      <c r="O271" s="92"/>
      <c r="P271" s="92"/>
      <c r="Q271" s="699"/>
      <c r="R271" s="92"/>
      <c r="S271" s="92"/>
      <c r="T271" s="1289"/>
      <c r="U271" s="92"/>
      <c r="V271" s="92"/>
      <c r="W271" s="92"/>
      <c r="X271" s="699"/>
      <c r="Y271" s="92"/>
      <c r="Z271" s="92"/>
      <c r="AA271" s="1289"/>
      <c r="AB271" s="92"/>
      <c r="AC271" s="92"/>
      <c r="AD271" s="92"/>
      <c r="AE271" s="699"/>
      <c r="AF271" s="92"/>
      <c r="AG271" s="92"/>
      <c r="AH271" s="1289"/>
      <c r="AI271" s="92"/>
      <c r="AJ271" s="92"/>
      <c r="AK271" s="92"/>
      <c r="AL271" s="699"/>
      <c r="AM271" s="92"/>
      <c r="AN271" s="92"/>
      <c r="AO271" s="1289"/>
      <c r="AP271" s="92"/>
      <c r="AQ271" s="92"/>
      <c r="AR271" s="92"/>
      <c r="AS271" s="699"/>
      <c r="AT271" s="92"/>
      <c r="AU271" s="92"/>
      <c r="AV271" s="1289"/>
      <c r="AW271" s="92"/>
      <c r="AX271" s="92"/>
      <c r="AY271" s="92"/>
      <c r="AZ271" s="699"/>
      <c r="BA271" s="92"/>
      <c r="BB271" s="92"/>
      <c r="BC271" s="1289"/>
      <c r="BD271" s="92"/>
      <c r="BE271" s="92"/>
      <c r="BF271" s="92"/>
      <c r="BG271" s="699"/>
      <c r="BH271" s="92"/>
      <c r="BI271" s="92"/>
      <c r="BJ271" s="1289"/>
      <c r="BK271" s="92"/>
      <c r="BL271" s="92"/>
      <c r="BM271" s="92"/>
      <c r="BN271" s="699"/>
      <c r="BO271" s="92"/>
      <c r="BP271" s="92"/>
      <c r="BQ271" s="1289"/>
      <c r="BR271" s="92"/>
      <c r="BS271" s="92"/>
      <c r="BT271" s="92"/>
      <c r="BU271" s="699"/>
      <c r="BV271" s="92"/>
      <c r="BW271" s="92"/>
      <c r="BX271" s="1289"/>
      <c r="BY271" s="92"/>
      <c r="BZ271" s="92"/>
      <c r="CA271" s="92"/>
      <c r="CB271" s="699"/>
      <c r="CC271" s="92"/>
      <c r="CD271" s="92"/>
      <c r="CE271" s="1289"/>
      <c r="CF271" s="92"/>
      <c r="CG271" s="92"/>
      <c r="CH271" s="92"/>
      <c r="CI271" s="699"/>
      <c r="CJ271" s="92"/>
      <c r="CK271" s="92"/>
      <c r="CL271" s="1289"/>
      <c r="CM271" s="92"/>
      <c r="CN271" s="92"/>
      <c r="CO271" s="92"/>
      <c r="CP271" s="699"/>
      <c r="CQ271" s="92"/>
      <c r="CR271" s="92"/>
      <c r="CS271" s="1289"/>
      <c r="CT271" s="92"/>
      <c r="CU271" s="92"/>
      <c r="CV271" s="92"/>
      <c r="CW271" s="699"/>
      <c r="CX271" s="92"/>
      <c r="CY271" s="92"/>
      <c r="CZ271" s="1268"/>
      <c r="DA271" s="319"/>
      <c r="DB271" s="622"/>
      <c r="DC271" s="319"/>
      <c r="DD271" s="699"/>
      <c r="DE271" s="319"/>
      <c r="DF271" s="92"/>
      <c r="DG271" s="1289"/>
      <c r="DH271" s="319"/>
      <c r="DI271" s="622"/>
      <c r="DJ271" s="319"/>
      <c r="DK271" s="699"/>
      <c r="DL271" s="319"/>
      <c r="DM271" s="92"/>
      <c r="DN271" s="1268"/>
      <c r="DO271" s="319"/>
      <c r="DP271" s="622"/>
      <c r="DQ271" s="319"/>
      <c r="DR271" s="699"/>
      <c r="DS271" s="319"/>
      <c r="DT271" s="92"/>
      <c r="DU271" s="1268"/>
      <c r="DV271" s="319"/>
      <c r="DW271" s="622"/>
      <c r="DX271" s="319"/>
      <c r="DY271" s="699"/>
      <c r="DZ271" s="319"/>
      <c r="EA271" s="92"/>
      <c r="EB271" s="1268"/>
      <c r="EC271" s="319"/>
      <c r="ED271" s="622"/>
      <c r="EE271" s="319"/>
      <c r="EF271" s="699"/>
      <c r="EG271" s="319"/>
      <c r="EH271" s="92"/>
      <c r="EI271" s="1268"/>
      <c r="EJ271" s="319"/>
      <c r="EK271" s="622"/>
      <c r="EL271" s="319"/>
      <c r="EM271" s="699"/>
      <c r="EN271" s="319"/>
      <c r="EO271" s="92"/>
      <c r="EP271" s="1268"/>
      <c r="EQ271" s="303"/>
      <c r="ER271" s="46"/>
    </row>
    <row r="272" spans="1:148" ht="10.199999999999999" customHeight="1">
      <c r="A272" s="43"/>
      <c r="B272" s="108"/>
      <c r="C272" s="203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1277"/>
      <c r="R272" s="251"/>
      <c r="S272" s="251"/>
      <c r="T272" s="1295"/>
      <c r="U272" s="251"/>
      <c r="V272" s="251"/>
      <c r="W272" s="251"/>
      <c r="X272" s="1277"/>
      <c r="Y272" s="251"/>
      <c r="Z272" s="251"/>
      <c r="AA272" s="1295"/>
      <c r="AB272" s="251"/>
      <c r="AC272" s="251"/>
      <c r="AD272" s="251"/>
      <c r="AE272" s="1277"/>
      <c r="AF272" s="251"/>
      <c r="AG272" s="251"/>
      <c r="AH272" s="1295"/>
      <c r="AI272" s="251"/>
      <c r="AJ272" s="251"/>
      <c r="AK272" s="251"/>
      <c r="AL272" s="1277"/>
      <c r="AM272" s="251"/>
      <c r="AN272" s="251"/>
      <c r="AO272" s="1295"/>
      <c r="AP272" s="251"/>
      <c r="AQ272" s="251"/>
      <c r="AR272" s="251"/>
      <c r="AS272" s="1277"/>
      <c r="AT272" s="251"/>
      <c r="AU272" s="251"/>
      <c r="AV272" s="1295"/>
      <c r="AW272" s="251"/>
      <c r="AX272" s="251"/>
      <c r="AY272" s="251"/>
      <c r="AZ272" s="1277"/>
      <c r="BA272" s="251"/>
      <c r="BB272" s="251"/>
      <c r="BC272" s="1295"/>
      <c r="BD272" s="251"/>
      <c r="BE272" s="251"/>
      <c r="BF272" s="251"/>
      <c r="BG272" s="1277"/>
      <c r="BH272" s="251"/>
      <c r="BI272" s="251"/>
      <c r="BJ272" s="1295"/>
      <c r="BK272" s="251"/>
      <c r="BL272" s="251"/>
      <c r="BM272" s="251"/>
      <c r="BN272" s="1277"/>
      <c r="BO272" s="251"/>
      <c r="BP272" s="251"/>
      <c r="BQ272" s="1295"/>
      <c r="BR272" s="251"/>
      <c r="BS272" s="251"/>
      <c r="BT272" s="251"/>
      <c r="BU272" s="1277"/>
      <c r="BV272" s="251"/>
      <c r="BW272" s="251"/>
      <c r="BX272" s="1295"/>
      <c r="BY272" s="251"/>
      <c r="BZ272" s="251"/>
      <c r="CA272" s="251"/>
      <c r="CB272" s="1277"/>
      <c r="CC272" s="251"/>
      <c r="CD272" s="251"/>
      <c r="CE272" s="1295"/>
      <c r="CF272" s="251"/>
      <c r="CG272" s="251"/>
      <c r="CH272" s="251"/>
      <c r="CI272" s="1277"/>
      <c r="CJ272" s="251"/>
      <c r="CK272" s="251"/>
      <c r="CL272" s="1295"/>
      <c r="CM272" s="251"/>
      <c r="CN272" s="251"/>
      <c r="CO272" s="251"/>
      <c r="CP272" s="1277"/>
      <c r="CQ272" s="251"/>
      <c r="CR272" s="251"/>
      <c r="CS272" s="1295"/>
      <c r="CT272" s="251"/>
      <c r="CU272" s="251"/>
      <c r="CV272" s="251"/>
      <c r="CW272" s="1277"/>
      <c r="CX272" s="251"/>
      <c r="CY272" s="251"/>
      <c r="CZ272" s="1502"/>
      <c r="DA272" s="873"/>
      <c r="DB272" s="251"/>
      <c r="DC272" s="873"/>
      <c r="DD272" s="1277"/>
      <c r="DE272" s="873"/>
      <c r="DF272" s="251"/>
      <c r="DG272" s="1295"/>
      <c r="DH272" s="809"/>
      <c r="DI272" s="251"/>
      <c r="DJ272" s="873"/>
      <c r="DK272" s="1277"/>
      <c r="DL272" s="873"/>
      <c r="DM272" s="251"/>
      <c r="DN272" s="1502"/>
      <c r="DO272" s="873"/>
      <c r="DP272" s="449"/>
      <c r="DQ272" s="873"/>
      <c r="DR272" s="1277"/>
      <c r="DS272" s="873"/>
      <c r="DT272" s="251"/>
      <c r="DU272" s="1502"/>
      <c r="DV272" s="873"/>
      <c r="DW272" s="449"/>
      <c r="DX272" s="873"/>
      <c r="DY272" s="1277"/>
      <c r="DZ272" s="873"/>
      <c r="EA272" s="251"/>
      <c r="EB272" s="1502"/>
      <c r="EC272" s="873"/>
      <c r="ED272" s="449"/>
      <c r="EE272" s="873"/>
      <c r="EF272" s="1277"/>
      <c r="EG272" s="873"/>
      <c r="EH272" s="251"/>
      <c r="EI272" s="1502"/>
      <c r="EJ272" s="873"/>
      <c r="EK272" s="449"/>
      <c r="EL272" s="873"/>
      <c r="EM272" s="1277"/>
      <c r="EN272" s="873"/>
      <c r="EO272" s="251"/>
      <c r="EP272" s="1502"/>
      <c r="EQ272" s="303"/>
      <c r="ER272" s="46"/>
    </row>
    <row r="273" spans="1:148" ht="10.199999999999999" customHeight="1">
      <c r="A273" s="108" t="s">
        <v>254</v>
      </c>
      <c r="B273" s="135">
        <f t="shared" ref="B273:CL273" si="1984">B41</f>
        <v>3469</v>
      </c>
      <c r="C273" s="135">
        <f t="shared" si="1984"/>
        <v>4265</v>
      </c>
      <c r="D273" s="135">
        <f t="shared" si="1984"/>
        <v>4851</v>
      </c>
      <c r="E273" s="135">
        <f t="shared" si="1984"/>
        <v>5119</v>
      </c>
      <c r="F273" s="135">
        <f t="shared" si="1984"/>
        <v>4950</v>
      </c>
      <c r="G273" s="135">
        <f t="shared" si="1984"/>
        <v>5029</v>
      </c>
      <c r="H273" s="135">
        <f t="shared" si="1984"/>
        <v>4854</v>
      </c>
      <c r="I273" s="135">
        <f t="shared" si="1984"/>
        <v>4563</v>
      </c>
      <c r="J273" s="135">
        <f t="shared" si="1984"/>
        <v>4882</v>
      </c>
      <c r="K273" s="135">
        <f t="shared" si="1984"/>
        <v>5968</v>
      </c>
      <c r="L273" s="135">
        <f t="shared" si="1984"/>
        <v>5526</v>
      </c>
      <c r="M273" s="135">
        <f t="shared" si="1984"/>
        <v>5754</v>
      </c>
      <c r="N273" s="135"/>
      <c r="O273" s="135"/>
      <c r="P273" s="135"/>
      <c r="Q273" s="961"/>
      <c r="R273" s="135"/>
      <c r="S273" s="135"/>
      <c r="T273" s="948">
        <f t="shared" si="1984"/>
        <v>5907</v>
      </c>
      <c r="U273" s="135">
        <f t="shared" si="1984"/>
        <v>5907</v>
      </c>
      <c r="V273" s="135">
        <f t="shared" si="1984"/>
        <v>5907</v>
      </c>
      <c r="W273" s="135">
        <f t="shared" si="1984"/>
        <v>5907</v>
      </c>
      <c r="X273" s="961">
        <f t="shared" si="1984"/>
        <v>6020</v>
      </c>
      <c r="Y273" s="135">
        <f t="shared" ref="Y273:Z273" si="1985">Y41</f>
        <v>5907</v>
      </c>
      <c r="Z273" s="135">
        <f t="shared" si="1985"/>
        <v>6020</v>
      </c>
      <c r="AA273" s="948">
        <f t="shared" si="1984"/>
        <v>6020</v>
      </c>
      <c r="AB273" s="135">
        <f t="shared" ref="AB273:AE273" si="1986">AB41</f>
        <v>6020</v>
      </c>
      <c r="AC273" s="135">
        <f t="shared" si="1986"/>
        <v>6487</v>
      </c>
      <c r="AD273" s="135">
        <f t="shared" si="1986"/>
        <v>6454</v>
      </c>
      <c r="AE273" s="961">
        <f t="shared" si="1986"/>
        <v>6716</v>
      </c>
      <c r="AF273" s="135">
        <f t="shared" ref="AF273:AG273" si="1987">AF41</f>
        <v>6487</v>
      </c>
      <c r="AG273" s="135">
        <f t="shared" si="1987"/>
        <v>6716</v>
      </c>
      <c r="AH273" s="948">
        <f t="shared" si="1984"/>
        <v>6716</v>
      </c>
      <c r="AI273" s="135">
        <f t="shared" si="1984"/>
        <v>6573</v>
      </c>
      <c r="AJ273" s="135">
        <f t="shared" si="1984"/>
        <v>6466</v>
      </c>
      <c r="AK273" s="135">
        <f t="shared" si="1984"/>
        <v>6427</v>
      </c>
      <c r="AL273" s="961">
        <f t="shared" si="1984"/>
        <v>6340</v>
      </c>
      <c r="AM273" s="135">
        <f t="shared" ref="AM273:AN273" si="1988">AM41</f>
        <v>6466</v>
      </c>
      <c r="AN273" s="135">
        <f t="shared" si="1988"/>
        <v>6340</v>
      </c>
      <c r="AO273" s="948">
        <f t="shared" si="1984"/>
        <v>6340</v>
      </c>
      <c r="AP273" s="135">
        <f t="shared" ref="AP273:AS273" si="1989">AP41</f>
        <v>6610</v>
      </c>
      <c r="AQ273" s="135">
        <f t="shared" si="1989"/>
        <v>6564</v>
      </c>
      <c r="AR273" s="135">
        <f t="shared" si="1989"/>
        <v>6569</v>
      </c>
      <c r="AS273" s="961">
        <f t="shared" si="1989"/>
        <v>5537</v>
      </c>
      <c r="AT273" s="135">
        <f t="shared" ref="AT273:AU273" si="1990">AT41</f>
        <v>6564</v>
      </c>
      <c r="AU273" s="135">
        <f t="shared" si="1990"/>
        <v>5537</v>
      </c>
      <c r="AV273" s="948">
        <f t="shared" si="1984"/>
        <v>5537</v>
      </c>
      <c r="AW273" s="135"/>
      <c r="AX273" s="135"/>
      <c r="AY273" s="135"/>
      <c r="AZ273" s="961"/>
      <c r="BA273" s="135"/>
      <c r="BB273" s="135"/>
      <c r="BC273" s="948">
        <f t="shared" si="1984"/>
        <v>5537</v>
      </c>
      <c r="BD273" s="135">
        <f t="shared" si="1984"/>
        <v>5527</v>
      </c>
      <c r="BE273" s="135">
        <f t="shared" si="1984"/>
        <v>5359</v>
      </c>
      <c r="BF273" s="135">
        <f t="shared" si="1984"/>
        <v>5752</v>
      </c>
      <c r="BG273" s="961">
        <f t="shared" si="1984"/>
        <v>4233</v>
      </c>
      <c r="BH273" s="135">
        <f t="shared" ref="BH273:BI273" si="1991">BH41</f>
        <v>5359</v>
      </c>
      <c r="BI273" s="135">
        <f t="shared" si="1991"/>
        <v>4233</v>
      </c>
      <c r="BJ273" s="948">
        <f t="shared" si="1984"/>
        <v>4233</v>
      </c>
      <c r="BK273" s="135">
        <f t="shared" ref="BK273:BN273" si="1992">BK41</f>
        <v>2994</v>
      </c>
      <c r="BL273" s="135">
        <f t="shared" si="1992"/>
        <v>3658</v>
      </c>
      <c r="BM273" s="135">
        <f t="shared" si="1992"/>
        <v>3816</v>
      </c>
      <c r="BN273" s="961">
        <f t="shared" si="1992"/>
        <v>3725</v>
      </c>
      <c r="BO273" s="135">
        <f t="shared" ref="BO273:BP273" si="1993">BO41</f>
        <v>3658</v>
      </c>
      <c r="BP273" s="135">
        <f t="shared" si="1993"/>
        <v>3725</v>
      </c>
      <c r="BQ273" s="948">
        <f t="shared" si="1984"/>
        <v>3725</v>
      </c>
      <c r="BR273" s="135">
        <f t="shared" si="1984"/>
        <v>3520</v>
      </c>
      <c r="BS273" s="135">
        <f t="shared" si="1984"/>
        <v>3481</v>
      </c>
      <c r="BT273" s="135">
        <f t="shared" si="1984"/>
        <v>3779</v>
      </c>
      <c r="BU273" s="961">
        <f t="shared" si="1984"/>
        <v>3712</v>
      </c>
      <c r="BV273" s="135">
        <f t="shared" ref="BV273:BW273" si="1994">BV41</f>
        <v>3481</v>
      </c>
      <c r="BW273" s="135">
        <f t="shared" si="1994"/>
        <v>3712</v>
      </c>
      <c r="BX273" s="948">
        <f t="shared" si="1984"/>
        <v>3712</v>
      </c>
      <c r="BY273" s="135">
        <f t="shared" ref="BY273:CB273" si="1995">BY41</f>
        <v>3730</v>
      </c>
      <c r="BZ273" s="135">
        <f t="shared" si="1995"/>
        <v>3747</v>
      </c>
      <c r="CA273" s="135">
        <f t="shared" si="1995"/>
        <v>3751</v>
      </c>
      <c r="CB273" s="961">
        <f t="shared" si="1995"/>
        <v>3730</v>
      </c>
      <c r="CC273" s="135">
        <f t="shared" ref="CC273:CD273" si="1996">CC41</f>
        <v>3747</v>
      </c>
      <c r="CD273" s="135">
        <f t="shared" si="1996"/>
        <v>3730</v>
      </c>
      <c r="CE273" s="948">
        <f t="shared" si="1984"/>
        <v>3730</v>
      </c>
      <c r="CF273" s="135">
        <f t="shared" si="1984"/>
        <v>3742</v>
      </c>
      <c r="CG273" s="135">
        <f t="shared" si="1984"/>
        <v>3772</v>
      </c>
      <c r="CH273" s="135">
        <f t="shared" si="1984"/>
        <v>3782</v>
      </c>
      <c r="CI273" s="961">
        <f t="shared" si="1984"/>
        <v>3717</v>
      </c>
      <c r="CJ273" s="135">
        <f t="shared" ref="CJ273:CK273" si="1997">CJ41</f>
        <v>3772</v>
      </c>
      <c r="CK273" s="135">
        <f t="shared" si="1997"/>
        <v>3717</v>
      </c>
      <c r="CL273" s="948">
        <f t="shared" si="1984"/>
        <v>3717</v>
      </c>
      <c r="CM273" s="135">
        <f t="shared" ref="CM273:CP273" si="1998">CM41</f>
        <v>3709</v>
      </c>
      <c r="CN273" s="135">
        <f t="shared" si="1998"/>
        <v>3719</v>
      </c>
      <c r="CO273" s="135">
        <f t="shared" si="1998"/>
        <v>3722</v>
      </c>
      <c r="CP273" s="961">
        <f t="shared" si="1998"/>
        <v>3671</v>
      </c>
      <c r="CQ273" s="135">
        <f t="shared" ref="CQ273:CR273" si="1999">CQ41</f>
        <v>3719</v>
      </c>
      <c r="CR273" s="135">
        <f t="shared" si="1999"/>
        <v>3671</v>
      </c>
      <c r="CS273" s="948">
        <f t="shared" ref="CS273:CT273" si="2000">CS41</f>
        <v>3671</v>
      </c>
      <c r="CT273" s="135">
        <f t="shared" si="2000"/>
        <v>3660</v>
      </c>
      <c r="CU273" s="135">
        <f t="shared" ref="CU273:CW273" si="2001">CU41</f>
        <v>3683</v>
      </c>
      <c r="CV273" s="135">
        <f t="shared" si="2001"/>
        <v>3684</v>
      </c>
      <c r="CW273" s="961">
        <f t="shared" si="2001"/>
        <v>3698</v>
      </c>
      <c r="CX273" s="135">
        <f t="shared" ref="CX273:DB273" si="2002">CX41</f>
        <v>3683</v>
      </c>
      <c r="CY273" s="135">
        <f t="shared" si="2002"/>
        <v>3698</v>
      </c>
      <c r="CZ273" s="948">
        <f t="shared" si="2002"/>
        <v>3698</v>
      </c>
      <c r="DA273" s="135">
        <f t="shared" si="2002"/>
        <v>3694</v>
      </c>
      <c r="DB273" s="135">
        <f t="shared" si="2002"/>
        <v>3658</v>
      </c>
      <c r="DC273" s="865">
        <f>DG273</f>
        <v>3620</v>
      </c>
      <c r="DD273" s="961">
        <f t="shared" ref="DD273:DE273" si="2003">DD41</f>
        <v>3620</v>
      </c>
      <c r="DE273" s="135">
        <f t="shared" si="2003"/>
        <v>3658</v>
      </c>
      <c r="DF273" s="135">
        <f t="shared" ref="DF273:DI273" si="2004">DF41</f>
        <v>3620</v>
      </c>
      <c r="DG273" s="948">
        <f t="shared" si="2004"/>
        <v>3620</v>
      </c>
      <c r="DH273" s="865">
        <f t="shared" si="2004"/>
        <v>3611</v>
      </c>
      <c r="DI273" s="135">
        <f t="shared" si="2004"/>
        <v>3608</v>
      </c>
      <c r="DJ273" s="897">
        <f>DN273</f>
        <v>3620</v>
      </c>
      <c r="DK273" s="443">
        <f t="shared" ref="DK273:DL273" si="2005">DK41</f>
        <v>3620</v>
      </c>
      <c r="DL273" s="135">
        <f t="shared" si="2005"/>
        <v>3608</v>
      </c>
      <c r="DM273" s="442">
        <f t="shared" ref="DM273" si="2006">DM41</f>
        <v>3620</v>
      </c>
      <c r="DN273" s="1116">
        <f>DG273</f>
        <v>3620</v>
      </c>
      <c r="DO273" s="897">
        <f>DU273</f>
        <v>3620</v>
      </c>
      <c r="DP273" s="442">
        <f t="shared" ref="DP273" si="2007">DP41</f>
        <v>3620</v>
      </c>
      <c r="DQ273" s="897">
        <f>DU273</f>
        <v>3620</v>
      </c>
      <c r="DR273" s="443">
        <f t="shared" ref="DR273" si="2008">DR41</f>
        <v>3620</v>
      </c>
      <c r="DS273" s="897">
        <f>DU273</f>
        <v>3620</v>
      </c>
      <c r="DT273" s="442">
        <f t="shared" ref="DT273" si="2009">DT41</f>
        <v>3620</v>
      </c>
      <c r="DU273" s="1116">
        <f>DN273</f>
        <v>3620</v>
      </c>
      <c r="DV273" s="897">
        <f>EB273</f>
        <v>3620</v>
      </c>
      <c r="DW273" s="442">
        <f t="shared" ref="DW273" si="2010">DW41</f>
        <v>3620</v>
      </c>
      <c r="DX273" s="897">
        <f>EB273</f>
        <v>3620</v>
      </c>
      <c r="DY273" s="443">
        <f t="shared" ref="DY273" si="2011">DY41</f>
        <v>3620</v>
      </c>
      <c r="DZ273" s="897">
        <f>EB273</f>
        <v>3620</v>
      </c>
      <c r="EA273" s="442">
        <f t="shared" ref="EA273" si="2012">EA41</f>
        <v>3620</v>
      </c>
      <c r="EB273" s="1116">
        <f>DU273</f>
        <v>3620</v>
      </c>
      <c r="EC273" s="897">
        <f>EI273</f>
        <v>3620</v>
      </c>
      <c r="ED273" s="442">
        <f t="shared" ref="ED273" si="2013">ED41</f>
        <v>3620</v>
      </c>
      <c r="EE273" s="897">
        <f>EI273</f>
        <v>3620</v>
      </c>
      <c r="EF273" s="443">
        <f t="shared" ref="EF273" si="2014">EF41</f>
        <v>3620</v>
      </c>
      <c r="EG273" s="897">
        <f>EI273</f>
        <v>3620</v>
      </c>
      <c r="EH273" s="442">
        <f t="shared" ref="EH273" si="2015">EH41</f>
        <v>3620</v>
      </c>
      <c r="EI273" s="1116">
        <f>EB273</f>
        <v>3620</v>
      </c>
      <c r="EJ273" s="897">
        <f>EP273</f>
        <v>3620</v>
      </c>
      <c r="EK273" s="442">
        <f t="shared" ref="EK273" si="2016">EK41</f>
        <v>3620</v>
      </c>
      <c r="EL273" s="897">
        <f>EP273</f>
        <v>3620</v>
      </c>
      <c r="EM273" s="443">
        <f t="shared" ref="EM273" si="2017">EM41</f>
        <v>3620</v>
      </c>
      <c r="EN273" s="897">
        <f>EP273</f>
        <v>3620</v>
      </c>
      <c r="EO273" s="442">
        <f t="shared" ref="EO273" si="2018">EO41</f>
        <v>3620</v>
      </c>
      <c r="EP273" s="1116">
        <f t="shared" ref="EP273" si="2019">EI273</f>
        <v>3620</v>
      </c>
      <c r="EQ273" s="303"/>
      <c r="ER273" s="46"/>
    </row>
    <row r="274" spans="1:148" ht="10.199999999999999" customHeight="1">
      <c r="A274" s="908" t="s">
        <v>801</v>
      </c>
      <c r="B274" s="825"/>
      <c r="C274" s="825">
        <f>C273/IS!C8</f>
        <v>0.14263736998762583</v>
      </c>
      <c r="D274" s="825">
        <f>D273/IS!D8</f>
        <v>0.16098629409617363</v>
      </c>
      <c r="E274" s="825">
        <f>E273/IS!E8</f>
        <v>0.16117250716287271</v>
      </c>
      <c r="F274" s="825">
        <f>F273/IS!F8</f>
        <v>0.14471145413085423</v>
      </c>
      <c r="G274" s="825">
        <f>G273/IS!G8</f>
        <v>0.1275295430339301</v>
      </c>
      <c r="H274" s="825">
        <f>H273/IS!H8</f>
        <v>0.124070240012269</v>
      </c>
      <c r="I274" s="825">
        <f>I273/IS!I8</f>
        <v>0.10546631226164337</v>
      </c>
      <c r="J274" s="825">
        <f>J273/IS!J8</f>
        <v>0.1140068189248517</v>
      </c>
      <c r="K274" s="825">
        <f>K273/IS!K8</f>
        <v>0.13044238503234831</v>
      </c>
      <c r="L274" s="825">
        <f>L273/IS!L8</f>
        <v>0.11248168050806058</v>
      </c>
      <c r="M274" s="825">
        <f>M273/IS!M8</f>
        <v>0.10187677053824362</v>
      </c>
      <c r="N274" s="1445"/>
      <c r="O274" s="1445"/>
      <c r="P274" s="1445"/>
      <c r="Q274" s="1593"/>
      <c r="R274" s="1445"/>
      <c r="S274" s="1445"/>
      <c r="T274" s="1611">
        <f>T273/IS!T8</f>
        <v>0.10261087081140237</v>
      </c>
      <c r="U274" s="1445">
        <f>U273/IS!U8/4</f>
        <v>0.11675759013282733</v>
      </c>
      <c r="V274" s="1445">
        <f>V273/IS!V8/4</f>
        <v>0.10148089609675646</v>
      </c>
      <c r="W274" s="1445">
        <f>W273/IS!W8/4</f>
        <v>0.11105888546288636</v>
      </c>
      <c r="X274" s="1593">
        <f>X273/IS!X8/4</f>
        <v>7.4445983379501382E-2</v>
      </c>
      <c r="Y274" s="1445">
        <f>Y273/IS!Y8/2</f>
        <v>0.10858455882352941</v>
      </c>
      <c r="Z274" s="1445">
        <f>Z273/IS!Z8/2</f>
        <v>8.9815892340285863E-2</v>
      </c>
      <c r="AA274" s="1611">
        <f>AA273/IS!AA8</f>
        <v>9.9155040930278521E-2</v>
      </c>
      <c r="AB274" s="1445">
        <f>AB273/IS!AB8/4</f>
        <v>0.12460672296737871</v>
      </c>
      <c r="AC274" s="1445">
        <f>AC273/IS!AC8/4</f>
        <v>9.6446625037169192E-2</v>
      </c>
      <c r="AD274" s="1445">
        <f>AD273/IS!AD8/4</f>
        <v>0.11466031836270608</v>
      </c>
      <c r="AE274" s="1593">
        <f>AE273/IS!AE8/4</f>
        <v>7.8147544798696761E-2</v>
      </c>
      <c r="AF274" s="1445">
        <f>AF273/IS!AF8/2</f>
        <v>0.11225902467725747</v>
      </c>
      <c r="AG274" s="1445">
        <f>AG273/IS!AG8/2</f>
        <v>9.4439913378518994E-2</v>
      </c>
      <c r="AH274" s="1611">
        <f>AH273/IS!AH8</f>
        <v>0.10420480993017843</v>
      </c>
      <c r="AI274" s="1445">
        <f>AI273/IS!AI8/4</f>
        <v>0.13488057128786013</v>
      </c>
      <c r="AJ274" s="1445">
        <f>AJ273/IS!AJ8/4</f>
        <v>9.7544050205165336E-2</v>
      </c>
      <c r="AK274" s="1445">
        <f>AK273/IS!AK8/4</f>
        <v>0.11517921146953405</v>
      </c>
      <c r="AL274" s="1593">
        <f>AL273/IS!AL8/4</f>
        <v>6.6384654045903838E-2</v>
      </c>
      <c r="AM274" s="1445">
        <f>AM273/IS!AM8/2</f>
        <v>0.11243262041384107</v>
      </c>
      <c r="AN274" s="1445">
        <f>AN273/IS!AN8/2</f>
        <v>8.3804790355839903E-2</v>
      </c>
      <c r="AO274" s="1611">
        <f>AO273/IS!AO8</f>
        <v>9.5222360733542608E-2</v>
      </c>
      <c r="AP274" s="1445">
        <f>AP273/IS!AP8/4</f>
        <v>0.12723283030489682</v>
      </c>
      <c r="AQ274" s="1445">
        <f>AQ273/IS!AQ8/4</f>
        <v>0.10438267285796068</v>
      </c>
      <c r="AR274" s="1445">
        <f>AR273/IS!AR8/4</f>
        <v>0.11529415894411682</v>
      </c>
      <c r="AS274" s="1593">
        <f>AS273/IS!AS8/4</f>
        <v>5.8127572016460904E-2</v>
      </c>
      <c r="AT274" s="1445">
        <f>AT273/IS!AT8/2</f>
        <v>0.11431955136020064</v>
      </c>
      <c r="AU274" s="1445">
        <f>AU273/IS!AU8/2</f>
        <v>7.2744232487256297E-2</v>
      </c>
      <c r="AV274" s="1611">
        <f>AV273/IS!AV8</f>
        <v>8.2930190063953746E-2</v>
      </c>
      <c r="AW274" s="1445"/>
      <c r="AX274" s="1445"/>
      <c r="AY274" s="1445"/>
      <c r="AZ274" s="1593"/>
      <c r="BA274" s="1445"/>
      <c r="BB274" s="1445"/>
      <c r="BC274" s="1611">
        <f>BC273/IS!BC8</f>
        <v>9.3812476703602043E-2</v>
      </c>
      <c r="BD274" s="1445">
        <f>BD273/IS!BD8/4</f>
        <v>0.13655005435319695</v>
      </c>
      <c r="BE274" s="1445">
        <f>BE273/IS!BE8/4</f>
        <v>9.0212780284155955E-2</v>
      </c>
      <c r="BF274" s="1445">
        <f>BF273/IS!BF8/4</f>
        <v>9.3068409811662672E-2</v>
      </c>
      <c r="BG274" s="1593">
        <f>BG273/IS!BG8/4</f>
        <v>4.5445761401700591E-2</v>
      </c>
      <c r="BH274" s="1445">
        <f>BH273/IS!BH8/2</f>
        <v>0.10730877052462956</v>
      </c>
      <c r="BI274" s="1445">
        <f>BI273/IS!BI8/2</f>
        <v>5.463768490074089E-2</v>
      </c>
      <c r="BJ274" s="1611">
        <f>BJ273/IS!BJ8</f>
        <v>6.6444817680945581E-2</v>
      </c>
      <c r="BK274" s="1445">
        <f>BK273/IS!BK8/4</f>
        <v>5.9646186947167106E-2</v>
      </c>
      <c r="BL274" s="1445">
        <f>BL273/IS!BL8/4</f>
        <v>4.992629797455915E-2</v>
      </c>
      <c r="BM274" s="1445">
        <f>BM273/IS!BM8/4</f>
        <v>6.2344791530518889E-2</v>
      </c>
      <c r="BN274" s="1593">
        <f>BN273/IS!BN8/4</f>
        <v>3.830728095433978E-2</v>
      </c>
      <c r="BO274" s="1445">
        <f>BO273/IS!BO8/2</f>
        <v>5.9256139441456621E-2</v>
      </c>
      <c r="BP274" s="1445">
        <f>BP273/IS!BP8/2</f>
        <v>4.7018580228213674E-2</v>
      </c>
      <c r="BQ274" s="1611">
        <f>BQ273/IS!BQ8</f>
        <v>5.2853372683674335E-2</v>
      </c>
      <c r="BR274" s="1445">
        <f>BR273/IS!BR8/4</f>
        <v>8.2776784874423859E-2</v>
      </c>
      <c r="BS274" s="1445">
        <f>BS273/IS!BS8/4</f>
        <v>0.10463508476614164</v>
      </c>
      <c r="BT274" s="1445">
        <f>BT273/IS!BT8/4</f>
        <v>8.4254882725408015E-2</v>
      </c>
      <c r="BU274" s="1593">
        <f>BU273/IS!BU8/4</f>
        <v>4.6984962786694347E-2</v>
      </c>
      <c r="BV274" s="1445">
        <f>BV273/IS!BV8/2</f>
        <v>9.1856660333544435E-2</v>
      </c>
      <c r="BW274" s="1445">
        <f>BW273/IS!BW8/2</f>
        <v>5.9940576152951813E-2</v>
      </c>
      <c r="BX274" s="1611">
        <f>BX273/IS!BX8</f>
        <v>7.4370892771277453E-2</v>
      </c>
      <c r="BY274" s="1445">
        <f>BY273/IS!BY8/4</f>
        <v>8.9149139579349904E-2</v>
      </c>
      <c r="BZ274" s="1445">
        <f>BZ273/IS!BZ8/4</f>
        <v>6.607533328630881E-2</v>
      </c>
      <c r="CA274" s="1445">
        <f>CA273/IS!CA8/4</f>
        <v>8.9156683780186347E-2</v>
      </c>
      <c r="CB274" s="1593">
        <f>CB273/IS!CB8/4</f>
        <v>5.4872307873367068E-2</v>
      </c>
      <c r="CC274" s="1445">
        <f>CC273/IS!CC8/2</f>
        <v>7.6044161220927872E-2</v>
      </c>
      <c r="CD274" s="1445">
        <f>CD273/IS!CD8/2</f>
        <v>6.7788601337598134E-2</v>
      </c>
      <c r="CE274" s="1611">
        <f>CE273/IS!CE8</f>
        <v>7.1525820245834051E-2</v>
      </c>
      <c r="CF274" s="1445">
        <f>CF273/IS!CF8/4</f>
        <v>7.7958333333333338E-2</v>
      </c>
      <c r="CG274" s="1445">
        <f>CG273/IS!CG8/4</f>
        <v>7.3614363778298206E-2</v>
      </c>
      <c r="CH274" s="1445">
        <f>CH273/IS!CH8/4</f>
        <v>7.1042151927267261E-2</v>
      </c>
      <c r="CI274" s="1593">
        <f>CI273/IS!CI8/4</f>
        <v>4.5013078860685916E-2</v>
      </c>
      <c r="CJ274" s="1445">
        <f>CJ273/IS!CJ8/2</f>
        <v>7.6017734784361149E-2</v>
      </c>
      <c r="CK274" s="1445">
        <f>CK273/IS!CK8/2</f>
        <v>5.4737431154831678E-2</v>
      </c>
      <c r="CL274" s="1611">
        <f>CL273/IS!CL8</f>
        <v>6.3254088457022281E-2</v>
      </c>
      <c r="CM274" s="1445">
        <f>CM273/IS!CM8/4</f>
        <v>7.8827680013601978E-2</v>
      </c>
      <c r="CN274" s="1445">
        <f>CN273/IS!CN8/4</f>
        <v>5.8474842767295594E-2</v>
      </c>
      <c r="CO274" s="1445">
        <f>CO273/IS!CO8/4</f>
        <v>6.2462240719607973E-2</v>
      </c>
      <c r="CP274" s="1593">
        <f>CP273/IS!CP8/4</f>
        <v>4.0100935069474791E-2</v>
      </c>
      <c r="CQ274" s="1445">
        <f>CQ273/IS!CQ8/2</f>
        <v>6.721975201532733E-2</v>
      </c>
      <c r="CR274" s="1445">
        <f>CR273/IS!CR8/2</f>
        <v>4.8580049228489006E-2</v>
      </c>
      <c r="CS274" s="1611">
        <f>CS273/IS!CS8</f>
        <v>5.6092045350365188E-2</v>
      </c>
      <c r="CT274" s="1445">
        <f>CT273/IS!CT8/4</f>
        <v>7.1317225253312549E-2</v>
      </c>
      <c r="CU274" s="1445">
        <f>CU273/IS!CU8/4</f>
        <v>5.7564864020006254E-2</v>
      </c>
      <c r="CV274" s="1445">
        <f>CV273/IS!CV8/4</f>
        <v>5.8703550258142646E-2</v>
      </c>
      <c r="CW274" s="1593">
        <f>CW273/IS!CW8/4</f>
        <v>3.7404919889949831E-2</v>
      </c>
      <c r="CX274" s="1445">
        <f>CX273/IS!CX8/2</f>
        <v>6.3885516045099747E-2</v>
      </c>
      <c r="CY274" s="1445">
        <f>CY273/IS!CY8/2</f>
        <v>4.5761663160499941E-2</v>
      </c>
      <c r="CZ274" s="1611">
        <f>CZ273/IS!CZ8</f>
        <v>5.3416149068322982E-2</v>
      </c>
      <c r="DA274" s="1445">
        <f>DA273/IS!DA8/4</f>
        <v>6.8195244424752624E-2</v>
      </c>
      <c r="DB274" s="1445">
        <f>DB273/IS!DB8/4</f>
        <v>5.6914363953198904E-2</v>
      </c>
      <c r="DC274" s="1987">
        <f>DC273/IS!DC8/4</f>
        <v>5.0768540334343096E-2</v>
      </c>
      <c r="DD274" s="1593">
        <f>DD273/IS!DD8/4</f>
        <v>3.4829125615763547E-2</v>
      </c>
      <c r="DE274" s="1445">
        <f>DE273/IS!DE8/2</f>
        <v>6.176967240797028E-2</v>
      </c>
      <c r="DF274" s="1445">
        <f>DF273/IS!DF8/2</f>
        <v>4.131476831773568E-2</v>
      </c>
      <c r="DG274" s="1611">
        <f>DG273/IS!DG8</f>
        <v>4.9305366385181147E-2</v>
      </c>
      <c r="DH274" s="1987">
        <f>DH273/IS!DH8/4</f>
        <v>7.135799541538218E-2</v>
      </c>
      <c r="DI274" s="1445">
        <f>DI273/IS!DI8/4</f>
        <v>4.3946406820950058E-2</v>
      </c>
      <c r="DJ274" s="1577">
        <f>DJ273/IS!DJ8/4</f>
        <v>4.6656024175567044E-2</v>
      </c>
      <c r="DK274" s="1702">
        <f>DK273/IS!DK8/4</f>
        <v>3.233891113422243E-2</v>
      </c>
      <c r="DL274" s="1445">
        <f>DL273/IS!DL8/2</f>
        <v>5.4376657824933686E-2</v>
      </c>
      <c r="DM274" s="1701">
        <f>DM273/IS!DM8/2</f>
        <v>3.8200044440135569E-2</v>
      </c>
      <c r="DN274" s="1644">
        <f>DN273/IS!DN8</f>
        <v>4.493648721114616E-2</v>
      </c>
      <c r="DO274" s="1577">
        <f>DO273/IS!DO8/4</f>
        <v>4.4849684482192537E-2</v>
      </c>
      <c r="DP274" s="1701">
        <f>DP273/IS!DP8/4</f>
        <v>4.0640539053364982E-2</v>
      </c>
      <c r="DQ274" s="1577">
        <f>DQ273/IS!DQ8/4</f>
        <v>4.0832199060329172E-2</v>
      </c>
      <c r="DR274" s="1702">
        <f>DR273/IS!DR8/4</f>
        <v>3.6133245513415506E-2</v>
      </c>
      <c r="DS274" s="1577">
        <f>DS273/IS!DS8/2</f>
        <v>4.2641492286460803E-2</v>
      </c>
      <c r="DT274" s="1701">
        <f>DT273/IS!DT8/2</f>
        <v>3.8339280222980297E-2</v>
      </c>
      <c r="DU274" s="1644">
        <f>DU273/IS!DU8</f>
        <v>4.0376105864045102E-2</v>
      </c>
      <c r="DV274" s="1577">
        <f>DV273/IS!DV8/4</f>
        <v>4.1322432329002519E-2</v>
      </c>
      <c r="DW274" s="1701">
        <f>DW273/IS!DW8/4</f>
        <v>3.7420803133481707E-2</v>
      </c>
      <c r="DX274" s="1577">
        <f>DX273/IS!DX8/4</f>
        <v>3.7590647671889021E-2</v>
      </c>
      <c r="DY274" s="1702">
        <f>DY273/IS!DY8/4</f>
        <v>3.296368136551521E-2</v>
      </c>
      <c r="DZ274" s="1577">
        <f>DZ273/IS!DZ8/2</f>
        <v>3.9274957298825713E-2</v>
      </c>
      <c r="EA274" s="1701">
        <f>EA273/IS!EA8/2</f>
        <v>3.5125445853863221E-2</v>
      </c>
      <c r="EB274" s="1644">
        <f>EB273/IS!EB8</f>
        <v>3.7084486845628969E-2</v>
      </c>
      <c r="EC274" s="1577">
        <f>EC273/IS!EC8/4</f>
        <v>3.8519023875957174E-2</v>
      </c>
      <c r="ED274" s="1701">
        <f>ED273/IS!ED8/4</f>
        <v>3.608861986877536E-2</v>
      </c>
      <c r="EE274" s="1577">
        <f>EE273/IS!EE8/4</f>
        <v>3.6254894721129E-2</v>
      </c>
      <c r="EF274" s="1702">
        <f>EF273/IS!EF8/4</f>
        <v>3.1772197351322203E-2</v>
      </c>
      <c r="EG274" s="1577">
        <f>EG273/IS!EG8/2</f>
        <v>3.7264235689626495E-2</v>
      </c>
      <c r="EH274" s="1701">
        <f>EH273/IS!EH8/2</f>
        <v>3.3865850646807284E-2</v>
      </c>
      <c r="EI274" s="1644">
        <f>EI273/IS!EI8</f>
        <v>3.5483860777655515E-2</v>
      </c>
      <c r="EJ274" s="1577">
        <f>EJ273/IS!EJ8/4</f>
        <v>3.7271115511835713E-2</v>
      </c>
      <c r="EK274" s="1701">
        <f>EK273/IS!EK8/4</f>
        <v>3.4883942889622536E-2</v>
      </c>
      <c r="EL274" s="1577">
        <f>EL273/IS!EL8/4</f>
        <v>3.5046321143229496E-2</v>
      </c>
      <c r="EM274" s="1702">
        <f>EM273/IS!EM8/4</f>
        <v>3.0692069961973212E-2</v>
      </c>
      <c r="EN274" s="1577">
        <f>EN273/IS!EN8/2</f>
        <v>3.6038040679380164E-2</v>
      </c>
      <c r="EO274" s="1701">
        <f>EO273/IS!EO8/2</f>
        <v>3.2724991359049292E-2</v>
      </c>
      <c r="EP274" s="1644">
        <f>EP273/IS!EP8</f>
        <v>3.4301703542411709E-2</v>
      </c>
      <c r="EQ274" s="303"/>
      <c r="ER274" s="46"/>
    </row>
    <row r="275" spans="1:148"/>
    <row r="276" spans="1:148"/>
    <row r="277" spans="1:148"/>
    <row r="278" spans="1:148"/>
    <row r="279" spans="1:148"/>
    <row r="280" spans="1:148"/>
    <row r="281" spans="1:148">
      <c r="A281" s="48" t="s">
        <v>937</v>
      </c>
      <c r="CS281" s="230" t="s">
        <v>947</v>
      </c>
      <c r="CT281" s="230" t="s">
        <v>940</v>
      </c>
      <c r="CU281" s="230" t="s">
        <v>941</v>
      </c>
      <c r="CV281" s="230" t="s">
        <v>942</v>
      </c>
      <c r="CW281" s="230" t="s">
        <v>943</v>
      </c>
      <c r="CX281" s="230" t="s">
        <v>944</v>
      </c>
      <c r="CY281" s="230" t="s">
        <v>945</v>
      </c>
      <c r="CZ281" s="163" t="s">
        <v>946</v>
      </c>
      <c r="DA281" s="230" t="s">
        <v>934</v>
      </c>
      <c r="DB281" s="230" t="s">
        <v>935</v>
      </c>
      <c r="DC281" s="230" t="s">
        <v>936</v>
      </c>
      <c r="DD281" s="230" t="s">
        <v>933</v>
      </c>
      <c r="DE281" s="230" t="s">
        <v>932</v>
      </c>
      <c r="DF281" s="230" t="s">
        <v>938</v>
      </c>
      <c r="DG281" s="163" t="s">
        <v>939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theme="3"/>
    <pageSetUpPr fitToPage="1"/>
  </sheetPr>
  <dimension ref="A1:EQ771"/>
  <sheetViews>
    <sheetView showGridLines="0" zoomScaleNormal="100" workbookViewId="0">
      <pane xSplit="1" ySplit="2" topLeftCell="U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8.88671875" defaultRowHeight="10.199999999999999" customHeight="1" outlineLevelRow="2" outlineLevelCol="2"/>
  <cols>
    <col min="1" max="1" width="41.33203125" bestFit="1" customWidth="1"/>
    <col min="2" max="13" width="7.5546875" hidden="1" customWidth="1" outlineLevel="1"/>
    <col min="14" max="14" width="7.5546875" hidden="1" customWidth="1" outlineLevel="1" collapsed="1"/>
    <col min="15" max="18" width="7.5546875" hidden="1" customWidth="1" outlineLevel="2"/>
    <col min="19" max="20" width="7.5546875" hidden="1" customWidth="1" outlineLevel="1"/>
    <col min="21" max="21" width="7.5546875" customWidth="1" collapsed="1"/>
    <col min="22" max="25" width="7.5546875" hidden="1" customWidth="1" outlineLevel="2"/>
    <col min="26" max="27" width="7.5546875" hidden="1" customWidth="1" outlineLevel="1"/>
    <col min="28" max="28" width="7.5546875" customWidth="1" collapsed="1"/>
    <col min="29" max="32" width="7.5546875" hidden="1" customWidth="1" outlineLevel="2"/>
    <col min="33" max="34" width="7.5546875" hidden="1" customWidth="1" outlineLevel="1"/>
    <col min="35" max="35" width="7.5546875" customWidth="1" collapsed="1"/>
    <col min="36" max="39" width="7.5546875" hidden="1" customWidth="1" outlineLevel="2"/>
    <col min="40" max="41" width="7.5546875" hidden="1" customWidth="1" outlineLevel="1"/>
    <col min="42" max="42" width="7.5546875" customWidth="1" collapsed="1"/>
    <col min="43" max="46" width="7.5546875" hidden="1" customWidth="1" outlineLevel="2"/>
    <col min="47" max="48" width="7.5546875" hidden="1" customWidth="1" outlineLevel="1"/>
    <col min="49" max="49" width="7.5546875" customWidth="1" collapsed="1"/>
    <col min="50" max="53" width="7.5546875" hidden="1" customWidth="1" outlineLevel="2"/>
    <col min="54" max="55" width="7.5546875" hidden="1" customWidth="1" outlineLevel="1"/>
    <col min="56" max="56" width="7.5546875" customWidth="1" collapsed="1"/>
    <col min="57" max="60" width="7.5546875" hidden="1" customWidth="1" outlineLevel="2"/>
    <col min="61" max="62" width="7.5546875" hidden="1" customWidth="1" outlineLevel="1"/>
    <col min="63" max="63" width="7.5546875" customWidth="1" collapsed="1"/>
    <col min="64" max="67" width="7.5546875" hidden="1" customWidth="1" outlineLevel="2"/>
    <col min="68" max="69" width="7.5546875" hidden="1" customWidth="1" outlineLevel="1"/>
    <col min="70" max="70" width="7.5546875" customWidth="1" collapsed="1"/>
    <col min="71" max="74" width="7.5546875" hidden="1" customWidth="1" outlineLevel="2"/>
    <col min="75" max="76" width="7.5546875" hidden="1" customWidth="1" outlineLevel="1"/>
    <col min="77" max="77" width="7.5546875" customWidth="1" collapsed="1"/>
    <col min="78" max="81" width="7.5546875" hidden="1" customWidth="1" outlineLevel="2"/>
    <col min="82" max="83" width="7.5546875" hidden="1" customWidth="1" outlineLevel="1"/>
    <col min="84" max="84" width="7.5546875" customWidth="1" collapsed="1"/>
    <col min="85" max="88" width="7.5546875" hidden="1" customWidth="1" outlineLevel="2"/>
    <col min="89" max="90" width="7.5546875" hidden="1" customWidth="1" outlineLevel="1"/>
    <col min="91" max="91" width="7.5546875" customWidth="1" collapsed="1"/>
    <col min="92" max="95" width="7.5546875" hidden="1" customWidth="1" outlineLevel="2"/>
    <col min="96" max="97" width="7.5546875" hidden="1" customWidth="1" outlineLevel="1"/>
    <col min="98" max="98" width="7.5546875" customWidth="1" collapsed="1"/>
    <col min="99" max="102" width="7.5546875" hidden="1" customWidth="1" outlineLevel="2"/>
    <col min="103" max="104" width="7.5546875" hidden="1" customWidth="1" outlineLevel="1"/>
    <col min="105" max="105" width="7.5546875" customWidth="1" collapsed="1"/>
    <col min="106" max="109" width="7.5546875" hidden="1" customWidth="1" outlineLevel="2"/>
    <col min="110" max="111" width="7.5546875" hidden="1" customWidth="1" outlineLevel="1"/>
    <col min="112" max="112" width="7.5546875" customWidth="1" collapsed="1"/>
    <col min="113" max="116" width="7.5546875" hidden="1" customWidth="1" outlineLevel="2"/>
    <col min="117" max="118" width="7.5546875" hidden="1" customWidth="1" outlineLevel="1"/>
    <col min="119" max="119" width="7.5546875" customWidth="1" collapsed="1"/>
    <col min="120" max="123" width="7.5546875" hidden="1" customWidth="1" outlineLevel="2"/>
    <col min="124" max="125" width="7.5546875" hidden="1" customWidth="1" outlineLevel="1"/>
    <col min="126" max="126" width="7.5546875" customWidth="1" collapsed="1"/>
    <col min="127" max="130" width="7.5546875" hidden="1" customWidth="1" outlineLevel="2"/>
    <col min="131" max="132" width="7.5546875" hidden="1" customWidth="1" outlineLevel="1"/>
    <col min="133" max="133" width="7.5546875" customWidth="1" collapsed="1"/>
    <col min="134" max="137" width="7.5546875" hidden="1" customWidth="1" outlineLevel="2"/>
    <col min="138" max="139" width="7.5546875" hidden="1" customWidth="1" outlineLevel="1"/>
    <col min="140" max="140" width="7.5546875" customWidth="1" collapsed="1"/>
    <col min="141" max="144" width="7.5546875" hidden="1" customWidth="1" outlineLevel="2"/>
    <col min="145" max="146" width="7.5546875" hidden="1" customWidth="1" outlineLevel="1"/>
    <col min="147" max="147" width="7.5546875" customWidth="1" collapsed="1"/>
  </cols>
  <sheetData>
    <row r="1" spans="1:147" ht="12" customHeight="1">
      <c r="A1" s="42" t="s">
        <v>323</v>
      </c>
      <c r="B1" s="43"/>
      <c r="C1" s="60"/>
      <c r="D1" s="60"/>
      <c r="E1" s="60"/>
      <c r="F1" s="75"/>
      <c r="G1" s="43"/>
      <c r="H1" s="75"/>
      <c r="I1" s="50"/>
      <c r="J1" s="43"/>
      <c r="K1" s="43"/>
      <c r="L1" s="50"/>
      <c r="M1" s="50"/>
      <c r="N1" s="67"/>
      <c r="O1" s="399"/>
      <c r="P1" s="399"/>
      <c r="Q1" s="399"/>
      <c r="R1" s="425"/>
      <c r="S1" s="399"/>
      <c r="T1" s="399"/>
      <c r="U1" s="1746"/>
      <c r="V1" s="399"/>
      <c r="W1" s="399"/>
      <c r="X1" s="399"/>
      <c r="Y1" s="425"/>
      <c r="Z1" s="399"/>
      <c r="AA1" s="399"/>
      <c r="AB1" s="1746"/>
      <c r="AC1" s="399"/>
      <c r="AD1" s="399"/>
      <c r="AE1" s="399"/>
      <c r="AF1" s="425"/>
      <c r="AG1" s="399"/>
      <c r="AH1" s="399"/>
      <c r="AI1" s="1746"/>
      <c r="AJ1" s="399"/>
      <c r="AK1" s="399"/>
      <c r="AL1" s="399"/>
      <c r="AM1" s="425"/>
      <c r="AN1" s="399"/>
      <c r="AO1" s="399"/>
      <c r="AP1" s="1746"/>
      <c r="AQ1" s="399"/>
      <c r="AR1" s="399"/>
      <c r="AS1" s="399"/>
      <c r="AT1" s="425"/>
      <c r="AU1" s="399"/>
      <c r="AV1" s="399"/>
      <c r="AW1" s="1746" t="s">
        <v>643</v>
      </c>
      <c r="AX1" s="399"/>
      <c r="AY1" s="399"/>
      <c r="AZ1" s="399"/>
      <c r="BA1" s="425"/>
      <c r="BB1" s="399"/>
      <c r="BC1" s="399"/>
      <c r="BD1" s="1746" t="s">
        <v>639</v>
      </c>
      <c r="BE1" s="399"/>
      <c r="BF1" s="399"/>
      <c r="BG1" s="399"/>
      <c r="BH1" s="425"/>
      <c r="BI1" s="399"/>
      <c r="BJ1" s="399"/>
      <c r="BK1" s="1746" t="s">
        <v>639</v>
      </c>
      <c r="BL1" s="399"/>
      <c r="BM1" s="399"/>
      <c r="BN1" s="399"/>
      <c r="BO1" s="425"/>
      <c r="BP1" s="399"/>
      <c r="BQ1" s="399"/>
      <c r="BR1" s="338"/>
      <c r="BS1" s="399"/>
      <c r="BT1" s="399"/>
      <c r="BU1" s="399"/>
      <c r="BV1" s="425"/>
      <c r="BW1" s="399"/>
      <c r="BX1" s="399"/>
      <c r="BY1" s="338"/>
      <c r="BZ1" s="399"/>
      <c r="CA1" s="399"/>
      <c r="CB1" s="399"/>
      <c r="CC1" s="425"/>
      <c r="CD1" s="399"/>
      <c r="CE1" s="399"/>
      <c r="CF1" s="338"/>
      <c r="CG1" s="399"/>
      <c r="CH1" s="399"/>
      <c r="CI1" s="399"/>
      <c r="CJ1" s="425"/>
      <c r="CK1" s="399"/>
      <c r="CL1" s="399"/>
      <c r="CM1" s="338"/>
      <c r="CN1" s="399"/>
      <c r="CO1" s="399"/>
      <c r="CP1" s="399"/>
      <c r="CQ1" s="425"/>
      <c r="CR1" s="399"/>
      <c r="CS1" s="399"/>
      <c r="CT1" s="338"/>
      <c r="CU1" s="399"/>
      <c r="CV1" s="399"/>
      <c r="CW1" s="399"/>
      <c r="CX1" s="425"/>
      <c r="CY1" s="399"/>
      <c r="CZ1" s="399"/>
      <c r="DA1" s="338"/>
      <c r="DB1" s="399"/>
      <c r="DC1" s="399"/>
      <c r="DD1" s="399"/>
      <c r="DE1" s="425"/>
      <c r="DF1" s="399"/>
      <c r="DG1" s="399"/>
      <c r="DH1" s="338"/>
      <c r="DI1" s="399"/>
      <c r="DJ1" s="399"/>
      <c r="DK1" s="399"/>
      <c r="DL1" s="425"/>
      <c r="DM1" s="399"/>
      <c r="DN1" s="399"/>
      <c r="DO1" s="338"/>
      <c r="DP1" s="399"/>
      <c r="DQ1" s="399"/>
      <c r="DR1" s="399"/>
      <c r="DS1" s="425"/>
      <c r="DT1" s="399"/>
      <c r="DU1" s="399"/>
      <c r="DV1" s="338"/>
      <c r="DW1" s="399"/>
      <c r="DX1" s="399"/>
      <c r="DY1" s="399"/>
      <c r="DZ1" s="425"/>
      <c r="EA1" s="399"/>
      <c r="EB1" s="399"/>
      <c r="EC1" s="338"/>
      <c r="ED1" s="399"/>
      <c r="EE1" s="399"/>
      <c r="EF1" s="399"/>
      <c r="EG1" s="425"/>
      <c r="EH1" s="399"/>
      <c r="EI1" s="399"/>
      <c r="EJ1" s="338"/>
      <c r="EK1" s="399"/>
      <c r="EL1" s="399"/>
      <c r="EM1" s="399"/>
      <c r="EN1" s="425"/>
      <c r="EO1" s="399"/>
      <c r="EP1" s="399"/>
      <c r="EQ1" s="338"/>
    </row>
    <row r="2" spans="1:147" ht="10.199999999999999" customHeight="1">
      <c r="A2" s="913"/>
      <c r="B2" s="848">
        <v>2000</v>
      </c>
      <c r="C2" s="848">
        <v>2001</v>
      </c>
      <c r="D2" s="848">
        <v>2002</v>
      </c>
      <c r="E2" s="848">
        <v>2003</v>
      </c>
      <c r="F2" s="848">
        <v>2004</v>
      </c>
      <c r="G2" s="848">
        <v>2005</v>
      </c>
      <c r="H2" s="848">
        <v>2006</v>
      </c>
      <c r="I2" s="848">
        <v>2007</v>
      </c>
      <c r="J2" s="848">
        <v>2008</v>
      </c>
      <c r="K2" s="848">
        <v>2009</v>
      </c>
      <c r="L2" s="848">
        <v>2010</v>
      </c>
      <c r="M2" s="848">
        <v>2011</v>
      </c>
      <c r="N2" s="1440">
        <v>2012</v>
      </c>
      <c r="O2" s="1440" t="s">
        <v>693</v>
      </c>
      <c r="P2" s="848" t="s">
        <v>694</v>
      </c>
      <c r="Q2" s="848" t="s">
        <v>695</v>
      </c>
      <c r="R2" s="914" t="s">
        <v>696</v>
      </c>
      <c r="S2" s="848" t="s">
        <v>697</v>
      </c>
      <c r="T2" s="848" t="s">
        <v>698</v>
      </c>
      <c r="U2" s="1267">
        <v>2013</v>
      </c>
      <c r="V2" s="848" t="s">
        <v>693</v>
      </c>
      <c r="W2" s="848" t="s">
        <v>694</v>
      </c>
      <c r="X2" s="848" t="s">
        <v>695</v>
      </c>
      <c r="Y2" s="914" t="s">
        <v>696</v>
      </c>
      <c r="Z2" s="848" t="s">
        <v>697</v>
      </c>
      <c r="AA2" s="848" t="s">
        <v>698</v>
      </c>
      <c r="AB2" s="1267">
        <v>2014</v>
      </c>
      <c r="AC2" s="848" t="s">
        <v>693</v>
      </c>
      <c r="AD2" s="848" t="s">
        <v>694</v>
      </c>
      <c r="AE2" s="848" t="s">
        <v>695</v>
      </c>
      <c r="AF2" s="914" t="s">
        <v>696</v>
      </c>
      <c r="AG2" s="848" t="s">
        <v>697</v>
      </c>
      <c r="AH2" s="848" t="s">
        <v>698</v>
      </c>
      <c r="AI2" s="1267">
        <v>2015</v>
      </c>
      <c r="AJ2" s="848" t="s">
        <v>693</v>
      </c>
      <c r="AK2" s="848" t="s">
        <v>694</v>
      </c>
      <c r="AL2" s="848" t="s">
        <v>695</v>
      </c>
      <c r="AM2" s="914" t="s">
        <v>696</v>
      </c>
      <c r="AN2" s="848" t="s">
        <v>697</v>
      </c>
      <c r="AO2" s="848" t="s">
        <v>698</v>
      </c>
      <c r="AP2" s="1267">
        <v>2016</v>
      </c>
      <c r="AQ2" s="848" t="s">
        <v>693</v>
      </c>
      <c r="AR2" s="848" t="s">
        <v>694</v>
      </c>
      <c r="AS2" s="848" t="s">
        <v>695</v>
      </c>
      <c r="AT2" s="914" t="s">
        <v>696</v>
      </c>
      <c r="AU2" s="848" t="s">
        <v>697</v>
      </c>
      <c r="AV2" s="848" t="s">
        <v>698</v>
      </c>
      <c r="AW2" s="1267">
        <v>2017</v>
      </c>
      <c r="AX2" s="848" t="s">
        <v>693</v>
      </c>
      <c r="AY2" s="848" t="s">
        <v>694</v>
      </c>
      <c r="AZ2" s="848" t="s">
        <v>695</v>
      </c>
      <c r="BA2" s="914" t="s">
        <v>696</v>
      </c>
      <c r="BB2" s="848" t="s">
        <v>697</v>
      </c>
      <c r="BC2" s="848" t="s">
        <v>698</v>
      </c>
      <c r="BD2" s="1267">
        <v>2017</v>
      </c>
      <c r="BE2" s="848" t="s">
        <v>693</v>
      </c>
      <c r="BF2" s="848" t="s">
        <v>694</v>
      </c>
      <c r="BG2" s="848" t="s">
        <v>695</v>
      </c>
      <c r="BH2" s="914" t="s">
        <v>696</v>
      </c>
      <c r="BI2" s="848" t="s">
        <v>697</v>
      </c>
      <c r="BJ2" s="848" t="s">
        <v>698</v>
      </c>
      <c r="BK2" s="1267">
        <v>2018</v>
      </c>
      <c r="BL2" s="848" t="s">
        <v>693</v>
      </c>
      <c r="BM2" s="848" t="s">
        <v>694</v>
      </c>
      <c r="BN2" s="848" t="s">
        <v>695</v>
      </c>
      <c r="BO2" s="914" t="s">
        <v>696</v>
      </c>
      <c r="BP2" s="848" t="s">
        <v>697</v>
      </c>
      <c r="BQ2" s="848" t="s">
        <v>698</v>
      </c>
      <c r="BR2" s="1267">
        <v>2019</v>
      </c>
      <c r="BS2" s="848" t="s">
        <v>693</v>
      </c>
      <c r="BT2" s="848" t="s">
        <v>694</v>
      </c>
      <c r="BU2" s="848" t="s">
        <v>695</v>
      </c>
      <c r="BV2" s="914" t="s">
        <v>696</v>
      </c>
      <c r="BW2" s="848" t="s">
        <v>697</v>
      </c>
      <c r="BX2" s="848" t="s">
        <v>698</v>
      </c>
      <c r="BY2" s="1267">
        <v>2020</v>
      </c>
      <c r="BZ2" s="848" t="s">
        <v>693</v>
      </c>
      <c r="CA2" s="848" t="s">
        <v>694</v>
      </c>
      <c r="CB2" s="848" t="s">
        <v>695</v>
      </c>
      <c r="CC2" s="914" t="s">
        <v>696</v>
      </c>
      <c r="CD2" s="848" t="s">
        <v>697</v>
      </c>
      <c r="CE2" s="848" t="s">
        <v>698</v>
      </c>
      <c r="CF2" s="1267">
        <v>2021</v>
      </c>
      <c r="CG2" s="848" t="s">
        <v>693</v>
      </c>
      <c r="CH2" s="848" t="s">
        <v>694</v>
      </c>
      <c r="CI2" s="848" t="s">
        <v>695</v>
      </c>
      <c r="CJ2" s="914" t="s">
        <v>696</v>
      </c>
      <c r="CK2" s="848" t="s">
        <v>697</v>
      </c>
      <c r="CL2" s="848" t="s">
        <v>698</v>
      </c>
      <c r="CM2" s="1267">
        <v>2022</v>
      </c>
      <c r="CN2" s="848" t="s">
        <v>693</v>
      </c>
      <c r="CO2" s="848" t="s">
        <v>694</v>
      </c>
      <c r="CP2" s="848" t="s">
        <v>695</v>
      </c>
      <c r="CQ2" s="914" t="s">
        <v>696</v>
      </c>
      <c r="CR2" s="848" t="s">
        <v>697</v>
      </c>
      <c r="CS2" s="848" t="s">
        <v>698</v>
      </c>
      <c r="CT2" s="1267">
        <v>2023</v>
      </c>
      <c r="CU2" s="848" t="s">
        <v>693</v>
      </c>
      <c r="CV2" s="848" t="s">
        <v>694</v>
      </c>
      <c r="CW2" s="848" t="s">
        <v>695</v>
      </c>
      <c r="CX2" s="914" t="s">
        <v>696</v>
      </c>
      <c r="CY2" s="848" t="s">
        <v>697</v>
      </c>
      <c r="CZ2" s="848" t="s">
        <v>698</v>
      </c>
      <c r="DA2" s="1267">
        <v>2024</v>
      </c>
      <c r="DB2" s="848" t="s">
        <v>693</v>
      </c>
      <c r="DC2" s="848" t="s">
        <v>694</v>
      </c>
      <c r="DD2" s="848" t="s">
        <v>695</v>
      </c>
      <c r="DE2" s="914" t="s">
        <v>696</v>
      </c>
      <c r="DF2" s="848" t="s">
        <v>697</v>
      </c>
      <c r="DG2" s="848" t="s">
        <v>698</v>
      </c>
      <c r="DH2" s="1267">
        <v>2025</v>
      </c>
      <c r="DI2" s="848" t="s">
        <v>693</v>
      </c>
      <c r="DJ2" s="848" t="s">
        <v>694</v>
      </c>
      <c r="DK2" s="903" t="s">
        <v>695</v>
      </c>
      <c r="DL2" s="915" t="s">
        <v>696</v>
      </c>
      <c r="DM2" s="848" t="s">
        <v>697</v>
      </c>
      <c r="DN2" s="903" t="s">
        <v>698</v>
      </c>
      <c r="DO2" s="916" t="s">
        <v>692</v>
      </c>
      <c r="DP2" s="903" t="s">
        <v>693</v>
      </c>
      <c r="DQ2" s="903" t="s">
        <v>694</v>
      </c>
      <c r="DR2" s="903" t="s">
        <v>695</v>
      </c>
      <c r="DS2" s="915" t="s">
        <v>696</v>
      </c>
      <c r="DT2" s="903" t="s">
        <v>697</v>
      </c>
      <c r="DU2" s="903" t="s">
        <v>698</v>
      </c>
      <c r="DV2" s="916" t="s">
        <v>705</v>
      </c>
      <c r="DW2" s="903" t="s">
        <v>693</v>
      </c>
      <c r="DX2" s="903" t="s">
        <v>694</v>
      </c>
      <c r="DY2" s="903" t="s">
        <v>695</v>
      </c>
      <c r="DZ2" s="915" t="s">
        <v>696</v>
      </c>
      <c r="EA2" s="903" t="s">
        <v>697</v>
      </c>
      <c r="EB2" s="903" t="s">
        <v>698</v>
      </c>
      <c r="EC2" s="916" t="s">
        <v>706</v>
      </c>
      <c r="ED2" s="903" t="s">
        <v>693</v>
      </c>
      <c r="EE2" s="903" t="s">
        <v>694</v>
      </c>
      <c r="EF2" s="903" t="s">
        <v>695</v>
      </c>
      <c r="EG2" s="915" t="s">
        <v>696</v>
      </c>
      <c r="EH2" s="903" t="s">
        <v>697</v>
      </c>
      <c r="EI2" s="903" t="s">
        <v>698</v>
      </c>
      <c r="EJ2" s="916" t="s">
        <v>707</v>
      </c>
      <c r="EK2" s="903" t="s">
        <v>693</v>
      </c>
      <c r="EL2" s="903" t="s">
        <v>694</v>
      </c>
      <c r="EM2" s="903" t="s">
        <v>695</v>
      </c>
      <c r="EN2" s="915" t="s">
        <v>696</v>
      </c>
      <c r="EO2" s="903" t="s">
        <v>697</v>
      </c>
      <c r="EP2" s="903" t="s">
        <v>698</v>
      </c>
      <c r="EQ2" s="916" t="s">
        <v>708</v>
      </c>
    </row>
    <row r="3" spans="1:147" ht="10.199999999999999" customHeight="1">
      <c r="A3" s="178" t="s">
        <v>709</v>
      </c>
      <c r="B3" s="196"/>
      <c r="C3" s="196"/>
      <c r="D3" s="198"/>
      <c r="E3" s="199"/>
      <c r="F3" s="199"/>
      <c r="G3" s="199"/>
      <c r="H3" s="199"/>
      <c r="I3" s="199"/>
      <c r="J3" s="199"/>
      <c r="K3" s="199"/>
      <c r="L3" s="199"/>
      <c r="M3" s="199"/>
      <c r="N3" s="198"/>
      <c r="O3" s="428"/>
      <c r="P3" s="428"/>
      <c r="Q3" s="428"/>
      <c r="R3" s="429"/>
      <c r="S3" s="428"/>
      <c r="T3" s="428"/>
      <c r="U3" s="348"/>
      <c r="V3" s="428"/>
      <c r="W3" s="428"/>
      <c r="X3" s="428"/>
      <c r="Y3" s="429"/>
      <c r="Z3" s="428"/>
      <c r="AA3" s="428"/>
      <c r="AB3" s="348"/>
      <c r="AC3" s="428"/>
      <c r="AD3" s="428"/>
      <c r="AE3" s="428"/>
      <c r="AF3" s="429"/>
      <c r="AG3" s="428"/>
      <c r="AH3" s="428"/>
      <c r="AI3" s="348"/>
      <c r="AJ3" s="428"/>
      <c r="AK3" s="428"/>
      <c r="AL3" s="428"/>
      <c r="AM3" s="429"/>
      <c r="AN3" s="428"/>
      <c r="AO3" s="428"/>
      <c r="AP3" s="348"/>
      <c r="AQ3" s="428"/>
      <c r="AR3" s="428"/>
      <c r="AS3" s="428"/>
      <c r="AT3" s="429"/>
      <c r="AU3" s="428"/>
      <c r="AV3" s="428"/>
      <c r="AW3" s="348"/>
      <c r="AX3" s="428"/>
      <c r="AY3" s="428"/>
      <c r="AZ3" s="428"/>
      <c r="BA3" s="429"/>
      <c r="BB3" s="428"/>
      <c r="BC3" s="428"/>
      <c r="BD3" s="348"/>
      <c r="BE3" s="428"/>
      <c r="BF3" s="428"/>
      <c r="BG3" s="428"/>
      <c r="BH3" s="429"/>
      <c r="BI3" s="428"/>
      <c r="BJ3" s="428"/>
      <c r="BK3" s="348"/>
      <c r="BL3" s="428"/>
      <c r="BM3" s="428"/>
      <c r="BN3" s="428"/>
      <c r="BO3" s="429"/>
      <c r="BP3" s="428"/>
      <c r="BQ3" s="428"/>
      <c r="BR3" s="348"/>
      <c r="BS3" s="428"/>
      <c r="BT3" s="428"/>
      <c r="BU3" s="428"/>
      <c r="BV3" s="429"/>
      <c r="BW3" s="428"/>
      <c r="BX3" s="428"/>
      <c r="BY3" s="348"/>
      <c r="BZ3" s="428"/>
      <c r="CA3" s="428"/>
      <c r="CB3" s="428"/>
      <c r="CC3" s="429"/>
      <c r="CD3" s="428"/>
      <c r="CE3" s="428"/>
      <c r="CF3" s="348"/>
      <c r="CG3" s="428"/>
      <c r="CH3" s="428"/>
      <c r="CI3" s="428"/>
      <c r="CJ3" s="429"/>
      <c r="CK3" s="428"/>
      <c r="CL3" s="428"/>
      <c r="CM3" s="348"/>
      <c r="CN3" s="428"/>
      <c r="CO3" s="428"/>
      <c r="CP3" s="428"/>
      <c r="CQ3" s="429"/>
      <c r="CR3" s="428"/>
      <c r="CS3" s="428"/>
      <c r="CT3" s="348"/>
      <c r="CU3" s="428"/>
      <c r="CV3" s="428"/>
      <c r="CW3" s="428"/>
      <c r="CX3" s="429"/>
      <c r="CY3" s="428"/>
      <c r="CZ3" s="428"/>
      <c r="DA3" s="348"/>
      <c r="DB3" s="428"/>
      <c r="DC3" s="428"/>
      <c r="DD3" s="428"/>
      <c r="DE3" s="429"/>
      <c r="DF3" s="428"/>
      <c r="DG3" s="428"/>
      <c r="DH3" s="348"/>
      <c r="DI3" s="428"/>
      <c r="DJ3" s="428"/>
      <c r="DK3" s="428"/>
      <c r="DL3" s="429"/>
      <c r="DM3" s="428"/>
      <c r="DN3" s="428"/>
      <c r="DO3" s="348"/>
      <c r="DP3" s="428"/>
      <c r="DQ3" s="428"/>
      <c r="DR3" s="428"/>
      <c r="DS3" s="429"/>
      <c r="DT3" s="428"/>
      <c r="DU3" s="428"/>
      <c r="DV3" s="348"/>
      <c r="DW3" s="428"/>
      <c r="DX3" s="428"/>
      <c r="DY3" s="428"/>
      <c r="DZ3" s="429"/>
      <c r="EA3" s="428"/>
      <c r="EB3" s="428"/>
      <c r="EC3" s="348"/>
      <c r="ED3" s="428"/>
      <c r="EE3" s="428"/>
      <c r="EF3" s="428"/>
      <c r="EG3" s="429"/>
      <c r="EH3" s="428"/>
      <c r="EI3" s="428"/>
      <c r="EJ3" s="348"/>
      <c r="EK3" s="428"/>
      <c r="EL3" s="428"/>
      <c r="EM3" s="428"/>
      <c r="EN3" s="429"/>
      <c r="EO3" s="428"/>
      <c r="EP3" s="428"/>
      <c r="EQ3" s="348"/>
    </row>
    <row r="4" spans="1:147" ht="10.199999999999999" customHeight="1">
      <c r="A4" s="31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24"/>
      <c r="P4" s="624"/>
      <c r="Q4" s="624"/>
      <c r="R4" s="741"/>
      <c r="S4" s="624"/>
      <c r="T4" s="624"/>
      <c r="U4" s="742"/>
      <c r="V4" s="624"/>
      <c r="W4" s="624"/>
      <c r="X4" s="624"/>
      <c r="Y4" s="741"/>
      <c r="Z4" s="624"/>
      <c r="AA4" s="624"/>
      <c r="AB4" s="742"/>
      <c r="AC4" s="624"/>
      <c r="AD4" s="624"/>
      <c r="AE4" s="624"/>
      <c r="AF4" s="741"/>
      <c r="AG4" s="624"/>
      <c r="AH4" s="624"/>
      <c r="AI4" s="742"/>
      <c r="AJ4" s="624"/>
      <c r="AK4" s="624"/>
      <c r="AL4" s="624"/>
      <c r="AM4" s="741"/>
      <c r="AN4" s="624"/>
      <c r="AO4" s="624"/>
      <c r="AP4" s="742"/>
      <c r="AQ4" s="624"/>
      <c r="AR4" s="624"/>
      <c r="AS4" s="624"/>
      <c r="AT4" s="741"/>
      <c r="AU4" s="624"/>
      <c r="AV4" s="624"/>
      <c r="AW4" s="742"/>
      <c r="AX4" s="624"/>
      <c r="AY4" s="624"/>
      <c r="AZ4" s="624"/>
      <c r="BA4" s="741"/>
      <c r="BB4" s="624"/>
      <c r="BC4" s="624"/>
      <c r="BD4" s="742"/>
      <c r="BE4" s="624"/>
      <c r="BF4" s="624"/>
      <c r="BG4" s="624"/>
      <c r="BH4" s="741"/>
      <c r="BI4" s="624"/>
      <c r="BJ4" s="624"/>
      <c r="BK4" s="742"/>
      <c r="BL4" s="624"/>
      <c r="BM4" s="624"/>
      <c r="BN4" s="624"/>
      <c r="BO4" s="741"/>
      <c r="BP4" s="624"/>
      <c r="BQ4" s="624"/>
      <c r="BR4" s="742"/>
      <c r="BS4" s="624"/>
      <c r="BT4" s="624"/>
      <c r="BU4" s="624"/>
      <c r="BV4" s="741"/>
      <c r="BW4" s="624"/>
      <c r="BX4" s="624"/>
      <c r="BY4" s="742"/>
      <c r="BZ4" s="624"/>
      <c r="CA4" s="624"/>
      <c r="CB4" s="624"/>
      <c r="CC4" s="741"/>
      <c r="CD4" s="624"/>
      <c r="CE4" s="624"/>
      <c r="CF4" s="742"/>
      <c r="CG4" s="624"/>
      <c r="CH4" s="624"/>
      <c r="CI4" s="624"/>
      <c r="CJ4" s="741"/>
      <c r="CK4" s="624"/>
      <c r="CL4" s="624"/>
      <c r="CM4" s="742"/>
      <c r="CN4" s="624"/>
      <c r="CO4" s="624"/>
      <c r="CP4" s="624"/>
      <c r="CQ4" s="741"/>
      <c r="CR4" s="624"/>
      <c r="CS4" s="624"/>
      <c r="CT4" s="742"/>
      <c r="CU4" s="624"/>
      <c r="CV4" s="624"/>
      <c r="CW4" s="624"/>
      <c r="CX4" s="741"/>
      <c r="CY4" s="624"/>
      <c r="CZ4" s="624"/>
      <c r="DA4" s="742"/>
      <c r="DB4" s="624"/>
      <c r="DC4" s="624"/>
      <c r="DD4" s="624"/>
      <c r="DE4" s="741"/>
      <c r="DF4" s="624"/>
      <c r="DG4" s="624"/>
      <c r="DH4" s="742"/>
      <c r="DI4" s="624"/>
      <c r="DJ4" s="624"/>
      <c r="DK4" s="624"/>
      <c r="DL4" s="741"/>
      <c r="DM4" s="624"/>
      <c r="DN4" s="624"/>
      <c r="DO4" s="742"/>
      <c r="DP4" s="624"/>
      <c r="DQ4" s="624"/>
      <c r="DR4" s="624"/>
      <c r="DS4" s="741"/>
      <c r="DT4" s="624"/>
      <c r="DU4" s="624"/>
      <c r="DV4" s="742"/>
      <c r="DW4" s="624"/>
      <c r="DX4" s="624"/>
      <c r="DY4" s="624"/>
      <c r="DZ4" s="741"/>
      <c r="EA4" s="624"/>
      <c r="EB4" s="624"/>
      <c r="EC4" s="742"/>
      <c r="ED4" s="624"/>
      <c r="EE4" s="624"/>
      <c r="EF4" s="624"/>
      <c r="EG4" s="741"/>
      <c r="EH4" s="624"/>
      <c r="EI4" s="624"/>
      <c r="EJ4" s="742"/>
      <c r="EK4" s="624"/>
      <c r="EL4" s="624"/>
      <c r="EM4" s="624"/>
      <c r="EN4" s="741"/>
      <c r="EO4" s="624"/>
      <c r="EP4" s="624"/>
      <c r="EQ4" s="742"/>
    </row>
    <row r="5" spans="1:147" ht="10.199999999999999" customHeight="1">
      <c r="A5" s="108" t="s">
        <v>372</v>
      </c>
      <c r="B5" s="108"/>
      <c r="C5" s="133">
        <f t="shared" ref="C5:M5" si="0">+C11-C9-C10</f>
        <v>19993.444444444445</v>
      </c>
      <c r="D5" s="133">
        <f t="shared" si="0"/>
        <v>18753.781185518772</v>
      </c>
      <c r="E5" s="133">
        <f t="shared" si="0"/>
        <v>17597.842790270402</v>
      </c>
      <c r="F5" s="133">
        <f t="shared" si="0"/>
        <v>19919.207620706184</v>
      </c>
      <c r="G5" s="133">
        <f t="shared" si="0"/>
        <v>22401.66679084002</v>
      </c>
      <c r="H5" s="133">
        <f t="shared" si="0"/>
        <v>25153.429803162351</v>
      </c>
      <c r="I5" s="133">
        <f t="shared" si="0"/>
        <v>23774.099653899728</v>
      </c>
      <c r="J5" s="133">
        <f t="shared" si="0"/>
        <v>27046.20933874965</v>
      </c>
      <c r="K5" s="133">
        <f t="shared" si="0"/>
        <v>26670.641154580535</v>
      </c>
      <c r="L5" s="133">
        <f t="shared" si="0"/>
        <v>27588.069085322342</v>
      </c>
      <c r="M5" s="133">
        <f t="shared" si="0"/>
        <v>30018.655301927687</v>
      </c>
      <c r="N5" s="530">
        <f t="shared" ref="N5:CM5" si="1">N14*N11</f>
        <v>35465.279999999999</v>
      </c>
      <c r="O5" s="197">
        <f>O14*O11</f>
        <v>8321.0499999999993</v>
      </c>
      <c r="P5" s="197">
        <f>S5-O5</f>
        <v>8875.8499999999985</v>
      </c>
      <c r="Q5" s="197">
        <f>Q14*Q11</f>
        <v>8764.6999999999989</v>
      </c>
      <c r="R5" s="688">
        <f>T5-Q5</f>
        <v>11557.699999999999</v>
      </c>
      <c r="S5" s="197">
        <f>S14*S11</f>
        <v>17196.899999999998</v>
      </c>
      <c r="T5" s="197">
        <f>U5-S5</f>
        <v>20322.399999999998</v>
      </c>
      <c r="U5" s="339">
        <f t="shared" si="1"/>
        <v>37519.299999999996</v>
      </c>
      <c r="V5" s="197">
        <f>V14*V11</f>
        <v>8490.15</v>
      </c>
      <c r="W5" s="197">
        <f>Z5-V5</f>
        <v>10161.69</v>
      </c>
      <c r="X5" s="197">
        <f>X14*X11</f>
        <v>9015.3599999999988</v>
      </c>
      <c r="Y5" s="688">
        <f>AA5-X5</f>
        <v>12921.599999999997</v>
      </c>
      <c r="Z5" s="197">
        <f>Z14*Z11</f>
        <v>18651.84</v>
      </c>
      <c r="AA5" s="197">
        <f>AB5-Z5</f>
        <v>21936.959999999995</v>
      </c>
      <c r="AB5" s="339">
        <f t="shared" si="1"/>
        <v>40588.799999999996</v>
      </c>
      <c r="AC5" s="197">
        <f>AC14*AC11</f>
        <v>8051.0999999999995</v>
      </c>
      <c r="AD5" s="197">
        <f>AG5-AC5</f>
        <v>11975.850000000002</v>
      </c>
      <c r="AE5" s="197">
        <f>AE14*AE11</f>
        <v>9536.1</v>
      </c>
      <c r="AF5" s="688">
        <f>AH5-AE5</f>
        <v>13998.249999999995</v>
      </c>
      <c r="AG5" s="197">
        <f>AG14*AG11</f>
        <v>20026.95</v>
      </c>
      <c r="AH5" s="197">
        <f>AI5-AG5</f>
        <v>23534.349999999995</v>
      </c>
      <c r="AI5" s="339">
        <f t="shared" si="1"/>
        <v>43561.299999999996</v>
      </c>
      <c r="AJ5" s="197">
        <f>AJ14*AJ11</f>
        <v>8061.2400000000007</v>
      </c>
      <c r="AK5" s="197">
        <f>AN5-AJ5</f>
        <v>11946.71</v>
      </c>
      <c r="AL5" s="197">
        <f>AL14*AL11</f>
        <v>9927.5</v>
      </c>
      <c r="AM5" s="688">
        <f>AO5-AL5</f>
        <v>16839.699999999993</v>
      </c>
      <c r="AN5" s="197">
        <f>AN14*AN11</f>
        <v>20007.95</v>
      </c>
      <c r="AO5" s="197">
        <f>AP5-AN5</f>
        <v>26767.199999999993</v>
      </c>
      <c r="AP5" s="339">
        <f t="shared" si="1"/>
        <v>46775.149999999994</v>
      </c>
      <c r="AQ5" s="197">
        <f>AQ14*AQ11</f>
        <v>9137.25</v>
      </c>
      <c r="AR5" s="197">
        <f>AU5-AQ5</f>
        <v>11126.52</v>
      </c>
      <c r="AS5" s="197">
        <f>AS14*AS11</f>
        <v>10202.76</v>
      </c>
      <c r="AT5" s="688">
        <f>AV5-AS5</f>
        <v>17433.989999999998</v>
      </c>
      <c r="AU5" s="197">
        <f>AU14*AU11</f>
        <v>20263.77</v>
      </c>
      <c r="AV5" s="197">
        <f>AW5-AU5</f>
        <v>27636.749999999996</v>
      </c>
      <c r="AW5" s="339">
        <f t="shared" si="1"/>
        <v>47900.52</v>
      </c>
      <c r="AX5" s="197">
        <f>AX14*AX11</f>
        <v>7594.38</v>
      </c>
      <c r="AY5" s="197">
        <f>BB5-AX5</f>
        <v>9314.880000000001</v>
      </c>
      <c r="AZ5" s="197">
        <f>AZ14*AZ11</f>
        <v>8833.18</v>
      </c>
      <c r="BA5" s="688">
        <f>BC5-AZ5</f>
        <v>15134.399999999994</v>
      </c>
      <c r="BB5" s="197">
        <f>BB14*BB11</f>
        <v>16909.260000000002</v>
      </c>
      <c r="BC5" s="197">
        <f>BD5-BB5</f>
        <v>23967.579999999994</v>
      </c>
      <c r="BD5" s="339">
        <f t="shared" si="1"/>
        <v>40876.839999999997</v>
      </c>
      <c r="BE5" s="197">
        <f>BE14*BE11</f>
        <v>6572.02</v>
      </c>
      <c r="BF5" s="197">
        <f>BI5-BE5</f>
        <v>10490.3</v>
      </c>
      <c r="BG5" s="197">
        <f>BG14*BG11</f>
        <v>11096.76</v>
      </c>
      <c r="BH5" s="688">
        <f>BJ5-BG5</f>
        <v>16932.719999999994</v>
      </c>
      <c r="BI5" s="197">
        <f>BI14*BI11</f>
        <v>17062.32</v>
      </c>
      <c r="BJ5" s="197">
        <f>BK5-BI5</f>
        <v>28029.479999999996</v>
      </c>
      <c r="BK5" s="339">
        <f t="shared" si="1"/>
        <v>45091.799999999996</v>
      </c>
      <c r="BL5" s="197">
        <f>BL14*BL11</f>
        <v>8921.24</v>
      </c>
      <c r="BM5" s="197">
        <f>BP5-BL5</f>
        <v>13438.750000000002</v>
      </c>
      <c r="BN5" s="197">
        <f>BN14*BN11</f>
        <v>10721.970000000001</v>
      </c>
      <c r="BO5" s="688">
        <f>BQ5-BN5</f>
        <v>18406.539999999997</v>
      </c>
      <c r="BP5" s="197">
        <f>BP14*BP11</f>
        <v>22359.99</v>
      </c>
      <c r="BQ5" s="197">
        <f>BR5-BP5</f>
        <v>29128.51</v>
      </c>
      <c r="BR5" s="339">
        <f t="shared" si="1"/>
        <v>51488.5</v>
      </c>
      <c r="BS5" s="197">
        <f>BS14*BS11</f>
        <v>6660.72</v>
      </c>
      <c r="BT5" s="197">
        <f>BW5-BS5</f>
        <v>4493.6500000000005</v>
      </c>
      <c r="BU5" s="197">
        <f>BU14*BU11</f>
        <v>7041.58</v>
      </c>
      <c r="BV5" s="688">
        <f>BX5-BU5</f>
        <v>13656.549999999997</v>
      </c>
      <c r="BW5" s="197">
        <f>BW14*BW11</f>
        <v>11154.37</v>
      </c>
      <c r="BX5" s="197">
        <f>BY5-BW5</f>
        <v>20698.129999999997</v>
      </c>
      <c r="BY5" s="339">
        <f t="shared" si="1"/>
        <v>31852.5</v>
      </c>
      <c r="BZ5" s="197">
        <f>BZ14*BZ11</f>
        <v>6835.6799999999994</v>
      </c>
      <c r="CA5" s="197">
        <f>CD5-BZ5</f>
        <v>9908.5399999999972</v>
      </c>
      <c r="CB5" s="197">
        <f>CB14*CB11</f>
        <v>6328.6500000000005</v>
      </c>
      <c r="CC5" s="688">
        <f>CE5-CB5</f>
        <v>10921.289999999997</v>
      </c>
      <c r="CD5" s="197">
        <f>CD14*CD11</f>
        <v>16744.219999999998</v>
      </c>
      <c r="CE5" s="197">
        <f>CF5-CD5</f>
        <v>17249.939999999999</v>
      </c>
      <c r="CF5" s="339">
        <f t="shared" si="1"/>
        <v>33994.159999999996</v>
      </c>
      <c r="CG5" s="197">
        <f>CG14*CG11</f>
        <v>7772.31</v>
      </c>
      <c r="CH5" s="197">
        <f>CK5-CG5</f>
        <v>8358.0499999999993</v>
      </c>
      <c r="CI5" s="197">
        <f>CI14*CI11</f>
        <v>8391.32</v>
      </c>
      <c r="CJ5" s="688">
        <f>CL5-CI5</f>
        <v>13592.080000000002</v>
      </c>
      <c r="CK5" s="197">
        <f>CK14*CK11</f>
        <v>16130.36</v>
      </c>
      <c r="CL5" s="197">
        <f>CM5-CK5</f>
        <v>21983.4</v>
      </c>
      <c r="CM5" s="339">
        <f t="shared" si="1"/>
        <v>38113.760000000002</v>
      </c>
      <c r="CN5" s="197">
        <f>CN14*CN11</f>
        <v>7136.8</v>
      </c>
      <c r="CO5" s="197">
        <f>CR5-CN5</f>
        <v>11177.300000000003</v>
      </c>
      <c r="CP5" s="197">
        <f>CP14*CP11</f>
        <v>10042.200000000001</v>
      </c>
      <c r="CQ5" s="688">
        <f>CS5-CP5</f>
        <v>15108.029999999999</v>
      </c>
      <c r="CR5" s="197">
        <f>CR14*CR11</f>
        <v>18314.100000000002</v>
      </c>
      <c r="CS5" s="197">
        <f>CT5-CR5</f>
        <v>25150.23</v>
      </c>
      <c r="CT5" s="339">
        <f t="shared" ref="CT5" si="2">CT14*CT11</f>
        <v>43464.33</v>
      </c>
      <c r="CU5" s="197">
        <f>CU14*CU11</f>
        <v>7975.29</v>
      </c>
      <c r="CV5" s="197">
        <f>CY5-CU5</f>
        <v>10906.059999999998</v>
      </c>
      <c r="CW5" s="197">
        <f>CW14*CW11</f>
        <v>10380.960000000001</v>
      </c>
      <c r="CX5" s="688">
        <f>CZ5-CW5</f>
        <v>16319.090000000002</v>
      </c>
      <c r="CY5" s="197">
        <f>CY14*CY11</f>
        <v>18881.349999999999</v>
      </c>
      <c r="CZ5" s="197">
        <f>DA5-CY5</f>
        <v>26700.050000000003</v>
      </c>
      <c r="DA5" s="339">
        <f t="shared" ref="DA5" si="3">DA14*DA11</f>
        <v>45581.4</v>
      </c>
      <c r="DB5" s="197">
        <f>DB14*DB11</f>
        <v>8092.8499999999995</v>
      </c>
      <c r="DC5" s="197">
        <f>DF5-DB5</f>
        <v>9820.09</v>
      </c>
      <c r="DD5" s="197">
        <f>DD14*DD11</f>
        <v>11490.16</v>
      </c>
      <c r="DE5" s="688">
        <f>DG5-DD5</f>
        <v>17390.43</v>
      </c>
      <c r="DF5" s="197">
        <f>DF14*DF11</f>
        <v>17912.939999999999</v>
      </c>
      <c r="DG5" s="197">
        <f>DH5-DF5</f>
        <v>28880.59</v>
      </c>
      <c r="DH5" s="339">
        <f t="shared" ref="DH5" si="4">DH14*DH11</f>
        <v>46793.53</v>
      </c>
      <c r="DI5" s="197">
        <f>DI14*DI11</f>
        <v>7001.88</v>
      </c>
      <c r="DJ5" s="197">
        <f>DM5-DI5</f>
        <v>13771.11</v>
      </c>
      <c r="DK5" s="322">
        <f t="shared" ref="DK5:EQ5" si="5">DK306</f>
        <v>12724.805972217315</v>
      </c>
      <c r="DL5" s="430">
        <f t="shared" si="5"/>
        <v>18592.10463517801</v>
      </c>
      <c r="DM5" s="197">
        <f>DM14*DM11</f>
        <v>20772.990000000002</v>
      </c>
      <c r="DN5" s="322">
        <f t="shared" si="5"/>
        <v>31316.910607395326</v>
      </c>
      <c r="DO5" s="385">
        <f t="shared" si="5"/>
        <v>52089.900607395328</v>
      </c>
      <c r="DP5" s="322">
        <f t="shared" si="5"/>
        <v>14418.991432993127</v>
      </c>
      <c r="DQ5" s="322">
        <f t="shared" si="5"/>
        <v>15068.104524869519</v>
      </c>
      <c r="DR5" s="322">
        <f t="shared" si="5"/>
        <v>15072.311526453368</v>
      </c>
      <c r="DS5" s="430">
        <f t="shared" si="5"/>
        <v>15068.300656219237</v>
      </c>
      <c r="DT5" s="322">
        <f t="shared" si="5"/>
        <v>29487.095957862646</v>
      </c>
      <c r="DU5" s="322">
        <f t="shared" si="5"/>
        <v>30140.612182672605</v>
      </c>
      <c r="DV5" s="385">
        <f t="shared" si="5"/>
        <v>59627.708140535251</v>
      </c>
      <c r="DW5" s="322">
        <f t="shared" si="5"/>
        <v>15840.45781570908</v>
      </c>
      <c r="DX5" s="322">
        <f t="shared" si="5"/>
        <v>16609.815098086641</v>
      </c>
      <c r="DY5" s="322">
        <f t="shared" si="5"/>
        <v>16613.867693347282</v>
      </c>
      <c r="DZ5" s="430">
        <f t="shared" si="5"/>
        <v>16984.706631205445</v>
      </c>
      <c r="EA5" s="322">
        <f t="shared" si="5"/>
        <v>32450.272913795721</v>
      </c>
      <c r="EB5" s="322">
        <f t="shared" si="5"/>
        <v>33598.574324552726</v>
      </c>
      <c r="EC5" s="385">
        <f t="shared" si="5"/>
        <v>66048.847238348448</v>
      </c>
      <c r="ED5" s="322">
        <f t="shared" si="5"/>
        <v>17126.558028518528</v>
      </c>
      <c r="EE5" s="322">
        <f t="shared" si="5"/>
        <v>17122.467666313525</v>
      </c>
      <c r="EF5" s="322">
        <f t="shared" si="5"/>
        <v>17126.313638885491</v>
      </c>
      <c r="EG5" s="430">
        <f t="shared" si="5"/>
        <v>17506.188464177983</v>
      </c>
      <c r="EH5" s="322">
        <f t="shared" si="5"/>
        <v>34249.025694832053</v>
      </c>
      <c r="EI5" s="322">
        <f t="shared" si="5"/>
        <v>34632.502103063474</v>
      </c>
      <c r="EJ5" s="385">
        <f t="shared" si="5"/>
        <v>68881.527797895527</v>
      </c>
      <c r="EK5" s="322">
        <f t="shared" si="5"/>
        <v>17567.634474740484</v>
      </c>
      <c r="EL5" s="322">
        <f t="shared" si="5"/>
        <v>17563.790215394063</v>
      </c>
      <c r="EM5" s="322">
        <f t="shared" si="5"/>
        <v>17567.744902891631</v>
      </c>
      <c r="EN5" s="430">
        <f t="shared" si="5"/>
        <v>17953.48661107487</v>
      </c>
      <c r="EO5" s="322">
        <f t="shared" si="5"/>
        <v>35131.424690134547</v>
      </c>
      <c r="EP5" s="322">
        <f t="shared" si="5"/>
        <v>35521.231513966501</v>
      </c>
      <c r="EQ5" s="385">
        <f t="shared" si="5"/>
        <v>70652.656204101047</v>
      </c>
    </row>
    <row r="6" spans="1:147" ht="10.199999999999999" hidden="1" customHeight="1" outlineLevel="1">
      <c r="A6" s="43" t="s">
        <v>295</v>
      </c>
      <c r="B6" s="48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530"/>
      <c r="O6" s="67"/>
      <c r="P6" s="322"/>
      <c r="Q6" s="67"/>
      <c r="R6" s="430"/>
      <c r="S6" s="67"/>
      <c r="T6" s="322"/>
      <c r="U6" s="385"/>
      <c r="V6" s="67"/>
      <c r="W6" s="322"/>
      <c r="X6" s="67"/>
      <c r="Y6" s="430"/>
      <c r="Z6" s="67"/>
      <c r="AA6" s="322"/>
      <c r="AB6" s="385"/>
      <c r="AC6" s="67"/>
      <c r="AD6" s="322"/>
      <c r="AE6" s="67"/>
      <c r="AF6" s="430"/>
      <c r="AG6" s="67"/>
      <c r="AH6" s="322"/>
      <c r="AI6" s="385"/>
      <c r="AJ6" s="67"/>
      <c r="AK6" s="322"/>
      <c r="AL6" s="67"/>
      <c r="AM6" s="430"/>
      <c r="AN6" s="67"/>
      <c r="AO6" s="322"/>
      <c r="AP6" s="385"/>
      <c r="AQ6" s="67"/>
      <c r="AR6" s="322"/>
      <c r="AS6" s="67"/>
      <c r="AT6" s="430"/>
      <c r="AU6" s="67"/>
      <c r="AV6" s="322"/>
      <c r="AW6" s="385"/>
      <c r="AX6" s="67"/>
      <c r="AY6" s="322"/>
      <c r="AZ6" s="67"/>
      <c r="BA6" s="430"/>
      <c r="BB6" s="67"/>
      <c r="BC6" s="322"/>
      <c r="BD6" s="385"/>
      <c r="BE6" s="67"/>
      <c r="BF6" s="322"/>
      <c r="BG6" s="67"/>
      <c r="BH6" s="430"/>
      <c r="BI6" s="67"/>
      <c r="BJ6" s="322"/>
      <c r="BK6" s="385"/>
      <c r="BL6" s="67"/>
      <c r="BM6" s="322"/>
      <c r="BN6" s="67"/>
      <c r="BO6" s="430"/>
      <c r="BP6" s="67"/>
      <c r="BQ6" s="322"/>
      <c r="BR6" s="385"/>
      <c r="BS6" s="67"/>
      <c r="BT6" s="322"/>
      <c r="BU6" s="67"/>
      <c r="BV6" s="430"/>
      <c r="BW6" s="67"/>
      <c r="BX6" s="322"/>
      <c r="BY6" s="385"/>
      <c r="BZ6" s="67"/>
      <c r="CA6" s="322"/>
      <c r="CB6" s="67"/>
      <c r="CC6" s="430"/>
      <c r="CD6" s="67"/>
      <c r="CE6" s="322"/>
      <c r="CF6" s="385"/>
      <c r="CG6" s="67"/>
      <c r="CH6" s="322"/>
      <c r="CI6" s="67"/>
      <c r="CJ6" s="430"/>
      <c r="CK6" s="67"/>
      <c r="CL6" s="322"/>
      <c r="CM6" s="385"/>
      <c r="CN6" s="67"/>
      <c r="CO6" s="322"/>
      <c r="CP6" s="67"/>
      <c r="CQ6" s="430"/>
      <c r="CR6" s="67"/>
      <c r="CS6" s="322"/>
      <c r="CT6" s="385"/>
      <c r="CU6" s="67"/>
      <c r="CV6" s="322"/>
      <c r="CW6" s="67"/>
      <c r="CX6" s="430"/>
      <c r="CY6" s="67"/>
      <c r="CZ6" s="322"/>
      <c r="DA6" s="385"/>
      <c r="DB6" s="67"/>
      <c r="DC6" s="322"/>
      <c r="DD6" s="67"/>
      <c r="DE6" s="430"/>
      <c r="DF6" s="67"/>
      <c r="DG6" s="322"/>
      <c r="DH6" s="385"/>
      <c r="DI6" s="67"/>
      <c r="DJ6" s="322"/>
      <c r="DK6" s="322"/>
      <c r="DL6" s="430"/>
      <c r="DM6" s="67"/>
      <c r="DN6" s="322"/>
      <c r="DO6" s="385"/>
      <c r="DP6" s="322"/>
      <c r="DQ6" s="322"/>
      <c r="DR6" s="322"/>
      <c r="DS6" s="430"/>
      <c r="DT6" s="322"/>
      <c r="DU6" s="322"/>
      <c r="DV6" s="385"/>
      <c r="DW6" s="322"/>
      <c r="DX6" s="322"/>
      <c r="DY6" s="322"/>
      <c r="DZ6" s="430"/>
      <c r="EA6" s="322"/>
      <c r="EB6" s="322"/>
      <c r="EC6" s="385"/>
      <c r="ED6" s="322"/>
      <c r="EE6" s="322"/>
      <c r="EF6" s="322"/>
      <c r="EG6" s="430"/>
      <c r="EH6" s="322"/>
      <c r="EI6" s="322"/>
      <c r="EJ6" s="385"/>
      <c r="EK6" s="322"/>
      <c r="EL6" s="322"/>
      <c r="EM6" s="322"/>
      <c r="EN6" s="430"/>
      <c r="EO6" s="322"/>
      <c r="EP6" s="322"/>
      <c r="EQ6" s="385"/>
    </row>
    <row r="7" spans="1:147" ht="10.199999999999999" hidden="1" customHeight="1" outlineLevel="1">
      <c r="A7" s="43" t="s">
        <v>304</v>
      </c>
      <c r="B7" s="48"/>
      <c r="C7" s="66"/>
      <c r="D7" s="66"/>
      <c r="E7" s="197">
        <v>210</v>
      </c>
      <c r="F7" s="197">
        <v>542.5</v>
      </c>
      <c r="G7" s="197">
        <v>280</v>
      </c>
      <c r="H7" s="197">
        <v>1200</v>
      </c>
      <c r="I7" s="197">
        <v>700</v>
      </c>
      <c r="J7" s="197">
        <v>1400</v>
      </c>
      <c r="K7" s="197">
        <v>1050</v>
      </c>
      <c r="L7" s="66">
        <v>0</v>
      </c>
      <c r="M7" s="66">
        <f>L7</f>
        <v>0</v>
      </c>
      <c r="N7" s="530"/>
      <c r="O7" s="66"/>
      <c r="P7" s="322"/>
      <c r="Q7" s="66"/>
      <c r="R7" s="430"/>
      <c r="S7" s="66"/>
      <c r="T7" s="322"/>
      <c r="U7" s="385"/>
      <c r="V7" s="66"/>
      <c r="W7" s="322"/>
      <c r="X7" s="66"/>
      <c r="Y7" s="430"/>
      <c r="Z7" s="66"/>
      <c r="AA7" s="322"/>
      <c r="AB7" s="385"/>
      <c r="AC7" s="66"/>
      <c r="AD7" s="322"/>
      <c r="AE7" s="66"/>
      <c r="AF7" s="430"/>
      <c r="AG7" s="66"/>
      <c r="AH7" s="322"/>
      <c r="AI7" s="385"/>
      <c r="AJ7" s="66"/>
      <c r="AK7" s="322"/>
      <c r="AL7" s="66"/>
      <c r="AM7" s="430"/>
      <c r="AN7" s="66"/>
      <c r="AO7" s="322"/>
      <c r="AP7" s="385"/>
      <c r="AQ7" s="66"/>
      <c r="AR7" s="322"/>
      <c r="AS7" s="66"/>
      <c r="AT7" s="430"/>
      <c r="AU7" s="66"/>
      <c r="AV7" s="322"/>
      <c r="AW7" s="385"/>
      <c r="AX7" s="66"/>
      <c r="AY7" s="322"/>
      <c r="AZ7" s="66"/>
      <c r="BA7" s="430"/>
      <c r="BB7" s="66"/>
      <c r="BC7" s="322"/>
      <c r="BD7" s="385"/>
      <c r="BE7" s="66"/>
      <c r="BF7" s="322"/>
      <c r="BG7" s="66"/>
      <c r="BH7" s="430"/>
      <c r="BI7" s="66"/>
      <c r="BJ7" s="322"/>
      <c r="BK7" s="385"/>
      <c r="BL7" s="66"/>
      <c r="BM7" s="322"/>
      <c r="BN7" s="66"/>
      <c r="BO7" s="430"/>
      <c r="BP7" s="66"/>
      <c r="BQ7" s="322"/>
      <c r="BR7" s="385"/>
      <c r="BS7" s="66"/>
      <c r="BT7" s="322"/>
      <c r="BU7" s="66"/>
      <c r="BV7" s="430"/>
      <c r="BW7" s="66"/>
      <c r="BX7" s="322"/>
      <c r="BY7" s="385"/>
      <c r="BZ7" s="66"/>
      <c r="CA7" s="322"/>
      <c r="CB7" s="66"/>
      <c r="CC7" s="430"/>
      <c r="CD7" s="66"/>
      <c r="CE7" s="322"/>
      <c r="CF7" s="385"/>
      <c r="CG7" s="66"/>
      <c r="CH7" s="322"/>
      <c r="CI7" s="66"/>
      <c r="CJ7" s="430"/>
      <c r="CK7" s="66"/>
      <c r="CL7" s="322"/>
      <c r="CM7" s="385"/>
      <c r="CN7" s="66"/>
      <c r="CO7" s="322"/>
      <c r="CP7" s="66"/>
      <c r="CQ7" s="430"/>
      <c r="CR7" s="66"/>
      <c r="CS7" s="322"/>
      <c r="CT7" s="385"/>
      <c r="CU7" s="66"/>
      <c r="CV7" s="322"/>
      <c r="CW7" s="66"/>
      <c r="CX7" s="430"/>
      <c r="CY7" s="66"/>
      <c r="CZ7" s="322"/>
      <c r="DA7" s="385"/>
      <c r="DB7" s="66"/>
      <c r="DC7" s="322"/>
      <c r="DD7" s="66"/>
      <c r="DE7" s="430"/>
      <c r="DF7" s="66"/>
      <c r="DG7" s="322"/>
      <c r="DH7" s="385"/>
      <c r="DI7" s="66"/>
      <c r="DJ7" s="322"/>
      <c r="DK7" s="322"/>
      <c r="DL7" s="430"/>
      <c r="DM7" s="66"/>
      <c r="DN7" s="322"/>
      <c r="DO7" s="385"/>
      <c r="DP7" s="322"/>
      <c r="DQ7" s="322"/>
      <c r="DR7" s="322"/>
      <c r="DS7" s="430"/>
      <c r="DT7" s="322"/>
      <c r="DU7" s="322"/>
      <c r="DV7" s="385"/>
      <c r="DW7" s="322"/>
      <c r="DX7" s="322"/>
      <c r="DY7" s="322"/>
      <c r="DZ7" s="430"/>
      <c r="EA7" s="322"/>
      <c r="EB7" s="322"/>
      <c r="EC7" s="385"/>
      <c r="ED7" s="322"/>
      <c r="EE7" s="322"/>
      <c r="EF7" s="322"/>
      <c r="EG7" s="430"/>
      <c r="EH7" s="322"/>
      <c r="EI7" s="322"/>
      <c r="EJ7" s="385"/>
      <c r="EK7" s="322"/>
      <c r="EL7" s="322"/>
      <c r="EM7" s="322"/>
      <c r="EN7" s="430"/>
      <c r="EO7" s="322"/>
      <c r="EP7" s="322"/>
      <c r="EQ7" s="385"/>
    </row>
    <row r="8" spans="1:147" ht="10.199999999999999" hidden="1" customHeight="1" outlineLevel="1">
      <c r="A8" s="43" t="s">
        <v>305</v>
      </c>
      <c r="B8" s="48"/>
      <c r="C8" s="66"/>
      <c r="D8" s="66"/>
      <c r="E8" s="197"/>
      <c r="F8" s="197"/>
      <c r="G8" s="197"/>
      <c r="H8" s="197"/>
      <c r="I8" s="197"/>
      <c r="J8" s="197"/>
      <c r="K8" s="197">
        <v>100</v>
      </c>
      <c r="L8" s="66">
        <v>0</v>
      </c>
      <c r="M8" s="66">
        <f>L8</f>
        <v>0</v>
      </c>
      <c r="N8" s="530"/>
      <c r="O8" s="66"/>
      <c r="P8" s="322"/>
      <c r="Q8" s="66"/>
      <c r="R8" s="430"/>
      <c r="S8" s="66"/>
      <c r="T8" s="322"/>
      <c r="U8" s="385"/>
      <c r="V8" s="66"/>
      <c r="W8" s="322"/>
      <c r="X8" s="66"/>
      <c r="Y8" s="430"/>
      <c r="Z8" s="66"/>
      <c r="AA8" s="322"/>
      <c r="AB8" s="385"/>
      <c r="AC8" s="66"/>
      <c r="AD8" s="322"/>
      <c r="AE8" s="66"/>
      <c r="AF8" s="430"/>
      <c r="AG8" s="66"/>
      <c r="AH8" s="322"/>
      <c r="AI8" s="385"/>
      <c r="AJ8" s="66"/>
      <c r="AK8" s="322"/>
      <c r="AL8" s="66"/>
      <c r="AM8" s="430"/>
      <c r="AN8" s="66"/>
      <c r="AO8" s="322"/>
      <c r="AP8" s="385"/>
      <c r="AQ8" s="66"/>
      <c r="AR8" s="322"/>
      <c r="AS8" s="66"/>
      <c r="AT8" s="430"/>
      <c r="AU8" s="66"/>
      <c r="AV8" s="322"/>
      <c r="AW8" s="385"/>
      <c r="AX8" s="66"/>
      <c r="AY8" s="322"/>
      <c r="AZ8" s="66"/>
      <c r="BA8" s="430"/>
      <c r="BB8" s="66"/>
      <c r="BC8" s="322"/>
      <c r="BD8" s="385"/>
      <c r="BE8" s="66"/>
      <c r="BF8" s="322"/>
      <c r="BG8" s="66"/>
      <c r="BH8" s="430"/>
      <c r="BI8" s="66"/>
      <c r="BJ8" s="322"/>
      <c r="BK8" s="385"/>
      <c r="BL8" s="66"/>
      <c r="BM8" s="322"/>
      <c r="BN8" s="66"/>
      <c r="BO8" s="430"/>
      <c r="BP8" s="66"/>
      <c r="BQ8" s="322"/>
      <c r="BR8" s="385"/>
      <c r="BS8" s="66"/>
      <c r="BT8" s="322"/>
      <c r="BU8" s="66"/>
      <c r="BV8" s="430"/>
      <c r="BW8" s="66"/>
      <c r="BX8" s="322"/>
      <c r="BY8" s="385"/>
      <c r="BZ8" s="66"/>
      <c r="CA8" s="322"/>
      <c r="CB8" s="66"/>
      <c r="CC8" s="430"/>
      <c r="CD8" s="66"/>
      <c r="CE8" s="322"/>
      <c r="CF8" s="385"/>
      <c r="CG8" s="66"/>
      <c r="CH8" s="322"/>
      <c r="CI8" s="66"/>
      <c r="CJ8" s="430"/>
      <c r="CK8" s="66"/>
      <c r="CL8" s="322"/>
      <c r="CM8" s="385"/>
      <c r="CN8" s="66"/>
      <c r="CO8" s="322"/>
      <c r="CP8" s="66"/>
      <c r="CQ8" s="430"/>
      <c r="CR8" s="66"/>
      <c r="CS8" s="322"/>
      <c r="CT8" s="385"/>
      <c r="CU8" s="66"/>
      <c r="CV8" s="322"/>
      <c r="CW8" s="66"/>
      <c r="CX8" s="430"/>
      <c r="CY8" s="66"/>
      <c r="CZ8" s="322"/>
      <c r="DA8" s="385"/>
      <c r="DB8" s="66"/>
      <c r="DC8" s="322"/>
      <c r="DD8" s="66"/>
      <c r="DE8" s="430"/>
      <c r="DF8" s="66"/>
      <c r="DG8" s="322"/>
      <c r="DH8" s="385"/>
      <c r="DI8" s="66"/>
      <c r="DJ8" s="322"/>
      <c r="DK8" s="322"/>
      <c r="DL8" s="430"/>
      <c r="DM8" s="66"/>
      <c r="DN8" s="322"/>
      <c r="DO8" s="385"/>
      <c r="DP8" s="322"/>
      <c r="DQ8" s="322"/>
      <c r="DR8" s="322"/>
      <c r="DS8" s="430"/>
      <c r="DT8" s="322"/>
      <c r="DU8" s="322"/>
      <c r="DV8" s="385"/>
      <c r="DW8" s="322"/>
      <c r="DX8" s="322"/>
      <c r="DY8" s="322"/>
      <c r="DZ8" s="430"/>
      <c r="EA8" s="322"/>
      <c r="EB8" s="322"/>
      <c r="EC8" s="385"/>
      <c r="ED8" s="322"/>
      <c r="EE8" s="322"/>
      <c r="EF8" s="322"/>
      <c r="EG8" s="430"/>
      <c r="EH8" s="322"/>
      <c r="EI8" s="322"/>
      <c r="EJ8" s="385"/>
      <c r="EK8" s="322"/>
      <c r="EL8" s="322"/>
      <c r="EM8" s="322"/>
      <c r="EN8" s="430"/>
      <c r="EO8" s="322"/>
      <c r="EP8" s="322"/>
      <c r="EQ8" s="385"/>
    </row>
    <row r="9" spans="1:147" ht="10.199999999999999" customHeight="1" collapsed="1">
      <c r="A9" s="108" t="s">
        <v>301</v>
      </c>
      <c r="B9" s="48"/>
      <c r="C9" s="67">
        <f t="shared" ref="C9:M9" si="6">C432/C399</f>
        <v>555.55555555555554</v>
      </c>
      <c r="D9" s="67">
        <f t="shared" si="6"/>
        <v>793.56681832610298</v>
      </c>
      <c r="E9" s="67">
        <f t="shared" si="6"/>
        <v>696.656050955414</v>
      </c>
      <c r="F9" s="67">
        <f t="shared" si="6"/>
        <v>663.87886324026113</v>
      </c>
      <c r="G9" s="67">
        <f t="shared" si="6"/>
        <v>697.62367425785635</v>
      </c>
      <c r="H9" s="67">
        <f t="shared" si="6"/>
        <v>761.29184934236753</v>
      </c>
      <c r="I9" s="67">
        <f t="shared" si="6"/>
        <v>766.82093978102205</v>
      </c>
      <c r="J9" s="67">
        <f t="shared" si="6"/>
        <v>778.1812500000002</v>
      </c>
      <c r="K9" s="67">
        <f t="shared" si="6"/>
        <v>846.47119524237007</v>
      </c>
      <c r="L9" s="67">
        <f t="shared" si="6"/>
        <v>1066.1440922966763</v>
      </c>
      <c r="M9" s="67">
        <f t="shared" si="6"/>
        <v>1187.7089343320613</v>
      </c>
      <c r="N9" s="530">
        <f t="shared" ref="N9:CM9" si="7">N15*N11</f>
        <v>1477.7200000000014</v>
      </c>
      <c r="O9" s="67">
        <f>O15*O11</f>
        <v>437.95000000000039</v>
      </c>
      <c r="P9" s="197">
        <f>S9-O9</f>
        <v>467.15000000000043</v>
      </c>
      <c r="Q9" s="67">
        <f>Q15*Q11</f>
        <v>461.30000000000041</v>
      </c>
      <c r="R9" s="688">
        <f>T9-Q9</f>
        <v>608.30000000000064</v>
      </c>
      <c r="S9" s="67">
        <f>S15*S11</f>
        <v>905.10000000000082</v>
      </c>
      <c r="T9" s="197">
        <f>U9-S9</f>
        <v>1069.600000000001</v>
      </c>
      <c r="U9" s="1085">
        <f t="shared" si="7"/>
        <v>1974.7000000000019</v>
      </c>
      <c r="V9" s="67">
        <f>V15*V11</f>
        <v>446.85000000000042</v>
      </c>
      <c r="W9" s="197">
        <f>Z9-V9</f>
        <v>330.31000000000023</v>
      </c>
      <c r="X9" s="67">
        <f>X15*X11</f>
        <v>375.64000000000033</v>
      </c>
      <c r="Y9" s="688">
        <f>AA9-X9</f>
        <v>538.40000000000043</v>
      </c>
      <c r="Z9" s="67">
        <f>Z15*Z11</f>
        <v>777.16000000000065</v>
      </c>
      <c r="AA9" s="197">
        <f>AB9-Z9</f>
        <v>914.04000000000076</v>
      </c>
      <c r="AB9" s="1085">
        <f t="shared" si="7"/>
        <v>1691.2000000000014</v>
      </c>
      <c r="AC9" s="67">
        <f>AC15*AC11</f>
        <v>513.90000000000043</v>
      </c>
      <c r="AD9" s="197">
        <f>AG9-AC9</f>
        <v>540.15000000000043</v>
      </c>
      <c r="AE9" s="67">
        <f>AE15*AE11</f>
        <v>501.90000000000043</v>
      </c>
      <c r="AF9" s="688">
        <f>AH9-AE9</f>
        <v>736.7500000000008</v>
      </c>
      <c r="AG9" s="67">
        <f>AG15*AG11</f>
        <v>1054.0500000000009</v>
      </c>
      <c r="AH9" s="197">
        <f>AI9-AG9</f>
        <v>1238.6500000000012</v>
      </c>
      <c r="AI9" s="1085">
        <f t="shared" si="7"/>
        <v>2292.7000000000021</v>
      </c>
      <c r="AJ9" s="67">
        <f>AJ15*AJ11</f>
        <v>606.75999999999954</v>
      </c>
      <c r="AK9" s="197">
        <f>AN9-AJ9</f>
        <v>446.29000000000133</v>
      </c>
      <c r="AL9" s="67">
        <f>AL15*AL11</f>
        <v>522.50000000000045</v>
      </c>
      <c r="AM9" s="688">
        <f>AO9-AL9</f>
        <v>886.30000000000086</v>
      </c>
      <c r="AN9" s="67">
        <f>AN15*AN11</f>
        <v>1053.0500000000009</v>
      </c>
      <c r="AO9" s="197">
        <f>AP9-AN9</f>
        <v>1408.8000000000013</v>
      </c>
      <c r="AP9" s="1085">
        <f t="shared" si="7"/>
        <v>2461.8500000000022</v>
      </c>
      <c r="AQ9" s="67">
        <f>AQ15*AQ11</f>
        <v>687.74999999999955</v>
      </c>
      <c r="AR9" s="197">
        <f>AU9-AQ9</f>
        <v>837.47999999999934</v>
      </c>
      <c r="AS9" s="67">
        <f>AS15*AS11</f>
        <v>651.24000000000058</v>
      </c>
      <c r="AT9" s="688">
        <f>AV9-AS9</f>
        <v>881.01000000000329</v>
      </c>
      <c r="AU9" s="67">
        <f>AU15*AU11</f>
        <v>1525.2299999999989</v>
      </c>
      <c r="AV9" s="197">
        <f>AW9-AU9</f>
        <v>1532.2500000000039</v>
      </c>
      <c r="AW9" s="1085">
        <f t="shared" si="7"/>
        <v>3057.4800000000027</v>
      </c>
      <c r="AX9" s="67">
        <f>AX15*AX11</f>
        <v>571.61999999999955</v>
      </c>
      <c r="AY9" s="197">
        <f>BB9-AX9</f>
        <v>701.11999999999955</v>
      </c>
      <c r="AZ9" s="67">
        <f>AZ15*AZ11</f>
        <v>563.8200000000005</v>
      </c>
      <c r="BA9" s="688">
        <f>BC9-AZ9</f>
        <v>772.60000000000252</v>
      </c>
      <c r="BB9" s="67">
        <f>BB15*BB11</f>
        <v>1272.7399999999991</v>
      </c>
      <c r="BC9" s="197">
        <f>BD9-BB9</f>
        <v>1336.420000000003</v>
      </c>
      <c r="BD9" s="1085">
        <f t="shared" si="7"/>
        <v>2609.1600000000021</v>
      </c>
      <c r="BE9" s="67">
        <f>BE15*BE11</f>
        <v>649.97999999999979</v>
      </c>
      <c r="BF9" s="197">
        <f>BI9-BE9</f>
        <v>833.69999999999936</v>
      </c>
      <c r="BG9" s="67">
        <f>BG15*BG11</f>
        <v>835.23999999999944</v>
      </c>
      <c r="BH9" s="688">
        <f>BJ9-BG9</f>
        <v>559.28000000000395</v>
      </c>
      <c r="BI9" s="67">
        <f>BI15*BI11</f>
        <v>1483.6799999999992</v>
      </c>
      <c r="BJ9" s="197">
        <f>BK9-BI9</f>
        <v>1394.5200000000034</v>
      </c>
      <c r="BK9" s="1085">
        <f t="shared" si="7"/>
        <v>2878.2000000000025</v>
      </c>
      <c r="BL9" s="67">
        <f>BL15*BL11</f>
        <v>775.75999999999965</v>
      </c>
      <c r="BM9" s="197">
        <f>BP9-BL9</f>
        <v>907.2499999999992</v>
      </c>
      <c r="BN9" s="67">
        <f>BN15*BN11</f>
        <v>807.0299999999994</v>
      </c>
      <c r="BO9" s="688">
        <f>BQ9-BN9</f>
        <v>796.46000000000447</v>
      </c>
      <c r="BP9" s="67">
        <f>BP15*BP11</f>
        <v>1683.0099999999989</v>
      </c>
      <c r="BQ9" s="197">
        <f>BR9-BP9</f>
        <v>1603.4900000000039</v>
      </c>
      <c r="BR9" s="1085">
        <f t="shared" si="7"/>
        <v>3286.5000000000027</v>
      </c>
      <c r="BS9" s="67">
        <f>BS15*BS11</f>
        <v>908.28</v>
      </c>
      <c r="BT9" s="197">
        <f>BW9-BS9</f>
        <v>470.34999999999991</v>
      </c>
      <c r="BU9" s="67">
        <f>BU15*BU11</f>
        <v>696.41999999999973</v>
      </c>
      <c r="BV9" s="688">
        <f>BX9-BU9</f>
        <v>322.44999999999857</v>
      </c>
      <c r="BW9" s="67">
        <f>BW15*BW11</f>
        <v>1378.6299999999999</v>
      </c>
      <c r="BX9" s="197">
        <f>BY9-BW9</f>
        <v>1018.8699999999983</v>
      </c>
      <c r="BY9" s="1085">
        <f t="shared" si="7"/>
        <v>2397.4999999999982</v>
      </c>
      <c r="BZ9" s="67">
        <f>BZ15*BZ11</f>
        <v>436.32000000000039</v>
      </c>
      <c r="CA9" s="197">
        <f>CD9-BZ9</f>
        <v>632.46000000000049</v>
      </c>
      <c r="CB9" s="67">
        <f>CB15*CB11</f>
        <v>476.34999999999968</v>
      </c>
      <c r="CC9" s="688">
        <f>CE9-CB9</f>
        <v>624.7100000000014</v>
      </c>
      <c r="CD9" s="67">
        <f>CD15*CD11</f>
        <v>1068.7800000000009</v>
      </c>
      <c r="CE9" s="197">
        <f>CF9-CD9</f>
        <v>1101.0600000000011</v>
      </c>
      <c r="CF9" s="1085">
        <f t="shared" si="7"/>
        <v>2169.840000000002</v>
      </c>
      <c r="CG9" s="67">
        <f>CG15*CG11</f>
        <v>768.68999999999971</v>
      </c>
      <c r="CH9" s="197">
        <f>CK9-CG9</f>
        <v>633.94999999999948</v>
      </c>
      <c r="CI9" s="67">
        <f>CI15*CI11</f>
        <v>729.67999999999961</v>
      </c>
      <c r="CJ9" s="688">
        <f>CL9-CI9</f>
        <v>1181.9199999999996</v>
      </c>
      <c r="CK9" s="67">
        <f>CK15*CK11</f>
        <v>1402.6399999999992</v>
      </c>
      <c r="CL9" s="197">
        <f>CM9-CK9</f>
        <v>1911.5999999999992</v>
      </c>
      <c r="CM9" s="1085">
        <f t="shared" si="7"/>
        <v>3314.2399999999984</v>
      </c>
      <c r="CN9" s="67">
        <f>CN15*CN11</f>
        <v>973.19999999999993</v>
      </c>
      <c r="CO9" s="197">
        <f>CR9-CN9</f>
        <v>1061.6999999999998</v>
      </c>
      <c r="CP9" s="67">
        <f>CP15*CP11</f>
        <v>1115.7999999999997</v>
      </c>
      <c r="CQ9" s="688">
        <f>CS9-CP9</f>
        <v>1147.9699999999989</v>
      </c>
      <c r="CR9" s="67">
        <f>CR15*CR11</f>
        <v>2034.8999999999996</v>
      </c>
      <c r="CS9" s="197">
        <f>CT9-CR9</f>
        <v>2263.7699999999986</v>
      </c>
      <c r="CT9" s="1085">
        <f>CT15*CT11</f>
        <v>4298.6699999999983</v>
      </c>
      <c r="CU9" s="67">
        <f>CU15*CU11</f>
        <v>1191.71</v>
      </c>
      <c r="CV9" s="197">
        <f>CY9-CU9</f>
        <v>1141.9399999999996</v>
      </c>
      <c r="CW9" s="67">
        <f>CW15*CW11</f>
        <v>1283.0399999999997</v>
      </c>
      <c r="CX9" s="688">
        <f>CZ9-CW9</f>
        <v>1447.9099999999992</v>
      </c>
      <c r="CY9" s="67">
        <f>CY15*CY11</f>
        <v>2333.6499999999996</v>
      </c>
      <c r="CZ9" s="197">
        <f>DA9-CY9</f>
        <v>2730.9499999999989</v>
      </c>
      <c r="DA9" s="1085">
        <f>DA15*DA11</f>
        <v>5064.5999999999985</v>
      </c>
      <c r="DB9" s="67">
        <f>DB15*DB11</f>
        <v>1428.1500000000003</v>
      </c>
      <c r="DC9" s="197">
        <f>DF9-DB9</f>
        <v>1487.91</v>
      </c>
      <c r="DD9" s="67">
        <f>DD15*DD11</f>
        <v>1566.84</v>
      </c>
      <c r="DE9" s="688">
        <f>DG9-DD9</f>
        <v>1300.569999999999</v>
      </c>
      <c r="DF9" s="67">
        <f>DF15*DF11</f>
        <v>2916.0600000000004</v>
      </c>
      <c r="DG9" s="197">
        <f>DH9-DF9</f>
        <v>2867.4099999999989</v>
      </c>
      <c r="DH9" s="1085">
        <f>DH15*DH11</f>
        <v>5783.4699999999993</v>
      </c>
      <c r="DI9" s="67">
        <f>DI15*DI11</f>
        <v>1434.1200000000003</v>
      </c>
      <c r="DJ9" s="197">
        <f>DM9-DI9</f>
        <v>1669.8899999999999</v>
      </c>
      <c r="DK9" s="322">
        <f t="shared" ref="DK9:EQ9" si="8">DK307</f>
        <v>1740.3534027251635</v>
      </c>
      <c r="DL9" s="430">
        <f t="shared" si="8"/>
        <v>1404.4953378004993</v>
      </c>
      <c r="DM9" s="67">
        <f>DM15*DM11</f>
        <v>3104.01</v>
      </c>
      <c r="DN9" s="322">
        <f t="shared" si="8"/>
        <v>3144.8487405256628</v>
      </c>
      <c r="DO9" s="385">
        <f t="shared" si="8"/>
        <v>6248.8587405256631</v>
      </c>
      <c r="DP9" s="322">
        <f t="shared" si="8"/>
        <v>1528.9120478516586</v>
      </c>
      <c r="DQ9" s="322">
        <f t="shared" si="8"/>
        <v>1779.3885375741368</v>
      </c>
      <c r="DR9" s="322">
        <f t="shared" si="8"/>
        <v>1818.1471013753378</v>
      </c>
      <c r="DS9" s="430">
        <f t="shared" si="8"/>
        <v>1478.83176306058</v>
      </c>
      <c r="DT9" s="322">
        <f t="shared" si="8"/>
        <v>3308.3005854257954</v>
      </c>
      <c r="DU9" s="322">
        <f t="shared" si="8"/>
        <v>3296.9788644359178</v>
      </c>
      <c r="DV9" s="385">
        <f t="shared" si="8"/>
        <v>6605.2794498617131</v>
      </c>
      <c r="DW9" s="322">
        <f t="shared" si="8"/>
        <v>1643.0582973306443</v>
      </c>
      <c r="DX9" s="322">
        <f t="shared" si="8"/>
        <v>1911.4940446769826</v>
      </c>
      <c r="DY9" s="322">
        <f t="shared" si="8"/>
        <v>1953.0549599028554</v>
      </c>
      <c r="DZ9" s="430">
        <f t="shared" si="8"/>
        <v>1589.0360023838693</v>
      </c>
      <c r="EA9" s="322">
        <f t="shared" si="8"/>
        <v>3554.552342007627</v>
      </c>
      <c r="EB9" s="322">
        <f t="shared" si="8"/>
        <v>3542.0909622867248</v>
      </c>
      <c r="EC9" s="385">
        <f t="shared" si="8"/>
        <v>7096.6433042943518</v>
      </c>
      <c r="ED9" s="322">
        <f t="shared" si="8"/>
        <v>1734.3734972623558</v>
      </c>
      <c r="EE9" s="322">
        <f t="shared" si="8"/>
        <v>2017.0801581212743</v>
      </c>
      <c r="EF9" s="322">
        <f t="shared" si="8"/>
        <v>2060.8742677669993</v>
      </c>
      <c r="EG9" s="430">
        <f t="shared" si="8"/>
        <v>1676.7448239215119</v>
      </c>
      <c r="EH9" s="322">
        <f t="shared" si="8"/>
        <v>3751.4536553836301</v>
      </c>
      <c r="EI9" s="322">
        <f t="shared" si="8"/>
        <v>3737.6190916885112</v>
      </c>
      <c r="EJ9" s="385">
        <f t="shared" si="8"/>
        <v>7489.0727470721413</v>
      </c>
      <c r="EK9" s="322">
        <f t="shared" si="8"/>
        <v>1847.0839441493877</v>
      </c>
      <c r="EL9" s="322">
        <f t="shared" si="8"/>
        <v>2148.1980760888146</v>
      </c>
      <c r="EM9" s="322">
        <f t="shared" si="8"/>
        <v>2194.8478945354655</v>
      </c>
      <c r="EN9" s="430">
        <f t="shared" si="8"/>
        <v>1785.746018531479</v>
      </c>
      <c r="EO9" s="322">
        <f t="shared" si="8"/>
        <v>3995.2820202382022</v>
      </c>
      <c r="EP9" s="322">
        <f t="shared" si="8"/>
        <v>3980.5939130669444</v>
      </c>
      <c r="EQ9" s="385">
        <f t="shared" si="8"/>
        <v>7975.8759333051466</v>
      </c>
    </row>
    <row r="10" spans="1:147" ht="10.199999999999999" hidden="1" customHeight="1" outlineLevel="1">
      <c r="A10" s="108" t="s">
        <v>209</v>
      </c>
      <c r="B10" s="48"/>
      <c r="C10" s="197">
        <f t="shared" ref="C10:L10" si="9">+C404</f>
        <v>0</v>
      </c>
      <c r="D10" s="197">
        <f t="shared" si="9"/>
        <v>-35.348003844876075</v>
      </c>
      <c r="E10" s="197">
        <f t="shared" si="9"/>
        <v>753.50115877418284</v>
      </c>
      <c r="F10" s="197">
        <f t="shared" si="9"/>
        <v>-359.08648394644388</v>
      </c>
      <c r="G10" s="197">
        <f t="shared" si="9"/>
        <v>-920.2904650978744</v>
      </c>
      <c r="H10" s="197">
        <f t="shared" si="9"/>
        <v>-724.7216525047188</v>
      </c>
      <c r="I10" s="197">
        <f t="shared" si="9"/>
        <v>675.07940631925067</v>
      </c>
      <c r="J10" s="197">
        <f t="shared" si="9"/>
        <v>-1300.390588749653</v>
      </c>
      <c r="K10" s="197">
        <f t="shared" si="9"/>
        <v>-1147.1123498229063</v>
      </c>
      <c r="L10" s="197">
        <f t="shared" si="9"/>
        <v>-981.21317761901992</v>
      </c>
      <c r="M10" s="197">
        <f>+M404</f>
        <v>-47.364236259749305</v>
      </c>
      <c r="N10" s="661">
        <f t="shared" ref="N10:EM10" si="10">+N404</f>
        <v>-109.49666389498088</v>
      </c>
      <c r="O10" s="659"/>
      <c r="P10" s="659"/>
      <c r="Q10" s="659"/>
      <c r="R10" s="681"/>
      <c r="S10" s="661"/>
      <c r="T10" s="661"/>
      <c r="U10" s="753">
        <f t="shared" si="10"/>
        <v>-126.12709317303597</v>
      </c>
      <c r="V10" s="659"/>
      <c r="W10" s="659"/>
      <c r="X10" s="659"/>
      <c r="Y10" s="681"/>
      <c r="Z10" s="661"/>
      <c r="AA10" s="661"/>
      <c r="AB10" s="753">
        <f t="shared" si="10"/>
        <v>262.77372262773861</v>
      </c>
      <c r="AC10" s="659"/>
      <c r="AD10" s="659"/>
      <c r="AE10" s="659"/>
      <c r="AF10" s="681"/>
      <c r="AG10" s="661"/>
      <c r="AH10" s="661"/>
      <c r="AI10" s="753">
        <f t="shared" si="10"/>
        <v>141.23825317855153</v>
      </c>
      <c r="AJ10" s="659"/>
      <c r="AK10" s="659"/>
      <c r="AL10" s="659"/>
      <c r="AM10" s="681"/>
      <c r="AN10" s="661"/>
      <c r="AO10" s="661"/>
      <c r="AP10" s="753">
        <f t="shared" si="10"/>
        <v>265.71687019448291</v>
      </c>
      <c r="AQ10" s="659"/>
      <c r="AR10" s="659"/>
      <c r="AS10" s="659"/>
      <c r="AT10" s="681"/>
      <c r="AU10" s="661"/>
      <c r="AV10" s="661"/>
      <c r="AW10" s="753">
        <f t="shared" si="10"/>
        <v>445.73643410853037</v>
      </c>
      <c r="AX10" s="659"/>
      <c r="AY10" s="659"/>
      <c r="AZ10" s="659"/>
      <c r="BA10" s="681"/>
      <c r="BB10" s="661"/>
      <c r="BC10" s="661"/>
      <c r="BD10" s="753">
        <f t="shared" si="10"/>
        <v>445.73643410853037</v>
      </c>
      <c r="BE10" s="659"/>
      <c r="BF10" s="659"/>
      <c r="BG10" s="659"/>
      <c r="BH10" s="681"/>
      <c r="BI10" s="661"/>
      <c r="BJ10" s="661"/>
      <c r="BK10" s="753">
        <f t="shared" si="10"/>
        <v>793.94848712178282</v>
      </c>
      <c r="BL10" s="659"/>
      <c r="BM10" s="659"/>
      <c r="BN10" s="659"/>
      <c r="BO10" s="681"/>
      <c r="BP10" s="661"/>
      <c r="BQ10" s="661"/>
      <c r="BR10" s="753">
        <f>+BR404</f>
        <v>685.4838709677424</v>
      </c>
      <c r="BS10" s="659"/>
      <c r="BT10" s="659"/>
      <c r="BU10" s="659"/>
      <c r="BV10" s="681"/>
      <c r="BW10" s="661"/>
      <c r="BX10" s="661"/>
      <c r="BY10" s="753">
        <f t="shared" si="10"/>
        <v>119.74789915966539</v>
      </c>
      <c r="BZ10" s="659"/>
      <c r="CA10" s="659"/>
      <c r="CB10" s="659"/>
      <c r="CC10" s="681"/>
      <c r="CD10" s="661"/>
      <c r="CE10" s="661"/>
      <c r="CF10" s="753">
        <f t="shared" si="10"/>
        <v>0</v>
      </c>
      <c r="CG10" s="659"/>
      <c r="CH10" s="659"/>
      <c r="CI10" s="659"/>
      <c r="CJ10" s="681"/>
      <c r="CK10" s="661"/>
      <c r="CL10" s="661"/>
      <c r="CM10" s="753">
        <f t="shared" si="10"/>
        <v>-419.47926711668333</v>
      </c>
      <c r="CN10" s="659">
        <f t="shared" si="10"/>
        <v>0</v>
      </c>
      <c r="CO10" s="659">
        <f t="shared" si="10"/>
        <v>0</v>
      </c>
      <c r="CP10" s="659">
        <f t="shared" ref="CP10" si="11">+CP404</f>
        <v>0</v>
      </c>
      <c r="CQ10" s="681">
        <f t="shared" si="10"/>
        <v>0</v>
      </c>
      <c r="CR10" s="661">
        <f t="shared" si="10"/>
        <v>0</v>
      </c>
      <c r="CS10" s="661">
        <f t="shared" si="10"/>
        <v>0</v>
      </c>
      <c r="CT10" s="753">
        <f t="shared" si="10"/>
        <v>267.20289015371236</v>
      </c>
      <c r="CU10" s="659">
        <f t="shared" ref="CU10:CX10" si="12">+CU404</f>
        <v>0</v>
      </c>
      <c r="CV10" s="661">
        <f t="shared" si="12"/>
        <v>0</v>
      </c>
      <c r="CW10" s="659">
        <f t="shared" si="12"/>
        <v>0</v>
      </c>
      <c r="CX10" s="681">
        <f t="shared" si="12"/>
        <v>0</v>
      </c>
      <c r="CY10" s="661">
        <f t="shared" ref="CY10:CZ10" si="13">+CY404</f>
        <v>0</v>
      </c>
      <c r="CZ10" s="661">
        <f t="shared" si="13"/>
        <v>0</v>
      </c>
      <c r="DA10" s="753">
        <f t="shared" ref="DA10:DE10" si="14">+DA404</f>
        <v>-119.58557413102972</v>
      </c>
      <c r="DB10" s="659">
        <f t="shared" si="14"/>
        <v>0</v>
      </c>
      <c r="DC10" s="661">
        <f t="shared" si="14"/>
        <v>0</v>
      </c>
      <c r="DD10" s="659">
        <f t="shared" si="14"/>
        <v>0</v>
      </c>
      <c r="DE10" s="681">
        <f t="shared" si="14"/>
        <v>0</v>
      </c>
      <c r="DF10" s="661">
        <f t="shared" si="10"/>
        <v>0</v>
      </c>
      <c r="DG10" s="661">
        <f t="shared" si="10"/>
        <v>0</v>
      </c>
      <c r="DH10" s="753">
        <f t="shared" si="10"/>
        <v>369.55197912135918</v>
      </c>
      <c r="DI10" s="659">
        <f t="shared" si="10"/>
        <v>0</v>
      </c>
      <c r="DJ10" s="661">
        <f t="shared" si="10"/>
        <v>0</v>
      </c>
      <c r="DK10" s="659">
        <f t="shared" si="10"/>
        <v>0</v>
      </c>
      <c r="DL10" s="660">
        <f t="shared" si="10"/>
        <v>0</v>
      </c>
      <c r="DM10" s="661">
        <f t="shared" ref="DM10" si="15">+DM404</f>
        <v>0</v>
      </c>
      <c r="DN10" s="659">
        <f t="shared" si="10"/>
        <v>0</v>
      </c>
      <c r="DO10" s="1385">
        <f t="shared" si="10"/>
        <v>-311.30506072310527</v>
      </c>
      <c r="DP10" s="659">
        <f t="shared" si="10"/>
        <v>0</v>
      </c>
      <c r="DQ10" s="659">
        <f t="shared" si="10"/>
        <v>0</v>
      </c>
      <c r="DR10" s="659">
        <f t="shared" si="10"/>
        <v>0</v>
      </c>
      <c r="DS10" s="660">
        <f t="shared" si="10"/>
        <v>0</v>
      </c>
      <c r="DT10" s="659">
        <f t="shared" si="10"/>
        <v>0</v>
      </c>
      <c r="DU10" s="659">
        <f t="shared" si="10"/>
        <v>0</v>
      </c>
      <c r="DV10" s="1385">
        <f t="shared" si="10"/>
        <v>-349.74517611520423</v>
      </c>
      <c r="DW10" s="659">
        <f t="shared" si="10"/>
        <v>0</v>
      </c>
      <c r="DX10" s="659">
        <f t="shared" si="10"/>
        <v>0</v>
      </c>
      <c r="DY10" s="659">
        <f t="shared" si="10"/>
        <v>0</v>
      </c>
      <c r="DZ10" s="660">
        <f t="shared" si="10"/>
        <v>0</v>
      </c>
      <c r="EA10" s="659">
        <f t="shared" si="10"/>
        <v>0</v>
      </c>
      <c r="EB10" s="659">
        <f t="shared" si="10"/>
        <v>0</v>
      </c>
      <c r="EC10" s="1385">
        <f t="shared" si="10"/>
        <v>316.37431277494034</v>
      </c>
      <c r="ED10" s="659">
        <f t="shared" si="10"/>
        <v>0</v>
      </c>
      <c r="EE10" s="659">
        <f t="shared" si="10"/>
        <v>0</v>
      </c>
      <c r="EF10" s="659">
        <f t="shared" si="10"/>
        <v>0</v>
      </c>
      <c r="EG10" s="660">
        <f t="shared" si="10"/>
        <v>0</v>
      </c>
      <c r="EH10" s="659">
        <f t="shared" si="10"/>
        <v>0</v>
      </c>
      <c r="EI10" s="659">
        <f t="shared" si="10"/>
        <v>0</v>
      </c>
      <c r="EJ10" s="1385">
        <f t="shared" si="10"/>
        <v>-275.10184203774406</v>
      </c>
      <c r="EK10" s="659">
        <f t="shared" si="10"/>
        <v>0</v>
      </c>
      <c r="EL10" s="659">
        <f t="shared" si="10"/>
        <v>0</v>
      </c>
      <c r="EM10" s="659">
        <f t="shared" si="10"/>
        <v>0</v>
      </c>
      <c r="EN10" s="660">
        <f>+EN404</f>
        <v>0</v>
      </c>
      <c r="EO10" s="659">
        <f>+EO404</f>
        <v>0</v>
      </c>
      <c r="EP10" s="659">
        <f>+EP404</f>
        <v>0</v>
      </c>
      <c r="EQ10" s="1385">
        <f>+EQ404</f>
        <v>-351.39501721629131</v>
      </c>
    </row>
    <row r="11" spans="1:147" ht="10.199999999999999" customHeight="1" collapsed="1">
      <c r="A11" s="48" t="s">
        <v>714</v>
      </c>
      <c r="B11" s="111"/>
      <c r="C11" s="111">
        <f>Divisional!B4</f>
        <v>20549</v>
      </c>
      <c r="D11" s="111">
        <f>Divisional!C4</f>
        <v>19512</v>
      </c>
      <c r="E11" s="111">
        <f>Divisional!D4</f>
        <v>19048</v>
      </c>
      <c r="F11" s="111">
        <f>Divisional!E4</f>
        <v>20224</v>
      </c>
      <c r="G11" s="111">
        <f>Divisional!F4</f>
        <v>22179</v>
      </c>
      <c r="H11" s="111">
        <f>Divisional!G4</f>
        <v>25190</v>
      </c>
      <c r="I11" s="111">
        <f>Divisional!H4</f>
        <v>25216</v>
      </c>
      <c r="J11" s="111">
        <f>Divisional!I4</f>
        <v>26524</v>
      </c>
      <c r="K11" s="111">
        <f>Divisional!J4</f>
        <v>26370</v>
      </c>
      <c r="L11" s="111">
        <f>Divisional!K4</f>
        <v>27673</v>
      </c>
      <c r="M11" s="111">
        <f>Divisional!L4</f>
        <v>31159</v>
      </c>
      <c r="N11" s="111">
        <f>Divisional!M4</f>
        <v>36943</v>
      </c>
      <c r="O11" s="111">
        <f>Divisional!N4</f>
        <v>8759</v>
      </c>
      <c r="P11" s="111">
        <f>Divisional!O4</f>
        <v>9343</v>
      </c>
      <c r="Q11" s="111">
        <f>Divisional!P4</f>
        <v>9226</v>
      </c>
      <c r="R11" s="682">
        <f>Divisional!Q4</f>
        <v>12166</v>
      </c>
      <c r="S11" s="111">
        <f>Divisional!R4</f>
        <v>18102</v>
      </c>
      <c r="T11" s="111">
        <f>Divisional!S4</f>
        <v>21392</v>
      </c>
      <c r="U11" s="340">
        <f>Divisional!T4</f>
        <v>39494</v>
      </c>
      <c r="V11" s="111">
        <f>Divisional!U4</f>
        <v>8937</v>
      </c>
      <c r="W11" s="111">
        <f>Divisional!V4</f>
        <v>10492</v>
      </c>
      <c r="X11" s="111">
        <f>Divisional!W4</f>
        <v>9391</v>
      </c>
      <c r="Y11" s="682">
        <f>Divisional!X4</f>
        <v>13460</v>
      </c>
      <c r="Z11" s="111">
        <f>Divisional!Y4</f>
        <v>19429</v>
      </c>
      <c r="AA11" s="111">
        <f>Divisional!Z4</f>
        <v>22851</v>
      </c>
      <c r="AB11" s="340">
        <f>Divisional!AA4</f>
        <v>42280</v>
      </c>
      <c r="AC11" s="111">
        <f>Divisional!AB4</f>
        <v>8565</v>
      </c>
      <c r="AD11" s="111">
        <f>Divisional!AC4</f>
        <v>12516</v>
      </c>
      <c r="AE11" s="111">
        <f>Divisional!AD4</f>
        <v>10038</v>
      </c>
      <c r="AF11" s="682">
        <f>Divisional!AE4</f>
        <v>14735</v>
      </c>
      <c r="AG11" s="111">
        <f>Divisional!AF4</f>
        <v>21081</v>
      </c>
      <c r="AH11" s="111">
        <f>Divisional!AG4</f>
        <v>24773</v>
      </c>
      <c r="AI11" s="340">
        <f>Divisional!AH4</f>
        <v>45854</v>
      </c>
      <c r="AJ11" s="111">
        <f>Divisional!AI4</f>
        <v>8668</v>
      </c>
      <c r="AK11" s="111">
        <f>Divisional!AJ4</f>
        <v>12393</v>
      </c>
      <c r="AL11" s="111">
        <f>Divisional!AK4</f>
        <v>10450</v>
      </c>
      <c r="AM11" s="682">
        <f>Divisional!AL4</f>
        <v>17726</v>
      </c>
      <c r="AN11" s="111">
        <f>Divisional!AM4</f>
        <v>21061</v>
      </c>
      <c r="AO11" s="111">
        <f>Divisional!AN4</f>
        <v>28176</v>
      </c>
      <c r="AP11" s="340">
        <f>Divisional!AO4</f>
        <v>49237</v>
      </c>
      <c r="AQ11" s="111">
        <f>Divisional!AP4</f>
        <v>9825</v>
      </c>
      <c r="AR11" s="111">
        <f>Divisional!AQ4</f>
        <v>11964</v>
      </c>
      <c r="AS11" s="111">
        <f>Divisional!AR4</f>
        <v>10854</v>
      </c>
      <c r="AT11" s="682">
        <f>Divisional!AS4</f>
        <v>18315</v>
      </c>
      <c r="AU11" s="111">
        <f>Divisional!AT4</f>
        <v>21789</v>
      </c>
      <c r="AV11" s="111">
        <f>Divisional!AU4</f>
        <v>29169</v>
      </c>
      <c r="AW11" s="340">
        <f>Divisional!AV4</f>
        <v>50958</v>
      </c>
      <c r="AX11" s="111">
        <f>Divisional!AW4</f>
        <v>8166</v>
      </c>
      <c r="AY11" s="111">
        <f>Divisional!AX4</f>
        <v>10016</v>
      </c>
      <c r="AZ11" s="111">
        <f>Divisional!AY4</f>
        <v>9397</v>
      </c>
      <c r="BA11" s="682">
        <f>Divisional!AZ4</f>
        <v>15907</v>
      </c>
      <c r="BB11" s="111">
        <f>Divisional!BA4</f>
        <v>18182</v>
      </c>
      <c r="BC11" s="111">
        <f>Divisional!BB4</f>
        <v>25304</v>
      </c>
      <c r="BD11" s="340">
        <f>Divisional!BC4</f>
        <v>43486</v>
      </c>
      <c r="BE11" s="111">
        <f>Divisional!BD4</f>
        <v>7222</v>
      </c>
      <c r="BF11" s="111">
        <f>Divisional!BE4</f>
        <v>11324</v>
      </c>
      <c r="BG11" s="111">
        <f>Divisional!BF4</f>
        <v>11932</v>
      </c>
      <c r="BH11" s="682">
        <f>Divisional!BG4</f>
        <v>17492</v>
      </c>
      <c r="BI11" s="111">
        <f>Divisional!BH4</f>
        <v>18546</v>
      </c>
      <c r="BJ11" s="111">
        <f>Divisional!BI4</f>
        <v>29424</v>
      </c>
      <c r="BK11" s="340">
        <f>Divisional!BJ4</f>
        <v>47970</v>
      </c>
      <c r="BL11" s="111">
        <f>Divisional!BR4</f>
        <v>9697</v>
      </c>
      <c r="BM11" s="111">
        <f>Divisional!BS4</f>
        <v>14346</v>
      </c>
      <c r="BN11" s="111">
        <f>Divisional!BT4</f>
        <v>11529</v>
      </c>
      <c r="BO11" s="682">
        <f>Divisional!BU4</f>
        <v>19203</v>
      </c>
      <c r="BP11" s="111">
        <f>Divisional!BV4</f>
        <v>24043</v>
      </c>
      <c r="BQ11" s="111">
        <f>Divisional!BW4</f>
        <v>30732</v>
      </c>
      <c r="BR11" s="340">
        <f>Divisional!BX4</f>
        <v>54775</v>
      </c>
      <c r="BS11" s="111">
        <f>Divisional!BY4</f>
        <v>7569</v>
      </c>
      <c r="BT11" s="111">
        <f>Divisional!BZ4</f>
        <v>4964</v>
      </c>
      <c r="BU11" s="111">
        <f>Divisional!CA4</f>
        <v>7738</v>
      </c>
      <c r="BV11" s="682">
        <f>Divisional!CB4</f>
        <v>13979</v>
      </c>
      <c r="BW11" s="111">
        <f>Divisional!CC4</f>
        <v>12533</v>
      </c>
      <c r="BX11" s="111">
        <f>Divisional!CD4</f>
        <v>21717</v>
      </c>
      <c r="BY11" s="340">
        <f>Divisional!CE4</f>
        <v>34250</v>
      </c>
      <c r="BZ11" s="111">
        <f>Divisional!CF4</f>
        <v>7272</v>
      </c>
      <c r="CA11" s="111">
        <f>Divisional!CG4</f>
        <v>10541</v>
      </c>
      <c r="CB11" s="111">
        <f>Divisional!CH4</f>
        <v>6805</v>
      </c>
      <c r="CC11" s="682">
        <f>Divisional!CI4</f>
        <v>11546</v>
      </c>
      <c r="CD11" s="111">
        <f>Divisional!CJ4</f>
        <v>17813</v>
      </c>
      <c r="CE11" s="111">
        <f>Divisional!CK4</f>
        <v>18351</v>
      </c>
      <c r="CF11" s="340">
        <f>Divisional!CL4</f>
        <v>36164</v>
      </c>
      <c r="CG11" s="111">
        <f>Divisional!CM4</f>
        <v>8541</v>
      </c>
      <c r="CH11" s="111">
        <f>Divisional!CN4</f>
        <v>8992</v>
      </c>
      <c r="CI11" s="111">
        <f>Divisional!CO4</f>
        <v>9121</v>
      </c>
      <c r="CJ11" s="682">
        <f>Divisional!CP4</f>
        <v>14774</v>
      </c>
      <c r="CK11" s="111">
        <f>Divisional!CQ4</f>
        <v>17533</v>
      </c>
      <c r="CL11" s="111">
        <f>Divisional!CR4</f>
        <v>23895</v>
      </c>
      <c r="CM11" s="340">
        <f>Divisional!CS4</f>
        <v>41428</v>
      </c>
      <c r="CN11" s="111">
        <f>Divisional!CT4</f>
        <v>8110</v>
      </c>
      <c r="CO11" s="111">
        <f>Divisional!CU4</f>
        <v>12239</v>
      </c>
      <c r="CP11" s="111">
        <f>Divisional!CV4</f>
        <v>11158</v>
      </c>
      <c r="CQ11" s="682">
        <f t="shared" ref="CQ11:EQ11" si="16">CQ5+CQ9</f>
        <v>16255.999999999998</v>
      </c>
      <c r="CR11" s="111">
        <f>Divisional!CX4</f>
        <v>20349</v>
      </c>
      <c r="CS11" s="111">
        <f t="shared" si="16"/>
        <v>27414</v>
      </c>
      <c r="CT11" s="340">
        <f>Divisional!CZ4</f>
        <v>47763</v>
      </c>
      <c r="CU11" s="111">
        <f>Divisional!DA4</f>
        <v>9167</v>
      </c>
      <c r="CV11" s="111">
        <f>Divisional!DB4</f>
        <v>12048</v>
      </c>
      <c r="CW11" s="111">
        <f>Divisional!DC4</f>
        <v>11664</v>
      </c>
      <c r="CX11" s="682">
        <f t="shared" ref="CX11" si="17">CX5+CX9</f>
        <v>17767</v>
      </c>
      <c r="CY11" s="111">
        <f>Divisional!DE4</f>
        <v>21215</v>
      </c>
      <c r="CZ11" s="111">
        <f t="shared" ref="CZ11" si="18">CZ5+CZ9</f>
        <v>29431</v>
      </c>
      <c r="DA11" s="340">
        <f>Divisional!DG4</f>
        <v>50646</v>
      </c>
      <c r="DB11" s="111">
        <f>Divisional!DH4</f>
        <v>9521</v>
      </c>
      <c r="DC11" s="111">
        <f>Divisional!DI4</f>
        <v>11308</v>
      </c>
      <c r="DD11" s="111">
        <f>Divisional!DJ4</f>
        <v>13057</v>
      </c>
      <c r="DE11" s="682">
        <f t="shared" ref="DE11" si="19">DE5+DE9</f>
        <v>18691</v>
      </c>
      <c r="DF11" s="111">
        <f>Divisional!DL4</f>
        <v>20829</v>
      </c>
      <c r="DG11" s="111">
        <f t="shared" ref="DG11" si="20">DG5+DG9</f>
        <v>31748</v>
      </c>
      <c r="DH11" s="340">
        <f>Divisional!DN4</f>
        <v>52577</v>
      </c>
      <c r="DI11" s="111">
        <f>Divisional!DO4</f>
        <v>8436</v>
      </c>
      <c r="DJ11" s="111">
        <f>Divisional!DP4</f>
        <v>15441</v>
      </c>
      <c r="DK11" s="401">
        <f t="shared" si="16"/>
        <v>14465.159374942479</v>
      </c>
      <c r="DL11" s="431">
        <f t="shared" si="16"/>
        <v>19996.599972978511</v>
      </c>
      <c r="DM11" s="111">
        <f>Divisional!DS4</f>
        <v>23877</v>
      </c>
      <c r="DN11" s="401">
        <f t="shared" si="16"/>
        <v>34461.75934792099</v>
      </c>
      <c r="DO11" s="400">
        <f t="shared" si="16"/>
        <v>58338.75934792099</v>
      </c>
      <c r="DP11" s="401">
        <f t="shared" si="16"/>
        <v>15947.903480844785</v>
      </c>
      <c r="DQ11" s="401">
        <f t="shared" si="16"/>
        <v>16847.493062443657</v>
      </c>
      <c r="DR11" s="401">
        <f t="shared" si="16"/>
        <v>16890.458627828706</v>
      </c>
      <c r="DS11" s="431">
        <f t="shared" si="16"/>
        <v>16547.132419279817</v>
      </c>
      <c r="DT11" s="401">
        <f t="shared" si="16"/>
        <v>32795.396543288443</v>
      </c>
      <c r="DU11" s="401">
        <f t="shared" si="16"/>
        <v>33437.591047108523</v>
      </c>
      <c r="DV11" s="400">
        <f t="shared" si="16"/>
        <v>66232.987590396966</v>
      </c>
      <c r="DW11" s="401">
        <f t="shared" si="16"/>
        <v>17483.516113039725</v>
      </c>
      <c r="DX11" s="401">
        <f t="shared" si="16"/>
        <v>18521.309142763625</v>
      </c>
      <c r="DY11" s="401">
        <f t="shared" si="16"/>
        <v>18566.922653250138</v>
      </c>
      <c r="DZ11" s="431">
        <f t="shared" si="16"/>
        <v>18573.742633589314</v>
      </c>
      <c r="EA11" s="401">
        <f t="shared" si="16"/>
        <v>36004.825255803349</v>
      </c>
      <c r="EB11" s="401">
        <f t="shared" si="16"/>
        <v>37140.665286839452</v>
      </c>
      <c r="EC11" s="400">
        <f t="shared" si="16"/>
        <v>73145.490542642801</v>
      </c>
      <c r="ED11" s="401">
        <f t="shared" si="16"/>
        <v>18860.931525780885</v>
      </c>
      <c r="EE11" s="401">
        <f t="shared" si="16"/>
        <v>19139.547824434798</v>
      </c>
      <c r="EF11" s="401">
        <f t="shared" si="16"/>
        <v>19187.187906652489</v>
      </c>
      <c r="EG11" s="431">
        <f t="shared" si="16"/>
        <v>19182.933288099495</v>
      </c>
      <c r="EH11" s="401">
        <f t="shared" si="16"/>
        <v>38000.479350215683</v>
      </c>
      <c r="EI11" s="401">
        <f t="shared" si="16"/>
        <v>38370.121194751984</v>
      </c>
      <c r="EJ11" s="400">
        <f t="shared" si="16"/>
        <v>76370.600544967674</v>
      </c>
      <c r="EK11" s="401">
        <f t="shared" si="16"/>
        <v>19414.718418889872</v>
      </c>
      <c r="EL11" s="401">
        <f t="shared" si="16"/>
        <v>19711.988291482878</v>
      </c>
      <c r="EM11" s="401">
        <f t="shared" si="16"/>
        <v>19762.592797427096</v>
      </c>
      <c r="EN11" s="431">
        <f t="shared" si="16"/>
        <v>19739.232629606347</v>
      </c>
      <c r="EO11" s="401">
        <f t="shared" si="16"/>
        <v>39126.706710372746</v>
      </c>
      <c r="EP11" s="401">
        <f t="shared" si="16"/>
        <v>39501.825427033444</v>
      </c>
      <c r="EQ11" s="400">
        <f t="shared" si="16"/>
        <v>78628.53213740619</v>
      </c>
    </row>
    <row r="12" spans="1:147" ht="10.199999999999999" customHeight="1">
      <c r="A12" s="51" t="s">
        <v>319</v>
      </c>
      <c r="B12" s="114"/>
      <c r="C12" s="115"/>
      <c r="D12" s="115">
        <f t="shared" ref="D12:K12" si="21">D11/C11-1</f>
        <v>-5.0464742809869123E-2</v>
      </c>
      <c r="E12" s="115">
        <f t="shared" si="21"/>
        <v>-2.3780237802378035E-2</v>
      </c>
      <c r="F12" s="115">
        <f t="shared" si="21"/>
        <v>6.1738765224695458E-2</v>
      </c>
      <c r="G12" s="115">
        <f t="shared" si="21"/>
        <v>9.6667325949367111E-2</v>
      </c>
      <c r="H12" s="115">
        <f t="shared" si="21"/>
        <v>0.1357590513548852</v>
      </c>
      <c r="I12" s="115">
        <f t="shared" si="21"/>
        <v>1.0321556173085167E-3</v>
      </c>
      <c r="J12" s="115">
        <f t="shared" si="21"/>
        <v>5.1871827411167581E-2</v>
      </c>
      <c r="K12" s="115">
        <f t="shared" si="21"/>
        <v>-5.8060624340220413E-3</v>
      </c>
      <c r="L12" s="115">
        <f t="shared" ref="L12:N12" si="22">L11/K11-1</f>
        <v>4.9412210845658056E-2</v>
      </c>
      <c r="M12" s="115">
        <f t="shared" si="22"/>
        <v>0.12597116322769497</v>
      </c>
      <c r="N12" s="115">
        <f t="shared" si="22"/>
        <v>0.18562855033858594</v>
      </c>
      <c r="O12" s="937"/>
      <c r="P12" s="937"/>
      <c r="Q12" s="937"/>
      <c r="R12" s="966"/>
      <c r="S12" s="937"/>
      <c r="T12" s="937"/>
      <c r="U12" s="341">
        <f>U11/N11-1</f>
        <v>6.9052323850255837E-2</v>
      </c>
      <c r="V12" s="115">
        <f t="shared" ref="V12:AA12" si="23">V11/O11-1</f>
        <v>2.0321954561022926E-2</v>
      </c>
      <c r="W12" s="115">
        <f t="shared" si="23"/>
        <v>0.12297977095151458</v>
      </c>
      <c r="X12" s="115">
        <f t="shared" si="23"/>
        <v>1.7884240190765288E-2</v>
      </c>
      <c r="Y12" s="683">
        <f t="shared" si="23"/>
        <v>0.10636199243794175</v>
      </c>
      <c r="Z12" s="115">
        <f t="shared" si="23"/>
        <v>7.3306816926306473E-2</v>
      </c>
      <c r="AA12" s="115">
        <f t="shared" si="23"/>
        <v>6.8203066566940862E-2</v>
      </c>
      <c r="AB12" s="341">
        <f>AB11/U11-1</f>
        <v>7.0542360864941589E-2</v>
      </c>
      <c r="AC12" s="115">
        <f t="shared" ref="AC12" si="24">AC11/V11-1</f>
        <v>-4.1624706277274215E-2</v>
      </c>
      <c r="AD12" s="115">
        <f t="shared" ref="AD12" si="25">AD11/W11-1</f>
        <v>0.19290888295844444</v>
      </c>
      <c r="AE12" s="115">
        <f t="shared" ref="AE12" si="26">AE11/X11-1</f>
        <v>6.8895751251197845E-2</v>
      </c>
      <c r="AF12" s="683">
        <f t="shared" ref="AF12" si="27">AF11/Y11-1</f>
        <v>9.4725111441307686E-2</v>
      </c>
      <c r="AG12" s="115">
        <f t="shared" ref="AG12" si="28">AG11/Z11-1</f>
        <v>8.5027536157290751E-2</v>
      </c>
      <c r="AH12" s="115">
        <f t="shared" ref="AH12" si="29">AH11/AA11-1</f>
        <v>8.4110104590608747E-2</v>
      </c>
      <c r="AI12" s="341">
        <f>AI11/AB11-1</f>
        <v>8.4531693472090774E-2</v>
      </c>
      <c r="AJ12" s="115">
        <f t="shared" ref="AJ12" si="30">AJ11/AC11-1</f>
        <v>1.2025685931114971E-2</v>
      </c>
      <c r="AK12" s="115">
        <f t="shared" ref="AK12" si="31">AK11/AD11-1</f>
        <v>-9.827420901246442E-3</v>
      </c>
      <c r="AL12" s="115">
        <f t="shared" ref="AL12" si="32">AL11/AE11-1</f>
        <v>4.1044032675831899E-2</v>
      </c>
      <c r="AM12" s="683">
        <f t="shared" ref="AM12" si="33">AM11/AF11-1</f>
        <v>0.20298608754665759</v>
      </c>
      <c r="AN12" s="115">
        <f t="shared" ref="AN12" si="34">AN11/AG11-1</f>
        <v>-9.487215976471397E-4</v>
      </c>
      <c r="AO12" s="115">
        <f t="shared" ref="AO12" si="35">AO11/AH11-1</f>
        <v>0.13736729503895373</v>
      </c>
      <c r="AP12" s="341">
        <f>AP11/AI11-1</f>
        <v>7.3777642081388706E-2</v>
      </c>
      <c r="AQ12" s="115">
        <f t="shared" ref="AQ12" si="36">AQ11/AJ11-1</f>
        <v>0.13347946469773886</v>
      </c>
      <c r="AR12" s="115">
        <f t="shared" ref="AR12" si="37">AR11/AK11-1</f>
        <v>-3.4616315662067243E-2</v>
      </c>
      <c r="AS12" s="115">
        <f t="shared" ref="AS12" si="38">AS11/AL11-1</f>
        <v>3.8660287081339728E-2</v>
      </c>
      <c r="AT12" s="683">
        <f t="shared" ref="AT12" si="39">AT11/AM11-1</f>
        <v>3.3228026627552643E-2</v>
      </c>
      <c r="AU12" s="115">
        <f t="shared" ref="AU12" si="40">AU11/AN11-1</f>
        <v>3.456625991168516E-2</v>
      </c>
      <c r="AV12" s="115">
        <f t="shared" ref="AV12" si="41">AV11/AO11-1</f>
        <v>3.5242759795570677E-2</v>
      </c>
      <c r="AW12" s="341">
        <f t="shared" ref="AW12" si="42">AW11/AP11-1</f>
        <v>3.4953388711741251E-2</v>
      </c>
      <c r="AX12" s="115">
        <f t="shared" ref="AX12:BC12" si="43">AX11/AJ11-1</f>
        <v>-5.7914167051222876E-2</v>
      </c>
      <c r="AY12" s="115">
        <f t="shared" si="43"/>
        <v>-0.19180182361010245</v>
      </c>
      <c r="AZ12" s="115">
        <f t="shared" si="43"/>
        <v>-0.1007655502392345</v>
      </c>
      <c r="BA12" s="683">
        <f t="shared" si="43"/>
        <v>-0.10261762382940309</v>
      </c>
      <c r="BB12" s="115">
        <f t="shared" si="43"/>
        <v>-0.136698162480414</v>
      </c>
      <c r="BC12" s="115">
        <f t="shared" si="43"/>
        <v>-0.1019307211811471</v>
      </c>
      <c r="BD12" s="341">
        <f>BD11/AP11-1</f>
        <v>-0.11680240469565573</v>
      </c>
      <c r="BE12" s="115">
        <f t="shared" ref="BE12" si="44">BE11/AX11-1</f>
        <v>-0.11560127357335293</v>
      </c>
      <c r="BF12" s="115">
        <f t="shared" ref="BF12" si="45">BF11/AY11-1</f>
        <v>0.13059105431309903</v>
      </c>
      <c r="BG12" s="115">
        <f t="shared" ref="BG12" si="46">BG11/AZ11-1</f>
        <v>0.26976694689794622</v>
      </c>
      <c r="BH12" s="683">
        <f t="shared" ref="BH12" si="47">BH11/BA11-1</f>
        <v>9.9641667190545125E-2</v>
      </c>
      <c r="BI12" s="115">
        <f t="shared" ref="BI12" si="48">BI11/BB11-1</f>
        <v>2.001979980200197E-2</v>
      </c>
      <c r="BJ12" s="115">
        <f t="shared" ref="BJ12" si="49">BJ11/BC11-1</f>
        <v>0.16282010749288656</v>
      </c>
      <c r="BK12" s="341">
        <f>BK11/AW11-1</f>
        <v>-5.8636524196396977E-2</v>
      </c>
      <c r="BL12" s="115">
        <f t="shared" ref="BL12" si="50">BL11/BE11-1</f>
        <v>0.34270285239545828</v>
      </c>
      <c r="BM12" s="115">
        <f t="shared" ref="BM12" si="51">BM11/BF11-1</f>
        <v>0.26686683150830093</v>
      </c>
      <c r="BN12" s="115">
        <f t="shared" ref="BN12" si="52">BN11/BG11-1</f>
        <v>-3.3774723432785758E-2</v>
      </c>
      <c r="BO12" s="683">
        <f t="shared" ref="BO12" si="53">BO11/BH11-1</f>
        <v>9.7816144523210635E-2</v>
      </c>
      <c r="BP12" s="115">
        <f t="shared" ref="BP12" si="54">BP11/BI11-1</f>
        <v>0.29639814515259366</v>
      </c>
      <c r="BQ12" s="115">
        <f t="shared" ref="BQ12" si="55">BQ11/BJ11-1</f>
        <v>4.4453507340946219E-2</v>
      </c>
      <c r="BR12" s="341">
        <f>BR11/BK11-1</f>
        <v>0.14185949551803212</v>
      </c>
      <c r="BS12" s="115">
        <f t="shared" ref="BS12" si="56">BS11/BL11-1</f>
        <v>-0.21944931422089309</v>
      </c>
      <c r="BT12" s="115">
        <f t="shared" ref="BT12" si="57">BT11/BM11-1</f>
        <v>-0.65398020354105668</v>
      </c>
      <c r="BU12" s="115">
        <f t="shared" ref="BU12" si="58">BU11/BN11-1</f>
        <v>-0.32882296816723044</v>
      </c>
      <c r="BV12" s="683">
        <f t="shared" ref="BV12" si="59">BV11/BO11-1</f>
        <v>-0.27204082695412179</v>
      </c>
      <c r="BW12" s="115">
        <f t="shared" ref="BW12" si="60">BW11/BP11-1</f>
        <v>-0.47872561660358526</v>
      </c>
      <c r="BX12" s="115">
        <f t="shared" ref="BX12" si="61">BX11/BQ11-1</f>
        <v>-0.29334244435767276</v>
      </c>
      <c r="BY12" s="341">
        <f>BY11/BR11-1</f>
        <v>-0.37471474212688272</v>
      </c>
      <c r="BZ12" s="115">
        <f t="shared" ref="BZ12" si="62">BZ11/BS11-1</f>
        <v>-3.9239001189060652E-2</v>
      </c>
      <c r="CA12" s="115">
        <f t="shared" ref="CA12" si="63">CA11/BT11-1</f>
        <v>1.1234891216760676</v>
      </c>
      <c r="CB12" s="115">
        <f t="shared" ref="CB12" si="64">CB11/BU11-1</f>
        <v>-0.12057379167743598</v>
      </c>
      <c r="CC12" s="683">
        <f t="shared" ref="CC12" si="65">CC11/BV11-1</f>
        <v>-0.17404678446240784</v>
      </c>
      <c r="CD12" s="115">
        <f t="shared" ref="CD12" si="66">CD11/BW11-1</f>
        <v>0.42128780020745227</v>
      </c>
      <c r="CE12" s="115">
        <f t="shared" ref="CE12" si="67">CE11/BX11-1</f>
        <v>-0.15499378367177785</v>
      </c>
      <c r="CF12" s="341">
        <f>CF11/BY11-1</f>
        <v>5.5883211678832145E-2</v>
      </c>
      <c r="CG12" s="115">
        <f t="shared" ref="CG12" si="68">CG11/BZ11-1</f>
        <v>0.17450495049504955</v>
      </c>
      <c r="CH12" s="115">
        <f t="shared" ref="CH12" si="69">CH11/CA11-1</f>
        <v>-0.14695000474338293</v>
      </c>
      <c r="CI12" s="115">
        <f t="shared" ref="CI12" si="70">CI11/CB11-1</f>
        <v>0.3403379867744305</v>
      </c>
      <c r="CJ12" s="683">
        <f t="shared" ref="CJ12" si="71">CJ11/CC11-1</f>
        <v>0.27957734280270219</v>
      </c>
      <c r="CK12" s="115">
        <f t="shared" ref="CK12" si="72">CK11/CD11-1</f>
        <v>-1.57188570145399E-2</v>
      </c>
      <c r="CL12" s="115">
        <f t="shared" ref="CL12" si="73">CL11/CE11-1</f>
        <v>0.30210887690044141</v>
      </c>
      <c r="CM12" s="341">
        <f>CM11/CF11-1</f>
        <v>0.14555911956641965</v>
      </c>
      <c r="CN12" s="115">
        <f t="shared" ref="CN12:CS12" si="74">CN11/CG11-1</f>
        <v>-5.0462475120009342E-2</v>
      </c>
      <c r="CO12" s="115">
        <f t="shared" si="74"/>
        <v>0.36109875444839856</v>
      </c>
      <c r="CP12" s="115">
        <f t="shared" si="74"/>
        <v>0.22333077513430544</v>
      </c>
      <c r="CQ12" s="683">
        <f t="shared" si="74"/>
        <v>0.10031135779071332</v>
      </c>
      <c r="CR12" s="115">
        <f t="shared" si="74"/>
        <v>0.16061141846803162</v>
      </c>
      <c r="CS12" s="115">
        <f t="shared" si="74"/>
        <v>0.14726930320150666</v>
      </c>
      <c r="CT12" s="341">
        <f t="shared" ref="CT12:DY12" si="75">CT11/CM11-1</f>
        <v>0.15291590228830731</v>
      </c>
      <c r="CU12" s="937">
        <f t="shared" si="75"/>
        <v>0.13033292231812577</v>
      </c>
      <c r="CV12" s="937">
        <f t="shared" si="75"/>
        <v>-1.560585015115612E-2</v>
      </c>
      <c r="CW12" s="937">
        <f t="shared" si="75"/>
        <v>4.5348628786520795E-2</v>
      </c>
      <c r="CX12" s="683">
        <f t="shared" si="75"/>
        <v>9.2950295275590733E-2</v>
      </c>
      <c r="CY12" s="937">
        <f t="shared" si="75"/>
        <v>4.2557373826723754E-2</v>
      </c>
      <c r="CZ12" s="115">
        <f t="shared" si="75"/>
        <v>7.3575545341796111E-2</v>
      </c>
      <c r="DA12" s="341">
        <f t="shared" si="75"/>
        <v>6.0360530117455014E-2</v>
      </c>
      <c r="DB12" s="937">
        <f t="shared" si="75"/>
        <v>3.861677757172477E-2</v>
      </c>
      <c r="DC12" s="937">
        <f t="shared" si="75"/>
        <v>-6.1420982735723717E-2</v>
      </c>
      <c r="DD12" s="937">
        <f t="shared" si="75"/>
        <v>0.11942729766803839</v>
      </c>
      <c r="DE12" s="683">
        <f t="shared" si="75"/>
        <v>5.2006528958180809E-2</v>
      </c>
      <c r="DF12" s="937">
        <f t="shared" si="75"/>
        <v>-1.8194673580014142E-2</v>
      </c>
      <c r="DG12" s="115">
        <f t="shared" si="75"/>
        <v>7.8726512860589182E-2</v>
      </c>
      <c r="DH12" s="341">
        <f t="shared" si="75"/>
        <v>3.8127394068633302E-2</v>
      </c>
      <c r="DI12" s="937">
        <f t="shared" si="75"/>
        <v>-0.1139586177922487</v>
      </c>
      <c r="DJ12" s="937">
        <f t="shared" si="75"/>
        <v>0.36549345596038196</v>
      </c>
      <c r="DK12" s="539">
        <f t="shared" si="75"/>
        <v>0.10784708393524389</v>
      </c>
      <c r="DL12" s="540">
        <f t="shared" si="75"/>
        <v>6.9851798886015226E-2</v>
      </c>
      <c r="DM12" s="937">
        <f t="shared" si="75"/>
        <v>0.14633443756301312</v>
      </c>
      <c r="DN12" s="539">
        <f t="shared" si="75"/>
        <v>8.5478119816082554E-2</v>
      </c>
      <c r="DO12" s="402">
        <f t="shared" si="75"/>
        <v>0.10958706940146823</v>
      </c>
      <c r="DP12" s="539">
        <f t="shared" si="75"/>
        <v>0.89045797544390526</v>
      </c>
      <c r="DQ12" s="539">
        <f t="shared" si="75"/>
        <v>9.1088210766378852E-2</v>
      </c>
      <c r="DR12" s="539">
        <f t="shared" si="75"/>
        <v>0.16766488291083004</v>
      </c>
      <c r="DS12" s="540">
        <f t="shared" si="75"/>
        <v>-0.1725027033775729</v>
      </c>
      <c r="DT12" s="539">
        <f t="shared" si="75"/>
        <v>0.37351411581389793</v>
      </c>
      <c r="DU12" s="539">
        <f t="shared" si="75"/>
        <v>-2.9718978954980546E-2</v>
      </c>
      <c r="DV12" s="402">
        <f t="shared" si="75"/>
        <v>0.13531704017557766</v>
      </c>
      <c r="DW12" s="539">
        <f t="shared" si="75"/>
        <v>9.6289310631919811E-2</v>
      </c>
      <c r="DX12" s="539">
        <f t="shared" si="75"/>
        <v>9.935104731108213E-2</v>
      </c>
      <c r="DY12" s="539">
        <f t="shared" si="75"/>
        <v>9.9255092023332603E-2</v>
      </c>
      <c r="DZ12" s="540">
        <f t="shared" ref="DZ12:EQ12" si="76">DZ11/DS11-1</f>
        <v>0.12247501034972097</v>
      </c>
      <c r="EA12" s="539">
        <f t="shared" si="76"/>
        <v>9.7862171243412233E-2</v>
      </c>
      <c r="EB12" s="539">
        <f t="shared" si="76"/>
        <v>0.11074584393695885</v>
      </c>
      <c r="EC12" s="402">
        <f t="shared" si="76"/>
        <v>0.10436646758250823</v>
      </c>
      <c r="ED12" s="539">
        <f t="shared" si="76"/>
        <v>7.8783661354814294E-2</v>
      </c>
      <c r="EE12" s="539">
        <f t="shared" si="76"/>
        <v>3.3379858675525842E-2</v>
      </c>
      <c r="EF12" s="539">
        <f t="shared" si="76"/>
        <v>3.3407003679943426E-2</v>
      </c>
      <c r="EG12" s="540">
        <f t="shared" si="76"/>
        <v>3.2798486903145907E-2</v>
      </c>
      <c r="EH12" s="539">
        <f t="shared" si="76"/>
        <v>5.542740674989588E-2</v>
      </c>
      <c r="EI12" s="539">
        <f t="shared" si="76"/>
        <v>3.3102689421887765E-2</v>
      </c>
      <c r="EJ12" s="402">
        <f t="shared" si="76"/>
        <v>4.4091713356473772E-2</v>
      </c>
      <c r="EK12" s="539">
        <f t="shared" si="76"/>
        <v>2.9361587594547878E-2</v>
      </c>
      <c r="EL12" s="539">
        <f t="shared" si="76"/>
        <v>2.9908776962706662E-2</v>
      </c>
      <c r="EM12" s="539">
        <f t="shared" si="76"/>
        <v>2.9989016294310833E-2</v>
      </c>
      <c r="EN12" s="540">
        <f t="shared" si="76"/>
        <v>2.8999701617685503E-2</v>
      </c>
      <c r="EO12" s="539">
        <f t="shared" si="76"/>
        <v>2.9637188251696811E-2</v>
      </c>
      <c r="EP12" s="539">
        <f t="shared" si="76"/>
        <v>2.949441380540252E-2</v>
      </c>
      <c r="EQ12" s="402">
        <f t="shared" si="76"/>
        <v>2.9565455506782579E-2</v>
      </c>
    </row>
    <row r="13" spans="1:147" ht="10.199999999999999" customHeight="1">
      <c r="A13" s="19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399"/>
      <c r="P13" s="399"/>
      <c r="Q13" s="399"/>
      <c r="R13" s="425"/>
      <c r="S13" s="399"/>
      <c r="T13" s="399"/>
      <c r="U13" s="404"/>
      <c r="V13" s="399"/>
      <c r="W13" s="399"/>
      <c r="X13" s="399"/>
      <c r="Y13" s="425"/>
      <c r="Z13" s="399"/>
      <c r="AA13" s="399"/>
      <c r="AB13" s="404"/>
      <c r="AC13" s="399"/>
      <c r="AD13" s="399"/>
      <c r="AE13" s="399"/>
      <c r="AF13" s="425"/>
      <c r="AG13" s="399"/>
      <c r="AH13" s="399"/>
      <c r="AI13" s="404"/>
      <c r="AJ13" s="399"/>
      <c r="AK13" s="399"/>
      <c r="AL13" s="399"/>
      <c r="AM13" s="425"/>
      <c r="AN13" s="399"/>
      <c r="AO13" s="399"/>
      <c r="AP13" s="404"/>
      <c r="AQ13" s="399"/>
      <c r="AR13" s="399"/>
      <c r="AS13" s="399"/>
      <c r="AT13" s="425"/>
      <c r="AU13" s="399"/>
      <c r="AV13" s="399"/>
      <c r="AW13" s="404"/>
      <c r="AX13" s="399"/>
      <c r="AY13" s="399"/>
      <c r="AZ13" s="399"/>
      <c r="BA13" s="425"/>
      <c r="BB13" s="399"/>
      <c r="BC13" s="399"/>
      <c r="BD13" s="404"/>
      <c r="BE13" s="399"/>
      <c r="BF13" s="399"/>
      <c r="BG13" s="399"/>
      <c r="BH13" s="425"/>
      <c r="BI13" s="399"/>
      <c r="BJ13" s="399"/>
      <c r="BK13" s="404"/>
      <c r="BL13" s="399"/>
      <c r="BM13" s="399"/>
      <c r="BN13" s="399"/>
      <c r="BO13" s="425"/>
      <c r="BP13" s="399"/>
      <c r="BQ13" s="399"/>
      <c r="BR13" s="404"/>
      <c r="BS13" s="399"/>
      <c r="BT13" s="399"/>
      <c r="BU13" s="399"/>
      <c r="BV13" s="425"/>
      <c r="BW13" s="399"/>
      <c r="BX13" s="399"/>
      <c r="BY13" s="404"/>
      <c r="BZ13" s="399"/>
      <c r="CA13" s="399"/>
      <c r="CB13" s="399"/>
      <c r="CC13" s="425"/>
      <c r="CD13" s="399"/>
      <c r="CE13" s="399"/>
      <c r="CF13" s="404"/>
      <c r="CG13" s="399"/>
      <c r="CH13" s="399"/>
      <c r="CI13" s="399"/>
      <c r="CJ13" s="425"/>
      <c r="CK13" s="399"/>
      <c r="CL13" s="399"/>
      <c r="CM13" s="404"/>
      <c r="CN13" s="399"/>
      <c r="CO13" s="399"/>
      <c r="CP13" s="399"/>
      <c r="CQ13" s="425"/>
      <c r="CR13" s="399"/>
      <c r="CS13" s="399"/>
      <c r="CT13" s="404"/>
      <c r="CU13" s="399"/>
      <c r="CV13" s="399"/>
      <c r="CW13" s="399"/>
      <c r="CX13" s="425"/>
      <c r="CY13" s="399"/>
      <c r="CZ13" s="399"/>
      <c r="DA13" s="404"/>
      <c r="DB13" s="399"/>
      <c r="DC13" s="399"/>
      <c r="DD13" s="399"/>
      <c r="DE13" s="425"/>
      <c r="DF13" s="399"/>
      <c r="DG13" s="399"/>
      <c r="DH13" s="404"/>
      <c r="DI13" s="399"/>
      <c r="DJ13" s="399"/>
      <c r="DK13" s="399"/>
      <c r="DL13" s="425"/>
      <c r="DM13" s="399"/>
      <c r="DN13" s="399"/>
      <c r="DO13" s="404"/>
      <c r="DP13" s="399"/>
      <c r="DQ13" s="399"/>
      <c r="DR13" s="399"/>
      <c r="DS13" s="425"/>
      <c r="DT13" s="399"/>
      <c r="DU13" s="399"/>
      <c r="DV13" s="404"/>
      <c r="DW13" s="399"/>
      <c r="DX13" s="399"/>
      <c r="DY13" s="399"/>
      <c r="DZ13" s="425"/>
      <c r="EA13" s="399"/>
      <c r="EB13" s="399"/>
      <c r="EC13" s="404"/>
      <c r="ED13" s="399"/>
      <c r="EE13" s="399"/>
      <c r="EF13" s="399"/>
      <c r="EG13" s="425"/>
      <c r="EH13" s="399"/>
      <c r="EI13" s="399"/>
      <c r="EJ13" s="404"/>
      <c r="EK13" s="399"/>
      <c r="EL13" s="399"/>
      <c r="EM13" s="399"/>
      <c r="EN13" s="425"/>
      <c r="EO13" s="399"/>
      <c r="EP13" s="399"/>
      <c r="EQ13" s="404"/>
    </row>
    <row r="14" spans="1:147" ht="10.199999999999999" customHeight="1">
      <c r="A14" s="423" t="s">
        <v>711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679">
        <v>0.96</v>
      </c>
      <c r="O14" s="201">
        <v>0.95</v>
      </c>
      <c r="P14" s="201">
        <f t="shared" ref="P14" si="77">P5/(P11-P10)</f>
        <v>0.94999999999999984</v>
      </c>
      <c r="Q14" s="201">
        <v>0.95</v>
      </c>
      <c r="R14" s="716">
        <f t="shared" ref="R14" si="78">R5/(R11-R10)</f>
        <v>0.95</v>
      </c>
      <c r="S14" s="201">
        <v>0.95</v>
      </c>
      <c r="T14" s="201">
        <f t="shared" ref="T14" si="79">T5/(T11-T10)</f>
        <v>0.94999999999999984</v>
      </c>
      <c r="U14" s="1297">
        <v>0.95</v>
      </c>
      <c r="V14" s="201">
        <v>0.95</v>
      </c>
      <c r="W14" s="201">
        <f t="shared" ref="W14" si="80">W5/(W11-W10)</f>
        <v>0.96851791841402979</v>
      </c>
      <c r="X14" s="201">
        <v>0.96</v>
      </c>
      <c r="Y14" s="716">
        <f t="shared" ref="Y14" si="81">Y5/(Y11-Y10)</f>
        <v>0.95999999999999974</v>
      </c>
      <c r="Z14" s="201">
        <v>0.96</v>
      </c>
      <c r="AA14" s="201">
        <f t="shared" ref="AA14" si="82">AA5/(AA11-AA10)</f>
        <v>0.95999999999999985</v>
      </c>
      <c r="AB14" s="1297">
        <v>0.96</v>
      </c>
      <c r="AC14" s="201">
        <v>0.94</v>
      </c>
      <c r="AD14" s="201">
        <f t="shared" ref="AD14" si="83">AD5/(AD11-AD10)</f>
        <v>0.95684324065196569</v>
      </c>
      <c r="AE14" s="201">
        <v>0.95</v>
      </c>
      <c r="AF14" s="716">
        <f t="shared" ref="AF14" si="84">AF5/(AF11-AF10)</f>
        <v>0.94999999999999962</v>
      </c>
      <c r="AG14" s="201">
        <v>0.95</v>
      </c>
      <c r="AH14" s="201">
        <f t="shared" ref="AH14" si="85">AH5/(AH11-AH10)</f>
        <v>0.94999999999999984</v>
      </c>
      <c r="AI14" s="1297">
        <v>0.95</v>
      </c>
      <c r="AJ14" s="201">
        <v>0.93</v>
      </c>
      <c r="AK14" s="201">
        <f t="shared" ref="AK14" si="86">AK5/(AK11-AK10)</f>
        <v>0.9639885419188251</v>
      </c>
      <c r="AL14" s="201">
        <v>0.95</v>
      </c>
      <c r="AM14" s="716">
        <f t="shared" ref="AM14" si="87">AM5/(AM11-AM10)</f>
        <v>0.94999999999999962</v>
      </c>
      <c r="AN14" s="201">
        <v>0.95</v>
      </c>
      <c r="AO14" s="201">
        <f t="shared" ref="AO14" si="88">AO5/(AO11-AO10)</f>
        <v>0.94999999999999973</v>
      </c>
      <c r="AP14" s="1297">
        <v>0.95</v>
      </c>
      <c r="AQ14" s="201">
        <v>0.93</v>
      </c>
      <c r="AR14" s="201">
        <f t="shared" ref="AR14" si="89">AR5/(AR11-AR10)</f>
        <v>0.93</v>
      </c>
      <c r="AS14" s="201">
        <v>0.94</v>
      </c>
      <c r="AT14" s="716">
        <f t="shared" ref="AT14" si="90">AT5/(AT11-AT10)</f>
        <v>0.95189680589680581</v>
      </c>
      <c r="AU14" s="201">
        <v>0.93</v>
      </c>
      <c r="AV14" s="201">
        <f t="shared" ref="AV14" si="91">AV5/(AV11-AV10)</f>
        <v>0.94746991669237879</v>
      </c>
      <c r="AW14" s="1297">
        <v>0.94</v>
      </c>
      <c r="AX14" s="201">
        <v>0.93</v>
      </c>
      <c r="AY14" s="201">
        <f t="shared" ref="AY14" si="92">AY5/(AY11-AY10)</f>
        <v>0.93</v>
      </c>
      <c r="AZ14" s="201">
        <v>0.94</v>
      </c>
      <c r="BA14" s="716">
        <f t="shared" ref="BA14" si="93">BA5/(BA11-BA10)</f>
        <v>0.95143018796756107</v>
      </c>
      <c r="BB14" s="201">
        <v>0.93</v>
      </c>
      <c r="BC14" s="201">
        <f t="shared" ref="BC14" si="94">BC5/(BC11-BC10)</f>
        <v>0.94718542522921256</v>
      </c>
      <c r="BD14" s="1297">
        <v>0.94</v>
      </c>
      <c r="BE14" s="201">
        <v>0.91</v>
      </c>
      <c r="BF14" s="201">
        <f t="shared" ref="BF14" si="95">BF5/(BF11-BF10)</f>
        <v>0.92637760508654177</v>
      </c>
      <c r="BG14" s="201">
        <v>0.93</v>
      </c>
      <c r="BH14" s="716">
        <f t="shared" ref="BH14" si="96">BH5/(BH11-BH10)</f>
        <v>0.96802652641207376</v>
      </c>
      <c r="BI14" s="201">
        <v>0.92</v>
      </c>
      <c r="BJ14" s="201">
        <f t="shared" ref="BJ14" si="97">BJ5/(BJ11-BJ10)</f>
        <v>0.95260603588907</v>
      </c>
      <c r="BK14" s="1297">
        <v>0.94</v>
      </c>
      <c r="BL14" s="201">
        <v>0.92</v>
      </c>
      <c r="BM14" s="201">
        <f t="shared" ref="BM14" si="98">BM5/(BM11-BM10)</f>
        <v>0.93675937543566168</v>
      </c>
      <c r="BN14" s="201">
        <v>0.93</v>
      </c>
      <c r="BO14" s="716">
        <f t="shared" ref="BO14" si="99">BO5/(BO11-BO10)</f>
        <v>0.95852418892881308</v>
      </c>
      <c r="BP14" s="201">
        <v>0.93</v>
      </c>
      <c r="BQ14" s="201">
        <f t="shared" ref="BQ14" si="100">BQ5/(BQ11-BQ10)</f>
        <v>0.9478234413640505</v>
      </c>
      <c r="BR14" s="1297">
        <v>0.94</v>
      </c>
      <c r="BS14" s="201">
        <v>0.88</v>
      </c>
      <c r="BT14" s="201">
        <f t="shared" ref="BT14" si="101">BT5/(BT11-BT10)</f>
        <v>0.90524778404512496</v>
      </c>
      <c r="BU14" s="201">
        <v>0.91</v>
      </c>
      <c r="BV14" s="716">
        <f t="shared" ref="BV14" si="102">BV5/(BV11-BV10)</f>
        <v>0.97693325702839962</v>
      </c>
      <c r="BW14" s="201">
        <v>0.89</v>
      </c>
      <c r="BX14" s="201">
        <f t="shared" ref="BX14" si="103">BX5/(BX11-BX10)</f>
        <v>0.9530842197356908</v>
      </c>
      <c r="BY14" s="1297">
        <v>0.93</v>
      </c>
      <c r="BZ14" s="201">
        <v>0.94</v>
      </c>
      <c r="CA14" s="201">
        <f t="shared" ref="CA14" si="104">CA5/(CA11-CA10)</f>
        <v>0.93999999999999972</v>
      </c>
      <c r="CB14" s="201">
        <v>0.93</v>
      </c>
      <c r="CC14" s="716">
        <f t="shared" ref="CC14" si="105">CC5/(CC11-CC10)</f>
        <v>0.94589381604018685</v>
      </c>
      <c r="CD14" s="201">
        <v>0.94</v>
      </c>
      <c r="CE14" s="201">
        <f t="shared" ref="CE14" si="106">CE5/(CE11-CE10)</f>
        <v>0.94</v>
      </c>
      <c r="CF14" s="1297">
        <v>0.94</v>
      </c>
      <c r="CG14" s="201">
        <v>0.91</v>
      </c>
      <c r="CH14" s="201">
        <f t="shared" ref="CH14" si="107">CH5/(CH11-CH10)</f>
        <v>0.92949844306049811</v>
      </c>
      <c r="CI14" s="201">
        <v>0.92</v>
      </c>
      <c r="CJ14" s="716">
        <f t="shared" ref="CJ14" si="108">CJ5/(CJ11-CJ10)</f>
        <v>0.92000000000000015</v>
      </c>
      <c r="CK14" s="201">
        <v>0.92</v>
      </c>
      <c r="CL14" s="201">
        <f t="shared" ref="CL14" si="109">CL5/(CL11-CL10)</f>
        <v>0.92</v>
      </c>
      <c r="CM14" s="1297">
        <v>0.92</v>
      </c>
      <c r="CN14" s="201">
        <v>0.88</v>
      </c>
      <c r="CO14" s="201">
        <f t="shared" ref="CO14:CS14" si="110">CO5/(CO11-CO10)</f>
        <v>0.9132527167252229</v>
      </c>
      <c r="CP14" s="201">
        <v>0.9</v>
      </c>
      <c r="CQ14" s="716">
        <f t="shared" si="110"/>
        <v>0.92938176673228345</v>
      </c>
      <c r="CR14" s="201">
        <v>0.9</v>
      </c>
      <c r="CS14" s="201">
        <f t="shared" si="110"/>
        <v>0.91742284963887066</v>
      </c>
      <c r="CT14" s="1297">
        <v>0.91</v>
      </c>
      <c r="CU14" s="201">
        <v>0.87</v>
      </c>
      <c r="CV14" s="201">
        <f t="shared" ref="CV14" si="111">CV5/(CV11-CV10)</f>
        <v>0.90521746347941545</v>
      </c>
      <c r="CW14" s="201">
        <v>0.89</v>
      </c>
      <c r="CX14" s="716">
        <f t="shared" ref="CX14" si="112">CX5/(CX11-CX10)</f>
        <v>0.91850565655428618</v>
      </c>
      <c r="CY14" s="201">
        <v>0.89</v>
      </c>
      <c r="CZ14" s="201">
        <f t="shared" ref="CZ14" si="113">CZ5/(CZ11-CZ10)</f>
        <v>0.90720838571574203</v>
      </c>
      <c r="DA14" s="1297">
        <v>0.9</v>
      </c>
      <c r="DB14" s="201">
        <v>0.85</v>
      </c>
      <c r="DC14" s="201">
        <f t="shared" ref="DC14" si="114">DC5/(DC11-DC10)</f>
        <v>0.86841970286522818</v>
      </c>
      <c r="DD14" s="201">
        <v>0.88</v>
      </c>
      <c r="DE14" s="716">
        <f t="shared" ref="DE14" si="115">DE5/(DE11-DE10)</f>
        <v>0.93041731314536413</v>
      </c>
      <c r="DF14" s="1809">
        <v>0.86</v>
      </c>
      <c r="DG14" s="201">
        <f t="shared" ref="DG14" si="116">DG5/(DG11-DG10)</f>
        <v>0.90968218470454831</v>
      </c>
      <c r="DH14" s="1297">
        <v>0.89</v>
      </c>
      <c r="DI14" s="201">
        <v>0.83</v>
      </c>
      <c r="DJ14" s="201">
        <f t="shared" ref="DJ14" si="117">DJ5/(DJ11-DJ10)</f>
        <v>0.89185350689722176</v>
      </c>
      <c r="DK14" s="333">
        <f t="shared" ref="DK14:EQ14" si="118">DK5/(DK11-DK10)</f>
        <v>0.87968653800386598</v>
      </c>
      <c r="DL14" s="433">
        <f t="shared" si="118"/>
        <v>0.92976329277485159</v>
      </c>
      <c r="DM14" s="419">
        <v>0.87</v>
      </c>
      <c r="DN14" s="333">
        <f t="shared" si="118"/>
        <v>0.90874381343170207</v>
      </c>
      <c r="DO14" s="384">
        <f t="shared" si="118"/>
        <v>0.88814737260063603</v>
      </c>
      <c r="DP14" s="333">
        <f t="shared" si="118"/>
        <v>0.90413084392640997</v>
      </c>
      <c r="DQ14" s="333">
        <f t="shared" si="118"/>
        <v>0.89438259265167819</v>
      </c>
      <c r="DR14" s="333">
        <f t="shared" si="118"/>
        <v>0.89235655813514969</v>
      </c>
      <c r="DS14" s="433">
        <f t="shared" si="118"/>
        <v>0.91062912137346974</v>
      </c>
      <c r="DT14" s="333">
        <f t="shared" si="118"/>
        <v>0.89912301926098104</v>
      </c>
      <c r="DU14" s="333">
        <f t="shared" si="118"/>
        <v>0.90139903141374711</v>
      </c>
      <c r="DV14" s="384">
        <f t="shared" si="118"/>
        <v>0.89554311850842272</v>
      </c>
      <c r="DW14" s="333">
        <f t="shared" si="118"/>
        <v>0.90602243354783751</v>
      </c>
      <c r="DX14" s="333">
        <f t="shared" si="118"/>
        <v>0.89679487395069946</v>
      </c>
      <c r="DY14" s="333">
        <f t="shared" si="118"/>
        <v>0.89480998028712233</v>
      </c>
      <c r="DZ14" s="433">
        <f t="shared" si="118"/>
        <v>0.9144471831158999</v>
      </c>
      <c r="EA14" s="333">
        <f t="shared" si="118"/>
        <v>0.90127566744863741</v>
      </c>
      <c r="EB14" s="333">
        <f t="shared" si="118"/>
        <v>0.9046303846489836</v>
      </c>
      <c r="EC14" s="384">
        <f t="shared" si="118"/>
        <v>0.90690167143977019</v>
      </c>
      <c r="ED14" s="333">
        <f t="shared" si="118"/>
        <v>0.90804412311811566</v>
      </c>
      <c r="EE14" s="333">
        <f t="shared" si="118"/>
        <v>0.89461192204623896</v>
      </c>
      <c r="EF14" s="333">
        <f t="shared" si="118"/>
        <v>0.89259112498437243</v>
      </c>
      <c r="EG14" s="433">
        <f t="shared" si="118"/>
        <v>0.91259184407622829</v>
      </c>
      <c r="EH14" s="333">
        <f t="shared" si="118"/>
        <v>0.90127878070142453</v>
      </c>
      <c r="EI14" s="333">
        <f t="shared" si="118"/>
        <v>0.9025903756540723</v>
      </c>
      <c r="EJ14" s="384">
        <f t="shared" si="118"/>
        <v>0.89870045746457627</v>
      </c>
      <c r="EK14" s="333">
        <f t="shared" si="118"/>
        <v>0.90486166709725557</v>
      </c>
      <c r="EL14" s="333">
        <f t="shared" si="118"/>
        <v>0.89102073092154765</v>
      </c>
      <c r="EM14" s="333">
        <f t="shared" si="118"/>
        <v>0.88893927446497734</v>
      </c>
      <c r="EN14" s="433">
        <f t="shared" si="118"/>
        <v>0.90953315906247112</v>
      </c>
      <c r="EO14" s="333">
        <f t="shared" si="118"/>
        <v>0.8978886199185524</v>
      </c>
      <c r="EP14" s="333">
        <f t="shared" si="118"/>
        <v>0.8992301274679122</v>
      </c>
      <c r="EQ14" s="384">
        <f t="shared" si="118"/>
        <v>0.89456471725760434</v>
      </c>
    </row>
    <row r="15" spans="1:147" ht="10.199999999999999" customHeight="1">
      <c r="A15" s="423" t="s">
        <v>710</v>
      </c>
      <c r="B15" s="417"/>
      <c r="C15" s="417"/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9">
        <f t="shared" ref="N15:CM15" si="119">1-N14</f>
        <v>4.0000000000000036E-2</v>
      </c>
      <c r="O15" s="201">
        <f>1-O14</f>
        <v>5.0000000000000044E-2</v>
      </c>
      <c r="P15" s="201">
        <f t="shared" ref="P15" si="120">P9/(P11-P10)</f>
        <v>5.0000000000000044E-2</v>
      </c>
      <c r="Q15" s="201">
        <f>1-Q14</f>
        <v>5.0000000000000044E-2</v>
      </c>
      <c r="R15" s="716">
        <f t="shared" ref="R15" si="121">R9/(R11-R10)</f>
        <v>5.0000000000000051E-2</v>
      </c>
      <c r="S15" s="201">
        <f>1-S14</f>
        <v>5.0000000000000044E-2</v>
      </c>
      <c r="T15" s="201">
        <f t="shared" ref="T15" si="122">T9/(T11-T10)</f>
        <v>5.0000000000000051E-2</v>
      </c>
      <c r="U15" s="1297">
        <f t="shared" si="119"/>
        <v>5.0000000000000044E-2</v>
      </c>
      <c r="V15" s="201">
        <f>1-V14</f>
        <v>5.0000000000000044E-2</v>
      </c>
      <c r="W15" s="201">
        <f t="shared" ref="W15" si="123">W9/(W11-W10)</f>
        <v>3.1482081585970288E-2</v>
      </c>
      <c r="X15" s="201">
        <f>1-X14</f>
        <v>4.0000000000000036E-2</v>
      </c>
      <c r="Y15" s="716">
        <f t="shared" ref="Y15" si="124">Y9/(Y11-Y10)</f>
        <v>4.0000000000000036E-2</v>
      </c>
      <c r="Z15" s="201">
        <f>1-Z14</f>
        <v>4.0000000000000036E-2</v>
      </c>
      <c r="AA15" s="201">
        <f t="shared" ref="AA15" si="125">AA9/(AA11-AA10)</f>
        <v>4.0000000000000036E-2</v>
      </c>
      <c r="AB15" s="1297">
        <f t="shared" si="119"/>
        <v>4.0000000000000036E-2</v>
      </c>
      <c r="AC15" s="201">
        <f>1-AC14</f>
        <v>6.0000000000000053E-2</v>
      </c>
      <c r="AD15" s="201">
        <f t="shared" ref="AD15" si="126">AD9/(AD11-AD10)</f>
        <v>4.3156759348034548E-2</v>
      </c>
      <c r="AE15" s="201">
        <f>1-AE14</f>
        <v>5.0000000000000044E-2</v>
      </c>
      <c r="AF15" s="716">
        <f t="shared" ref="AF15" si="127">AF9/(AF11-AF10)</f>
        <v>5.0000000000000051E-2</v>
      </c>
      <c r="AG15" s="201">
        <f>1-AG14</f>
        <v>5.0000000000000044E-2</v>
      </c>
      <c r="AH15" s="201">
        <f t="shared" ref="AH15" si="128">AH9/(AH11-AH10)</f>
        <v>5.0000000000000051E-2</v>
      </c>
      <c r="AI15" s="1297">
        <f t="shared" si="119"/>
        <v>5.0000000000000044E-2</v>
      </c>
      <c r="AJ15" s="201">
        <f>1-AJ14</f>
        <v>6.9999999999999951E-2</v>
      </c>
      <c r="AK15" s="201">
        <f t="shared" ref="AK15" si="129">AK9/(AK11-AK10)</f>
        <v>3.6011458081174966E-2</v>
      </c>
      <c r="AL15" s="201">
        <f>1-AL14</f>
        <v>5.0000000000000044E-2</v>
      </c>
      <c r="AM15" s="716">
        <f t="shared" ref="AM15" si="130">AM9/(AM11-AM10)</f>
        <v>5.0000000000000051E-2</v>
      </c>
      <c r="AN15" s="201">
        <f>1-AN14</f>
        <v>5.0000000000000044E-2</v>
      </c>
      <c r="AO15" s="201">
        <f t="shared" ref="AO15" si="131">AO9/(AO11-AO10)</f>
        <v>5.0000000000000044E-2</v>
      </c>
      <c r="AP15" s="1297">
        <f t="shared" si="119"/>
        <v>5.0000000000000044E-2</v>
      </c>
      <c r="AQ15" s="201">
        <f>1-AQ14</f>
        <v>6.9999999999999951E-2</v>
      </c>
      <c r="AR15" s="201">
        <f t="shared" ref="AR15" si="132">AR9/(AR11-AR10)</f>
        <v>6.9999999999999951E-2</v>
      </c>
      <c r="AS15" s="201">
        <f>1-AS14</f>
        <v>6.0000000000000053E-2</v>
      </c>
      <c r="AT15" s="716">
        <f t="shared" ref="AT15" si="133">AT9/(AT11-AT10)</f>
        <v>4.8103194103194281E-2</v>
      </c>
      <c r="AU15" s="201">
        <f>1-AU14</f>
        <v>6.9999999999999951E-2</v>
      </c>
      <c r="AV15" s="201">
        <f t="shared" ref="AV15" si="134">AV9/(AV11-AV10)</f>
        <v>5.2530083307621239E-2</v>
      </c>
      <c r="AW15" s="1297">
        <f t="shared" si="119"/>
        <v>6.0000000000000053E-2</v>
      </c>
      <c r="AX15" s="201">
        <f>1-AX14</f>
        <v>6.9999999999999951E-2</v>
      </c>
      <c r="AY15" s="201">
        <f t="shared" ref="AY15" si="135">AY9/(AY11-AY10)</f>
        <v>6.9999999999999951E-2</v>
      </c>
      <c r="AZ15" s="201">
        <f>1-AZ14</f>
        <v>6.0000000000000053E-2</v>
      </c>
      <c r="BA15" s="716">
        <f t="shared" ref="BA15" si="136">BA9/(BA11-BA10)</f>
        <v>4.8569812032438708E-2</v>
      </c>
      <c r="BB15" s="201">
        <f>1-BB14</f>
        <v>6.9999999999999951E-2</v>
      </c>
      <c r="BC15" s="201">
        <f t="shared" ref="BC15" si="137">BC9/(BC11-BC10)</f>
        <v>5.2814574770787347E-2</v>
      </c>
      <c r="BD15" s="1297">
        <f t="shared" si="119"/>
        <v>6.0000000000000053E-2</v>
      </c>
      <c r="BE15" s="201">
        <f>1-BE14</f>
        <v>8.9999999999999969E-2</v>
      </c>
      <c r="BF15" s="201">
        <f t="shared" ref="BF15" si="138">BF9/(BF11-BF10)</f>
        <v>7.3622394913458081E-2</v>
      </c>
      <c r="BG15" s="201">
        <f>1-BG14</f>
        <v>6.9999999999999951E-2</v>
      </c>
      <c r="BH15" s="716">
        <f t="shared" ref="BH15" si="139">BH9/(BH11-BH10)</f>
        <v>3.1973473587926134E-2</v>
      </c>
      <c r="BI15" s="201">
        <f>1-BI14</f>
        <v>7.999999999999996E-2</v>
      </c>
      <c r="BJ15" s="201">
        <f t="shared" ref="BJ15" si="140">BJ9/(BJ11-BJ10)</f>
        <v>4.739396411092997E-2</v>
      </c>
      <c r="BK15" s="1297">
        <f t="shared" si="119"/>
        <v>6.0000000000000053E-2</v>
      </c>
      <c r="BL15" s="201">
        <f>1-BL14</f>
        <v>7.999999999999996E-2</v>
      </c>
      <c r="BM15" s="201">
        <f t="shared" ref="BM15" si="141">BM9/(BM11-BM10)</f>
        <v>6.3240624564338432E-2</v>
      </c>
      <c r="BN15" s="201">
        <f>1-BN14</f>
        <v>6.9999999999999951E-2</v>
      </c>
      <c r="BO15" s="716">
        <f t="shared" ref="BO15" si="142">BO9/(BO11-BO10)</f>
        <v>4.147581107118703E-2</v>
      </c>
      <c r="BP15" s="201">
        <f>1-BP14</f>
        <v>6.9999999999999951E-2</v>
      </c>
      <c r="BQ15" s="201">
        <f t="shared" ref="BQ15" si="143">BQ9/(BQ11-BQ10)</f>
        <v>5.2176558635949624E-2</v>
      </c>
      <c r="BR15" s="1297">
        <f t="shared" si="119"/>
        <v>6.0000000000000053E-2</v>
      </c>
      <c r="BS15" s="201">
        <f>1-BS14</f>
        <v>0.12</v>
      </c>
      <c r="BT15" s="201">
        <f t="shared" ref="BT15" si="144">BT9/(BT11-BT10)</f>
        <v>9.4752215954875083E-2</v>
      </c>
      <c r="BU15" s="201">
        <f>1-BU14</f>
        <v>8.9999999999999969E-2</v>
      </c>
      <c r="BV15" s="716">
        <f t="shared" ref="BV15" si="145">BV9/(BV11-BV10)</f>
        <v>2.3066742971600156E-2</v>
      </c>
      <c r="BW15" s="201">
        <f>1-BW14</f>
        <v>0.10999999999999999</v>
      </c>
      <c r="BX15" s="201">
        <f t="shared" ref="BX15" si="146">BX9/(BX11-BX10)</f>
        <v>4.6915780264308989E-2</v>
      </c>
      <c r="BY15" s="1297">
        <f t="shared" si="119"/>
        <v>6.9999999999999951E-2</v>
      </c>
      <c r="BZ15" s="201">
        <f>1-BZ14</f>
        <v>6.0000000000000053E-2</v>
      </c>
      <c r="CA15" s="201">
        <f t="shared" ref="CA15" si="147">CA9/(CA11-CA10)</f>
        <v>6.0000000000000046E-2</v>
      </c>
      <c r="CB15" s="201">
        <f>1-CB14</f>
        <v>6.9999999999999951E-2</v>
      </c>
      <c r="CC15" s="716">
        <f t="shared" ref="CC15" si="148">CC9/(CC11-CC10)</f>
        <v>5.4106183959813044E-2</v>
      </c>
      <c r="CD15" s="201">
        <f>1-CD14</f>
        <v>6.0000000000000053E-2</v>
      </c>
      <c r="CE15" s="201">
        <f t="shared" ref="CE15" si="149">CE9/(CE11-CE10)</f>
        <v>6.000000000000006E-2</v>
      </c>
      <c r="CF15" s="1297">
        <f t="shared" si="119"/>
        <v>6.0000000000000053E-2</v>
      </c>
      <c r="CG15" s="201">
        <f>1-CG14</f>
        <v>8.9999999999999969E-2</v>
      </c>
      <c r="CH15" s="201">
        <f t="shared" ref="CH15" si="150">CH9/(CH11-CH10)</f>
        <v>7.0501556939501719E-2</v>
      </c>
      <c r="CI15" s="201">
        <f>1-CI14</f>
        <v>7.999999999999996E-2</v>
      </c>
      <c r="CJ15" s="716">
        <f t="shared" ref="CJ15" si="151">CJ9/(CJ11-CJ10)</f>
        <v>7.9999999999999974E-2</v>
      </c>
      <c r="CK15" s="201">
        <f>1-CK14</f>
        <v>7.999999999999996E-2</v>
      </c>
      <c r="CL15" s="201">
        <f t="shared" ref="CL15" si="152">CL9/(CL11-CL10)</f>
        <v>7.9999999999999974E-2</v>
      </c>
      <c r="CM15" s="1297">
        <f t="shared" si="119"/>
        <v>7.999999999999996E-2</v>
      </c>
      <c r="CN15" s="201">
        <f>1-CN14</f>
        <v>0.12</v>
      </c>
      <c r="CO15" s="201">
        <f t="shared" ref="CO15:EQ15" si="153">CO9/(CO11-CO10)</f>
        <v>8.6747283274777334E-2</v>
      </c>
      <c r="CP15" s="201">
        <f>1-CP14</f>
        <v>9.9999999999999978E-2</v>
      </c>
      <c r="CQ15" s="716">
        <f t="shared" si="153"/>
        <v>7.0618233267716476E-2</v>
      </c>
      <c r="CR15" s="201">
        <f>1-CR14</f>
        <v>9.9999999999999978E-2</v>
      </c>
      <c r="CS15" s="201">
        <f t="shared" si="153"/>
        <v>8.2577150361129295E-2</v>
      </c>
      <c r="CT15" s="1297">
        <f t="shared" ref="CT15" si="154">1-CT14</f>
        <v>8.9999999999999969E-2</v>
      </c>
      <c r="CU15" s="201">
        <f>1-CU14</f>
        <v>0.13</v>
      </c>
      <c r="CV15" s="201">
        <f t="shared" ref="CV15" si="155">CV9/(CV11-CV10)</f>
        <v>9.4782536520584298E-2</v>
      </c>
      <c r="CW15" s="201">
        <f>1-CW14</f>
        <v>0.10999999999999999</v>
      </c>
      <c r="CX15" s="716">
        <f t="shared" ref="CX15" si="156">CX9/(CX11-CX10)</f>
        <v>8.1494343445713921E-2</v>
      </c>
      <c r="CY15" s="201">
        <f>1-CY14</f>
        <v>0.10999999999999999</v>
      </c>
      <c r="CZ15" s="201">
        <f t="shared" ref="CZ15" si="157">CZ9/(CZ11-CZ10)</f>
        <v>9.2791614284258056E-2</v>
      </c>
      <c r="DA15" s="1297">
        <f t="shared" ref="DA15" si="158">1-DA14</f>
        <v>9.9999999999999978E-2</v>
      </c>
      <c r="DB15" s="201">
        <f>1-DB14</f>
        <v>0.15000000000000002</v>
      </c>
      <c r="DC15" s="201">
        <f t="shared" ref="DC15" si="159">DC9/(DC11-DC10)</f>
        <v>0.13158029713477185</v>
      </c>
      <c r="DD15" s="201">
        <f>1-DD14</f>
        <v>0.12</v>
      </c>
      <c r="DE15" s="716">
        <f t="shared" ref="DE15" si="160">DE9/(DE11-DE10)</f>
        <v>6.9582686854635867E-2</v>
      </c>
      <c r="DF15" s="201">
        <f>1-DF14</f>
        <v>0.14000000000000001</v>
      </c>
      <c r="DG15" s="201">
        <f t="shared" ref="DG15" si="161">DG9/(DG11-DG10)</f>
        <v>9.0317815295451645E-2</v>
      </c>
      <c r="DH15" s="1297">
        <f t="shared" ref="DH15" si="162">1-DH14</f>
        <v>0.10999999999999999</v>
      </c>
      <c r="DI15" s="201">
        <f>1-DI14</f>
        <v>0.17000000000000004</v>
      </c>
      <c r="DJ15" s="201">
        <f t="shared" ref="DJ15" si="163">DJ9/(DJ11-DJ10)</f>
        <v>0.10814649310277831</v>
      </c>
      <c r="DK15" s="333">
        <f t="shared" si="153"/>
        <v>0.12031346199613401</v>
      </c>
      <c r="DL15" s="433">
        <f t="shared" si="153"/>
        <v>7.0236707225148257E-2</v>
      </c>
      <c r="DM15" s="201">
        <f>1-DM14</f>
        <v>0.13</v>
      </c>
      <c r="DN15" s="333">
        <f t="shared" si="153"/>
        <v>9.1256186568297926E-2</v>
      </c>
      <c r="DO15" s="384">
        <f t="shared" si="153"/>
        <v>0.10654478905575898</v>
      </c>
      <c r="DP15" s="333">
        <f t="shared" si="153"/>
        <v>9.5869156073590048E-2</v>
      </c>
      <c r="DQ15" s="333">
        <f t="shared" si="153"/>
        <v>0.10561740734832177</v>
      </c>
      <c r="DR15" s="333">
        <f t="shared" si="153"/>
        <v>0.10764344186485025</v>
      </c>
      <c r="DS15" s="433">
        <f t="shared" si="153"/>
        <v>8.9370878626530231E-2</v>
      </c>
      <c r="DT15" s="333">
        <f t="shared" si="153"/>
        <v>0.10087698073901891</v>
      </c>
      <c r="DU15" s="333">
        <f t="shared" si="153"/>
        <v>9.8600968586252877E-2</v>
      </c>
      <c r="DV15" s="384">
        <f t="shared" si="153"/>
        <v>9.9204090541381962E-2</v>
      </c>
      <c r="DW15" s="333">
        <f t="shared" si="153"/>
        <v>9.3977566452162486E-2</v>
      </c>
      <c r="DX15" s="333">
        <f t="shared" si="153"/>
        <v>0.10320512604930056</v>
      </c>
      <c r="DY15" s="333">
        <f t="shared" si="153"/>
        <v>0.10519001971287759</v>
      </c>
      <c r="DZ15" s="433">
        <f t="shared" si="153"/>
        <v>8.5552816884100075E-2</v>
      </c>
      <c r="EA15" s="333">
        <f t="shared" si="153"/>
        <v>9.8724332551362551E-2</v>
      </c>
      <c r="EB15" s="333">
        <f t="shared" si="153"/>
        <v>9.5369615351016374E-2</v>
      </c>
      <c r="EC15" s="384">
        <f t="shared" si="153"/>
        <v>9.7442392159414346E-2</v>
      </c>
      <c r="ED15" s="333">
        <f t="shared" si="153"/>
        <v>9.1955876881884224E-2</v>
      </c>
      <c r="EE15" s="333">
        <f t="shared" si="153"/>
        <v>0.10538807795376116</v>
      </c>
      <c r="EF15" s="333">
        <f t="shared" si="153"/>
        <v>0.10740887501562764</v>
      </c>
      <c r="EG15" s="433">
        <f t="shared" si="153"/>
        <v>8.7408155923771727E-2</v>
      </c>
      <c r="EH15" s="333">
        <f t="shared" si="153"/>
        <v>9.8721219298575441E-2</v>
      </c>
      <c r="EI15" s="333">
        <f t="shared" si="153"/>
        <v>9.7409624345927745E-2</v>
      </c>
      <c r="EJ15" s="384">
        <f t="shared" si="153"/>
        <v>9.7710276164705692E-2</v>
      </c>
      <c r="EK15" s="333">
        <f t="shared" si="153"/>
        <v>9.5138332902744385E-2</v>
      </c>
      <c r="EL15" s="333">
        <f t="shared" si="153"/>
        <v>0.10897926907845235</v>
      </c>
      <c r="EM15" s="333">
        <f t="shared" si="153"/>
        <v>0.11106072553502261</v>
      </c>
      <c r="EN15" s="433">
        <f t="shared" si="153"/>
        <v>9.0466840937528964E-2</v>
      </c>
      <c r="EO15" s="333">
        <f t="shared" si="153"/>
        <v>0.10211138008144771</v>
      </c>
      <c r="EP15" s="333">
        <f t="shared" si="153"/>
        <v>0.10076987253208779</v>
      </c>
      <c r="EQ15" s="384">
        <f t="shared" si="153"/>
        <v>0.100986114075421</v>
      </c>
    </row>
    <row r="16" spans="1:147" ht="10.199999999999999" customHeight="1">
      <c r="A16" s="418" t="s">
        <v>167</v>
      </c>
      <c r="B16" s="417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293">
        <f t="shared" ref="N16:BY16" si="164">N14+N15</f>
        <v>1</v>
      </c>
      <c r="O16" s="293">
        <f t="shared" si="164"/>
        <v>1</v>
      </c>
      <c r="P16" s="293">
        <f t="shared" si="164"/>
        <v>0.99999999999999989</v>
      </c>
      <c r="Q16" s="293">
        <f t="shared" si="164"/>
        <v>1</v>
      </c>
      <c r="R16" s="686">
        <f t="shared" si="164"/>
        <v>1</v>
      </c>
      <c r="S16" s="293">
        <f t="shared" ref="S16:T16" si="165">S14+S15</f>
        <v>1</v>
      </c>
      <c r="T16" s="293">
        <f t="shared" si="165"/>
        <v>0.99999999999999989</v>
      </c>
      <c r="U16" s="1298">
        <f t="shared" si="164"/>
        <v>1</v>
      </c>
      <c r="V16" s="293">
        <f t="shared" ref="V16:Y16" si="166">V14+V15</f>
        <v>1</v>
      </c>
      <c r="W16" s="293">
        <f t="shared" si="166"/>
        <v>1</v>
      </c>
      <c r="X16" s="293">
        <f t="shared" si="166"/>
        <v>1</v>
      </c>
      <c r="Y16" s="686">
        <f t="shared" si="166"/>
        <v>0.99999999999999978</v>
      </c>
      <c r="Z16" s="293">
        <f t="shared" ref="Z16:AA16" si="167">Z14+Z15</f>
        <v>1</v>
      </c>
      <c r="AA16" s="293">
        <f t="shared" si="167"/>
        <v>0.99999999999999989</v>
      </c>
      <c r="AB16" s="1298">
        <f t="shared" si="164"/>
        <v>1</v>
      </c>
      <c r="AC16" s="293">
        <f t="shared" si="164"/>
        <v>1</v>
      </c>
      <c r="AD16" s="293">
        <f t="shared" si="164"/>
        <v>1.0000000000000002</v>
      </c>
      <c r="AE16" s="293">
        <f t="shared" si="164"/>
        <v>1</v>
      </c>
      <c r="AF16" s="686">
        <f t="shared" si="164"/>
        <v>0.99999999999999967</v>
      </c>
      <c r="AG16" s="293">
        <f t="shared" ref="AG16:AH16" si="168">AG14+AG15</f>
        <v>1</v>
      </c>
      <c r="AH16" s="293">
        <f t="shared" si="168"/>
        <v>0.99999999999999989</v>
      </c>
      <c r="AI16" s="1298">
        <f t="shared" si="164"/>
        <v>1</v>
      </c>
      <c r="AJ16" s="293">
        <f t="shared" ref="AJ16:AM16" si="169">AJ14+AJ15</f>
        <v>1</v>
      </c>
      <c r="AK16" s="293">
        <f t="shared" si="169"/>
        <v>1</v>
      </c>
      <c r="AL16" s="293">
        <f t="shared" si="169"/>
        <v>1</v>
      </c>
      <c r="AM16" s="686">
        <f t="shared" si="169"/>
        <v>0.99999999999999967</v>
      </c>
      <c r="AN16" s="293">
        <f t="shared" ref="AN16:AO16" si="170">AN14+AN15</f>
        <v>1</v>
      </c>
      <c r="AO16" s="293">
        <f t="shared" si="170"/>
        <v>0.99999999999999978</v>
      </c>
      <c r="AP16" s="1298">
        <f t="shared" si="164"/>
        <v>1</v>
      </c>
      <c r="AQ16" s="293">
        <f t="shared" si="164"/>
        <v>1</v>
      </c>
      <c r="AR16" s="293">
        <f t="shared" si="164"/>
        <v>1</v>
      </c>
      <c r="AS16" s="293">
        <f t="shared" si="164"/>
        <v>1</v>
      </c>
      <c r="AT16" s="686">
        <f t="shared" si="164"/>
        <v>1</v>
      </c>
      <c r="AU16" s="293">
        <f t="shared" si="164"/>
        <v>1</v>
      </c>
      <c r="AV16" s="293">
        <f t="shared" si="164"/>
        <v>1</v>
      </c>
      <c r="AW16" s="1298">
        <f t="shared" si="164"/>
        <v>1</v>
      </c>
      <c r="AX16" s="293">
        <f t="shared" ref="AX16:BA16" si="171">AX14+AX15</f>
        <v>1</v>
      </c>
      <c r="AY16" s="293">
        <f t="shared" si="171"/>
        <v>1</v>
      </c>
      <c r="AZ16" s="293">
        <f t="shared" si="171"/>
        <v>1</v>
      </c>
      <c r="BA16" s="686">
        <f t="shared" si="171"/>
        <v>0.99999999999999978</v>
      </c>
      <c r="BB16" s="293">
        <f t="shared" ref="BB16:BC16" si="172">BB14+BB15</f>
        <v>1</v>
      </c>
      <c r="BC16" s="293">
        <f t="shared" si="172"/>
        <v>0.99999999999999989</v>
      </c>
      <c r="BD16" s="1298">
        <f t="shared" si="164"/>
        <v>1</v>
      </c>
      <c r="BE16" s="293">
        <f t="shared" si="164"/>
        <v>1</v>
      </c>
      <c r="BF16" s="293">
        <f t="shared" si="164"/>
        <v>0.99999999999999989</v>
      </c>
      <c r="BG16" s="293">
        <f t="shared" si="164"/>
        <v>1</v>
      </c>
      <c r="BH16" s="686">
        <f t="shared" si="164"/>
        <v>0.99999999999999989</v>
      </c>
      <c r="BI16" s="293">
        <f t="shared" ref="BI16:BJ16" si="173">BI14+BI15</f>
        <v>1</v>
      </c>
      <c r="BJ16" s="293">
        <f t="shared" si="173"/>
        <v>1</v>
      </c>
      <c r="BK16" s="1298">
        <f t="shared" si="164"/>
        <v>1</v>
      </c>
      <c r="BL16" s="293">
        <f t="shared" ref="BL16:BO16" si="174">BL14+BL15</f>
        <v>1</v>
      </c>
      <c r="BM16" s="293">
        <f t="shared" si="174"/>
        <v>1</v>
      </c>
      <c r="BN16" s="293">
        <f t="shared" si="174"/>
        <v>1</v>
      </c>
      <c r="BO16" s="686">
        <f t="shared" si="174"/>
        <v>1</v>
      </c>
      <c r="BP16" s="293">
        <f t="shared" ref="BP16:BQ16" si="175">BP14+BP15</f>
        <v>1</v>
      </c>
      <c r="BQ16" s="293">
        <f t="shared" si="175"/>
        <v>1.0000000000000002</v>
      </c>
      <c r="BR16" s="1298">
        <f t="shared" si="164"/>
        <v>1</v>
      </c>
      <c r="BS16" s="293">
        <f t="shared" si="164"/>
        <v>1</v>
      </c>
      <c r="BT16" s="293">
        <f t="shared" si="164"/>
        <v>1</v>
      </c>
      <c r="BU16" s="293">
        <f t="shared" si="164"/>
        <v>1</v>
      </c>
      <c r="BV16" s="686">
        <f t="shared" si="164"/>
        <v>0.99999999999999978</v>
      </c>
      <c r="BW16" s="293">
        <f t="shared" ref="BW16:BX16" si="176">BW14+BW15</f>
        <v>1</v>
      </c>
      <c r="BX16" s="293">
        <f t="shared" si="176"/>
        <v>0.99999999999999978</v>
      </c>
      <c r="BY16" s="1298">
        <f t="shared" si="164"/>
        <v>1</v>
      </c>
      <c r="BZ16" s="293">
        <f t="shared" ref="BZ16:CC16" si="177">BZ14+BZ15</f>
        <v>1</v>
      </c>
      <c r="CA16" s="293">
        <f t="shared" si="177"/>
        <v>0.99999999999999978</v>
      </c>
      <c r="CB16" s="293">
        <f t="shared" si="177"/>
        <v>1</v>
      </c>
      <c r="CC16" s="686">
        <f t="shared" si="177"/>
        <v>0.99999999999999989</v>
      </c>
      <c r="CD16" s="293">
        <f t="shared" ref="CD16:CE16" si="178">CD14+CD15</f>
        <v>1</v>
      </c>
      <c r="CE16" s="293">
        <f t="shared" si="178"/>
        <v>1</v>
      </c>
      <c r="CF16" s="1298">
        <f t="shared" ref="CF16:CS16" si="179">CF14+CF15</f>
        <v>1</v>
      </c>
      <c r="CG16" s="293">
        <f t="shared" ref="CG16:CL16" si="180">CG14+CG15</f>
        <v>1</v>
      </c>
      <c r="CH16" s="293">
        <f t="shared" si="180"/>
        <v>0.99999999999999978</v>
      </c>
      <c r="CI16" s="293">
        <f t="shared" si="180"/>
        <v>1</v>
      </c>
      <c r="CJ16" s="686">
        <f t="shared" si="180"/>
        <v>1.0000000000000002</v>
      </c>
      <c r="CK16" s="293">
        <f t="shared" si="180"/>
        <v>1</v>
      </c>
      <c r="CL16" s="293">
        <f t="shared" si="180"/>
        <v>1</v>
      </c>
      <c r="CM16" s="1298">
        <f t="shared" si="179"/>
        <v>1</v>
      </c>
      <c r="CN16" s="293">
        <f t="shared" si="179"/>
        <v>1</v>
      </c>
      <c r="CO16" s="293">
        <f t="shared" si="179"/>
        <v>1.0000000000000002</v>
      </c>
      <c r="CP16" s="293">
        <f t="shared" ref="CP16" si="181">CP14+CP15</f>
        <v>1</v>
      </c>
      <c r="CQ16" s="686">
        <f t="shared" si="179"/>
        <v>0.99999999999999989</v>
      </c>
      <c r="CR16" s="293">
        <f t="shared" ref="CR16" si="182">CR14+CR15</f>
        <v>1</v>
      </c>
      <c r="CS16" s="293">
        <f t="shared" si="179"/>
        <v>1</v>
      </c>
      <c r="CT16" s="1298">
        <f t="shared" ref="CT16:CX16" si="183">CT14+CT15</f>
        <v>1</v>
      </c>
      <c r="CU16" s="293">
        <f t="shared" si="183"/>
        <v>1</v>
      </c>
      <c r="CV16" s="293">
        <f t="shared" si="183"/>
        <v>0.99999999999999978</v>
      </c>
      <c r="CW16" s="293">
        <f t="shared" si="183"/>
        <v>1</v>
      </c>
      <c r="CX16" s="686">
        <f t="shared" si="183"/>
        <v>1</v>
      </c>
      <c r="CY16" s="293">
        <f t="shared" ref="CY16:DE16" si="184">CY14+CY15</f>
        <v>1</v>
      </c>
      <c r="CZ16" s="293">
        <f t="shared" si="184"/>
        <v>1</v>
      </c>
      <c r="DA16" s="1298">
        <f t="shared" si="184"/>
        <v>1</v>
      </c>
      <c r="DB16" s="293">
        <f t="shared" si="184"/>
        <v>1</v>
      </c>
      <c r="DC16" s="293">
        <f t="shared" si="184"/>
        <v>1</v>
      </c>
      <c r="DD16" s="293">
        <f t="shared" si="184"/>
        <v>1</v>
      </c>
      <c r="DE16" s="686">
        <f t="shared" si="184"/>
        <v>1</v>
      </c>
      <c r="DF16" s="293">
        <f t="shared" ref="DF16:EQ16" si="185">DF14+DF15</f>
        <v>1</v>
      </c>
      <c r="DG16" s="293">
        <f t="shared" si="185"/>
        <v>1</v>
      </c>
      <c r="DH16" s="1298">
        <f t="shared" si="185"/>
        <v>1</v>
      </c>
      <c r="DI16" s="293">
        <f t="shared" si="185"/>
        <v>1</v>
      </c>
      <c r="DJ16" s="293">
        <f t="shared" si="185"/>
        <v>1</v>
      </c>
      <c r="DK16" s="421">
        <f t="shared" si="185"/>
        <v>1</v>
      </c>
      <c r="DL16" s="434">
        <f t="shared" si="185"/>
        <v>0.99999999999999989</v>
      </c>
      <c r="DM16" s="293">
        <f t="shared" ref="DM16" si="186">DM14+DM15</f>
        <v>1</v>
      </c>
      <c r="DN16" s="421">
        <f t="shared" si="185"/>
        <v>1</v>
      </c>
      <c r="DO16" s="420">
        <f t="shared" si="185"/>
        <v>0.99469216165639507</v>
      </c>
      <c r="DP16" s="421">
        <f t="shared" si="185"/>
        <v>1</v>
      </c>
      <c r="DQ16" s="421">
        <f t="shared" si="185"/>
        <v>1</v>
      </c>
      <c r="DR16" s="421">
        <f t="shared" si="185"/>
        <v>1</v>
      </c>
      <c r="DS16" s="434">
        <f t="shared" si="185"/>
        <v>1</v>
      </c>
      <c r="DT16" s="421">
        <f t="shared" si="185"/>
        <v>1</v>
      </c>
      <c r="DU16" s="421">
        <f t="shared" si="185"/>
        <v>1</v>
      </c>
      <c r="DV16" s="420">
        <f t="shared" si="185"/>
        <v>0.99474720904980463</v>
      </c>
      <c r="DW16" s="421">
        <f t="shared" si="185"/>
        <v>1</v>
      </c>
      <c r="DX16" s="421">
        <f t="shared" si="185"/>
        <v>1</v>
      </c>
      <c r="DY16" s="421">
        <f t="shared" si="185"/>
        <v>0.99999999999999989</v>
      </c>
      <c r="DZ16" s="434">
        <f t="shared" si="185"/>
        <v>1</v>
      </c>
      <c r="EA16" s="421">
        <f t="shared" si="185"/>
        <v>1</v>
      </c>
      <c r="EB16" s="421">
        <f t="shared" si="185"/>
        <v>1</v>
      </c>
      <c r="EC16" s="420">
        <f t="shared" si="185"/>
        <v>1.0043440635991845</v>
      </c>
      <c r="ED16" s="421">
        <f t="shared" si="185"/>
        <v>0.99999999999999989</v>
      </c>
      <c r="EE16" s="421">
        <f t="shared" si="185"/>
        <v>1.0000000000000002</v>
      </c>
      <c r="EF16" s="421">
        <f t="shared" si="185"/>
        <v>1</v>
      </c>
      <c r="EG16" s="434">
        <f t="shared" si="185"/>
        <v>1</v>
      </c>
      <c r="EH16" s="421">
        <f t="shared" si="185"/>
        <v>1</v>
      </c>
      <c r="EI16" s="421">
        <f t="shared" si="185"/>
        <v>1</v>
      </c>
      <c r="EJ16" s="420">
        <f t="shared" si="185"/>
        <v>0.99641073362928201</v>
      </c>
      <c r="EK16" s="421">
        <f t="shared" si="185"/>
        <v>1</v>
      </c>
      <c r="EL16" s="421">
        <f t="shared" si="185"/>
        <v>1</v>
      </c>
      <c r="EM16" s="421">
        <f t="shared" si="185"/>
        <v>1</v>
      </c>
      <c r="EN16" s="434">
        <f t="shared" si="185"/>
        <v>1</v>
      </c>
      <c r="EO16" s="421">
        <f t="shared" si="185"/>
        <v>1</v>
      </c>
      <c r="EP16" s="421">
        <f t="shared" si="185"/>
        <v>1</v>
      </c>
      <c r="EQ16" s="420">
        <f t="shared" si="185"/>
        <v>0.99555083133302535</v>
      </c>
    </row>
    <row r="17" spans="1:147" ht="10.199999999999999" customHeight="1">
      <c r="A17" s="19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399"/>
      <c r="P17" s="399"/>
      <c r="Q17" s="399"/>
      <c r="R17" s="425"/>
      <c r="S17" s="399"/>
      <c r="T17" s="399"/>
      <c r="U17" s="338"/>
      <c r="V17" s="399"/>
      <c r="W17" s="399"/>
      <c r="X17" s="399"/>
      <c r="Y17" s="425"/>
      <c r="Z17" s="399"/>
      <c r="AA17" s="399"/>
      <c r="AB17" s="338"/>
      <c r="AC17" s="399"/>
      <c r="AD17" s="399"/>
      <c r="AE17" s="399"/>
      <c r="AF17" s="425"/>
      <c r="AG17" s="399"/>
      <c r="AH17" s="399"/>
      <c r="AI17" s="338"/>
      <c r="AJ17" s="399"/>
      <c r="AK17" s="399"/>
      <c r="AL17" s="399"/>
      <c r="AM17" s="425"/>
      <c r="AN17" s="399"/>
      <c r="AO17" s="399"/>
      <c r="AP17" s="338"/>
      <c r="AQ17" s="399"/>
      <c r="AR17" s="399"/>
      <c r="AS17" s="399"/>
      <c r="AT17" s="425"/>
      <c r="AU17" s="399"/>
      <c r="AV17" s="399"/>
      <c r="AW17" s="338"/>
      <c r="AX17" s="399"/>
      <c r="AY17" s="399"/>
      <c r="AZ17" s="399"/>
      <c r="BA17" s="425"/>
      <c r="BB17" s="399"/>
      <c r="BC17" s="399"/>
      <c r="BD17" s="338"/>
      <c r="BE17" s="399"/>
      <c r="BF17" s="399"/>
      <c r="BG17" s="399"/>
      <c r="BH17" s="425"/>
      <c r="BI17" s="399"/>
      <c r="BJ17" s="399"/>
      <c r="BK17" s="338"/>
      <c r="BL17" s="399"/>
      <c r="BM17" s="399"/>
      <c r="BN17" s="399"/>
      <c r="BO17" s="425"/>
      <c r="BP17" s="399"/>
      <c r="BQ17" s="399"/>
      <c r="BR17" s="338"/>
      <c r="BS17" s="399"/>
      <c r="BT17" s="399"/>
      <c r="BU17" s="399"/>
      <c r="BV17" s="425"/>
      <c r="BW17" s="399"/>
      <c r="BX17" s="399"/>
      <c r="BY17" s="338"/>
      <c r="BZ17" s="399"/>
      <c r="CA17" s="399"/>
      <c r="CB17" s="399"/>
      <c r="CC17" s="425"/>
      <c r="CD17" s="399"/>
      <c r="CE17" s="399"/>
      <c r="CF17" s="338"/>
      <c r="CG17" s="399"/>
      <c r="CH17" s="399"/>
      <c r="CI17" s="399"/>
      <c r="CJ17" s="425"/>
      <c r="CK17" s="399"/>
      <c r="CL17" s="399"/>
      <c r="CM17" s="338"/>
      <c r="CN17" s="399"/>
      <c r="CO17" s="399"/>
      <c r="CP17" s="399"/>
      <c r="CQ17" s="425"/>
      <c r="CR17" s="399"/>
      <c r="CS17" s="399"/>
      <c r="CT17" s="338"/>
      <c r="CU17" s="399"/>
      <c r="CV17" s="399"/>
      <c r="CW17" s="399"/>
      <c r="CX17" s="425"/>
      <c r="CY17" s="399"/>
      <c r="CZ17" s="399"/>
      <c r="DA17" s="404"/>
      <c r="DB17" s="399"/>
      <c r="DC17" s="399"/>
      <c r="DD17" s="399"/>
      <c r="DE17" s="425"/>
      <c r="DF17" s="399"/>
      <c r="DG17" s="399"/>
      <c r="DH17" s="404"/>
      <c r="DI17" s="399"/>
      <c r="DJ17" s="399"/>
      <c r="DK17" s="399"/>
      <c r="DL17" s="425"/>
      <c r="DM17" s="399"/>
      <c r="DN17" s="399"/>
      <c r="DO17" s="404"/>
      <c r="DP17" s="399"/>
      <c r="DQ17" s="399"/>
      <c r="DR17" s="399"/>
      <c r="DS17" s="425"/>
      <c r="DT17" s="399"/>
      <c r="DU17" s="399"/>
      <c r="DV17" s="404"/>
      <c r="DW17" s="399"/>
      <c r="DX17" s="399"/>
      <c r="DY17" s="399"/>
      <c r="DZ17" s="425"/>
      <c r="EA17" s="399"/>
      <c r="EB17" s="399"/>
      <c r="EC17" s="404"/>
      <c r="ED17" s="399"/>
      <c r="EE17" s="399"/>
      <c r="EF17" s="399"/>
      <c r="EG17" s="425"/>
      <c r="EH17" s="399"/>
      <c r="EI17" s="399"/>
      <c r="EJ17" s="404"/>
      <c r="EK17" s="399"/>
      <c r="EL17" s="399"/>
      <c r="EM17" s="399"/>
      <c r="EN17" s="425"/>
      <c r="EO17" s="399"/>
      <c r="EP17" s="399"/>
      <c r="EQ17" s="404"/>
    </row>
    <row r="18" spans="1:147" ht="10.199999999999999" customHeight="1">
      <c r="A18" s="48" t="s">
        <v>757</v>
      </c>
      <c r="B18" s="43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322"/>
      <c r="P18" s="322"/>
      <c r="Q18" s="322"/>
      <c r="R18" s="430"/>
      <c r="S18" s="322"/>
      <c r="T18" s="322"/>
      <c r="U18" s="385"/>
      <c r="V18" s="322"/>
      <c r="W18" s="322"/>
      <c r="X18" s="322"/>
      <c r="Y18" s="430"/>
      <c r="Z18" s="322"/>
      <c r="AA18" s="322"/>
      <c r="AB18" s="385"/>
      <c r="AC18" s="322"/>
      <c r="AD18" s="322"/>
      <c r="AE18" s="322"/>
      <c r="AF18" s="430"/>
      <c r="AG18" s="322"/>
      <c r="AH18" s="322"/>
      <c r="AI18" s="385"/>
      <c r="AJ18" s="322"/>
      <c r="AK18" s="322"/>
      <c r="AL18" s="322"/>
      <c r="AM18" s="430"/>
      <c r="AN18" s="322"/>
      <c r="AO18" s="322"/>
      <c r="AP18" s="385"/>
      <c r="AQ18" s="322"/>
      <c r="AR18" s="322"/>
      <c r="AS18" s="322"/>
      <c r="AT18" s="430"/>
      <c r="AU18" s="322"/>
      <c r="AV18" s="322"/>
      <c r="AW18" s="385"/>
      <c r="AX18" s="322"/>
      <c r="AY18" s="322"/>
      <c r="AZ18" s="322"/>
      <c r="BA18" s="430"/>
      <c r="BB18" s="322"/>
      <c r="BC18" s="322"/>
      <c r="BD18" s="385"/>
      <c r="BE18" s="322"/>
      <c r="BF18" s="322"/>
      <c r="BG18" s="322"/>
      <c r="BH18" s="430"/>
      <c r="BI18" s="322"/>
      <c r="BJ18" s="322"/>
      <c r="BK18" s="385"/>
      <c r="BL18" s="322"/>
      <c r="BM18" s="322"/>
      <c r="BN18" s="322"/>
      <c r="BO18" s="430"/>
      <c r="BP18" s="322"/>
      <c r="BQ18" s="322"/>
      <c r="BR18" s="385"/>
      <c r="BS18" s="322"/>
      <c r="BT18" s="322"/>
      <c r="BU18" s="322"/>
      <c r="BV18" s="430"/>
      <c r="BW18" s="322"/>
      <c r="BX18" s="322"/>
      <c r="BY18" s="385"/>
      <c r="BZ18" s="322"/>
      <c r="CA18" s="322"/>
      <c r="CB18" s="322"/>
      <c r="CC18" s="430"/>
      <c r="CD18" s="322"/>
      <c r="CE18" s="322"/>
      <c r="CF18" s="385"/>
      <c r="CG18" s="322"/>
      <c r="CH18" s="322"/>
      <c r="CI18" s="322"/>
      <c r="CJ18" s="430"/>
      <c r="CK18" s="322"/>
      <c r="CL18" s="322"/>
      <c r="CM18" s="385"/>
      <c r="CN18" s="322"/>
      <c r="CO18" s="322"/>
      <c r="CP18" s="322"/>
      <c r="CQ18" s="430"/>
      <c r="CR18" s="322"/>
      <c r="CS18" s="322"/>
      <c r="CT18" s="385"/>
      <c r="CU18" s="322"/>
      <c r="CV18" s="322"/>
      <c r="CW18" s="322"/>
      <c r="CX18" s="430"/>
      <c r="CY18" s="322"/>
      <c r="CZ18" s="322"/>
      <c r="DA18" s="385"/>
      <c r="DB18" s="322"/>
      <c r="DC18" s="322"/>
      <c r="DD18" s="322"/>
      <c r="DE18" s="430"/>
      <c r="DF18" s="322"/>
      <c r="DG18" s="322"/>
      <c r="DH18" s="385"/>
      <c r="DI18" s="322"/>
      <c r="DJ18" s="322"/>
      <c r="DK18" s="322"/>
      <c r="DL18" s="430"/>
      <c r="DM18" s="322"/>
      <c r="DN18" s="322"/>
      <c r="DO18" s="385"/>
      <c r="DP18" s="322"/>
      <c r="DQ18" s="322"/>
      <c r="DR18" s="322"/>
      <c r="DS18" s="430"/>
      <c r="DT18" s="322"/>
      <c r="DU18" s="322"/>
      <c r="DV18" s="385"/>
      <c r="DW18" s="322"/>
      <c r="DX18" s="322"/>
      <c r="DY18" s="322"/>
      <c r="DZ18" s="430"/>
      <c r="EA18" s="322"/>
      <c r="EB18" s="322"/>
      <c r="EC18" s="385"/>
      <c r="ED18" s="322"/>
      <c r="EE18" s="322"/>
      <c r="EF18" s="322"/>
      <c r="EG18" s="430"/>
      <c r="EH18" s="322"/>
      <c r="EI18" s="322"/>
      <c r="EJ18" s="385"/>
      <c r="EK18" s="322"/>
      <c r="EL18" s="322"/>
      <c r="EM18" s="322"/>
      <c r="EN18" s="430"/>
      <c r="EO18" s="322"/>
      <c r="EP18" s="322"/>
      <c r="EQ18" s="385"/>
    </row>
    <row r="19" spans="1:147" ht="10.199999999999999" customHeight="1">
      <c r="A19" s="130" t="str">
        <f>A280</f>
        <v>A220</v>
      </c>
      <c r="B19" s="43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8"/>
      <c r="S19" s="197"/>
      <c r="T19" s="197"/>
      <c r="U19" s="1085"/>
      <c r="V19" s="67"/>
      <c r="W19" s="67"/>
      <c r="X19" s="67"/>
      <c r="Y19" s="688"/>
      <c r="Z19" s="197"/>
      <c r="AA19" s="197"/>
      <c r="AB19" s="1085"/>
      <c r="AC19" s="67"/>
      <c r="AD19" s="67"/>
      <c r="AE19" s="67"/>
      <c r="AF19" s="688"/>
      <c r="AG19" s="197"/>
      <c r="AH19" s="197"/>
      <c r="AI19" s="1085"/>
      <c r="AJ19" s="67"/>
      <c r="AK19" s="67"/>
      <c r="AL19" s="67"/>
      <c r="AM19" s="688"/>
      <c r="AN19" s="197"/>
      <c r="AO19" s="197"/>
      <c r="AP19" s="1085"/>
      <c r="AQ19" s="67"/>
      <c r="AR19" s="67"/>
      <c r="AS19" s="67"/>
      <c r="AT19" s="688"/>
      <c r="AU19" s="197"/>
      <c r="AV19" s="197"/>
      <c r="AW19" s="1085"/>
      <c r="AX19" s="67"/>
      <c r="AY19" s="67"/>
      <c r="AZ19" s="67"/>
      <c r="BA19" s="688"/>
      <c r="BB19" s="197"/>
      <c r="BC19" s="197"/>
      <c r="BD19" s="1085"/>
      <c r="BE19" s="67"/>
      <c r="BF19" s="67"/>
      <c r="BG19" s="67"/>
      <c r="BH19" s="688"/>
      <c r="BI19" s="197"/>
      <c r="BJ19" s="197"/>
      <c r="BK19" s="1085">
        <f>BK280</f>
        <v>740.35928326500232</v>
      </c>
      <c r="BL19" s="67"/>
      <c r="BM19" s="67"/>
      <c r="BN19" s="67"/>
      <c r="BO19" s="688"/>
      <c r="BP19" s="197"/>
      <c r="BQ19" s="197"/>
      <c r="BR19" s="1085">
        <f t="shared" ref="BR19:EQ19" si="187">BR280</f>
        <v>1755.0375000000001</v>
      </c>
      <c r="BS19" s="67"/>
      <c r="BT19" s="67"/>
      <c r="BU19" s="67"/>
      <c r="BV19" s="688"/>
      <c r="BW19" s="197"/>
      <c r="BX19" s="197"/>
      <c r="BY19" s="1085">
        <f t="shared" si="187"/>
        <v>1467.2320196951196</v>
      </c>
      <c r="BZ19" s="67"/>
      <c r="CA19" s="67"/>
      <c r="CB19" s="67"/>
      <c r="CC19" s="688"/>
      <c r="CD19" s="197"/>
      <c r="CE19" s="197"/>
      <c r="CF19" s="1085">
        <f t="shared" si="187"/>
        <v>1614.1208431060256</v>
      </c>
      <c r="CG19" s="67"/>
      <c r="CH19" s="67"/>
      <c r="CI19" s="67"/>
      <c r="CJ19" s="688"/>
      <c r="CK19" s="197"/>
      <c r="CL19" s="197"/>
      <c r="CM19" s="1085">
        <f t="shared" si="187"/>
        <v>1809.4329497344354</v>
      </c>
      <c r="CN19" s="67">
        <f>CN280</f>
        <v>359.58484791978634</v>
      </c>
      <c r="CO19" s="67">
        <f>CO280</f>
        <v>536.68053663419118</v>
      </c>
      <c r="CP19" s="67">
        <f>CP280</f>
        <v>579.2430032250254</v>
      </c>
      <c r="CQ19" s="688">
        <f t="shared" si="187"/>
        <v>967.0536043623174</v>
      </c>
      <c r="CR19" s="197">
        <f>CR280</f>
        <v>896.26538455397758</v>
      </c>
      <c r="CS19" s="197">
        <f t="shared" si="187"/>
        <v>1546.2966075873428</v>
      </c>
      <c r="CT19" s="1085">
        <f t="shared" ref="CT19" si="188">CT280</f>
        <v>2442.5619921413204</v>
      </c>
      <c r="CU19" s="67">
        <f>CU280</f>
        <v>431.202175439543</v>
      </c>
      <c r="CV19" s="67">
        <f>CV280</f>
        <v>579.58513968628063</v>
      </c>
      <c r="CW19" s="67">
        <f>CW280</f>
        <v>614.44737688574526</v>
      </c>
      <c r="CX19" s="688">
        <f t="shared" ref="CX19" si="189">CX280</f>
        <v>1101.5388739645073</v>
      </c>
      <c r="CY19" s="197">
        <f>CY280</f>
        <v>1010.7873151258236</v>
      </c>
      <c r="CZ19" s="197">
        <f t="shared" ref="CZ19" si="190">CZ280</f>
        <v>1715.9862508502524</v>
      </c>
      <c r="DA19" s="1085">
        <f t="shared" si="187"/>
        <v>2726.773565976076</v>
      </c>
      <c r="DB19" s="67">
        <f t="shared" si="187"/>
        <v>653.88173765971237</v>
      </c>
      <c r="DC19" s="67">
        <f>DC280</f>
        <v>895.35856120245421</v>
      </c>
      <c r="DD19" s="67">
        <f t="shared" si="187"/>
        <v>766.82923400698144</v>
      </c>
      <c r="DE19" s="688">
        <f t="shared" si="187"/>
        <v>1130.9469736268011</v>
      </c>
      <c r="DF19" s="197">
        <f>DF280</f>
        <v>1549.2402988621666</v>
      </c>
      <c r="DG19" s="197">
        <f t="shared" ref="DG19" si="191">DG280</f>
        <v>1897.7762076337826</v>
      </c>
      <c r="DH19" s="1085">
        <f t="shared" ref="DH19:DI19" si="192">DH280</f>
        <v>3447.0165064959492</v>
      </c>
      <c r="DI19" s="67">
        <f t="shared" si="192"/>
        <v>702.73049511346744</v>
      </c>
      <c r="DJ19" s="67">
        <f>DJ280</f>
        <v>931.30950012381822</v>
      </c>
      <c r="DK19" s="322">
        <f t="shared" si="187"/>
        <v>939.14041594402397</v>
      </c>
      <c r="DL19" s="430">
        <f t="shared" si="187"/>
        <v>1472.6297610082852</v>
      </c>
      <c r="DM19" s="197">
        <f>DM280</f>
        <v>1634.0399952372857</v>
      </c>
      <c r="DN19" s="322">
        <f t="shared" si="187"/>
        <v>2411.7701769523092</v>
      </c>
      <c r="DO19" s="385">
        <f t="shared" si="187"/>
        <v>4045.8101721895946</v>
      </c>
      <c r="DP19" s="322">
        <f t="shared" si="187"/>
        <v>1182.4875559466966</v>
      </c>
      <c r="DQ19" s="322">
        <f t="shared" si="187"/>
        <v>1075.8352386848853</v>
      </c>
      <c r="DR19" s="322">
        <f t="shared" si="187"/>
        <v>1075.8094219340478</v>
      </c>
      <c r="DS19" s="430">
        <f t="shared" si="187"/>
        <v>1075.5429586584019</v>
      </c>
      <c r="DT19" s="322">
        <f t="shared" si="187"/>
        <v>2258.3227946315819</v>
      </c>
      <c r="DU19" s="322">
        <f t="shared" si="187"/>
        <v>2151.3523805924497</v>
      </c>
      <c r="DV19" s="385">
        <f t="shared" si="187"/>
        <v>4409.6751752240316</v>
      </c>
      <c r="DW19" s="322">
        <f t="shared" si="187"/>
        <v>1101.5133500435934</v>
      </c>
      <c r="DX19" s="322">
        <f t="shared" si="187"/>
        <v>1101.8801918366619</v>
      </c>
      <c r="DY19" s="322">
        <f t="shared" si="187"/>
        <v>1101.8847981052616</v>
      </c>
      <c r="DZ19" s="430">
        <f t="shared" si="187"/>
        <v>1101.8928100235455</v>
      </c>
      <c r="EA19" s="322">
        <f t="shared" si="187"/>
        <v>2203.3935418802553</v>
      </c>
      <c r="EB19" s="322">
        <f t="shared" si="187"/>
        <v>2203.7776081288071</v>
      </c>
      <c r="EC19" s="385">
        <f t="shared" si="187"/>
        <v>4407.1711500090623</v>
      </c>
      <c r="ED19" s="322">
        <f t="shared" si="187"/>
        <v>1108.6509201730983</v>
      </c>
      <c r="EE19" s="322">
        <f t="shared" si="187"/>
        <v>1108.6372770336766</v>
      </c>
      <c r="EF19" s="322">
        <f t="shared" si="187"/>
        <v>1108.6351001355229</v>
      </c>
      <c r="EG19" s="430">
        <f t="shared" si="187"/>
        <v>1108.6352166806746</v>
      </c>
      <c r="EH19" s="322">
        <f t="shared" si="187"/>
        <v>2217.2881972067748</v>
      </c>
      <c r="EI19" s="322">
        <f t="shared" si="187"/>
        <v>2217.2703168161975</v>
      </c>
      <c r="EJ19" s="385">
        <f t="shared" si="187"/>
        <v>4434.5585140229723</v>
      </c>
      <c r="EK19" s="322">
        <f t="shared" si="187"/>
        <v>1125.7818111208551</v>
      </c>
      <c r="EL19" s="322">
        <f t="shared" si="187"/>
        <v>1125.7879197915761</v>
      </c>
      <c r="EM19" s="322">
        <f t="shared" si="187"/>
        <v>1125.7888876572081</v>
      </c>
      <c r="EN19" s="430">
        <f t="shared" si="187"/>
        <v>1125.7884566665937</v>
      </c>
      <c r="EO19" s="322">
        <f t="shared" si="187"/>
        <v>2251.5697309124312</v>
      </c>
      <c r="EP19" s="322">
        <f t="shared" si="187"/>
        <v>2251.5773443238018</v>
      </c>
      <c r="EQ19" s="385">
        <f t="shared" si="187"/>
        <v>4503.1470752362329</v>
      </c>
    </row>
    <row r="20" spans="1:147" ht="10.199999999999999" hidden="1" customHeight="1" outlineLevel="1">
      <c r="A20" s="130" t="str">
        <f>A286</f>
        <v>A320ceo</v>
      </c>
      <c r="B20" s="43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88"/>
      <c r="S20" s="197"/>
      <c r="T20" s="197"/>
      <c r="U20" s="1085"/>
      <c r="V20" s="67"/>
      <c r="W20" s="67"/>
      <c r="X20" s="67"/>
      <c r="Y20" s="688"/>
      <c r="Z20" s="197"/>
      <c r="AA20" s="197"/>
      <c r="AB20" s="1085"/>
      <c r="AC20" s="67"/>
      <c r="AD20" s="67"/>
      <c r="AE20" s="67"/>
      <c r="AF20" s="688"/>
      <c r="AG20" s="197"/>
      <c r="AH20" s="197"/>
      <c r="AI20" s="1085"/>
      <c r="AJ20" s="67"/>
      <c r="AK20" s="67"/>
      <c r="AL20" s="67"/>
      <c r="AM20" s="688"/>
      <c r="AN20" s="197"/>
      <c r="AO20" s="197"/>
      <c r="AP20" s="1085"/>
      <c r="AQ20" s="67"/>
      <c r="AR20" s="67"/>
      <c r="AS20" s="67"/>
      <c r="AT20" s="688"/>
      <c r="AU20" s="197"/>
      <c r="AV20" s="197"/>
      <c r="AW20" s="1085"/>
      <c r="AX20" s="67"/>
      <c r="AY20" s="67"/>
      <c r="AZ20" s="67"/>
      <c r="BA20" s="688"/>
      <c r="BB20" s="197"/>
      <c r="BC20" s="197"/>
      <c r="BD20" s="1085"/>
      <c r="BE20" s="67"/>
      <c r="BF20" s="67"/>
      <c r="BG20" s="67"/>
      <c r="BH20" s="688"/>
      <c r="BI20" s="197"/>
      <c r="BJ20" s="197"/>
      <c r="BK20" s="1085">
        <f>BK286</f>
        <v>9645.7013580585808</v>
      </c>
      <c r="BL20" s="67"/>
      <c r="BM20" s="67"/>
      <c r="BN20" s="67"/>
      <c r="BO20" s="688"/>
      <c r="BP20" s="197"/>
      <c r="BQ20" s="197"/>
      <c r="BR20" s="1085">
        <f t="shared" ref="BR20:EQ20" si="193">BR286</f>
        <v>3753.7020000000002</v>
      </c>
      <c r="BS20" s="67"/>
      <c r="BT20" s="67"/>
      <c r="BU20" s="67"/>
      <c r="BV20" s="688"/>
      <c r="BW20" s="197"/>
      <c r="BX20" s="197"/>
      <c r="BY20" s="1085">
        <f t="shared" si="193"/>
        <v>572.48156099420964</v>
      </c>
      <c r="BZ20" s="67"/>
      <c r="CA20" s="67"/>
      <c r="CB20" s="67"/>
      <c r="CC20" s="688"/>
      <c r="CD20" s="197"/>
      <c r="CE20" s="197"/>
      <c r="CF20" s="1085">
        <f t="shared" si="193"/>
        <v>990.17885196547036</v>
      </c>
      <c r="CG20" s="67"/>
      <c r="CH20" s="67"/>
      <c r="CI20" s="67"/>
      <c r="CJ20" s="688"/>
      <c r="CK20" s="197"/>
      <c r="CL20" s="197"/>
      <c r="CM20" s="1085">
        <f t="shared" si="193"/>
        <v>0</v>
      </c>
      <c r="CN20" s="67">
        <f>CN286</f>
        <v>0</v>
      </c>
      <c r="CO20" s="67">
        <f>CO286</f>
        <v>0</v>
      </c>
      <c r="CP20" s="67">
        <f>CP286</f>
        <v>0</v>
      </c>
      <c r="CQ20" s="688">
        <f t="shared" si="193"/>
        <v>0</v>
      </c>
      <c r="CR20" s="197">
        <f>CR286</f>
        <v>0</v>
      </c>
      <c r="CS20" s="197">
        <f t="shared" si="193"/>
        <v>0</v>
      </c>
      <c r="CT20" s="1085">
        <f t="shared" ref="CT20" si="194">CT286</f>
        <v>0</v>
      </c>
      <c r="CU20" s="67">
        <f>CU286</f>
        <v>0</v>
      </c>
      <c r="CV20" s="67">
        <f>CV286</f>
        <v>0</v>
      </c>
      <c r="CW20" s="67">
        <f>CW286</f>
        <v>0</v>
      </c>
      <c r="CX20" s="688">
        <f t="shared" ref="CX20" si="195">CX286</f>
        <v>0</v>
      </c>
      <c r="CY20" s="197">
        <f>CY286</f>
        <v>0</v>
      </c>
      <c r="CZ20" s="197">
        <f t="shared" ref="CZ20" si="196">CZ286</f>
        <v>0</v>
      </c>
      <c r="DA20" s="1085">
        <f t="shared" si="193"/>
        <v>0</v>
      </c>
      <c r="DB20" s="67">
        <f t="shared" si="193"/>
        <v>0</v>
      </c>
      <c r="DC20" s="67">
        <f>DC286</f>
        <v>0</v>
      </c>
      <c r="DD20" s="67">
        <f t="shared" si="193"/>
        <v>0</v>
      </c>
      <c r="DE20" s="688">
        <f t="shared" si="193"/>
        <v>0</v>
      </c>
      <c r="DF20" s="197">
        <f>DF286</f>
        <v>0</v>
      </c>
      <c r="DG20" s="197">
        <f t="shared" ref="DG20" si="197">DG286</f>
        <v>0</v>
      </c>
      <c r="DH20" s="1085">
        <f t="shared" ref="DH20:DI20" si="198">DH286</f>
        <v>0</v>
      </c>
      <c r="DI20" s="67">
        <f t="shared" si="198"/>
        <v>0</v>
      </c>
      <c r="DJ20" s="67">
        <f>DJ286</f>
        <v>0</v>
      </c>
      <c r="DK20" s="322">
        <f t="shared" si="193"/>
        <v>0</v>
      </c>
      <c r="DL20" s="430">
        <f t="shared" si="193"/>
        <v>0</v>
      </c>
      <c r="DM20" s="197">
        <f>DM286</f>
        <v>0</v>
      </c>
      <c r="DN20" s="322">
        <f t="shared" si="193"/>
        <v>0</v>
      </c>
      <c r="DO20" s="385">
        <f t="shared" si="193"/>
        <v>0</v>
      </c>
      <c r="DP20" s="322">
        <f t="shared" si="193"/>
        <v>0</v>
      </c>
      <c r="DQ20" s="322">
        <f t="shared" si="193"/>
        <v>0</v>
      </c>
      <c r="DR20" s="322">
        <f t="shared" si="193"/>
        <v>0</v>
      </c>
      <c r="DS20" s="430">
        <f t="shared" si="193"/>
        <v>0</v>
      </c>
      <c r="DT20" s="322">
        <f t="shared" si="193"/>
        <v>0</v>
      </c>
      <c r="DU20" s="322">
        <f t="shared" si="193"/>
        <v>0</v>
      </c>
      <c r="DV20" s="385">
        <f t="shared" si="193"/>
        <v>0</v>
      </c>
      <c r="DW20" s="322">
        <f t="shared" si="193"/>
        <v>0</v>
      </c>
      <c r="DX20" s="322">
        <f t="shared" si="193"/>
        <v>0</v>
      </c>
      <c r="DY20" s="322">
        <f t="shared" si="193"/>
        <v>0</v>
      </c>
      <c r="DZ20" s="430">
        <f t="shared" si="193"/>
        <v>0</v>
      </c>
      <c r="EA20" s="322">
        <f t="shared" si="193"/>
        <v>0</v>
      </c>
      <c r="EB20" s="322">
        <f t="shared" si="193"/>
        <v>0</v>
      </c>
      <c r="EC20" s="385">
        <f t="shared" si="193"/>
        <v>0</v>
      </c>
      <c r="ED20" s="322">
        <f t="shared" si="193"/>
        <v>0</v>
      </c>
      <c r="EE20" s="322">
        <f t="shared" si="193"/>
        <v>0</v>
      </c>
      <c r="EF20" s="322">
        <f t="shared" si="193"/>
        <v>0</v>
      </c>
      <c r="EG20" s="430">
        <f t="shared" si="193"/>
        <v>0</v>
      </c>
      <c r="EH20" s="322">
        <f t="shared" si="193"/>
        <v>0</v>
      </c>
      <c r="EI20" s="322">
        <f t="shared" si="193"/>
        <v>0</v>
      </c>
      <c r="EJ20" s="385">
        <f t="shared" si="193"/>
        <v>0</v>
      </c>
      <c r="EK20" s="322">
        <f t="shared" si="193"/>
        <v>0</v>
      </c>
      <c r="EL20" s="322">
        <f t="shared" si="193"/>
        <v>0</v>
      </c>
      <c r="EM20" s="322">
        <f t="shared" si="193"/>
        <v>0</v>
      </c>
      <c r="EN20" s="430">
        <f t="shared" si="193"/>
        <v>0</v>
      </c>
      <c r="EO20" s="322">
        <f t="shared" si="193"/>
        <v>0</v>
      </c>
      <c r="EP20" s="322">
        <f t="shared" si="193"/>
        <v>0</v>
      </c>
      <c r="EQ20" s="385">
        <f t="shared" si="193"/>
        <v>0</v>
      </c>
    </row>
    <row r="21" spans="1:147" ht="10.199999999999999" customHeight="1" collapsed="1">
      <c r="A21" s="130" t="str">
        <f>A290</f>
        <v>A320neo</v>
      </c>
      <c r="B21" s="43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88"/>
      <c r="S21" s="197"/>
      <c r="T21" s="197"/>
      <c r="U21" s="1085"/>
      <c r="V21" s="67"/>
      <c r="W21" s="67"/>
      <c r="X21" s="67"/>
      <c r="Y21" s="688"/>
      <c r="Z21" s="197"/>
      <c r="AA21" s="197"/>
      <c r="AB21" s="1085"/>
      <c r="AC21" s="67"/>
      <c r="AD21" s="67"/>
      <c r="AE21" s="67"/>
      <c r="AF21" s="688"/>
      <c r="AG21" s="197"/>
      <c r="AH21" s="197"/>
      <c r="AI21" s="1085"/>
      <c r="AJ21" s="67"/>
      <c r="AK21" s="67"/>
      <c r="AL21" s="67"/>
      <c r="AM21" s="688"/>
      <c r="AN21" s="197"/>
      <c r="AO21" s="197"/>
      <c r="AP21" s="1085"/>
      <c r="AQ21" s="67"/>
      <c r="AR21" s="67"/>
      <c r="AS21" s="67"/>
      <c r="AT21" s="688"/>
      <c r="AU21" s="197"/>
      <c r="AV21" s="197"/>
      <c r="AW21" s="1085"/>
      <c r="AX21" s="67"/>
      <c r="AY21" s="67"/>
      <c r="AZ21" s="67"/>
      <c r="BA21" s="688"/>
      <c r="BB21" s="197"/>
      <c r="BC21" s="197"/>
      <c r="BD21" s="1085"/>
      <c r="BE21" s="67"/>
      <c r="BF21" s="67"/>
      <c r="BG21" s="67"/>
      <c r="BH21" s="688"/>
      <c r="BI21" s="197"/>
      <c r="BJ21" s="197"/>
      <c r="BK21" s="1085">
        <f>BK290</f>
        <v>16726.708121861804</v>
      </c>
      <c r="BL21" s="67"/>
      <c r="BM21" s="67"/>
      <c r="BN21" s="67"/>
      <c r="BO21" s="688"/>
      <c r="BP21" s="197"/>
      <c r="BQ21" s="197"/>
      <c r="BR21" s="1085">
        <f t="shared" ref="BR21:EQ21" si="199">BR290</f>
        <v>25737.606322400021</v>
      </c>
      <c r="BS21" s="67"/>
      <c r="BT21" s="67"/>
      <c r="BU21" s="67"/>
      <c r="BV21" s="688"/>
      <c r="BW21" s="197"/>
      <c r="BX21" s="197"/>
      <c r="BY21" s="1085">
        <f t="shared" si="199"/>
        <v>19230.487784206594</v>
      </c>
      <c r="BZ21" s="67"/>
      <c r="CA21" s="67"/>
      <c r="CB21" s="67"/>
      <c r="CC21" s="688"/>
      <c r="CD21" s="197"/>
      <c r="CE21" s="197"/>
      <c r="CF21" s="1085">
        <f t="shared" si="199"/>
        <v>21694.353125110822</v>
      </c>
      <c r="CG21" s="67"/>
      <c r="CH21" s="67"/>
      <c r="CI21" s="67"/>
      <c r="CJ21" s="688"/>
      <c r="CK21" s="197"/>
      <c r="CL21" s="197"/>
      <c r="CM21" s="1085">
        <f t="shared" si="199"/>
        <v>25178.280157093057</v>
      </c>
      <c r="CN21" s="67">
        <f t="shared" si="199"/>
        <v>5411.1611570833047</v>
      </c>
      <c r="CO21" s="67">
        <f t="shared" si="199"/>
        <v>7403.3222074170862</v>
      </c>
      <c r="CP21" s="67">
        <f t="shared" si="199"/>
        <v>6552.7060205819489</v>
      </c>
      <c r="CQ21" s="688">
        <f t="shared" si="199"/>
        <v>9253.0131293962077</v>
      </c>
      <c r="CR21" s="197">
        <f t="shared" si="199"/>
        <v>12814.483364500391</v>
      </c>
      <c r="CS21" s="197">
        <f t="shared" si="199"/>
        <v>15805.719149978157</v>
      </c>
      <c r="CT21" s="1085">
        <f t="shared" ref="CT21:CX21" si="200">CT290</f>
        <v>28620.202514478548</v>
      </c>
      <c r="CU21" s="67">
        <f t="shared" si="200"/>
        <v>5723.3366387669857</v>
      </c>
      <c r="CV21" s="67">
        <f t="shared" si="200"/>
        <v>7677.3550713030863</v>
      </c>
      <c r="CW21" s="67">
        <f t="shared" si="200"/>
        <v>6847.4896636624017</v>
      </c>
      <c r="CX21" s="688">
        <f t="shared" si="200"/>
        <v>10819.638462902973</v>
      </c>
      <c r="CY21" s="197">
        <f t="shared" ref="CY21:CZ21" si="201">CY290</f>
        <v>13400.691710070072</v>
      </c>
      <c r="CZ21" s="197">
        <f t="shared" si="201"/>
        <v>17667.128126565374</v>
      </c>
      <c r="DA21" s="1085">
        <f t="shared" si="199"/>
        <v>31067.819836635448</v>
      </c>
      <c r="DB21" s="67">
        <f t="shared" si="199"/>
        <v>5630.5699687434935</v>
      </c>
      <c r="DC21" s="67">
        <f t="shared" si="199"/>
        <v>6295.5505802438929</v>
      </c>
      <c r="DD21" s="67">
        <f t="shared" si="199"/>
        <v>8043.2831582868357</v>
      </c>
      <c r="DE21" s="688">
        <f t="shared" si="199"/>
        <v>10960.373549878801</v>
      </c>
      <c r="DF21" s="197">
        <f t="shared" si="199"/>
        <v>11926.120548987386</v>
      </c>
      <c r="DG21" s="197">
        <f t="shared" si="199"/>
        <v>19003.656708165636</v>
      </c>
      <c r="DH21" s="1085">
        <f t="shared" ref="DH21:DJ21" si="202">DH290</f>
        <v>30929.777257153022</v>
      </c>
      <c r="DI21" s="67">
        <f t="shared" si="202"/>
        <v>4365.2909871094289</v>
      </c>
      <c r="DJ21" s="67">
        <f t="shared" si="202"/>
        <v>9907.7662540995625</v>
      </c>
      <c r="DK21" s="322">
        <f t="shared" si="199"/>
        <v>8116.9101469199113</v>
      </c>
      <c r="DL21" s="430">
        <f t="shared" si="199"/>
        <v>11084.566223673461</v>
      </c>
      <c r="DM21" s="197">
        <f t="shared" ref="DM21" si="203">DM290</f>
        <v>14273.057241208991</v>
      </c>
      <c r="DN21" s="322">
        <f t="shared" si="199"/>
        <v>19201.476370593373</v>
      </c>
      <c r="DO21" s="385">
        <f t="shared" si="199"/>
        <v>33474.533611802362</v>
      </c>
      <c r="DP21" s="322">
        <f t="shared" si="199"/>
        <v>8988.0817713609067</v>
      </c>
      <c r="DQ21" s="322">
        <f t="shared" si="199"/>
        <v>9740.6608719390424</v>
      </c>
      <c r="DR21" s="322">
        <f t="shared" si="199"/>
        <v>9744.8364042496287</v>
      </c>
      <c r="DS21" s="430">
        <f t="shared" si="199"/>
        <v>9742.1999011370463</v>
      </c>
      <c r="DT21" s="322">
        <f t="shared" si="199"/>
        <v>18728.742643299949</v>
      </c>
      <c r="DU21" s="322">
        <f t="shared" si="199"/>
        <v>19487.036305386675</v>
      </c>
      <c r="DV21" s="385">
        <f t="shared" si="199"/>
        <v>38215.778948686624</v>
      </c>
      <c r="DW21" s="322">
        <f t="shared" si="199"/>
        <v>9977.6662803105901</v>
      </c>
      <c r="DX21" s="322">
        <f t="shared" si="199"/>
        <v>10745.071051663985</v>
      </c>
      <c r="DY21" s="322">
        <f t="shared" si="199"/>
        <v>10749.099130115494</v>
      </c>
      <c r="DZ21" s="430">
        <f t="shared" si="199"/>
        <v>11119.895424635106</v>
      </c>
      <c r="EA21" s="322">
        <f t="shared" si="199"/>
        <v>20722.737331974575</v>
      </c>
      <c r="EB21" s="322">
        <f t="shared" si="199"/>
        <v>21868.994554750599</v>
      </c>
      <c r="EC21" s="385">
        <f t="shared" si="199"/>
        <v>42591.731886725174</v>
      </c>
      <c r="ED21" s="322">
        <f t="shared" si="199"/>
        <v>10815.103958350443</v>
      </c>
      <c r="EE21" s="322">
        <f t="shared" si="199"/>
        <v>10811.091265361483</v>
      </c>
      <c r="EF21" s="322">
        <f t="shared" si="199"/>
        <v>10814.949630826883</v>
      </c>
      <c r="EG21" s="430">
        <f t="shared" si="199"/>
        <v>11194.823792637875</v>
      </c>
      <c r="EH21" s="322">
        <f t="shared" si="199"/>
        <v>21626.195223711926</v>
      </c>
      <c r="EI21" s="322">
        <f t="shared" si="199"/>
        <v>22009.773423464758</v>
      </c>
      <c r="EJ21" s="385">
        <f t="shared" si="199"/>
        <v>43635.968647176684</v>
      </c>
      <c r="EK21" s="322">
        <f t="shared" si="199"/>
        <v>10982.219109862901</v>
      </c>
      <c r="EL21" s="322">
        <f t="shared" si="199"/>
        <v>10978.339117007898</v>
      </c>
      <c r="EM21" s="322">
        <f t="shared" si="199"/>
        <v>10982.288142842472</v>
      </c>
      <c r="EN21" s="430">
        <f t="shared" si="199"/>
        <v>11368.032372164509</v>
      </c>
      <c r="EO21" s="322">
        <f t="shared" si="199"/>
        <v>21960.558226870799</v>
      </c>
      <c r="EP21" s="322">
        <f t="shared" si="199"/>
        <v>22350.320515006981</v>
      </c>
      <c r="EQ21" s="385">
        <f t="shared" si="199"/>
        <v>44310.878741877779</v>
      </c>
    </row>
    <row r="22" spans="1:147" ht="10.199999999999999" customHeight="1">
      <c r="A22" s="130" t="str">
        <f>A293</f>
        <v>A330ceo</v>
      </c>
      <c r="B22" s="43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88"/>
      <c r="S22" s="197"/>
      <c r="T22" s="197"/>
      <c r="U22" s="1085"/>
      <c r="V22" s="67"/>
      <c r="W22" s="67"/>
      <c r="X22" s="67"/>
      <c r="Y22" s="688"/>
      <c r="Z22" s="197"/>
      <c r="AA22" s="197"/>
      <c r="AB22" s="1085"/>
      <c r="AC22" s="67"/>
      <c r="AD22" s="67"/>
      <c r="AE22" s="67"/>
      <c r="AF22" s="688"/>
      <c r="AG22" s="197"/>
      <c r="AH22" s="197"/>
      <c r="AI22" s="1085"/>
      <c r="AJ22" s="67"/>
      <c r="AK22" s="67"/>
      <c r="AL22" s="67"/>
      <c r="AM22" s="688"/>
      <c r="AN22" s="197"/>
      <c r="AO22" s="197"/>
      <c r="AP22" s="1085"/>
      <c r="AQ22" s="67"/>
      <c r="AR22" s="67"/>
      <c r="AS22" s="67"/>
      <c r="AT22" s="688"/>
      <c r="AU22" s="197"/>
      <c r="AV22" s="197"/>
      <c r="AW22" s="1085"/>
      <c r="AX22" s="67"/>
      <c r="AY22" s="67"/>
      <c r="AZ22" s="67"/>
      <c r="BA22" s="688"/>
      <c r="BB22" s="197"/>
      <c r="BC22" s="197"/>
      <c r="BD22" s="1085"/>
      <c r="BE22" s="67"/>
      <c r="BF22" s="67"/>
      <c r="BG22" s="67"/>
      <c r="BH22" s="688"/>
      <c r="BI22" s="197"/>
      <c r="BJ22" s="197"/>
      <c r="BK22" s="1085">
        <f>BK293</f>
        <v>4394.9764284853072</v>
      </c>
      <c r="BL22" s="67"/>
      <c r="BM22" s="67"/>
      <c r="BN22" s="67"/>
      <c r="BO22" s="688"/>
      <c r="BP22" s="197"/>
      <c r="BQ22" s="197"/>
      <c r="BR22" s="1085">
        <f t="shared" ref="BR22:EQ22" si="204">BR293</f>
        <v>1143.8662499999998</v>
      </c>
      <c r="BS22" s="67"/>
      <c r="BT22" s="67"/>
      <c r="BU22" s="67"/>
      <c r="BV22" s="688"/>
      <c r="BW22" s="197"/>
      <c r="BX22" s="197"/>
      <c r="BY22" s="1085">
        <f t="shared" si="204"/>
        <v>507.07399361563006</v>
      </c>
      <c r="BZ22" s="67"/>
      <c r="CA22" s="67"/>
      <c r="CB22" s="67"/>
      <c r="CC22" s="688"/>
      <c r="CD22" s="197"/>
      <c r="CE22" s="197"/>
      <c r="CF22" s="1085">
        <f t="shared" si="204"/>
        <v>348.04758225838521</v>
      </c>
      <c r="CG22" s="67"/>
      <c r="CH22" s="67"/>
      <c r="CI22" s="67"/>
      <c r="CJ22" s="688"/>
      <c r="CK22" s="197"/>
      <c r="CL22" s="197"/>
      <c r="CM22" s="1085">
        <f t="shared" si="204"/>
        <v>744.01187550568375</v>
      </c>
      <c r="CN22" s="67">
        <f>CN293</f>
        <v>82.011872076787313</v>
      </c>
      <c r="CO22" s="67">
        <f>CO293</f>
        <v>81.519828416422001</v>
      </c>
      <c r="CP22" s="67">
        <f>CP293</f>
        <v>0</v>
      </c>
      <c r="CQ22" s="688">
        <f t="shared" si="204"/>
        <v>83.491394120307348</v>
      </c>
      <c r="CR22" s="197">
        <f>CR293</f>
        <v>163.53170049320931</v>
      </c>
      <c r="CS22" s="197">
        <f t="shared" si="204"/>
        <v>83.491394120307348</v>
      </c>
      <c r="CT22" s="1085">
        <f t="shared" ref="CT22" si="205">CT293</f>
        <v>247.02309461351666</v>
      </c>
      <c r="CU22" s="67">
        <f>CU293</f>
        <v>0</v>
      </c>
      <c r="CV22" s="67">
        <f>CV293</f>
        <v>0</v>
      </c>
      <c r="CW22" s="67">
        <f>CW293</f>
        <v>0</v>
      </c>
      <c r="CX22" s="688">
        <f t="shared" ref="CX22" si="206">CX293</f>
        <v>168.41836731028698</v>
      </c>
      <c r="CY22" s="197">
        <f>CY293</f>
        <v>0</v>
      </c>
      <c r="CZ22" s="197">
        <f t="shared" ref="CZ22" si="207">CZ293</f>
        <v>168.41836731028698</v>
      </c>
      <c r="DA22" s="1085">
        <f t="shared" si="204"/>
        <v>168.41836731028698</v>
      </c>
      <c r="DB22" s="67">
        <f t="shared" si="204"/>
        <v>0</v>
      </c>
      <c r="DC22" s="67">
        <f>DC293</f>
        <v>86.910506685160826</v>
      </c>
      <c r="DD22" s="67">
        <f t="shared" si="204"/>
        <v>0</v>
      </c>
      <c r="DE22" s="688">
        <f t="shared" si="204"/>
        <v>83.208745342596828</v>
      </c>
      <c r="DF22" s="197">
        <f>DF293</f>
        <v>86.910506685160826</v>
      </c>
      <c r="DG22" s="197">
        <f t="shared" ref="DG22" si="208">DG293</f>
        <v>83.208745342596828</v>
      </c>
      <c r="DH22" s="1085">
        <f t="shared" ref="DH22:DI22" si="209">DH293</f>
        <v>170.11925202775765</v>
      </c>
      <c r="DI22" s="67">
        <f t="shared" si="209"/>
        <v>0</v>
      </c>
      <c r="DJ22" s="67">
        <f>DJ293</f>
        <v>84.921858176087895</v>
      </c>
      <c r="DK22" s="322">
        <f t="shared" si="204"/>
        <v>91.341658641940981</v>
      </c>
      <c r="DL22" s="430">
        <f t="shared" si="204"/>
        <v>89.878777538279436</v>
      </c>
      <c r="DM22" s="197">
        <f>DM293</f>
        <v>84.921858176087895</v>
      </c>
      <c r="DN22" s="322">
        <f t="shared" si="204"/>
        <v>181.22043618022042</v>
      </c>
      <c r="DO22" s="385">
        <f t="shared" si="204"/>
        <v>266.1422943563083</v>
      </c>
      <c r="DP22" s="322">
        <f t="shared" si="204"/>
        <v>67.02563636881294</v>
      </c>
      <c r="DQ22" s="322">
        <f t="shared" si="204"/>
        <v>67.075905469573939</v>
      </c>
      <c r="DR22" s="322">
        <f t="shared" si="204"/>
        <v>67.076809247994476</v>
      </c>
      <c r="DS22" s="430">
        <f t="shared" si="204"/>
        <v>67.059330297348851</v>
      </c>
      <c r="DT22" s="322">
        <f t="shared" si="204"/>
        <v>134.10154183838688</v>
      </c>
      <c r="DU22" s="322">
        <f t="shared" si="204"/>
        <v>134.13613954534333</v>
      </c>
      <c r="DV22" s="385">
        <f t="shared" si="204"/>
        <v>268.23768138373021</v>
      </c>
      <c r="DW22" s="322">
        <f t="shared" si="204"/>
        <v>68.679451358739868</v>
      </c>
      <c r="DX22" s="322">
        <f t="shared" si="204"/>
        <v>68.70232397583743</v>
      </c>
      <c r="DY22" s="322">
        <f t="shared" si="204"/>
        <v>68.702611177077642</v>
      </c>
      <c r="DZ22" s="430">
        <f t="shared" si="204"/>
        <v>68.703110720866221</v>
      </c>
      <c r="EA22" s="322">
        <f t="shared" si="204"/>
        <v>137.3817753345773</v>
      </c>
      <c r="EB22" s="322">
        <f t="shared" si="204"/>
        <v>137.40572189794386</v>
      </c>
      <c r="EC22" s="385">
        <f t="shared" si="204"/>
        <v>274.78749723252116</v>
      </c>
      <c r="ED22" s="322">
        <f t="shared" si="204"/>
        <v>69.124479465307559</v>
      </c>
      <c r="EE22" s="322">
        <f t="shared" si="204"/>
        <v>69.123628814400547</v>
      </c>
      <c r="EF22" s="322">
        <f t="shared" si="204"/>
        <v>69.123493084614935</v>
      </c>
      <c r="EG22" s="430">
        <f t="shared" si="204"/>
        <v>69.123500351215071</v>
      </c>
      <c r="EH22" s="322">
        <f t="shared" si="204"/>
        <v>138.24810827970811</v>
      </c>
      <c r="EI22" s="322">
        <f t="shared" si="204"/>
        <v>138.24699343583001</v>
      </c>
      <c r="EJ22" s="385">
        <f t="shared" si="204"/>
        <v>276.49510171553811</v>
      </c>
      <c r="EK22" s="322">
        <f t="shared" si="204"/>
        <v>70.192591977545177</v>
      </c>
      <c r="EL22" s="322">
        <f t="shared" si="204"/>
        <v>70.192972853685845</v>
      </c>
      <c r="EM22" s="322">
        <f t="shared" si="204"/>
        <v>70.19303320019057</v>
      </c>
      <c r="EN22" s="430">
        <f t="shared" si="204"/>
        <v>70.193006327889037</v>
      </c>
      <c r="EO22" s="322">
        <f t="shared" si="204"/>
        <v>140.38556483123102</v>
      </c>
      <c r="EP22" s="322">
        <f t="shared" si="204"/>
        <v>140.38603952807961</v>
      </c>
      <c r="EQ22" s="385">
        <f t="shared" si="204"/>
        <v>280.77160435931063</v>
      </c>
    </row>
    <row r="23" spans="1:147" ht="10.199999999999999" customHeight="1">
      <c r="A23" s="130" t="str">
        <f>A296</f>
        <v>A330neo</v>
      </c>
      <c r="B23" s="43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88"/>
      <c r="S23" s="197"/>
      <c r="T23" s="197"/>
      <c r="U23" s="1085"/>
      <c r="V23" s="67"/>
      <c r="W23" s="67"/>
      <c r="X23" s="67"/>
      <c r="Y23" s="688"/>
      <c r="Z23" s="197"/>
      <c r="AA23" s="197"/>
      <c r="AB23" s="1085"/>
      <c r="AC23" s="67"/>
      <c r="AD23" s="67"/>
      <c r="AE23" s="67"/>
      <c r="AF23" s="688"/>
      <c r="AG23" s="197"/>
      <c r="AH23" s="197"/>
      <c r="AI23" s="1085"/>
      <c r="AJ23" s="67"/>
      <c r="AK23" s="67"/>
      <c r="AL23" s="67"/>
      <c r="AM23" s="688"/>
      <c r="AN23" s="197"/>
      <c r="AO23" s="197"/>
      <c r="AP23" s="1085"/>
      <c r="AQ23" s="67"/>
      <c r="AR23" s="67"/>
      <c r="AS23" s="67"/>
      <c r="AT23" s="688"/>
      <c r="AU23" s="197"/>
      <c r="AV23" s="197"/>
      <c r="AW23" s="1085"/>
      <c r="AX23" s="67"/>
      <c r="AY23" s="67"/>
      <c r="AZ23" s="67"/>
      <c r="BA23" s="688"/>
      <c r="BB23" s="197"/>
      <c r="BC23" s="197"/>
      <c r="BD23" s="1085"/>
      <c r="BE23" s="67"/>
      <c r="BF23" s="67"/>
      <c r="BG23" s="67"/>
      <c r="BH23" s="688"/>
      <c r="BI23" s="197"/>
      <c r="BJ23" s="197"/>
      <c r="BK23" s="1085">
        <f>BK296</f>
        <v>294.55367994596872</v>
      </c>
      <c r="BL23" s="67"/>
      <c r="BM23" s="67"/>
      <c r="BN23" s="67"/>
      <c r="BO23" s="688"/>
      <c r="BP23" s="197"/>
      <c r="BQ23" s="197"/>
      <c r="BR23" s="1085">
        <f t="shared" ref="BR23:EQ23" si="210">BR296</f>
        <v>4131.8159999999998</v>
      </c>
      <c r="BS23" s="67"/>
      <c r="BT23" s="67"/>
      <c r="BU23" s="67"/>
      <c r="BV23" s="688"/>
      <c r="BW23" s="197"/>
      <c r="BX23" s="197"/>
      <c r="BY23" s="1085">
        <f t="shared" si="210"/>
        <v>1303.1735497349034</v>
      </c>
      <c r="BZ23" s="67"/>
      <c r="CA23" s="67"/>
      <c r="CB23" s="67"/>
      <c r="CC23" s="688"/>
      <c r="CD23" s="197"/>
      <c r="CE23" s="197"/>
      <c r="CF23" s="1085">
        <f t="shared" si="210"/>
        <v>1461.2172201561336</v>
      </c>
      <c r="CG23" s="67"/>
      <c r="CH23" s="67"/>
      <c r="CI23" s="67"/>
      <c r="CJ23" s="688"/>
      <c r="CK23" s="197"/>
      <c r="CL23" s="197"/>
      <c r="CM23" s="1085">
        <f t="shared" si="210"/>
        <v>2535.7011170863202</v>
      </c>
      <c r="CN23" s="67">
        <f>CN296</f>
        <v>582.40955695860475</v>
      </c>
      <c r="CO23" s="67">
        <f>CO296</f>
        <v>811.180265896734</v>
      </c>
      <c r="CP23" s="67">
        <f>CP296</f>
        <v>703.63781211433411</v>
      </c>
      <c r="CQ23" s="688">
        <f t="shared" si="210"/>
        <v>1294.3054980001891</v>
      </c>
      <c r="CR23" s="197">
        <f>CR296</f>
        <v>1393.5898228553388</v>
      </c>
      <c r="CS23" s="197">
        <f t="shared" si="210"/>
        <v>1997.9433101145232</v>
      </c>
      <c r="CT23" s="1085">
        <f t="shared" ref="CT23" si="211">CT296</f>
        <v>3391.533132969862</v>
      </c>
      <c r="CU23" s="67">
        <f>CU296</f>
        <v>822.67427457651831</v>
      </c>
      <c r="CV23" s="67">
        <f>CV296</f>
        <v>722.86766298015766</v>
      </c>
      <c r="CW23" s="67">
        <f>CW296</f>
        <v>830.7953193630135</v>
      </c>
      <c r="CX23" s="688">
        <f t="shared" ref="CX23" si="212">CX296</f>
        <v>1211.7456951571535</v>
      </c>
      <c r="CY23" s="197">
        <f>CY296</f>
        <v>1545.541937556676</v>
      </c>
      <c r="CZ23" s="197">
        <f t="shared" ref="CZ23" si="213">CZ296</f>
        <v>2042.541014520167</v>
      </c>
      <c r="DA23" s="1085">
        <f t="shared" si="210"/>
        <v>3588.082952076843</v>
      </c>
      <c r="DB23" s="67">
        <f t="shared" si="210"/>
        <v>501.77487907401616</v>
      </c>
      <c r="DC23" s="67">
        <f>DC296</f>
        <v>856.05927963840531</v>
      </c>
      <c r="DD23" s="67">
        <f t="shared" si="210"/>
        <v>951.49423321682593</v>
      </c>
      <c r="DE23" s="688">
        <f t="shared" si="210"/>
        <v>1783.3566551768752</v>
      </c>
      <c r="DF23" s="197">
        <f>DF296</f>
        <v>1357.8341587124214</v>
      </c>
      <c r="DG23" s="197">
        <f t="shared" ref="DG23" si="214">DG296</f>
        <v>2734.8508883937011</v>
      </c>
      <c r="DH23" s="1085">
        <f t="shared" ref="DH23:DI23" si="215">DH296</f>
        <v>4092.6850471061225</v>
      </c>
      <c r="DI23" s="67">
        <f t="shared" si="215"/>
        <v>361.61340061047173</v>
      </c>
      <c r="DJ23" s="67">
        <f>DJ296</f>
        <v>723.92142476494428</v>
      </c>
      <c r="DK23" s="322">
        <f t="shared" si="210"/>
        <v>969.64560712195134</v>
      </c>
      <c r="DL23" s="430">
        <f t="shared" si="210"/>
        <v>1898.7695090366733</v>
      </c>
      <c r="DM23" s="197">
        <f>DM296</f>
        <v>1085.5348253754159</v>
      </c>
      <c r="DN23" s="322">
        <f t="shared" si="210"/>
        <v>2868.4151161586246</v>
      </c>
      <c r="DO23" s="385">
        <f t="shared" si="210"/>
        <v>3953.9499415340406</v>
      </c>
      <c r="DP23" s="322">
        <f t="shared" si="210"/>
        <v>995.76811585966607</v>
      </c>
      <c r="DQ23" s="322">
        <f t="shared" si="210"/>
        <v>996.51494006697817</v>
      </c>
      <c r="DR23" s="322">
        <f t="shared" si="210"/>
        <v>996.52836707466872</v>
      </c>
      <c r="DS23" s="430">
        <f t="shared" si="210"/>
        <v>996.26869058825878</v>
      </c>
      <c r="DT23" s="322">
        <f t="shared" si="210"/>
        <v>1992.2830559266442</v>
      </c>
      <c r="DU23" s="322">
        <f t="shared" si="210"/>
        <v>1992.7970576629275</v>
      </c>
      <c r="DV23" s="385">
        <f t="shared" si="210"/>
        <v>3985.0801135895717</v>
      </c>
      <c r="DW23" s="322">
        <f t="shared" si="210"/>
        <v>1020.3380614165918</v>
      </c>
      <c r="DX23" s="322">
        <f t="shared" si="210"/>
        <v>1020.6778690494008</v>
      </c>
      <c r="DY23" s="322">
        <f t="shared" si="210"/>
        <v>1020.6821358621212</v>
      </c>
      <c r="DZ23" s="430">
        <f t="shared" si="210"/>
        <v>1020.6895573474521</v>
      </c>
      <c r="EA23" s="322">
        <f t="shared" si="210"/>
        <v>2041.0159304659926</v>
      </c>
      <c r="EB23" s="322">
        <f t="shared" si="210"/>
        <v>2041.3716932095733</v>
      </c>
      <c r="EC23" s="385">
        <f t="shared" si="210"/>
        <v>4082.3876236755659</v>
      </c>
      <c r="ED23" s="322">
        <f t="shared" si="210"/>
        <v>1026.9496330955692</v>
      </c>
      <c r="EE23" s="322">
        <f t="shared" si="210"/>
        <v>1026.9369953781704</v>
      </c>
      <c r="EF23" s="322">
        <f t="shared" si="210"/>
        <v>1026.934978905068</v>
      </c>
      <c r="EG23" s="430">
        <f t="shared" si="210"/>
        <v>1026.9350868615034</v>
      </c>
      <c r="EH23" s="322">
        <f t="shared" si="210"/>
        <v>2053.8866284737396</v>
      </c>
      <c r="EI23" s="322">
        <f t="shared" si="210"/>
        <v>2053.8700657665713</v>
      </c>
      <c r="EJ23" s="385">
        <f t="shared" si="210"/>
        <v>4107.7566942403109</v>
      </c>
      <c r="EK23" s="322">
        <f t="shared" si="210"/>
        <v>1219.2546845483582</v>
      </c>
      <c r="EL23" s="322">
        <f t="shared" si="210"/>
        <v>1219.2613004177203</v>
      </c>
      <c r="EM23" s="322">
        <f t="shared" si="210"/>
        <v>1219.2623486445566</v>
      </c>
      <c r="EN23" s="430">
        <f t="shared" si="210"/>
        <v>1219.2618818690942</v>
      </c>
      <c r="EO23" s="322">
        <f t="shared" si="210"/>
        <v>2438.5159849660786</v>
      </c>
      <c r="EP23" s="322">
        <f t="shared" si="210"/>
        <v>2438.5242305136508</v>
      </c>
      <c r="EQ23" s="385">
        <f t="shared" si="210"/>
        <v>4877.0402154797293</v>
      </c>
    </row>
    <row r="24" spans="1:147" ht="10.199999999999999" customHeight="1">
      <c r="A24" s="130" t="str">
        <f>A304</f>
        <v>A350</v>
      </c>
      <c r="B24" s="43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88"/>
      <c r="S24" s="197"/>
      <c r="T24" s="197"/>
      <c r="U24" s="1085"/>
      <c r="V24" s="67"/>
      <c r="W24" s="67"/>
      <c r="X24" s="67"/>
      <c r="Y24" s="688"/>
      <c r="Z24" s="197"/>
      <c r="AA24" s="197"/>
      <c r="AB24" s="1085"/>
      <c r="AC24" s="67"/>
      <c r="AD24" s="67"/>
      <c r="AE24" s="67"/>
      <c r="AF24" s="688"/>
      <c r="AG24" s="197"/>
      <c r="AH24" s="197"/>
      <c r="AI24" s="1085"/>
      <c r="AJ24" s="67"/>
      <c r="AK24" s="67"/>
      <c r="AL24" s="67"/>
      <c r="AM24" s="688"/>
      <c r="AN24" s="197"/>
      <c r="AO24" s="197"/>
      <c r="AP24" s="1085"/>
      <c r="AQ24" s="67"/>
      <c r="AR24" s="67"/>
      <c r="AS24" s="67"/>
      <c r="AT24" s="688"/>
      <c r="AU24" s="197"/>
      <c r="AV24" s="197"/>
      <c r="AW24" s="1085"/>
      <c r="AX24" s="67"/>
      <c r="AY24" s="67"/>
      <c r="AZ24" s="67"/>
      <c r="BA24" s="688"/>
      <c r="BB24" s="197"/>
      <c r="BC24" s="197"/>
      <c r="BD24" s="1085"/>
      <c r="BE24" s="67"/>
      <c r="BF24" s="67"/>
      <c r="BG24" s="67"/>
      <c r="BH24" s="688"/>
      <c r="BI24" s="197"/>
      <c r="BJ24" s="197"/>
      <c r="BK24" s="1085">
        <f>BK304</f>
        <v>11256.541795263094</v>
      </c>
      <c r="BL24" s="67"/>
      <c r="BM24" s="67"/>
      <c r="BN24" s="67"/>
      <c r="BO24" s="688"/>
      <c r="BP24" s="197"/>
      <c r="BQ24" s="197"/>
      <c r="BR24" s="1085">
        <f t="shared" ref="BR24:EQ24" si="216">BR304</f>
        <v>14066.934749999999</v>
      </c>
      <c r="BS24" s="67"/>
      <c r="BT24" s="67"/>
      <c r="BU24" s="67"/>
      <c r="BV24" s="688"/>
      <c r="BW24" s="197"/>
      <c r="BX24" s="197"/>
      <c r="BY24" s="1085">
        <f t="shared" si="216"/>
        <v>7602.7159511639802</v>
      </c>
      <c r="BZ24" s="67"/>
      <c r="CA24" s="67"/>
      <c r="CB24" s="67"/>
      <c r="CC24" s="688"/>
      <c r="CD24" s="197"/>
      <c r="CE24" s="197"/>
      <c r="CF24" s="1085">
        <f t="shared" si="216"/>
        <v>7094.7245522815092</v>
      </c>
      <c r="CG24" s="67"/>
      <c r="CH24" s="67"/>
      <c r="CI24" s="67"/>
      <c r="CJ24" s="688"/>
      <c r="CK24" s="197"/>
      <c r="CL24" s="197"/>
      <c r="CM24" s="1085">
        <f t="shared" si="216"/>
        <v>7846.3339005805028</v>
      </c>
      <c r="CN24" s="67">
        <f t="shared" ref="CN24:CO28" si="217">CN304</f>
        <v>701.63256596151746</v>
      </c>
      <c r="CO24" s="67">
        <f t="shared" si="217"/>
        <v>2344.5971616355728</v>
      </c>
      <c r="CP24" s="67">
        <f t="shared" ref="CP24" si="218">CP304</f>
        <v>2206.6131640786944</v>
      </c>
      <c r="CQ24" s="688">
        <f t="shared" si="216"/>
        <v>3510.1663741209695</v>
      </c>
      <c r="CR24" s="197">
        <f>CR304</f>
        <v>3046.2297275970905</v>
      </c>
      <c r="CS24" s="197">
        <f t="shared" si="216"/>
        <v>5716.7795381996639</v>
      </c>
      <c r="CT24" s="1085">
        <f t="shared" ref="CT24:CX28" si="219">CT304</f>
        <v>8763.0092657967543</v>
      </c>
      <c r="CU24" s="67">
        <f t="shared" si="219"/>
        <v>998.076911216952</v>
      </c>
      <c r="CV24" s="67">
        <f t="shared" si="219"/>
        <v>1926.2521260304788</v>
      </c>
      <c r="CW24" s="67">
        <f t="shared" si="219"/>
        <v>2088.2276400888386</v>
      </c>
      <c r="CX24" s="688">
        <f t="shared" si="219"/>
        <v>3017.748600665067</v>
      </c>
      <c r="CY24" s="197">
        <f>CY304</f>
        <v>2924.3290372474307</v>
      </c>
      <c r="CZ24" s="197">
        <f t="shared" ref="CZ24" si="220">CZ304</f>
        <v>5105.9762407539056</v>
      </c>
      <c r="DA24" s="1085">
        <f t="shared" si="216"/>
        <v>8030.3052780013359</v>
      </c>
      <c r="DB24" s="67">
        <f t="shared" si="216"/>
        <v>1306.6234145227772</v>
      </c>
      <c r="DC24" s="67">
        <f t="shared" si="216"/>
        <v>1686.2110722300881</v>
      </c>
      <c r="DD24" s="67">
        <f t="shared" si="216"/>
        <v>1728.5533744893573</v>
      </c>
      <c r="DE24" s="688">
        <f t="shared" si="216"/>
        <v>3432.5440525376389</v>
      </c>
      <c r="DF24" s="197">
        <f>DF304</f>
        <v>2992.8344867528654</v>
      </c>
      <c r="DG24" s="197">
        <f t="shared" ref="DG24:DG28" si="221">DG304</f>
        <v>5161.0974270269962</v>
      </c>
      <c r="DH24" s="1085">
        <f t="shared" ref="DH24:DJ24" si="222">DH304</f>
        <v>8153.9319137798611</v>
      </c>
      <c r="DI24" s="67">
        <f t="shared" si="222"/>
        <v>1572.2451061081942</v>
      </c>
      <c r="DJ24" s="67">
        <f t="shared" si="222"/>
        <v>2123.1909738940217</v>
      </c>
      <c r="DK24" s="322">
        <f t="shared" si="216"/>
        <v>2607.7681435894879</v>
      </c>
      <c r="DL24" s="430">
        <f t="shared" si="216"/>
        <v>4046.2603639213189</v>
      </c>
      <c r="DM24" s="197">
        <f>DM304</f>
        <v>3695.4360800022159</v>
      </c>
      <c r="DN24" s="322">
        <f t="shared" si="216"/>
        <v>6654.0285075108068</v>
      </c>
      <c r="DO24" s="385">
        <f t="shared" si="216"/>
        <v>10349.464587513023</v>
      </c>
      <c r="DP24" s="322">
        <f t="shared" si="216"/>
        <v>3185.6283534570443</v>
      </c>
      <c r="DQ24" s="322">
        <f t="shared" si="216"/>
        <v>3188.0175687090391</v>
      </c>
      <c r="DR24" s="322">
        <f t="shared" si="216"/>
        <v>3188.0605239470301</v>
      </c>
      <c r="DS24" s="430">
        <f t="shared" si="216"/>
        <v>3187.229775538181</v>
      </c>
      <c r="DT24" s="322">
        <f t="shared" si="216"/>
        <v>6373.6459221660834</v>
      </c>
      <c r="DU24" s="322">
        <f t="shared" si="216"/>
        <v>6375.2902994852111</v>
      </c>
      <c r="DV24" s="385">
        <f t="shared" si="216"/>
        <v>12748.936221651295</v>
      </c>
      <c r="DW24" s="322">
        <f t="shared" si="216"/>
        <v>3672.2606725795627</v>
      </c>
      <c r="DX24" s="322">
        <f t="shared" si="216"/>
        <v>3673.4836615607578</v>
      </c>
      <c r="DY24" s="322">
        <f t="shared" si="216"/>
        <v>3673.4990180873278</v>
      </c>
      <c r="DZ24" s="430">
        <f t="shared" si="216"/>
        <v>3673.525728478467</v>
      </c>
      <c r="EA24" s="322">
        <f t="shared" si="216"/>
        <v>7345.7443341403205</v>
      </c>
      <c r="EB24" s="322">
        <f t="shared" si="216"/>
        <v>7347.0247465657949</v>
      </c>
      <c r="EC24" s="385">
        <f t="shared" si="216"/>
        <v>14692.769080706115</v>
      </c>
      <c r="ED24" s="322">
        <f t="shared" si="216"/>
        <v>4106.7290374341101</v>
      </c>
      <c r="EE24" s="322">
        <f t="shared" si="216"/>
        <v>4106.6784997257964</v>
      </c>
      <c r="EF24" s="322">
        <f t="shared" si="216"/>
        <v>4106.6704359334008</v>
      </c>
      <c r="EG24" s="430">
        <f t="shared" si="216"/>
        <v>4106.6708676467124</v>
      </c>
      <c r="EH24" s="322">
        <f t="shared" si="216"/>
        <v>8213.4075371599065</v>
      </c>
      <c r="EI24" s="322">
        <f t="shared" si="216"/>
        <v>8213.3413035801132</v>
      </c>
      <c r="EJ24" s="385">
        <f t="shared" si="216"/>
        <v>16426.74884074002</v>
      </c>
      <c r="EK24" s="322">
        <f t="shared" si="216"/>
        <v>4170.1862772308214</v>
      </c>
      <c r="EL24" s="322">
        <f t="shared" si="216"/>
        <v>4170.2089053231939</v>
      </c>
      <c r="EM24" s="322">
        <f t="shared" si="216"/>
        <v>4170.2124905472019</v>
      </c>
      <c r="EN24" s="430">
        <f t="shared" si="216"/>
        <v>4170.2108940467706</v>
      </c>
      <c r="EO24" s="322">
        <f t="shared" si="216"/>
        <v>8340.3951825540153</v>
      </c>
      <c r="EP24" s="322">
        <f t="shared" si="216"/>
        <v>8340.4233845939725</v>
      </c>
      <c r="EQ24" s="385">
        <f t="shared" si="216"/>
        <v>16680.818567147988</v>
      </c>
    </row>
    <row r="25" spans="1:147" ht="10.199999999999999" customHeight="1">
      <c r="A25" s="130" t="str">
        <f>A305</f>
        <v>A380</v>
      </c>
      <c r="B25" s="43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88"/>
      <c r="S25" s="197"/>
      <c r="T25" s="197"/>
      <c r="U25" s="1085"/>
      <c r="V25" s="67"/>
      <c r="W25" s="67"/>
      <c r="X25" s="67"/>
      <c r="Y25" s="688"/>
      <c r="Z25" s="197"/>
      <c r="AA25" s="197"/>
      <c r="AB25" s="1085"/>
      <c r="AC25" s="67"/>
      <c r="AD25" s="67"/>
      <c r="AE25" s="67"/>
      <c r="AF25" s="688"/>
      <c r="AG25" s="197"/>
      <c r="AH25" s="197"/>
      <c r="AI25" s="1085"/>
      <c r="AJ25" s="67"/>
      <c r="AK25" s="67"/>
      <c r="AL25" s="67"/>
      <c r="AM25" s="688"/>
      <c r="AN25" s="197"/>
      <c r="AO25" s="197"/>
      <c r="AP25" s="1085"/>
      <c r="AQ25" s="67"/>
      <c r="AR25" s="67"/>
      <c r="AS25" s="67"/>
      <c r="AT25" s="688"/>
      <c r="AU25" s="197"/>
      <c r="AV25" s="197"/>
      <c r="AW25" s="1085"/>
      <c r="AX25" s="67"/>
      <c r="AY25" s="67"/>
      <c r="AZ25" s="67"/>
      <c r="BA25" s="688"/>
      <c r="BB25" s="197"/>
      <c r="BC25" s="197"/>
      <c r="BD25" s="1085"/>
      <c r="BE25" s="67"/>
      <c r="BF25" s="67"/>
      <c r="BG25" s="67"/>
      <c r="BH25" s="688"/>
      <c r="BI25" s="197"/>
      <c r="BJ25" s="197"/>
      <c r="BK25" s="1085">
        <f>BK305</f>
        <v>2214.1214538448662</v>
      </c>
      <c r="BL25" s="67"/>
      <c r="BM25" s="67"/>
      <c r="BN25" s="67"/>
      <c r="BO25" s="688"/>
      <c r="BP25" s="197"/>
      <c r="BQ25" s="197"/>
      <c r="BR25" s="1085">
        <f t="shared" ref="BR25:EQ25" si="223">BR305</f>
        <v>1363.5360000000001</v>
      </c>
      <c r="BS25" s="67"/>
      <c r="BT25" s="67"/>
      <c r="BU25" s="67"/>
      <c r="BV25" s="688"/>
      <c r="BW25" s="197"/>
      <c r="BX25" s="197"/>
      <c r="BY25" s="1085">
        <f t="shared" si="223"/>
        <v>620.44943105684024</v>
      </c>
      <c r="BZ25" s="67"/>
      <c r="CA25" s="67"/>
      <c r="CB25" s="67"/>
      <c r="CC25" s="688"/>
      <c r="CD25" s="197"/>
      <c r="CE25" s="197"/>
      <c r="CF25" s="1085">
        <f t="shared" si="223"/>
        <v>791.51782512165187</v>
      </c>
      <c r="CG25" s="67"/>
      <c r="CH25" s="67"/>
      <c r="CI25" s="67"/>
      <c r="CJ25" s="688"/>
      <c r="CK25" s="197"/>
      <c r="CL25" s="197"/>
      <c r="CM25" s="1085">
        <f t="shared" si="223"/>
        <v>0</v>
      </c>
      <c r="CN25" s="67">
        <f t="shared" si="217"/>
        <v>0</v>
      </c>
      <c r="CO25" s="67">
        <f t="shared" si="217"/>
        <v>0</v>
      </c>
      <c r="CP25" s="67">
        <f t="shared" ref="CP25" si="224">CP305</f>
        <v>0</v>
      </c>
      <c r="CQ25" s="688">
        <f t="shared" si="223"/>
        <v>0</v>
      </c>
      <c r="CR25" s="197">
        <f>CR305</f>
        <v>0</v>
      </c>
      <c r="CS25" s="197">
        <f t="shared" si="223"/>
        <v>0</v>
      </c>
      <c r="CT25" s="1085">
        <f t="shared" ref="CT25:CV25" si="225">CT305</f>
        <v>0</v>
      </c>
      <c r="CU25" s="67">
        <f t="shared" si="225"/>
        <v>0</v>
      </c>
      <c r="CV25" s="67">
        <f t="shared" si="225"/>
        <v>0</v>
      </c>
      <c r="CW25" s="67">
        <f t="shared" si="219"/>
        <v>0</v>
      </c>
      <c r="CX25" s="688">
        <f t="shared" si="219"/>
        <v>0</v>
      </c>
      <c r="CY25" s="197">
        <f>CY305</f>
        <v>0</v>
      </c>
      <c r="CZ25" s="197">
        <f t="shared" ref="CZ25" si="226">CZ305</f>
        <v>0</v>
      </c>
      <c r="DA25" s="1085">
        <f t="shared" si="223"/>
        <v>0</v>
      </c>
      <c r="DB25" s="67">
        <f t="shared" si="223"/>
        <v>0</v>
      </c>
      <c r="DC25" s="67">
        <f t="shared" si="223"/>
        <v>0</v>
      </c>
      <c r="DD25" s="67">
        <f t="shared" si="223"/>
        <v>0</v>
      </c>
      <c r="DE25" s="688">
        <f t="shared" si="223"/>
        <v>0</v>
      </c>
      <c r="DF25" s="197">
        <f>DF305</f>
        <v>0</v>
      </c>
      <c r="DG25" s="197">
        <f t="shared" si="221"/>
        <v>0</v>
      </c>
      <c r="DH25" s="1085">
        <f t="shared" ref="DH25:DJ25" si="227">DH305</f>
        <v>0</v>
      </c>
      <c r="DI25" s="67">
        <f t="shared" si="227"/>
        <v>0</v>
      </c>
      <c r="DJ25" s="67">
        <f t="shared" si="227"/>
        <v>0</v>
      </c>
      <c r="DK25" s="322">
        <f t="shared" si="223"/>
        <v>0</v>
      </c>
      <c r="DL25" s="430">
        <f t="shared" si="223"/>
        <v>0</v>
      </c>
      <c r="DM25" s="197">
        <f>DM305</f>
        <v>0</v>
      </c>
      <c r="DN25" s="322">
        <f t="shared" si="223"/>
        <v>0</v>
      </c>
      <c r="DO25" s="385">
        <f t="shared" si="223"/>
        <v>0</v>
      </c>
      <c r="DP25" s="322">
        <f t="shared" si="223"/>
        <v>0</v>
      </c>
      <c r="DQ25" s="322">
        <f t="shared" si="223"/>
        <v>0</v>
      </c>
      <c r="DR25" s="322">
        <f t="shared" si="223"/>
        <v>0</v>
      </c>
      <c r="DS25" s="430">
        <f t="shared" si="223"/>
        <v>0</v>
      </c>
      <c r="DT25" s="322">
        <f t="shared" si="223"/>
        <v>0</v>
      </c>
      <c r="DU25" s="322">
        <f t="shared" si="223"/>
        <v>0</v>
      </c>
      <c r="DV25" s="385">
        <f t="shared" si="223"/>
        <v>0</v>
      </c>
      <c r="DW25" s="322">
        <f t="shared" si="223"/>
        <v>0</v>
      </c>
      <c r="DX25" s="322">
        <f t="shared" si="223"/>
        <v>0</v>
      </c>
      <c r="DY25" s="322">
        <f t="shared" si="223"/>
        <v>0</v>
      </c>
      <c r="DZ25" s="430">
        <f t="shared" si="223"/>
        <v>0</v>
      </c>
      <c r="EA25" s="322">
        <f t="shared" si="223"/>
        <v>0</v>
      </c>
      <c r="EB25" s="322">
        <f t="shared" si="223"/>
        <v>0</v>
      </c>
      <c r="EC25" s="385">
        <f t="shared" si="223"/>
        <v>0</v>
      </c>
      <c r="ED25" s="322">
        <f t="shared" si="223"/>
        <v>0</v>
      </c>
      <c r="EE25" s="322">
        <f t="shared" si="223"/>
        <v>0</v>
      </c>
      <c r="EF25" s="322">
        <f t="shared" si="223"/>
        <v>0</v>
      </c>
      <c r="EG25" s="430">
        <f t="shared" si="223"/>
        <v>0</v>
      </c>
      <c r="EH25" s="322">
        <f t="shared" si="223"/>
        <v>0</v>
      </c>
      <c r="EI25" s="322">
        <f t="shared" si="223"/>
        <v>0</v>
      </c>
      <c r="EJ25" s="385">
        <f t="shared" si="223"/>
        <v>0</v>
      </c>
      <c r="EK25" s="322">
        <f t="shared" si="223"/>
        <v>0</v>
      </c>
      <c r="EL25" s="322">
        <f t="shared" si="223"/>
        <v>0</v>
      </c>
      <c r="EM25" s="322">
        <f t="shared" si="223"/>
        <v>0</v>
      </c>
      <c r="EN25" s="430">
        <f t="shared" si="223"/>
        <v>0</v>
      </c>
      <c r="EO25" s="322">
        <f t="shared" si="223"/>
        <v>0</v>
      </c>
      <c r="EP25" s="322">
        <f t="shared" si="223"/>
        <v>0</v>
      </c>
      <c r="EQ25" s="385">
        <f t="shared" si="223"/>
        <v>0</v>
      </c>
    </row>
    <row r="26" spans="1:147" ht="10.199999999999999" customHeight="1">
      <c r="A26" s="92" t="str">
        <f>A306</f>
        <v>OE revenues (EURm)</v>
      </c>
      <c r="B26" s="48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682"/>
      <c r="S26" s="549"/>
      <c r="T26" s="111"/>
      <c r="U26" s="340"/>
      <c r="V26" s="111"/>
      <c r="W26" s="111"/>
      <c r="X26" s="111"/>
      <c r="Y26" s="682"/>
      <c r="Z26" s="549"/>
      <c r="AA26" s="111"/>
      <c r="AB26" s="340"/>
      <c r="AC26" s="111"/>
      <c r="AD26" s="111"/>
      <c r="AE26" s="111"/>
      <c r="AF26" s="682"/>
      <c r="AG26" s="549"/>
      <c r="AH26" s="111"/>
      <c r="AI26" s="340"/>
      <c r="AJ26" s="111"/>
      <c r="AK26" s="111"/>
      <c r="AL26" s="111"/>
      <c r="AM26" s="682"/>
      <c r="AN26" s="549"/>
      <c r="AO26" s="111"/>
      <c r="AP26" s="340"/>
      <c r="AQ26" s="111"/>
      <c r="AR26" s="111"/>
      <c r="AS26" s="111"/>
      <c r="AT26" s="682"/>
      <c r="AU26" s="549"/>
      <c r="AV26" s="111"/>
      <c r="AW26" s="340"/>
      <c r="AX26" s="111"/>
      <c r="AY26" s="111"/>
      <c r="AZ26" s="111"/>
      <c r="BA26" s="682"/>
      <c r="BB26" s="549"/>
      <c r="BC26" s="111"/>
      <c r="BD26" s="340"/>
      <c r="BE26" s="111"/>
      <c r="BF26" s="111"/>
      <c r="BG26" s="111"/>
      <c r="BH26" s="682"/>
      <c r="BI26" s="549"/>
      <c r="BJ26" s="111"/>
      <c r="BK26" s="340">
        <f>BK306</f>
        <v>45272.962120724616</v>
      </c>
      <c r="BL26" s="111"/>
      <c r="BM26" s="111"/>
      <c r="BN26" s="111"/>
      <c r="BO26" s="682"/>
      <c r="BP26" s="549"/>
      <c r="BQ26" s="111"/>
      <c r="BR26" s="340">
        <f t="shared" ref="BR26:EQ26" si="228">BR306</f>
        <v>51952.498822400012</v>
      </c>
      <c r="BS26" s="111"/>
      <c r="BT26" s="111"/>
      <c r="BU26" s="111"/>
      <c r="BV26" s="682"/>
      <c r="BW26" s="549"/>
      <c r="BX26" s="111"/>
      <c r="BY26" s="340">
        <f t="shared" si="228"/>
        <v>31303.614290467278</v>
      </c>
      <c r="BZ26" s="111"/>
      <c r="CA26" s="111"/>
      <c r="CB26" s="111"/>
      <c r="CC26" s="682"/>
      <c r="CD26" s="549"/>
      <c r="CE26" s="111"/>
      <c r="CF26" s="340">
        <f t="shared" si="228"/>
        <v>33994.159999999996</v>
      </c>
      <c r="CG26" s="111"/>
      <c r="CH26" s="111"/>
      <c r="CI26" s="111"/>
      <c r="CJ26" s="682"/>
      <c r="CK26" s="549"/>
      <c r="CL26" s="111"/>
      <c r="CM26" s="340">
        <f t="shared" si="228"/>
        <v>38113.760000000002</v>
      </c>
      <c r="CN26" s="111">
        <f t="shared" si="217"/>
        <v>7136.8000000000011</v>
      </c>
      <c r="CO26" s="111">
        <f t="shared" si="217"/>
        <v>11177.300000000008</v>
      </c>
      <c r="CP26" s="111">
        <f t="shared" ref="CP26" si="229">CP306</f>
        <v>10042.200000000003</v>
      </c>
      <c r="CQ26" s="682">
        <f t="shared" si="228"/>
        <v>15108.02999999999</v>
      </c>
      <c r="CR26" s="549">
        <f>CR306</f>
        <v>18314.100000000009</v>
      </c>
      <c r="CS26" s="111">
        <f t="shared" si="228"/>
        <v>25150.229999999992</v>
      </c>
      <c r="CT26" s="340">
        <f t="shared" ref="CT26:CV26" si="230">CT306</f>
        <v>43464.33</v>
      </c>
      <c r="CU26" s="111">
        <f t="shared" si="230"/>
        <v>7975.2900000000009</v>
      </c>
      <c r="CV26" s="111">
        <f t="shared" si="230"/>
        <v>10906.060000000001</v>
      </c>
      <c r="CW26" s="111">
        <f t="shared" si="219"/>
        <v>10380.959999999999</v>
      </c>
      <c r="CX26" s="682">
        <f t="shared" si="219"/>
        <v>16319.089999999993</v>
      </c>
      <c r="CY26" s="549">
        <f>CY306</f>
        <v>18881.350000000002</v>
      </c>
      <c r="CZ26" s="111">
        <f t="shared" ref="CZ26" si="231">CZ306</f>
        <v>26700.049999999992</v>
      </c>
      <c r="DA26" s="340">
        <f t="shared" si="228"/>
        <v>45581.399999999994</v>
      </c>
      <c r="DB26" s="111">
        <f t="shared" si="228"/>
        <v>8092.85</v>
      </c>
      <c r="DC26" s="111">
        <f t="shared" si="228"/>
        <v>9820.090000000002</v>
      </c>
      <c r="DD26" s="111">
        <f t="shared" si="228"/>
        <v>11490.16</v>
      </c>
      <c r="DE26" s="682">
        <f t="shared" si="228"/>
        <v>17390.429976562718</v>
      </c>
      <c r="DF26" s="549">
        <f>DF306</f>
        <v>17912.940000000002</v>
      </c>
      <c r="DG26" s="111">
        <f t="shared" si="221"/>
        <v>28880.589976562718</v>
      </c>
      <c r="DH26" s="340">
        <f t="shared" ref="DH26:DJ26" si="232">DH306</f>
        <v>46793.529976562721</v>
      </c>
      <c r="DI26" s="111">
        <f t="shared" si="232"/>
        <v>7001.8799889415623</v>
      </c>
      <c r="DJ26" s="111">
        <f t="shared" si="232"/>
        <v>13771.110011058439</v>
      </c>
      <c r="DK26" s="401">
        <f t="shared" si="228"/>
        <v>12724.805972217315</v>
      </c>
      <c r="DL26" s="431">
        <f t="shared" si="228"/>
        <v>18592.10463517801</v>
      </c>
      <c r="DM26" s="549">
        <f>DM306</f>
        <v>20772.990000000002</v>
      </c>
      <c r="DN26" s="401">
        <f t="shared" si="228"/>
        <v>31316.910607395326</v>
      </c>
      <c r="DO26" s="400">
        <f t="shared" si="228"/>
        <v>52089.900607395328</v>
      </c>
      <c r="DP26" s="401">
        <f t="shared" si="228"/>
        <v>14418.991432993127</v>
      </c>
      <c r="DQ26" s="401">
        <f t="shared" si="228"/>
        <v>15068.104524869519</v>
      </c>
      <c r="DR26" s="401">
        <f t="shared" si="228"/>
        <v>15072.311526453368</v>
      </c>
      <c r="DS26" s="431">
        <f t="shared" si="228"/>
        <v>15068.300656219237</v>
      </c>
      <c r="DT26" s="401">
        <f t="shared" si="228"/>
        <v>29487.095957862646</v>
      </c>
      <c r="DU26" s="401">
        <f t="shared" si="228"/>
        <v>30140.612182672605</v>
      </c>
      <c r="DV26" s="400">
        <f t="shared" si="228"/>
        <v>59627.708140535251</v>
      </c>
      <c r="DW26" s="401">
        <f t="shared" si="228"/>
        <v>15840.45781570908</v>
      </c>
      <c r="DX26" s="401">
        <f t="shared" si="228"/>
        <v>16609.815098086641</v>
      </c>
      <c r="DY26" s="401">
        <f t="shared" si="228"/>
        <v>16613.867693347282</v>
      </c>
      <c r="DZ26" s="431">
        <f t="shared" si="228"/>
        <v>16984.706631205445</v>
      </c>
      <c r="EA26" s="401">
        <f t="shared" si="228"/>
        <v>32450.272913795721</v>
      </c>
      <c r="EB26" s="401">
        <f t="shared" si="228"/>
        <v>33598.574324552726</v>
      </c>
      <c r="EC26" s="400">
        <f t="shared" si="228"/>
        <v>66048.847238348448</v>
      </c>
      <c r="ED26" s="401">
        <f t="shared" si="228"/>
        <v>17126.558028518528</v>
      </c>
      <c r="EE26" s="401">
        <f t="shared" si="228"/>
        <v>17122.467666313525</v>
      </c>
      <c r="EF26" s="401">
        <f t="shared" si="228"/>
        <v>17126.313638885491</v>
      </c>
      <c r="EG26" s="431">
        <f t="shared" si="228"/>
        <v>17506.188464177983</v>
      </c>
      <c r="EH26" s="401">
        <f t="shared" si="228"/>
        <v>34249.025694832053</v>
      </c>
      <c r="EI26" s="401">
        <f t="shared" si="228"/>
        <v>34632.502103063474</v>
      </c>
      <c r="EJ26" s="400">
        <f t="shared" si="228"/>
        <v>68881.527797895527</v>
      </c>
      <c r="EK26" s="401">
        <f t="shared" si="228"/>
        <v>17567.634474740484</v>
      </c>
      <c r="EL26" s="401">
        <f t="shared" si="228"/>
        <v>17563.790215394063</v>
      </c>
      <c r="EM26" s="401">
        <f t="shared" si="228"/>
        <v>17567.744902891631</v>
      </c>
      <c r="EN26" s="431">
        <f t="shared" si="228"/>
        <v>17953.48661107487</v>
      </c>
      <c r="EO26" s="401">
        <f t="shared" si="228"/>
        <v>35131.424690134547</v>
      </c>
      <c r="EP26" s="401">
        <f t="shared" si="228"/>
        <v>35521.231513966501</v>
      </c>
      <c r="EQ26" s="400">
        <f t="shared" si="228"/>
        <v>70652.656204101047</v>
      </c>
    </row>
    <row r="27" spans="1:147" ht="10.199999999999999" customHeight="1">
      <c r="A27" s="130" t="str">
        <f>A307</f>
        <v>Services</v>
      </c>
      <c r="B27" s="43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88"/>
      <c r="S27" s="197"/>
      <c r="T27" s="197"/>
      <c r="U27" s="1085"/>
      <c r="V27" s="67"/>
      <c r="W27" s="67"/>
      <c r="X27" s="67"/>
      <c r="Y27" s="688"/>
      <c r="Z27" s="197"/>
      <c r="AA27" s="197"/>
      <c r="AB27" s="1085"/>
      <c r="AC27" s="67"/>
      <c r="AD27" s="67"/>
      <c r="AE27" s="67"/>
      <c r="AF27" s="688"/>
      <c r="AG27" s="197"/>
      <c r="AH27" s="197"/>
      <c r="AI27" s="1085"/>
      <c r="AJ27" s="67"/>
      <c r="AK27" s="67"/>
      <c r="AL27" s="67"/>
      <c r="AM27" s="688"/>
      <c r="AN27" s="197"/>
      <c r="AO27" s="197"/>
      <c r="AP27" s="1085"/>
      <c r="AQ27" s="67"/>
      <c r="AR27" s="67"/>
      <c r="AS27" s="67"/>
      <c r="AT27" s="688"/>
      <c r="AU27" s="197"/>
      <c r="AV27" s="197"/>
      <c r="AW27" s="1085"/>
      <c r="AX27" s="67"/>
      <c r="AY27" s="67"/>
      <c r="AZ27" s="67"/>
      <c r="BA27" s="688"/>
      <c r="BB27" s="197"/>
      <c r="BC27" s="197"/>
      <c r="BD27" s="1085"/>
      <c r="BE27" s="67"/>
      <c r="BF27" s="67"/>
      <c r="BG27" s="67"/>
      <c r="BH27" s="688"/>
      <c r="BI27" s="197"/>
      <c r="BJ27" s="197"/>
      <c r="BK27" s="1085">
        <f>BK307</f>
        <v>2878.2000000000025</v>
      </c>
      <c r="BL27" s="67"/>
      <c r="BM27" s="67"/>
      <c r="BN27" s="67"/>
      <c r="BO27" s="688"/>
      <c r="BP27" s="197"/>
      <c r="BQ27" s="197"/>
      <c r="BR27" s="1085">
        <f t="shared" ref="BR27:EQ27" si="233">BR307</f>
        <v>3286.5000000000027</v>
      </c>
      <c r="BS27" s="67"/>
      <c r="BT27" s="67"/>
      <c r="BU27" s="67"/>
      <c r="BV27" s="688"/>
      <c r="BW27" s="197"/>
      <c r="BX27" s="197"/>
      <c r="BY27" s="1085">
        <f t="shared" si="233"/>
        <v>2397.4999999999982</v>
      </c>
      <c r="BZ27" s="67"/>
      <c r="CA27" s="67"/>
      <c r="CB27" s="67"/>
      <c r="CC27" s="688"/>
      <c r="CD27" s="197"/>
      <c r="CE27" s="197"/>
      <c r="CF27" s="1085">
        <f t="shared" si="233"/>
        <v>2169.840000000002</v>
      </c>
      <c r="CG27" s="67"/>
      <c r="CH27" s="67"/>
      <c r="CI27" s="67"/>
      <c r="CJ27" s="688"/>
      <c r="CK27" s="197"/>
      <c r="CL27" s="197"/>
      <c r="CM27" s="1085">
        <f t="shared" si="233"/>
        <v>3314.2399999999984</v>
      </c>
      <c r="CN27" s="67">
        <f t="shared" si="217"/>
        <v>973.19999999999993</v>
      </c>
      <c r="CO27" s="67">
        <f t="shared" si="217"/>
        <v>1061.6999999999998</v>
      </c>
      <c r="CP27" s="67">
        <f t="shared" ref="CP27" si="234">CP307</f>
        <v>1115.7999999999997</v>
      </c>
      <c r="CQ27" s="688">
        <f t="shared" si="233"/>
        <v>1147.9699999999989</v>
      </c>
      <c r="CR27" s="197">
        <f>CR307</f>
        <v>2034.8999999999996</v>
      </c>
      <c r="CS27" s="197">
        <f t="shared" si="233"/>
        <v>2263.7699999999986</v>
      </c>
      <c r="CT27" s="1085">
        <f t="shared" ref="CT27:CV27" si="235">CT307</f>
        <v>4298.6699999999983</v>
      </c>
      <c r="CU27" s="67">
        <f t="shared" si="235"/>
        <v>1191.71</v>
      </c>
      <c r="CV27" s="67">
        <f t="shared" si="235"/>
        <v>1141.9399999999996</v>
      </c>
      <c r="CW27" s="67">
        <f t="shared" si="219"/>
        <v>1283.0399999999997</v>
      </c>
      <c r="CX27" s="688">
        <f t="shared" si="219"/>
        <v>1447.9099999999992</v>
      </c>
      <c r="CY27" s="197">
        <f>CY307</f>
        <v>2333.6499999999996</v>
      </c>
      <c r="CZ27" s="197">
        <f t="shared" ref="CZ27" si="236">CZ307</f>
        <v>2730.9499999999989</v>
      </c>
      <c r="DA27" s="1085">
        <f t="shared" si="233"/>
        <v>5064.5999999999985</v>
      </c>
      <c r="DB27" s="67">
        <f t="shared" si="233"/>
        <v>1428.1500000000003</v>
      </c>
      <c r="DC27" s="67">
        <f t="shared" si="233"/>
        <v>1487.91</v>
      </c>
      <c r="DD27" s="67">
        <f t="shared" si="233"/>
        <v>1566.84</v>
      </c>
      <c r="DE27" s="688">
        <f t="shared" si="233"/>
        <v>1300.569999999999</v>
      </c>
      <c r="DF27" s="197">
        <f>DF307</f>
        <v>2916.0600000000004</v>
      </c>
      <c r="DG27" s="197">
        <f t="shared" si="221"/>
        <v>2867.4099999999989</v>
      </c>
      <c r="DH27" s="1085">
        <f t="shared" ref="DH27:DJ27" si="237">DH307</f>
        <v>5783.4699999999993</v>
      </c>
      <c r="DI27" s="67">
        <f t="shared" si="237"/>
        <v>1434.1200000000003</v>
      </c>
      <c r="DJ27" s="67">
        <f t="shared" si="237"/>
        <v>1669.8899999999999</v>
      </c>
      <c r="DK27" s="322">
        <f t="shared" si="233"/>
        <v>1740.3534027251635</v>
      </c>
      <c r="DL27" s="430">
        <f t="shared" si="233"/>
        <v>1404.4953378004993</v>
      </c>
      <c r="DM27" s="197">
        <f>DM307</f>
        <v>3104.01</v>
      </c>
      <c r="DN27" s="322">
        <f t="shared" si="233"/>
        <v>3144.8487405256628</v>
      </c>
      <c r="DO27" s="385">
        <f t="shared" si="233"/>
        <v>6248.8587405256631</v>
      </c>
      <c r="DP27" s="322">
        <f t="shared" si="233"/>
        <v>1528.9120478516586</v>
      </c>
      <c r="DQ27" s="322">
        <f t="shared" si="233"/>
        <v>1779.3885375741368</v>
      </c>
      <c r="DR27" s="322">
        <f t="shared" si="233"/>
        <v>1818.1471013753378</v>
      </c>
      <c r="DS27" s="430">
        <f t="shared" si="233"/>
        <v>1478.83176306058</v>
      </c>
      <c r="DT27" s="322">
        <f t="shared" si="233"/>
        <v>3308.3005854257954</v>
      </c>
      <c r="DU27" s="322">
        <f t="shared" si="233"/>
        <v>3296.9788644359178</v>
      </c>
      <c r="DV27" s="385">
        <f t="shared" si="233"/>
        <v>6605.2794498617131</v>
      </c>
      <c r="DW27" s="322">
        <f t="shared" si="233"/>
        <v>1643.0582973306443</v>
      </c>
      <c r="DX27" s="322">
        <f t="shared" si="233"/>
        <v>1911.4940446769826</v>
      </c>
      <c r="DY27" s="322">
        <f t="shared" si="233"/>
        <v>1953.0549599028554</v>
      </c>
      <c r="DZ27" s="430">
        <f t="shared" si="233"/>
        <v>1589.0360023838693</v>
      </c>
      <c r="EA27" s="322">
        <f t="shared" si="233"/>
        <v>3554.552342007627</v>
      </c>
      <c r="EB27" s="322">
        <f t="shared" si="233"/>
        <v>3542.0909622867248</v>
      </c>
      <c r="EC27" s="385">
        <f t="shared" si="233"/>
        <v>7096.6433042943518</v>
      </c>
      <c r="ED27" s="322">
        <f t="shared" si="233"/>
        <v>1734.3734972623558</v>
      </c>
      <c r="EE27" s="322">
        <f t="shared" si="233"/>
        <v>2017.0801581212743</v>
      </c>
      <c r="EF27" s="322">
        <f t="shared" si="233"/>
        <v>2060.8742677669993</v>
      </c>
      <c r="EG27" s="430">
        <f t="shared" si="233"/>
        <v>1676.7448239215119</v>
      </c>
      <c r="EH27" s="322">
        <f t="shared" si="233"/>
        <v>3751.4536553836301</v>
      </c>
      <c r="EI27" s="322">
        <f t="shared" si="233"/>
        <v>3737.6190916885112</v>
      </c>
      <c r="EJ27" s="385">
        <f t="shared" si="233"/>
        <v>7489.0727470721413</v>
      </c>
      <c r="EK27" s="322">
        <f t="shared" si="233"/>
        <v>1847.0839441493877</v>
      </c>
      <c r="EL27" s="322">
        <f t="shared" si="233"/>
        <v>2148.1980760888146</v>
      </c>
      <c r="EM27" s="322">
        <f t="shared" si="233"/>
        <v>2194.8478945354655</v>
      </c>
      <c r="EN27" s="430">
        <f t="shared" si="233"/>
        <v>1785.746018531479</v>
      </c>
      <c r="EO27" s="322">
        <f t="shared" si="233"/>
        <v>3995.2820202382022</v>
      </c>
      <c r="EP27" s="322">
        <f t="shared" si="233"/>
        <v>3980.5939130669444</v>
      </c>
      <c r="EQ27" s="385">
        <f t="shared" si="233"/>
        <v>7975.8759333051466</v>
      </c>
    </row>
    <row r="28" spans="1:147" ht="10.199999999999999" customHeight="1">
      <c r="A28" s="92" t="str">
        <f>A308</f>
        <v>Airbus revenues (EURm)</v>
      </c>
      <c r="B28" s="48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682"/>
      <c r="S28" s="549"/>
      <c r="T28" s="111"/>
      <c r="U28" s="340"/>
      <c r="V28" s="111"/>
      <c r="W28" s="111"/>
      <c r="X28" s="111"/>
      <c r="Y28" s="682"/>
      <c r="Z28" s="549"/>
      <c r="AA28" s="111"/>
      <c r="AB28" s="340"/>
      <c r="AC28" s="111"/>
      <c r="AD28" s="111"/>
      <c r="AE28" s="111"/>
      <c r="AF28" s="682"/>
      <c r="AG28" s="549"/>
      <c r="AH28" s="111"/>
      <c r="AI28" s="340"/>
      <c r="AJ28" s="111"/>
      <c r="AK28" s="111"/>
      <c r="AL28" s="111"/>
      <c r="AM28" s="682"/>
      <c r="AN28" s="549"/>
      <c r="AO28" s="111"/>
      <c r="AP28" s="340"/>
      <c r="AQ28" s="111"/>
      <c r="AR28" s="111"/>
      <c r="AS28" s="111"/>
      <c r="AT28" s="682"/>
      <c r="AU28" s="549"/>
      <c r="AV28" s="111"/>
      <c r="AW28" s="340"/>
      <c r="AX28" s="111"/>
      <c r="AY28" s="111"/>
      <c r="AZ28" s="111"/>
      <c r="BA28" s="682"/>
      <c r="BB28" s="549"/>
      <c r="BC28" s="111"/>
      <c r="BD28" s="340"/>
      <c r="BE28" s="111"/>
      <c r="BF28" s="111"/>
      <c r="BG28" s="111"/>
      <c r="BH28" s="682"/>
      <c r="BI28" s="549"/>
      <c r="BJ28" s="111"/>
      <c r="BK28" s="340">
        <f>BK308</f>
        <v>47970</v>
      </c>
      <c r="BL28" s="111"/>
      <c r="BM28" s="111"/>
      <c r="BN28" s="111"/>
      <c r="BO28" s="682"/>
      <c r="BP28" s="549"/>
      <c r="BQ28" s="111"/>
      <c r="BR28" s="340">
        <f t="shared" ref="BR28:EQ28" si="238">BR308</f>
        <v>54775.000000000015</v>
      </c>
      <c r="BS28" s="111"/>
      <c r="BT28" s="111"/>
      <c r="BU28" s="111"/>
      <c r="BV28" s="682"/>
      <c r="BW28" s="549"/>
      <c r="BX28" s="111"/>
      <c r="BY28" s="340">
        <f t="shared" si="238"/>
        <v>34250</v>
      </c>
      <c r="BZ28" s="111"/>
      <c r="CA28" s="111"/>
      <c r="CB28" s="111"/>
      <c r="CC28" s="682"/>
      <c r="CD28" s="549"/>
      <c r="CE28" s="111"/>
      <c r="CF28" s="340">
        <f t="shared" si="238"/>
        <v>36164</v>
      </c>
      <c r="CG28" s="111"/>
      <c r="CH28" s="111"/>
      <c r="CI28" s="111"/>
      <c r="CJ28" s="682"/>
      <c r="CK28" s="549"/>
      <c r="CL28" s="111"/>
      <c r="CM28" s="340">
        <f t="shared" si="238"/>
        <v>41428</v>
      </c>
      <c r="CN28" s="111">
        <f t="shared" si="217"/>
        <v>8110.0000000000009</v>
      </c>
      <c r="CO28" s="111">
        <f t="shared" si="217"/>
        <v>12239.000000000007</v>
      </c>
      <c r="CP28" s="111">
        <f t="shared" ref="CP28" si="239">CP308</f>
        <v>11158.000000000002</v>
      </c>
      <c r="CQ28" s="682">
        <f t="shared" si="238"/>
        <v>16255.999999999984</v>
      </c>
      <c r="CR28" s="549">
        <f>CR308</f>
        <v>20349.000000000007</v>
      </c>
      <c r="CS28" s="111">
        <f t="shared" si="238"/>
        <v>27413.999999999985</v>
      </c>
      <c r="CT28" s="340">
        <f t="shared" ref="CT28:CV28" si="240">CT308</f>
        <v>47762.999999999993</v>
      </c>
      <c r="CU28" s="111">
        <f t="shared" si="240"/>
        <v>9167.0000000000018</v>
      </c>
      <c r="CV28" s="111">
        <f t="shared" si="240"/>
        <v>12048.000000000002</v>
      </c>
      <c r="CW28" s="111">
        <f t="shared" si="219"/>
        <v>11663.999999999998</v>
      </c>
      <c r="CX28" s="682">
        <f t="shared" si="219"/>
        <v>17766.999999999993</v>
      </c>
      <c r="CY28" s="549">
        <f>CY308</f>
        <v>21215.000000000004</v>
      </c>
      <c r="CZ28" s="111">
        <f t="shared" ref="CZ28" si="241">CZ308</f>
        <v>29430.999999999989</v>
      </c>
      <c r="DA28" s="340">
        <f t="shared" si="238"/>
        <v>50645.999999999993</v>
      </c>
      <c r="DB28" s="111">
        <f t="shared" si="238"/>
        <v>9521.0000000000018</v>
      </c>
      <c r="DC28" s="111">
        <f t="shared" si="238"/>
        <v>11308.000000000002</v>
      </c>
      <c r="DD28" s="111">
        <f t="shared" si="238"/>
        <v>13057</v>
      </c>
      <c r="DE28" s="682">
        <f t="shared" si="238"/>
        <v>18690.999976562718</v>
      </c>
      <c r="DF28" s="549">
        <f>DF308</f>
        <v>20829.000000000004</v>
      </c>
      <c r="DG28" s="111">
        <f t="shared" si="221"/>
        <v>31747.999976562718</v>
      </c>
      <c r="DH28" s="340">
        <f t="shared" ref="DH28:DJ28" si="242">DH308</f>
        <v>52576.999976562722</v>
      </c>
      <c r="DI28" s="111">
        <f t="shared" si="242"/>
        <v>8435.9999889415612</v>
      </c>
      <c r="DJ28" s="111">
        <f t="shared" si="242"/>
        <v>15441.000011058442</v>
      </c>
      <c r="DK28" s="401">
        <f t="shared" si="238"/>
        <v>14465.159374942479</v>
      </c>
      <c r="DL28" s="431">
        <f t="shared" si="238"/>
        <v>19996.599972978511</v>
      </c>
      <c r="DM28" s="549">
        <f>DM308</f>
        <v>23877.000000000004</v>
      </c>
      <c r="DN28" s="401">
        <f t="shared" si="238"/>
        <v>34461.75934792099</v>
      </c>
      <c r="DO28" s="400">
        <f t="shared" si="238"/>
        <v>58338.75934792099</v>
      </c>
      <c r="DP28" s="401">
        <f t="shared" si="238"/>
        <v>15947.903480844785</v>
      </c>
      <c r="DQ28" s="401">
        <f t="shared" si="238"/>
        <v>16847.49306244366</v>
      </c>
      <c r="DR28" s="401">
        <f t="shared" si="238"/>
        <v>16890.458627828706</v>
      </c>
      <c r="DS28" s="431">
        <f t="shared" si="238"/>
        <v>16547.132419279817</v>
      </c>
      <c r="DT28" s="401">
        <f t="shared" si="238"/>
        <v>32795.396543288443</v>
      </c>
      <c r="DU28" s="401">
        <f t="shared" si="238"/>
        <v>33437.591047108523</v>
      </c>
      <c r="DV28" s="400">
        <f t="shared" si="238"/>
        <v>66232.987590396966</v>
      </c>
      <c r="DW28" s="401">
        <f t="shared" si="238"/>
        <v>17483.516113039725</v>
      </c>
      <c r="DX28" s="401">
        <f t="shared" si="238"/>
        <v>18521.309142763625</v>
      </c>
      <c r="DY28" s="401">
        <f t="shared" si="238"/>
        <v>18566.922653250138</v>
      </c>
      <c r="DZ28" s="431">
        <f t="shared" si="238"/>
        <v>18573.7426335893</v>
      </c>
      <c r="EA28" s="401">
        <f t="shared" si="238"/>
        <v>36004.825255803349</v>
      </c>
      <c r="EB28" s="401">
        <f t="shared" si="238"/>
        <v>37140.665286839438</v>
      </c>
      <c r="EC28" s="400">
        <f t="shared" si="238"/>
        <v>73145.490542642787</v>
      </c>
      <c r="ED28" s="401">
        <f t="shared" si="238"/>
        <v>18860.931525780885</v>
      </c>
      <c r="EE28" s="401">
        <f t="shared" si="238"/>
        <v>19139.547824434798</v>
      </c>
      <c r="EF28" s="401">
        <f t="shared" si="238"/>
        <v>19187.187906652489</v>
      </c>
      <c r="EG28" s="431">
        <f t="shared" si="238"/>
        <v>19182.933288099488</v>
      </c>
      <c r="EH28" s="401">
        <f t="shared" si="238"/>
        <v>38000.479350215683</v>
      </c>
      <c r="EI28" s="401">
        <f t="shared" si="238"/>
        <v>38370.121194751977</v>
      </c>
      <c r="EJ28" s="400">
        <f t="shared" si="238"/>
        <v>76370.60054496766</v>
      </c>
      <c r="EK28" s="401">
        <f t="shared" si="238"/>
        <v>19414.718418889872</v>
      </c>
      <c r="EL28" s="401">
        <f t="shared" si="238"/>
        <v>19711.988291482881</v>
      </c>
      <c r="EM28" s="401">
        <f t="shared" si="238"/>
        <v>19762.592797427096</v>
      </c>
      <c r="EN28" s="431">
        <f t="shared" si="238"/>
        <v>19739.23262960634</v>
      </c>
      <c r="EO28" s="401">
        <f t="shared" si="238"/>
        <v>39126.706710372753</v>
      </c>
      <c r="EP28" s="401">
        <f t="shared" si="238"/>
        <v>39501.825427033436</v>
      </c>
      <c r="EQ28" s="400">
        <f t="shared" si="238"/>
        <v>78628.53213740619</v>
      </c>
    </row>
    <row r="29" spans="1:147" ht="10.199999999999999" customHeight="1">
      <c r="A29" s="108"/>
      <c r="B29" s="43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88"/>
      <c r="S29" s="197"/>
      <c r="T29" s="197"/>
      <c r="U29" s="1085"/>
      <c r="V29" s="67"/>
      <c r="W29" s="67"/>
      <c r="X29" s="67"/>
      <c r="Y29" s="688"/>
      <c r="Z29" s="197"/>
      <c r="AA29" s="197"/>
      <c r="AB29" s="1085"/>
      <c r="AC29" s="67"/>
      <c r="AD29" s="67"/>
      <c r="AE29" s="67"/>
      <c r="AF29" s="688"/>
      <c r="AG29" s="197"/>
      <c r="AH29" s="197"/>
      <c r="AI29" s="1085"/>
      <c r="AJ29" s="67"/>
      <c r="AK29" s="67"/>
      <c r="AL29" s="67"/>
      <c r="AM29" s="688"/>
      <c r="AN29" s="197"/>
      <c r="AO29" s="197"/>
      <c r="AP29" s="1085"/>
      <c r="AQ29" s="67"/>
      <c r="AR29" s="67"/>
      <c r="AS29" s="67"/>
      <c r="AT29" s="688"/>
      <c r="AU29" s="197"/>
      <c r="AV29" s="197"/>
      <c r="AW29" s="1085"/>
      <c r="AX29" s="67"/>
      <c r="AY29" s="67"/>
      <c r="AZ29" s="67"/>
      <c r="BA29" s="688"/>
      <c r="BB29" s="197"/>
      <c r="BC29" s="197"/>
      <c r="BD29" s="1085"/>
      <c r="BE29" s="67"/>
      <c r="BF29" s="67"/>
      <c r="BG29" s="67"/>
      <c r="BH29" s="688"/>
      <c r="BI29" s="197"/>
      <c r="BJ29" s="197"/>
      <c r="BK29" s="1085"/>
      <c r="BL29" s="67"/>
      <c r="BM29" s="67"/>
      <c r="BN29" s="67"/>
      <c r="BO29" s="688"/>
      <c r="BP29" s="197"/>
      <c r="BQ29" s="197"/>
      <c r="BR29" s="1085"/>
      <c r="BS29" s="67"/>
      <c r="BT29" s="67"/>
      <c r="BU29" s="67"/>
      <c r="BV29" s="688"/>
      <c r="BW29" s="197"/>
      <c r="BX29" s="197"/>
      <c r="BY29" s="1085"/>
      <c r="BZ29" s="67"/>
      <c r="CA29" s="67"/>
      <c r="CB29" s="67"/>
      <c r="CC29" s="688"/>
      <c r="CD29" s="197"/>
      <c r="CE29" s="197"/>
      <c r="CF29" s="1085"/>
      <c r="CG29" s="67"/>
      <c r="CH29" s="67"/>
      <c r="CI29" s="67"/>
      <c r="CJ29" s="688"/>
      <c r="CK29" s="197"/>
      <c r="CL29" s="197"/>
      <c r="CM29" s="1085"/>
      <c r="CN29" s="67"/>
      <c r="CO29" s="67"/>
      <c r="CP29" s="67"/>
      <c r="CQ29" s="688"/>
      <c r="CR29" s="197"/>
      <c r="CS29" s="197"/>
      <c r="CT29" s="1085"/>
      <c r="CU29" s="67"/>
      <c r="CV29" s="67"/>
      <c r="CW29" s="67"/>
      <c r="CX29" s="688"/>
      <c r="CY29" s="197"/>
      <c r="CZ29" s="197"/>
      <c r="DA29" s="1085"/>
      <c r="DB29" s="67"/>
      <c r="DC29" s="67"/>
      <c r="DD29" s="67"/>
      <c r="DE29" s="688"/>
      <c r="DF29" s="197"/>
      <c r="DG29" s="197"/>
      <c r="DH29" s="1085"/>
      <c r="DI29" s="67"/>
      <c r="DJ29" s="67"/>
      <c r="DK29" s="322"/>
      <c r="DL29" s="430"/>
      <c r="DM29" s="197"/>
      <c r="DN29" s="322"/>
      <c r="DO29" s="385"/>
      <c r="DP29" s="322"/>
      <c r="DQ29" s="322"/>
      <c r="DR29" s="322"/>
      <c r="DS29" s="430"/>
      <c r="DT29" s="322"/>
      <c r="DU29" s="322"/>
      <c r="DV29" s="385"/>
      <c r="DW29" s="322"/>
      <c r="DX29" s="322"/>
      <c r="DY29" s="322"/>
      <c r="DZ29" s="430"/>
      <c r="EA29" s="322"/>
      <c r="EB29" s="322"/>
      <c r="EC29" s="385"/>
      <c r="ED29" s="322"/>
      <c r="EE29" s="322"/>
      <c r="EF29" s="322"/>
      <c r="EG29" s="430"/>
      <c r="EH29" s="322"/>
      <c r="EI29" s="322"/>
      <c r="EJ29" s="385"/>
      <c r="EK29" s="322"/>
      <c r="EL29" s="322"/>
      <c r="EM29" s="322"/>
      <c r="EN29" s="430"/>
      <c r="EO29" s="322"/>
      <c r="EP29" s="322"/>
      <c r="EQ29" s="385"/>
    </row>
    <row r="30" spans="1:147" ht="10.199999999999999" customHeight="1">
      <c r="A30" s="48" t="s">
        <v>758</v>
      </c>
      <c r="B30" s="48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682"/>
      <c r="S30" s="111"/>
      <c r="T30" s="111"/>
      <c r="U30" s="340"/>
      <c r="V30" s="111"/>
      <c r="W30" s="111"/>
      <c r="X30" s="111"/>
      <c r="Y30" s="682"/>
      <c r="Z30" s="111"/>
      <c r="AA30" s="111"/>
      <c r="AB30" s="340"/>
      <c r="AC30" s="111"/>
      <c r="AD30" s="111"/>
      <c r="AE30" s="111"/>
      <c r="AF30" s="682"/>
      <c r="AG30" s="111"/>
      <c r="AH30" s="111"/>
      <c r="AI30" s="340"/>
      <c r="AJ30" s="111"/>
      <c r="AK30" s="111"/>
      <c r="AL30" s="111"/>
      <c r="AM30" s="682"/>
      <c r="AN30" s="111"/>
      <c r="AO30" s="111"/>
      <c r="AP30" s="340"/>
      <c r="AQ30" s="111"/>
      <c r="AR30" s="111"/>
      <c r="AS30" s="111"/>
      <c r="AT30" s="682"/>
      <c r="AU30" s="111"/>
      <c r="AV30" s="111"/>
      <c r="AW30" s="340"/>
      <c r="AX30" s="111"/>
      <c r="AY30" s="111"/>
      <c r="AZ30" s="111"/>
      <c r="BA30" s="682"/>
      <c r="BB30" s="111"/>
      <c r="BC30" s="111"/>
      <c r="BD30" s="340"/>
      <c r="BE30" s="111"/>
      <c r="BF30" s="111"/>
      <c r="BG30" s="111"/>
      <c r="BH30" s="682"/>
      <c r="BI30" s="111"/>
      <c r="BJ30" s="111"/>
      <c r="BK30" s="340">
        <f>BK348</f>
        <v>0</v>
      </c>
      <c r="BL30" s="111"/>
      <c r="BM30" s="111"/>
      <c r="BN30" s="111"/>
      <c r="BO30" s="682"/>
      <c r="BP30" s="111"/>
      <c r="BQ30" s="111"/>
      <c r="BR30" s="340">
        <f t="shared" ref="BR30:EQ30" si="243">BR348</f>
        <v>0</v>
      </c>
      <c r="BS30" s="111"/>
      <c r="BT30" s="111"/>
      <c r="BU30" s="111"/>
      <c r="BV30" s="682"/>
      <c r="BW30" s="111"/>
      <c r="BX30" s="111"/>
      <c r="BY30" s="340">
        <f t="shared" si="243"/>
        <v>0</v>
      </c>
      <c r="BZ30" s="111"/>
      <c r="CA30" s="111"/>
      <c r="CB30" s="111"/>
      <c r="CC30" s="682"/>
      <c r="CD30" s="111"/>
      <c r="CE30" s="111"/>
      <c r="CF30" s="340">
        <f t="shared" si="243"/>
        <v>0</v>
      </c>
      <c r="CG30" s="111"/>
      <c r="CH30" s="111"/>
      <c r="CI30" s="111"/>
      <c r="CJ30" s="682"/>
      <c r="CK30" s="111"/>
      <c r="CL30" s="111"/>
      <c r="CM30" s="340">
        <f t="shared" si="243"/>
        <v>8047</v>
      </c>
      <c r="CN30" s="111">
        <f>CN348</f>
        <v>1258.956605593057</v>
      </c>
      <c r="CO30" s="111">
        <f>CO348</f>
        <v>2285.6301832208292</v>
      </c>
      <c r="CP30" s="111">
        <f>CP348</f>
        <v>1544.6301832208292</v>
      </c>
      <c r="CQ30" s="682">
        <f t="shared" si="243"/>
        <v>2540.5330279652835</v>
      </c>
      <c r="CR30" s="111">
        <f>CR348</f>
        <v>3544.5867888138864</v>
      </c>
      <c r="CS30" s="111">
        <f t="shared" si="243"/>
        <v>4085.1632111861127</v>
      </c>
      <c r="CT30" s="340">
        <f t="shared" ref="CT30" si="244">CT348</f>
        <v>7629.7499999999991</v>
      </c>
      <c r="CU30" s="111">
        <f>CU348</f>
        <v>1213.7072499999999</v>
      </c>
      <c r="CV30" s="111">
        <f>CV348</f>
        <v>2130.4514999999997</v>
      </c>
      <c r="CW30" s="111">
        <f>CW348</f>
        <v>1815.9240000000002</v>
      </c>
      <c r="CX30" s="682">
        <f t="shared" ref="CX30" si="245">CX348</f>
        <v>2904.8022500000015</v>
      </c>
      <c r="CY30" s="111">
        <f>CY348</f>
        <v>3344.1587499999996</v>
      </c>
      <c r="CZ30" s="111">
        <f t="shared" ref="CZ30" si="246">CZ348</f>
        <v>4720.7262500000015</v>
      </c>
      <c r="DA30" s="340">
        <f t="shared" si="243"/>
        <v>8064.8850000000011</v>
      </c>
      <c r="DB30" s="111">
        <f t="shared" si="243"/>
        <v>1051.3928986748142</v>
      </c>
      <c r="DC30" s="111">
        <f>DC348</f>
        <v>1762.058381526952</v>
      </c>
      <c r="DD30" s="111">
        <f t="shared" si="243"/>
        <v>2178.6124469104661</v>
      </c>
      <c r="DE30" s="682">
        <f t="shared" si="243"/>
        <v>3058.6760228877683</v>
      </c>
      <c r="DF30" s="111">
        <f>DF348</f>
        <v>2813.4512802017662</v>
      </c>
      <c r="DG30" s="111">
        <f t="shared" ref="DG30" si="247">DG348</f>
        <v>5237.2884697982345</v>
      </c>
      <c r="DH30" s="340">
        <f t="shared" ref="DH30:DI30" si="248">DH348</f>
        <v>8050.7397500000006</v>
      </c>
      <c r="DI30" s="111">
        <f t="shared" si="248"/>
        <v>681.15606896551719</v>
      </c>
      <c r="DJ30" s="111">
        <f>DJ348</f>
        <v>2753.6057964730762</v>
      </c>
      <c r="DK30" s="401">
        <f t="shared" si="243"/>
        <v>2155.7273522895771</v>
      </c>
      <c r="DL30" s="431">
        <f t="shared" si="243"/>
        <v>3332.1384221254707</v>
      </c>
      <c r="DM30" s="111">
        <f>DM348</f>
        <v>3434.7618654385933</v>
      </c>
      <c r="DN30" s="401">
        <f t="shared" si="243"/>
        <v>5487.8657744150478</v>
      </c>
      <c r="DO30" s="400">
        <f t="shared" si="243"/>
        <v>8922.6276398536411</v>
      </c>
      <c r="DP30" s="401">
        <f t="shared" si="243"/>
        <v>2518.4634574638008</v>
      </c>
      <c r="DQ30" s="401">
        <f t="shared" si="243"/>
        <v>2722.8733293748278</v>
      </c>
      <c r="DR30" s="401">
        <f t="shared" si="243"/>
        <v>2723.9647568928149</v>
      </c>
      <c r="DS30" s="431">
        <f t="shared" si="243"/>
        <v>2723.2285658060982</v>
      </c>
      <c r="DT30" s="401">
        <f t="shared" si="243"/>
        <v>5241.3367868386285</v>
      </c>
      <c r="DU30" s="401">
        <f t="shared" si="243"/>
        <v>5447.1933226989131</v>
      </c>
      <c r="DV30" s="400">
        <f t="shared" si="243"/>
        <v>10688.530109537542</v>
      </c>
      <c r="DW30" s="401">
        <f t="shared" si="243"/>
        <v>2846.5746067553741</v>
      </c>
      <c r="DX30" s="401">
        <f t="shared" si="243"/>
        <v>3046.1838989764669</v>
      </c>
      <c r="DY30" s="401">
        <f t="shared" si="243"/>
        <v>3047.232254773141</v>
      </c>
      <c r="DZ30" s="431">
        <f t="shared" si="243"/>
        <v>3143.6411270581257</v>
      </c>
      <c r="EA30" s="401">
        <f t="shared" si="243"/>
        <v>5892.7585057318411</v>
      </c>
      <c r="EB30" s="401">
        <f t="shared" si="243"/>
        <v>6190.8733818312667</v>
      </c>
      <c r="EC30" s="400">
        <f t="shared" si="243"/>
        <v>12083.631887563108</v>
      </c>
      <c r="ED30" s="401">
        <f t="shared" si="243"/>
        <v>3370.126542358189</v>
      </c>
      <c r="EE30" s="401">
        <f t="shared" si="243"/>
        <v>3368.9987809064169</v>
      </c>
      <c r="EF30" s="401">
        <f t="shared" si="243"/>
        <v>3370.0784519019744</v>
      </c>
      <c r="EG30" s="431">
        <f t="shared" si="243"/>
        <v>3476.4432531504726</v>
      </c>
      <c r="EH30" s="401">
        <f t="shared" si="243"/>
        <v>6739.1253232646059</v>
      </c>
      <c r="EI30" s="401">
        <f t="shared" si="243"/>
        <v>6846.521705052447</v>
      </c>
      <c r="EJ30" s="400">
        <f t="shared" si="243"/>
        <v>13585.647028317053</v>
      </c>
      <c r="EK30" s="401">
        <f t="shared" si="243"/>
        <v>3553.4938978344594</v>
      </c>
      <c r="EL30" s="401">
        <f t="shared" si="243"/>
        <v>3552.4100961030113</v>
      </c>
      <c r="EM30" s="401">
        <f t="shared" si="243"/>
        <v>3553.51623469272</v>
      </c>
      <c r="EN30" s="431">
        <f t="shared" si="243"/>
        <v>3661.5244357260281</v>
      </c>
      <c r="EO30" s="401">
        <f t="shared" si="243"/>
        <v>7105.9039939374707</v>
      </c>
      <c r="EP30" s="401">
        <f t="shared" si="243"/>
        <v>7215.040670418748</v>
      </c>
      <c r="EQ30" s="400">
        <f t="shared" si="243"/>
        <v>14320.944664356219</v>
      </c>
    </row>
    <row r="31" spans="1:147" ht="10.199999999999999" customHeight="1">
      <c r="A31" s="747" t="s">
        <v>484</v>
      </c>
      <c r="B31" s="594"/>
      <c r="C31" s="743"/>
      <c r="D31" s="743"/>
      <c r="E31" s="743"/>
      <c r="F31" s="743"/>
      <c r="G31" s="743"/>
      <c r="H31" s="743"/>
      <c r="I31" s="743"/>
      <c r="J31" s="743"/>
      <c r="K31" s="743"/>
      <c r="L31" s="743"/>
      <c r="M31" s="743"/>
      <c r="N31" s="743"/>
      <c r="O31" s="744"/>
      <c r="P31" s="744"/>
      <c r="Q31" s="744"/>
      <c r="R31" s="745"/>
      <c r="S31" s="744"/>
      <c r="T31" s="744"/>
      <c r="U31" s="746"/>
      <c r="V31" s="744"/>
      <c r="W31" s="744"/>
      <c r="X31" s="744"/>
      <c r="Y31" s="745"/>
      <c r="Z31" s="744"/>
      <c r="AA31" s="744"/>
      <c r="AB31" s="746"/>
      <c r="AC31" s="744"/>
      <c r="AD31" s="744"/>
      <c r="AE31" s="744"/>
      <c r="AF31" s="745"/>
      <c r="AG31" s="744"/>
      <c r="AH31" s="744"/>
      <c r="AI31" s="746"/>
      <c r="AJ31" s="744"/>
      <c r="AK31" s="744"/>
      <c r="AL31" s="744"/>
      <c r="AM31" s="745"/>
      <c r="AN31" s="744"/>
      <c r="AO31" s="744"/>
      <c r="AP31" s="746"/>
      <c r="AQ31" s="744"/>
      <c r="AR31" s="744"/>
      <c r="AS31" s="744"/>
      <c r="AT31" s="745"/>
      <c r="AU31" s="744"/>
      <c r="AV31" s="744"/>
      <c r="AW31" s="746"/>
      <c r="AX31" s="744"/>
      <c r="AY31" s="744"/>
      <c r="AZ31" s="744"/>
      <c r="BA31" s="745"/>
      <c r="BB31" s="744"/>
      <c r="BC31" s="744"/>
      <c r="BD31" s="746"/>
      <c r="BE31" s="744"/>
      <c r="BF31" s="744"/>
      <c r="BG31" s="744"/>
      <c r="BH31" s="745"/>
      <c r="BI31" s="744"/>
      <c r="BJ31" s="744"/>
      <c r="BK31" s="746"/>
      <c r="BL31" s="744"/>
      <c r="BM31" s="744"/>
      <c r="BN31" s="744"/>
      <c r="BO31" s="745"/>
      <c r="BP31" s="744"/>
      <c r="BQ31" s="744"/>
      <c r="BR31" s="746"/>
      <c r="BS31" s="744"/>
      <c r="BT31" s="744"/>
      <c r="BU31" s="744"/>
      <c r="BV31" s="745"/>
      <c r="BW31" s="744"/>
      <c r="BX31" s="744"/>
      <c r="BY31" s="746"/>
      <c r="BZ31" s="744"/>
      <c r="CA31" s="744"/>
      <c r="CB31" s="744"/>
      <c r="CC31" s="745"/>
      <c r="CD31" s="744"/>
      <c r="CE31" s="744"/>
      <c r="CF31" s="746"/>
      <c r="CG31" s="744"/>
      <c r="CH31" s="744"/>
      <c r="CI31" s="744"/>
      <c r="CJ31" s="745"/>
      <c r="CK31" s="744"/>
      <c r="CL31" s="744"/>
      <c r="CM31" s="746"/>
      <c r="CN31" s="744"/>
      <c r="CO31" s="744"/>
      <c r="CP31" s="744"/>
      <c r="CQ31" s="745"/>
      <c r="CR31" s="744"/>
      <c r="CS31" s="744"/>
      <c r="CT31" s="746"/>
      <c r="CU31" s="744"/>
      <c r="CV31" s="744"/>
      <c r="CW31" s="744"/>
      <c r="CX31" s="745"/>
      <c r="CY31" s="744"/>
      <c r="CZ31" s="744"/>
      <c r="DA31" s="746"/>
      <c r="DB31" s="744"/>
      <c r="DC31" s="744"/>
      <c r="DD31" s="744"/>
      <c r="DE31" s="745"/>
      <c r="DF31" s="744"/>
      <c r="DG31" s="744"/>
      <c r="DH31" s="746"/>
      <c r="DI31" s="744"/>
      <c r="DJ31" s="744"/>
      <c r="DK31" s="744"/>
      <c r="DL31" s="745"/>
      <c r="DM31" s="744"/>
      <c r="DN31" s="744"/>
      <c r="DO31" s="746"/>
      <c r="DP31" s="744"/>
      <c r="DQ31" s="744"/>
      <c r="DR31" s="744"/>
      <c r="DS31" s="745"/>
      <c r="DT31" s="744"/>
      <c r="DU31" s="744"/>
      <c r="DV31" s="746"/>
      <c r="DW31" s="744"/>
      <c r="DX31" s="744"/>
      <c r="DY31" s="744"/>
      <c r="DZ31" s="745"/>
      <c r="EA31" s="744"/>
      <c r="EB31" s="744"/>
      <c r="EC31" s="746"/>
      <c r="ED31" s="744"/>
      <c r="EE31" s="744"/>
      <c r="EF31" s="744"/>
      <c r="EG31" s="745"/>
      <c r="EH31" s="744"/>
      <c r="EI31" s="744"/>
      <c r="EJ31" s="746"/>
      <c r="EK31" s="744"/>
      <c r="EL31" s="744"/>
      <c r="EM31" s="744"/>
      <c r="EN31" s="745"/>
      <c r="EO31" s="744"/>
      <c r="EP31" s="744"/>
      <c r="EQ31" s="746"/>
    </row>
    <row r="32" spans="1:147" ht="10.199999999999999" customHeight="1">
      <c r="A32" s="108"/>
      <c r="B32" s="43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322"/>
      <c r="P32" s="322"/>
      <c r="Q32" s="322"/>
      <c r="R32" s="430"/>
      <c r="S32" s="322"/>
      <c r="T32" s="322"/>
      <c r="U32" s="385"/>
      <c r="V32" s="322"/>
      <c r="W32" s="322"/>
      <c r="X32" s="322"/>
      <c r="Y32" s="430"/>
      <c r="Z32" s="322"/>
      <c r="AA32" s="322"/>
      <c r="AB32" s="385"/>
      <c r="AC32" s="322"/>
      <c r="AD32" s="322"/>
      <c r="AE32" s="322"/>
      <c r="AF32" s="430"/>
      <c r="AG32" s="322"/>
      <c r="AH32" s="322"/>
      <c r="AI32" s="385"/>
      <c r="AJ32" s="322"/>
      <c r="AK32" s="322"/>
      <c r="AL32" s="322"/>
      <c r="AM32" s="430"/>
      <c r="AN32" s="322"/>
      <c r="AO32" s="322"/>
      <c r="AP32" s="385"/>
      <c r="AQ32" s="322"/>
      <c r="AR32" s="322"/>
      <c r="AS32" s="322"/>
      <c r="AT32" s="430"/>
      <c r="AU32" s="322"/>
      <c r="AV32" s="322"/>
      <c r="AW32" s="385"/>
      <c r="AX32" s="322"/>
      <c r="AY32" s="322"/>
      <c r="AZ32" s="322"/>
      <c r="BA32" s="430"/>
      <c r="BB32" s="322"/>
      <c r="BC32" s="322"/>
      <c r="BD32" s="385"/>
      <c r="BE32" s="322"/>
      <c r="BF32" s="322"/>
      <c r="BG32" s="322"/>
      <c r="BH32" s="430"/>
      <c r="BI32" s="322"/>
      <c r="BJ32" s="322"/>
      <c r="BK32" s="385"/>
      <c r="BL32" s="322"/>
      <c r="BM32" s="322"/>
      <c r="BN32" s="322"/>
      <c r="BO32" s="430"/>
      <c r="BP32" s="322"/>
      <c r="BQ32" s="322"/>
      <c r="BR32" s="385"/>
      <c r="BS32" s="322"/>
      <c r="BT32" s="322"/>
      <c r="BU32" s="322"/>
      <c r="BV32" s="430"/>
      <c r="BW32" s="322"/>
      <c r="BX32" s="322"/>
      <c r="BY32" s="385"/>
      <c r="BZ32" s="322"/>
      <c r="CA32" s="322"/>
      <c r="CB32" s="322"/>
      <c r="CC32" s="430"/>
      <c r="CD32" s="322"/>
      <c r="CE32" s="322"/>
      <c r="CF32" s="385"/>
      <c r="CG32" s="322"/>
      <c r="CH32" s="322"/>
      <c r="CI32" s="322"/>
      <c r="CJ32" s="430"/>
      <c r="CK32" s="322"/>
      <c r="CL32" s="322"/>
      <c r="CM32" s="385"/>
      <c r="CN32" s="322"/>
      <c r="CO32" s="322"/>
      <c r="CP32" s="322"/>
      <c r="CQ32" s="430"/>
      <c r="CR32" s="322"/>
      <c r="CS32" s="322"/>
      <c r="CT32" s="385"/>
      <c r="CU32" s="322"/>
      <c r="CV32" s="322"/>
      <c r="CW32" s="322"/>
      <c r="CX32" s="430"/>
      <c r="CY32" s="322"/>
      <c r="CZ32" s="322"/>
      <c r="DA32" s="385"/>
      <c r="DB32" s="322"/>
      <c r="DC32" s="322"/>
      <c r="DD32" s="322"/>
      <c r="DE32" s="430"/>
      <c r="DF32" s="322"/>
      <c r="DG32" s="322"/>
      <c r="DH32" s="385"/>
      <c r="DI32" s="322"/>
      <c r="DJ32" s="322"/>
      <c r="DK32" s="322"/>
      <c r="DL32" s="430"/>
      <c r="DM32" s="322"/>
      <c r="DN32" s="322"/>
      <c r="DO32" s="385"/>
      <c r="DP32" s="322"/>
      <c r="DQ32" s="322"/>
      <c r="DR32" s="322"/>
      <c r="DS32" s="430"/>
      <c r="DT32" s="322"/>
      <c r="DU32" s="322"/>
      <c r="DV32" s="385"/>
      <c r="DW32" s="322"/>
      <c r="DX32" s="322"/>
      <c r="DY32" s="322"/>
      <c r="DZ32" s="430"/>
      <c r="EA32" s="322"/>
      <c r="EB32" s="322"/>
      <c r="EC32" s="385"/>
      <c r="ED32" s="322"/>
      <c r="EE32" s="322"/>
      <c r="EF32" s="322"/>
      <c r="EG32" s="430"/>
      <c r="EH32" s="322"/>
      <c r="EI32" s="322"/>
      <c r="EJ32" s="385"/>
      <c r="EK32" s="322"/>
      <c r="EL32" s="322"/>
      <c r="EM32" s="322"/>
      <c r="EN32" s="430"/>
      <c r="EO32" s="322"/>
      <c r="EP32" s="322"/>
      <c r="EQ32" s="385"/>
    </row>
    <row r="33" spans="1:147" ht="10.199999999999999" hidden="1" customHeight="1" outlineLevel="2">
      <c r="A33" s="76" t="s">
        <v>308</v>
      </c>
      <c r="B33" s="43"/>
      <c r="C33" s="100">
        <v>248</v>
      </c>
      <c r="D33" s="100">
        <f>+C33-130</f>
        <v>118</v>
      </c>
      <c r="E33" s="100">
        <v>50</v>
      </c>
      <c r="F33" s="100">
        <v>0</v>
      </c>
      <c r="G33" s="100">
        <v>0</v>
      </c>
      <c r="H33" s="100">
        <v>0</v>
      </c>
      <c r="I33" s="100">
        <v>0</v>
      </c>
      <c r="J33" s="100">
        <v>0</v>
      </c>
      <c r="K33" s="100">
        <v>0</v>
      </c>
      <c r="L33" s="100">
        <v>0</v>
      </c>
      <c r="M33" s="100">
        <v>0</v>
      </c>
      <c r="N33" s="176"/>
      <c r="O33" s="399"/>
      <c r="P33" s="399"/>
      <c r="Q33" s="399"/>
      <c r="R33" s="425"/>
      <c r="S33" s="399"/>
      <c r="T33" s="399"/>
      <c r="U33" s="338"/>
      <c r="V33" s="399"/>
      <c r="W33" s="399"/>
      <c r="X33" s="399"/>
      <c r="Y33" s="425"/>
      <c r="Z33" s="399"/>
      <c r="AA33" s="399"/>
      <c r="AB33" s="338"/>
      <c r="AC33" s="399"/>
      <c r="AD33" s="399"/>
      <c r="AE33" s="399"/>
      <c r="AF33" s="425"/>
      <c r="AG33" s="399"/>
      <c r="AH33" s="399"/>
      <c r="AI33" s="338"/>
      <c r="AJ33" s="399"/>
      <c r="AK33" s="399"/>
      <c r="AL33" s="399"/>
      <c r="AM33" s="425"/>
      <c r="AN33" s="399"/>
      <c r="AO33" s="399"/>
      <c r="AP33" s="338"/>
      <c r="AQ33" s="399"/>
      <c r="AR33" s="399"/>
      <c r="AS33" s="399"/>
      <c r="AT33" s="425"/>
      <c r="AU33" s="399"/>
      <c r="AV33" s="399"/>
      <c r="AW33" s="338"/>
      <c r="AX33" s="399"/>
      <c r="AY33" s="399"/>
      <c r="AZ33" s="399"/>
      <c r="BA33" s="425"/>
      <c r="BB33" s="399"/>
      <c r="BC33" s="399"/>
      <c r="BD33" s="338"/>
      <c r="BE33" s="399"/>
      <c r="BF33" s="399"/>
      <c r="BG33" s="399"/>
      <c r="BH33" s="425"/>
      <c r="BI33" s="399"/>
      <c r="BJ33" s="399"/>
      <c r="BK33" s="338"/>
      <c r="BL33" s="399"/>
      <c r="BM33" s="399"/>
      <c r="BN33" s="399"/>
      <c r="BO33" s="425"/>
      <c r="BP33" s="399"/>
      <c r="BQ33" s="399"/>
      <c r="BR33" s="338"/>
      <c r="BS33" s="399"/>
      <c r="BT33" s="399"/>
      <c r="BU33" s="399"/>
      <c r="BV33" s="425"/>
      <c r="BW33" s="399"/>
      <c r="BX33" s="399"/>
      <c r="BY33" s="338"/>
      <c r="BZ33" s="399"/>
      <c r="CA33" s="399"/>
      <c r="CB33" s="399"/>
      <c r="CC33" s="425"/>
      <c r="CD33" s="399"/>
      <c r="CE33" s="399"/>
      <c r="CF33" s="338"/>
      <c r="CG33" s="399"/>
      <c r="CH33" s="399"/>
      <c r="CI33" s="399"/>
      <c r="CJ33" s="425"/>
      <c r="CK33" s="399"/>
      <c r="CL33" s="399"/>
      <c r="CM33" s="338"/>
      <c r="CN33" s="399"/>
      <c r="CO33" s="399"/>
      <c r="CP33" s="399"/>
      <c r="CQ33" s="425"/>
      <c r="CR33" s="399"/>
      <c r="CS33" s="399"/>
      <c r="CT33" s="338"/>
      <c r="CU33" s="399"/>
      <c r="CV33" s="399"/>
      <c r="CW33" s="399"/>
      <c r="CX33" s="425"/>
      <c r="CY33" s="399"/>
      <c r="CZ33" s="399"/>
      <c r="DA33" s="338"/>
      <c r="DB33" s="399"/>
      <c r="DC33" s="399"/>
      <c r="DD33" s="399"/>
      <c r="DE33" s="425"/>
      <c r="DF33" s="399"/>
      <c r="DG33" s="399"/>
      <c r="DH33" s="338"/>
      <c r="DI33" s="399"/>
      <c r="DJ33" s="399"/>
      <c r="DK33" s="399"/>
      <c r="DL33" s="425"/>
      <c r="DM33" s="399"/>
      <c r="DN33" s="399"/>
      <c r="DO33" s="338"/>
      <c r="DP33" s="399"/>
      <c r="DQ33" s="399"/>
      <c r="DR33" s="399"/>
      <c r="DS33" s="425"/>
      <c r="DT33" s="399"/>
      <c r="DU33" s="399"/>
      <c r="DV33" s="338"/>
      <c r="DW33" s="399"/>
      <c r="DX33" s="399"/>
      <c r="DY33" s="399"/>
      <c r="DZ33" s="425"/>
      <c r="EA33" s="399"/>
      <c r="EB33" s="399"/>
      <c r="EC33" s="338"/>
      <c r="ED33" s="399"/>
      <c r="EE33" s="399"/>
      <c r="EF33" s="399"/>
      <c r="EG33" s="425"/>
      <c r="EH33" s="399"/>
      <c r="EI33" s="399"/>
      <c r="EJ33" s="338"/>
      <c r="EK33" s="399"/>
      <c r="EL33" s="399"/>
      <c r="EM33" s="399"/>
      <c r="EN33" s="425"/>
      <c r="EO33" s="399"/>
      <c r="EP33" s="399"/>
      <c r="EQ33" s="338"/>
    </row>
    <row r="34" spans="1:147" ht="10.199999999999999" hidden="1" customHeight="1" outlineLevel="2">
      <c r="A34" s="76" t="s">
        <v>38</v>
      </c>
      <c r="B34" s="62"/>
      <c r="C34" s="100">
        <f>+D34-435</f>
        <v>384</v>
      </c>
      <c r="D34" s="100">
        <v>819</v>
      </c>
      <c r="E34" s="100">
        <f>262+273+228+319</f>
        <v>1082</v>
      </c>
      <c r="F34" s="100">
        <v>983</v>
      </c>
      <c r="G34" s="100">
        <v>813</v>
      </c>
      <c r="H34" s="100">
        <v>771</v>
      </c>
      <c r="I34" s="100">
        <v>850</v>
      </c>
      <c r="J34" s="100">
        <v>500</v>
      </c>
      <c r="K34" s="100">
        <v>300</v>
      </c>
      <c r="L34" s="100">
        <v>200</v>
      </c>
      <c r="M34" s="100">
        <v>100</v>
      </c>
      <c r="N34" s="176"/>
      <c r="O34" s="399"/>
      <c r="P34" s="399"/>
      <c r="Q34" s="399"/>
      <c r="R34" s="425"/>
      <c r="S34" s="399"/>
      <c r="T34" s="399"/>
      <c r="U34" s="338"/>
      <c r="V34" s="399"/>
      <c r="W34" s="399"/>
      <c r="X34" s="399"/>
      <c r="Y34" s="425"/>
      <c r="Z34" s="399"/>
      <c r="AA34" s="399"/>
      <c r="AB34" s="338"/>
      <c r="AC34" s="399"/>
      <c r="AD34" s="399"/>
      <c r="AE34" s="399"/>
      <c r="AF34" s="425"/>
      <c r="AG34" s="399"/>
      <c r="AH34" s="399"/>
      <c r="AI34" s="338"/>
      <c r="AJ34" s="399"/>
      <c r="AK34" s="399"/>
      <c r="AL34" s="399"/>
      <c r="AM34" s="425"/>
      <c r="AN34" s="399"/>
      <c r="AO34" s="399"/>
      <c r="AP34" s="338"/>
      <c r="AQ34" s="399"/>
      <c r="AR34" s="399"/>
      <c r="AS34" s="399"/>
      <c r="AT34" s="425"/>
      <c r="AU34" s="399"/>
      <c r="AV34" s="399"/>
      <c r="AW34" s="338"/>
      <c r="AX34" s="399"/>
      <c r="AY34" s="399"/>
      <c r="AZ34" s="399"/>
      <c r="BA34" s="425"/>
      <c r="BB34" s="399"/>
      <c r="BC34" s="399"/>
      <c r="BD34" s="338"/>
      <c r="BE34" s="399"/>
      <c r="BF34" s="399"/>
      <c r="BG34" s="399"/>
      <c r="BH34" s="425"/>
      <c r="BI34" s="399"/>
      <c r="BJ34" s="399"/>
      <c r="BK34" s="338"/>
      <c r="BL34" s="399"/>
      <c r="BM34" s="399"/>
      <c r="BN34" s="399"/>
      <c r="BO34" s="425"/>
      <c r="BP34" s="399"/>
      <c r="BQ34" s="399"/>
      <c r="BR34" s="338"/>
      <c r="BS34" s="399"/>
      <c r="BT34" s="399"/>
      <c r="BU34" s="399"/>
      <c r="BV34" s="425"/>
      <c r="BW34" s="399"/>
      <c r="BX34" s="399"/>
      <c r="BY34" s="338"/>
      <c r="BZ34" s="399"/>
      <c r="CA34" s="399"/>
      <c r="CB34" s="399"/>
      <c r="CC34" s="425"/>
      <c r="CD34" s="399"/>
      <c r="CE34" s="399"/>
      <c r="CF34" s="338"/>
      <c r="CG34" s="399"/>
      <c r="CH34" s="399"/>
      <c r="CI34" s="399"/>
      <c r="CJ34" s="425"/>
      <c r="CK34" s="399"/>
      <c r="CL34" s="399"/>
      <c r="CM34" s="338"/>
      <c r="CN34" s="399"/>
      <c r="CO34" s="399"/>
      <c r="CP34" s="399"/>
      <c r="CQ34" s="425"/>
      <c r="CR34" s="399"/>
      <c r="CS34" s="399"/>
      <c r="CT34" s="338"/>
      <c r="CU34" s="399"/>
      <c r="CV34" s="399"/>
      <c r="CW34" s="399"/>
      <c r="CX34" s="425"/>
      <c r="CY34" s="399"/>
      <c r="CZ34" s="399"/>
      <c r="DA34" s="338"/>
      <c r="DB34" s="399"/>
      <c r="DC34" s="399"/>
      <c r="DD34" s="399"/>
      <c r="DE34" s="425"/>
      <c r="DF34" s="399"/>
      <c r="DG34" s="399"/>
      <c r="DH34" s="338"/>
      <c r="DI34" s="399"/>
      <c r="DJ34" s="399"/>
      <c r="DK34" s="399"/>
      <c r="DL34" s="425"/>
      <c r="DM34" s="399"/>
      <c r="DN34" s="399"/>
      <c r="DO34" s="338"/>
      <c r="DP34" s="399"/>
      <c r="DQ34" s="399"/>
      <c r="DR34" s="399"/>
      <c r="DS34" s="425"/>
      <c r="DT34" s="399"/>
      <c r="DU34" s="399"/>
      <c r="DV34" s="338"/>
      <c r="DW34" s="399"/>
      <c r="DX34" s="399"/>
      <c r="DY34" s="399"/>
      <c r="DZ34" s="425"/>
      <c r="EA34" s="399"/>
      <c r="EB34" s="399"/>
      <c r="EC34" s="338"/>
      <c r="ED34" s="399"/>
      <c r="EE34" s="399"/>
      <c r="EF34" s="399"/>
      <c r="EG34" s="425"/>
      <c r="EH34" s="399"/>
      <c r="EI34" s="399"/>
      <c r="EJ34" s="338"/>
      <c r="EK34" s="399"/>
      <c r="EL34" s="399"/>
      <c r="EM34" s="399"/>
      <c r="EN34" s="425"/>
      <c r="EO34" s="399"/>
      <c r="EP34" s="399"/>
      <c r="EQ34" s="338"/>
    </row>
    <row r="35" spans="1:147" ht="10.199999999999999" hidden="1" customHeight="1" outlineLevel="2">
      <c r="A35" s="76" t="s">
        <v>307</v>
      </c>
      <c r="B35" s="43"/>
      <c r="C35" s="100"/>
      <c r="D35" s="100"/>
      <c r="E35" s="64">
        <v>0</v>
      </c>
      <c r="F35" s="100">
        <v>0</v>
      </c>
      <c r="G35" s="100">
        <v>0</v>
      </c>
      <c r="H35" s="100">
        <v>100</v>
      </c>
      <c r="I35" s="100">
        <v>350</v>
      </c>
      <c r="J35" s="100">
        <v>950</v>
      </c>
      <c r="K35" s="100">
        <v>1200</v>
      </c>
      <c r="L35" s="100">
        <v>1300</v>
      </c>
      <c r="M35" s="100">
        <v>1300</v>
      </c>
      <c r="N35" s="176"/>
      <c r="O35" s="399"/>
      <c r="P35" s="399"/>
      <c r="Q35" s="399"/>
      <c r="R35" s="425"/>
      <c r="S35" s="399"/>
      <c r="T35" s="399"/>
      <c r="U35" s="338"/>
      <c r="V35" s="399"/>
      <c r="W35" s="399"/>
      <c r="X35" s="399"/>
      <c r="Y35" s="425"/>
      <c r="Z35" s="399"/>
      <c r="AA35" s="399"/>
      <c r="AB35" s="338"/>
      <c r="AC35" s="399"/>
      <c r="AD35" s="399"/>
      <c r="AE35" s="399"/>
      <c r="AF35" s="425"/>
      <c r="AG35" s="399"/>
      <c r="AH35" s="399"/>
      <c r="AI35" s="338"/>
      <c r="AJ35" s="399"/>
      <c r="AK35" s="399"/>
      <c r="AL35" s="399"/>
      <c r="AM35" s="425"/>
      <c r="AN35" s="399"/>
      <c r="AO35" s="399"/>
      <c r="AP35" s="338"/>
      <c r="AQ35" s="399"/>
      <c r="AR35" s="399"/>
      <c r="AS35" s="399"/>
      <c r="AT35" s="425"/>
      <c r="AU35" s="399"/>
      <c r="AV35" s="399"/>
      <c r="AW35" s="338"/>
      <c r="AX35" s="399"/>
      <c r="AY35" s="399"/>
      <c r="AZ35" s="399"/>
      <c r="BA35" s="425"/>
      <c r="BB35" s="399"/>
      <c r="BC35" s="399"/>
      <c r="BD35" s="338"/>
      <c r="BE35" s="399"/>
      <c r="BF35" s="399"/>
      <c r="BG35" s="399"/>
      <c r="BH35" s="425"/>
      <c r="BI35" s="399"/>
      <c r="BJ35" s="399"/>
      <c r="BK35" s="338"/>
      <c r="BL35" s="399"/>
      <c r="BM35" s="399"/>
      <c r="BN35" s="399"/>
      <c r="BO35" s="425"/>
      <c r="BP35" s="399"/>
      <c r="BQ35" s="399"/>
      <c r="BR35" s="338"/>
      <c r="BS35" s="399"/>
      <c r="BT35" s="399"/>
      <c r="BU35" s="399"/>
      <c r="BV35" s="425"/>
      <c r="BW35" s="399"/>
      <c r="BX35" s="399"/>
      <c r="BY35" s="338"/>
      <c r="BZ35" s="399"/>
      <c r="CA35" s="399"/>
      <c r="CB35" s="399"/>
      <c r="CC35" s="425"/>
      <c r="CD35" s="399"/>
      <c r="CE35" s="399"/>
      <c r="CF35" s="338"/>
      <c r="CG35" s="399"/>
      <c r="CH35" s="399"/>
      <c r="CI35" s="399"/>
      <c r="CJ35" s="425"/>
      <c r="CK35" s="399"/>
      <c r="CL35" s="399"/>
      <c r="CM35" s="338"/>
      <c r="CN35" s="399"/>
      <c r="CO35" s="399"/>
      <c r="CP35" s="399"/>
      <c r="CQ35" s="425"/>
      <c r="CR35" s="399"/>
      <c r="CS35" s="399"/>
      <c r="CT35" s="338"/>
      <c r="CU35" s="399"/>
      <c r="CV35" s="399"/>
      <c r="CW35" s="399"/>
      <c r="CX35" s="425"/>
      <c r="CY35" s="399"/>
      <c r="CZ35" s="399"/>
      <c r="DA35" s="338"/>
      <c r="DB35" s="399"/>
      <c r="DC35" s="399"/>
      <c r="DD35" s="399"/>
      <c r="DE35" s="425"/>
      <c r="DF35" s="399"/>
      <c r="DG35" s="399"/>
      <c r="DH35" s="338"/>
      <c r="DI35" s="399"/>
      <c r="DJ35" s="399"/>
      <c r="DK35" s="399"/>
      <c r="DL35" s="425"/>
      <c r="DM35" s="399"/>
      <c r="DN35" s="399"/>
      <c r="DO35" s="338"/>
      <c r="DP35" s="399"/>
      <c r="DQ35" s="399"/>
      <c r="DR35" s="399"/>
      <c r="DS35" s="425"/>
      <c r="DT35" s="399"/>
      <c r="DU35" s="399"/>
      <c r="DV35" s="338"/>
      <c r="DW35" s="399"/>
      <c r="DX35" s="399"/>
      <c r="DY35" s="399"/>
      <c r="DZ35" s="425"/>
      <c r="EA35" s="399"/>
      <c r="EB35" s="399"/>
      <c r="EC35" s="338"/>
      <c r="ED35" s="399"/>
      <c r="EE35" s="399"/>
      <c r="EF35" s="399"/>
      <c r="EG35" s="425"/>
      <c r="EH35" s="399"/>
      <c r="EI35" s="399"/>
      <c r="EJ35" s="338"/>
      <c r="EK35" s="399"/>
      <c r="EL35" s="399"/>
      <c r="EM35" s="399"/>
      <c r="EN35" s="425"/>
      <c r="EO35" s="399"/>
      <c r="EP35" s="399"/>
      <c r="EQ35" s="338"/>
    </row>
    <row r="36" spans="1:147" ht="10.199999999999999" hidden="1" customHeight="1" outlineLevel="2">
      <c r="A36" s="231" t="s">
        <v>438</v>
      </c>
      <c r="B36" s="43"/>
      <c r="C36" s="100"/>
      <c r="D36" s="100"/>
      <c r="E36" s="64"/>
      <c r="F36" s="100"/>
      <c r="G36" s="100"/>
      <c r="H36" s="100"/>
      <c r="I36" s="100"/>
      <c r="J36" s="100"/>
      <c r="K36" s="100"/>
      <c r="L36" s="100"/>
      <c r="M36" s="100"/>
      <c r="N36" s="176"/>
      <c r="O36" s="399"/>
      <c r="P36" s="399"/>
      <c r="Q36" s="399"/>
      <c r="R36" s="425"/>
      <c r="S36" s="399"/>
      <c r="T36" s="399"/>
      <c r="U36" s="1085"/>
      <c r="V36" s="399"/>
      <c r="W36" s="399"/>
      <c r="X36" s="399"/>
      <c r="Y36" s="425"/>
      <c r="Z36" s="399"/>
      <c r="AA36" s="399"/>
      <c r="AB36" s="1085">
        <v>100</v>
      </c>
      <c r="AC36" s="399"/>
      <c r="AD36" s="399"/>
      <c r="AE36" s="399"/>
      <c r="AF36" s="425"/>
      <c r="AG36" s="399"/>
      <c r="AH36" s="399"/>
      <c r="AI36" s="1085">
        <v>450</v>
      </c>
      <c r="AJ36" s="399"/>
      <c r="AK36" s="399"/>
      <c r="AL36" s="399"/>
      <c r="AM36" s="425"/>
      <c r="AN36" s="399"/>
      <c r="AO36" s="399"/>
      <c r="AP36" s="338"/>
      <c r="AQ36" s="399"/>
      <c r="AR36" s="399"/>
      <c r="AS36" s="399"/>
      <c r="AT36" s="425"/>
      <c r="AU36" s="399"/>
      <c r="AV36" s="399"/>
      <c r="AW36" s="338"/>
      <c r="AX36" s="399"/>
      <c r="AY36" s="399"/>
      <c r="AZ36" s="399"/>
      <c r="BA36" s="425"/>
      <c r="BB36" s="399"/>
      <c r="BC36" s="399"/>
      <c r="BD36" s="338"/>
      <c r="BE36" s="399"/>
      <c r="BF36" s="399"/>
      <c r="BG36" s="399"/>
      <c r="BH36" s="425"/>
      <c r="BI36" s="399"/>
      <c r="BJ36" s="399"/>
      <c r="BK36" s="338"/>
      <c r="BL36" s="399"/>
      <c r="BM36" s="399"/>
      <c r="BN36" s="399"/>
      <c r="BO36" s="425"/>
      <c r="BP36" s="399"/>
      <c r="BQ36" s="399"/>
      <c r="BR36" s="338"/>
      <c r="BS36" s="399"/>
      <c r="BT36" s="399"/>
      <c r="BU36" s="399"/>
      <c r="BV36" s="425"/>
      <c r="BW36" s="399"/>
      <c r="BX36" s="399"/>
      <c r="BY36" s="338"/>
      <c r="BZ36" s="399"/>
      <c r="CA36" s="399"/>
      <c r="CB36" s="399"/>
      <c r="CC36" s="425"/>
      <c r="CD36" s="399"/>
      <c r="CE36" s="399"/>
      <c r="CF36" s="338"/>
      <c r="CG36" s="399"/>
      <c r="CH36" s="399"/>
      <c r="CI36" s="399"/>
      <c r="CJ36" s="425"/>
      <c r="CK36" s="399"/>
      <c r="CL36" s="399"/>
      <c r="CM36" s="338"/>
      <c r="CN36" s="399"/>
      <c r="CO36" s="399"/>
      <c r="CP36" s="399"/>
      <c r="CQ36" s="425"/>
      <c r="CR36" s="399"/>
      <c r="CS36" s="399"/>
      <c r="CT36" s="338"/>
      <c r="CU36" s="399"/>
      <c r="CV36" s="399"/>
      <c r="CW36" s="399"/>
      <c r="CX36" s="425"/>
      <c r="CY36" s="399"/>
      <c r="CZ36" s="399"/>
      <c r="DA36" s="338"/>
      <c r="DB36" s="399"/>
      <c r="DC36" s="399"/>
      <c r="DD36" s="399"/>
      <c r="DE36" s="425"/>
      <c r="DF36" s="399"/>
      <c r="DG36" s="399"/>
      <c r="DH36" s="338"/>
      <c r="DI36" s="399"/>
      <c r="DJ36" s="399"/>
      <c r="DK36" s="399"/>
      <c r="DL36" s="425"/>
      <c r="DM36" s="399"/>
      <c r="DN36" s="399"/>
      <c r="DO36" s="338"/>
      <c r="DP36" s="399"/>
      <c r="DQ36" s="399"/>
      <c r="DR36" s="399"/>
      <c r="DS36" s="425"/>
      <c r="DT36" s="399"/>
      <c r="DU36" s="399"/>
      <c r="DV36" s="338"/>
      <c r="DW36" s="399"/>
      <c r="DX36" s="399"/>
      <c r="DY36" s="399"/>
      <c r="DZ36" s="425"/>
      <c r="EA36" s="399"/>
      <c r="EB36" s="399"/>
      <c r="EC36" s="338"/>
      <c r="ED36" s="399"/>
      <c r="EE36" s="399"/>
      <c r="EF36" s="399"/>
      <c r="EG36" s="425"/>
      <c r="EH36" s="399"/>
      <c r="EI36" s="399"/>
      <c r="EJ36" s="338"/>
      <c r="EK36" s="399"/>
      <c r="EL36" s="399"/>
      <c r="EM36" s="399"/>
      <c r="EN36" s="425"/>
      <c r="EO36" s="399"/>
      <c r="EP36" s="399"/>
      <c r="EQ36" s="338"/>
    </row>
    <row r="37" spans="1:147" ht="10.199999999999999" hidden="1" customHeight="1" outlineLevel="2">
      <c r="A37" s="231" t="s">
        <v>485</v>
      </c>
      <c r="B37" s="43"/>
      <c r="C37" s="100"/>
      <c r="D37" s="100"/>
      <c r="E37" s="64"/>
      <c r="F37" s="100"/>
      <c r="G37" s="100"/>
      <c r="H37" s="100"/>
      <c r="I37" s="100"/>
      <c r="J37" s="100"/>
      <c r="K37" s="100"/>
      <c r="L37" s="100"/>
      <c r="M37" s="100"/>
      <c r="N37" s="176"/>
      <c r="O37" s="321"/>
      <c r="P37" s="321"/>
      <c r="Q37" s="321"/>
      <c r="R37" s="444"/>
      <c r="S37" s="321"/>
      <c r="T37" s="321"/>
      <c r="U37" s="1085"/>
      <c r="V37" s="321"/>
      <c r="W37" s="321"/>
      <c r="X37" s="321"/>
      <c r="Y37" s="444"/>
      <c r="Z37" s="321"/>
      <c r="AA37" s="321"/>
      <c r="AB37" s="1085"/>
      <c r="AC37" s="321"/>
      <c r="AD37" s="321"/>
      <c r="AE37" s="321"/>
      <c r="AF37" s="444"/>
      <c r="AG37" s="321"/>
      <c r="AH37" s="321"/>
      <c r="AI37" s="1085"/>
      <c r="AJ37" s="321"/>
      <c r="AK37" s="321"/>
      <c r="AL37" s="321"/>
      <c r="AM37" s="444"/>
      <c r="AN37" s="321"/>
      <c r="AO37" s="321"/>
      <c r="AP37" s="343"/>
      <c r="AQ37" s="321"/>
      <c r="AR37" s="321"/>
      <c r="AS37" s="321"/>
      <c r="AT37" s="444"/>
      <c r="AU37" s="321"/>
      <c r="AV37" s="321"/>
      <c r="AW37" s="343"/>
      <c r="AX37" s="321"/>
      <c r="AY37" s="321"/>
      <c r="AZ37" s="321"/>
      <c r="BA37" s="444"/>
      <c r="BB37" s="321"/>
      <c r="BC37" s="321"/>
      <c r="BD37" s="343"/>
      <c r="BE37" s="321"/>
      <c r="BF37" s="321"/>
      <c r="BG37" s="321"/>
      <c r="BH37" s="444"/>
      <c r="BI37" s="321"/>
      <c r="BJ37" s="321"/>
      <c r="BK37" s="343"/>
      <c r="BL37" s="321"/>
      <c r="BM37" s="321"/>
      <c r="BN37" s="321"/>
      <c r="BO37" s="444"/>
      <c r="BP37" s="321"/>
      <c r="BQ37" s="321"/>
      <c r="BR37" s="343"/>
      <c r="BS37" s="321"/>
      <c r="BT37" s="321"/>
      <c r="BU37" s="321"/>
      <c r="BV37" s="444"/>
      <c r="BW37" s="321"/>
      <c r="BX37" s="321"/>
      <c r="BY37" s="343"/>
      <c r="BZ37" s="321"/>
      <c r="CA37" s="321"/>
      <c r="CB37" s="321"/>
      <c r="CC37" s="444"/>
      <c r="CD37" s="321"/>
      <c r="CE37" s="321"/>
      <c r="CF37" s="343"/>
      <c r="CG37" s="321"/>
      <c r="CH37" s="321"/>
      <c r="CI37" s="321"/>
      <c r="CJ37" s="444"/>
      <c r="CK37" s="321"/>
      <c r="CL37" s="321"/>
      <c r="CM37" s="343"/>
      <c r="CN37" s="321"/>
      <c r="CO37" s="321"/>
      <c r="CP37" s="321"/>
      <c r="CQ37" s="444"/>
      <c r="CR37" s="321"/>
      <c r="CS37" s="321"/>
      <c r="CT37" s="343"/>
      <c r="CU37" s="321"/>
      <c r="CV37" s="321"/>
      <c r="CW37" s="321"/>
      <c r="CX37" s="444"/>
      <c r="CY37" s="321"/>
      <c r="CZ37" s="321"/>
      <c r="DA37" s="343"/>
      <c r="DB37" s="321"/>
      <c r="DC37" s="321"/>
      <c r="DD37" s="321"/>
      <c r="DE37" s="444"/>
      <c r="DF37" s="321"/>
      <c r="DG37" s="321"/>
      <c r="DH37" s="343"/>
      <c r="DI37" s="321"/>
      <c r="DJ37" s="321"/>
      <c r="DK37" s="321"/>
      <c r="DL37" s="444"/>
      <c r="DM37" s="321"/>
      <c r="DN37" s="321"/>
      <c r="DO37" s="343"/>
      <c r="DP37" s="321"/>
      <c r="DQ37" s="321"/>
      <c r="DR37" s="321"/>
      <c r="DS37" s="444"/>
      <c r="DT37" s="321"/>
      <c r="DU37" s="321"/>
      <c r="DV37" s="343"/>
      <c r="DW37" s="321"/>
      <c r="DX37" s="321"/>
      <c r="DY37" s="321"/>
      <c r="DZ37" s="444"/>
      <c r="EA37" s="321"/>
      <c r="EB37" s="321"/>
      <c r="EC37" s="343"/>
      <c r="ED37" s="321"/>
      <c r="EE37" s="321"/>
      <c r="EF37" s="321"/>
      <c r="EG37" s="444"/>
      <c r="EH37" s="321"/>
      <c r="EI37" s="321"/>
      <c r="EJ37" s="343"/>
      <c r="EK37" s="321"/>
      <c r="EL37" s="321"/>
      <c r="EM37" s="321"/>
      <c r="EN37" s="444"/>
      <c r="EO37" s="321"/>
      <c r="EP37" s="321"/>
      <c r="EQ37" s="343"/>
    </row>
    <row r="38" spans="1:147" ht="10.199999999999999" hidden="1" customHeight="1" outlineLevel="2">
      <c r="A38" s="76" t="s">
        <v>253</v>
      </c>
      <c r="B38" s="43"/>
      <c r="C38" s="100"/>
      <c r="D38" s="100"/>
      <c r="E38" s="64"/>
      <c r="F38" s="100"/>
      <c r="G38" s="100"/>
      <c r="H38" s="100"/>
      <c r="I38" s="100"/>
      <c r="J38" s="100"/>
      <c r="K38" s="100"/>
      <c r="L38" s="100">
        <v>100</v>
      </c>
      <c r="M38" s="100">
        <v>250</v>
      </c>
      <c r="N38" s="176"/>
      <c r="O38" s="324"/>
      <c r="P38" s="324"/>
      <c r="Q38" s="324"/>
      <c r="R38" s="445"/>
      <c r="S38" s="324"/>
      <c r="T38" s="324"/>
      <c r="U38" s="1085"/>
      <c r="V38" s="324"/>
      <c r="W38" s="324"/>
      <c r="X38" s="324"/>
      <c r="Y38" s="445"/>
      <c r="Z38" s="324"/>
      <c r="AA38" s="324"/>
      <c r="AB38" s="1085"/>
      <c r="AC38" s="324"/>
      <c r="AD38" s="324"/>
      <c r="AE38" s="324"/>
      <c r="AF38" s="445"/>
      <c r="AG38" s="324"/>
      <c r="AH38" s="324"/>
      <c r="AI38" s="1085"/>
      <c r="AJ38" s="324"/>
      <c r="AK38" s="324"/>
      <c r="AL38" s="324"/>
      <c r="AM38" s="445"/>
      <c r="AN38" s="324"/>
      <c r="AO38" s="324"/>
      <c r="AP38" s="344"/>
      <c r="AQ38" s="324"/>
      <c r="AR38" s="324"/>
      <c r="AS38" s="324"/>
      <c r="AT38" s="445"/>
      <c r="AU38" s="324"/>
      <c r="AV38" s="324"/>
      <c r="AW38" s="344"/>
      <c r="AX38" s="324"/>
      <c r="AY38" s="324"/>
      <c r="AZ38" s="324"/>
      <c r="BA38" s="445"/>
      <c r="BB38" s="324"/>
      <c r="BC38" s="324"/>
      <c r="BD38" s="344"/>
      <c r="BE38" s="324"/>
      <c r="BF38" s="324"/>
      <c r="BG38" s="324"/>
      <c r="BH38" s="445"/>
      <c r="BI38" s="324"/>
      <c r="BJ38" s="324"/>
      <c r="BK38" s="344"/>
      <c r="BL38" s="324"/>
      <c r="BM38" s="324"/>
      <c r="BN38" s="324"/>
      <c r="BO38" s="445"/>
      <c r="BP38" s="324"/>
      <c r="BQ38" s="324"/>
      <c r="BR38" s="344"/>
      <c r="BS38" s="324"/>
      <c r="BT38" s="324"/>
      <c r="BU38" s="324"/>
      <c r="BV38" s="445"/>
      <c r="BW38" s="324"/>
      <c r="BX38" s="324"/>
      <c r="BY38" s="344"/>
      <c r="BZ38" s="324"/>
      <c r="CA38" s="324"/>
      <c r="CB38" s="324"/>
      <c r="CC38" s="445"/>
      <c r="CD38" s="324"/>
      <c r="CE38" s="324"/>
      <c r="CF38" s="344"/>
      <c r="CG38" s="324"/>
      <c r="CH38" s="324"/>
      <c r="CI38" s="324"/>
      <c r="CJ38" s="445"/>
      <c r="CK38" s="324"/>
      <c r="CL38" s="324"/>
      <c r="CM38" s="344"/>
      <c r="CN38" s="324"/>
      <c r="CO38" s="324"/>
      <c r="CP38" s="324"/>
      <c r="CQ38" s="445"/>
      <c r="CR38" s="324"/>
      <c r="CS38" s="324"/>
      <c r="CT38" s="344"/>
      <c r="CU38" s="324"/>
      <c r="CV38" s="324"/>
      <c r="CW38" s="324"/>
      <c r="CX38" s="445"/>
      <c r="CY38" s="324"/>
      <c r="CZ38" s="324"/>
      <c r="DA38" s="344"/>
      <c r="DB38" s="324"/>
      <c r="DC38" s="324"/>
      <c r="DD38" s="324"/>
      <c r="DE38" s="445"/>
      <c r="DF38" s="324"/>
      <c r="DG38" s="324"/>
      <c r="DH38" s="344"/>
      <c r="DI38" s="324"/>
      <c r="DJ38" s="324"/>
      <c r="DK38" s="324"/>
      <c r="DL38" s="445"/>
      <c r="DM38" s="324"/>
      <c r="DN38" s="324"/>
      <c r="DO38" s="344"/>
      <c r="DP38" s="324"/>
      <c r="DQ38" s="324"/>
      <c r="DR38" s="324"/>
      <c r="DS38" s="445"/>
      <c r="DT38" s="324"/>
      <c r="DU38" s="324"/>
      <c r="DV38" s="344"/>
      <c r="DW38" s="324"/>
      <c r="DX38" s="324"/>
      <c r="DY38" s="324"/>
      <c r="DZ38" s="445"/>
      <c r="EA38" s="324"/>
      <c r="EB38" s="324"/>
      <c r="EC38" s="344"/>
      <c r="ED38" s="324"/>
      <c r="EE38" s="324"/>
      <c r="EF38" s="324"/>
      <c r="EG38" s="445"/>
      <c r="EH38" s="324"/>
      <c r="EI38" s="324"/>
      <c r="EJ38" s="344"/>
      <c r="EK38" s="324"/>
      <c r="EL38" s="324"/>
      <c r="EM38" s="324"/>
      <c r="EN38" s="445"/>
      <c r="EO38" s="324"/>
      <c r="EP38" s="324"/>
      <c r="EQ38" s="344"/>
    </row>
    <row r="39" spans="1:147" ht="10.199999999999999" hidden="1" customHeight="1" outlineLevel="2">
      <c r="A39" s="231" t="s">
        <v>140</v>
      </c>
      <c r="B39" s="43"/>
      <c r="C39" s="107">
        <f t="shared" ref="C39:M39" si="249">C42-C38-C35-C33-C34</f>
        <v>793</v>
      </c>
      <c r="D39" s="107">
        <f t="shared" si="249"/>
        <v>745</v>
      </c>
      <c r="E39" s="107">
        <f t="shared" si="249"/>
        <v>687</v>
      </c>
      <c r="F39" s="107">
        <f t="shared" si="249"/>
        <v>751</v>
      </c>
      <c r="G39" s="107">
        <f t="shared" si="249"/>
        <v>846</v>
      </c>
      <c r="H39" s="107">
        <f t="shared" si="249"/>
        <v>1164</v>
      </c>
      <c r="I39" s="107">
        <f t="shared" si="249"/>
        <v>975</v>
      </c>
      <c r="J39" s="107">
        <f t="shared" si="249"/>
        <v>760</v>
      </c>
      <c r="K39" s="107">
        <f t="shared" si="249"/>
        <v>793</v>
      </c>
      <c r="L39" s="107">
        <f t="shared" si="249"/>
        <v>711</v>
      </c>
      <c r="M39" s="107">
        <f t="shared" si="249"/>
        <v>817</v>
      </c>
      <c r="N39" s="135">
        <f>N42</f>
        <v>2431</v>
      </c>
      <c r="O39" s="321"/>
      <c r="P39" s="321"/>
      <c r="Q39" s="321"/>
      <c r="R39" s="444"/>
      <c r="S39" s="321"/>
      <c r="T39" s="321"/>
      <c r="U39" s="1085">
        <f>U42</f>
        <v>2433</v>
      </c>
      <c r="V39" s="321"/>
      <c r="W39" s="321"/>
      <c r="X39" s="321"/>
      <c r="Y39" s="444"/>
      <c r="Z39" s="321"/>
      <c r="AA39" s="321"/>
      <c r="AB39" s="1085">
        <f>AB42-AB36</f>
        <v>2567</v>
      </c>
      <c r="AC39" s="321"/>
      <c r="AD39" s="321"/>
      <c r="AE39" s="321"/>
      <c r="AF39" s="444"/>
      <c r="AG39" s="321"/>
      <c r="AH39" s="321"/>
      <c r="AI39" s="1085">
        <f>AI42-AI36</f>
        <v>2252</v>
      </c>
      <c r="AJ39" s="321"/>
      <c r="AK39" s="321"/>
      <c r="AL39" s="321"/>
      <c r="AM39" s="444"/>
      <c r="AN39" s="321"/>
      <c r="AO39" s="321"/>
      <c r="AP39" s="343"/>
      <c r="AQ39" s="321"/>
      <c r="AR39" s="321"/>
      <c r="AS39" s="321"/>
      <c r="AT39" s="444"/>
      <c r="AU39" s="321"/>
      <c r="AV39" s="321"/>
      <c r="AW39" s="343"/>
      <c r="AX39" s="321"/>
      <c r="AY39" s="321"/>
      <c r="AZ39" s="321"/>
      <c r="BA39" s="444"/>
      <c r="BB39" s="321"/>
      <c r="BC39" s="321"/>
      <c r="BD39" s="343"/>
      <c r="BE39" s="321"/>
      <c r="BF39" s="321"/>
      <c r="BG39" s="321"/>
      <c r="BH39" s="444"/>
      <c r="BI39" s="321"/>
      <c r="BJ39" s="321"/>
      <c r="BK39" s="343"/>
      <c r="BL39" s="321"/>
      <c r="BM39" s="321"/>
      <c r="BN39" s="321"/>
      <c r="BO39" s="444"/>
      <c r="BP39" s="321"/>
      <c r="BQ39" s="321"/>
      <c r="BR39" s="343"/>
      <c r="BS39" s="321"/>
      <c r="BT39" s="321"/>
      <c r="BU39" s="321"/>
      <c r="BV39" s="444"/>
      <c r="BW39" s="321"/>
      <c r="BX39" s="321"/>
      <c r="BY39" s="343"/>
      <c r="BZ39" s="321"/>
      <c r="CA39" s="321"/>
      <c r="CB39" s="321"/>
      <c r="CC39" s="444"/>
      <c r="CD39" s="321"/>
      <c r="CE39" s="321"/>
      <c r="CF39" s="343"/>
      <c r="CG39" s="321"/>
      <c r="CH39" s="321"/>
      <c r="CI39" s="321"/>
      <c r="CJ39" s="444"/>
      <c r="CK39" s="321"/>
      <c r="CL39" s="321"/>
      <c r="CM39" s="343"/>
      <c r="CN39" s="321"/>
      <c r="CO39" s="321"/>
      <c r="CP39" s="321"/>
      <c r="CQ39" s="444"/>
      <c r="CR39" s="321"/>
      <c r="CS39" s="321"/>
      <c r="CT39" s="343"/>
      <c r="CU39" s="321"/>
      <c r="CV39" s="321"/>
      <c r="CW39" s="321"/>
      <c r="CX39" s="444"/>
      <c r="CY39" s="321"/>
      <c r="CZ39" s="321"/>
      <c r="DA39" s="343"/>
      <c r="DB39" s="321"/>
      <c r="DC39" s="321"/>
      <c r="DD39" s="321"/>
      <c r="DE39" s="444"/>
      <c r="DF39" s="321"/>
      <c r="DG39" s="321"/>
      <c r="DH39" s="343"/>
      <c r="DI39" s="321"/>
      <c r="DJ39" s="321"/>
      <c r="DK39" s="321"/>
      <c r="DL39" s="444"/>
      <c r="DM39" s="321"/>
      <c r="DN39" s="321"/>
      <c r="DO39" s="343"/>
      <c r="DP39" s="321"/>
      <c r="DQ39" s="321"/>
      <c r="DR39" s="321"/>
      <c r="DS39" s="444"/>
      <c r="DT39" s="321"/>
      <c r="DU39" s="321"/>
      <c r="DV39" s="343"/>
      <c r="DW39" s="321"/>
      <c r="DX39" s="321"/>
      <c r="DY39" s="321"/>
      <c r="DZ39" s="444"/>
      <c r="EA39" s="321"/>
      <c r="EB39" s="321"/>
      <c r="EC39" s="343"/>
      <c r="ED39" s="321"/>
      <c r="EE39" s="321"/>
      <c r="EF39" s="321"/>
      <c r="EG39" s="444"/>
      <c r="EH39" s="321"/>
      <c r="EI39" s="321"/>
      <c r="EJ39" s="343"/>
      <c r="EK39" s="321"/>
      <c r="EL39" s="321"/>
      <c r="EM39" s="321"/>
      <c r="EN39" s="444"/>
      <c r="EO39" s="321"/>
      <c r="EP39" s="321"/>
      <c r="EQ39" s="343"/>
    </row>
    <row r="40" spans="1:147" ht="10.199999999999999" hidden="1" customHeight="1" outlineLevel="1">
      <c r="A40" s="108" t="s">
        <v>633</v>
      </c>
      <c r="B40" s="43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35"/>
      <c r="O40" s="409"/>
      <c r="P40" s="409"/>
      <c r="Q40" s="409"/>
      <c r="R40" s="438"/>
      <c r="S40" s="409"/>
      <c r="T40" s="409"/>
      <c r="U40" s="1280"/>
      <c r="V40" s="409"/>
      <c r="W40" s="409"/>
      <c r="X40" s="409"/>
      <c r="Y40" s="438"/>
      <c r="Z40" s="409"/>
      <c r="AA40" s="409"/>
      <c r="AB40" s="1280"/>
      <c r="AC40" s="409"/>
      <c r="AD40" s="409"/>
      <c r="AE40" s="409"/>
      <c r="AF40" s="438"/>
      <c r="AG40" s="409"/>
      <c r="AH40" s="409"/>
      <c r="AI40" s="1280"/>
      <c r="AJ40" s="409"/>
      <c r="AK40" s="409"/>
      <c r="AL40" s="409"/>
      <c r="AM40" s="438"/>
      <c r="AN40" s="409"/>
      <c r="AO40" s="409"/>
      <c r="AP40" s="1280"/>
      <c r="AQ40" s="409"/>
      <c r="AR40" s="409"/>
      <c r="AS40" s="409"/>
      <c r="AT40" s="438"/>
      <c r="AU40" s="409"/>
      <c r="AV40" s="409"/>
      <c r="AW40" s="1280"/>
      <c r="AX40" s="409"/>
      <c r="AY40" s="409"/>
      <c r="AZ40" s="409"/>
      <c r="BA40" s="438"/>
      <c r="BB40" s="409"/>
      <c r="BC40" s="409"/>
      <c r="BD40" s="1280"/>
      <c r="BE40" s="409"/>
      <c r="BF40" s="409"/>
      <c r="BG40" s="409"/>
      <c r="BH40" s="438"/>
      <c r="BI40" s="409"/>
      <c r="BJ40" s="409"/>
      <c r="BK40" s="1280">
        <f>BK42-BK41</f>
        <v>2194</v>
      </c>
      <c r="BL40" s="409"/>
      <c r="BM40" s="409"/>
      <c r="BN40" s="409"/>
      <c r="BO40" s="438"/>
      <c r="BP40" s="409"/>
      <c r="BQ40" s="409"/>
      <c r="BR40" s="1280">
        <f>BR42-BR41</f>
        <v>2365</v>
      </c>
      <c r="BS40" s="409"/>
      <c r="BT40" s="409"/>
      <c r="BU40" s="409"/>
      <c r="BV40" s="438"/>
      <c r="BW40" s="409"/>
      <c r="BX40" s="409"/>
      <c r="BY40" s="1280">
        <f>BY42-BY41</f>
        <v>2396</v>
      </c>
      <c r="BZ40" s="409"/>
      <c r="CA40" s="409"/>
      <c r="CB40" s="409"/>
      <c r="CC40" s="438"/>
      <c r="CD40" s="409"/>
      <c r="CE40" s="409"/>
      <c r="CF40" s="1280">
        <f>CF42-CF41</f>
        <v>2212</v>
      </c>
      <c r="CG40" s="409"/>
      <c r="CH40" s="409"/>
      <c r="CI40" s="409"/>
      <c r="CJ40" s="438"/>
      <c r="CK40" s="409"/>
      <c r="CL40" s="409"/>
      <c r="CM40" s="1280">
        <f>CM42-CM41</f>
        <v>2567</v>
      </c>
      <c r="CN40" s="409"/>
      <c r="CO40" s="409"/>
      <c r="CP40" s="409"/>
      <c r="CQ40" s="438"/>
      <c r="CR40" s="409"/>
      <c r="CS40" s="409"/>
      <c r="CT40" s="1280">
        <f>CT42-CT41</f>
        <v>2658</v>
      </c>
      <c r="CU40" s="409"/>
      <c r="CV40" s="409"/>
      <c r="CW40" s="409"/>
      <c r="CX40" s="438"/>
      <c r="CY40" s="409"/>
      <c r="CZ40" s="409"/>
      <c r="DA40" s="1280">
        <f>DA42-DA41</f>
        <v>2637</v>
      </c>
      <c r="DB40" s="409"/>
      <c r="DC40" s="409"/>
      <c r="DD40" s="409"/>
      <c r="DE40" s="438"/>
      <c r="DF40" s="409"/>
      <c r="DG40" s="409"/>
      <c r="DH40" s="1280">
        <f>DH42-DH41</f>
        <v>2537</v>
      </c>
      <c r="DI40" s="409"/>
      <c r="DJ40" s="409"/>
      <c r="DK40" s="409"/>
      <c r="DL40" s="438"/>
      <c r="DM40" s="409"/>
      <c r="DN40" s="409"/>
      <c r="DO40" s="536">
        <f>DO42-DO41</f>
        <v>2771.0910690262472</v>
      </c>
      <c r="DP40" s="409"/>
      <c r="DQ40" s="409"/>
      <c r="DR40" s="409"/>
      <c r="DS40" s="438"/>
      <c r="DT40" s="409"/>
      <c r="DU40" s="409"/>
      <c r="DV40" s="536">
        <f>DV42-DV41</f>
        <v>3146.066910543856</v>
      </c>
      <c r="DW40" s="409"/>
      <c r="DX40" s="409"/>
      <c r="DY40" s="409"/>
      <c r="DZ40" s="438"/>
      <c r="EA40" s="409"/>
      <c r="EB40" s="409"/>
      <c r="EC40" s="536">
        <f>EC42-EC41</f>
        <v>3474.4108007755331</v>
      </c>
      <c r="ED40" s="409"/>
      <c r="EE40" s="409"/>
      <c r="EF40" s="409"/>
      <c r="EG40" s="438"/>
      <c r="EH40" s="409"/>
      <c r="EI40" s="409"/>
      <c r="EJ40" s="536">
        <f>EJ42-EJ41</f>
        <v>3627.6035258859647</v>
      </c>
      <c r="EK40" s="409"/>
      <c r="EL40" s="409"/>
      <c r="EM40" s="409"/>
      <c r="EN40" s="438"/>
      <c r="EO40" s="409"/>
      <c r="EP40" s="409"/>
      <c r="EQ40" s="536">
        <f>EQ42-EQ41</f>
        <v>3734.8552765267941</v>
      </c>
    </row>
    <row r="41" spans="1:147" ht="10.199999999999999" hidden="1" customHeight="1" outlineLevel="1">
      <c r="A41" s="108" t="s">
        <v>644</v>
      </c>
      <c r="B41" s="43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35"/>
      <c r="O41" s="409"/>
      <c r="P41" s="409"/>
      <c r="Q41" s="409"/>
      <c r="R41" s="438"/>
      <c r="S41" s="409"/>
      <c r="T41" s="409"/>
      <c r="U41" s="1300"/>
      <c r="V41" s="409"/>
      <c r="W41" s="409"/>
      <c r="X41" s="409"/>
      <c r="Y41" s="438"/>
      <c r="Z41" s="409"/>
      <c r="AA41" s="409"/>
      <c r="AB41" s="1300"/>
      <c r="AC41" s="409"/>
      <c r="AD41" s="409"/>
      <c r="AE41" s="409"/>
      <c r="AF41" s="438"/>
      <c r="AG41" s="409"/>
      <c r="AH41" s="409"/>
      <c r="AI41" s="1300"/>
      <c r="AJ41" s="409"/>
      <c r="AK41" s="409"/>
      <c r="AL41" s="409"/>
      <c r="AM41" s="438"/>
      <c r="AN41" s="409"/>
      <c r="AO41" s="409"/>
      <c r="AP41" s="1300"/>
      <c r="AQ41" s="409"/>
      <c r="AR41" s="409"/>
      <c r="AS41" s="409"/>
      <c r="AT41" s="438"/>
      <c r="AU41" s="409"/>
      <c r="AV41" s="409"/>
      <c r="AW41" s="1300"/>
      <c r="AX41" s="409"/>
      <c r="AY41" s="409"/>
      <c r="AZ41" s="409"/>
      <c r="BA41" s="438"/>
      <c r="BB41" s="409"/>
      <c r="BC41" s="409"/>
      <c r="BD41" s="1300"/>
      <c r="BE41" s="409"/>
      <c r="BF41" s="409"/>
      <c r="BG41" s="409"/>
      <c r="BH41" s="438"/>
      <c r="BI41" s="409"/>
      <c r="BJ41" s="409"/>
      <c r="BK41" s="1300">
        <v>20</v>
      </c>
      <c r="BL41" s="409"/>
      <c r="BM41" s="409"/>
      <c r="BN41" s="409"/>
      <c r="BO41" s="438"/>
      <c r="BP41" s="409"/>
      <c r="BQ41" s="409"/>
      <c r="BR41" s="1300">
        <v>40</v>
      </c>
      <c r="BS41" s="409"/>
      <c r="BT41" s="409"/>
      <c r="BU41" s="409"/>
      <c r="BV41" s="438"/>
      <c r="BW41" s="409"/>
      <c r="BX41" s="409"/>
      <c r="BY41" s="1300">
        <v>40</v>
      </c>
      <c r="BZ41" s="409"/>
      <c r="CA41" s="409"/>
      <c r="CB41" s="409"/>
      <c r="CC41" s="438"/>
      <c r="CD41" s="409"/>
      <c r="CE41" s="409"/>
      <c r="CF41" s="1300">
        <v>40</v>
      </c>
      <c r="CG41" s="409"/>
      <c r="CH41" s="409"/>
      <c r="CI41" s="409"/>
      <c r="CJ41" s="438"/>
      <c r="CK41" s="409"/>
      <c r="CL41" s="409"/>
      <c r="CM41" s="1300">
        <v>40</v>
      </c>
      <c r="CN41" s="409"/>
      <c r="CO41" s="409"/>
      <c r="CP41" s="409"/>
      <c r="CQ41" s="438"/>
      <c r="CR41" s="409"/>
      <c r="CS41" s="409"/>
      <c r="CT41" s="1300">
        <v>40</v>
      </c>
      <c r="CU41" s="409"/>
      <c r="CV41" s="409"/>
      <c r="CW41" s="409"/>
      <c r="CX41" s="438"/>
      <c r="CY41" s="409"/>
      <c r="CZ41" s="409"/>
      <c r="DA41" s="1300">
        <v>39</v>
      </c>
      <c r="DB41" s="409"/>
      <c r="DC41" s="409"/>
      <c r="DD41" s="409"/>
      <c r="DE41" s="438"/>
      <c r="DF41" s="409"/>
      <c r="DG41" s="409"/>
      <c r="DH41" s="1300">
        <v>0</v>
      </c>
      <c r="DI41" s="409"/>
      <c r="DJ41" s="409"/>
      <c r="DK41" s="409"/>
      <c r="DL41" s="438"/>
      <c r="DM41" s="409"/>
      <c r="DN41" s="409"/>
      <c r="DO41" s="408">
        <v>0</v>
      </c>
      <c r="DP41" s="409"/>
      <c r="DQ41" s="409"/>
      <c r="DR41" s="409"/>
      <c r="DS41" s="438"/>
      <c r="DT41" s="409"/>
      <c r="DU41" s="409"/>
      <c r="DV41" s="408">
        <v>0</v>
      </c>
      <c r="DW41" s="409"/>
      <c r="DX41" s="409"/>
      <c r="DY41" s="409"/>
      <c r="DZ41" s="438"/>
      <c r="EA41" s="409"/>
      <c r="EB41" s="409"/>
      <c r="EC41" s="408">
        <v>0</v>
      </c>
      <c r="ED41" s="409"/>
      <c r="EE41" s="409"/>
      <c r="EF41" s="409"/>
      <c r="EG41" s="438"/>
      <c r="EH41" s="409"/>
      <c r="EI41" s="409"/>
      <c r="EJ41" s="408">
        <v>0</v>
      </c>
      <c r="EK41" s="409"/>
      <c r="EL41" s="409"/>
      <c r="EM41" s="409"/>
      <c r="EN41" s="438"/>
      <c r="EO41" s="409"/>
      <c r="EP41" s="409"/>
      <c r="EQ41" s="408">
        <v>0</v>
      </c>
    </row>
    <row r="42" spans="1:147" ht="10.199999999999999" customHeight="1" collapsed="1">
      <c r="A42" s="32" t="s">
        <v>724</v>
      </c>
      <c r="B42" s="120"/>
      <c r="C42" s="120">
        <f>+Divisional!B115</f>
        <v>1425</v>
      </c>
      <c r="D42" s="120">
        <f>+Divisional!C115</f>
        <v>1682</v>
      </c>
      <c r="E42" s="120">
        <f>+Divisional!D115</f>
        <v>1819</v>
      </c>
      <c r="F42" s="120">
        <f>+Divisional!E115</f>
        <v>1734</v>
      </c>
      <c r="G42" s="120">
        <f>+Divisional!F115</f>
        <v>1659</v>
      </c>
      <c r="H42" s="120">
        <f>+Divisional!G115</f>
        <v>2035</v>
      </c>
      <c r="I42" s="120">
        <f>+Divisional!H115</f>
        <v>2175</v>
      </c>
      <c r="J42" s="120">
        <f>+Divisional!I115</f>
        <v>2210</v>
      </c>
      <c r="K42" s="120">
        <f>+Divisional!J115</f>
        <v>2293</v>
      </c>
      <c r="L42" s="120">
        <f>+Divisional!K115</f>
        <v>2311</v>
      </c>
      <c r="M42" s="120">
        <f>+Divisional!L115</f>
        <v>2467</v>
      </c>
      <c r="N42" s="120">
        <f>+Divisional!M115</f>
        <v>2431</v>
      </c>
      <c r="O42" s="120">
        <f>+Divisional!N115</f>
        <v>482</v>
      </c>
      <c r="P42" s="120">
        <f>+Divisional!O115</f>
        <v>613</v>
      </c>
      <c r="Q42" s="120">
        <f>+Divisional!P115</f>
        <v>586</v>
      </c>
      <c r="R42" s="691">
        <f>+Divisional!Q115</f>
        <v>752</v>
      </c>
      <c r="S42" s="120">
        <f>+Divisional!R115</f>
        <v>1095</v>
      </c>
      <c r="T42" s="120">
        <f>+Divisional!S115</f>
        <v>1338</v>
      </c>
      <c r="U42" s="1299">
        <f>+Divisional!T115</f>
        <v>2433</v>
      </c>
      <c r="V42" s="120">
        <f>+Divisional!U115</f>
        <v>576</v>
      </c>
      <c r="W42" s="120">
        <f>+Divisional!V115</f>
        <v>649</v>
      </c>
      <c r="X42" s="120">
        <f>+Divisional!W115</f>
        <v>644</v>
      </c>
      <c r="Y42" s="691">
        <f>+Divisional!X115</f>
        <v>798</v>
      </c>
      <c r="Z42" s="120">
        <f>+Divisional!Y115</f>
        <v>1225</v>
      </c>
      <c r="AA42" s="120">
        <f>+Divisional!Z115</f>
        <v>1442</v>
      </c>
      <c r="AB42" s="1299">
        <f>+Divisional!AA115</f>
        <v>2667</v>
      </c>
      <c r="AC42" s="120">
        <f>+Divisional!AB115</f>
        <v>548</v>
      </c>
      <c r="AD42" s="120">
        <f>+Divisional!AC115</f>
        <v>600</v>
      </c>
      <c r="AE42" s="120">
        <f>+Divisional!AD115</f>
        <v>584</v>
      </c>
      <c r="AF42" s="691">
        <f>+Divisional!AE115</f>
        <v>970</v>
      </c>
      <c r="AG42" s="120">
        <f>+Divisional!AF115</f>
        <v>1148</v>
      </c>
      <c r="AH42" s="120">
        <f>+Divisional!AG115</f>
        <v>1554</v>
      </c>
      <c r="AI42" s="1299">
        <f>+Divisional!AH115</f>
        <v>2702</v>
      </c>
      <c r="AJ42" s="120">
        <f>+Divisional!AI115</f>
        <v>380</v>
      </c>
      <c r="AK42" s="120">
        <f>+Divisional!AJ115</f>
        <v>577</v>
      </c>
      <c r="AL42" s="120">
        <f>+Divisional!AK115</f>
        <v>522</v>
      </c>
      <c r="AM42" s="691">
        <f>+Divisional!AL115</f>
        <v>668</v>
      </c>
      <c r="AN42" s="120">
        <f>+Divisional!AM115</f>
        <v>957</v>
      </c>
      <c r="AO42" s="120">
        <f>+Divisional!AN115</f>
        <v>1190</v>
      </c>
      <c r="AP42" s="1299">
        <f>+Divisional!AO115</f>
        <v>2147</v>
      </c>
      <c r="AQ42" s="120">
        <f>+Divisional!AP115</f>
        <v>403</v>
      </c>
      <c r="AR42" s="120">
        <f>+Divisional!AQ115</f>
        <v>525</v>
      </c>
      <c r="AS42" s="120">
        <f>+Divisional!AR115</f>
        <v>440</v>
      </c>
      <c r="AT42" s="691">
        <f>+Divisional!AS115</f>
        <v>643</v>
      </c>
      <c r="AU42" s="120">
        <f>+Divisional!AT115</f>
        <v>928</v>
      </c>
      <c r="AV42" s="120">
        <f>+Divisional!AU115</f>
        <v>1083</v>
      </c>
      <c r="AW42" s="1299">
        <f>+Divisional!AV115</f>
        <v>2011</v>
      </c>
      <c r="AX42" s="120">
        <f>+Divisional!AW115</f>
        <v>374</v>
      </c>
      <c r="AY42" s="120">
        <f>+Divisional!AX115</f>
        <v>554</v>
      </c>
      <c r="AZ42" s="120">
        <f>+Divisional!AY115</f>
        <v>375</v>
      </c>
      <c r="BA42" s="691">
        <f>+Divisional!AZ115</f>
        <v>539</v>
      </c>
      <c r="BB42" s="120">
        <f>+Divisional!BA115</f>
        <v>928</v>
      </c>
      <c r="BC42" s="120">
        <f>+Divisional!BB115</f>
        <v>914</v>
      </c>
      <c r="BD42" s="1299">
        <f>+Divisional!BC115</f>
        <v>1842</v>
      </c>
      <c r="BE42" s="120">
        <f>+Divisional!BD115</f>
        <v>430</v>
      </c>
      <c r="BF42" s="120">
        <f>+Divisional!BE115</f>
        <v>545</v>
      </c>
      <c r="BG42" s="120">
        <f>+Divisional!BF115</f>
        <v>481</v>
      </c>
      <c r="BH42" s="691">
        <f>+Divisional!BG115</f>
        <v>758</v>
      </c>
      <c r="BI42" s="120">
        <f>+Divisional!BH115</f>
        <v>975</v>
      </c>
      <c r="BJ42" s="120">
        <f>+Divisional!BI115</f>
        <v>1239</v>
      </c>
      <c r="BK42" s="1299">
        <f>+Divisional!BJ115</f>
        <v>2214</v>
      </c>
      <c r="BL42" s="120">
        <f>+Divisional!BK115</f>
        <v>527</v>
      </c>
      <c r="BM42" s="120">
        <f>+Divisional!BL115</f>
        <v>481</v>
      </c>
      <c r="BN42" s="120">
        <f>+Divisional!BM115</f>
        <v>487</v>
      </c>
      <c r="BO42" s="691">
        <f>+Divisional!BN115</f>
        <v>910</v>
      </c>
      <c r="BP42" s="120">
        <f>+Divisional!BO115</f>
        <v>1008</v>
      </c>
      <c r="BQ42" s="120">
        <f>+Divisional!BP115</f>
        <v>1397</v>
      </c>
      <c r="BR42" s="1299">
        <f>+Divisional!BQ115</f>
        <v>2405</v>
      </c>
      <c r="BS42" s="120">
        <f>+Divisional!BY115</f>
        <v>543</v>
      </c>
      <c r="BT42" s="120">
        <f>+Divisional!BZ115</f>
        <v>603</v>
      </c>
      <c r="BU42" s="120">
        <f>+Divisional!CA115</f>
        <v>528</v>
      </c>
      <c r="BV42" s="691">
        <f>+Divisional!CB115</f>
        <v>762</v>
      </c>
      <c r="BW42" s="120">
        <f>+Divisional!CC115</f>
        <v>1146</v>
      </c>
      <c r="BX42" s="120">
        <f>+Divisional!CD115</f>
        <v>1290</v>
      </c>
      <c r="BY42" s="1299">
        <f>+Divisional!CE115</f>
        <v>2436</v>
      </c>
      <c r="BZ42" s="120">
        <f>+Divisional!CF115</f>
        <v>520</v>
      </c>
      <c r="CA42" s="120">
        <f>+Divisional!CG115</f>
        <v>519</v>
      </c>
      <c r="CB42" s="120">
        <f>+Divisional!CH115</f>
        <v>545</v>
      </c>
      <c r="CC42" s="691">
        <f>+Divisional!CI115</f>
        <v>668</v>
      </c>
      <c r="CD42" s="120">
        <f>+Divisional!CJ115</f>
        <v>1039</v>
      </c>
      <c r="CE42" s="120">
        <f>+Divisional!CK115</f>
        <v>1213</v>
      </c>
      <c r="CF42" s="1299">
        <f>+Divisional!CL115</f>
        <v>2252</v>
      </c>
      <c r="CG42" s="120">
        <f>+Divisional!CM115</f>
        <v>477</v>
      </c>
      <c r="CH42" s="120">
        <f>+Divisional!CN115</f>
        <v>562</v>
      </c>
      <c r="CI42" s="120">
        <f>+Divisional!CO115</f>
        <v>545</v>
      </c>
      <c r="CJ42" s="691">
        <f>+Divisional!CP115</f>
        <v>1023</v>
      </c>
      <c r="CK42" s="120">
        <f>+Divisional!CQ115</f>
        <v>1039</v>
      </c>
      <c r="CL42" s="120">
        <f>+Divisional!CR115</f>
        <v>1568</v>
      </c>
      <c r="CM42" s="1299">
        <f>+Divisional!CS115</f>
        <v>2607</v>
      </c>
      <c r="CN42" s="120">
        <f>+Divisional!CT115</f>
        <v>569</v>
      </c>
      <c r="CO42" s="120">
        <f>+Divisional!CU115</f>
        <v>627</v>
      </c>
      <c r="CP42" s="120">
        <f>+Divisional!CV115</f>
        <v>602</v>
      </c>
      <c r="CQ42" s="691">
        <f>+Divisional!CW115</f>
        <v>900</v>
      </c>
      <c r="CR42" s="120">
        <f>+Divisional!CX115</f>
        <v>1196</v>
      </c>
      <c r="CS42" s="120">
        <f>+Divisional!CY115</f>
        <v>1502</v>
      </c>
      <c r="CT42" s="1299">
        <f>+Divisional!CZ115</f>
        <v>2698</v>
      </c>
      <c r="CU42" s="120">
        <f>+Divisional!DA115</f>
        <v>614</v>
      </c>
      <c r="CV42" s="120">
        <f>+Divisional!DB115</f>
        <v>687</v>
      </c>
      <c r="CW42" s="120">
        <f>+Divisional!DC115</f>
        <v>618</v>
      </c>
      <c r="CX42" s="691">
        <f>+Divisional!DD115</f>
        <v>757</v>
      </c>
      <c r="CY42" s="120">
        <f>+Divisional!DE115</f>
        <v>1301</v>
      </c>
      <c r="CZ42" s="120">
        <f>+Divisional!DF115</f>
        <v>1375</v>
      </c>
      <c r="DA42" s="1299">
        <f>+Divisional!DG115</f>
        <v>2676</v>
      </c>
      <c r="DB42" s="120">
        <f>+Divisional!DH115</f>
        <v>545</v>
      </c>
      <c r="DC42" s="120">
        <f>+Divisional!DI115</f>
        <v>596</v>
      </c>
      <c r="DD42" s="120">
        <f>+Divisional!DJ115</f>
        <v>587</v>
      </c>
      <c r="DE42" s="691">
        <f>+Divisional!DK115</f>
        <v>809</v>
      </c>
      <c r="DF42" s="120">
        <f>+Divisional!DL115</f>
        <v>1141</v>
      </c>
      <c r="DG42" s="120">
        <f>+Divisional!DM115</f>
        <v>1396</v>
      </c>
      <c r="DH42" s="1299">
        <f>+Divisional!DN115</f>
        <v>2537</v>
      </c>
      <c r="DI42" s="120">
        <f>+Divisional!DO115</f>
        <v>566</v>
      </c>
      <c r="DJ42" s="120">
        <f>+Divisional!DP115</f>
        <v>628</v>
      </c>
      <c r="DK42" s="446">
        <f t="shared" ref="DK42:EQ42" si="250">-DK356</f>
        <v>614.76927343505542</v>
      </c>
      <c r="DL42" s="447">
        <f t="shared" si="250"/>
        <v>962.32179559119174</v>
      </c>
      <c r="DM42" s="120">
        <f>+Divisional!DS115</f>
        <v>1194</v>
      </c>
      <c r="DN42" s="446">
        <f t="shared" si="250"/>
        <v>1577.0910690262472</v>
      </c>
      <c r="DO42" s="400">
        <f t="shared" si="250"/>
        <v>2771.0910690262472</v>
      </c>
      <c r="DP42" s="446">
        <f t="shared" si="250"/>
        <v>757.52541534012732</v>
      </c>
      <c r="DQ42" s="446">
        <f t="shared" si="250"/>
        <v>800.25592046607369</v>
      </c>
      <c r="DR42" s="446">
        <f t="shared" si="250"/>
        <v>802.29678482186353</v>
      </c>
      <c r="DS42" s="447">
        <f t="shared" si="250"/>
        <v>785.98878991579147</v>
      </c>
      <c r="DT42" s="446">
        <f t="shared" si="250"/>
        <v>1557.781335806201</v>
      </c>
      <c r="DU42" s="446">
        <f t="shared" si="250"/>
        <v>1588.285574737655</v>
      </c>
      <c r="DV42" s="400">
        <f t="shared" si="250"/>
        <v>3146.066910543856</v>
      </c>
      <c r="DW42" s="446">
        <f t="shared" si="250"/>
        <v>830.4670153693869</v>
      </c>
      <c r="DX42" s="446">
        <f t="shared" si="250"/>
        <v>879.76218428127231</v>
      </c>
      <c r="DY42" s="446">
        <f t="shared" si="250"/>
        <v>881.92882602938153</v>
      </c>
      <c r="DZ42" s="447">
        <f t="shared" si="250"/>
        <v>882.25277509549232</v>
      </c>
      <c r="EA42" s="446">
        <f t="shared" si="250"/>
        <v>1710.2291996506592</v>
      </c>
      <c r="EB42" s="446">
        <f t="shared" si="250"/>
        <v>1764.1816011248739</v>
      </c>
      <c r="EC42" s="400">
        <f t="shared" si="250"/>
        <v>3474.4108007755331</v>
      </c>
      <c r="ED42" s="446">
        <f t="shared" si="250"/>
        <v>895.89424747459202</v>
      </c>
      <c r="EE42" s="446">
        <f t="shared" si="250"/>
        <v>909.12852166065295</v>
      </c>
      <c r="EF42" s="446">
        <f t="shared" si="250"/>
        <v>911.39142556599325</v>
      </c>
      <c r="EG42" s="447">
        <f t="shared" si="250"/>
        <v>911.18933118472648</v>
      </c>
      <c r="EH42" s="446">
        <f t="shared" si="250"/>
        <v>1805.022769135245</v>
      </c>
      <c r="EI42" s="446">
        <f t="shared" si="250"/>
        <v>1822.5807567507197</v>
      </c>
      <c r="EJ42" s="400">
        <f t="shared" si="250"/>
        <v>3627.6035258859647</v>
      </c>
      <c r="EK42" s="446">
        <f t="shared" si="250"/>
        <v>922.19912489726892</v>
      </c>
      <c r="EL42" s="446">
        <f t="shared" si="250"/>
        <v>936.31944384543647</v>
      </c>
      <c r="EM42" s="446">
        <f t="shared" si="250"/>
        <v>938.72315787778712</v>
      </c>
      <c r="EN42" s="447">
        <f t="shared" si="250"/>
        <v>937.61354990630161</v>
      </c>
      <c r="EO42" s="446">
        <f t="shared" si="250"/>
        <v>1858.5185687427054</v>
      </c>
      <c r="EP42" s="446">
        <f t="shared" si="250"/>
        <v>1876.3367077840887</v>
      </c>
      <c r="EQ42" s="400">
        <f t="shared" si="250"/>
        <v>3734.8552765267941</v>
      </c>
    </row>
    <row r="43" spans="1:147" ht="10.199999999999999" customHeight="1">
      <c r="A43" s="51" t="s">
        <v>50</v>
      </c>
      <c r="B43" s="111"/>
      <c r="C43" s="115">
        <f t="shared" ref="C43:CM43" si="251">C42/C11</f>
        <v>6.9346440216068908E-2</v>
      </c>
      <c r="D43" s="115">
        <f t="shared" si="251"/>
        <v>8.6203362033620334E-2</v>
      </c>
      <c r="E43" s="115">
        <f t="shared" si="251"/>
        <v>9.5495590088198232E-2</v>
      </c>
      <c r="F43" s="115">
        <f t="shared" si="251"/>
        <v>8.5739715189873417E-2</v>
      </c>
      <c r="G43" s="115">
        <f t="shared" si="251"/>
        <v>7.4800486947112138E-2</v>
      </c>
      <c r="H43" s="115">
        <f t="shared" si="251"/>
        <v>8.0786026200873357E-2</v>
      </c>
      <c r="I43" s="115">
        <f t="shared" si="251"/>
        <v>8.6254758883248725E-2</v>
      </c>
      <c r="J43" s="115">
        <f t="shared" si="251"/>
        <v>8.3320766098627652E-2</v>
      </c>
      <c r="K43" s="115">
        <f t="shared" si="251"/>
        <v>8.6954872961698904E-2</v>
      </c>
      <c r="L43" s="115">
        <f t="shared" si="251"/>
        <v>8.3511003505221698E-2</v>
      </c>
      <c r="M43" s="115">
        <f t="shared" si="251"/>
        <v>7.917455630796881E-2</v>
      </c>
      <c r="N43" s="115">
        <f t="shared" si="251"/>
        <v>6.5804076550361371E-2</v>
      </c>
      <c r="O43" s="115">
        <f t="shared" ref="O43:T43" si="252">O42/O11</f>
        <v>5.5029112912432926E-2</v>
      </c>
      <c r="P43" s="115">
        <f t="shared" si="252"/>
        <v>6.561061757465482E-2</v>
      </c>
      <c r="Q43" s="115">
        <f t="shared" si="252"/>
        <v>6.3516150010838934E-2</v>
      </c>
      <c r="R43" s="683">
        <f t="shared" si="252"/>
        <v>6.1811606115403581E-2</v>
      </c>
      <c r="S43" s="115">
        <f t="shared" si="252"/>
        <v>6.0490553529996688E-2</v>
      </c>
      <c r="T43" s="115">
        <f t="shared" si="252"/>
        <v>6.2546746447270013E-2</v>
      </c>
      <c r="U43" s="341">
        <f t="shared" si="251"/>
        <v>6.1604294323188334E-2</v>
      </c>
      <c r="V43" s="115">
        <f t="shared" ref="V43:AA43" si="253">V42/V11</f>
        <v>6.4451158106747231E-2</v>
      </c>
      <c r="W43" s="115">
        <f t="shared" si="253"/>
        <v>6.1856652687762102E-2</v>
      </c>
      <c r="X43" s="115">
        <f t="shared" si="253"/>
        <v>6.8576296454051749E-2</v>
      </c>
      <c r="Y43" s="683">
        <f t="shared" si="253"/>
        <v>5.928677563150074E-2</v>
      </c>
      <c r="Z43" s="115">
        <f t="shared" si="253"/>
        <v>6.3050079777651966E-2</v>
      </c>
      <c r="AA43" s="115">
        <f t="shared" si="253"/>
        <v>6.3104459323443177E-2</v>
      </c>
      <c r="AB43" s="341">
        <f t="shared" si="251"/>
        <v>6.3079470198675491E-2</v>
      </c>
      <c r="AC43" s="115">
        <f t="shared" ref="AC43:AH43" si="254">AC42/AC11</f>
        <v>6.3981319322825456E-2</v>
      </c>
      <c r="AD43" s="115">
        <f t="shared" si="254"/>
        <v>4.793863854266539E-2</v>
      </c>
      <c r="AE43" s="115">
        <f t="shared" si="254"/>
        <v>5.8178920103606299E-2</v>
      </c>
      <c r="AF43" s="683">
        <f t="shared" si="254"/>
        <v>6.5829657278588388E-2</v>
      </c>
      <c r="AG43" s="115">
        <f t="shared" si="254"/>
        <v>5.4456619704947584E-2</v>
      </c>
      <c r="AH43" s="115">
        <f t="shared" si="254"/>
        <v>6.2729584628426108E-2</v>
      </c>
      <c r="AI43" s="341">
        <f t="shared" si="251"/>
        <v>5.8926156932873903E-2</v>
      </c>
      <c r="AJ43" s="115">
        <f t="shared" ref="AJ43:AO43" si="255">AJ42/AJ11</f>
        <v>4.3839409321642826E-2</v>
      </c>
      <c r="AK43" s="115">
        <f t="shared" si="255"/>
        <v>4.6558541111918018E-2</v>
      </c>
      <c r="AL43" s="115">
        <f t="shared" si="255"/>
        <v>4.9952153110047845E-2</v>
      </c>
      <c r="AM43" s="683">
        <f t="shared" si="255"/>
        <v>3.768475685433826E-2</v>
      </c>
      <c r="AN43" s="115">
        <f t="shared" si="255"/>
        <v>4.543943782346517E-2</v>
      </c>
      <c r="AO43" s="115">
        <f t="shared" si="255"/>
        <v>4.2234525837592275E-2</v>
      </c>
      <c r="AP43" s="341">
        <f t="shared" si="251"/>
        <v>4.3605418689197151E-2</v>
      </c>
      <c r="AQ43" s="115">
        <f t="shared" ref="AQ43:AV43" si="256">AQ42/AQ11</f>
        <v>4.1017811704834609E-2</v>
      </c>
      <c r="AR43" s="115">
        <f t="shared" si="256"/>
        <v>4.3881644934804412E-2</v>
      </c>
      <c r="AS43" s="115">
        <f t="shared" si="256"/>
        <v>4.0538050488299247E-2</v>
      </c>
      <c r="AT43" s="683">
        <f t="shared" si="256"/>
        <v>3.5107835107835106E-2</v>
      </c>
      <c r="AU43" s="115">
        <f t="shared" si="256"/>
        <v>4.259029785671669E-2</v>
      </c>
      <c r="AV43" s="115">
        <f t="shared" si="256"/>
        <v>3.7128458294764993E-2</v>
      </c>
      <c r="AW43" s="341">
        <f t="shared" si="251"/>
        <v>3.946387220848542E-2</v>
      </c>
      <c r="AX43" s="115">
        <f t="shared" ref="AX43:BC43" si="257">AX42/AX11</f>
        <v>4.579965711486652E-2</v>
      </c>
      <c r="AY43" s="115">
        <f t="shared" si="257"/>
        <v>5.5311501597444086E-2</v>
      </c>
      <c r="AZ43" s="115">
        <f t="shared" si="257"/>
        <v>3.9906353091412154E-2</v>
      </c>
      <c r="BA43" s="683">
        <f t="shared" si="257"/>
        <v>3.388445338530207E-2</v>
      </c>
      <c r="BB43" s="115">
        <f t="shared" si="257"/>
        <v>5.1039489605103947E-2</v>
      </c>
      <c r="BC43" s="115">
        <f t="shared" si="257"/>
        <v>3.6120771419538414E-2</v>
      </c>
      <c r="BD43" s="341">
        <f t="shared" si="251"/>
        <v>4.235846019408545E-2</v>
      </c>
      <c r="BE43" s="115">
        <f t="shared" ref="BE43:BJ43" si="258">BE42/BE11</f>
        <v>5.9540293547493767E-2</v>
      </c>
      <c r="BF43" s="115">
        <f t="shared" si="258"/>
        <v>4.8127870010596964E-2</v>
      </c>
      <c r="BG43" s="115">
        <f t="shared" si="258"/>
        <v>4.0311766677841102E-2</v>
      </c>
      <c r="BH43" s="683">
        <f t="shared" si="258"/>
        <v>4.333409558655385E-2</v>
      </c>
      <c r="BI43" s="115">
        <f t="shared" si="258"/>
        <v>5.2571983176965383E-2</v>
      </c>
      <c r="BJ43" s="115">
        <f t="shared" si="258"/>
        <v>4.2108482871125612E-2</v>
      </c>
      <c r="BK43" s="341">
        <f t="shared" si="251"/>
        <v>4.6153846153846156E-2</v>
      </c>
      <c r="BL43" s="115">
        <f t="shared" ref="BL43:BQ43" si="259">BL42/BL11</f>
        <v>5.4346705166546355E-2</v>
      </c>
      <c r="BM43" s="115">
        <f t="shared" si="259"/>
        <v>3.3528509689111946E-2</v>
      </c>
      <c r="BN43" s="115">
        <f t="shared" si="259"/>
        <v>4.2241304536386505E-2</v>
      </c>
      <c r="BO43" s="683">
        <f t="shared" si="259"/>
        <v>4.7388428891319063E-2</v>
      </c>
      <c r="BP43" s="115">
        <f t="shared" si="259"/>
        <v>4.1924884581790958E-2</v>
      </c>
      <c r="BQ43" s="115">
        <f t="shared" si="259"/>
        <v>4.5457503579330989E-2</v>
      </c>
      <c r="BR43" s="341">
        <f t="shared" si="251"/>
        <v>4.3906891830214512E-2</v>
      </c>
      <c r="BS43" s="115">
        <f t="shared" ref="BS43:BX43" si="260">BS42/BS11</f>
        <v>7.1739992072929054E-2</v>
      </c>
      <c r="BT43" s="115">
        <f t="shared" si="260"/>
        <v>0.12147461724415794</v>
      </c>
      <c r="BU43" s="115">
        <f t="shared" si="260"/>
        <v>6.8234685965365721E-2</v>
      </c>
      <c r="BV43" s="683">
        <f t="shared" si="260"/>
        <v>5.4510336933972385E-2</v>
      </c>
      <c r="BW43" s="115">
        <f t="shared" si="260"/>
        <v>9.143860209048113E-2</v>
      </c>
      <c r="BX43" s="115">
        <f t="shared" si="260"/>
        <v>5.9400469678132339E-2</v>
      </c>
      <c r="BY43" s="341">
        <f t="shared" si="251"/>
        <v>7.1124087591240878E-2</v>
      </c>
      <c r="BZ43" s="115">
        <f t="shared" si="251"/>
        <v>7.1507150715071507E-2</v>
      </c>
      <c r="CA43" s="115">
        <f t="shared" si="251"/>
        <v>4.9236315340100562E-2</v>
      </c>
      <c r="CB43" s="115">
        <f t="shared" si="251"/>
        <v>8.0088170462894931E-2</v>
      </c>
      <c r="CC43" s="683">
        <f t="shared" si="251"/>
        <v>5.7855534384202323E-2</v>
      </c>
      <c r="CD43" s="115">
        <f t="shared" si="251"/>
        <v>5.8328187278953572E-2</v>
      </c>
      <c r="CE43" s="115">
        <f t="shared" si="251"/>
        <v>6.6099940057762513E-2</v>
      </c>
      <c r="CF43" s="341">
        <f t="shared" si="251"/>
        <v>6.2271872580466764E-2</v>
      </c>
      <c r="CG43" s="115">
        <f t="shared" si="251"/>
        <v>5.584826132771338E-2</v>
      </c>
      <c r="CH43" s="115">
        <f t="shared" si="251"/>
        <v>6.25E-2</v>
      </c>
      <c r="CI43" s="115">
        <f t="shared" si="251"/>
        <v>5.9752220151299197E-2</v>
      </c>
      <c r="CJ43" s="683">
        <f t="shared" si="251"/>
        <v>6.9243265195613912E-2</v>
      </c>
      <c r="CK43" s="115">
        <f t="shared" si="251"/>
        <v>5.9259681742998914E-2</v>
      </c>
      <c r="CL43" s="115">
        <f t="shared" si="251"/>
        <v>6.5620422682569582E-2</v>
      </c>
      <c r="CM43" s="341">
        <f t="shared" si="251"/>
        <v>6.2928454185574967E-2</v>
      </c>
      <c r="CN43" s="115">
        <f t="shared" ref="CN43:CT43" si="261">CN42/CN11</f>
        <v>7.016029593094944E-2</v>
      </c>
      <c r="CO43" s="115">
        <f t="shared" si="261"/>
        <v>5.122967562709372E-2</v>
      </c>
      <c r="CP43" s="115">
        <f t="shared" si="261"/>
        <v>5.3952321204516936E-2</v>
      </c>
      <c r="CQ43" s="683">
        <f t="shared" si="261"/>
        <v>5.5364173228346462E-2</v>
      </c>
      <c r="CR43" s="115">
        <f t="shared" si="261"/>
        <v>5.8774386947761562E-2</v>
      </c>
      <c r="CS43" s="115">
        <f t="shared" si="261"/>
        <v>5.4789523601079741E-2</v>
      </c>
      <c r="CT43" s="341">
        <f t="shared" si="261"/>
        <v>5.6487239076272427E-2</v>
      </c>
      <c r="CU43" s="115">
        <f t="shared" ref="CU43:CV43" si="262">CU42/CU11</f>
        <v>6.6979382567906628E-2</v>
      </c>
      <c r="CV43" s="115">
        <f t="shared" si="262"/>
        <v>5.7021912350597607E-2</v>
      </c>
      <c r="CW43" s="115">
        <f t="shared" ref="CW43:CX43" si="263">CW42/CW11</f>
        <v>5.2983539094650207E-2</v>
      </c>
      <c r="CX43" s="683">
        <f t="shared" si="263"/>
        <v>4.2607080542578939E-2</v>
      </c>
      <c r="CY43" s="115">
        <f t="shared" ref="CY43:EQ43" si="264">CY42/CY11</f>
        <v>6.1324534527456988E-2</v>
      </c>
      <c r="CZ43" s="115">
        <f t="shared" ref="CZ43" si="265">CZ42/CZ11</f>
        <v>4.6719445482654345E-2</v>
      </c>
      <c r="DA43" s="341">
        <f t="shared" si="264"/>
        <v>5.2837341547210044E-2</v>
      </c>
      <c r="DB43" s="115">
        <f t="shared" si="264"/>
        <v>5.7241886356475161E-2</v>
      </c>
      <c r="DC43" s="115">
        <f t="shared" si="264"/>
        <v>5.2706048814998234E-2</v>
      </c>
      <c r="DD43" s="115">
        <f t="shared" si="264"/>
        <v>4.4956728191774528E-2</v>
      </c>
      <c r="DE43" s="683">
        <f t="shared" si="264"/>
        <v>4.3282863410197422E-2</v>
      </c>
      <c r="DF43" s="115">
        <f t="shared" ref="DF43:DG43" si="266">DF42/DF11</f>
        <v>5.4779394113975706E-2</v>
      </c>
      <c r="DG43" s="115">
        <f t="shared" si="266"/>
        <v>4.3971273781025576E-2</v>
      </c>
      <c r="DH43" s="341">
        <f t="shared" ref="DH43:DJ43" si="267">DH42/DH11</f>
        <v>4.8253038400821652E-2</v>
      </c>
      <c r="DI43" s="115">
        <f t="shared" si="267"/>
        <v>6.7093409198672363E-2</v>
      </c>
      <c r="DJ43" s="115">
        <f t="shared" si="267"/>
        <v>4.067094100123049E-2</v>
      </c>
      <c r="DK43" s="403">
        <f t="shared" si="264"/>
        <v>4.2500000000000003E-2</v>
      </c>
      <c r="DL43" s="432">
        <f t="shared" si="264"/>
        <v>4.8124270970644069E-2</v>
      </c>
      <c r="DM43" s="115">
        <f t="shared" si="264"/>
        <v>5.0006282196255809E-2</v>
      </c>
      <c r="DN43" s="403">
        <f t="shared" si="264"/>
        <v>4.5763510014220736E-2</v>
      </c>
      <c r="DO43" s="402">
        <f t="shared" si="264"/>
        <v>4.7500000000000001E-2</v>
      </c>
      <c r="DP43" s="403">
        <f t="shared" si="264"/>
        <v>4.7500000000000001E-2</v>
      </c>
      <c r="DQ43" s="403">
        <f t="shared" si="264"/>
        <v>4.7500000000000001E-2</v>
      </c>
      <c r="DR43" s="403">
        <f t="shared" si="264"/>
        <v>4.7500000000000001E-2</v>
      </c>
      <c r="DS43" s="432">
        <f t="shared" si="264"/>
        <v>4.7500000000000014E-2</v>
      </c>
      <c r="DT43" s="403">
        <f t="shared" si="264"/>
        <v>4.7500000000000001E-2</v>
      </c>
      <c r="DU43" s="403">
        <f t="shared" si="264"/>
        <v>4.7500000000000007E-2</v>
      </c>
      <c r="DV43" s="402">
        <f t="shared" si="264"/>
        <v>4.7500000000000001E-2</v>
      </c>
      <c r="DW43" s="403">
        <f t="shared" si="264"/>
        <v>4.7500000000000001E-2</v>
      </c>
      <c r="DX43" s="403">
        <f t="shared" si="264"/>
        <v>4.7500000000000007E-2</v>
      </c>
      <c r="DY43" s="403">
        <f t="shared" si="264"/>
        <v>4.7500000000000001E-2</v>
      </c>
      <c r="DZ43" s="432">
        <f t="shared" si="264"/>
        <v>4.7499999999999994E-2</v>
      </c>
      <c r="EA43" s="403">
        <f t="shared" si="264"/>
        <v>4.7500000000000001E-2</v>
      </c>
      <c r="EB43" s="403">
        <f t="shared" si="264"/>
        <v>4.7499999999999994E-2</v>
      </c>
      <c r="EC43" s="402">
        <f t="shared" si="264"/>
        <v>4.7500000000000001E-2</v>
      </c>
      <c r="ED43" s="403">
        <f t="shared" si="264"/>
        <v>4.7500000000000001E-2</v>
      </c>
      <c r="EE43" s="403">
        <f t="shared" si="264"/>
        <v>4.7500000000000001E-2</v>
      </c>
      <c r="EF43" s="403">
        <f t="shared" si="264"/>
        <v>4.7500000000000001E-2</v>
      </c>
      <c r="EG43" s="432">
        <f t="shared" si="264"/>
        <v>4.7500000000000021E-2</v>
      </c>
      <c r="EH43" s="403">
        <f t="shared" si="264"/>
        <v>4.7500000000000001E-2</v>
      </c>
      <c r="EI43" s="403">
        <f t="shared" si="264"/>
        <v>4.7500000000000014E-2</v>
      </c>
      <c r="EJ43" s="402">
        <f t="shared" si="264"/>
        <v>4.7500000000000001E-2</v>
      </c>
      <c r="EK43" s="403">
        <f t="shared" si="264"/>
        <v>4.7500000000000001E-2</v>
      </c>
      <c r="EL43" s="403">
        <f t="shared" si="264"/>
        <v>4.7499999999999987E-2</v>
      </c>
      <c r="EM43" s="403">
        <f t="shared" si="264"/>
        <v>4.7500000000000001E-2</v>
      </c>
      <c r="EN43" s="432">
        <f t="shared" si="264"/>
        <v>4.7500000000000007E-2</v>
      </c>
      <c r="EO43" s="403">
        <f t="shared" si="264"/>
        <v>4.7500000000000001E-2</v>
      </c>
      <c r="EP43" s="403">
        <f t="shared" si="264"/>
        <v>4.7500000000000001E-2</v>
      </c>
      <c r="EQ43" s="402">
        <f t="shared" si="264"/>
        <v>4.7500000000000001E-2</v>
      </c>
    </row>
    <row r="44" spans="1:147" ht="10.199999999999999" customHeight="1">
      <c r="A44" s="43"/>
      <c r="B44" s="43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223"/>
      <c r="O44" s="399"/>
      <c r="P44" s="399"/>
      <c r="Q44" s="399"/>
      <c r="R44" s="425"/>
      <c r="S44" s="399"/>
      <c r="T44" s="399"/>
      <c r="U44" s="404"/>
      <c r="V44" s="399"/>
      <c r="W44" s="399"/>
      <c r="X44" s="399"/>
      <c r="Y44" s="425"/>
      <c r="Z44" s="399"/>
      <c r="AA44" s="399"/>
      <c r="AB44" s="404"/>
      <c r="AC44" s="399"/>
      <c r="AD44" s="399"/>
      <c r="AE44" s="399"/>
      <c r="AF44" s="425"/>
      <c r="AG44" s="399"/>
      <c r="AH44" s="399"/>
      <c r="AI44" s="404"/>
      <c r="AJ44" s="399"/>
      <c r="AK44" s="399"/>
      <c r="AL44" s="399"/>
      <c r="AM44" s="425"/>
      <c r="AN44" s="399"/>
      <c r="AO44" s="399"/>
      <c r="AP44" s="404"/>
      <c r="AQ44" s="399"/>
      <c r="AR44" s="399"/>
      <c r="AS44" s="399"/>
      <c r="AT44" s="425"/>
      <c r="AU44" s="399"/>
      <c r="AV44" s="399"/>
      <c r="AW44" s="404"/>
      <c r="AX44" s="399"/>
      <c r="AY44" s="399"/>
      <c r="AZ44" s="399"/>
      <c r="BA44" s="425"/>
      <c r="BB44" s="399"/>
      <c r="BC44" s="399"/>
      <c r="BD44" s="404"/>
      <c r="BE44" s="399"/>
      <c r="BF44" s="399"/>
      <c r="BG44" s="399"/>
      <c r="BH44" s="425"/>
      <c r="BI44" s="399"/>
      <c r="BJ44" s="399"/>
      <c r="BK44" s="404"/>
      <c r="BL44" s="399"/>
      <c r="BM44" s="399"/>
      <c r="BN44" s="399"/>
      <c r="BO44" s="425"/>
      <c r="BP44" s="399"/>
      <c r="BQ44" s="399"/>
      <c r="BR44" s="404"/>
      <c r="BS44" s="399"/>
      <c r="BT44" s="399"/>
      <c r="BU44" s="399"/>
      <c r="BV44" s="425"/>
      <c r="BW44" s="399"/>
      <c r="BX44" s="399"/>
      <c r="BY44" s="404"/>
      <c r="BZ44" s="399"/>
      <c r="CA44" s="399"/>
      <c r="CB44" s="399"/>
      <c r="CC44" s="425"/>
      <c r="CD44" s="399"/>
      <c r="CE44" s="399"/>
      <c r="CF44" s="404"/>
      <c r="CG44" s="399"/>
      <c r="CH44" s="399"/>
      <c r="CI44" s="399"/>
      <c r="CJ44" s="425"/>
      <c r="CK44" s="399"/>
      <c r="CL44" s="399"/>
      <c r="CM44" s="404"/>
      <c r="CN44" s="399"/>
      <c r="CO44" s="399"/>
      <c r="CP44" s="399"/>
      <c r="CQ44" s="425"/>
      <c r="CR44" s="399"/>
      <c r="CS44" s="399"/>
      <c r="CT44" s="404"/>
      <c r="CU44" s="399"/>
      <c r="CV44" s="399"/>
      <c r="CW44" s="399"/>
      <c r="CX44" s="425"/>
      <c r="CY44" s="399"/>
      <c r="CZ44" s="399"/>
      <c r="DA44" s="404"/>
      <c r="DB44" s="399"/>
      <c r="DC44" s="399"/>
      <c r="DD44" s="399"/>
      <c r="DE44" s="425"/>
      <c r="DF44" s="399"/>
      <c r="DG44" s="399"/>
      <c r="DH44" s="404"/>
      <c r="DI44" s="399"/>
      <c r="DJ44" s="399"/>
      <c r="DK44" s="399"/>
      <c r="DL44" s="425"/>
      <c r="DM44" s="399"/>
      <c r="DN44" s="399"/>
      <c r="DO44" s="404"/>
      <c r="DP44" s="399"/>
      <c r="DQ44" s="399"/>
      <c r="DR44" s="399"/>
      <c r="DS44" s="425"/>
      <c r="DT44" s="399"/>
      <c r="DU44" s="399"/>
      <c r="DV44" s="404"/>
      <c r="DW44" s="399"/>
      <c r="DX44" s="399"/>
      <c r="DY44" s="399"/>
      <c r="DZ44" s="425"/>
      <c r="EA44" s="399"/>
      <c r="EB44" s="399"/>
      <c r="EC44" s="404"/>
      <c r="ED44" s="399"/>
      <c r="EE44" s="399"/>
      <c r="EF44" s="399"/>
      <c r="EG44" s="425"/>
      <c r="EH44" s="399"/>
      <c r="EI44" s="399"/>
      <c r="EJ44" s="404"/>
      <c r="EK44" s="399"/>
      <c r="EL44" s="399"/>
      <c r="EM44" s="399"/>
      <c r="EN44" s="425"/>
      <c r="EO44" s="399"/>
      <c r="EP44" s="399"/>
      <c r="EQ44" s="404"/>
    </row>
    <row r="45" spans="1:147" ht="10.199999999999999" customHeight="1">
      <c r="A45" s="32" t="s">
        <v>544</v>
      </c>
      <c r="B45" s="111"/>
      <c r="C45" s="111">
        <f t="shared" ref="C45:I45" si="268">C58-C56-C55-C54-C53-C52-C51-C50</f>
        <v>1655</v>
      </c>
      <c r="D45" s="111">
        <f t="shared" si="268"/>
        <v>1361</v>
      </c>
      <c r="E45" s="111">
        <f t="shared" si="268"/>
        <v>1353</v>
      </c>
      <c r="F45" s="111">
        <f t="shared" si="268"/>
        <v>1919</v>
      </c>
      <c r="G45" s="111">
        <f t="shared" si="268"/>
        <v>2307</v>
      </c>
      <c r="H45" s="111">
        <f t="shared" si="268"/>
        <v>2785</v>
      </c>
      <c r="I45" s="111">
        <f t="shared" si="268"/>
        <v>2889</v>
      </c>
      <c r="J45" s="111">
        <f>J57-J56-J55-J54-J53-J52-J51-J50</f>
        <v>2113</v>
      </c>
      <c r="K45" s="111">
        <f>K57-K56-K55-K54-K53-K52-K51-K50</f>
        <v>1072</v>
      </c>
      <c r="L45" s="111">
        <f>L57-L56-L55-L54-L53-L52-L51-L50</f>
        <v>302</v>
      </c>
      <c r="M45" s="111">
        <f>M57-M56-M55-M54-M53-M52-M51-M50</f>
        <v>542</v>
      </c>
      <c r="N45" s="111">
        <f>N58-N52-N53-N51-N56</f>
        <v>1647</v>
      </c>
      <c r="O45" s="111">
        <f>+Divisional!N26</f>
        <v>608</v>
      </c>
      <c r="P45" s="111">
        <f>+Divisional!O26</f>
        <v>623</v>
      </c>
      <c r="Q45" s="111">
        <f>+Divisional!P26</f>
        <v>481</v>
      </c>
      <c r="R45" s="682">
        <f>+Divisional!Q26</f>
        <v>502</v>
      </c>
      <c r="S45" s="111">
        <f>+Divisional!R26</f>
        <v>1231</v>
      </c>
      <c r="T45" s="111">
        <f>+Divisional!S26</f>
        <v>983</v>
      </c>
      <c r="U45" s="340">
        <f>+Divisional!T26</f>
        <v>2214</v>
      </c>
      <c r="V45" s="111">
        <f>+Divisional!U26</f>
        <v>527</v>
      </c>
      <c r="W45" s="111">
        <f>+Divisional!V26</f>
        <v>760</v>
      </c>
      <c r="X45" s="111">
        <f>+Divisional!W26</f>
        <v>493</v>
      </c>
      <c r="Y45" s="682">
        <f>+Divisional!X26</f>
        <v>749</v>
      </c>
      <c r="Z45" s="111">
        <f>+Divisional!Y26</f>
        <v>1287</v>
      </c>
      <c r="AA45" s="111">
        <f>+Divisional!Z26</f>
        <v>1242</v>
      </c>
      <c r="AB45" s="340">
        <f>+Divisional!AA26</f>
        <v>2529</v>
      </c>
      <c r="AC45" s="111">
        <f>+Divisional!AB26</f>
        <v>569</v>
      </c>
      <c r="AD45" s="111">
        <f>+Divisional!AC26</f>
        <v>964</v>
      </c>
      <c r="AE45" s="111">
        <f>+Divisional!AD26</f>
        <v>693</v>
      </c>
      <c r="AF45" s="682">
        <f>+Divisional!AE26</f>
        <v>554</v>
      </c>
      <c r="AG45" s="111">
        <f>+Divisional!AF26</f>
        <v>1533</v>
      </c>
      <c r="AH45" s="111">
        <f>+Divisional!AG26</f>
        <v>1247</v>
      </c>
      <c r="AI45" s="340">
        <f>+Divisional!AH26</f>
        <v>2780</v>
      </c>
      <c r="AJ45" s="111">
        <f>+Divisional!AI26</f>
        <v>406</v>
      </c>
      <c r="AK45" s="111">
        <f>+Divisional!AJ26</f>
        <v>863</v>
      </c>
      <c r="AL45" s="111">
        <f>+Divisional!AK26</f>
        <v>567</v>
      </c>
      <c r="AM45" s="682">
        <f>+Divisional!AL26</f>
        <v>975</v>
      </c>
      <c r="AN45" s="111">
        <f>+Divisional!AM26</f>
        <v>1269</v>
      </c>
      <c r="AO45" s="111">
        <f>+Divisional!AN26</f>
        <v>1542</v>
      </c>
      <c r="AP45" s="340">
        <f>+Divisional!AO26</f>
        <v>2811</v>
      </c>
      <c r="AQ45" s="111">
        <f>+Divisional!AP26</f>
        <v>281</v>
      </c>
      <c r="AR45" s="111">
        <f>+Divisional!AQ26</f>
        <v>673</v>
      </c>
      <c r="AS45" s="111">
        <f>+Divisional!AR26</f>
        <v>591</v>
      </c>
      <c r="AT45" s="682">
        <f>+Divisional!AS26</f>
        <v>2009</v>
      </c>
      <c r="AU45" s="111">
        <f>+Divisional!AT26</f>
        <v>954</v>
      </c>
      <c r="AV45" s="111">
        <f>+Divisional!AU26</f>
        <v>2600</v>
      </c>
      <c r="AW45" s="340">
        <f>+Divisional!AV26</f>
        <v>3554</v>
      </c>
      <c r="AX45" s="111">
        <f>+Divisional!AW26</f>
        <v>-103</v>
      </c>
      <c r="AY45" s="111">
        <f>+Divisional!AX26</f>
        <v>360</v>
      </c>
      <c r="AZ45" s="111">
        <f>+Divisional!AY26</f>
        <v>549</v>
      </c>
      <c r="BA45" s="682">
        <f>+Divisional!AZ26</f>
        <v>1577</v>
      </c>
      <c r="BB45" s="111">
        <f>+Divisional!BA26</f>
        <v>257</v>
      </c>
      <c r="BC45" s="111">
        <f>+Divisional!BB26</f>
        <v>2126</v>
      </c>
      <c r="BD45" s="340">
        <f>+Divisional!BC26</f>
        <v>2383</v>
      </c>
      <c r="BE45" s="111">
        <f>+Divisional!BD26</f>
        <v>-41</v>
      </c>
      <c r="BF45" s="111">
        <f>+Divisional!BE26</f>
        <v>908</v>
      </c>
      <c r="BG45" s="111">
        <f>+Divisional!BF26</f>
        <v>1473</v>
      </c>
      <c r="BH45" s="682">
        <f>+Divisional!BG26</f>
        <v>2468</v>
      </c>
      <c r="BI45" s="111">
        <f>+Divisional!BH26</f>
        <v>867</v>
      </c>
      <c r="BJ45" s="111">
        <f>+Divisional!BI26</f>
        <v>3941</v>
      </c>
      <c r="BK45" s="340">
        <f>+Divisional!BJ26</f>
        <v>4808</v>
      </c>
      <c r="BL45" s="111">
        <f>+Divisional!BK26</f>
        <v>536</v>
      </c>
      <c r="BM45" s="111">
        <f>+Divisional!BL26</f>
        <v>1802</v>
      </c>
      <c r="BN45" s="111">
        <f>+Divisional!BM26</f>
        <v>1495</v>
      </c>
      <c r="BO45" s="682">
        <f>+Divisional!BN26</f>
        <v>2525</v>
      </c>
      <c r="BP45" s="111">
        <f>+Divisional!BO26</f>
        <v>2338</v>
      </c>
      <c r="BQ45" s="111">
        <f>+Divisional!BP26</f>
        <v>4020</v>
      </c>
      <c r="BR45" s="340">
        <f>+Divisional!BQ26</f>
        <v>6358</v>
      </c>
      <c r="BS45" s="111">
        <f>+Divisional!BY26</f>
        <v>191</v>
      </c>
      <c r="BT45" s="111">
        <f>+Divisional!BZ26</f>
        <v>-1498</v>
      </c>
      <c r="BU45" s="111">
        <f>+Divisional!CA26</f>
        <v>666</v>
      </c>
      <c r="BV45" s="682">
        <f>+Divisional!CB26</f>
        <v>1259</v>
      </c>
      <c r="BW45" s="111">
        <f>+Divisional!CC26</f>
        <v>-1307</v>
      </c>
      <c r="BX45" s="111">
        <f>+Divisional!CD26</f>
        <v>1925</v>
      </c>
      <c r="BY45" s="340">
        <f>+Divisional!CE26</f>
        <v>618</v>
      </c>
      <c r="BZ45" s="111">
        <f>+Divisional!CF26</f>
        <v>533</v>
      </c>
      <c r="CA45" s="111">
        <f>+Divisional!CG26</f>
        <v>1758</v>
      </c>
      <c r="CB45" s="111">
        <f>+Divisional!CH26</f>
        <v>448</v>
      </c>
      <c r="CC45" s="682">
        <f>+Divisional!CI26</f>
        <v>831</v>
      </c>
      <c r="CD45" s="111">
        <f>+Divisional!CJ26</f>
        <v>2291</v>
      </c>
      <c r="CE45" s="111">
        <f>+Divisional!CK26</f>
        <v>1279</v>
      </c>
      <c r="CF45" s="340">
        <f>+Divisional!CL26</f>
        <v>3570</v>
      </c>
      <c r="CG45" s="111">
        <f>+Divisional!CM26</f>
        <v>1065</v>
      </c>
      <c r="CH45" s="111">
        <f>+Divisional!CN26</f>
        <v>1211</v>
      </c>
      <c r="CI45" s="111">
        <f>+Divisional!CO26</f>
        <v>599</v>
      </c>
      <c r="CJ45" s="682">
        <f>+Divisional!CP26</f>
        <v>1725</v>
      </c>
      <c r="CK45" s="111">
        <f>+Divisional!CQ26</f>
        <v>2276</v>
      </c>
      <c r="CL45" s="111">
        <f>+Divisional!CR26</f>
        <v>2324</v>
      </c>
      <c r="CM45" s="340">
        <f>+Divisional!CS26</f>
        <v>4600</v>
      </c>
      <c r="CN45" s="111">
        <f>+Divisional!CT26</f>
        <v>580</v>
      </c>
      <c r="CO45" s="111">
        <f>+Divisional!CU26</f>
        <v>1676</v>
      </c>
      <c r="CP45" s="111">
        <f>+Divisional!CV26</f>
        <v>960</v>
      </c>
      <c r="CQ45" s="682">
        <f>+Divisional!CW26</f>
        <v>1602</v>
      </c>
      <c r="CR45" s="111">
        <f>+Divisional!CX26</f>
        <v>2256</v>
      </c>
      <c r="CS45" s="111">
        <f>+Divisional!CY26</f>
        <v>2562</v>
      </c>
      <c r="CT45" s="340">
        <f>+Divisional!CZ26</f>
        <v>4818</v>
      </c>
      <c r="CU45" s="111">
        <f>+Divisional!DA26</f>
        <v>507</v>
      </c>
      <c r="CV45" s="111">
        <f>+Divisional!DB26</f>
        <v>1447</v>
      </c>
      <c r="CW45" s="111">
        <f>+Divisional!DC26</f>
        <v>1074</v>
      </c>
      <c r="CX45" s="682">
        <f>+Divisional!DD26</f>
        <v>2065</v>
      </c>
      <c r="CY45" s="111">
        <f>+Divisional!DE26</f>
        <v>1954</v>
      </c>
      <c r="CZ45" s="111">
        <f>+Divisional!DF26</f>
        <v>3139</v>
      </c>
      <c r="DA45" s="340">
        <f>+Divisional!DG26</f>
        <v>5093</v>
      </c>
      <c r="DB45" s="111">
        <f>+Divisional!DH26</f>
        <v>494</v>
      </c>
      <c r="DC45" s="111">
        <f>+Divisional!DI26</f>
        <v>1220</v>
      </c>
      <c r="DD45" s="111">
        <f>+Divisional!DJ26</f>
        <v>1556</v>
      </c>
      <c r="DE45" s="682">
        <f>+Divisional!DK26</f>
        <v>2200</v>
      </c>
      <c r="DF45" s="111">
        <f>+Divisional!DL26</f>
        <v>1714</v>
      </c>
      <c r="DG45" s="111">
        <f>+Divisional!DM26</f>
        <v>3756</v>
      </c>
      <c r="DH45" s="340">
        <f>+Divisional!DN26</f>
        <v>5470</v>
      </c>
      <c r="DI45" s="111">
        <f>+Divisional!DO26</f>
        <v>81</v>
      </c>
      <c r="DJ45" s="111">
        <f>+Divisional!DP26</f>
        <v>1906</v>
      </c>
      <c r="DK45" s="401">
        <f t="shared" ref="DK45:EQ45" si="269">DK361</f>
        <v>1587.1267727593568</v>
      </c>
      <c r="DL45" s="431">
        <f t="shared" si="269"/>
        <v>2343.5512639030439</v>
      </c>
      <c r="DM45" s="111">
        <f>+Divisional!DS26</f>
        <v>1987</v>
      </c>
      <c r="DN45" s="401">
        <f t="shared" si="269"/>
        <v>3930.6780366624016</v>
      </c>
      <c r="DO45" s="400">
        <f>DO361</f>
        <v>5917.6780366624007</v>
      </c>
      <c r="DP45" s="401">
        <f t="shared" si="269"/>
        <v>1717.4955710499453</v>
      </c>
      <c r="DQ45" s="401">
        <f t="shared" si="269"/>
        <v>1876.7178219100488</v>
      </c>
      <c r="DR45" s="401">
        <f t="shared" si="269"/>
        <v>1879.256655814354</v>
      </c>
      <c r="DS45" s="431">
        <f t="shared" si="269"/>
        <v>1839.2900791853813</v>
      </c>
      <c r="DT45" s="401">
        <f t="shared" si="269"/>
        <v>3594.2133929599941</v>
      </c>
      <c r="DU45" s="401">
        <f t="shared" si="269"/>
        <v>3718.5467349997352</v>
      </c>
      <c r="DV45" s="400">
        <f t="shared" si="269"/>
        <v>7312.7601279597311</v>
      </c>
      <c r="DW45" s="401">
        <f t="shared" si="269"/>
        <v>2205.2327436249648</v>
      </c>
      <c r="DX45" s="401">
        <f t="shared" si="269"/>
        <v>2369.890441668806</v>
      </c>
      <c r="DY45" s="401">
        <f t="shared" si="269"/>
        <v>2372.9282472399582</v>
      </c>
      <c r="DZ45" s="431">
        <f t="shared" si="269"/>
        <v>2420.1112747069333</v>
      </c>
      <c r="EA45" s="401">
        <f t="shared" si="269"/>
        <v>4575.1231852937708</v>
      </c>
      <c r="EB45" s="401">
        <f t="shared" si="269"/>
        <v>4793.0395219468919</v>
      </c>
      <c r="EC45" s="400">
        <f t="shared" si="269"/>
        <v>9368.1627072406627</v>
      </c>
      <c r="ED45" s="401">
        <f t="shared" si="269"/>
        <v>2529.8400900134998</v>
      </c>
      <c r="EE45" s="401">
        <f t="shared" si="269"/>
        <v>2531.2487204615591</v>
      </c>
      <c r="EF45" s="401">
        <f t="shared" si="269"/>
        <v>2534.4448985163485</v>
      </c>
      <c r="EG45" s="431">
        <f t="shared" si="269"/>
        <v>2590.0988497615649</v>
      </c>
      <c r="EH45" s="401">
        <f t="shared" si="269"/>
        <v>5061.0888104750593</v>
      </c>
      <c r="EI45" s="401">
        <f t="shared" si="269"/>
        <v>5124.5437482779134</v>
      </c>
      <c r="EJ45" s="400">
        <f>EJ361</f>
        <v>10185.632558752972</v>
      </c>
      <c r="EK45" s="401">
        <f t="shared" si="269"/>
        <v>2680.9431360907402</v>
      </c>
      <c r="EL45" s="401">
        <f t="shared" si="269"/>
        <v>2683.3504286050675</v>
      </c>
      <c r="EM45" s="401">
        <f t="shared" si="269"/>
        <v>2686.7178350070908</v>
      </c>
      <c r="EN45" s="431">
        <f t="shared" si="269"/>
        <v>2742.4254564114854</v>
      </c>
      <c r="EO45" s="401">
        <f t="shared" si="269"/>
        <v>5364.2935646958076</v>
      </c>
      <c r="EP45" s="401">
        <f t="shared" si="269"/>
        <v>5429.1432914185762</v>
      </c>
      <c r="EQ45" s="400">
        <f t="shared" si="269"/>
        <v>10793.436856114384</v>
      </c>
    </row>
    <row r="46" spans="1:147" ht="10.199999999999999" customHeight="1">
      <c r="A46" s="51" t="s">
        <v>31</v>
      </c>
      <c r="B46" s="118"/>
      <c r="C46" s="115"/>
      <c r="D46" s="115"/>
      <c r="E46" s="115"/>
      <c r="F46" s="115">
        <f t="shared" ref="F46:CM46" si="270">F45/F11</f>
        <v>9.4887262658227847E-2</v>
      </c>
      <c r="G46" s="115">
        <f t="shared" si="270"/>
        <v>0.10401731367509806</v>
      </c>
      <c r="H46" s="115">
        <f t="shared" si="270"/>
        <v>0.11055974593092498</v>
      </c>
      <c r="I46" s="115">
        <f t="shared" si="270"/>
        <v>0.11457011421319797</v>
      </c>
      <c r="J46" s="115">
        <f t="shared" si="270"/>
        <v>7.9663700799276121E-2</v>
      </c>
      <c r="K46" s="115">
        <f t="shared" si="270"/>
        <v>4.0652256351915057E-2</v>
      </c>
      <c r="L46" s="115">
        <f t="shared" si="270"/>
        <v>1.0913164456329274E-2</v>
      </c>
      <c r="M46" s="115">
        <f t="shared" si="270"/>
        <v>1.739465323020636E-2</v>
      </c>
      <c r="N46" s="115">
        <f t="shared" si="270"/>
        <v>4.4582194191051076E-2</v>
      </c>
      <c r="O46" s="115">
        <f t="shared" ref="O46:T46" si="271">O45/O11</f>
        <v>6.9414316702819959E-2</v>
      </c>
      <c r="P46" s="115">
        <f t="shared" si="271"/>
        <v>6.6680937600342507E-2</v>
      </c>
      <c r="Q46" s="115">
        <f t="shared" si="271"/>
        <v>5.2135269889442878E-2</v>
      </c>
      <c r="R46" s="683">
        <f t="shared" si="271"/>
        <v>4.1262534933421011E-2</v>
      </c>
      <c r="S46" s="115">
        <f t="shared" si="271"/>
        <v>6.8003535520936909E-2</v>
      </c>
      <c r="T46" s="115">
        <f t="shared" si="271"/>
        <v>4.5951757666417355E-2</v>
      </c>
      <c r="U46" s="341">
        <f t="shared" si="270"/>
        <v>5.6059148225046845E-2</v>
      </c>
      <c r="V46" s="115">
        <f t="shared" ref="V46:AA46" si="272">V45/V11</f>
        <v>5.8968333892805189E-2</v>
      </c>
      <c r="W46" s="115">
        <f t="shared" si="272"/>
        <v>7.243614182234083E-2</v>
      </c>
      <c r="X46" s="115">
        <f t="shared" si="272"/>
        <v>5.249707166435949E-2</v>
      </c>
      <c r="Y46" s="683">
        <f t="shared" si="272"/>
        <v>5.5646359583952448E-2</v>
      </c>
      <c r="Z46" s="115">
        <f t="shared" si="272"/>
        <v>6.6241185856194346E-2</v>
      </c>
      <c r="AA46" s="115">
        <f t="shared" si="272"/>
        <v>5.4352107128790864E-2</v>
      </c>
      <c r="AB46" s="341">
        <f t="shared" si="270"/>
        <v>5.9815515610217598E-2</v>
      </c>
      <c r="AC46" s="115">
        <f t="shared" ref="AC46:AH46" si="273">AC45/AC11</f>
        <v>6.6433158201984824E-2</v>
      </c>
      <c r="AD46" s="115">
        <f t="shared" si="273"/>
        <v>7.7021412591882388E-2</v>
      </c>
      <c r="AE46" s="115">
        <f t="shared" si="273"/>
        <v>6.903765690376569E-2</v>
      </c>
      <c r="AF46" s="683">
        <f t="shared" si="273"/>
        <v>3.7597556837461826E-2</v>
      </c>
      <c r="AG46" s="115">
        <f t="shared" si="273"/>
        <v>7.271951045965562E-2</v>
      </c>
      <c r="AH46" s="115">
        <f t="shared" si="273"/>
        <v>5.0337060509425581E-2</v>
      </c>
      <c r="AI46" s="341">
        <f t="shared" si="270"/>
        <v>6.0627208095258865E-2</v>
      </c>
      <c r="AJ46" s="115">
        <f t="shared" ref="AJ46:AO46" si="274">AJ45/AJ11</f>
        <v>4.6838947854176277E-2</v>
      </c>
      <c r="AK46" s="115">
        <f t="shared" si="274"/>
        <v>6.9636084886629548E-2</v>
      </c>
      <c r="AL46" s="115">
        <f t="shared" si="274"/>
        <v>5.4258373205741624E-2</v>
      </c>
      <c r="AM46" s="683">
        <f t="shared" si="274"/>
        <v>5.5003949001466775E-2</v>
      </c>
      <c r="AN46" s="115">
        <f t="shared" si="274"/>
        <v>6.0253549214187359E-2</v>
      </c>
      <c r="AO46" s="115">
        <f t="shared" si="274"/>
        <v>5.4727427597955708E-2</v>
      </c>
      <c r="AP46" s="341">
        <f t="shared" si="270"/>
        <v>5.7091211893494732E-2</v>
      </c>
      <c r="AQ46" s="115">
        <f t="shared" ref="AQ46:AV46" si="275">AQ45/AQ11</f>
        <v>2.8600508905852418E-2</v>
      </c>
      <c r="AR46" s="115">
        <f t="shared" si="275"/>
        <v>5.6252089602139753E-2</v>
      </c>
      <c r="AS46" s="115">
        <f t="shared" si="275"/>
        <v>5.4449972360420124E-2</v>
      </c>
      <c r="AT46" s="683">
        <f t="shared" si="275"/>
        <v>0.10969150969150969</v>
      </c>
      <c r="AU46" s="115">
        <f t="shared" si="275"/>
        <v>4.378356051218505E-2</v>
      </c>
      <c r="AV46" s="115">
        <f t="shared" si="275"/>
        <v>8.9135726284754357E-2</v>
      </c>
      <c r="AW46" s="341">
        <f t="shared" si="270"/>
        <v>6.9743710506691786E-2</v>
      </c>
      <c r="AX46" s="115">
        <f t="shared" ref="AX46:BC46" si="276">AX45/AX11</f>
        <v>-1.2613274553024736E-2</v>
      </c>
      <c r="AY46" s="115">
        <f t="shared" si="276"/>
        <v>3.5942492012779555E-2</v>
      </c>
      <c r="AZ46" s="115">
        <f t="shared" si="276"/>
        <v>5.8422900925827394E-2</v>
      </c>
      <c r="BA46" s="683">
        <f t="shared" si="276"/>
        <v>9.9138743949204758E-2</v>
      </c>
      <c r="BB46" s="115">
        <f t="shared" si="276"/>
        <v>1.4134858651413486E-2</v>
      </c>
      <c r="BC46" s="115">
        <f t="shared" si="276"/>
        <v>8.4018337021814729E-2</v>
      </c>
      <c r="BD46" s="341">
        <f t="shared" si="270"/>
        <v>5.4799245734259303E-2</v>
      </c>
      <c r="BE46" s="115">
        <f t="shared" ref="BE46:BJ46" si="277">BE45/BE11</f>
        <v>-5.6770977568540567E-3</v>
      </c>
      <c r="BF46" s="115">
        <f t="shared" si="277"/>
        <v>8.0183680678205582E-2</v>
      </c>
      <c r="BG46" s="115">
        <f t="shared" si="277"/>
        <v>0.12344954743546765</v>
      </c>
      <c r="BH46" s="683">
        <f t="shared" si="277"/>
        <v>0.14109307111822547</v>
      </c>
      <c r="BI46" s="115">
        <f t="shared" si="277"/>
        <v>4.6748625040439987E-2</v>
      </c>
      <c r="BJ46" s="115">
        <f t="shared" si="277"/>
        <v>0.13393828167482327</v>
      </c>
      <c r="BK46" s="341">
        <f t="shared" si="270"/>
        <v>0.10022930998540755</v>
      </c>
      <c r="BL46" s="115">
        <f t="shared" ref="BL46:BQ46" si="278">BL45/BL11</f>
        <v>5.527482726616479E-2</v>
      </c>
      <c r="BM46" s="115">
        <f t="shared" si="278"/>
        <v>0.12560992611180816</v>
      </c>
      <c r="BN46" s="115">
        <f t="shared" si="278"/>
        <v>0.12967299852545755</v>
      </c>
      <c r="BO46" s="683">
        <f t="shared" si="278"/>
        <v>0.13148987137426443</v>
      </c>
      <c r="BP46" s="115">
        <f t="shared" si="278"/>
        <v>9.7242440627209589E-2</v>
      </c>
      <c r="BQ46" s="115">
        <f t="shared" si="278"/>
        <v>0.13080827801639985</v>
      </c>
      <c r="BR46" s="341">
        <f t="shared" si="270"/>
        <v>0.11607485166590598</v>
      </c>
      <c r="BS46" s="115">
        <f t="shared" ref="BS46:BX46" si="279">BS45/BS11</f>
        <v>2.5234509182190515E-2</v>
      </c>
      <c r="BT46" s="115">
        <f t="shared" si="279"/>
        <v>-0.30177276390008057</v>
      </c>
      <c r="BU46" s="115">
        <f t="shared" si="279"/>
        <v>8.6068751615404504E-2</v>
      </c>
      <c r="BV46" s="683">
        <f t="shared" si="279"/>
        <v>9.0063666928964878E-2</v>
      </c>
      <c r="BW46" s="115">
        <f t="shared" si="279"/>
        <v>-0.10428468842256443</v>
      </c>
      <c r="BX46" s="115">
        <f t="shared" si="279"/>
        <v>8.8640235760003683E-2</v>
      </c>
      <c r="BY46" s="341">
        <f t="shared" si="270"/>
        <v>1.8043795620437956E-2</v>
      </c>
      <c r="BZ46" s="115">
        <f t="shared" ref="BZ46:CE46" si="280">BZ45/BZ11</f>
        <v>7.3294829482948298E-2</v>
      </c>
      <c r="CA46" s="115">
        <f t="shared" si="280"/>
        <v>0.16677734560288399</v>
      </c>
      <c r="CB46" s="115">
        <f t="shared" si="280"/>
        <v>6.5833945628214555E-2</v>
      </c>
      <c r="CC46" s="683">
        <f t="shared" si="280"/>
        <v>7.1972977654598994E-2</v>
      </c>
      <c r="CD46" s="115">
        <f t="shared" si="280"/>
        <v>0.12861393364396789</v>
      </c>
      <c r="CE46" s="115">
        <f t="shared" si="280"/>
        <v>6.96964743065773E-2</v>
      </c>
      <c r="CF46" s="341">
        <f t="shared" si="270"/>
        <v>9.871695608892822E-2</v>
      </c>
      <c r="CG46" s="115">
        <f t="shared" si="270"/>
        <v>0.12469265893923429</v>
      </c>
      <c r="CH46" s="115">
        <f t="shared" si="270"/>
        <v>0.1346752669039146</v>
      </c>
      <c r="CI46" s="115">
        <f t="shared" si="270"/>
        <v>6.5672623615831593E-2</v>
      </c>
      <c r="CJ46" s="683">
        <f t="shared" si="270"/>
        <v>0.11675917151753079</v>
      </c>
      <c r="CK46" s="115">
        <f t="shared" si="270"/>
        <v>0.12981235384703133</v>
      </c>
      <c r="CL46" s="115">
        <f t="shared" si="270"/>
        <v>9.7258840761665619E-2</v>
      </c>
      <c r="CM46" s="341">
        <f t="shared" si="270"/>
        <v>0.11103601428985227</v>
      </c>
      <c r="CN46" s="115">
        <f t="shared" ref="CN46:CT46" si="281">CN45/CN11</f>
        <v>7.1516646115906288E-2</v>
      </c>
      <c r="CO46" s="115">
        <f t="shared" si="281"/>
        <v>0.13693929242585179</v>
      </c>
      <c r="CP46" s="115">
        <f t="shared" si="281"/>
        <v>8.6036924179960561E-2</v>
      </c>
      <c r="CQ46" s="683">
        <f t="shared" si="281"/>
        <v>9.8548228346456698E-2</v>
      </c>
      <c r="CR46" s="115">
        <f t="shared" si="281"/>
        <v>0.11086539879109539</v>
      </c>
      <c r="CS46" s="115">
        <f t="shared" si="281"/>
        <v>9.3455898446049457E-2</v>
      </c>
      <c r="CT46" s="341">
        <f t="shared" si="281"/>
        <v>0.10087306073739087</v>
      </c>
      <c r="CU46" s="115">
        <f t="shared" ref="CU46:CV46" si="282">CU45/CU11</f>
        <v>5.5307079742554818E-2</v>
      </c>
      <c r="CV46" s="115">
        <f t="shared" si="282"/>
        <v>0.12010292164674635</v>
      </c>
      <c r="CW46" s="115">
        <f t="shared" ref="CW46:CX46" si="283">CW45/CW11</f>
        <v>9.207818930041152E-2</v>
      </c>
      <c r="CX46" s="683">
        <f t="shared" si="283"/>
        <v>0.11622671244441943</v>
      </c>
      <c r="CY46" s="115">
        <f t="shared" ref="CY46:EQ46" si="284">CY45/CY11</f>
        <v>9.210464294131511E-2</v>
      </c>
      <c r="CZ46" s="115">
        <f t="shared" ref="CZ46" si="285">CZ45/CZ11</f>
        <v>0.10665624681458326</v>
      </c>
      <c r="DA46" s="341">
        <f t="shared" ref="DA46:DC46" si="286">DA45/DA11</f>
        <v>0.10056075504482091</v>
      </c>
      <c r="DB46" s="115">
        <f t="shared" si="286"/>
        <v>5.1885306165318772E-2</v>
      </c>
      <c r="DC46" s="115">
        <f t="shared" si="286"/>
        <v>0.10788822072868766</v>
      </c>
      <c r="DD46" s="115">
        <f t="shared" si="284"/>
        <v>0.11916979398024048</v>
      </c>
      <c r="DE46" s="683">
        <f t="shared" si="284"/>
        <v>0.1177037076667915</v>
      </c>
      <c r="DF46" s="115">
        <f t="shared" ref="DF46:DG46" si="287">DF45/DF11</f>
        <v>8.2289116136156318E-2</v>
      </c>
      <c r="DG46" s="115">
        <f t="shared" si="287"/>
        <v>0.11830666498677082</v>
      </c>
      <c r="DH46" s="341">
        <f t="shared" si="284"/>
        <v>0.10403788728911882</v>
      </c>
      <c r="DI46" s="115">
        <f t="shared" si="284"/>
        <v>9.6017069701280228E-3</v>
      </c>
      <c r="DJ46" s="115">
        <f t="shared" si="284"/>
        <v>0.12343760119163266</v>
      </c>
      <c r="DK46" s="403">
        <f t="shared" si="284"/>
        <v>0.10972065579233675</v>
      </c>
      <c r="DL46" s="432">
        <f t="shared" si="284"/>
        <v>0.1171974869262722</v>
      </c>
      <c r="DM46" s="115">
        <f t="shared" si="284"/>
        <v>8.3218159735310132E-2</v>
      </c>
      <c r="DN46" s="403">
        <f t="shared" si="284"/>
        <v>0.11405912266343801</v>
      </c>
      <c r="DO46" s="402">
        <f t="shared" si="284"/>
        <v>0.1014364738435818</v>
      </c>
      <c r="DP46" s="403">
        <f t="shared" si="284"/>
        <v>0.10769412876826408</v>
      </c>
      <c r="DQ46" s="403">
        <f t="shared" si="284"/>
        <v>0.11139448551509532</v>
      </c>
      <c r="DR46" s="403">
        <f t="shared" si="284"/>
        <v>0.11126143447153602</v>
      </c>
      <c r="DS46" s="432">
        <f t="shared" si="284"/>
        <v>0.11115461172247228</v>
      </c>
      <c r="DT46" s="403">
        <f t="shared" si="284"/>
        <v>0.10959505820323882</v>
      </c>
      <c r="DU46" s="403">
        <f t="shared" si="284"/>
        <v>0.11120857150746487</v>
      </c>
      <c r="DV46" s="402">
        <f t="shared" si="284"/>
        <v>0.11040963716122627</v>
      </c>
      <c r="DW46" s="403">
        <f t="shared" si="284"/>
        <v>0.12613210805921565</v>
      </c>
      <c r="DX46" s="403">
        <f t="shared" si="284"/>
        <v>0.12795480186640776</v>
      </c>
      <c r="DY46" s="403">
        <f t="shared" si="284"/>
        <v>0.12780406810304545</v>
      </c>
      <c r="DZ46" s="432">
        <f t="shared" si="284"/>
        <v>0.13029744852447409</v>
      </c>
      <c r="EA46" s="403">
        <f t="shared" si="284"/>
        <v>0.12706972337149008</v>
      </c>
      <c r="EB46" s="403">
        <f t="shared" si="284"/>
        <v>0.12905098723811159</v>
      </c>
      <c r="EC46" s="402">
        <f t="shared" si="284"/>
        <v>0.12807573833658487</v>
      </c>
      <c r="ED46" s="403">
        <f t="shared" si="284"/>
        <v>0.13413123771514029</v>
      </c>
      <c r="EE46" s="403">
        <f t="shared" si="284"/>
        <v>0.13225227386145463</v>
      </c>
      <c r="EF46" s="403">
        <f t="shared" si="284"/>
        <v>0.13209048198447143</v>
      </c>
      <c r="EG46" s="432">
        <f t="shared" si="284"/>
        <v>0.1350210007438426</v>
      </c>
      <c r="EH46" s="403">
        <f t="shared" si="284"/>
        <v>0.13318486758631726</v>
      </c>
      <c r="EI46" s="403">
        <f t="shared" si="284"/>
        <v>0.13355557889086928</v>
      </c>
      <c r="EJ46" s="402">
        <f t="shared" si="284"/>
        <v>0.13337112037970139</v>
      </c>
      <c r="EK46" s="403">
        <f t="shared" si="284"/>
        <v>0.13808818022734093</v>
      </c>
      <c r="EL46" s="403">
        <f t="shared" si="284"/>
        <v>0.13612784204851039</v>
      </c>
      <c r="EM46" s="403">
        <f t="shared" si="284"/>
        <v>0.1359496632120496</v>
      </c>
      <c r="EN46" s="432">
        <f t="shared" si="284"/>
        <v>0.13893272893993835</v>
      </c>
      <c r="EO46" s="403">
        <f t="shared" si="284"/>
        <v>0.13710056418506847</v>
      </c>
      <c r="EP46" s="403">
        <f t="shared" si="284"/>
        <v>0.1374403140292117</v>
      </c>
      <c r="EQ46" s="402">
        <f t="shared" si="284"/>
        <v>0.13727124954148279</v>
      </c>
    </row>
    <row r="47" spans="1:147" ht="10.199999999999999" customHeight="1">
      <c r="A47" s="51" t="s">
        <v>30</v>
      </c>
      <c r="B47" s="118"/>
      <c r="C47" s="118"/>
      <c r="D47" s="118"/>
      <c r="E47" s="118"/>
      <c r="F47" s="118"/>
      <c r="G47" s="118"/>
      <c r="H47" s="118"/>
      <c r="I47" s="115"/>
      <c r="J47" s="115"/>
      <c r="K47" s="115"/>
      <c r="L47" s="115"/>
      <c r="M47" s="115"/>
      <c r="N47" s="115"/>
      <c r="O47" s="937"/>
      <c r="P47" s="937"/>
      <c r="Q47" s="937"/>
      <c r="R47" s="966"/>
      <c r="S47" s="937"/>
      <c r="T47" s="937"/>
      <c r="U47" s="341">
        <f>U45/N45-1</f>
        <v>0.34426229508196715</v>
      </c>
      <c r="V47" s="115">
        <f t="shared" ref="V47:AA47" si="288">V45/O45-1</f>
        <v>-0.13322368421052633</v>
      </c>
      <c r="W47" s="115">
        <f t="shared" si="288"/>
        <v>0.2199036918138042</v>
      </c>
      <c r="X47" s="115">
        <f t="shared" si="288"/>
        <v>2.4948024948024949E-2</v>
      </c>
      <c r="Y47" s="683">
        <f t="shared" si="288"/>
        <v>0.49203187250996017</v>
      </c>
      <c r="Z47" s="115">
        <f t="shared" si="288"/>
        <v>4.5491470349309449E-2</v>
      </c>
      <c r="AA47" s="115">
        <f t="shared" si="288"/>
        <v>0.26347914547304163</v>
      </c>
      <c r="AB47" s="341">
        <f>AB45/U45-1</f>
        <v>0.14227642276422769</v>
      </c>
      <c r="AC47" s="115">
        <f t="shared" ref="AC47:AH47" si="289">AC45/V45-1</f>
        <v>7.9696394686906924E-2</v>
      </c>
      <c r="AD47" s="115">
        <f t="shared" si="289"/>
        <v>0.26842105263157889</v>
      </c>
      <c r="AE47" s="115">
        <f t="shared" si="289"/>
        <v>0.40567951318458428</v>
      </c>
      <c r="AF47" s="683">
        <f t="shared" si="289"/>
        <v>-0.26034712950600802</v>
      </c>
      <c r="AG47" s="115">
        <f t="shared" si="289"/>
        <v>0.19114219114219111</v>
      </c>
      <c r="AH47" s="115">
        <f t="shared" si="289"/>
        <v>4.0257648953301306E-3</v>
      </c>
      <c r="AI47" s="341">
        <f>AI45/AB45-1</f>
        <v>9.9248714907077984E-2</v>
      </c>
      <c r="AJ47" s="115">
        <f t="shared" ref="AJ47" si="290">AJ45/AC45-1</f>
        <v>-0.28646748681898071</v>
      </c>
      <c r="AK47" s="115">
        <f t="shared" ref="AK47" si="291">AK45/AD45-1</f>
        <v>-0.10477178423236511</v>
      </c>
      <c r="AL47" s="115">
        <f t="shared" ref="AL47" si="292">AL45/AE45-1</f>
        <v>-0.18181818181818177</v>
      </c>
      <c r="AM47" s="683">
        <f t="shared" ref="AM47" si="293">AM45/AF45-1</f>
        <v>0.75992779783393494</v>
      </c>
      <c r="AN47" s="115">
        <f t="shared" ref="AN47" si="294">AN45/AG45-1</f>
        <v>-0.17221135029354206</v>
      </c>
      <c r="AO47" s="115">
        <f t="shared" ref="AO47" si="295">AO45/AH45-1</f>
        <v>0.23656776263031265</v>
      </c>
      <c r="AP47" s="341">
        <f t="shared" ref="AP47:AV47" si="296">AP45/AI45-1</f>
        <v>1.1151079136690667E-2</v>
      </c>
      <c r="AQ47" s="115">
        <f t="shared" si="296"/>
        <v>-0.30788177339901479</v>
      </c>
      <c r="AR47" s="115">
        <f t="shared" si="296"/>
        <v>-0.22016222479721903</v>
      </c>
      <c r="AS47" s="115">
        <f t="shared" si="296"/>
        <v>4.2328042328042326E-2</v>
      </c>
      <c r="AT47" s="683">
        <f t="shared" si="296"/>
        <v>1.0605128205128205</v>
      </c>
      <c r="AU47" s="115">
        <f t="shared" si="296"/>
        <v>-0.24822695035460995</v>
      </c>
      <c r="AV47" s="115">
        <f t="shared" si="296"/>
        <v>0.68612191958495461</v>
      </c>
      <c r="AW47" s="341">
        <f>AW45/AP45-1</f>
        <v>0.26431874777659203</v>
      </c>
      <c r="AX47" s="115">
        <f t="shared" ref="AX47:BC47" si="297">AX45/AJ45-1</f>
        <v>-1.2536945812807883</v>
      </c>
      <c r="AY47" s="115">
        <f t="shared" si="297"/>
        <v>-0.58285052143684823</v>
      </c>
      <c r="AZ47" s="115">
        <f t="shared" si="297"/>
        <v>-3.1746031746031744E-2</v>
      </c>
      <c r="BA47" s="683">
        <f t="shared" si="297"/>
        <v>0.61743589743589733</v>
      </c>
      <c r="BB47" s="115">
        <f t="shared" si="297"/>
        <v>-0.79747832939322305</v>
      </c>
      <c r="BC47" s="115">
        <f t="shared" si="297"/>
        <v>0.37872892347600517</v>
      </c>
      <c r="BD47" s="341">
        <f>BD45/AP45-1</f>
        <v>-0.15225898256848092</v>
      </c>
      <c r="BE47" s="269">
        <f>-(BE45/AX45-1)</f>
        <v>0.60194174757281549</v>
      </c>
      <c r="BF47" s="115">
        <f t="shared" ref="BF47:BJ47" si="298">BF45/AY45-1</f>
        <v>1.5222222222222221</v>
      </c>
      <c r="BG47" s="115">
        <f t="shared" si="298"/>
        <v>1.6830601092896176</v>
      </c>
      <c r="BH47" s="683">
        <f t="shared" si="298"/>
        <v>0.56499682942295504</v>
      </c>
      <c r="BI47" s="115">
        <f t="shared" si="298"/>
        <v>2.3735408560311284</v>
      </c>
      <c r="BJ47" s="115">
        <f t="shared" si="298"/>
        <v>0.85371589840075268</v>
      </c>
      <c r="BK47" s="341">
        <f>BK45/BD45-1</f>
        <v>1.0176248426353336</v>
      </c>
      <c r="BL47" s="269">
        <f>-(BL45/BE45-1)</f>
        <v>14.073170731707316</v>
      </c>
      <c r="BM47" s="115">
        <f t="shared" ref="BM47:BQ47" si="299">BM45/BF45-1</f>
        <v>0.98458149779735682</v>
      </c>
      <c r="BN47" s="115">
        <f t="shared" si="299"/>
        <v>1.4935505770536261E-2</v>
      </c>
      <c r="BO47" s="683">
        <f t="shared" si="299"/>
        <v>2.3095623987034131E-2</v>
      </c>
      <c r="BP47" s="115">
        <f t="shared" si="299"/>
        <v>1.696655132641292</v>
      </c>
      <c r="BQ47" s="115">
        <f t="shared" si="299"/>
        <v>2.0045673686881482E-2</v>
      </c>
      <c r="BR47" s="341">
        <f>BR45/BK45-1</f>
        <v>0.32237936772046583</v>
      </c>
      <c r="BS47" s="115">
        <f t="shared" ref="BS47:BX47" si="300">BS45/BL45-1</f>
        <v>-0.64365671641791045</v>
      </c>
      <c r="BT47" s="115">
        <f t="shared" si="300"/>
        <v>-1.8312985571587126</v>
      </c>
      <c r="BU47" s="115">
        <f t="shared" si="300"/>
        <v>-0.55451505016722402</v>
      </c>
      <c r="BV47" s="683">
        <f t="shared" si="300"/>
        <v>-0.50138613861386139</v>
      </c>
      <c r="BW47" s="115">
        <f t="shared" si="300"/>
        <v>-1.5590248075278015</v>
      </c>
      <c r="BX47" s="115">
        <f t="shared" si="300"/>
        <v>-0.52114427860696511</v>
      </c>
      <c r="BY47" s="341">
        <f>BY45/BR45-1</f>
        <v>-0.90279962252280588</v>
      </c>
      <c r="BZ47" s="115">
        <f t="shared" ref="BZ47:CE47" si="301">BZ45/BS45-1</f>
        <v>1.7905759162303663</v>
      </c>
      <c r="CA47" s="115">
        <f>-(CA45/BT45-1)</f>
        <v>2.1735647530040056</v>
      </c>
      <c r="CB47" s="115">
        <f t="shared" si="301"/>
        <v>-0.32732732732732728</v>
      </c>
      <c r="CC47" s="683">
        <f t="shared" si="301"/>
        <v>-0.33995234312946787</v>
      </c>
      <c r="CD47" s="115">
        <f>-(CD45/BW45-1)</f>
        <v>2.7528691660290745</v>
      </c>
      <c r="CE47" s="115">
        <f t="shared" si="301"/>
        <v>-0.33558441558441554</v>
      </c>
      <c r="CF47" s="341">
        <f>CF45/BY45-1</f>
        <v>4.7766990291262132</v>
      </c>
      <c r="CG47" s="115">
        <f t="shared" ref="CG47:CL47" si="302">CG45/BZ45-1</f>
        <v>0.99812382739212002</v>
      </c>
      <c r="CH47" s="115">
        <f t="shared" si="302"/>
        <v>-0.31114903299203645</v>
      </c>
      <c r="CI47" s="115">
        <f t="shared" si="302"/>
        <v>0.3370535714285714</v>
      </c>
      <c r="CJ47" s="683">
        <f t="shared" si="302"/>
        <v>1.0758122743682312</v>
      </c>
      <c r="CK47" s="115">
        <f t="shared" si="302"/>
        <v>-6.5473592317765172E-3</v>
      </c>
      <c r="CL47" s="115">
        <f t="shared" si="302"/>
        <v>0.81704456606724007</v>
      </c>
      <c r="CM47" s="341">
        <f>CM45/CF45-1</f>
        <v>0.28851540616246507</v>
      </c>
      <c r="CN47" s="115">
        <f t="shared" ref="CN47:CS47" si="303">CN45/CG45-1</f>
        <v>-0.45539906103286387</v>
      </c>
      <c r="CO47" s="115">
        <f t="shared" si="303"/>
        <v>0.38398018166804304</v>
      </c>
      <c r="CP47" s="115">
        <f t="shared" si="303"/>
        <v>0.60267111853088484</v>
      </c>
      <c r="CQ47" s="683">
        <f t="shared" si="303"/>
        <v>-7.1304347826086967E-2</v>
      </c>
      <c r="CR47" s="115">
        <f t="shared" si="303"/>
        <v>-8.7873462214411724E-3</v>
      </c>
      <c r="CS47" s="115">
        <f t="shared" si="303"/>
        <v>0.10240963855421681</v>
      </c>
      <c r="CT47" s="341">
        <f>CT45/CM45-1</f>
        <v>4.7391304347826013E-2</v>
      </c>
      <c r="CU47" s="937">
        <f t="shared" ref="CU47:DJ47" si="304">CU45/CN45-1</f>
        <v>-0.12586206896551722</v>
      </c>
      <c r="CV47" s="937">
        <f t="shared" si="304"/>
        <v>-0.13663484486873512</v>
      </c>
      <c r="CW47" s="937">
        <f t="shared" si="304"/>
        <v>0.11874999999999991</v>
      </c>
      <c r="CX47" s="966">
        <f t="shared" si="304"/>
        <v>0.28901373283395748</v>
      </c>
      <c r="CY47" s="937">
        <f t="shared" si="304"/>
        <v>-0.13386524822695034</v>
      </c>
      <c r="CZ47" s="937">
        <f t="shared" si="304"/>
        <v>0.22521467603434808</v>
      </c>
      <c r="DA47" s="1281">
        <f t="shared" si="304"/>
        <v>5.7077625570776336E-2</v>
      </c>
      <c r="DB47" s="937">
        <f t="shared" si="304"/>
        <v>-2.5641025641025661E-2</v>
      </c>
      <c r="DC47" s="937">
        <f t="shared" si="304"/>
        <v>-0.15687629578438145</v>
      </c>
      <c r="DD47" s="937">
        <f t="shared" ref="DD47:EQ47" si="305">DD45/CW45-1</f>
        <v>0.44878957169459954</v>
      </c>
      <c r="DE47" s="966">
        <f t="shared" si="304"/>
        <v>6.5375302663438273E-2</v>
      </c>
      <c r="DF47" s="937">
        <f t="shared" si="305"/>
        <v>-0.12282497441146367</v>
      </c>
      <c r="DG47" s="937">
        <f t="shared" si="304"/>
        <v>0.19655941382605935</v>
      </c>
      <c r="DH47" s="1281">
        <f t="shared" si="305"/>
        <v>7.4023169055566385E-2</v>
      </c>
      <c r="DI47" s="937">
        <f t="shared" si="304"/>
        <v>-0.83603238866396756</v>
      </c>
      <c r="DJ47" s="937">
        <f t="shared" si="304"/>
        <v>0.56229508196721301</v>
      </c>
      <c r="DK47" s="403">
        <f t="shared" si="305"/>
        <v>2.0004352673108405E-2</v>
      </c>
      <c r="DL47" s="432">
        <f t="shared" si="305"/>
        <v>6.5250574501383607E-2</v>
      </c>
      <c r="DM47" s="937">
        <f t="shared" si="305"/>
        <v>0.15927654609101527</v>
      </c>
      <c r="DN47" s="403">
        <f t="shared" si="305"/>
        <v>4.6506399537380672E-2</v>
      </c>
      <c r="DO47" s="402">
        <f t="shared" si="305"/>
        <v>8.1842419865155502E-2</v>
      </c>
      <c r="DP47" s="403">
        <f t="shared" si="305"/>
        <v>20.203649025307968</v>
      </c>
      <c r="DQ47" s="403">
        <f t="shared" si="305"/>
        <v>-1.5363157444885256E-2</v>
      </c>
      <c r="DR47" s="403">
        <f t="shared" si="305"/>
        <v>0.18406209766539572</v>
      </c>
      <c r="DS47" s="432">
        <f t="shared" si="305"/>
        <v>-0.21516968392568714</v>
      </c>
      <c r="DT47" s="403">
        <f t="shared" si="305"/>
        <v>0.80886431452440566</v>
      </c>
      <c r="DU47" s="403">
        <f t="shared" si="305"/>
        <v>-5.3968119414529836E-2</v>
      </c>
      <c r="DV47" s="402">
        <f t="shared" si="305"/>
        <v>0.23574822466755285</v>
      </c>
      <c r="DW47" s="403">
        <f t="shared" si="305"/>
        <v>0.28398161881538608</v>
      </c>
      <c r="DX47" s="403">
        <f t="shared" si="305"/>
        <v>0.26278464135691193</v>
      </c>
      <c r="DY47" s="403">
        <f t="shared" si="305"/>
        <v>0.26269514060157872</v>
      </c>
      <c r="DZ47" s="432">
        <f t="shared" si="305"/>
        <v>0.31578553165403722</v>
      </c>
      <c r="EA47" s="403">
        <f t="shared" si="305"/>
        <v>0.27291362117093287</v>
      </c>
      <c r="EB47" s="403">
        <f t="shared" si="305"/>
        <v>0.28895503096244757</v>
      </c>
      <c r="EC47" s="402">
        <f t="shared" si="305"/>
        <v>0.28107069605938118</v>
      </c>
      <c r="ED47" s="403">
        <f t="shared" si="305"/>
        <v>0.14719867883647741</v>
      </c>
      <c r="EE47" s="403">
        <f t="shared" si="305"/>
        <v>6.8086809396610493E-2</v>
      </c>
      <c r="EF47" s="403">
        <f t="shared" si="305"/>
        <v>6.8066386526544287E-2</v>
      </c>
      <c r="EG47" s="432">
        <f t="shared" si="305"/>
        <v>7.0239569903750132E-2</v>
      </c>
      <c r="EH47" s="403">
        <f t="shared" si="305"/>
        <v>0.10621913454557275</v>
      </c>
      <c r="EI47" s="403">
        <f t="shared" si="305"/>
        <v>6.9163674702262368E-2</v>
      </c>
      <c r="EJ47" s="402">
        <f t="shared" si="305"/>
        <v>8.7260424168389639E-2</v>
      </c>
      <c r="EK47" s="403">
        <f t="shared" si="305"/>
        <v>5.9728299299911081E-2</v>
      </c>
      <c r="EL47" s="403">
        <f t="shared" si="305"/>
        <v>6.0089594086105258E-2</v>
      </c>
      <c r="EM47" s="403">
        <f t="shared" si="305"/>
        <v>6.0081375838899609E-2</v>
      </c>
      <c r="EN47" s="432">
        <f t="shared" si="305"/>
        <v>5.8811117059853979E-2</v>
      </c>
      <c r="EO47" s="403">
        <f t="shared" si="305"/>
        <v>5.9908996971797412E-2</v>
      </c>
      <c r="EP47" s="403">
        <f t="shared" si="305"/>
        <v>5.9439348769931399E-2</v>
      </c>
      <c r="EQ47" s="402">
        <f t="shared" si="305"/>
        <v>5.9672709952520275E-2</v>
      </c>
    </row>
    <row r="48" spans="1:147" ht="10.199999999999999" customHeight="1">
      <c r="A48" s="48"/>
      <c r="B48" s="111"/>
      <c r="C48" s="111"/>
      <c r="D48" s="111"/>
      <c r="E48" s="111"/>
      <c r="F48" s="111"/>
      <c r="G48" s="111"/>
      <c r="H48" s="111"/>
      <c r="I48" s="251"/>
      <c r="J48" s="251"/>
      <c r="K48" s="251"/>
      <c r="L48" s="251"/>
      <c r="M48" s="251"/>
      <c r="N48" s="74"/>
      <c r="O48" s="399"/>
      <c r="P48" s="399"/>
      <c r="Q48" s="399"/>
      <c r="R48" s="425"/>
      <c r="S48" s="399"/>
      <c r="T48" s="399"/>
      <c r="U48" s="338"/>
      <c r="V48" s="399"/>
      <c r="W48" s="399"/>
      <c r="X48" s="399"/>
      <c r="Y48" s="425"/>
      <c r="Z48" s="399"/>
      <c r="AA48" s="399"/>
      <c r="AB48" s="338"/>
      <c r="AC48" s="399"/>
      <c r="AD48" s="399"/>
      <c r="AE48" s="399"/>
      <c r="AF48" s="425"/>
      <c r="AG48" s="399"/>
      <c r="AH48" s="399"/>
      <c r="AI48" s="338"/>
      <c r="AJ48" s="399"/>
      <c r="AK48" s="399"/>
      <c r="AL48" s="399"/>
      <c r="AM48" s="425"/>
      <c r="AN48" s="399"/>
      <c r="AO48" s="399"/>
      <c r="AP48" s="338"/>
      <c r="AQ48" s="399"/>
      <c r="AR48" s="399"/>
      <c r="AS48" s="399"/>
      <c r="AT48" s="425"/>
      <c r="AU48" s="399"/>
      <c r="AV48" s="399"/>
      <c r="AW48" s="338"/>
      <c r="AX48" s="399"/>
      <c r="AY48" s="399"/>
      <c r="AZ48" s="399"/>
      <c r="BA48" s="425"/>
      <c r="BB48" s="399"/>
      <c r="BC48" s="399"/>
      <c r="BD48" s="338"/>
      <c r="BE48" s="399"/>
      <c r="BF48" s="399"/>
      <c r="BG48" s="399"/>
      <c r="BH48" s="425"/>
      <c r="BI48" s="399"/>
      <c r="BJ48" s="399"/>
      <c r="BK48" s="338"/>
      <c r="BL48" s="399"/>
      <c r="BM48" s="399"/>
      <c r="BN48" s="399"/>
      <c r="BO48" s="425"/>
      <c r="BP48" s="399"/>
      <c r="BQ48" s="399"/>
      <c r="BR48" s="338"/>
      <c r="BS48" s="399"/>
      <c r="BT48" s="399"/>
      <c r="BU48" s="399"/>
      <c r="BV48" s="425"/>
      <c r="BW48" s="399"/>
      <c r="BX48" s="399"/>
      <c r="BY48" s="338"/>
      <c r="BZ48" s="399"/>
      <c r="CA48" s="399"/>
      <c r="CB48" s="399"/>
      <c r="CC48" s="425"/>
      <c r="CD48" s="399"/>
      <c r="CE48" s="399"/>
      <c r="CF48" s="338"/>
      <c r="CG48" s="399"/>
      <c r="CH48" s="399"/>
      <c r="CI48" s="399"/>
      <c r="CJ48" s="425"/>
      <c r="CK48" s="399"/>
      <c r="CL48" s="399"/>
      <c r="CM48" s="338"/>
      <c r="CN48" s="399"/>
      <c r="CO48" s="399"/>
      <c r="CP48" s="399"/>
      <c r="CQ48" s="425"/>
      <c r="CR48" s="399"/>
      <c r="CS48" s="399"/>
      <c r="CT48" s="338"/>
      <c r="CU48" s="399"/>
      <c r="CV48" s="399"/>
      <c r="CW48" s="399"/>
      <c r="CX48" s="425"/>
      <c r="CY48" s="399"/>
      <c r="CZ48" s="399"/>
      <c r="DA48" s="338"/>
      <c r="DB48" s="399"/>
      <c r="DC48" s="399"/>
      <c r="DD48" s="399"/>
      <c r="DE48" s="425"/>
      <c r="DF48" s="399"/>
      <c r="DG48" s="399"/>
      <c r="DH48" s="338"/>
      <c r="DI48" s="399"/>
      <c r="DJ48" s="399"/>
      <c r="DK48" s="399"/>
      <c r="DL48" s="425"/>
      <c r="DM48" s="399"/>
      <c r="DN48" s="399"/>
      <c r="DO48" s="338"/>
      <c r="DP48" s="399"/>
      <c r="DQ48" s="399"/>
      <c r="DR48" s="399"/>
      <c r="DS48" s="425"/>
      <c r="DT48" s="399"/>
      <c r="DU48" s="399"/>
      <c r="DV48" s="338"/>
      <c r="DW48" s="399"/>
      <c r="DX48" s="399"/>
      <c r="DY48" s="399"/>
      <c r="DZ48" s="425"/>
      <c r="EA48" s="399"/>
      <c r="EB48" s="399"/>
      <c r="EC48" s="338"/>
      <c r="ED48" s="399"/>
      <c r="EE48" s="399"/>
      <c r="EF48" s="399"/>
      <c r="EG48" s="425"/>
      <c r="EH48" s="399"/>
      <c r="EI48" s="399"/>
      <c r="EJ48" s="338"/>
      <c r="EK48" s="399"/>
      <c r="EL48" s="399"/>
      <c r="EM48" s="399"/>
      <c r="EN48" s="425"/>
      <c r="EO48" s="399"/>
      <c r="EP48" s="399"/>
      <c r="EQ48" s="338"/>
    </row>
    <row r="49" spans="1:147" ht="10.199999999999999" customHeight="1">
      <c r="A49" s="48" t="s">
        <v>723</v>
      </c>
      <c r="B49" s="111"/>
      <c r="C49" s="111"/>
      <c r="D49" s="111"/>
      <c r="E49" s="111"/>
      <c r="F49" s="111"/>
      <c r="G49" s="111"/>
      <c r="H49" s="111"/>
      <c r="I49" s="251"/>
      <c r="J49" s="251"/>
      <c r="K49" s="251"/>
      <c r="L49" s="251"/>
      <c r="M49" s="251"/>
      <c r="N49" s="74"/>
      <c r="O49" s="399"/>
      <c r="P49" s="399"/>
      <c r="Q49" s="399"/>
      <c r="R49" s="425"/>
      <c r="S49" s="399"/>
      <c r="T49" s="399"/>
      <c r="U49" s="338"/>
      <c r="V49" s="399"/>
      <c r="W49" s="399"/>
      <c r="X49" s="399"/>
      <c r="Y49" s="425"/>
      <c r="Z49" s="399"/>
      <c r="AA49" s="399"/>
      <c r="AB49" s="338"/>
      <c r="AC49" s="399"/>
      <c r="AD49" s="399"/>
      <c r="AE49" s="399"/>
      <c r="AF49" s="425"/>
      <c r="AG49" s="399"/>
      <c r="AH49" s="399"/>
      <c r="AI49" s="338"/>
      <c r="AJ49" s="399"/>
      <c r="AK49" s="399"/>
      <c r="AL49" s="399"/>
      <c r="AM49" s="425"/>
      <c r="AN49" s="399"/>
      <c r="AO49" s="399"/>
      <c r="AP49" s="338"/>
      <c r="AQ49" s="399"/>
      <c r="AR49" s="399"/>
      <c r="AS49" s="399"/>
      <c r="AT49" s="425"/>
      <c r="AU49" s="399"/>
      <c r="AV49" s="399"/>
      <c r="AW49" s="338"/>
      <c r="AX49" s="399"/>
      <c r="AY49" s="399"/>
      <c r="AZ49" s="399"/>
      <c r="BA49" s="425"/>
      <c r="BB49" s="399"/>
      <c r="BC49" s="399"/>
      <c r="BD49" s="338"/>
      <c r="BE49" s="399"/>
      <c r="BF49" s="399"/>
      <c r="BG49" s="399"/>
      <c r="BH49" s="425"/>
      <c r="BI49" s="399"/>
      <c r="BJ49" s="399"/>
      <c r="BK49" s="338"/>
      <c r="BL49" s="399"/>
      <c r="BM49" s="399"/>
      <c r="BN49" s="399"/>
      <c r="BO49" s="425"/>
      <c r="BP49" s="399"/>
      <c r="BQ49" s="399"/>
      <c r="BR49" s="338"/>
      <c r="BS49" s="399"/>
      <c r="BT49" s="399"/>
      <c r="BU49" s="399"/>
      <c r="BV49" s="425"/>
      <c r="BW49" s="399"/>
      <c r="BX49" s="399"/>
      <c r="BY49" s="338"/>
      <c r="BZ49" s="399"/>
      <c r="CA49" s="399"/>
      <c r="CB49" s="399"/>
      <c r="CC49" s="425"/>
      <c r="CD49" s="399"/>
      <c r="CE49" s="399"/>
      <c r="CF49" s="338"/>
      <c r="CG49" s="399"/>
      <c r="CH49" s="399"/>
      <c r="CI49" s="399"/>
      <c r="CJ49" s="425"/>
      <c r="CK49" s="399"/>
      <c r="CL49" s="399"/>
      <c r="CM49" s="338"/>
      <c r="CN49" s="399"/>
      <c r="CO49" s="399"/>
      <c r="CP49" s="399"/>
      <c r="CQ49" s="425"/>
      <c r="CR49" s="399"/>
      <c r="CS49" s="399"/>
      <c r="CT49" s="338"/>
      <c r="CU49" s="399"/>
      <c r="CV49" s="399"/>
      <c r="CW49" s="399"/>
      <c r="CX49" s="425"/>
      <c r="CY49" s="399"/>
      <c r="CZ49" s="399"/>
      <c r="DA49" s="338"/>
      <c r="DB49" s="399"/>
      <c r="DC49" s="399"/>
      <c r="DD49" s="399"/>
      <c r="DE49" s="425"/>
      <c r="DF49" s="399"/>
      <c r="DG49" s="399"/>
      <c r="DH49" s="338"/>
      <c r="DI49" s="399"/>
      <c r="DJ49" s="399"/>
      <c r="DK49" s="399"/>
      <c r="DL49" s="425"/>
      <c r="DM49" s="399"/>
      <c r="DN49" s="399"/>
      <c r="DO49" s="338"/>
      <c r="DP49" s="399"/>
      <c r="DQ49" s="399"/>
      <c r="DR49" s="399"/>
      <c r="DS49" s="425"/>
      <c r="DT49" s="399"/>
      <c r="DU49" s="399"/>
      <c r="DV49" s="338"/>
      <c r="DW49" s="399"/>
      <c r="DX49" s="399"/>
      <c r="DY49" s="399"/>
      <c r="DZ49" s="425"/>
      <c r="EA49" s="399"/>
      <c r="EB49" s="399"/>
      <c r="EC49" s="338"/>
      <c r="ED49" s="399"/>
      <c r="EE49" s="399"/>
      <c r="EF49" s="399"/>
      <c r="EG49" s="425"/>
      <c r="EH49" s="399"/>
      <c r="EI49" s="399"/>
      <c r="EJ49" s="338"/>
      <c r="EK49" s="399"/>
      <c r="EL49" s="399"/>
      <c r="EM49" s="399"/>
      <c r="EN49" s="425"/>
      <c r="EO49" s="399"/>
      <c r="EP49" s="399"/>
      <c r="EQ49" s="338"/>
    </row>
    <row r="50" spans="1:147" ht="10.199999999999999" customHeight="1" outlineLevel="1">
      <c r="A50" s="108" t="s">
        <v>98</v>
      </c>
      <c r="B50" s="111"/>
      <c r="C50" s="111"/>
      <c r="D50" s="111"/>
      <c r="E50" s="111"/>
      <c r="F50" s="111"/>
      <c r="G50" s="111"/>
      <c r="H50" s="111"/>
      <c r="I50" s="111"/>
      <c r="J50" s="197"/>
      <c r="K50" s="111"/>
      <c r="L50" s="111">
        <v>0</v>
      </c>
      <c r="M50" s="197">
        <v>0</v>
      </c>
      <c r="N50" s="197"/>
      <c r="O50" s="197"/>
      <c r="P50" s="158"/>
      <c r="Q50" s="197"/>
      <c r="R50" s="695"/>
      <c r="S50" s="197"/>
      <c r="T50" s="158"/>
      <c r="U50" s="339"/>
      <c r="V50" s="1210"/>
      <c r="W50" s="158"/>
      <c r="X50" s="197"/>
      <c r="Y50" s="695"/>
      <c r="Z50" s="197"/>
      <c r="AA50" s="158"/>
      <c r="AB50" s="339"/>
      <c r="AC50" s="1210"/>
      <c r="AD50" s="158"/>
      <c r="AE50" s="197"/>
      <c r="AF50" s="695"/>
      <c r="AG50" s="197"/>
      <c r="AH50" s="158"/>
      <c r="AI50" s="339"/>
      <c r="AJ50" s="1210"/>
      <c r="AK50" s="158"/>
      <c r="AL50" s="197"/>
      <c r="AM50" s="695"/>
      <c r="AN50" s="197"/>
      <c r="AO50" s="158"/>
      <c r="AP50" s="339"/>
      <c r="AQ50" s="1210"/>
      <c r="AR50" s="158"/>
      <c r="AS50" s="197"/>
      <c r="AT50" s="695"/>
      <c r="AU50" s="197"/>
      <c r="AV50" s="158"/>
      <c r="AW50" s="339"/>
      <c r="AX50" s="1210"/>
      <c r="AY50" s="158"/>
      <c r="AZ50" s="197"/>
      <c r="BA50" s="695"/>
      <c r="BB50" s="197"/>
      <c r="BC50" s="158"/>
      <c r="BD50" s="339"/>
      <c r="BE50" s="1210"/>
      <c r="BF50" s="158"/>
      <c r="BG50" s="197"/>
      <c r="BH50" s="695"/>
      <c r="BI50" s="197"/>
      <c r="BJ50" s="158"/>
      <c r="BK50" s="339"/>
      <c r="BL50" s="1210"/>
      <c r="BM50" s="158"/>
      <c r="BN50" s="197"/>
      <c r="BO50" s="695"/>
      <c r="BP50" s="197"/>
      <c r="BQ50" s="158"/>
      <c r="BR50" s="339"/>
      <c r="BS50" s="1210"/>
      <c r="BT50" s="158"/>
      <c r="BU50" s="197"/>
      <c r="BV50" s="695"/>
      <c r="BW50" s="197"/>
      <c r="BX50" s="158"/>
      <c r="BY50" s="339"/>
      <c r="BZ50" s="1210"/>
      <c r="CA50" s="158"/>
      <c r="CB50" s="197"/>
      <c r="CC50" s="695"/>
      <c r="CD50" s="197"/>
      <c r="CE50" s="158"/>
      <c r="CF50" s="339"/>
      <c r="CG50" s="1210"/>
      <c r="CH50" s="158"/>
      <c r="CI50" s="197"/>
      <c r="CJ50" s="695"/>
      <c r="CK50" s="197"/>
      <c r="CL50" s="158"/>
      <c r="CM50" s="339"/>
      <c r="CN50" s="1210">
        <v>0</v>
      </c>
      <c r="CO50" s="158">
        <f>CR50-CN50</f>
        <v>0</v>
      </c>
      <c r="CP50" s="197">
        <v>0</v>
      </c>
      <c r="CQ50" s="695">
        <f>CS50-CP50</f>
        <v>0</v>
      </c>
      <c r="CR50" s="197">
        <v>0</v>
      </c>
      <c r="CS50" s="158">
        <f>CT50-CR50</f>
        <v>0</v>
      </c>
      <c r="CT50" s="339">
        <v>0</v>
      </c>
      <c r="CU50" s="1210">
        <v>0</v>
      </c>
      <c r="CV50" s="158">
        <f>CY50-CU50</f>
        <v>0</v>
      </c>
      <c r="CW50" s="197">
        <v>0</v>
      </c>
      <c r="CX50" s="695">
        <f>CZ50-CW50</f>
        <v>0</v>
      </c>
      <c r="CY50" s="197">
        <v>0</v>
      </c>
      <c r="CZ50" s="158">
        <f>DA50-CY50</f>
        <v>0</v>
      </c>
      <c r="DA50" s="339">
        <v>0</v>
      </c>
      <c r="DB50" s="1210">
        <v>0</v>
      </c>
      <c r="DC50" s="158">
        <f>DF50-DB50</f>
        <v>0</v>
      </c>
      <c r="DD50" s="766">
        <v>0</v>
      </c>
      <c r="DE50" s="695">
        <f>DG50-DD50</f>
        <v>0</v>
      </c>
      <c r="DF50" s="197">
        <v>0</v>
      </c>
      <c r="DG50" s="158">
        <f>DH50-DF50</f>
        <v>0</v>
      </c>
      <c r="DH50" s="339">
        <v>0</v>
      </c>
      <c r="DI50" s="1210">
        <v>0</v>
      </c>
      <c r="DJ50" s="158">
        <f>DM50-DI50</f>
        <v>0</v>
      </c>
      <c r="DK50" s="766">
        <v>0</v>
      </c>
      <c r="DL50" s="453">
        <f>DN50-DK50</f>
        <v>0</v>
      </c>
      <c r="DM50" s="197">
        <v>0</v>
      </c>
      <c r="DN50" s="327">
        <f>DO50-DM50</f>
        <v>0</v>
      </c>
      <c r="DO50" s="748">
        <v>0</v>
      </c>
      <c r="DP50" s="763">
        <v>0</v>
      </c>
      <c r="DQ50" s="327">
        <f>DT50-DP50</f>
        <v>0</v>
      </c>
      <c r="DR50" s="766">
        <v>0</v>
      </c>
      <c r="DS50" s="453">
        <f>DU50-DR50</f>
        <v>0</v>
      </c>
      <c r="DT50" s="766">
        <v>0</v>
      </c>
      <c r="DU50" s="327">
        <f>DV50-DT50</f>
        <v>0</v>
      </c>
      <c r="DV50" s="748">
        <v>0</v>
      </c>
      <c r="DW50" s="763">
        <v>0</v>
      </c>
      <c r="DX50" s="327">
        <f>EA50-DW50</f>
        <v>0</v>
      </c>
      <c r="DY50" s="766">
        <v>0</v>
      </c>
      <c r="DZ50" s="453">
        <f>EB50-DY50</f>
        <v>0</v>
      </c>
      <c r="EA50" s="766">
        <v>0</v>
      </c>
      <c r="EB50" s="327">
        <f>EC50-EA50</f>
        <v>0</v>
      </c>
      <c r="EC50" s="748">
        <v>0</v>
      </c>
      <c r="ED50" s="763">
        <v>0</v>
      </c>
      <c r="EE50" s="327">
        <f>EH50-ED50</f>
        <v>0</v>
      </c>
      <c r="EF50" s="766">
        <v>0</v>
      </c>
      <c r="EG50" s="453">
        <f>EI50-EF50</f>
        <v>0</v>
      </c>
      <c r="EH50" s="766">
        <v>0</v>
      </c>
      <c r="EI50" s="327">
        <f>EJ50-EH50</f>
        <v>0</v>
      </c>
      <c r="EJ50" s="748">
        <v>0</v>
      </c>
      <c r="EK50" s="763">
        <v>0</v>
      </c>
      <c r="EL50" s="327">
        <f>EO50-EK50</f>
        <v>0</v>
      </c>
      <c r="EM50" s="766">
        <v>0</v>
      </c>
      <c r="EN50" s="453">
        <f>EP50-EM50</f>
        <v>0</v>
      </c>
      <c r="EO50" s="766">
        <v>0</v>
      </c>
      <c r="EP50" s="327">
        <f>EQ50-EO50</f>
        <v>0</v>
      </c>
      <c r="EQ50" s="748">
        <v>0</v>
      </c>
    </row>
    <row r="51" spans="1:147" ht="10.199999999999999" customHeight="1" outlineLevel="1">
      <c r="A51" s="108" t="s">
        <v>99</v>
      </c>
      <c r="B51" s="131"/>
      <c r="C51" s="197"/>
      <c r="D51" s="197"/>
      <c r="E51" s="197"/>
      <c r="F51" s="197"/>
      <c r="G51" s="197"/>
      <c r="H51" s="197"/>
      <c r="I51" s="197"/>
      <c r="J51" s="197">
        <v>900</v>
      </c>
      <c r="K51" s="197">
        <f>-50-440</f>
        <v>-490</v>
      </c>
      <c r="L51" s="197">
        <f>-120+30</f>
        <v>-90</v>
      </c>
      <c r="M51" s="197">
        <v>70</v>
      </c>
      <c r="N51" s="197">
        <v>-71</v>
      </c>
      <c r="O51" s="197"/>
      <c r="P51" s="158"/>
      <c r="Q51" s="197"/>
      <c r="R51" s="695"/>
      <c r="S51" s="197"/>
      <c r="T51" s="158"/>
      <c r="U51" s="339"/>
      <c r="V51" s="1210">
        <f>Divisional!U38</f>
        <v>19</v>
      </c>
      <c r="W51" s="158">
        <f>Divisional!V38</f>
        <v>51</v>
      </c>
      <c r="X51" s="197">
        <f>Divisional!W38</f>
        <v>-77</v>
      </c>
      <c r="Y51" s="695">
        <f>Divisional!X38</f>
        <v>149</v>
      </c>
      <c r="Z51" s="197">
        <f>Divisional!Y38</f>
        <v>70</v>
      </c>
      <c r="AA51" s="158">
        <f>Divisional!Z38</f>
        <v>72</v>
      </c>
      <c r="AB51" s="339">
        <v>142</v>
      </c>
      <c r="AC51" s="1210"/>
      <c r="AD51" s="158"/>
      <c r="AE51" s="197"/>
      <c r="AF51" s="695"/>
      <c r="AG51" s="197"/>
      <c r="AH51" s="158"/>
      <c r="AI51" s="339">
        <v>-551</v>
      </c>
      <c r="AJ51" s="1210"/>
      <c r="AK51" s="158"/>
      <c r="AL51" s="197"/>
      <c r="AM51" s="695"/>
      <c r="AN51" s="197"/>
      <c r="AO51" s="158"/>
      <c r="AP51" s="339">
        <v>-902</v>
      </c>
      <c r="AQ51" s="1210">
        <f>Divisional!AP43</f>
        <v>55</v>
      </c>
      <c r="AR51" s="158">
        <f>Divisional!AQ43</f>
        <v>69</v>
      </c>
      <c r="AS51" s="197">
        <f>Divisional!AR43</f>
        <v>-151</v>
      </c>
      <c r="AT51" s="695">
        <f>Divisional!AS43</f>
        <v>-99</v>
      </c>
      <c r="AU51" s="197">
        <f>Divisional!AT43</f>
        <v>124</v>
      </c>
      <c r="AV51" s="158">
        <f>Divisional!AU43</f>
        <v>-250</v>
      </c>
      <c r="AW51" s="339">
        <v>-126</v>
      </c>
      <c r="AX51" s="1210">
        <f>Divisional!AW43</f>
        <v>55</v>
      </c>
      <c r="AY51" s="158">
        <f>Divisional!AX43</f>
        <v>69</v>
      </c>
      <c r="AZ51" s="197">
        <f>Divisional!AY43</f>
        <v>-151</v>
      </c>
      <c r="BA51" s="695">
        <f>Divisional!AZ43</f>
        <v>-99</v>
      </c>
      <c r="BB51" s="197">
        <f>Divisional!BA43</f>
        <v>124</v>
      </c>
      <c r="BC51" s="158">
        <f>Divisional!BB43</f>
        <v>-250</v>
      </c>
      <c r="BD51" s="1301">
        <f>Divisional!BC43</f>
        <v>-126</v>
      </c>
      <c r="BE51" s="1210"/>
      <c r="BF51" s="158"/>
      <c r="BG51" s="197"/>
      <c r="BH51" s="695"/>
      <c r="BI51" s="197"/>
      <c r="BJ51" s="158"/>
      <c r="BK51" s="339"/>
      <c r="BL51" s="1210"/>
      <c r="BM51" s="158"/>
      <c r="BN51" s="197"/>
      <c r="BO51" s="695"/>
      <c r="BP51" s="197"/>
      <c r="BQ51" s="158"/>
      <c r="BR51" s="339"/>
      <c r="BS51" s="1210"/>
      <c r="BT51" s="158"/>
      <c r="BU51" s="197"/>
      <c r="BV51" s="695"/>
      <c r="BW51" s="197"/>
      <c r="BX51" s="158"/>
      <c r="BY51" s="339"/>
      <c r="BZ51" s="1210"/>
      <c r="CA51" s="158"/>
      <c r="CB51" s="197"/>
      <c r="CC51" s="695"/>
      <c r="CD51" s="197"/>
      <c r="CE51" s="158"/>
      <c r="CF51" s="339"/>
      <c r="CG51" s="1210"/>
      <c r="CH51" s="158"/>
      <c r="CI51" s="197"/>
      <c r="CJ51" s="695"/>
      <c r="CK51" s="197"/>
      <c r="CL51" s="158"/>
      <c r="CM51" s="339"/>
      <c r="CN51" s="1210">
        <v>0</v>
      </c>
      <c r="CO51" s="158">
        <f t="shared" ref="CO51:CO56" si="306">CR51-CN51</f>
        <v>0</v>
      </c>
      <c r="CP51" s="197">
        <v>0</v>
      </c>
      <c r="CQ51" s="695">
        <f t="shared" ref="CQ51:CQ56" si="307">CS51-CP51</f>
        <v>0</v>
      </c>
      <c r="CR51" s="197">
        <v>0</v>
      </c>
      <c r="CS51" s="158">
        <f t="shared" ref="CS51:CS56" si="308">CT51-CR51</f>
        <v>0</v>
      </c>
      <c r="CT51" s="339">
        <v>0</v>
      </c>
      <c r="CU51" s="1210">
        <v>0</v>
      </c>
      <c r="CV51" s="158">
        <f t="shared" ref="CV51:CV56" si="309">CY51-CU51</f>
        <v>0</v>
      </c>
      <c r="CW51" s="197">
        <v>0</v>
      </c>
      <c r="CX51" s="695">
        <f t="shared" ref="CX51:CX56" si="310">CZ51-CW51</f>
        <v>0</v>
      </c>
      <c r="CY51" s="197">
        <v>0</v>
      </c>
      <c r="CZ51" s="158">
        <f t="shared" ref="CZ51:CZ56" si="311">DA51-CY51</f>
        <v>0</v>
      </c>
      <c r="DA51" s="339">
        <v>0</v>
      </c>
      <c r="DB51" s="1210">
        <v>0</v>
      </c>
      <c r="DC51" s="158">
        <f t="shared" ref="DC51:DC56" si="312">DF51-DB51</f>
        <v>0</v>
      </c>
      <c r="DD51" s="766">
        <v>0</v>
      </c>
      <c r="DE51" s="695">
        <f t="shared" ref="DE51:DE56" si="313">DG51-DD51</f>
        <v>0</v>
      </c>
      <c r="DF51" s="197">
        <v>0</v>
      </c>
      <c r="DG51" s="158">
        <f t="shared" ref="DG51:DG56" si="314">DH51-DF51</f>
        <v>0</v>
      </c>
      <c r="DH51" s="339">
        <v>0</v>
      </c>
      <c r="DI51" s="1210">
        <v>0</v>
      </c>
      <c r="DJ51" s="158">
        <f t="shared" ref="DJ51:DJ56" si="315">DM51-DI51</f>
        <v>0</v>
      </c>
      <c r="DK51" s="766">
        <v>0</v>
      </c>
      <c r="DL51" s="453">
        <f t="shared" ref="DL51:DL55" si="316">DN51-DK51</f>
        <v>0</v>
      </c>
      <c r="DM51" s="197">
        <v>0</v>
      </c>
      <c r="DN51" s="327">
        <f t="shared" ref="DN51:DN56" si="317">DO51-DM51</f>
        <v>0</v>
      </c>
      <c r="DO51" s="748">
        <v>0</v>
      </c>
      <c r="DP51" s="763">
        <v>0</v>
      </c>
      <c r="DQ51" s="327">
        <f t="shared" ref="DQ51:DQ56" si="318">DT51-DP51</f>
        <v>0</v>
      </c>
      <c r="DR51" s="766">
        <v>0</v>
      </c>
      <c r="DS51" s="453">
        <f t="shared" ref="DS51:DS56" si="319">DU51-DR51</f>
        <v>0</v>
      </c>
      <c r="DT51" s="766">
        <v>0</v>
      </c>
      <c r="DU51" s="327">
        <f t="shared" ref="DU51:DU56" si="320">DV51-DT51</f>
        <v>0</v>
      </c>
      <c r="DV51" s="748">
        <v>0</v>
      </c>
      <c r="DW51" s="763">
        <v>0</v>
      </c>
      <c r="DX51" s="327">
        <f t="shared" ref="DX51:DX56" si="321">EA51-DW51</f>
        <v>0</v>
      </c>
      <c r="DY51" s="766">
        <v>0</v>
      </c>
      <c r="DZ51" s="453">
        <f t="shared" ref="DZ51:DZ56" si="322">EB51-DY51</f>
        <v>0</v>
      </c>
      <c r="EA51" s="766">
        <v>0</v>
      </c>
      <c r="EB51" s="327">
        <f t="shared" ref="EB51:EB56" si="323">EC51-EA51</f>
        <v>0</v>
      </c>
      <c r="EC51" s="748">
        <v>0</v>
      </c>
      <c r="ED51" s="763">
        <v>0</v>
      </c>
      <c r="EE51" s="327">
        <f t="shared" ref="EE51:EE56" si="324">EH51-ED51</f>
        <v>0</v>
      </c>
      <c r="EF51" s="766">
        <v>0</v>
      </c>
      <c r="EG51" s="453">
        <f t="shared" ref="EG51:EG56" si="325">EI51-EF51</f>
        <v>0</v>
      </c>
      <c r="EH51" s="766">
        <v>0</v>
      </c>
      <c r="EI51" s="327">
        <f t="shared" ref="EI51:EI56" si="326">EJ51-EH51</f>
        <v>0</v>
      </c>
      <c r="EJ51" s="748">
        <v>0</v>
      </c>
      <c r="EK51" s="763">
        <v>0</v>
      </c>
      <c r="EL51" s="327">
        <f t="shared" ref="EL51:EL56" si="327">EO51-EK51</f>
        <v>0</v>
      </c>
      <c r="EM51" s="766">
        <v>0</v>
      </c>
      <c r="EN51" s="453">
        <f t="shared" ref="EN51:EN56" si="328">EP51-EM51</f>
        <v>0</v>
      </c>
      <c r="EO51" s="766">
        <v>0</v>
      </c>
      <c r="EP51" s="327">
        <f t="shared" ref="EP51:EP56" si="329">EQ51-EO51</f>
        <v>0</v>
      </c>
      <c r="EQ51" s="748">
        <v>0</v>
      </c>
    </row>
    <row r="52" spans="1:147" ht="10.199999999999999" customHeight="1" outlineLevel="1">
      <c r="A52" s="108" t="s">
        <v>306</v>
      </c>
      <c r="B52" s="131"/>
      <c r="C52" s="197"/>
      <c r="D52" s="197"/>
      <c r="E52" s="197"/>
      <c r="F52" s="197"/>
      <c r="G52" s="197"/>
      <c r="H52" s="197">
        <v>-2500</v>
      </c>
      <c r="I52" s="197">
        <v>-1028</v>
      </c>
      <c r="J52" s="197">
        <v>-1000</v>
      </c>
      <c r="K52" s="197">
        <v>-240</v>
      </c>
      <c r="L52" s="197">
        <v>0</v>
      </c>
      <c r="M52" s="197">
        <v>0</v>
      </c>
      <c r="N52" s="197">
        <v>-251</v>
      </c>
      <c r="O52" s="197"/>
      <c r="P52" s="158"/>
      <c r="Q52" s="197"/>
      <c r="R52" s="695"/>
      <c r="S52" s="197"/>
      <c r="T52" s="158"/>
      <c r="U52" s="339">
        <v>-85</v>
      </c>
      <c r="V52" s="1210"/>
      <c r="W52" s="158"/>
      <c r="X52" s="197"/>
      <c r="Y52" s="695"/>
      <c r="Z52" s="197"/>
      <c r="AA52" s="158"/>
      <c r="AB52" s="339"/>
      <c r="AC52" s="1210"/>
      <c r="AD52" s="158"/>
      <c r="AE52" s="197"/>
      <c r="AF52" s="695"/>
      <c r="AG52" s="197"/>
      <c r="AH52" s="158"/>
      <c r="AI52" s="339"/>
      <c r="AJ52" s="1210"/>
      <c r="AK52" s="158"/>
      <c r="AL52" s="197"/>
      <c r="AM52" s="695"/>
      <c r="AN52" s="197"/>
      <c r="AO52" s="158"/>
      <c r="AP52" s="339"/>
      <c r="AQ52" s="1210"/>
      <c r="AR52" s="158"/>
      <c r="AS52" s="197"/>
      <c r="AT52" s="695"/>
      <c r="AU52" s="197"/>
      <c r="AV52" s="158"/>
      <c r="AW52" s="339"/>
      <c r="AX52" s="1210"/>
      <c r="AY52" s="158"/>
      <c r="AZ52" s="197"/>
      <c r="BA52" s="695"/>
      <c r="BB52" s="197"/>
      <c r="BC52" s="158"/>
      <c r="BD52" s="339"/>
      <c r="BE52" s="1210">
        <f>Divisional!BD36</f>
        <v>0</v>
      </c>
      <c r="BF52" s="158">
        <f>Divisional!BE36</f>
        <v>0</v>
      </c>
      <c r="BG52" s="197">
        <f>Divisional!BF36</f>
        <v>0</v>
      </c>
      <c r="BH52" s="695">
        <f>Divisional!BG36</f>
        <v>-463</v>
      </c>
      <c r="BI52" s="197">
        <f>Divisional!BH36</f>
        <v>0</v>
      </c>
      <c r="BJ52" s="158">
        <f>Divisional!BI36</f>
        <v>-463</v>
      </c>
      <c r="BK52" s="339">
        <v>-463</v>
      </c>
      <c r="BL52" s="1210"/>
      <c r="BM52" s="158"/>
      <c r="BN52" s="197"/>
      <c r="BO52" s="695"/>
      <c r="BP52" s="197"/>
      <c r="BQ52" s="158"/>
      <c r="BR52" s="339"/>
      <c r="BS52" s="1210"/>
      <c r="BT52" s="158"/>
      <c r="BU52" s="197"/>
      <c r="BV52" s="695"/>
      <c r="BW52" s="197"/>
      <c r="BX52" s="158"/>
      <c r="BY52" s="339"/>
      <c r="BZ52" s="1210"/>
      <c r="CA52" s="158"/>
      <c r="CB52" s="197"/>
      <c r="CC52" s="695"/>
      <c r="CD52" s="197"/>
      <c r="CE52" s="158"/>
      <c r="CF52" s="339"/>
      <c r="CG52" s="1210"/>
      <c r="CH52" s="158"/>
      <c r="CI52" s="197"/>
      <c r="CJ52" s="695"/>
      <c r="CK52" s="197"/>
      <c r="CL52" s="158"/>
      <c r="CM52" s="339"/>
      <c r="CN52" s="1210">
        <v>0</v>
      </c>
      <c r="CO52" s="158">
        <f t="shared" si="306"/>
        <v>0</v>
      </c>
      <c r="CP52" s="197">
        <v>0</v>
      </c>
      <c r="CQ52" s="695">
        <f t="shared" si="307"/>
        <v>0</v>
      </c>
      <c r="CR52" s="197">
        <v>0</v>
      </c>
      <c r="CS52" s="158">
        <f t="shared" si="308"/>
        <v>0</v>
      </c>
      <c r="CT52" s="339">
        <v>0</v>
      </c>
      <c r="CU52" s="1210">
        <v>0</v>
      </c>
      <c r="CV52" s="158">
        <f t="shared" si="309"/>
        <v>0</v>
      </c>
      <c r="CW52" s="197">
        <v>0</v>
      </c>
      <c r="CX52" s="695">
        <f t="shared" si="310"/>
        <v>0</v>
      </c>
      <c r="CY52" s="197">
        <v>0</v>
      </c>
      <c r="CZ52" s="158">
        <f t="shared" si="311"/>
        <v>0</v>
      </c>
      <c r="DA52" s="339">
        <v>0</v>
      </c>
      <c r="DB52" s="1210">
        <v>0</v>
      </c>
      <c r="DC52" s="158">
        <f t="shared" si="312"/>
        <v>0</v>
      </c>
      <c r="DD52" s="766">
        <v>0</v>
      </c>
      <c r="DE52" s="695">
        <f t="shared" si="313"/>
        <v>0</v>
      </c>
      <c r="DF52" s="197">
        <v>0</v>
      </c>
      <c r="DG52" s="158">
        <f t="shared" si="314"/>
        <v>0</v>
      </c>
      <c r="DH52" s="339">
        <v>0</v>
      </c>
      <c r="DI52" s="1210">
        <v>0</v>
      </c>
      <c r="DJ52" s="158">
        <f t="shared" si="315"/>
        <v>0</v>
      </c>
      <c r="DK52" s="766">
        <v>0</v>
      </c>
      <c r="DL52" s="453">
        <f t="shared" si="316"/>
        <v>0</v>
      </c>
      <c r="DM52" s="197">
        <v>0</v>
      </c>
      <c r="DN52" s="327">
        <f t="shared" si="317"/>
        <v>0</v>
      </c>
      <c r="DO52" s="748">
        <v>0</v>
      </c>
      <c r="DP52" s="763">
        <v>0</v>
      </c>
      <c r="DQ52" s="327">
        <f t="shared" si="318"/>
        <v>0</v>
      </c>
      <c r="DR52" s="766">
        <v>0</v>
      </c>
      <c r="DS52" s="453">
        <f t="shared" si="319"/>
        <v>0</v>
      </c>
      <c r="DT52" s="766">
        <v>0</v>
      </c>
      <c r="DU52" s="327">
        <f t="shared" si="320"/>
        <v>0</v>
      </c>
      <c r="DV52" s="748">
        <v>0</v>
      </c>
      <c r="DW52" s="763">
        <v>0</v>
      </c>
      <c r="DX52" s="327">
        <f t="shared" si="321"/>
        <v>0</v>
      </c>
      <c r="DY52" s="766">
        <v>0</v>
      </c>
      <c r="DZ52" s="453">
        <f t="shared" si="322"/>
        <v>0</v>
      </c>
      <c r="EA52" s="766">
        <v>0</v>
      </c>
      <c r="EB52" s="327">
        <f t="shared" si="323"/>
        <v>0</v>
      </c>
      <c r="EC52" s="748">
        <v>0</v>
      </c>
      <c r="ED52" s="763">
        <v>0</v>
      </c>
      <c r="EE52" s="327">
        <f t="shared" si="324"/>
        <v>0</v>
      </c>
      <c r="EF52" s="766">
        <v>0</v>
      </c>
      <c r="EG52" s="453">
        <f t="shared" si="325"/>
        <v>0</v>
      </c>
      <c r="EH52" s="766">
        <v>0</v>
      </c>
      <c r="EI52" s="327">
        <f t="shared" si="326"/>
        <v>0</v>
      </c>
      <c r="EJ52" s="748">
        <v>0</v>
      </c>
      <c r="EK52" s="763">
        <v>0</v>
      </c>
      <c r="EL52" s="327">
        <f t="shared" si="327"/>
        <v>0</v>
      </c>
      <c r="EM52" s="766">
        <v>0</v>
      </c>
      <c r="EN52" s="453">
        <f t="shared" si="328"/>
        <v>0</v>
      </c>
      <c r="EO52" s="766">
        <v>0</v>
      </c>
      <c r="EP52" s="327">
        <f t="shared" si="329"/>
        <v>0</v>
      </c>
      <c r="EQ52" s="748">
        <v>0</v>
      </c>
    </row>
    <row r="53" spans="1:147" ht="10.199999999999999" customHeight="1" outlineLevel="1">
      <c r="A53" s="108" t="s">
        <v>94</v>
      </c>
      <c r="B53" s="131"/>
      <c r="C53" s="197"/>
      <c r="D53" s="197"/>
      <c r="E53" s="197"/>
      <c r="F53" s="197"/>
      <c r="G53" s="197"/>
      <c r="H53" s="197">
        <v>-505</v>
      </c>
      <c r="I53" s="197">
        <v>-1028</v>
      </c>
      <c r="J53" s="197">
        <v>0</v>
      </c>
      <c r="K53" s="197">
        <v>0</v>
      </c>
      <c r="L53" s="197">
        <v>0</v>
      </c>
      <c r="M53" s="197">
        <v>-200</v>
      </c>
      <c r="N53" s="197">
        <v>-124</v>
      </c>
      <c r="O53" s="197"/>
      <c r="P53" s="158"/>
      <c r="Q53" s="197"/>
      <c r="R53" s="695"/>
      <c r="S53" s="197"/>
      <c r="T53" s="158"/>
      <c r="U53" s="339">
        <v>-434</v>
      </c>
      <c r="V53" s="1210"/>
      <c r="W53" s="158"/>
      <c r="X53" s="197"/>
      <c r="Y53" s="695"/>
      <c r="Z53" s="197"/>
      <c r="AA53" s="158"/>
      <c r="AB53" s="339"/>
      <c r="AC53" s="1210"/>
      <c r="AD53" s="158"/>
      <c r="AE53" s="197"/>
      <c r="AF53" s="695"/>
      <c r="AG53" s="197"/>
      <c r="AH53" s="158"/>
      <c r="AI53" s="339"/>
      <c r="AJ53" s="1210"/>
      <c r="AK53" s="158"/>
      <c r="AL53" s="197"/>
      <c r="AM53" s="695"/>
      <c r="AN53" s="197"/>
      <c r="AO53" s="158"/>
      <c r="AP53" s="339">
        <v>-385</v>
      </c>
      <c r="AQ53" s="1210"/>
      <c r="AR53" s="158"/>
      <c r="AS53" s="197"/>
      <c r="AT53" s="695"/>
      <c r="AU53" s="197"/>
      <c r="AV53" s="158"/>
      <c r="AW53" s="339"/>
      <c r="AX53" s="1210"/>
      <c r="AY53" s="158"/>
      <c r="AZ53" s="197"/>
      <c r="BA53" s="695"/>
      <c r="BB53" s="197"/>
      <c r="BC53" s="158"/>
      <c r="BD53" s="339"/>
      <c r="BE53" s="1210"/>
      <c r="BF53" s="158"/>
      <c r="BG53" s="197"/>
      <c r="BH53" s="695"/>
      <c r="BI53" s="197"/>
      <c r="BJ53" s="158"/>
      <c r="BK53" s="339"/>
      <c r="BL53" s="1210"/>
      <c r="BM53" s="158"/>
      <c r="BN53" s="197"/>
      <c r="BO53" s="695"/>
      <c r="BP53" s="197"/>
      <c r="BQ53" s="158"/>
      <c r="BR53" s="339"/>
      <c r="BS53" s="1210"/>
      <c r="BT53" s="158"/>
      <c r="BU53" s="197"/>
      <c r="BV53" s="695"/>
      <c r="BW53" s="197"/>
      <c r="BX53" s="158"/>
      <c r="BY53" s="339"/>
      <c r="BZ53" s="1210"/>
      <c r="CA53" s="158"/>
      <c r="CB53" s="197"/>
      <c r="CC53" s="695"/>
      <c r="CD53" s="197"/>
      <c r="CE53" s="158"/>
      <c r="CF53" s="339"/>
      <c r="CG53" s="1210"/>
      <c r="CH53" s="158"/>
      <c r="CI53" s="197"/>
      <c r="CJ53" s="695"/>
      <c r="CK53" s="197"/>
      <c r="CL53" s="158"/>
      <c r="CM53" s="339"/>
      <c r="CN53" s="1210">
        <v>0</v>
      </c>
      <c r="CO53" s="158">
        <f t="shared" si="306"/>
        <v>0</v>
      </c>
      <c r="CP53" s="197">
        <v>0</v>
      </c>
      <c r="CQ53" s="695">
        <f t="shared" si="307"/>
        <v>0</v>
      </c>
      <c r="CR53" s="197">
        <v>0</v>
      </c>
      <c r="CS53" s="158">
        <f t="shared" si="308"/>
        <v>0</v>
      </c>
      <c r="CT53" s="339">
        <v>0</v>
      </c>
      <c r="CU53" s="1210">
        <v>0</v>
      </c>
      <c r="CV53" s="158">
        <f t="shared" si="309"/>
        <v>0</v>
      </c>
      <c r="CW53" s="197">
        <v>0</v>
      </c>
      <c r="CX53" s="695">
        <f t="shared" si="310"/>
        <v>0</v>
      </c>
      <c r="CY53" s="197">
        <v>0</v>
      </c>
      <c r="CZ53" s="158">
        <f t="shared" si="311"/>
        <v>0</v>
      </c>
      <c r="DA53" s="339">
        <v>0</v>
      </c>
      <c r="DB53" s="1210">
        <v>0</v>
      </c>
      <c r="DC53" s="158">
        <f t="shared" si="312"/>
        <v>0</v>
      </c>
      <c r="DD53" s="766">
        <v>0</v>
      </c>
      <c r="DE53" s="695">
        <f t="shared" si="313"/>
        <v>0</v>
      </c>
      <c r="DF53" s="197">
        <v>0</v>
      </c>
      <c r="DG53" s="158">
        <f t="shared" si="314"/>
        <v>0</v>
      </c>
      <c r="DH53" s="339">
        <v>0</v>
      </c>
      <c r="DI53" s="1210">
        <v>0</v>
      </c>
      <c r="DJ53" s="158">
        <f t="shared" si="315"/>
        <v>0</v>
      </c>
      <c r="DK53" s="766">
        <v>0</v>
      </c>
      <c r="DL53" s="453">
        <f t="shared" si="316"/>
        <v>0</v>
      </c>
      <c r="DM53" s="197">
        <v>0</v>
      </c>
      <c r="DN53" s="327">
        <f t="shared" si="317"/>
        <v>0</v>
      </c>
      <c r="DO53" s="748">
        <v>0</v>
      </c>
      <c r="DP53" s="763">
        <v>0</v>
      </c>
      <c r="DQ53" s="327">
        <f t="shared" si="318"/>
        <v>0</v>
      </c>
      <c r="DR53" s="766">
        <v>0</v>
      </c>
      <c r="DS53" s="453">
        <f t="shared" si="319"/>
        <v>0</v>
      </c>
      <c r="DT53" s="766">
        <v>0</v>
      </c>
      <c r="DU53" s="327">
        <f t="shared" si="320"/>
        <v>0</v>
      </c>
      <c r="DV53" s="748">
        <v>0</v>
      </c>
      <c r="DW53" s="763">
        <v>0</v>
      </c>
      <c r="DX53" s="327">
        <f t="shared" si="321"/>
        <v>0</v>
      </c>
      <c r="DY53" s="766">
        <v>0</v>
      </c>
      <c r="DZ53" s="453">
        <f t="shared" si="322"/>
        <v>0</v>
      </c>
      <c r="EA53" s="766">
        <v>0</v>
      </c>
      <c r="EB53" s="327">
        <f t="shared" si="323"/>
        <v>0</v>
      </c>
      <c r="EC53" s="748">
        <v>0</v>
      </c>
      <c r="ED53" s="763">
        <v>0</v>
      </c>
      <c r="EE53" s="327">
        <f t="shared" si="324"/>
        <v>0</v>
      </c>
      <c r="EF53" s="766">
        <v>0</v>
      </c>
      <c r="EG53" s="453">
        <f t="shared" si="325"/>
        <v>0</v>
      </c>
      <c r="EH53" s="766">
        <v>0</v>
      </c>
      <c r="EI53" s="327">
        <f t="shared" si="326"/>
        <v>0</v>
      </c>
      <c r="EJ53" s="748">
        <v>0</v>
      </c>
      <c r="EK53" s="763">
        <v>0</v>
      </c>
      <c r="EL53" s="327">
        <f t="shared" si="327"/>
        <v>0</v>
      </c>
      <c r="EM53" s="766">
        <v>0</v>
      </c>
      <c r="EN53" s="453">
        <f t="shared" si="328"/>
        <v>0</v>
      </c>
      <c r="EO53" s="766">
        <v>0</v>
      </c>
      <c r="EP53" s="327">
        <f t="shared" si="329"/>
        <v>0</v>
      </c>
      <c r="EQ53" s="748">
        <v>0</v>
      </c>
    </row>
    <row r="54" spans="1:147" ht="10.199999999999999" customHeight="1" outlineLevel="1">
      <c r="A54" s="108" t="s">
        <v>97</v>
      </c>
      <c r="B54" s="131"/>
      <c r="C54" s="197"/>
      <c r="D54" s="197"/>
      <c r="E54" s="197"/>
      <c r="F54" s="197"/>
      <c r="G54" s="197"/>
      <c r="H54" s="197">
        <v>0</v>
      </c>
      <c r="I54" s="197">
        <v>-624</v>
      </c>
      <c r="J54" s="197">
        <v>0</v>
      </c>
      <c r="K54" s="197">
        <v>0</v>
      </c>
      <c r="L54" s="197">
        <v>0</v>
      </c>
      <c r="M54" s="197">
        <v>0</v>
      </c>
      <c r="N54" s="197"/>
      <c r="O54" s="197"/>
      <c r="P54" s="158"/>
      <c r="Q54" s="197"/>
      <c r="R54" s="695"/>
      <c r="S54" s="197"/>
      <c r="T54" s="158"/>
      <c r="U54" s="339"/>
      <c r="V54" s="1210"/>
      <c r="W54" s="158"/>
      <c r="X54" s="197"/>
      <c r="Y54" s="695"/>
      <c r="Z54" s="197"/>
      <c r="AA54" s="158"/>
      <c r="AB54" s="339"/>
      <c r="AC54" s="1210"/>
      <c r="AD54" s="158"/>
      <c r="AE54" s="197"/>
      <c r="AF54" s="695"/>
      <c r="AG54" s="197"/>
      <c r="AH54" s="158"/>
      <c r="AI54" s="339"/>
      <c r="AJ54" s="1210"/>
      <c r="AK54" s="158"/>
      <c r="AL54" s="197"/>
      <c r="AM54" s="695"/>
      <c r="AN54" s="197"/>
      <c r="AO54" s="158"/>
      <c r="AP54" s="339"/>
      <c r="AQ54" s="1210"/>
      <c r="AR54" s="158"/>
      <c r="AS54" s="197"/>
      <c r="AT54" s="695"/>
      <c r="AU54" s="197"/>
      <c r="AV54" s="158"/>
      <c r="AW54" s="339"/>
      <c r="AX54" s="1210"/>
      <c r="AY54" s="158"/>
      <c r="AZ54" s="197"/>
      <c r="BA54" s="695"/>
      <c r="BB54" s="197"/>
      <c r="BC54" s="158"/>
      <c r="BD54" s="339"/>
      <c r="BE54" s="1210"/>
      <c r="BF54" s="158"/>
      <c r="BG54" s="197"/>
      <c r="BH54" s="695"/>
      <c r="BI54" s="197"/>
      <c r="BJ54" s="158"/>
      <c r="BK54" s="339"/>
      <c r="BL54" s="1210"/>
      <c r="BM54" s="158"/>
      <c r="BN54" s="197"/>
      <c r="BO54" s="695"/>
      <c r="BP54" s="197"/>
      <c r="BQ54" s="158"/>
      <c r="BR54" s="339"/>
      <c r="BS54" s="1210"/>
      <c r="BT54" s="158"/>
      <c r="BU54" s="197"/>
      <c r="BV54" s="695"/>
      <c r="BW54" s="197"/>
      <c r="BX54" s="158"/>
      <c r="BY54" s="339"/>
      <c r="BZ54" s="1210"/>
      <c r="CA54" s="158"/>
      <c r="CB54" s="197"/>
      <c r="CC54" s="695"/>
      <c r="CD54" s="197"/>
      <c r="CE54" s="158"/>
      <c r="CF54" s="339"/>
      <c r="CG54" s="1210"/>
      <c r="CH54" s="158"/>
      <c r="CI54" s="197"/>
      <c r="CJ54" s="695"/>
      <c r="CK54" s="197"/>
      <c r="CL54" s="158"/>
      <c r="CM54" s="339"/>
      <c r="CN54" s="1210">
        <v>0</v>
      </c>
      <c r="CO54" s="158">
        <f t="shared" si="306"/>
        <v>0</v>
      </c>
      <c r="CP54" s="197">
        <v>0</v>
      </c>
      <c r="CQ54" s="695">
        <f t="shared" si="307"/>
        <v>0</v>
      </c>
      <c r="CR54" s="197">
        <v>0</v>
      </c>
      <c r="CS54" s="158">
        <f t="shared" si="308"/>
        <v>0</v>
      </c>
      <c r="CT54" s="339">
        <v>0</v>
      </c>
      <c r="CU54" s="1210">
        <v>0</v>
      </c>
      <c r="CV54" s="158">
        <f t="shared" si="309"/>
        <v>0</v>
      </c>
      <c r="CW54" s="197">
        <v>0</v>
      </c>
      <c r="CX54" s="695">
        <f t="shared" si="310"/>
        <v>0</v>
      </c>
      <c r="CY54" s="197">
        <v>0</v>
      </c>
      <c r="CZ54" s="158">
        <f t="shared" si="311"/>
        <v>0</v>
      </c>
      <c r="DA54" s="339">
        <v>0</v>
      </c>
      <c r="DB54" s="1210">
        <v>0</v>
      </c>
      <c r="DC54" s="158">
        <f t="shared" si="312"/>
        <v>0</v>
      </c>
      <c r="DD54" s="766">
        <v>0</v>
      </c>
      <c r="DE54" s="695">
        <f t="shared" si="313"/>
        <v>0</v>
      </c>
      <c r="DF54" s="197">
        <v>0</v>
      </c>
      <c r="DG54" s="158">
        <f t="shared" si="314"/>
        <v>0</v>
      </c>
      <c r="DH54" s="339">
        <v>0</v>
      </c>
      <c r="DI54" s="1210">
        <v>0</v>
      </c>
      <c r="DJ54" s="158">
        <f t="shared" si="315"/>
        <v>0</v>
      </c>
      <c r="DK54" s="766">
        <v>0</v>
      </c>
      <c r="DL54" s="453">
        <f t="shared" si="316"/>
        <v>0</v>
      </c>
      <c r="DM54" s="197">
        <v>0</v>
      </c>
      <c r="DN54" s="327">
        <f t="shared" si="317"/>
        <v>0</v>
      </c>
      <c r="DO54" s="748">
        <v>0</v>
      </c>
      <c r="DP54" s="763">
        <v>0</v>
      </c>
      <c r="DQ54" s="327">
        <f t="shared" si="318"/>
        <v>0</v>
      </c>
      <c r="DR54" s="766">
        <v>0</v>
      </c>
      <c r="DS54" s="453">
        <f t="shared" si="319"/>
        <v>0</v>
      </c>
      <c r="DT54" s="766">
        <v>0</v>
      </c>
      <c r="DU54" s="327">
        <f t="shared" si="320"/>
        <v>0</v>
      </c>
      <c r="DV54" s="748">
        <v>0</v>
      </c>
      <c r="DW54" s="763">
        <v>0</v>
      </c>
      <c r="DX54" s="327">
        <f t="shared" si="321"/>
        <v>0</v>
      </c>
      <c r="DY54" s="766">
        <v>0</v>
      </c>
      <c r="DZ54" s="453">
        <f t="shared" si="322"/>
        <v>0</v>
      </c>
      <c r="EA54" s="766">
        <v>0</v>
      </c>
      <c r="EB54" s="327">
        <f t="shared" si="323"/>
        <v>0</v>
      </c>
      <c r="EC54" s="748">
        <v>0</v>
      </c>
      <c r="ED54" s="763">
        <v>0</v>
      </c>
      <c r="EE54" s="327">
        <f t="shared" si="324"/>
        <v>0</v>
      </c>
      <c r="EF54" s="766">
        <v>0</v>
      </c>
      <c r="EG54" s="453">
        <f t="shared" si="325"/>
        <v>0</v>
      </c>
      <c r="EH54" s="766">
        <v>0</v>
      </c>
      <c r="EI54" s="327">
        <f t="shared" si="326"/>
        <v>0</v>
      </c>
      <c r="EJ54" s="748">
        <v>0</v>
      </c>
      <c r="EK54" s="763">
        <v>0</v>
      </c>
      <c r="EL54" s="327">
        <f t="shared" si="327"/>
        <v>0</v>
      </c>
      <c r="EM54" s="766">
        <v>0</v>
      </c>
      <c r="EN54" s="453">
        <f t="shared" si="328"/>
        <v>0</v>
      </c>
      <c r="EO54" s="766">
        <v>0</v>
      </c>
      <c r="EP54" s="327">
        <f t="shared" si="329"/>
        <v>0</v>
      </c>
      <c r="EQ54" s="748">
        <v>0</v>
      </c>
    </row>
    <row r="55" spans="1:147" ht="10.199999999999999" customHeight="1" outlineLevel="1">
      <c r="A55" s="108" t="s">
        <v>95</v>
      </c>
      <c r="B55" s="131"/>
      <c r="C55" s="197"/>
      <c r="D55" s="197"/>
      <c r="E55" s="197"/>
      <c r="F55" s="197"/>
      <c r="G55" s="197"/>
      <c r="H55" s="197">
        <v>-352</v>
      </c>
      <c r="I55" s="197">
        <v>-1090</v>
      </c>
      <c r="J55" s="197">
        <v>-600</v>
      </c>
      <c r="K55" s="197">
        <f>-1820+30</f>
        <v>-1790</v>
      </c>
      <c r="L55" s="197">
        <v>0</v>
      </c>
      <c r="M55" s="197">
        <v>0</v>
      </c>
      <c r="N55" s="197"/>
      <c r="O55" s="197"/>
      <c r="P55" s="158"/>
      <c r="Q55" s="197"/>
      <c r="R55" s="695"/>
      <c r="S55" s="197"/>
      <c r="T55" s="158"/>
      <c r="U55" s="339"/>
      <c r="V55" s="1210"/>
      <c r="W55" s="158"/>
      <c r="X55" s="197"/>
      <c r="Y55" s="695"/>
      <c r="Z55" s="197"/>
      <c r="AA55" s="158"/>
      <c r="AB55" s="339"/>
      <c r="AC55" s="1210"/>
      <c r="AD55" s="158"/>
      <c r="AE55" s="197"/>
      <c r="AF55" s="695"/>
      <c r="AG55" s="197"/>
      <c r="AH55" s="158"/>
      <c r="AI55" s="339"/>
      <c r="AJ55" s="1210"/>
      <c r="AK55" s="158"/>
      <c r="AL55" s="197"/>
      <c r="AM55" s="695"/>
      <c r="AN55" s="197"/>
      <c r="AO55" s="158"/>
      <c r="AP55" s="339"/>
      <c r="AQ55" s="1210"/>
      <c r="AR55" s="158"/>
      <c r="AS55" s="197"/>
      <c r="AT55" s="695"/>
      <c r="AU55" s="197"/>
      <c r="AV55" s="158"/>
      <c r="AW55" s="339"/>
      <c r="AX55" s="1210"/>
      <c r="AY55" s="158"/>
      <c r="AZ55" s="197"/>
      <c r="BA55" s="695"/>
      <c r="BB55" s="197"/>
      <c r="BC55" s="158"/>
      <c r="BD55" s="339"/>
      <c r="BE55" s="1210"/>
      <c r="BF55" s="158"/>
      <c r="BG55" s="197"/>
      <c r="BH55" s="695"/>
      <c r="BI55" s="197"/>
      <c r="BJ55" s="158"/>
      <c r="BK55" s="339"/>
      <c r="BL55" s="1210"/>
      <c r="BM55" s="158"/>
      <c r="BN55" s="197"/>
      <c r="BO55" s="695"/>
      <c r="BP55" s="197"/>
      <c r="BQ55" s="158"/>
      <c r="BR55" s="339"/>
      <c r="BS55" s="1210"/>
      <c r="BT55" s="158"/>
      <c r="BU55" s="197"/>
      <c r="BV55" s="695"/>
      <c r="BW55" s="197"/>
      <c r="BX55" s="158"/>
      <c r="BY55" s="339"/>
      <c r="BZ55" s="1210"/>
      <c r="CA55" s="158"/>
      <c r="CB55" s="197"/>
      <c r="CC55" s="695"/>
      <c r="CD55" s="197"/>
      <c r="CE55" s="158"/>
      <c r="CF55" s="339"/>
      <c r="CG55" s="1210"/>
      <c r="CH55" s="158"/>
      <c r="CI55" s="197"/>
      <c r="CJ55" s="695"/>
      <c r="CK55" s="197"/>
      <c r="CL55" s="158"/>
      <c r="CM55" s="339"/>
      <c r="CN55" s="1210">
        <v>0</v>
      </c>
      <c r="CO55" s="158">
        <f t="shared" si="306"/>
        <v>0</v>
      </c>
      <c r="CP55" s="197">
        <v>0</v>
      </c>
      <c r="CQ55" s="695">
        <f t="shared" si="307"/>
        <v>-41</v>
      </c>
      <c r="CR55" s="197">
        <v>0</v>
      </c>
      <c r="CS55" s="158">
        <f t="shared" si="308"/>
        <v>-41</v>
      </c>
      <c r="CT55" s="339">
        <f>Divisional!CZ35</f>
        <v>-41</v>
      </c>
      <c r="CU55" s="1210">
        <v>0</v>
      </c>
      <c r="CV55" s="158">
        <f t="shared" si="309"/>
        <v>0</v>
      </c>
      <c r="CW55" s="197">
        <v>0</v>
      </c>
      <c r="CX55" s="695">
        <f t="shared" si="310"/>
        <v>0</v>
      </c>
      <c r="CY55" s="197">
        <v>0</v>
      </c>
      <c r="CZ55" s="158">
        <f t="shared" si="311"/>
        <v>0</v>
      </c>
      <c r="DA55" s="339">
        <v>0</v>
      </c>
      <c r="DB55" s="1210">
        <v>0</v>
      </c>
      <c r="DC55" s="158">
        <f t="shared" si="312"/>
        <v>0</v>
      </c>
      <c r="DD55" s="766">
        <v>0</v>
      </c>
      <c r="DE55" s="695">
        <f t="shared" si="313"/>
        <v>0</v>
      </c>
      <c r="DF55" s="197">
        <v>0</v>
      </c>
      <c r="DG55" s="158">
        <f t="shared" si="314"/>
        <v>0</v>
      </c>
      <c r="DH55" s="339">
        <v>0</v>
      </c>
      <c r="DI55" s="1210">
        <v>0</v>
      </c>
      <c r="DJ55" s="158">
        <f t="shared" si="315"/>
        <v>0</v>
      </c>
      <c r="DK55" s="766">
        <v>0</v>
      </c>
      <c r="DL55" s="453">
        <f t="shared" si="316"/>
        <v>0</v>
      </c>
      <c r="DM55" s="197">
        <v>0</v>
      </c>
      <c r="DN55" s="327">
        <f t="shared" si="317"/>
        <v>0</v>
      </c>
      <c r="DO55" s="748">
        <v>0</v>
      </c>
      <c r="DP55" s="763">
        <v>0</v>
      </c>
      <c r="DQ55" s="327">
        <f t="shared" si="318"/>
        <v>0</v>
      </c>
      <c r="DR55" s="766">
        <v>0</v>
      </c>
      <c r="DS55" s="453">
        <f t="shared" si="319"/>
        <v>0</v>
      </c>
      <c r="DT55" s="766">
        <v>0</v>
      </c>
      <c r="DU55" s="327">
        <f t="shared" si="320"/>
        <v>0</v>
      </c>
      <c r="DV55" s="748">
        <v>0</v>
      </c>
      <c r="DW55" s="763">
        <v>0</v>
      </c>
      <c r="DX55" s="327">
        <f t="shared" si="321"/>
        <v>0</v>
      </c>
      <c r="DY55" s="766">
        <v>0</v>
      </c>
      <c r="DZ55" s="453">
        <f t="shared" si="322"/>
        <v>0</v>
      </c>
      <c r="EA55" s="766">
        <v>0</v>
      </c>
      <c r="EB55" s="327">
        <f t="shared" si="323"/>
        <v>0</v>
      </c>
      <c r="EC55" s="748">
        <v>0</v>
      </c>
      <c r="ED55" s="763">
        <v>0</v>
      </c>
      <c r="EE55" s="327">
        <f t="shared" si="324"/>
        <v>0</v>
      </c>
      <c r="EF55" s="766">
        <v>0</v>
      </c>
      <c r="EG55" s="453">
        <f t="shared" si="325"/>
        <v>0</v>
      </c>
      <c r="EH55" s="766">
        <v>0</v>
      </c>
      <c r="EI55" s="327">
        <f t="shared" si="326"/>
        <v>0</v>
      </c>
      <c r="EJ55" s="748">
        <v>0</v>
      </c>
      <c r="EK55" s="763">
        <v>0</v>
      </c>
      <c r="EL55" s="327">
        <f t="shared" si="327"/>
        <v>0</v>
      </c>
      <c r="EM55" s="766">
        <v>0</v>
      </c>
      <c r="EN55" s="453">
        <f t="shared" si="328"/>
        <v>0</v>
      </c>
      <c r="EO55" s="766">
        <v>0</v>
      </c>
      <c r="EP55" s="327">
        <f t="shared" si="329"/>
        <v>0</v>
      </c>
      <c r="EQ55" s="748">
        <v>0</v>
      </c>
    </row>
    <row r="56" spans="1:147" ht="10.199999999999999" customHeight="1" outlineLevel="1">
      <c r="A56" s="108" t="s">
        <v>96</v>
      </c>
      <c r="B56" s="131"/>
      <c r="C56" s="197"/>
      <c r="D56" s="197"/>
      <c r="E56" s="197"/>
      <c r="F56" s="197"/>
      <c r="G56" s="197"/>
      <c r="H56" s="197"/>
      <c r="I56" s="197"/>
      <c r="J56" s="197">
        <v>400</v>
      </c>
      <c r="K56" s="197">
        <v>80</v>
      </c>
      <c r="L56" s="197">
        <v>100</v>
      </c>
      <c r="M56" s="197">
        <v>180</v>
      </c>
      <c r="N56" s="197">
        <v>-76</v>
      </c>
      <c r="O56" s="197"/>
      <c r="P56" s="158"/>
      <c r="Q56" s="530"/>
      <c r="R56" s="695"/>
      <c r="S56" s="197"/>
      <c r="T56" s="158"/>
      <c r="U56" s="339">
        <v>-102</v>
      </c>
      <c r="V56" s="1210"/>
      <c r="W56" s="158"/>
      <c r="X56" s="530"/>
      <c r="Y56" s="695"/>
      <c r="Z56" s="197"/>
      <c r="AA56" s="158"/>
      <c r="AB56" s="339"/>
      <c r="AC56" s="1210">
        <f>Divisional!AB43</f>
        <v>-150</v>
      </c>
      <c r="AD56" s="158">
        <f>Divisional!AC43</f>
        <v>41</v>
      </c>
      <c r="AE56" s="530">
        <f>Divisional!AD43</f>
        <v>-215</v>
      </c>
      <c r="AF56" s="695">
        <f>Divisional!AE43</f>
        <v>-155</v>
      </c>
      <c r="AG56" s="197">
        <f>Divisional!AF43</f>
        <v>-109</v>
      </c>
      <c r="AH56" s="158">
        <f>Divisional!AG43</f>
        <v>-370</v>
      </c>
      <c r="AI56" s="339">
        <v>72</v>
      </c>
      <c r="AJ56" s="1210">
        <f>Divisional!AI43</f>
        <v>-117</v>
      </c>
      <c r="AK56" s="158">
        <f>Divisional!AJ43</f>
        <v>-732</v>
      </c>
      <c r="AL56" s="530">
        <f>Divisional!AK43</f>
        <v>-214</v>
      </c>
      <c r="AM56" s="695">
        <f>Divisional!AL43</f>
        <v>-205</v>
      </c>
      <c r="AN56" s="197">
        <f>Divisional!AM43</f>
        <v>-849</v>
      </c>
      <c r="AO56" s="158">
        <f>Divisional!AN43</f>
        <v>-419</v>
      </c>
      <c r="AP56" s="339">
        <v>19</v>
      </c>
      <c r="AQ56" s="1210"/>
      <c r="AR56" s="158"/>
      <c r="AS56" s="530"/>
      <c r="AT56" s="695"/>
      <c r="AU56" s="197"/>
      <c r="AV56" s="158"/>
      <c r="AW56" s="339"/>
      <c r="AX56" s="1210"/>
      <c r="AY56" s="158"/>
      <c r="AZ56" s="530"/>
      <c r="BA56" s="695"/>
      <c r="BB56" s="197"/>
      <c r="BC56" s="158"/>
      <c r="BD56" s="339"/>
      <c r="BE56" s="1210">
        <f t="shared" ref="BE56:BK56" si="330">BE58-BE52-BE45</f>
        <v>39</v>
      </c>
      <c r="BF56" s="197">
        <f t="shared" si="330"/>
        <v>-133</v>
      </c>
      <c r="BG56" s="197">
        <f t="shared" si="330"/>
        <v>-8</v>
      </c>
      <c r="BH56" s="688">
        <f t="shared" si="330"/>
        <v>52</v>
      </c>
      <c r="BI56" s="197">
        <f t="shared" si="330"/>
        <v>-94</v>
      </c>
      <c r="BJ56" s="197">
        <f t="shared" si="330"/>
        <v>44</v>
      </c>
      <c r="BK56" s="339">
        <f t="shared" si="330"/>
        <v>-50</v>
      </c>
      <c r="BL56" s="1210">
        <f>Divisional!BK43</f>
        <v>-144</v>
      </c>
      <c r="BM56" s="158">
        <f>Divisional!BL43</f>
        <v>-43</v>
      </c>
      <c r="BN56" s="530">
        <f>Divisional!BM43</f>
        <v>-241</v>
      </c>
      <c r="BO56" s="695">
        <f>Divisional!BN43</f>
        <v>-3725</v>
      </c>
      <c r="BP56" s="197">
        <f>Divisional!BO43</f>
        <v>-187</v>
      </c>
      <c r="BQ56" s="158">
        <f>Divisional!BP43</f>
        <v>-3966</v>
      </c>
      <c r="BR56" s="339">
        <f>Divisional!BQ43</f>
        <v>-4153</v>
      </c>
      <c r="BS56" s="1210">
        <f>+Divisional!BY43</f>
        <v>-134</v>
      </c>
      <c r="BT56" s="197">
        <f>+Divisional!BZ43</f>
        <v>-367</v>
      </c>
      <c r="BU56" s="197">
        <f>+Divisional!CA43</f>
        <v>-1257</v>
      </c>
      <c r="BV56" s="688">
        <f>+Divisional!CB43</f>
        <v>-190</v>
      </c>
      <c r="BW56" s="197">
        <f>+Divisional!CC43</f>
        <v>-501</v>
      </c>
      <c r="BX56" s="197">
        <f>+Divisional!CD43</f>
        <v>-1447</v>
      </c>
      <c r="BY56" s="339">
        <f>+Divisional!CE43</f>
        <v>-1948</v>
      </c>
      <c r="BZ56" s="1210">
        <f>Divisional!CF43</f>
        <v>-190</v>
      </c>
      <c r="CA56" s="197">
        <f>Divisional!CG43</f>
        <v>286</v>
      </c>
      <c r="CB56" s="197">
        <f>Divisional!CH43</f>
        <v>54</v>
      </c>
      <c r="CC56" s="688">
        <f>Divisional!CI43</f>
        <v>455</v>
      </c>
      <c r="CD56" s="197">
        <f>Divisional!CJ43</f>
        <v>96</v>
      </c>
      <c r="CE56" s="197">
        <f>Divisional!CK43</f>
        <v>509</v>
      </c>
      <c r="CF56" s="339">
        <f>Divisional!CL43</f>
        <v>605</v>
      </c>
      <c r="CG56" s="1210">
        <f>Divisional!CM43</f>
        <v>177</v>
      </c>
      <c r="CH56" s="197">
        <f>Divisional!CN43</f>
        <v>25</v>
      </c>
      <c r="CI56" s="197">
        <f>Divisional!CO43</f>
        <v>164</v>
      </c>
      <c r="CJ56" s="688">
        <f>Divisional!CP43</f>
        <v>-166</v>
      </c>
      <c r="CK56" s="197">
        <f>Divisional!CQ43</f>
        <v>202</v>
      </c>
      <c r="CL56" s="197">
        <f>Divisional!CR43</f>
        <v>-2</v>
      </c>
      <c r="CM56" s="339">
        <v>200</v>
      </c>
      <c r="CN56" s="1210">
        <f>-360-9-14</f>
        <v>-383</v>
      </c>
      <c r="CO56" s="158">
        <f t="shared" si="306"/>
        <v>-350</v>
      </c>
      <c r="CP56" s="530">
        <f>Divisional!CV43</f>
        <v>-177</v>
      </c>
      <c r="CQ56" s="695">
        <f t="shared" si="307"/>
        <v>-257</v>
      </c>
      <c r="CR56" s="197">
        <f>Divisional!CX43</f>
        <v>-733</v>
      </c>
      <c r="CS56" s="158">
        <f t="shared" si="308"/>
        <v>-434</v>
      </c>
      <c r="CT56" s="339">
        <f>Divisional!CZ43-CT55</f>
        <v>-1167</v>
      </c>
      <c r="CU56" s="1210">
        <f>Divisional!DA43</f>
        <v>-7</v>
      </c>
      <c r="CV56" s="158">
        <f t="shared" si="309"/>
        <v>25</v>
      </c>
      <c r="CW56" s="530">
        <f>Divisional!DC43</f>
        <v>-170</v>
      </c>
      <c r="CX56" s="695">
        <f t="shared" si="310"/>
        <v>192</v>
      </c>
      <c r="CY56" s="197">
        <f>Divisional!DE43</f>
        <v>18</v>
      </c>
      <c r="CZ56" s="158">
        <f t="shared" si="311"/>
        <v>22</v>
      </c>
      <c r="DA56" s="339">
        <f>Divisional!DG43</f>
        <v>40</v>
      </c>
      <c r="DB56" s="1210">
        <f>Divisional!DH43</f>
        <v>-43</v>
      </c>
      <c r="DC56" s="158">
        <f t="shared" si="312"/>
        <v>-440</v>
      </c>
      <c r="DD56" s="530">
        <f>Divisional!DJ43</f>
        <v>-231</v>
      </c>
      <c r="DE56" s="695">
        <f t="shared" si="313"/>
        <v>-201</v>
      </c>
      <c r="DF56" s="197">
        <f>Divisional!DL43</f>
        <v>-483</v>
      </c>
      <c r="DG56" s="158">
        <f t="shared" si="314"/>
        <v>-432</v>
      </c>
      <c r="DH56" s="339">
        <f>Divisional!DN43</f>
        <v>-915</v>
      </c>
      <c r="DI56" s="1210">
        <f>Divisional!DO43</f>
        <v>-80</v>
      </c>
      <c r="DJ56" s="158">
        <f t="shared" si="315"/>
        <v>43</v>
      </c>
      <c r="DK56" s="767">
        <v>-50</v>
      </c>
      <c r="DL56" s="453">
        <f>DN56-DK56</f>
        <v>-100</v>
      </c>
      <c r="DM56" s="197">
        <f>Divisional!DS43</f>
        <v>-37</v>
      </c>
      <c r="DN56" s="327">
        <f t="shared" si="317"/>
        <v>-150</v>
      </c>
      <c r="DO56" s="386">
        <f>-37-150</f>
        <v>-187</v>
      </c>
      <c r="DP56" s="763">
        <v>0</v>
      </c>
      <c r="DQ56" s="327">
        <f t="shared" si="318"/>
        <v>0</v>
      </c>
      <c r="DR56" s="767">
        <v>0</v>
      </c>
      <c r="DS56" s="453">
        <f t="shared" si="319"/>
        <v>0</v>
      </c>
      <c r="DT56" s="767">
        <v>0</v>
      </c>
      <c r="DU56" s="327">
        <f t="shared" si="320"/>
        <v>0</v>
      </c>
      <c r="DV56" s="748">
        <v>0</v>
      </c>
      <c r="DW56" s="763">
        <v>0</v>
      </c>
      <c r="DX56" s="327">
        <f t="shared" si="321"/>
        <v>0</v>
      </c>
      <c r="DY56" s="767">
        <v>0</v>
      </c>
      <c r="DZ56" s="453">
        <f t="shared" si="322"/>
        <v>0</v>
      </c>
      <c r="EA56" s="767">
        <v>0</v>
      </c>
      <c r="EB56" s="327">
        <f t="shared" si="323"/>
        <v>0</v>
      </c>
      <c r="EC56" s="748">
        <v>0</v>
      </c>
      <c r="ED56" s="763">
        <v>0</v>
      </c>
      <c r="EE56" s="327">
        <f t="shared" si="324"/>
        <v>0</v>
      </c>
      <c r="EF56" s="767">
        <v>0</v>
      </c>
      <c r="EG56" s="453">
        <f t="shared" si="325"/>
        <v>0</v>
      </c>
      <c r="EH56" s="767">
        <v>0</v>
      </c>
      <c r="EI56" s="327">
        <f t="shared" si="326"/>
        <v>0</v>
      </c>
      <c r="EJ56" s="748">
        <v>0</v>
      </c>
      <c r="EK56" s="763">
        <v>0</v>
      </c>
      <c r="EL56" s="327">
        <f t="shared" si="327"/>
        <v>0</v>
      </c>
      <c r="EM56" s="767">
        <v>0</v>
      </c>
      <c r="EN56" s="453">
        <f t="shared" si="328"/>
        <v>0</v>
      </c>
      <c r="EO56" s="767">
        <v>0</v>
      </c>
      <c r="EP56" s="327">
        <f t="shared" si="329"/>
        <v>0</v>
      </c>
      <c r="EQ56" s="748">
        <v>0</v>
      </c>
    </row>
    <row r="57" spans="1:147" ht="10.199999999999999" customHeight="1" outlineLevel="1">
      <c r="A57" s="108" t="s">
        <v>10</v>
      </c>
      <c r="B57" s="117"/>
      <c r="C57" s="197"/>
      <c r="D57" s="197"/>
      <c r="E57" s="197"/>
      <c r="F57" s="197"/>
      <c r="G57" s="197"/>
      <c r="H57" s="197"/>
      <c r="I57" s="197"/>
      <c r="J57" s="197">
        <f>Divisional!I51+Divisional!I54</f>
        <v>1813</v>
      </c>
      <c r="K57" s="197">
        <f>Divisional!J51+Divisional!J54</f>
        <v>-1368</v>
      </c>
      <c r="L57" s="197">
        <f>Divisional!K51+Divisional!K54</f>
        <v>312</v>
      </c>
      <c r="M57" s="197">
        <f>Divisional!L51+Divisional!L54</f>
        <v>592</v>
      </c>
      <c r="N57" s="197"/>
      <c r="O57" s="456"/>
      <c r="P57" s="456"/>
      <c r="Q57" s="456"/>
      <c r="R57" s="457"/>
      <c r="S57" s="456"/>
      <c r="T57" s="456"/>
      <c r="U57" s="538"/>
      <c r="V57" s="764"/>
      <c r="W57" s="456"/>
      <c r="X57" s="456"/>
      <c r="Y57" s="457"/>
      <c r="Z57" s="456"/>
      <c r="AA57" s="456"/>
      <c r="AB57" s="538"/>
      <c r="AC57" s="764"/>
      <c r="AD57" s="456"/>
      <c r="AE57" s="456"/>
      <c r="AF57" s="457"/>
      <c r="AG57" s="456"/>
      <c r="AH57" s="456"/>
      <c r="AI57" s="538"/>
      <c r="AJ57" s="764"/>
      <c r="AK57" s="456"/>
      <c r="AL57" s="456"/>
      <c r="AM57" s="457"/>
      <c r="AN57" s="456"/>
      <c r="AO57" s="456"/>
      <c r="AP57" s="538"/>
      <c r="AQ57" s="764"/>
      <c r="AR57" s="456"/>
      <c r="AS57" s="456"/>
      <c r="AT57" s="457"/>
      <c r="AU57" s="456"/>
      <c r="AV57" s="456"/>
      <c r="AW57" s="538"/>
      <c r="AX57" s="764"/>
      <c r="AY57" s="456"/>
      <c r="AZ57" s="456"/>
      <c r="BA57" s="457"/>
      <c r="BB57" s="456"/>
      <c r="BC57" s="456"/>
      <c r="BD57" s="538"/>
      <c r="BE57" s="764"/>
      <c r="BF57" s="456"/>
      <c r="BG57" s="456"/>
      <c r="BH57" s="457"/>
      <c r="BI57" s="456"/>
      <c r="BJ57" s="456"/>
      <c r="BK57" s="538"/>
      <c r="BL57" s="764"/>
      <c r="BM57" s="456"/>
      <c r="BN57" s="456"/>
      <c r="BO57" s="457"/>
      <c r="BP57" s="456"/>
      <c r="BQ57" s="456"/>
      <c r="BR57" s="538"/>
      <c r="BS57" s="764"/>
      <c r="BT57" s="456"/>
      <c r="BU57" s="456"/>
      <c r="BV57" s="457"/>
      <c r="BW57" s="456"/>
      <c r="BX57" s="456"/>
      <c r="BY57" s="538"/>
      <c r="BZ57" s="764"/>
      <c r="CA57" s="456"/>
      <c r="CB57" s="456"/>
      <c r="CC57" s="457"/>
      <c r="CD57" s="456"/>
      <c r="CE57" s="456"/>
      <c r="CF57" s="538"/>
      <c r="CG57" s="764"/>
      <c r="CH57" s="456"/>
      <c r="CI57" s="456"/>
      <c r="CJ57" s="457"/>
      <c r="CK57" s="456"/>
      <c r="CL57" s="456"/>
      <c r="CM57" s="538"/>
      <c r="CN57" s="764"/>
      <c r="CO57" s="456"/>
      <c r="CP57" s="456"/>
      <c r="CQ57" s="457"/>
      <c r="CR57" s="456"/>
      <c r="CS57" s="456"/>
      <c r="CT57" s="538"/>
      <c r="CU57" s="456"/>
      <c r="CV57" s="456"/>
      <c r="CW57" s="456"/>
      <c r="CX57" s="457"/>
      <c r="CY57" s="456"/>
      <c r="CZ57" s="456"/>
      <c r="DA57" s="538"/>
      <c r="DB57" s="456"/>
      <c r="DC57" s="456"/>
      <c r="DD57" s="456"/>
      <c r="DE57" s="457"/>
      <c r="DF57" s="456"/>
      <c r="DG57" s="456"/>
      <c r="DH57" s="538"/>
      <c r="DI57" s="456"/>
      <c r="DJ57" s="456"/>
      <c r="DK57" s="456"/>
      <c r="DL57" s="457"/>
      <c r="DM57" s="266"/>
      <c r="DN57" s="456"/>
      <c r="DO57" s="538"/>
      <c r="DP57" s="456"/>
      <c r="DQ57" s="456"/>
      <c r="DR57" s="456"/>
      <c r="DS57" s="457"/>
      <c r="DT57" s="456"/>
      <c r="DU57" s="456"/>
      <c r="DV57" s="538"/>
      <c r="DW57" s="456"/>
      <c r="DX57" s="456"/>
      <c r="DY57" s="456"/>
      <c r="DZ57" s="457"/>
      <c r="EA57" s="456"/>
      <c r="EB57" s="456"/>
      <c r="EC57" s="538"/>
      <c r="ED57" s="456"/>
      <c r="EE57" s="456"/>
      <c r="EF57" s="456"/>
      <c r="EG57" s="457"/>
      <c r="EH57" s="456"/>
      <c r="EI57" s="456"/>
      <c r="EJ57" s="538"/>
      <c r="EK57" s="456"/>
      <c r="EL57" s="456"/>
      <c r="EM57" s="456"/>
      <c r="EN57" s="457"/>
      <c r="EO57" s="456"/>
      <c r="EP57" s="456"/>
      <c r="EQ57" s="538"/>
    </row>
    <row r="58" spans="1:147" ht="10.199999999999999" customHeight="1">
      <c r="A58" s="32" t="s">
        <v>332</v>
      </c>
      <c r="B58" s="195"/>
      <c r="C58" s="111">
        <f>Divisional!B51</f>
        <v>1655</v>
      </c>
      <c r="D58" s="111">
        <f>Divisional!C51</f>
        <v>1361</v>
      </c>
      <c r="E58" s="111">
        <f>Divisional!D51</f>
        <v>1353</v>
      </c>
      <c r="F58" s="111">
        <f>Divisional!E51</f>
        <v>1919</v>
      </c>
      <c r="G58" s="111">
        <f>Divisional!F51</f>
        <v>2307</v>
      </c>
      <c r="H58" s="111">
        <f>Divisional!G51</f>
        <v>-572</v>
      </c>
      <c r="I58" s="111">
        <f>Divisional!H51</f>
        <v>-881</v>
      </c>
      <c r="J58" s="111">
        <f>Divisional!I51</f>
        <v>2306</v>
      </c>
      <c r="K58" s="111">
        <f>Divisional!J51</f>
        <v>386</v>
      </c>
      <c r="L58" s="111">
        <f>Divisional!K51</f>
        <v>291</v>
      </c>
      <c r="M58" s="111">
        <f>Divisional!L51</f>
        <v>543</v>
      </c>
      <c r="N58" s="532">
        <f>Divisional!M51</f>
        <v>1125</v>
      </c>
      <c r="O58" s="111">
        <f>Divisional!N51</f>
        <v>463</v>
      </c>
      <c r="P58" s="111">
        <f>Divisional!O51</f>
        <v>632</v>
      </c>
      <c r="Q58" s="111">
        <f>Divisional!P51</f>
        <v>428</v>
      </c>
      <c r="R58" s="682">
        <f>Divisional!Q51</f>
        <v>70</v>
      </c>
      <c r="S58" s="111">
        <f>Divisional!R51</f>
        <v>1095</v>
      </c>
      <c r="T58" s="111">
        <f>Divisional!S51</f>
        <v>498</v>
      </c>
      <c r="U58" s="340">
        <f>Divisional!T51</f>
        <v>1593</v>
      </c>
      <c r="V58" s="1209">
        <f t="shared" ref="V58:BD58" si="331">V45+V50+V51+V52+V53+V54+V55+V56+V57</f>
        <v>546</v>
      </c>
      <c r="W58" s="111">
        <f t="shared" si="331"/>
        <v>811</v>
      </c>
      <c r="X58" s="111">
        <f t="shared" si="331"/>
        <v>416</v>
      </c>
      <c r="Y58" s="682">
        <f t="shared" si="331"/>
        <v>898</v>
      </c>
      <c r="Z58" s="111">
        <f t="shared" si="331"/>
        <v>1357</v>
      </c>
      <c r="AA58" s="111">
        <f t="shared" si="331"/>
        <v>1314</v>
      </c>
      <c r="AB58" s="340">
        <f t="shared" si="331"/>
        <v>2671</v>
      </c>
      <c r="AC58" s="1209">
        <f t="shared" si="331"/>
        <v>419</v>
      </c>
      <c r="AD58" s="111">
        <f t="shared" si="331"/>
        <v>1005</v>
      </c>
      <c r="AE58" s="111">
        <f t="shared" si="331"/>
        <v>478</v>
      </c>
      <c r="AF58" s="682">
        <f t="shared" si="331"/>
        <v>399</v>
      </c>
      <c r="AG58" s="111">
        <f t="shared" si="331"/>
        <v>1424</v>
      </c>
      <c r="AH58" s="111">
        <f t="shared" si="331"/>
        <v>877</v>
      </c>
      <c r="AI58" s="340">
        <f t="shared" si="331"/>
        <v>2301</v>
      </c>
      <c r="AJ58" s="1209">
        <f t="shared" si="331"/>
        <v>289</v>
      </c>
      <c r="AK58" s="111">
        <f t="shared" si="331"/>
        <v>131</v>
      </c>
      <c r="AL58" s="111">
        <f t="shared" si="331"/>
        <v>353</v>
      </c>
      <c r="AM58" s="682">
        <f t="shared" si="331"/>
        <v>770</v>
      </c>
      <c r="AN58" s="111">
        <f t="shared" si="331"/>
        <v>420</v>
      </c>
      <c r="AO58" s="111">
        <f t="shared" si="331"/>
        <v>1123</v>
      </c>
      <c r="AP58" s="340">
        <f t="shared" si="331"/>
        <v>1543</v>
      </c>
      <c r="AQ58" s="1209">
        <f t="shared" si="331"/>
        <v>336</v>
      </c>
      <c r="AR58" s="111">
        <f t="shared" si="331"/>
        <v>742</v>
      </c>
      <c r="AS58" s="111">
        <f t="shared" si="331"/>
        <v>440</v>
      </c>
      <c r="AT58" s="682">
        <f t="shared" si="331"/>
        <v>1910</v>
      </c>
      <c r="AU58" s="111">
        <f t="shared" si="331"/>
        <v>1078</v>
      </c>
      <c r="AV58" s="111">
        <f t="shared" si="331"/>
        <v>2350</v>
      </c>
      <c r="AW58" s="340">
        <f t="shared" si="331"/>
        <v>3428</v>
      </c>
      <c r="AX58" s="1209">
        <f t="shared" si="331"/>
        <v>-48</v>
      </c>
      <c r="AY58" s="111">
        <f t="shared" si="331"/>
        <v>429</v>
      </c>
      <c r="AZ58" s="111">
        <f t="shared" si="331"/>
        <v>398</v>
      </c>
      <c r="BA58" s="682">
        <f t="shared" si="331"/>
        <v>1478</v>
      </c>
      <c r="BB58" s="111">
        <f t="shared" si="331"/>
        <v>381</v>
      </c>
      <c r="BC58" s="111">
        <f t="shared" si="331"/>
        <v>1876</v>
      </c>
      <c r="BD58" s="340">
        <f t="shared" si="331"/>
        <v>2257</v>
      </c>
      <c r="BE58" s="1209">
        <f>Divisional!BD51</f>
        <v>-2</v>
      </c>
      <c r="BF58" s="111">
        <f>Divisional!BE51</f>
        <v>775</v>
      </c>
      <c r="BG58" s="111">
        <f>Divisional!BF51</f>
        <v>1465</v>
      </c>
      <c r="BH58" s="682">
        <f>Divisional!BG51</f>
        <v>2057</v>
      </c>
      <c r="BI58" s="111">
        <f>Divisional!BH51</f>
        <v>773</v>
      </c>
      <c r="BJ58" s="111">
        <f>Divisional!BI51</f>
        <v>3522</v>
      </c>
      <c r="BK58" s="340">
        <v>4295</v>
      </c>
      <c r="BL58" s="1209">
        <f t="shared" ref="BL58:CQ58" si="332">BL45+BL50+BL51+BL52+BL53+BL54+BL55+BL56+BL57</f>
        <v>392</v>
      </c>
      <c r="BM58" s="111">
        <f t="shared" si="332"/>
        <v>1759</v>
      </c>
      <c r="BN58" s="111">
        <f t="shared" si="332"/>
        <v>1254</v>
      </c>
      <c r="BO58" s="682">
        <f t="shared" si="332"/>
        <v>-1200</v>
      </c>
      <c r="BP58" s="111">
        <f t="shared" si="332"/>
        <v>2151</v>
      </c>
      <c r="BQ58" s="111">
        <f t="shared" si="332"/>
        <v>54</v>
      </c>
      <c r="BR58" s="340">
        <f t="shared" si="332"/>
        <v>2205</v>
      </c>
      <c r="BS58" s="1209">
        <f t="shared" si="332"/>
        <v>57</v>
      </c>
      <c r="BT58" s="111">
        <f t="shared" si="332"/>
        <v>-1865</v>
      </c>
      <c r="BU58" s="111">
        <f t="shared" si="332"/>
        <v>-591</v>
      </c>
      <c r="BV58" s="682">
        <f t="shared" si="332"/>
        <v>1069</v>
      </c>
      <c r="BW58" s="111">
        <f t="shared" si="332"/>
        <v>-1808</v>
      </c>
      <c r="BX58" s="111">
        <f t="shared" si="332"/>
        <v>478</v>
      </c>
      <c r="BY58" s="340">
        <f t="shared" si="332"/>
        <v>-1330</v>
      </c>
      <c r="BZ58" s="1209">
        <f t="shared" si="332"/>
        <v>343</v>
      </c>
      <c r="CA58" s="111">
        <f t="shared" si="332"/>
        <v>2044</v>
      </c>
      <c r="CB58" s="111">
        <f t="shared" si="332"/>
        <v>502</v>
      </c>
      <c r="CC58" s="682">
        <f t="shared" si="332"/>
        <v>1286</v>
      </c>
      <c r="CD58" s="111">
        <f t="shared" si="332"/>
        <v>2387</v>
      </c>
      <c r="CE58" s="111">
        <f t="shared" si="332"/>
        <v>1788</v>
      </c>
      <c r="CF58" s="340">
        <f t="shared" si="332"/>
        <v>4175</v>
      </c>
      <c r="CG58" s="1209">
        <f t="shared" si="332"/>
        <v>1242</v>
      </c>
      <c r="CH58" s="111">
        <f t="shared" si="332"/>
        <v>1236</v>
      </c>
      <c r="CI58" s="111">
        <f t="shared" si="332"/>
        <v>763</v>
      </c>
      <c r="CJ58" s="682">
        <f t="shared" si="332"/>
        <v>1559</v>
      </c>
      <c r="CK58" s="111">
        <f t="shared" si="332"/>
        <v>2478</v>
      </c>
      <c r="CL58" s="111">
        <f t="shared" si="332"/>
        <v>2322</v>
      </c>
      <c r="CM58" s="340">
        <f t="shared" si="332"/>
        <v>4800</v>
      </c>
      <c r="CN58" s="1209">
        <f t="shared" si="332"/>
        <v>197</v>
      </c>
      <c r="CO58" s="111">
        <f t="shared" si="332"/>
        <v>1326</v>
      </c>
      <c r="CP58" s="111">
        <f t="shared" si="332"/>
        <v>783</v>
      </c>
      <c r="CQ58" s="682">
        <f t="shared" si="332"/>
        <v>1304</v>
      </c>
      <c r="CR58" s="111">
        <f t="shared" ref="CR58:DI58" si="333">CR45+CR50+CR51+CR52+CR53+CR54+CR55+CR56+CR57</f>
        <v>1523</v>
      </c>
      <c r="CS58" s="111">
        <f t="shared" si="333"/>
        <v>2087</v>
      </c>
      <c r="CT58" s="340">
        <f t="shared" si="333"/>
        <v>3610</v>
      </c>
      <c r="CU58" s="1209">
        <f t="shared" si="333"/>
        <v>500</v>
      </c>
      <c r="CV58" s="111">
        <f t="shared" si="333"/>
        <v>1472</v>
      </c>
      <c r="CW58" s="111">
        <f t="shared" si="333"/>
        <v>904</v>
      </c>
      <c r="CX58" s="682">
        <f t="shared" si="333"/>
        <v>2257</v>
      </c>
      <c r="CY58" s="111">
        <f t="shared" si="333"/>
        <v>1972</v>
      </c>
      <c r="CZ58" s="111">
        <f t="shared" si="333"/>
        <v>3161</v>
      </c>
      <c r="DA58" s="340">
        <f t="shared" si="333"/>
        <v>5133</v>
      </c>
      <c r="DB58" s="1209">
        <f t="shared" si="333"/>
        <v>451</v>
      </c>
      <c r="DC58" s="111">
        <f t="shared" si="333"/>
        <v>780</v>
      </c>
      <c r="DD58" s="111">
        <f t="shared" si="333"/>
        <v>1325</v>
      </c>
      <c r="DE58" s="682">
        <f t="shared" si="333"/>
        <v>1999</v>
      </c>
      <c r="DF58" s="111">
        <f t="shared" si="333"/>
        <v>1231</v>
      </c>
      <c r="DG58" s="111">
        <f t="shared" si="333"/>
        <v>3324</v>
      </c>
      <c r="DH58" s="340">
        <f t="shared" si="333"/>
        <v>4555</v>
      </c>
      <c r="DI58" s="1209">
        <f t="shared" si="333"/>
        <v>1</v>
      </c>
      <c r="DJ58" s="111">
        <f t="shared" ref="DJ58" si="334">DJ45+DJ50+DJ51+DJ52+DJ53+DJ54+DJ55+DJ56+DJ57</f>
        <v>1949</v>
      </c>
      <c r="DK58" s="401">
        <f>DK45+DK50+DK51+DK52+DK53+DK54+DK55+DK56+DK57</f>
        <v>1537.1267727593568</v>
      </c>
      <c r="DL58" s="431">
        <f>DN58-DK58</f>
        <v>2243.5512639030439</v>
      </c>
      <c r="DM58" s="2024">
        <f>DM45+DM50+DM51+DM52+DM53+DM54+DM55+DM56+DM57</f>
        <v>1950</v>
      </c>
      <c r="DN58" s="401">
        <f>DO58-DM58</f>
        <v>3780.6780366624007</v>
      </c>
      <c r="DO58" s="400">
        <f>DO45+DO50+DO51+DO52+DO53+DO54+DO55+DO56+DO57</f>
        <v>5730.6780366624007</v>
      </c>
      <c r="DP58" s="765">
        <f>DP45+DP50+DP51+DP52+DP53+DP54+DP55+DP56+DP57</f>
        <v>1717.4955710499453</v>
      </c>
      <c r="DQ58" s="401">
        <f>DT58-DP58</f>
        <v>1876.7178219100488</v>
      </c>
      <c r="DR58" s="401">
        <f>DR45+DR50+DR51+DR52+DR53+DR54+DR55+DR56+DR57</f>
        <v>1879.256655814354</v>
      </c>
      <c r="DS58" s="431">
        <f>DU58-DR58</f>
        <v>1839.2900791853831</v>
      </c>
      <c r="DT58" s="401">
        <f>DT45+DT50+DT51+DT52+DT53+DT54+DT55+DT56+DT57</f>
        <v>3594.2133929599941</v>
      </c>
      <c r="DU58" s="401">
        <f>DV58-DT58</f>
        <v>3718.5467349997371</v>
      </c>
      <c r="DV58" s="400">
        <f>DV45+DV50+DV51+DV52+DV53+DV54+DV55+DV56+DV57</f>
        <v>7312.7601279597311</v>
      </c>
      <c r="DW58" s="765">
        <f>DW45+DW50+DW51+DW52+DW53+DW54+DW55+DW56+DW57</f>
        <v>2205.2327436249648</v>
      </c>
      <c r="DX58" s="401">
        <f>EA58-DW58</f>
        <v>2369.890441668806</v>
      </c>
      <c r="DY58" s="401">
        <f>DY45+DY50+DY51+DY52+DY53+DY54+DY55+DY56+DY57</f>
        <v>2372.9282472399582</v>
      </c>
      <c r="DZ58" s="431">
        <f>EB58-DY58</f>
        <v>2420.1112747069337</v>
      </c>
      <c r="EA58" s="401">
        <f>EA45+EA50+EA51+EA52+EA53+EA54+EA55+EA56+EA57</f>
        <v>4575.1231852937708</v>
      </c>
      <c r="EB58" s="401">
        <f>EC58-EA58</f>
        <v>4793.0395219468919</v>
      </c>
      <c r="EC58" s="400">
        <f>EC45+EC50+EC51+EC52+EC53+EC54+EC55+EC56+EC57</f>
        <v>9368.1627072406627</v>
      </c>
      <c r="ED58" s="765">
        <f>ED45+ED50+ED51+ED52+ED53+ED54+ED55+ED56+ED57</f>
        <v>2529.8400900134998</v>
      </c>
      <c r="EE58" s="401">
        <f>EH58-ED58</f>
        <v>2531.2487204615595</v>
      </c>
      <c r="EF58" s="401">
        <f>EF45+EF50+EF51+EF52+EF53+EF54+EF55+EF56+EF57</f>
        <v>2534.4448985163485</v>
      </c>
      <c r="EG58" s="431">
        <f>EI58-EF58</f>
        <v>2590.098849761564</v>
      </c>
      <c r="EH58" s="401">
        <f>EH45+EH50+EH51+EH52+EH53+EH54+EH55+EH56+EH57</f>
        <v>5061.0888104750593</v>
      </c>
      <c r="EI58" s="401">
        <f>EJ58-EH58</f>
        <v>5124.5437482779125</v>
      </c>
      <c r="EJ58" s="400">
        <f>EJ45+EJ50+EJ51+EJ52+EJ53+EJ54+EJ55+EJ56+EJ57</f>
        <v>10185.632558752972</v>
      </c>
      <c r="EK58" s="765">
        <f>EK45+EK50+EK51+EK52+EK53+EK54+EK55+EK56+EK57</f>
        <v>2680.9431360907402</v>
      </c>
      <c r="EL58" s="401">
        <f>EO58-EK58</f>
        <v>2683.3504286050675</v>
      </c>
      <c r="EM58" s="401">
        <f>EM45+EM50+EM51+EM52+EM53+EM54+EM55+EM56+EM57</f>
        <v>2686.7178350070908</v>
      </c>
      <c r="EN58" s="431">
        <f>EP58-EM58</f>
        <v>2742.4254564114854</v>
      </c>
      <c r="EO58" s="401">
        <f>EO45+EO50+EO51+EO52+EO53+EO54+EO55+EO56+EO57</f>
        <v>5364.2935646958076</v>
      </c>
      <c r="EP58" s="401">
        <f>EQ58-EO58</f>
        <v>5429.1432914185762</v>
      </c>
      <c r="EQ58" s="400">
        <f>EQ45+EQ50+EQ51+EQ52+EQ53+EQ54+EQ55+EQ56+EQ57</f>
        <v>10793.436856114384</v>
      </c>
    </row>
    <row r="59" spans="1:147" ht="10.199999999999999" customHeight="1">
      <c r="A59" s="51" t="s">
        <v>31</v>
      </c>
      <c r="B59" s="115"/>
      <c r="C59" s="115">
        <f t="shared" ref="C59:N59" si="335">C58/C11</f>
        <v>8.053919898778529E-2</v>
      </c>
      <c r="D59" s="115">
        <f t="shared" si="335"/>
        <v>6.9751947519475194E-2</v>
      </c>
      <c r="E59" s="115">
        <f t="shared" si="335"/>
        <v>7.1031079378412437E-2</v>
      </c>
      <c r="F59" s="115">
        <f t="shared" si="335"/>
        <v>9.4887262658227847E-2</v>
      </c>
      <c r="G59" s="115">
        <f t="shared" si="335"/>
        <v>0.10401731367509806</v>
      </c>
      <c r="H59" s="115">
        <f t="shared" si="335"/>
        <v>-2.2707423580786028E-2</v>
      </c>
      <c r="I59" s="115">
        <f t="shared" si="335"/>
        <v>-3.4938134517766499E-2</v>
      </c>
      <c r="J59" s="115">
        <f t="shared" si="335"/>
        <v>8.6940129693862167E-2</v>
      </c>
      <c r="K59" s="115">
        <f t="shared" si="335"/>
        <v>1.4637846037163444E-2</v>
      </c>
      <c r="L59" s="115">
        <f t="shared" si="335"/>
        <v>1.0515665088714632E-2</v>
      </c>
      <c r="M59" s="115">
        <f t="shared" si="335"/>
        <v>1.7426746686350653E-2</v>
      </c>
      <c r="N59" s="115">
        <f t="shared" si="335"/>
        <v>3.0452318436510299E-2</v>
      </c>
      <c r="O59" s="115"/>
      <c r="P59" s="115"/>
      <c r="Q59" s="115"/>
      <c r="R59" s="683"/>
      <c r="S59" s="115"/>
      <c r="T59" s="115"/>
      <c r="U59" s="341">
        <f t="shared" ref="U59:AZ59" si="336">U58/U11</f>
        <v>4.0335240796070287E-2</v>
      </c>
      <c r="V59" s="115">
        <f t="shared" si="336"/>
        <v>6.1094326955354147E-2</v>
      </c>
      <c r="W59" s="115">
        <f t="shared" si="336"/>
        <v>7.7296988181471599E-2</v>
      </c>
      <c r="X59" s="115">
        <f t="shared" si="336"/>
        <v>4.4297731870940264E-2</v>
      </c>
      <c r="Y59" s="683">
        <f t="shared" si="336"/>
        <v>6.6716196136701336E-2</v>
      </c>
      <c r="Z59" s="115">
        <f t="shared" si="336"/>
        <v>6.9844047557774458E-2</v>
      </c>
      <c r="AA59" s="115">
        <f t="shared" si="336"/>
        <v>5.7502953918865694E-2</v>
      </c>
      <c r="AB59" s="341">
        <f t="shared" si="336"/>
        <v>6.3174077578051088E-2</v>
      </c>
      <c r="AC59" s="115">
        <f t="shared" si="336"/>
        <v>4.892002335084647E-2</v>
      </c>
      <c r="AD59" s="115">
        <f t="shared" si="336"/>
        <v>8.029721955896453E-2</v>
      </c>
      <c r="AE59" s="115">
        <f t="shared" si="336"/>
        <v>4.7619047619047616E-2</v>
      </c>
      <c r="AF59" s="683">
        <f t="shared" si="336"/>
        <v>2.7078384798099764E-2</v>
      </c>
      <c r="AG59" s="115">
        <f t="shared" si="336"/>
        <v>6.7548977752478534E-2</v>
      </c>
      <c r="AH59" s="115">
        <f t="shared" si="336"/>
        <v>3.540144512170508E-2</v>
      </c>
      <c r="AI59" s="341">
        <f t="shared" si="336"/>
        <v>5.0181009290356349E-2</v>
      </c>
      <c r="AJ59" s="115">
        <f t="shared" si="336"/>
        <v>3.3341024457775724E-2</v>
      </c>
      <c r="AK59" s="115">
        <f t="shared" si="336"/>
        <v>1.0570483337367868E-2</v>
      </c>
      <c r="AL59" s="115">
        <f t="shared" si="336"/>
        <v>3.3779904306220097E-2</v>
      </c>
      <c r="AM59" s="683">
        <f t="shared" si="336"/>
        <v>4.3439016134491706E-2</v>
      </c>
      <c r="AN59" s="115">
        <f t="shared" si="336"/>
        <v>1.9942073025972177E-2</v>
      </c>
      <c r="AO59" s="115">
        <f t="shared" si="336"/>
        <v>3.9856615559341287E-2</v>
      </c>
      <c r="AP59" s="341">
        <f t="shared" si="336"/>
        <v>3.1338221256372242E-2</v>
      </c>
      <c r="AQ59" s="115">
        <f t="shared" si="336"/>
        <v>3.419847328244275E-2</v>
      </c>
      <c r="AR59" s="115">
        <f t="shared" si="336"/>
        <v>6.2019391507856902E-2</v>
      </c>
      <c r="AS59" s="115">
        <f t="shared" si="336"/>
        <v>4.0538050488299247E-2</v>
      </c>
      <c r="AT59" s="683">
        <f t="shared" si="336"/>
        <v>0.10428610428610428</v>
      </c>
      <c r="AU59" s="115">
        <f t="shared" si="336"/>
        <v>4.9474505484418743E-2</v>
      </c>
      <c r="AV59" s="115">
        <f t="shared" si="336"/>
        <v>8.0564983372758747E-2</v>
      </c>
      <c r="AW59" s="341">
        <f t="shared" si="336"/>
        <v>6.727108599238589E-2</v>
      </c>
      <c r="AX59" s="115">
        <f t="shared" si="336"/>
        <v>-5.8780308596620128E-3</v>
      </c>
      <c r="AY59" s="115">
        <f t="shared" si="336"/>
        <v>4.2831469648562298E-2</v>
      </c>
      <c r="AZ59" s="115">
        <f t="shared" si="336"/>
        <v>4.2353942747685433E-2</v>
      </c>
      <c r="BA59" s="683">
        <f t="shared" ref="BA59:CF59" si="337">BA58/BA11</f>
        <v>9.2915068837618658E-2</v>
      </c>
      <c r="BB59" s="115">
        <f t="shared" si="337"/>
        <v>2.095479045209548E-2</v>
      </c>
      <c r="BC59" s="115">
        <f t="shared" si="337"/>
        <v>7.4138476130256092E-2</v>
      </c>
      <c r="BD59" s="341">
        <f t="shared" si="337"/>
        <v>5.1901761486455408E-2</v>
      </c>
      <c r="BE59" s="115">
        <f t="shared" si="337"/>
        <v>-2.7693159789531985E-4</v>
      </c>
      <c r="BF59" s="115">
        <f t="shared" si="337"/>
        <v>6.8438714235252565E-2</v>
      </c>
      <c r="BG59" s="115">
        <f t="shared" si="337"/>
        <v>0.12277908146161583</v>
      </c>
      <c r="BH59" s="683">
        <f t="shared" si="337"/>
        <v>0.11759661559570089</v>
      </c>
      <c r="BI59" s="115">
        <f t="shared" si="337"/>
        <v>4.1680146662353069E-2</v>
      </c>
      <c r="BJ59" s="115">
        <f t="shared" si="337"/>
        <v>0.11969820554649266</v>
      </c>
      <c r="BK59" s="341">
        <f t="shared" si="337"/>
        <v>8.953512612049197E-2</v>
      </c>
      <c r="BL59" s="115">
        <f t="shared" si="337"/>
        <v>4.0424873672269775E-2</v>
      </c>
      <c r="BM59" s="115">
        <f t="shared" si="337"/>
        <v>0.12261257493377944</v>
      </c>
      <c r="BN59" s="115">
        <f t="shared" si="337"/>
        <v>0.10876919073640386</v>
      </c>
      <c r="BO59" s="683">
        <f t="shared" si="337"/>
        <v>-6.2490235900640526E-2</v>
      </c>
      <c r="BP59" s="115">
        <f t="shared" si="337"/>
        <v>8.9464709062928915E-2</v>
      </c>
      <c r="BQ59" s="115">
        <f t="shared" si="337"/>
        <v>1.7571261226083561E-3</v>
      </c>
      <c r="BR59" s="341">
        <f t="shared" si="337"/>
        <v>4.0255591054313096E-2</v>
      </c>
      <c r="BS59" s="115">
        <f t="shared" si="337"/>
        <v>7.5307173999207295E-3</v>
      </c>
      <c r="BT59" s="115">
        <f t="shared" si="337"/>
        <v>-0.37570507655116842</v>
      </c>
      <c r="BU59" s="115">
        <f t="shared" si="337"/>
        <v>-7.6376324631687781E-2</v>
      </c>
      <c r="BV59" s="683">
        <f t="shared" si="337"/>
        <v>7.6471850633092489E-2</v>
      </c>
      <c r="BW59" s="115">
        <f t="shared" si="337"/>
        <v>-0.14425915582861246</v>
      </c>
      <c r="BX59" s="115">
        <f t="shared" si="337"/>
        <v>2.2010406593912603E-2</v>
      </c>
      <c r="BY59" s="341">
        <f t="shared" si="337"/>
        <v>-3.8832116788321165E-2</v>
      </c>
      <c r="BZ59" s="115">
        <f t="shared" si="337"/>
        <v>4.7167216721672164E-2</v>
      </c>
      <c r="CA59" s="115">
        <f t="shared" si="337"/>
        <v>0.19390949625272744</v>
      </c>
      <c r="CB59" s="115">
        <f t="shared" si="337"/>
        <v>7.376928728875827E-2</v>
      </c>
      <c r="CC59" s="683">
        <f t="shared" si="337"/>
        <v>0.11138056469773082</v>
      </c>
      <c r="CD59" s="115">
        <f t="shared" si="337"/>
        <v>0.13400325604895302</v>
      </c>
      <c r="CE59" s="115">
        <f t="shared" si="337"/>
        <v>9.7433382376982181E-2</v>
      </c>
      <c r="CF59" s="341">
        <f t="shared" si="337"/>
        <v>0.1154463001880323</v>
      </c>
      <c r="CG59" s="115">
        <f t="shared" ref="CG59:DL59" si="338">CG58/CG11</f>
        <v>0.14541622760800843</v>
      </c>
      <c r="CH59" s="115">
        <f t="shared" si="338"/>
        <v>0.13745551601423486</v>
      </c>
      <c r="CI59" s="115">
        <f t="shared" si="338"/>
        <v>8.3653108211818886E-2</v>
      </c>
      <c r="CJ59" s="683">
        <f t="shared" si="338"/>
        <v>0.10552321646135102</v>
      </c>
      <c r="CK59" s="115">
        <f t="shared" si="338"/>
        <v>0.14133348542747962</v>
      </c>
      <c r="CL59" s="115">
        <f t="shared" si="338"/>
        <v>9.7175141242937857E-2</v>
      </c>
      <c r="CM59" s="341">
        <f t="shared" si="338"/>
        <v>0.11586366708506324</v>
      </c>
      <c r="CN59" s="115">
        <f t="shared" si="338"/>
        <v>2.4290998766954376E-2</v>
      </c>
      <c r="CO59" s="115">
        <f t="shared" si="338"/>
        <v>0.10834218481902116</v>
      </c>
      <c r="CP59" s="115">
        <f t="shared" si="338"/>
        <v>7.0173866284280337E-2</v>
      </c>
      <c r="CQ59" s="683">
        <f t="shared" si="338"/>
        <v>8.0216535433070876E-2</v>
      </c>
      <c r="CR59" s="115">
        <f t="shared" si="338"/>
        <v>7.4843972676790008E-2</v>
      </c>
      <c r="CS59" s="115">
        <f t="shared" si="338"/>
        <v>7.6128985190048876E-2</v>
      </c>
      <c r="CT59" s="341">
        <f t="shared" si="338"/>
        <v>7.5581517073885648E-2</v>
      </c>
      <c r="CU59" s="115">
        <f t="shared" si="338"/>
        <v>5.4543471146503764E-2</v>
      </c>
      <c r="CV59" s="115">
        <f t="shared" si="338"/>
        <v>0.12217795484727756</v>
      </c>
      <c r="CW59" s="115">
        <f t="shared" si="338"/>
        <v>7.7503429355281206E-2</v>
      </c>
      <c r="CX59" s="683">
        <f t="shared" si="338"/>
        <v>0.12703326391624922</v>
      </c>
      <c r="CY59" s="115">
        <f t="shared" si="338"/>
        <v>9.2953099222248411E-2</v>
      </c>
      <c r="CZ59" s="115">
        <f t="shared" si="338"/>
        <v>0.10740375794230574</v>
      </c>
      <c r="DA59" s="341">
        <f t="shared" si="338"/>
        <v>0.10135055088259685</v>
      </c>
      <c r="DB59" s="115">
        <f t="shared" si="338"/>
        <v>4.7368973847284952E-2</v>
      </c>
      <c r="DC59" s="115">
        <f t="shared" si="338"/>
        <v>6.8977714892111783E-2</v>
      </c>
      <c r="DD59" s="115">
        <f t="shared" si="338"/>
        <v>0.10147813433407368</v>
      </c>
      <c r="DE59" s="683">
        <f t="shared" si="338"/>
        <v>0.10694986892087101</v>
      </c>
      <c r="DF59" s="115">
        <f t="shared" si="338"/>
        <v>5.9100292860915067E-2</v>
      </c>
      <c r="DG59" s="115">
        <f t="shared" si="338"/>
        <v>0.10469950863046491</v>
      </c>
      <c r="DH59" s="341">
        <f t="shared" si="338"/>
        <v>8.6634840329421606E-2</v>
      </c>
      <c r="DI59" s="115">
        <f t="shared" si="338"/>
        <v>1.1853959222380275E-4</v>
      </c>
      <c r="DJ59" s="115">
        <f t="shared" ref="DJ59" si="339">DJ58/DJ11</f>
        <v>0.12622239492260864</v>
      </c>
      <c r="DK59" s="403">
        <f t="shared" si="338"/>
        <v>0.10626407445064663</v>
      </c>
      <c r="DL59" s="432">
        <f t="shared" si="338"/>
        <v>0.11219663677498995</v>
      </c>
      <c r="DM59" s="2037">
        <f t="shared" ref="DM59:EQ59" si="340">DM58/DM11</f>
        <v>8.1668551325543404E-2</v>
      </c>
      <c r="DN59" s="403">
        <f t="shared" si="340"/>
        <v>0.10970647199097458</v>
      </c>
      <c r="DO59" s="402">
        <f t="shared" si="340"/>
        <v>9.823105771731884E-2</v>
      </c>
      <c r="DP59" s="403">
        <f t="shared" si="340"/>
        <v>0.10769412876826408</v>
      </c>
      <c r="DQ59" s="403">
        <f t="shared" si="340"/>
        <v>0.11139448551509532</v>
      </c>
      <c r="DR59" s="403">
        <f t="shared" si="340"/>
        <v>0.11126143447153602</v>
      </c>
      <c r="DS59" s="432">
        <f t="shared" si="340"/>
        <v>0.11115461172247239</v>
      </c>
      <c r="DT59" s="403">
        <f t="shared" si="340"/>
        <v>0.10959505820323882</v>
      </c>
      <c r="DU59" s="403">
        <f t="shared" si="340"/>
        <v>0.11120857150746492</v>
      </c>
      <c r="DV59" s="402">
        <f t="shared" si="340"/>
        <v>0.11040963716122627</v>
      </c>
      <c r="DW59" s="403">
        <f t="shared" si="340"/>
        <v>0.12613210805921565</v>
      </c>
      <c r="DX59" s="403">
        <f t="shared" si="340"/>
        <v>0.12795480186640776</v>
      </c>
      <c r="DY59" s="403">
        <f t="shared" si="340"/>
        <v>0.12780406810304545</v>
      </c>
      <c r="DZ59" s="432">
        <f t="shared" si="340"/>
        <v>0.13029744852447411</v>
      </c>
      <c r="EA59" s="403">
        <f t="shared" si="340"/>
        <v>0.12706972337149008</v>
      </c>
      <c r="EB59" s="403">
        <f t="shared" si="340"/>
        <v>0.12905098723811159</v>
      </c>
      <c r="EC59" s="402">
        <f t="shared" si="340"/>
        <v>0.12807573833658487</v>
      </c>
      <c r="ED59" s="403">
        <f t="shared" si="340"/>
        <v>0.13413123771514029</v>
      </c>
      <c r="EE59" s="403">
        <f t="shared" si="340"/>
        <v>0.13225227386145466</v>
      </c>
      <c r="EF59" s="403">
        <f t="shared" si="340"/>
        <v>0.13209048198447143</v>
      </c>
      <c r="EG59" s="432">
        <f t="shared" si="340"/>
        <v>0.13502100074384255</v>
      </c>
      <c r="EH59" s="403">
        <f t="shared" si="340"/>
        <v>0.13318486758631726</v>
      </c>
      <c r="EI59" s="403">
        <f t="shared" si="340"/>
        <v>0.13355557889086925</v>
      </c>
      <c r="EJ59" s="402">
        <f t="shared" si="340"/>
        <v>0.13337112037970139</v>
      </c>
      <c r="EK59" s="403">
        <f t="shared" si="340"/>
        <v>0.13808818022734093</v>
      </c>
      <c r="EL59" s="403">
        <f t="shared" si="340"/>
        <v>0.13612784204851039</v>
      </c>
      <c r="EM59" s="403">
        <f t="shared" si="340"/>
        <v>0.1359496632120496</v>
      </c>
      <c r="EN59" s="432">
        <f t="shared" si="340"/>
        <v>0.13893272893993835</v>
      </c>
      <c r="EO59" s="403">
        <f t="shared" si="340"/>
        <v>0.13710056418506847</v>
      </c>
      <c r="EP59" s="403">
        <f t="shared" si="340"/>
        <v>0.1374403140292117</v>
      </c>
      <c r="EQ59" s="402">
        <f t="shared" si="340"/>
        <v>0.13727124954148279</v>
      </c>
    </row>
    <row r="60" spans="1:147" ht="10.199999999999999" customHeight="1">
      <c r="A60" s="51" t="s">
        <v>30</v>
      </c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937"/>
      <c r="P60" s="937"/>
      <c r="Q60" s="937"/>
      <c r="R60" s="966"/>
      <c r="S60" s="937"/>
      <c r="T60" s="937"/>
      <c r="U60" s="341">
        <f>U58/N58-1</f>
        <v>0.41599999999999993</v>
      </c>
      <c r="V60" s="115">
        <f t="shared" ref="V60:AA60" si="341">V58/O58-1</f>
        <v>0.17926565874730027</v>
      </c>
      <c r="W60" s="115">
        <f t="shared" si="341"/>
        <v>0.28322784810126578</v>
      </c>
      <c r="X60" s="115">
        <f t="shared" si="341"/>
        <v>-2.8037383177570097E-2</v>
      </c>
      <c r="Y60" s="683">
        <f t="shared" si="341"/>
        <v>11.828571428571429</v>
      </c>
      <c r="Z60" s="115">
        <f t="shared" si="341"/>
        <v>0.23926940639269412</v>
      </c>
      <c r="AA60" s="115">
        <f t="shared" si="341"/>
        <v>1.6385542168674698</v>
      </c>
      <c r="AB60" s="341">
        <f>AB58/U58-1</f>
        <v>0.6767106089139987</v>
      </c>
      <c r="AC60" s="115">
        <f t="shared" ref="AC60:AH60" si="342">AC58/V58-1</f>
        <v>-0.23260073260073255</v>
      </c>
      <c r="AD60" s="115">
        <f t="shared" si="342"/>
        <v>0.23921085080147964</v>
      </c>
      <c r="AE60" s="115">
        <f t="shared" si="342"/>
        <v>0.14903846153846145</v>
      </c>
      <c r="AF60" s="683">
        <f t="shared" si="342"/>
        <v>-0.5556792873051225</v>
      </c>
      <c r="AG60" s="115">
        <f t="shared" si="342"/>
        <v>4.9373618275607933E-2</v>
      </c>
      <c r="AH60" s="115">
        <f t="shared" si="342"/>
        <v>-0.33257229832572299</v>
      </c>
      <c r="AI60" s="341">
        <f>AI58/AB58-1</f>
        <v>-0.13852489704230631</v>
      </c>
      <c r="AJ60" s="115">
        <f t="shared" ref="AJ60" si="343">AJ58/AC58-1</f>
        <v>-0.31026252983293556</v>
      </c>
      <c r="AK60" s="115">
        <f t="shared" ref="AK60" si="344">AK58/AD58-1</f>
        <v>-0.86965174129353229</v>
      </c>
      <c r="AL60" s="115">
        <f t="shared" ref="AL60" si="345">AL58/AE58-1</f>
        <v>-0.2615062761506276</v>
      </c>
      <c r="AM60" s="683">
        <f t="shared" ref="AM60" si="346">AM58/AF58-1</f>
        <v>0.92982456140350878</v>
      </c>
      <c r="AN60" s="115">
        <f t="shared" ref="AN60" si="347">AN58/AG58-1</f>
        <v>-0.7050561797752809</v>
      </c>
      <c r="AO60" s="115">
        <f t="shared" ref="AO60" si="348">AO58/AH58-1</f>
        <v>0.2805017103762828</v>
      </c>
      <c r="AP60" s="341">
        <f t="shared" ref="AP60:AV60" si="349">AP58/AI58-1</f>
        <v>-0.3294219904389396</v>
      </c>
      <c r="AQ60" s="115">
        <f t="shared" si="349"/>
        <v>0.16262975778546718</v>
      </c>
      <c r="AR60" s="115">
        <f t="shared" si="349"/>
        <v>4.66412213740458</v>
      </c>
      <c r="AS60" s="115">
        <f t="shared" si="349"/>
        <v>0.2464589235127479</v>
      </c>
      <c r="AT60" s="683">
        <f t="shared" si="349"/>
        <v>1.4805194805194803</v>
      </c>
      <c r="AU60" s="115">
        <f t="shared" si="349"/>
        <v>1.5666666666666669</v>
      </c>
      <c r="AV60" s="115">
        <f t="shared" si="349"/>
        <v>1.0926090828138912</v>
      </c>
      <c r="AW60" s="341">
        <f>AW58/AP58-1</f>
        <v>1.2216461438755672</v>
      </c>
      <c r="AX60" s="115">
        <f t="shared" ref="AX60:BC60" si="350">AX58/AQ58-1</f>
        <v>-1.1428571428571428</v>
      </c>
      <c r="AY60" s="115">
        <f t="shared" si="350"/>
        <v>-0.42183288409703501</v>
      </c>
      <c r="AZ60" s="115">
        <f t="shared" si="350"/>
        <v>-9.5454545454545459E-2</v>
      </c>
      <c r="BA60" s="683">
        <f t="shared" si="350"/>
        <v>-0.22617801047120423</v>
      </c>
      <c r="BB60" s="115">
        <f t="shared" si="350"/>
        <v>-0.64656771799628943</v>
      </c>
      <c r="BC60" s="115">
        <f t="shared" si="350"/>
        <v>-0.20170212765957451</v>
      </c>
      <c r="BD60" s="341">
        <f>BD58/AW58-1</f>
        <v>-0.34159859976662776</v>
      </c>
      <c r="BE60" s="115">
        <f>-(BE58/AQ58-1)</f>
        <v>1.0059523809523809</v>
      </c>
      <c r="BF60" s="115">
        <f t="shared" ref="BF60:BJ60" si="351">BF58/AR58-1</f>
        <v>4.4474393530997247E-2</v>
      </c>
      <c r="BG60" s="115">
        <f t="shared" si="351"/>
        <v>2.3295454545454546</v>
      </c>
      <c r="BH60" s="683">
        <f t="shared" si="351"/>
        <v>7.6963350785340223E-2</v>
      </c>
      <c r="BI60" s="115">
        <f t="shared" si="351"/>
        <v>-0.28293135435992578</v>
      </c>
      <c r="BJ60" s="115">
        <f t="shared" si="351"/>
        <v>0.49872340425531925</v>
      </c>
      <c r="BK60" s="341">
        <f>BK58/AW58-1</f>
        <v>0.25291715285880989</v>
      </c>
      <c r="BL60" s="269">
        <f>-(BL58/BE58-1)</f>
        <v>197</v>
      </c>
      <c r="BM60" s="115">
        <f t="shared" ref="BM60:BQ60" si="352">BM58/BF58-1</f>
        <v>1.2696774193548386</v>
      </c>
      <c r="BN60" s="115">
        <f t="shared" si="352"/>
        <v>-0.1440273037542662</v>
      </c>
      <c r="BO60" s="683">
        <f t="shared" si="352"/>
        <v>-1.583373845405931</v>
      </c>
      <c r="BP60" s="115">
        <f t="shared" si="352"/>
        <v>1.7826649417852525</v>
      </c>
      <c r="BQ60" s="115">
        <f t="shared" si="352"/>
        <v>-0.98466780238500851</v>
      </c>
      <c r="BR60" s="341">
        <f>BR58/BK58-1</f>
        <v>-0.48661233993015129</v>
      </c>
      <c r="BS60" s="115">
        <f t="shared" ref="BS60:BX60" si="353">BS58/BL58-1</f>
        <v>-0.85459183673469385</v>
      </c>
      <c r="BT60" s="115">
        <f t="shared" si="353"/>
        <v>-2.060261512222854</v>
      </c>
      <c r="BU60" s="115">
        <f t="shared" si="353"/>
        <v>-1.4712918660287082</v>
      </c>
      <c r="BV60" s="683">
        <f>-(BV58/BO58-1)</f>
        <v>1.8908333333333334</v>
      </c>
      <c r="BW60" s="115">
        <f t="shared" si="353"/>
        <v>-1.8405392840539285</v>
      </c>
      <c r="BX60" s="115">
        <f t="shared" si="353"/>
        <v>7.8518518518518512</v>
      </c>
      <c r="BY60" s="341">
        <f>BY58/BR58-1</f>
        <v>-1.6031746031746033</v>
      </c>
      <c r="BZ60" s="115">
        <f>(BZ58/BS58-1)</f>
        <v>5.0175438596491224</v>
      </c>
      <c r="CA60" s="115">
        <f t="shared" ref="CA60:CD60" si="354">-(CA58/BT58-1)</f>
        <v>2.0959785522788206</v>
      </c>
      <c r="CB60" s="115">
        <f t="shared" si="354"/>
        <v>1.8494077834179357</v>
      </c>
      <c r="CC60" s="683">
        <f t="shared" si="354"/>
        <v>-0.20299345182413475</v>
      </c>
      <c r="CD60" s="115">
        <f t="shared" si="354"/>
        <v>2.3202433628318584</v>
      </c>
      <c r="CE60" s="115">
        <f>(CE58/BX58-1)</f>
        <v>2.7405857740585775</v>
      </c>
      <c r="CF60" s="341">
        <f>-(CF58/BY58-1)</f>
        <v>4.1390977443609023</v>
      </c>
      <c r="CG60" s="115">
        <f t="shared" ref="CG60:CL60" si="355">CG58/BZ58-1</f>
        <v>2.620991253644315</v>
      </c>
      <c r="CH60" s="115">
        <f t="shared" si="355"/>
        <v>-0.3953033268101761</v>
      </c>
      <c r="CI60" s="115">
        <f t="shared" si="355"/>
        <v>0.51992031872509958</v>
      </c>
      <c r="CJ60" s="683">
        <f t="shared" si="355"/>
        <v>0.21228615863141531</v>
      </c>
      <c r="CK60" s="115">
        <f t="shared" si="355"/>
        <v>3.8123167155425186E-2</v>
      </c>
      <c r="CL60" s="115">
        <f t="shared" si="355"/>
        <v>0.29865771812080544</v>
      </c>
      <c r="CM60" s="341">
        <f>CM58/CF58-1</f>
        <v>0.14970059880239517</v>
      </c>
      <c r="CN60" s="115">
        <f t="shared" ref="CN60:CS60" si="356">CN58/CG58-1</f>
        <v>-0.84138486312399352</v>
      </c>
      <c r="CO60" s="115">
        <f t="shared" si="356"/>
        <v>7.2815533980582492E-2</v>
      </c>
      <c r="CP60" s="115">
        <f t="shared" si="356"/>
        <v>2.6212319790301475E-2</v>
      </c>
      <c r="CQ60" s="683">
        <f t="shared" si="356"/>
        <v>-0.16356638871071194</v>
      </c>
      <c r="CR60" s="115">
        <f t="shared" si="356"/>
        <v>-0.38539144471347864</v>
      </c>
      <c r="CS60" s="115">
        <f t="shared" si="356"/>
        <v>-0.10120585701981055</v>
      </c>
      <c r="CT60" s="341">
        <f t="shared" ref="CT60:DY60" si="357">CT58/CM58-1</f>
        <v>-0.24791666666666667</v>
      </c>
      <c r="CU60" s="937">
        <f t="shared" si="357"/>
        <v>1.5380710659898478</v>
      </c>
      <c r="CV60" s="937">
        <f t="shared" si="357"/>
        <v>0.11010558069381604</v>
      </c>
      <c r="CW60" s="937">
        <f t="shared" si="357"/>
        <v>0.1545338441890165</v>
      </c>
      <c r="CX60" s="683">
        <f t="shared" si="357"/>
        <v>0.73082822085889565</v>
      </c>
      <c r="CY60" s="937">
        <f t="shared" si="357"/>
        <v>0.29481286933683526</v>
      </c>
      <c r="CZ60" s="115">
        <f t="shared" si="357"/>
        <v>0.51461427886919031</v>
      </c>
      <c r="DA60" s="341">
        <f t="shared" si="357"/>
        <v>0.42188365650969528</v>
      </c>
      <c r="DB60" s="937">
        <f t="shared" si="357"/>
        <v>-9.7999999999999976E-2</v>
      </c>
      <c r="DC60" s="937">
        <f t="shared" si="357"/>
        <v>-0.47010869565217395</v>
      </c>
      <c r="DD60" s="937">
        <f t="shared" si="357"/>
        <v>0.46570796460176989</v>
      </c>
      <c r="DE60" s="683">
        <f t="shared" si="357"/>
        <v>-0.11431103234381923</v>
      </c>
      <c r="DF60" s="937">
        <f t="shared" si="357"/>
        <v>-0.37576064908722107</v>
      </c>
      <c r="DG60" s="115">
        <f t="shared" si="357"/>
        <v>5.1565960139196454E-2</v>
      </c>
      <c r="DH60" s="341">
        <f t="shared" si="357"/>
        <v>-0.11260471459185661</v>
      </c>
      <c r="DI60" s="937">
        <f t="shared" si="357"/>
        <v>-0.99778270509977829</v>
      </c>
      <c r="DJ60" s="937">
        <f t="shared" si="357"/>
        <v>1.4987179487179487</v>
      </c>
      <c r="DK60" s="403">
        <f t="shared" si="357"/>
        <v>0.16009567755423149</v>
      </c>
      <c r="DL60" s="432">
        <f t="shared" si="357"/>
        <v>0.12233680035169781</v>
      </c>
      <c r="DM60" s="2037">
        <f t="shared" si="357"/>
        <v>0.58407798537774158</v>
      </c>
      <c r="DN60" s="403">
        <f t="shared" si="357"/>
        <v>0.13738809767220239</v>
      </c>
      <c r="DO60" s="402">
        <f t="shared" si="357"/>
        <v>0.25810714306529103</v>
      </c>
      <c r="DP60" s="403">
        <f t="shared" si="357"/>
        <v>1716.4955710499453</v>
      </c>
      <c r="DQ60" s="403">
        <f t="shared" si="357"/>
        <v>-3.7086802508953909E-2</v>
      </c>
      <c r="DR60" s="403">
        <f t="shared" si="357"/>
        <v>0.22257753174178752</v>
      </c>
      <c r="DS60" s="432">
        <f t="shared" si="357"/>
        <v>-0.1801880755844103</v>
      </c>
      <c r="DT60" s="403">
        <f t="shared" si="357"/>
        <v>0.84318635536409947</v>
      </c>
      <c r="DU60" s="403">
        <f t="shared" si="357"/>
        <v>-1.6433904463738269E-2</v>
      </c>
      <c r="DV60" s="402">
        <f t="shared" si="357"/>
        <v>0.27607240908943997</v>
      </c>
      <c r="DW60" s="403">
        <f t="shared" si="357"/>
        <v>0.28398161881538608</v>
      </c>
      <c r="DX60" s="403">
        <f t="shared" si="357"/>
        <v>0.26278464135691193</v>
      </c>
      <c r="DY60" s="403">
        <f t="shared" si="357"/>
        <v>0.26269514060157872</v>
      </c>
      <c r="DZ60" s="432">
        <f t="shared" ref="DZ60:EQ60" si="358">DZ58/DS58-1</f>
        <v>0.31578553165403633</v>
      </c>
      <c r="EA60" s="403">
        <f t="shared" si="358"/>
        <v>0.27291362117093287</v>
      </c>
      <c r="EB60" s="403">
        <f t="shared" si="358"/>
        <v>0.2889550309624469</v>
      </c>
      <c r="EC60" s="402">
        <f t="shared" si="358"/>
        <v>0.28107069605938118</v>
      </c>
      <c r="ED60" s="403">
        <f t="shared" si="358"/>
        <v>0.14719867883647741</v>
      </c>
      <c r="EE60" s="403">
        <f t="shared" si="358"/>
        <v>6.8086809396610715E-2</v>
      </c>
      <c r="EF60" s="403">
        <f t="shared" si="358"/>
        <v>6.8066386526544287E-2</v>
      </c>
      <c r="EG60" s="432">
        <f t="shared" si="358"/>
        <v>7.0239569903749688E-2</v>
      </c>
      <c r="EH60" s="403">
        <f t="shared" si="358"/>
        <v>0.10621913454557275</v>
      </c>
      <c r="EI60" s="403">
        <f t="shared" si="358"/>
        <v>6.9163674702262146E-2</v>
      </c>
      <c r="EJ60" s="402">
        <f t="shared" si="358"/>
        <v>8.7260424168389639E-2</v>
      </c>
      <c r="EK60" s="403">
        <f t="shared" si="358"/>
        <v>5.9728299299911081E-2</v>
      </c>
      <c r="EL60" s="403">
        <f t="shared" si="358"/>
        <v>6.0089594086105036E-2</v>
      </c>
      <c r="EM60" s="403">
        <f t="shared" si="358"/>
        <v>6.0081375838899609E-2</v>
      </c>
      <c r="EN60" s="432">
        <f t="shared" si="358"/>
        <v>5.8811117059854423E-2</v>
      </c>
      <c r="EO60" s="403">
        <f t="shared" si="358"/>
        <v>5.9908996971797412E-2</v>
      </c>
      <c r="EP60" s="403">
        <f t="shared" si="358"/>
        <v>5.9439348769931621E-2</v>
      </c>
      <c r="EQ60" s="402">
        <f t="shared" si="358"/>
        <v>5.9672709952520275E-2</v>
      </c>
    </row>
    <row r="61" spans="1:147" ht="10.199999999999999" customHeight="1">
      <c r="A61" s="51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762"/>
      <c r="P61" s="1762"/>
      <c r="Q61" s="1762"/>
      <c r="R61" s="1763"/>
      <c r="S61" s="1762"/>
      <c r="T61" s="1762"/>
      <c r="U61" s="1764"/>
      <c r="V61" s="1762"/>
      <c r="W61" s="1762"/>
      <c r="X61" s="1762"/>
      <c r="Y61" s="1763"/>
      <c r="Z61" s="1762"/>
      <c r="AA61" s="1762"/>
      <c r="AB61" s="1764"/>
      <c r="AC61" s="1762"/>
      <c r="AD61" s="1762"/>
      <c r="AE61" s="1762"/>
      <c r="AF61" s="1763"/>
      <c r="AG61" s="1762"/>
      <c r="AH61" s="1762"/>
      <c r="AI61" s="1764"/>
      <c r="AJ61" s="1762"/>
      <c r="AK61" s="1762"/>
      <c r="AL61" s="1762"/>
      <c r="AM61" s="1763"/>
      <c r="AN61" s="1762"/>
      <c r="AO61" s="1762"/>
      <c r="AP61" s="1764"/>
      <c r="AQ61" s="1762"/>
      <c r="AR61" s="1762"/>
      <c r="AS61" s="1762"/>
      <c r="AT61" s="1763"/>
      <c r="AU61" s="1762"/>
      <c r="AV61" s="1762"/>
      <c r="AW61" s="1764"/>
      <c r="AX61" s="1762"/>
      <c r="AY61" s="1762"/>
      <c r="AZ61" s="1762"/>
      <c r="BA61" s="1763"/>
      <c r="BB61" s="1762"/>
      <c r="BC61" s="1762"/>
      <c r="BD61" s="1764"/>
      <c r="BE61" s="1762"/>
      <c r="BF61" s="1762"/>
      <c r="BG61" s="1762"/>
      <c r="BH61" s="1763"/>
      <c r="BI61" s="1762"/>
      <c r="BJ61" s="1762"/>
      <c r="BK61" s="1764"/>
      <c r="BL61" s="1762"/>
      <c r="BM61" s="1762"/>
      <c r="BN61" s="1762"/>
      <c r="BO61" s="1763"/>
      <c r="BP61" s="1762"/>
      <c r="BQ61" s="1762"/>
      <c r="BR61" s="1764"/>
      <c r="BS61" s="1762"/>
      <c r="BT61" s="1762"/>
      <c r="BU61" s="1762"/>
      <c r="BV61" s="1763"/>
      <c r="BW61" s="1762"/>
      <c r="BX61" s="1762"/>
      <c r="BY61" s="1764"/>
      <c r="BZ61" s="1762"/>
      <c r="CA61" s="1762"/>
      <c r="CB61" s="1762"/>
      <c r="CC61" s="1763"/>
      <c r="CD61" s="1762"/>
      <c r="CE61" s="1762"/>
      <c r="CF61" s="1764"/>
      <c r="CG61" s="1762"/>
      <c r="CH61" s="1762"/>
      <c r="CI61" s="1762"/>
      <c r="CJ61" s="1763"/>
      <c r="CK61" s="1762"/>
      <c r="CL61" s="1762"/>
      <c r="CM61" s="1764"/>
      <c r="CN61" s="1762"/>
      <c r="CO61" s="1762"/>
      <c r="CP61" s="1762"/>
      <c r="CQ61" s="1763"/>
      <c r="CR61" s="1762"/>
      <c r="CS61" s="1762"/>
      <c r="CT61" s="1764"/>
      <c r="CU61" s="1762"/>
      <c r="CV61" s="1762"/>
      <c r="CW61" s="1762"/>
      <c r="CX61" s="1763"/>
      <c r="CY61" s="1762"/>
      <c r="CZ61" s="1762"/>
      <c r="DA61" s="1764"/>
      <c r="DB61" s="1762"/>
      <c r="DC61" s="1762"/>
      <c r="DD61" s="1762"/>
      <c r="DE61" s="1763"/>
      <c r="DF61" s="1762"/>
      <c r="DG61" s="1762"/>
      <c r="DH61" s="1764"/>
      <c r="DI61" s="1762"/>
      <c r="DJ61" s="1762"/>
      <c r="DK61" s="1762"/>
      <c r="DL61" s="1763"/>
      <c r="DM61" s="1762"/>
      <c r="DN61" s="1762"/>
      <c r="DO61" s="1764"/>
      <c r="DP61" s="1762"/>
      <c r="DQ61" s="1762"/>
      <c r="DR61" s="1762"/>
      <c r="DS61" s="1763"/>
      <c r="DT61" s="1762"/>
      <c r="DU61" s="1762"/>
      <c r="DV61" s="1764"/>
      <c r="DW61" s="1762"/>
      <c r="DX61" s="1762"/>
      <c r="DY61" s="1762"/>
      <c r="DZ61" s="1763"/>
      <c r="EA61" s="1762"/>
      <c r="EB61" s="1762"/>
      <c r="EC61" s="1764"/>
      <c r="ED61" s="1762"/>
      <c r="EE61" s="1762"/>
      <c r="EF61" s="1762"/>
      <c r="EG61" s="1763"/>
      <c r="EH61" s="1762"/>
      <c r="EI61" s="1762"/>
      <c r="EJ61" s="1764"/>
      <c r="EK61" s="1762"/>
      <c r="EL61" s="1762"/>
      <c r="EM61" s="1762"/>
      <c r="EN61" s="1763"/>
      <c r="EO61" s="1762"/>
      <c r="EP61" s="1762"/>
      <c r="EQ61" s="1764"/>
    </row>
    <row r="62" spans="1:147" ht="10.199999999999999" customHeight="1">
      <c r="A62" s="32" t="s">
        <v>336</v>
      </c>
      <c r="B62" s="125"/>
      <c r="C62" s="125">
        <f>Divisional!B63</f>
        <v>1625</v>
      </c>
      <c r="D62" s="125">
        <f>Divisional!C63</f>
        <v>1614</v>
      </c>
      <c r="E62" s="125">
        <f>Divisional!D63</f>
        <v>1628</v>
      </c>
      <c r="F62" s="125">
        <f>Divisional!E63</f>
        <v>1088</v>
      </c>
      <c r="G62" s="125">
        <f>Divisional!F63</f>
        <v>1131</v>
      </c>
      <c r="H62" s="125">
        <f>Divisional!G63</f>
        <v>1140</v>
      </c>
      <c r="I62" s="125">
        <f>Divisional!H63</f>
        <v>1238</v>
      </c>
      <c r="J62" s="125">
        <f>Divisional!I63</f>
        <v>1042</v>
      </c>
      <c r="K62" s="125">
        <f>Divisional!J63</f>
        <v>996</v>
      </c>
      <c r="L62" s="125">
        <f>Divisional!K63</f>
        <v>959</v>
      </c>
      <c r="M62" s="125">
        <f>Divisional!L63</f>
        <v>1065</v>
      </c>
      <c r="N62" s="123">
        <f>Divisional!M63</f>
        <v>1205</v>
      </c>
      <c r="O62" s="123"/>
      <c r="P62" s="123"/>
      <c r="Q62" s="123"/>
      <c r="R62" s="692"/>
      <c r="S62" s="123"/>
      <c r="T62" s="123"/>
      <c r="U62" s="345">
        <f>Divisional!T63</f>
        <v>1208</v>
      </c>
      <c r="V62" s="123"/>
      <c r="W62" s="123"/>
      <c r="X62" s="123"/>
      <c r="Y62" s="692"/>
      <c r="Z62" s="123"/>
      <c r="AA62" s="123"/>
      <c r="AB62" s="345">
        <f>Divisional!AA63</f>
        <v>1419</v>
      </c>
      <c r="AC62" s="123"/>
      <c r="AD62" s="123"/>
      <c r="AE62" s="123"/>
      <c r="AF62" s="692"/>
      <c r="AG62" s="123"/>
      <c r="AH62" s="123"/>
      <c r="AI62" s="345">
        <f>Divisional!AH63</f>
        <v>1608</v>
      </c>
      <c r="AJ62" s="123"/>
      <c r="AK62" s="123"/>
      <c r="AL62" s="123"/>
      <c r="AM62" s="692"/>
      <c r="AN62" s="123"/>
      <c r="AO62" s="123"/>
      <c r="AP62" s="345">
        <f>Divisional!AO63</f>
        <v>1568</v>
      </c>
      <c r="AQ62" s="123"/>
      <c r="AR62" s="123"/>
      <c r="AS62" s="123"/>
      <c r="AT62" s="692"/>
      <c r="AU62" s="123"/>
      <c r="AV62" s="123"/>
      <c r="AW62" s="345">
        <f>Divisional!AV63</f>
        <v>1593</v>
      </c>
      <c r="AX62" s="123"/>
      <c r="AY62" s="123"/>
      <c r="AZ62" s="123"/>
      <c r="BA62" s="692"/>
      <c r="BB62" s="123"/>
      <c r="BC62" s="123"/>
      <c r="BD62" s="345">
        <f>Divisional!BC63</f>
        <v>1661</v>
      </c>
      <c r="BE62" s="123"/>
      <c r="BF62" s="123"/>
      <c r="BG62" s="123"/>
      <c r="BH62" s="692"/>
      <c r="BI62" s="123"/>
      <c r="BJ62" s="123"/>
      <c r="BK62" s="345">
        <f>Divisional!BJ63</f>
        <v>1794</v>
      </c>
      <c r="BL62" s="123"/>
      <c r="BM62" s="123"/>
      <c r="BN62" s="123"/>
      <c r="BO62" s="692"/>
      <c r="BP62" s="123"/>
      <c r="BQ62" s="123"/>
      <c r="BR62" s="345">
        <v>2130</v>
      </c>
      <c r="BS62" s="123"/>
      <c r="BT62" s="123"/>
      <c r="BU62" s="123"/>
      <c r="BV62" s="692"/>
      <c r="BW62" s="123"/>
      <c r="BX62" s="123"/>
      <c r="BY62" s="345">
        <v>1951</v>
      </c>
      <c r="BZ62" s="123"/>
      <c r="CA62" s="123"/>
      <c r="CB62" s="123"/>
      <c r="CC62" s="692"/>
      <c r="CD62" s="123"/>
      <c r="CE62" s="123"/>
      <c r="CF62" s="345">
        <v>1616</v>
      </c>
      <c r="CG62" s="123"/>
      <c r="CH62" s="123"/>
      <c r="CI62" s="123"/>
      <c r="CJ62" s="692"/>
      <c r="CK62" s="123"/>
      <c r="CL62" s="123"/>
      <c r="CM62" s="345">
        <v>1571</v>
      </c>
      <c r="CN62" s="123">
        <f>495-Helicopters!CF17-'Defence &amp; Space'!BT21</f>
        <v>363.791</v>
      </c>
      <c r="CO62" s="123">
        <f>CR62-CN62</f>
        <v>413.69800000000004</v>
      </c>
      <c r="CP62" s="123">
        <f>1609-1042-Helicopters!CH17-'Defence &amp; Space'!BV21</f>
        <v>432.11199999999997</v>
      </c>
      <c r="CQ62" s="692">
        <f>CS62-CP62</f>
        <v>387.399</v>
      </c>
      <c r="CR62" s="123">
        <f>1042-Helicopters!CJ17-'Defence &amp; Space'!BX21</f>
        <v>777.48900000000003</v>
      </c>
      <c r="CS62" s="123">
        <f>CT62-CR62</f>
        <v>819.51099999999997</v>
      </c>
      <c r="CT62" s="345">
        <v>1597</v>
      </c>
      <c r="CU62" s="123">
        <f>513-Helicopters!CM17-'Defence &amp; Space'!CA21</f>
        <v>274.43599999999998</v>
      </c>
      <c r="CV62" s="123">
        <f>CY62-CU62</f>
        <v>524.65200000000004</v>
      </c>
      <c r="CW62" s="123">
        <f>1864-1299-Helicopters!CO17-'Defence &amp; Space'!CC21</f>
        <v>301.74</v>
      </c>
      <c r="CX62" s="692">
        <f>CZ62-CW62</f>
        <v>539.17199999999991</v>
      </c>
      <c r="CY62" s="123">
        <f>1299-Helicopters!CQ17-'Defence &amp; Space'!CE21</f>
        <v>799.08800000000008</v>
      </c>
      <c r="CZ62" s="123">
        <f>DA62-CY62</f>
        <v>840.91199999999992</v>
      </c>
      <c r="DA62" s="345">
        <v>1640</v>
      </c>
      <c r="DB62" s="123">
        <f>626-Helicopters!CT17-'Defence &amp; Space'!CH21</f>
        <v>453.2</v>
      </c>
      <c r="DC62" s="123">
        <f>DF62-DB62</f>
        <v>425.82499999999987</v>
      </c>
      <c r="DD62" s="123">
        <f>1915-1262-Helicopters!CV17-'Defence &amp; Space'!CJ21</f>
        <v>450.875</v>
      </c>
      <c r="DE62" s="692">
        <f>DG62-DD62</f>
        <v>1113.1000000000001</v>
      </c>
      <c r="DF62" s="123">
        <f>1262-Helicopters!CX17-'Defence &amp; Space'!CL21</f>
        <v>879.02499999999986</v>
      </c>
      <c r="DG62" s="123">
        <f>DH62-DF62</f>
        <v>1563.9750000000001</v>
      </c>
      <c r="DH62" s="345">
        <v>2443</v>
      </c>
      <c r="DI62" s="123">
        <f>686-Helicopters!DA17-'Defence &amp; Space'!CO21</f>
        <v>496.28</v>
      </c>
      <c r="DJ62" s="123">
        <f>DM62-DI62</f>
        <v>419.52</v>
      </c>
      <c r="DK62" s="415">
        <f>DK63*DK11</f>
        <v>506.28057812298681</v>
      </c>
      <c r="DL62" s="448">
        <f>DN62-DK62</f>
        <v>1203.1635925334579</v>
      </c>
      <c r="DM62" s="123">
        <f>1342-Helicopters!DE17-'Defence &amp; Space'!CS21</f>
        <v>915.8</v>
      </c>
      <c r="DN62" s="415">
        <f>DO62-DM62</f>
        <v>1709.4441706564446</v>
      </c>
      <c r="DO62" s="414">
        <f>DO63*DO11</f>
        <v>2625.2441706564446</v>
      </c>
      <c r="DP62" s="415">
        <f>DP63*DP11</f>
        <v>717.65565663801533</v>
      </c>
      <c r="DQ62" s="415">
        <f>DT62-DP62</f>
        <v>758.13718780996453</v>
      </c>
      <c r="DR62" s="415">
        <f>DR63*DR11</f>
        <v>760.0706382522917</v>
      </c>
      <c r="DS62" s="448">
        <f>DU62-DR62</f>
        <v>744.62095886759198</v>
      </c>
      <c r="DT62" s="415">
        <f>DT63*DT11</f>
        <v>1475.7928444479799</v>
      </c>
      <c r="DU62" s="415">
        <f>DV62-DT62</f>
        <v>1504.6915971198837</v>
      </c>
      <c r="DV62" s="414">
        <f>DV63*DV11</f>
        <v>2980.4844415678635</v>
      </c>
      <c r="DW62" s="415">
        <f>DW63*DW11</f>
        <v>786.75822508678755</v>
      </c>
      <c r="DX62" s="415">
        <f>EA62-DW62</f>
        <v>833.45891142436301</v>
      </c>
      <c r="DY62" s="415">
        <f>DY63*DY11</f>
        <v>835.51151939625618</v>
      </c>
      <c r="DZ62" s="448">
        <f>EB62-DY62</f>
        <v>835.81841851151933</v>
      </c>
      <c r="EA62" s="415">
        <f>EA63*EA11</f>
        <v>1620.2171365111506</v>
      </c>
      <c r="EB62" s="415">
        <f>EC62-EA62</f>
        <v>1671.3299379077755</v>
      </c>
      <c r="EC62" s="414">
        <f>EC63*EC11</f>
        <v>3291.5470744189261</v>
      </c>
      <c r="ED62" s="415">
        <f>ED63*ED11</f>
        <v>848.74191866013973</v>
      </c>
      <c r="EE62" s="415">
        <f>EH62-ED62</f>
        <v>861.27965209956585</v>
      </c>
      <c r="EF62" s="415">
        <f>EF63*EF11</f>
        <v>863.42345579936193</v>
      </c>
      <c r="EG62" s="448">
        <f>EI62-EF62</f>
        <v>863.23199796447773</v>
      </c>
      <c r="EH62" s="415">
        <f>EH63*EH11</f>
        <v>1710.0215707597056</v>
      </c>
      <c r="EI62" s="415">
        <f>EJ62-EH62</f>
        <v>1726.6554537638397</v>
      </c>
      <c r="EJ62" s="414">
        <f>EJ63*EJ11</f>
        <v>3436.6770245235452</v>
      </c>
      <c r="EK62" s="415">
        <f>EK63*EK11</f>
        <v>873.66232885004422</v>
      </c>
      <c r="EL62" s="415">
        <f>EO62-EK62</f>
        <v>887.03947311672925</v>
      </c>
      <c r="EM62" s="415">
        <f>EM63*EM11</f>
        <v>889.31667588421931</v>
      </c>
      <c r="EN62" s="448">
        <f>EP62-EM62</f>
        <v>888.26546833228542</v>
      </c>
      <c r="EO62" s="415">
        <f>EO63*EO11</f>
        <v>1760.7018019667735</v>
      </c>
      <c r="EP62" s="415">
        <f>EQ62-EO62</f>
        <v>1777.5821442165047</v>
      </c>
      <c r="EQ62" s="414">
        <f>EQ63*EQ11</f>
        <v>3538.2839461832782</v>
      </c>
    </row>
    <row r="63" spans="1:147" ht="10.199999999999999" customHeight="1">
      <c r="A63" s="51" t="s">
        <v>50</v>
      </c>
      <c r="B63" s="128"/>
      <c r="C63" s="128">
        <f t="shared" ref="C63:N63" si="359">C62/C11</f>
        <v>7.907927393060489E-2</v>
      </c>
      <c r="D63" s="128">
        <f t="shared" si="359"/>
        <v>8.2718327183271836E-2</v>
      </c>
      <c r="E63" s="128">
        <f t="shared" si="359"/>
        <v>8.5468290634187316E-2</v>
      </c>
      <c r="F63" s="128">
        <f t="shared" si="359"/>
        <v>5.3797468354430382E-2</v>
      </c>
      <c r="G63" s="128">
        <f t="shared" si="359"/>
        <v>5.0994183687271745E-2</v>
      </c>
      <c r="H63" s="128">
        <f t="shared" si="359"/>
        <v>4.5256053989678441E-2</v>
      </c>
      <c r="I63" s="128">
        <f t="shared" si="359"/>
        <v>4.9095812182741116E-2</v>
      </c>
      <c r="J63" s="128">
        <f t="shared" si="359"/>
        <v>3.9285175689941186E-2</v>
      </c>
      <c r="K63" s="128">
        <f t="shared" si="359"/>
        <v>3.7770193401592718E-2</v>
      </c>
      <c r="L63" s="128">
        <f t="shared" si="359"/>
        <v>3.4654717594767466E-2</v>
      </c>
      <c r="M63" s="128">
        <f t="shared" si="359"/>
        <v>3.417953079367117E-2</v>
      </c>
      <c r="N63" s="115">
        <f t="shared" si="359"/>
        <v>3.2617816636439922E-2</v>
      </c>
      <c r="O63" s="115"/>
      <c r="P63" s="937"/>
      <c r="Q63" s="115"/>
      <c r="R63" s="966"/>
      <c r="S63" s="115"/>
      <c r="T63" s="937"/>
      <c r="U63" s="1281">
        <f>U62/U11</f>
        <v>3.0586924596141186E-2</v>
      </c>
      <c r="V63" s="115"/>
      <c r="W63" s="937"/>
      <c r="X63" s="115"/>
      <c r="Y63" s="966"/>
      <c r="Z63" s="115"/>
      <c r="AA63" s="937"/>
      <c r="AB63" s="1281">
        <f>AB62/AB11</f>
        <v>3.356196783349101E-2</v>
      </c>
      <c r="AC63" s="115"/>
      <c r="AD63" s="937"/>
      <c r="AE63" s="115"/>
      <c r="AF63" s="966"/>
      <c r="AG63" s="115"/>
      <c r="AH63" s="937"/>
      <c r="AI63" s="1281">
        <f>AI62/AI11</f>
        <v>3.5067823963013042E-2</v>
      </c>
      <c r="AJ63" s="115"/>
      <c r="AK63" s="937"/>
      <c r="AL63" s="115"/>
      <c r="AM63" s="966"/>
      <c r="AN63" s="115"/>
      <c r="AO63" s="937"/>
      <c r="AP63" s="1281">
        <f>AP62/AP11</f>
        <v>3.1845969494485857E-2</v>
      </c>
      <c r="AQ63" s="115"/>
      <c r="AR63" s="937"/>
      <c r="AS63" s="115"/>
      <c r="AT63" s="966"/>
      <c r="AU63" s="115"/>
      <c r="AV63" s="937"/>
      <c r="AW63" s="1281">
        <f>AW62/AW11</f>
        <v>3.1261038502296008E-2</v>
      </c>
      <c r="AX63" s="115"/>
      <c r="AY63" s="937"/>
      <c r="AZ63" s="115"/>
      <c r="BA63" s="966"/>
      <c r="BB63" s="115"/>
      <c r="BC63" s="937"/>
      <c r="BD63" s="1281">
        <f>BD62/BD11</f>
        <v>3.8196201076208434E-2</v>
      </c>
      <c r="BE63" s="115"/>
      <c r="BF63" s="937"/>
      <c r="BG63" s="115"/>
      <c r="BH63" s="966"/>
      <c r="BI63" s="115"/>
      <c r="BJ63" s="937"/>
      <c r="BK63" s="1281">
        <f>BK62/BK11</f>
        <v>3.7398373983739838E-2</v>
      </c>
      <c r="BL63" s="115"/>
      <c r="BM63" s="937"/>
      <c r="BN63" s="115"/>
      <c r="BO63" s="966"/>
      <c r="BP63" s="115"/>
      <c r="BQ63" s="937"/>
      <c r="BR63" s="1281">
        <f>BR62/BR11</f>
        <v>3.8886353263350069E-2</v>
      </c>
      <c r="BS63" s="115"/>
      <c r="BT63" s="937"/>
      <c r="BU63" s="115"/>
      <c r="BV63" s="966"/>
      <c r="BW63" s="115"/>
      <c r="BX63" s="937"/>
      <c r="BY63" s="1281">
        <f>BY62/BY11</f>
        <v>5.6963503649635039E-2</v>
      </c>
      <c r="BZ63" s="115"/>
      <c r="CA63" s="937"/>
      <c r="CB63" s="115"/>
      <c r="CC63" s="966"/>
      <c r="CD63" s="115"/>
      <c r="CE63" s="937"/>
      <c r="CF63" s="1281">
        <f>CF62/CF11</f>
        <v>4.4685322420086271E-2</v>
      </c>
      <c r="CG63" s="115"/>
      <c r="CH63" s="937"/>
      <c r="CI63" s="115"/>
      <c r="CJ63" s="966"/>
      <c r="CK63" s="115"/>
      <c r="CL63" s="937"/>
      <c r="CM63" s="1281">
        <f t="shared" ref="CM63:DI63" si="360">CM62/CM11</f>
        <v>3.7921212706382157E-2</v>
      </c>
      <c r="CN63" s="115">
        <f t="shared" si="360"/>
        <v>4.4857090012330458E-2</v>
      </c>
      <c r="CO63" s="937">
        <f t="shared" si="360"/>
        <v>3.3801617779230332E-2</v>
      </c>
      <c r="CP63" s="115">
        <f t="shared" si="360"/>
        <v>3.8726653522136584E-2</v>
      </c>
      <c r="CQ63" s="966">
        <f t="shared" si="360"/>
        <v>2.3831139271653545E-2</v>
      </c>
      <c r="CR63" s="115">
        <f t="shared" si="360"/>
        <v>3.8207725195341297E-2</v>
      </c>
      <c r="CS63" s="937">
        <f t="shared" si="360"/>
        <v>2.9893886335449038E-2</v>
      </c>
      <c r="CT63" s="1281">
        <f t="shared" si="360"/>
        <v>3.3435923204153846E-2</v>
      </c>
      <c r="CU63" s="115">
        <f t="shared" si="360"/>
        <v>2.9937384095123813E-2</v>
      </c>
      <c r="CV63" s="937">
        <f t="shared" si="360"/>
        <v>4.3546812749003988E-2</v>
      </c>
      <c r="CW63" s="937">
        <f t="shared" si="360"/>
        <v>2.5869341563786008E-2</v>
      </c>
      <c r="CX63" s="966">
        <f t="shared" si="360"/>
        <v>3.0346822761299033E-2</v>
      </c>
      <c r="CY63" s="115">
        <f t="shared" si="360"/>
        <v>3.76661795899128E-2</v>
      </c>
      <c r="CZ63" s="937">
        <f t="shared" si="360"/>
        <v>2.8572321701607145E-2</v>
      </c>
      <c r="DA63" s="1281">
        <f t="shared" si="360"/>
        <v>3.2381629348813334E-2</v>
      </c>
      <c r="DB63" s="115">
        <f t="shared" si="360"/>
        <v>4.7600042012393658E-2</v>
      </c>
      <c r="DC63" s="937">
        <f t="shared" si="360"/>
        <v>3.7656968517863446E-2</v>
      </c>
      <c r="DD63" s="937">
        <f t="shared" si="360"/>
        <v>3.4531285900283371E-2</v>
      </c>
      <c r="DE63" s="966">
        <f t="shared" si="360"/>
        <v>5.9552725910866203E-2</v>
      </c>
      <c r="DF63" s="115">
        <f t="shared" si="360"/>
        <v>4.2201978011426368E-2</v>
      </c>
      <c r="DG63" s="937">
        <f t="shared" si="360"/>
        <v>4.9262158246188743E-2</v>
      </c>
      <c r="DH63" s="1281">
        <f t="shared" si="360"/>
        <v>4.6465184396218877E-2</v>
      </c>
      <c r="DI63" s="115">
        <f t="shared" si="360"/>
        <v>5.8828828828828825E-2</v>
      </c>
      <c r="DJ63" s="937">
        <f t="shared" ref="DJ63" si="361">DJ62/DJ11</f>
        <v>2.7169224791140468E-2</v>
      </c>
      <c r="DK63" s="1989">
        <v>3.5000000000000003E-2</v>
      </c>
      <c r="DL63" s="540">
        <f>DL62/DL11</f>
        <v>6.0168408337382247E-2</v>
      </c>
      <c r="DM63" s="115">
        <f t="shared" ref="DM63" si="362">DM62/DM11</f>
        <v>3.835490220714495E-2</v>
      </c>
      <c r="DN63" s="539">
        <f>DN62/DN11</f>
        <v>4.960408879297603E-2</v>
      </c>
      <c r="DO63" s="541">
        <v>4.4999999999999998E-2</v>
      </c>
      <c r="DP63" s="539">
        <f>DV63</f>
        <v>4.4999999999999998E-2</v>
      </c>
      <c r="DQ63" s="539">
        <f>DQ62/DQ11</f>
        <v>4.4999999999999998E-2</v>
      </c>
      <c r="DR63" s="539">
        <f>DV63</f>
        <v>4.4999999999999998E-2</v>
      </c>
      <c r="DS63" s="540">
        <f>DS62/DS11</f>
        <v>4.5000000000000012E-2</v>
      </c>
      <c r="DT63" s="539">
        <f>DV63</f>
        <v>4.4999999999999998E-2</v>
      </c>
      <c r="DU63" s="539">
        <f>DU62/DU11</f>
        <v>4.5000000000000005E-2</v>
      </c>
      <c r="DV63" s="541">
        <v>4.4999999999999998E-2</v>
      </c>
      <c r="DW63" s="539">
        <f>EC63</f>
        <v>4.4999999999999998E-2</v>
      </c>
      <c r="DX63" s="539">
        <f>DX62/DX11</f>
        <v>4.4999999999999991E-2</v>
      </c>
      <c r="DY63" s="539">
        <f>EC63</f>
        <v>4.4999999999999998E-2</v>
      </c>
      <c r="DZ63" s="540">
        <f>DZ62/DZ11</f>
        <v>4.5000000000000012E-2</v>
      </c>
      <c r="EA63" s="539">
        <f>EC63</f>
        <v>4.4999999999999998E-2</v>
      </c>
      <c r="EB63" s="539">
        <f>EB62/EB11</f>
        <v>4.5000000000000005E-2</v>
      </c>
      <c r="EC63" s="541">
        <v>4.4999999999999998E-2</v>
      </c>
      <c r="ED63" s="539">
        <f>EJ63</f>
        <v>4.4999999999999998E-2</v>
      </c>
      <c r="EE63" s="539">
        <f>EE62/EE11</f>
        <v>4.4999999999999998E-2</v>
      </c>
      <c r="EF63" s="539">
        <f>EJ63</f>
        <v>4.4999999999999998E-2</v>
      </c>
      <c r="EG63" s="540">
        <f>EG62/EG11</f>
        <v>4.5000000000000026E-2</v>
      </c>
      <c r="EH63" s="539">
        <f>EJ63</f>
        <v>4.4999999999999998E-2</v>
      </c>
      <c r="EI63" s="539">
        <f>EI62/EI11</f>
        <v>4.5000000000000012E-2</v>
      </c>
      <c r="EJ63" s="541">
        <v>4.4999999999999998E-2</v>
      </c>
      <c r="EK63" s="539">
        <f>EQ63</f>
        <v>4.4999999999999998E-2</v>
      </c>
      <c r="EL63" s="539">
        <f>EL62/EL11</f>
        <v>4.4999999999999984E-2</v>
      </c>
      <c r="EM63" s="539">
        <f>EQ63</f>
        <v>4.4999999999999998E-2</v>
      </c>
      <c r="EN63" s="540">
        <f>EN62/EN11</f>
        <v>4.4999999999999991E-2</v>
      </c>
      <c r="EO63" s="539">
        <f>EQ63</f>
        <v>4.4999999999999998E-2</v>
      </c>
      <c r="EP63" s="539">
        <f>EP62/EP11</f>
        <v>4.4999999999999991E-2</v>
      </c>
      <c r="EQ63" s="541">
        <v>4.4999999999999998E-2</v>
      </c>
    </row>
    <row r="64" spans="1:147" ht="10.199999999999999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49"/>
      <c r="P64" s="449"/>
      <c r="Q64" s="449"/>
      <c r="R64" s="450"/>
      <c r="S64" s="449"/>
      <c r="T64" s="449"/>
      <c r="U64" s="346"/>
      <c r="V64" s="449"/>
      <c r="W64" s="449"/>
      <c r="X64" s="449"/>
      <c r="Y64" s="450"/>
      <c r="Z64" s="449"/>
      <c r="AA64" s="449"/>
      <c r="AB64" s="346"/>
      <c r="AC64" s="449"/>
      <c r="AD64" s="449"/>
      <c r="AE64" s="449"/>
      <c r="AF64" s="450"/>
      <c r="AG64" s="449"/>
      <c r="AH64" s="449"/>
      <c r="AI64" s="346"/>
      <c r="AJ64" s="449"/>
      <c r="AK64" s="449"/>
      <c r="AL64" s="449"/>
      <c r="AM64" s="450"/>
      <c r="AN64" s="449"/>
      <c r="AO64" s="449"/>
      <c r="AP64" s="346"/>
      <c r="AQ64" s="449"/>
      <c r="AR64" s="449"/>
      <c r="AS64" s="449"/>
      <c r="AT64" s="450"/>
      <c r="AU64" s="449"/>
      <c r="AV64" s="449"/>
      <c r="AW64" s="346"/>
      <c r="AX64" s="449"/>
      <c r="AY64" s="449"/>
      <c r="AZ64" s="449"/>
      <c r="BA64" s="450"/>
      <c r="BB64" s="449"/>
      <c r="BC64" s="449"/>
      <c r="BD64" s="346"/>
      <c r="BE64" s="449"/>
      <c r="BF64" s="449"/>
      <c r="BG64" s="449"/>
      <c r="BH64" s="450"/>
      <c r="BI64" s="449"/>
      <c r="BJ64" s="449"/>
      <c r="BK64" s="346"/>
      <c r="BL64" s="449"/>
      <c r="BM64" s="449"/>
      <c r="BN64" s="449"/>
      <c r="BO64" s="450"/>
      <c r="BP64" s="449"/>
      <c r="BQ64" s="449"/>
      <c r="BR64" s="346"/>
      <c r="BS64" s="449"/>
      <c r="BT64" s="449"/>
      <c r="BU64" s="449"/>
      <c r="BV64" s="450"/>
      <c r="BW64" s="449"/>
      <c r="BX64" s="449"/>
      <c r="BY64" s="346"/>
      <c r="BZ64" s="449"/>
      <c r="CA64" s="449"/>
      <c r="CB64" s="449"/>
      <c r="CC64" s="450"/>
      <c r="CD64" s="449"/>
      <c r="CE64" s="449"/>
      <c r="CF64" s="346"/>
      <c r="CG64" s="449"/>
      <c r="CH64" s="449"/>
      <c r="CI64" s="449"/>
      <c r="CJ64" s="450"/>
      <c r="CK64" s="449"/>
      <c r="CL64" s="449"/>
      <c r="CM64" s="346"/>
      <c r="CN64" s="449"/>
      <c r="CO64" s="449"/>
      <c r="CP64" s="449"/>
      <c r="CQ64" s="450"/>
      <c r="CR64" s="449"/>
      <c r="CS64" s="449"/>
      <c r="CT64" s="346"/>
      <c r="CU64" s="449"/>
      <c r="CV64" s="449"/>
      <c r="CW64" s="449"/>
      <c r="CX64" s="450"/>
      <c r="CY64" s="449"/>
      <c r="CZ64" s="449"/>
      <c r="DA64" s="346"/>
      <c r="DB64" s="449"/>
      <c r="DC64" s="449"/>
      <c r="DD64" s="449"/>
      <c r="DE64" s="450"/>
      <c r="DF64" s="449"/>
      <c r="DG64" s="449"/>
      <c r="DH64" s="346"/>
      <c r="DI64" s="449"/>
      <c r="DJ64" s="449"/>
      <c r="DK64" s="449"/>
      <c r="DL64" s="450"/>
      <c r="DM64" s="449"/>
      <c r="DN64" s="449"/>
      <c r="DO64" s="346"/>
      <c r="DP64" s="449"/>
      <c r="DQ64" s="449"/>
      <c r="DR64" s="449"/>
      <c r="DS64" s="450"/>
      <c r="DT64" s="449"/>
      <c r="DU64" s="449"/>
      <c r="DV64" s="346"/>
      <c r="DW64" s="449"/>
      <c r="DX64" s="449"/>
      <c r="DY64" s="449"/>
      <c r="DZ64" s="450"/>
      <c r="EA64" s="449"/>
      <c r="EB64" s="449"/>
      <c r="EC64" s="346"/>
      <c r="ED64" s="449"/>
      <c r="EE64" s="449"/>
      <c r="EF64" s="449"/>
      <c r="EG64" s="450"/>
      <c r="EH64" s="449"/>
      <c r="EI64" s="449"/>
      <c r="EJ64" s="346"/>
      <c r="EK64" s="449"/>
      <c r="EL64" s="449"/>
      <c r="EM64" s="449"/>
      <c r="EN64" s="450"/>
      <c r="EO64" s="449"/>
      <c r="EP64" s="449"/>
      <c r="EQ64" s="346"/>
    </row>
    <row r="65" spans="1:147" ht="10.199999999999999" hidden="1" customHeight="1" outlineLevel="1">
      <c r="A65" s="43" t="s">
        <v>133</v>
      </c>
      <c r="B65" s="197">
        <v>0</v>
      </c>
      <c r="C65" s="197">
        <f>30+50+70+150</f>
        <v>300</v>
      </c>
      <c r="D65" s="197">
        <f>175+230+190+315</f>
        <v>910</v>
      </c>
      <c r="E65" s="197">
        <f>194+190+274+518</f>
        <v>1176</v>
      </c>
      <c r="F65" s="197">
        <v>1324</v>
      </c>
      <c r="G65" s="197">
        <v>750</v>
      </c>
      <c r="H65" s="197">
        <v>652</v>
      </c>
      <c r="I65" s="197">
        <v>150</v>
      </c>
      <c r="J65" s="197">
        <v>150</v>
      </c>
      <c r="K65" s="197">
        <v>150</v>
      </c>
      <c r="L65" s="197">
        <v>0</v>
      </c>
      <c r="M65" s="197">
        <v>0</v>
      </c>
      <c r="N65" s="197">
        <v>0</v>
      </c>
      <c r="O65" s="399"/>
      <c r="P65" s="399"/>
      <c r="Q65" s="399"/>
      <c r="R65" s="425"/>
      <c r="S65" s="399"/>
      <c r="T65" s="399"/>
      <c r="U65" s="339">
        <v>0</v>
      </c>
      <c r="V65" s="399"/>
      <c r="W65" s="399"/>
      <c r="X65" s="399"/>
      <c r="Y65" s="425"/>
      <c r="Z65" s="399"/>
      <c r="AA65" s="399"/>
      <c r="AB65" s="339">
        <v>0</v>
      </c>
      <c r="AC65" s="399"/>
      <c r="AD65" s="399"/>
      <c r="AE65" s="399"/>
      <c r="AF65" s="425"/>
      <c r="AG65" s="399"/>
      <c r="AH65" s="399"/>
      <c r="AI65" s="339">
        <v>0</v>
      </c>
      <c r="AJ65" s="399"/>
      <c r="AK65" s="399"/>
      <c r="AL65" s="399"/>
      <c r="AM65" s="425"/>
      <c r="AN65" s="399"/>
      <c r="AO65" s="399"/>
      <c r="AP65" s="338"/>
      <c r="AQ65" s="399"/>
      <c r="AR65" s="399"/>
      <c r="AS65" s="399"/>
      <c r="AT65" s="425"/>
      <c r="AU65" s="399"/>
      <c r="AV65" s="399"/>
      <c r="AW65" s="338"/>
      <c r="AX65" s="399"/>
      <c r="AY65" s="399"/>
      <c r="AZ65" s="399"/>
      <c r="BA65" s="425"/>
      <c r="BB65" s="399"/>
      <c r="BC65" s="399"/>
      <c r="BD65" s="338"/>
      <c r="BE65" s="399"/>
      <c r="BF65" s="399"/>
      <c r="BG65" s="399"/>
      <c r="BH65" s="425"/>
      <c r="BI65" s="399"/>
      <c r="BJ65" s="399"/>
      <c r="BK65" s="338"/>
      <c r="BL65" s="399"/>
      <c r="BM65" s="399"/>
      <c r="BN65" s="399"/>
      <c r="BO65" s="425"/>
      <c r="BP65" s="399"/>
      <c r="BQ65" s="399"/>
      <c r="BR65" s="338"/>
      <c r="BS65" s="399"/>
      <c r="BT65" s="399"/>
      <c r="BU65" s="399"/>
      <c r="BV65" s="425"/>
      <c r="BW65" s="399"/>
      <c r="BX65" s="399"/>
      <c r="BY65" s="338"/>
      <c r="BZ65" s="399"/>
      <c r="CA65" s="399"/>
      <c r="CB65" s="399"/>
      <c r="CC65" s="425"/>
      <c r="CD65" s="399"/>
      <c r="CE65" s="399"/>
      <c r="CF65" s="338"/>
      <c r="CG65" s="399"/>
      <c r="CH65" s="399"/>
      <c r="CI65" s="399"/>
      <c r="CJ65" s="425"/>
      <c r="CK65" s="399"/>
      <c r="CL65" s="399"/>
      <c r="CM65" s="338"/>
      <c r="CN65" s="399"/>
      <c r="CO65" s="399"/>
      <c r="CP65" s="399"/>
      <c r="CQ65" s="425"/>
      <c r="CR65" s="399"/>
      <c r="CS65" s="399"/>
      <c r="CT65" s="338"/>
      <c r="CU65" s="399"/>
      <c r="CV65" s="399"/>
      <c r="CW65" s="399"/>
      <c r="CX65" s="425"/>
      <c r="CY65" s="399"/>
      <c r="CZ65" s="399"/>
      <c r="DA65" s="338"/>
      <c r="DB65" s="399"/>
      <c r="DC65" s="399"/>
      <c r="DD65" s="399"/>
      <c r="DE65" s="425"/>
      <c r="DF65" s="399"/>
      <c r="DG65" s="399"/>
      <c r="DH65" s="338"/>
      <c r="DI65" s="399"/>
      <c r="DJ65" s="399"/>
      <c r="DK65" s="399"/>
      <c r="DL65" s="425"/>
      <c r="DM65" s="399"/>
      <c r="DN65" s="399"/>
      <c r="DO65" s="338"/>
      <c r="DP65" s="399"/>
      <c r="DQ65" s="399"/>
      <c r="DR65" s="399"/>
      <c r="DS65" s="425"/>
      <c r="DT65" s="399"/>
      <c r="DU65" s="399"/>
      <c r="DV65" s="338"/>
      <c r="DW65" s="399"/>
      <c r="DX65" s="399"/>
      <c r="DY65" s="399"/>
      <c r="DZ65" s="425"/>
      <c r="EA65" s="399"/>
      <c r="EB65" s="399"/>
      <c r="EC65" s="338"/>
      <c r="ED65" s="399"/>
      <c r="EE65" s="399"/>
      <c r="EF65" s="399"/>
      <c r="EG65" s="425"/>
      <c r="EH65" s="399"/>
      <c r="EI65" s="399"/>
      <c r="EJ65" s="338"/>
      <c r="EK65" s="399"/>
      <c r="EL65" s="399"/>
      <c r="EM65" s="399"/>
      <c r="EN65" s="425"/>
      <c r="EO65" s="399"/>
      <c r="EP65" s="399"/>
      <c r="EQ65" s="338"/>
    </row>
    <row r="66" spans="1:147" ht="10.199999999999999" hidden="1" customHeight="1" outlineLevel="1">
      <c r="A66" s="43" t="s">
        <v>252</v>
      </c>
      <c r="B66" s="191">
        <v>0</v>
      </c>
      <c r="C66" s="191">
        <v>0</v>
      </c>
      <c r="D66" s="191">
        <v>0</v>
      </c>
      <c r="E66" s="191">
        <v>0</v>
      </c>
      <c r="F66" s="191">
        <v>0</v>
      </c>
      <c r="G66" s="191">
        <v>0</v>
      </c>
      <c r="H66" s="191">
        <v>50</v>
      </c>
      <c r="I66" s="191">
        <v>150</v>
      </c>
      <c r="J66" s="191">
        <v>300</v>
      </c>
      <c r="K66" s="191">
        <v>300</v>
      </c>
      <c r="L66" s="191">
        <v>350</v>
      </c>
      <c r="M66" s="191">
        <v>350</v>
      </c>
      <c r="N66" s="176">
        <v>1080</v>
      </c>
      <c r="O66" s="399"/>
      <c r="P66" s="399"/>
      <c r="Q66" s="399"/>
      <c r="R66" s="425"/>
      <c r="S66" s="399"/>
      <c r="T66" s="399"/>
      <c r="U66" s="339">
        <v>850</v>
      </c>
      <c r="V66" s="399"/>
      <c r="W66" s="399"/>
      <c r="X66" s="399"/>
      <c r="Y66" s="425"/>
      <c r="Z66" s="399"/>
      <c r="AA66" s="399"/>
      <c r="AB66" s="339">
        <v>850</v>
      </c>
      <c r="AC66" s="399"/>
      <c r="AD66" s="399"/>
      <c r="AE66" s="399"/>
      <c r="AF66" s="425"/>
      <c r="AG66" s="399"/>
      <c r="AH66" s="399"/>
      <c r="AI66" s="339">
        <v>750</v>
      </c>
      <c r="AJ66" s="399"/>
      <c r="AK66" s="399"/>
      <c r="AL66" s="399"/>
      <c r="AM66" s="425"/>
      <c r="AN66" s="399"/>
      <c r="AO66" s="399"/>
      <c r="AP66" s="338"/>
      <c r="AQ66" s="399"/>
      <c r="AR66" s="399"/>
      <c r="AS66" s="399"/>
      <c r="AT66" s="425"/>
      <c r="AU66" s="399"/>
      <c r="AV66" s="399"/>
      <c r="AW66" s="338"/>
      <c r="AX66" s="399"/>
      <c r="AY66" s="399"/>
      <c r="AZ66" s="399"/>
      <c r="BA66" s="425"/>
      <c r="BB66" s="399"/>
      <c r="BC66" s="399"/>
      <c r="BD66" s="338"/>
      <c r="BE66" s="399"/>
      <c r="BF66" s="399"/>
      <c r="BG66" s="399"/>
      <c r="BH66" s="425"/>
      <c r="BI66" s="399"/>
      <c r="BJ66" s="399"/>
      <c r="BK66" s="338"/>
      <c r="BL66" s="399"/>
      <c r="BM66" s="399"/>
      <c r="BN66" s="399"/>
      <c r="BO66" s="425"/>
      <c r="BP66" s="399"/>
      <c r="BQ66" s="399"/>
      <c r="BR66" s="338"/>
      <c r="BS66" s="399"/>
      <c r="BT66" s="399"/>
      <c r="BU66" s="399"/>
      <c r="BV66" s="425"/>
      <c r="BW66" s="399"/>
      <c r="BX66" s="399"/>
      <c r="BY66" s="338"/>
      <c r="BZ66" s="399"/>
      <c r="CA66" s="399"/>
      <c r="CB66" s="399"/>
      <c r="CC66" s="425"/>
      <c r="CD66" s="399"/>
      <c r="CE66" s="399"/>
      <c r="CF66" s="338"/>
      <c r="CG66" s="399"/>
      <c r="CH66" s="399"/>
      <c r="CI66" s="399"/>
      <c r="CJ66" s="425"/>
      <c r="CK66" s="399"/>
      <c r="CL66" s="399"/>
      <c r="CM66" s="338"/>
      <c r="CN66" s="399"/>
      <c r="CO66" s="399"/>
      <c r="CP66" s="399"/>
      <c r="CQ66" s="425"/>
      <c r="CR66" s="399"/>
      <c r="CS66" s="399"/>
      <c r="CT66" s="338"/>
      <c r="CU66" s="399"/>
      <c r="CV66" s="399"/>
      <c r="CW66" s="399"/>
      <c r="CX66" s="425"/>
      <c r="CY66" s="399"/>
      <c r="CZ66" s="399"/>
      <c r="DA66" s="338"/>
      <c r="DB66" s="399"/>
      <c r="DC66" s="399"/>
      <c r="DD66" s="399"/>
      <c r="DE66" s="425"/>
      <c r="DF66" s="399"/>
      <c r="DG66" s="399"/>
      <c r="DH66" s="338"/>
      <c r="DI66" s="399"/>
      <c r="DJ66" s="399"/>
      <c r="DK66" s="399"/>
      <c r="DL66" s="425"/>
      <c r="DM66" s="399"/>
      <c r="DN66" s="399"/>
      <c r="DO66" s="338"/>
      <c r="DP66" s="399"/>
      <c r="DQ66" s="399"/>
      <c r="DR66" s="399"/>
      <c r="DS66" s="425"/>
      <c r="DT66" s="399"/>
      <c r="DU66" s="399"/>
      <c r="DV66" s="338"/>
      <c r="DW66" s="399"/>
      <c r="DX66" s="399"/>
      <c r="DY66" s="399"/>
      <c r="DZ66" s="425"/>
      <c r="EA66" s="399"/>
      <c r="EB66" s="399"/>
      <c r="EC66" s="338"/>
      <c r="ED66" s="399"/>
      <c r="EE66" s="399"/>
      <c r="EF66" s="399"/>
      <c r="EG66" s="425"/>
      <c r="EH66" s="399"/>
      <c r="EI66" s="399"/>
      <c r="EJ66" s="338"/>
      <c r="EK66" s="399"/>
      <c r="EL66" s="399"/>
      <c r="EM66" s="399"/>
      <c r="EN66" s="425"/>
      <c r="EO66" s="399"/>
      <c r="EP66" s="399"/>
      <c r="EQ66" s="338"/>
    </row>
    <row r="67" spans="1:147" ht="10.199999999999999" hidden="1" customHeight="1" outlineLevel="1">
      <c r="A67" s="43" t="s">
        <v>93</v>
      </c>
      <c r="B67" s="191">
        <v>0</v>
      </c>
      <c r="C67" s="191">
        <v>0</v>
      </c>
      <c r="D67" s="191">
        <v>0</v>
      </c>
      <c r="E67" s="191">
        <v>0</v>
      </c>
      <c r="F67" s="191">
        <v>0</v>
      </c>
      <c r="G67" s="191">
        <v>0</v>
      </c>
      <c r="H67" s="191">
        <v>0</v>
      </c>
      <c r="I67" s="191">
        <v>0</v>
      </c>
      <c r="J67" s="191">
        <v>0</v>
      </c>
      <c r="K67" s="191">
        <v>0</v>
      </c>
      <c r="L67" s="191">
        <v>200</v>
      </c>
      <c r="M67" s="191">
        <v>200</v>
      </c>
      <c r="N67" s="176">
        <v>350</v>
      </c>
      <c r="O67" s="399"/>
      <c r="P67" s="399"/>
      <c r="Q67" s="399"/>
      <c r="R67" s="425"/>
      <c r="S67" s="399"/>
      <c r="T67" s="399"/>
      <c r="U67" s="339">
        <v>500</v>
      </c>
      <c r="V67" s="399"/>
      <c r="W67" s="399"/>
      <c r="X67" s="399"/>
      <c r="Y67" s="425"/>
      <c r="Z67" s="399"/>
      <c r="AA67" s="399"/>
      <c r="AB67" s="339">
        <v>500</v>
      </c>
      <c r="AC67" s="399"/>
      <c r="AD67" s="399"/>
      <c r="AE67" s="399"/>
      <c r="AF67" s="425"/>
      <c r="AG67" s="399"/>
      <c r="AH67" s="399"/>
      <c r="AI67" s="339">
        <v>500</v>
      </c>
      <c r="AJ67" s="399"/>
      <c r="AK67" s="399"/>
      <c r="AL67" s="399"/>
      <c r="AM67" s="425"/>
      <c r="AN67" s="399"/>
      <c r="AO67" s="399"/>
      <c r="AP67" s="338"/>
      <c r="AQ67" s="399"/>
      <c r="AR67" s="399"/>
      <c r="AS67" s="399"/>
      <c r="AT67" s="425"/>
      <c r="AU67" s="399"/>
      <c r="AV67" s="399"/>
      <c r="AW67" s="338"/>
      <c r="AX67" s="399"/>
      <c r="AY67" s="399"/>
      <c r="AZ67" s="399"/>
      <c r="BA67" s="425"/>
      <c r="BB67" s="399"/>
      <c r="BC67" s="399"/>
      <c r="BD67" s="338"/>
      <c r="BE67" s="399"/>
      <c r="BF67" s="399"/>
      <c r="BG67" s="399"/>
      <c r="BH67" s="425"/>
      <c r="BI67" s="399"/>
      <c r="BJ67" s="399"/>
      <c r="BK67" s="338"/>
      <c r="BL67" s="399"/>
      <c r="BM67" s="399"/>
      <c r="BN67" s="399"/>
      <c r="BO67" s="425"/>
      <c r="BP67" s="399"/>
      <c r="BQ67" s="399"/>
      <c r="BR67" s="338"/>
      <c r="BS67" s="399"/>
      <c r="BT67" s="399"/>
      <c r="BU67" s="399"/>
      <c r="BV67" s="425"/>
      <c r="BW67" s="399"/>
      <c r="BX67" s="399"/>
      <c r="BY67" s="338"/>
      <c r="BZ67" s="399"/>
      <c r="CA67" s="399"/>
      <c r="CB67" s="399"/>
      <c r="CC67" s="425"/>
      <c r="CD67" s="399"/>
      <c r="CE67" s="399"/>
      <c r="CF67" s="338"/>
      <c r="CG67" s="399"/>
      <c r="CH67" s="399"/>
      <c r="CI67" s="399"/>
      <c r="CJ67" s="425"/>
      <c r="CK67" s="399"/>
      <c r="CL67" s="399"/>
      <c r="CM67" s="338"/>
      <c r="CN67" s="399"/>
      <c r="CO67" s="399"/>
      <c r="CP67" s="399"/>
      <c r="CQ67" s="425"/>
      <c r="CR67" s="399"/>
      <c r="CS67" s="399"/>
      <c r="CT67" s="338"/>
      <c r="CU67" s="399"/>
      <c r="CV67" s="399"/>
      <c r="CW67" s="399"/>
      <c r="CX67" s="425"/>
      <c r="CY67" s="399"/>
      <c r="CZ67" s="399"/>
      <c r="DA67" s="338"/>
      <c r="DB67" s="399"/>
      <c r="DC67" s="399"/>
      <c r="DD67" s="399"/>
      <c r="DE67" s="425"/>
      <c r="DF67" s="399"/>
      <c r="DG67" s="399"/>
      <c r="DH67" s="338"/>
      <c r="DI67" s="399"/>
      <c r="DJ67" s="399"/>
      <c r="DK67" s="399"/>
      <c r="DL67" s="425"/>
      <c r="DM67" s="399"/>
      <c r="DN67" s="399"/>
      <c r="DO67" s="338"/>
      <c r="DP67" s="399"/>
      <c r="DQ67" s="399"/>
      <c r="DR67" s="399"/>
      <c r="DS67" s="425"/>
      <c r="DT67" s="399"/>
      <c r="DU67" s="399"/>
      <c r="DV67" s="338"/>
      <c r="DW67" s="399"/>
      <c r="DX67" s="399"/>
      <c r="DY67" s="399"/>
      <c r="DZ67" s="425"/>
      <c r="EA67" s="399"/>
      <c r="EB67" s="399"/>
      <c r="EC67" s="338"/>
      <c r="ED67" s="399"/>
      <c r="EE67" s="399"/>
      <c r="EF67" s="399"/>
      <c r="EG67" s="425"/>
      <c r="EH67" s="399"/>
      <c r="EI67" s="399"/>
      <c r="EJ67" s="338"/>
      <c r="EK67" s="399"/>
      <c r="EL67" s="399"/>
      <c r="EM67" s="399"/>
      <c r="EN67" s="425"/>
      <c r="EO67" s="399"/>
      <c r="EP67" s="399"/>
      <c r="EQ67" s="338"/>
    </row>
    <row r="68" spans="1:147" ht="10.199999999999999" hidden="1" customHeight="1" outlineLevel="1">
      <c r="A68" s="108" t="s">
        <v>132</v>
      </c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76"/>
      <c r="O68" s="399"/>
      <c r="P68" s="399"/>
      <c r="Q68" s="399"/>
      <c r="R68" s="425"/>
      <c r="S68" s="399"/>
      <c r="T68" s="399"/>
      <c r="U68" s="339"/>
      <c r="V68" s="399"/>
      <c r="W68" s="399"/>
      <c r="X68" s="399"/>
      <c r="Y68" s="425"/>
      <c r="Z68" s="399"/>
      <c r="AA68" s="399"/>
      <c r="AB68" s="339"/>
      <c r="AC68" s="399"/>
      <c r="AD68" s="399"/>
      <c r="AE68" s="399"/>
      <c r="AF68" s="425"/>
      <c r="AG68" s="399"/>
      <c r="AH68" s="399"/>
      <c r="AI68" s="339"/>
      <c r="AJ68" s="399"/>
      <c r="AK68" s="399"/>
      <c r="AL68" s="399"/>
      <c r="AM68" s="425"/>
      <c r="AN68" s="399"/>
      <c r="AO68" s="399"/>
      <c r="AP68" s="338"/>
      <c r="AQ68" s="399"/>
      <c r="AR68" s="399"/>
      <c r="AS68" s="399"/>
      <c r="AT68" s="425"/>
      <c r="AU68" s="399"/>
      <c r="AV68" s="399"/>
      <c r="AW68" s="338"/>
      <c r="AX68" s="399"/>
      <c r="AY68" s="399"/>
      <c r="AZ68" s="399"/>
      <c r="BA68" s="425"/>
      <c r="BB68" s="399"/>
      <c r="BC68" s="399"/>
      <c r="BD68" s="338"/>
      <c r="BE68" s="399"/>
      <c r="BF68" s="399"/>
      <c r="BG68" s="399"/>
      <c r="BH68" s="425"/>
      <c r="BI68" s="399"/>
      <c r="BJ68" s="399"/>
      <c r="BK68" s="338"/>
      <c r="BL68" s="399"/>
      <c r="BM68" s="399"/>
      <c r="BN68" s="399"/>
      <c r="BO68" s="425"/>
      <c r="BP68" s="399"/>
      <c r="BQ68" s="399"/>
      <c r="BR68" s="338"/>
      <c r="BS68" s="399"/>
      <c r="BT68" s="399"/>
      <c r="BU68" s="399"/>
      <c r="BV68" s="425"/>
      <c r="BW68" s="399"/>
      <c r="BX68" s="399"/>
      <c r="BY68" s="338"/>
      <c r="BZ68" s="399"/>
      <c r="CA68" s="399"/>
      <c r="CB68" s="399"/>
      <c r="CC68" s="425"/>
      <c r="CD68" s="399"/>
      <c r="CE68" s="399"/>
      <c r="CF68" s="338"/>
      <c r="CG68" s="399"/>
      <c r="CH68" s="399"/>
      <c r="CI68" s="399"/>
      <c r="CJ68" s="425"/>
      <c r="CK68" s="399"/>
      <c r="CL68" s="399"/>
      <c r="CM68" s="338"/>
      <c r="CN68" s="399"/>
      <c r="CO68" s="399"/>
      <c r="CP68" s="399"/>
      <c r="CQ68" s="425"/>
      <c r="CR68" s="399"/>
      <c r="CS68" s="399"/>
      <c r="CT68" s="338"/>
      <c r="CU68" s="399"/>
      <c r="CV68" s="399"/>
      <c r="CW68" s="399"/>
      <c r="CX68" s="425"/>
      <c r="CY68" s="399"/>
      <c r="CZ68" s="399"/>
      <c r="DA68" s="338"/>
      <c r="DB68" s="399"/>
      <c r="DC68" s="399"/>
      <c r="DD68" s="399"/>
      <c r="DE68" s="425"/>
      <c r="DF68" s="399"/>
      <c r="DG68" s="399"/>
      <c r="DH68" s="338"/>
      <c r="DI68" s="399"/>
      <c r="DJ68" s="399"/>
      <c r="DK68" s="399"/>
      <c r="DL68" s="425"/>
      <c r="DM68" s="399"/>
      <c r="DN68" s="399"/>
      <c r="DO68" s="338"/>
      <c r="DP68" s="399"/>
      <c r="DQ68" s="399"/>
      <c r="DR68" s="399"/>
      <c r="DS68" s="425"/>
      <c r="DT68" s="399"/>
      <c r="DU68" s="399"/>
      <c r="DV68" s="338"/>
      <c r="DW68" s="399"/>
      <c r="DX68" s="399"/>
      <c r="DY68" s="399"/>
      <c r="DZ68" s="425"/>
      <c r="EA68" s="399"/>
      <c r="EB68" s="399"/>
      <c r="EC68" s="338"/>
      <c r="ED68" s="399"/>
      <c r="EE68" s="399"/>
      <c r="EF68" s="399"/>
      <c r="EG68" s="425"/>
      <c r="EH68" s="399"/>
      <c r="EI68" s="399"/>
      <c r="EJ68" s="338"/>
      <c r="EK68" s="399"/>
      <c r="EL68" s="399"/>
      <c r="EM68" s="399"/>
      <c r="EN68" s="425"/>
      <c r="EO68" s="399"/>
      <c r="EP68" s="399"/>
      <c r="EQ68" s="338"/>
    </row>
    <row r="69" spans="1:147" ht="10.199999999999999" hidden="1" customHeight="1" outlineLevel="1">
      <c r="A69" s="108" t="s">
        <v>140</v>
      </c>
      <c r="B69" s="176">
        <f>+B70-B65-B67-B66</f>
        <v>472.5</v>
      </c>
      <c r="C69" s="176">
        <f t="shared" ref="C69:U69" si="363">+C70-C65-C67-C66</f>
        <v>1133</v>
      </c>
      <c r="D69" s="176">
        <f t="shared" si="363"/>
        <v>764</v>
      </c>
      <c r="E69" s="176">
        <f t="shared" si="363"/>
        <v>851</v>
      </c>
      <c r="F69" s="176">
        <f t="shared" si="363"/>
        <v>1454</v>
      </c>
      <c r="G69" s="176">
        <f t="shared" si="363"/>
        <v>1114</v>
      </c>
      <c r="H69" s="176">
        <f t="shared" si="363"/>
        <v>1048</v>
      </c>
      <c r="I69" s="176">
        <f t="shared" si="363"/>
        <v>646</v>
      </c>
      <c r="J69" s="176">
        <f t="shared" si="363"/>
        <v>437</v>
      </c>
      <c r="K69" s="176">
        <f t="shared" si="363"/>
        <v>804</v>
      </c>
      <c r="L69" s="176">
        <f t="shared" si="363"/>
        <v>869</v>
      </c>
      <c r="M69" s="176">
        <f t="shared" si="363"/>
        <v>781</v>
      </c>
      <c r="N69" s="176">
        <f t="shared" si="363"/>
        <v>858</v>
      </c>
      <c r="O69" s="399"/>
      <c r="P69" s="399"/>
      <c r="Q69" s="399"/>
      <c r="R69" s="425"/>
      <c r="S69" s="399"/>
      <c r="T69" s="399"/>
      <c r="U69" s="339">
        <f t="shared" si="363"/>
        <v>766</v>
      </c>
      <c r="V69" s="399"/>
      <c r="W69" s="399"/>
      <c r="X69" s="399"/>
      <c r="Y69" s="425"/>
      <c r="Z69" s="399"/>
      <c r="AA69" s="399"/>
      <c r="AB69" s="339">
        <f>+AB70-AB65-AB67-AB66</f>
        <v>363</v>
      </c>
      <c r="AC69" s="399"/>
      <c r="AD69" s="399"/>
      <c r="AE69" s="399"/>
      <c r="AF69" s="425"/>
      <c r="AG69" s="399"/>
      <c r="AH69" s="399"/>
      <c r="AI69" s="339">
        <f>+AI70-AI65-AI67-AI66</f>
        <v>751</v>
      </c>
      <c r="AJ69" s="399"/>
      <c r="AK69" s="399"/>
      <c r="AL69" s="399"/>
      <c r="AM69" s="425"/>
      <c r="AN69" s="399"/>
      <c r="AO69" s="399"/>
      <c r="AP69" s="338"/>
      <c r="AQ69" s="399"/>
      <c r="AR69" s="399"/>
      <c r="AS69" s="399"/>
      <c r="AT69" s="425"/>
      <c r="AU69" s="399"/>
      <c r="AV69" s="399"/>
      <c r="AW69" s="338"/>
      <c r="AX69" s="399"/>
      <c r="AY69" s="399"/>
      <c r="AZ69" s="399"/>
      <c r="BA69" s="425"/>
      <c r="BB69" s="399"/>
      <c r="BC69" s="399"/>
      <c r="BD69" s="338"/>
      <c r="BE69" s="399"/>
      <c r="BF69" s="399"/>
      <c r="BG69" s="399"/>
      <c r="BH69" s="425"/>
      <c r="BI69" s="399"/>
      <c r="BJ69" s="399"/>
      <c r="BK69" s="338"/>
      <c r="BL69" s="399"/>
      <c r="BM69" s="399"/>
      <c r="BN69" s="399"/>
      <c r="BO69" s="425"/>
      <c r="BP69" s="399"/>
      <c r="BQ69" s="399"/>
      <c r="BR69" s="338"/>
      <c r="BS69" s="399"/>
      <c r="BT69" s="399"/>
      <c r="BU69" s="399"/>
      <c r="BV69" s="425"/>
      <c r="BW69" s="399"/>
      <c r="BX69" s="399"/>
      <c r="BY69" s="338"/>
      <c r="BZ69" s="399"/>
      <c r="CA69" s="399"/>
      <c r="CB69" s="399"/>
      <c r="CC69" s="425"/>
      <c r="CD69" s="399"/>
      <c r="CE69" s="399"/>
      <c r="CF69" s="338"/>
      <c r="CG69" s="399"/>
      <c r="CH69" s="399"/>
      <c r="CI69" s="399"/>
      <c r="CJ69" s="425"/>
      <c r="CK69" s="399"/>
      <c r="CL69" s="399"/>
      <c r="CM69" s="338"/>
      <c r="CN69" s="399"/>
      <c r="CO69" s="399"/>
      <c r="CP69" s="399"/>
      <c r="CQ69" s="425"/>
      <c r="CR69" s="399"/>
      <c r="CS69" s="399"/>
      <c r="CT69" s="338"/>
      <c r="CU69" s="399"/>
      <c r="CV69" s="399"/>
      <c r="CW69" s="399"/>
      <c r="CX69" s="425"/>
      <c r="CY69" s="399"/>
      <c r="CZ69" s="399"/>
      <c r="DA69" s="338"/>
      <c r="DB69" s="399"/>
      <c r="DC69" s="399"/>
      <c r="DD69" s="399"/>
      <c r="DE69" s="425"/>
      <c r="DF69" s="399"/>
      <c r="DG69" s="399"/>
      <c r="DH69" s="338"/>
      <c r="DI69" s="399"/>
      <c r="DJ69" s="399"/>
      <c r="DK69" s="399"/>
      <c r="DL69" s="425"/>
      <c r="DM69" s="399"/>
      <c r="DN69" s="399"/>
      <c r="DO69" s="338"/>
      <c r="DP69" s="399"/>
      <c r="DQ69" s="399"/>
      <c r="DR69" s="399"/>
      <c r="DS69" s="425"/>
      <c r="DT69" s="399"/>
      <c r="DU69" s="399"/>
      <c r="DV69" s="338"/>
      <c r="DW69" s="399"/>
      <c r="DX69" s="399"/>
      <c r="DY69" s="399"/>
      <c r="DZ69" s="425"/>
      <c r="EA69" s="399"/>
      <c r="EB69" s="399"/>
      <c r="EC69" s="338"/>
      <c r="ED69" s="399"/>
      <c r="EE69" s="399"/>
      <c r="EF69" s="399"/>
      <c r="EG69" s="425"/>
      <c r="EH69" s="399"/>
      <c r="EI69" s="399"/>
      <c r="EJ69" s="338"/>
      <c r="EK69" s="399"/>
      <c r="EL69" s="399"/>
      <c r="EM69" s="399"/>
      <c r="EN69" s="425"/>
      <c r="EO69" s="399"/>
      <c r="EP69" s="399"/>
      <c r="EQ69" s="338"/>
    </row>
    <row r="70" spans="1:147" ht="10.199999999999999" customHeight="1" collapsed="1">
      <c r="A70" s="32" t="s">
        <v>327</v>
      </c>
      <c r="B70" s="123">
        <f>378/0.8</f>
        <v>472.5</v>
      </c>
      <c r="C70" s="123">
        <f>+Divisional!B141</f>
        <v>1433</v>
      </c>
      <c r="D70" s="123">
        <f>+Divisional!C141</f>
        <v>1674</v>
      </c>
      <c r="E70" s="123">
        <f>+Divisional!D141</f>
        <v>2027</v>
      </c>
      <c r="F70" s="123">
        <f>+Divisional!E141</f>
        <v>2778</v>
      </c>
      <c r="G70" s="123">
        <f>+Divisional!F141</f>
        <v>1864</v>
      </c>
      <c r="H70" s="123">
        <f>+Divisional!G141</f>
        <v>1750</v>
      </c>
      <c r="I70" s="123">
        <f>+Divisional!H141</f>
        <v>946</v>
      </c>
      <c r="J70" s="123">
        <f>+Divisional!I141</f>
        <v>887</v>
      </c>
      <c r="K70" s="123">
        <f>+Divisional!J141</f>
        <v>1254</v>
      </c>
      <c r="L70" s="123">
        <f>+Divisional!K141</f>
        <v>1419</v>
      </c>
      <c r="M70" s="123">
        <f>+Divisional!L141</f>
        <v>1331</v>
      </c>
      <c r="N70" s="123">
        <f>+Divisional!M141</f>
        <v>2288</v>
      </c>
      <c r="O70" s="123"/>
      <c r="P70" s="123"/>
      <c r="Q70" s="123"/>
      <c r="R70" s="692"/>
      <c r="S70" s="123"/>
      <c r="T70" s="123"/>
      <c r="U70" s="345">
        <f>+Divisional!T141</f>
        <v>2116</v>
      </c>
      <c r="V70" s="123"/>
      <c r="W70" s="123"/>
      <c r="X70" s="123"/>
      <c r="Y70" s="692"/>
      <c r="Z70" s="123"/>
      <c r="AA70" s="123"/>
      <c r="AB70" s="345">
        <f>+Divisional!AA141</f>
        <v>1713</v>
      </c>
      <c r="AC70" s="123"/>
      <c r="AD70" s="123"/>
      <c r="AE70" s="123"/>
      <c r="AF70" s="692"/>
      <c r="AG70" s="123"/>
      <c r="AH70" s="123"/>
      <c r="AI70" s="345">
        <f>+Divisional!AH141</f>
        <v>2001</v>
      </c>
      <c r="AJ70" s="123"/>
      <c r="AK70" s="123"/>
      <c r="AL70" s="123"/>
      <c r="AM70" s="692"/>
      <c r="AN70" s="123"/>
      <c r="AO70" s="123"/>
      <c r="AP70" s="345">
        <f>+Divisional!AO141</f>
        <v>2304</v>
      </c>
      <c r="AQ70" s="123"/>
      <c r="AR70" s="123"/>
      <c r="AS70" s="123"/>
      <c r="AT70" s="692"/>
      <c r="AU70" s="123"/>
      <c r="AV70" s="123"/>
      <c r="AW70" s="345">
        <f>+Divisional!AV141</f>
        <v>1851</v>
      </c>
      <c r="AX70" s="123"/>
      <c r="AY70" s="123"/>
      <c r="AZ70" s="123"/>
      <c r="BA70" s="692"/>
      <c r="BB70" s="123"/>
      <c r="BC70" s="123"/>
      <c r="BD70" s="345">
        <f>+Divisional!BC141</f>
        <v>1885</v>
      </c>
      <c r="BE70" s="123"/>
      <c r="BF70" s="123"/>
      <c r="BG70" s="123"/>
      <c r="BH70" s="692"/>
      <c r="BI70" s="123"/>
      <c r="BJ70" s="123"/>
      <c r="BK70" s="345">
        <f>+Divisional!BJ141</f>
        <v>1618</v>
      </c>
      <c r="BL70" s="123"/>
      <c r="BM70" s="123"/>
      <c r="BN70" s="123"/>
      <c r="BO70" s="692"/>
      <c r="BP70" s="123"/>
      <c r="BQ70" s="123"/>
      <c r="BR70" s="345">
        <v>1678</v>
      </c>
      <c r="BS70" s="123"/>
      <c r="BT70" s="123"/>
      <c r="BU70" s="123"/>
      <c r="BV70" s="692"/>
      <c r="BW70" s="123"/>
      <c r="BX70" s="123"/>
      <c r="BY70" s="345">
        <v>1191</v>
      </c>
      <c r="BZ70" s="123"/>
      <c r="CA70" s="123"/>
      <c r="CB70" s="123"/>
      <c r="CC70" s="692"/>
      <c r="CD70" s="123"/>
      <c r="CE70" s="123"/>
      <c r="CF70" s="345">
        <v>1270</v>
      </c>
      <c r="CG70" s="123"/>
      <c r="CH70" s="123"/>
      <c r="CI70" s="123"/>
      <c r="CJ70" s="692"/>
      <c r="CK70" s="123"/>
      <c r="CL70" s="123"/>
      <c r="CM70" s="345">
        <v>1730</v>
      </c>
      <c r="CN70" s="123">
        <f>497-Helicopters!CF20-'Defence &amp; Space'!BT24</f>
        <v>295.00288</v>
      </c>
      <c r="CO70" s="123">
        <f>CR70-CN70</f>
        <v>387.37328000000002</v>
      </c>
      <c r="CP70" s="123">
        <f>1684-1090-Helicopters!CH20-'Defence &amp; Space'!BV24</f>
        <v>383.74840000000006</v>
      </c>
      <c r="CQ70" s="692">
        <f>CS70-CP70</f>
        <v>986.87543999999991</v>
      </c>
      <c r="CR70" s="123">
        <f>1090-Helicopters!CJ20-'Defence &amp; Space'!BX24</f>
        <v>682.37616000000003</v>
      </c>
      <c r="CS70" s="123">
        <f>CT70-CR70</f>
        <v>1370.62384</v>
      </c>
      <c r="CT70" s="345">
        <v>2053</v>
      </c>
      <c r="CU70" s="123">
        <f>498-Helicopters!CM20-'Defence &amp; Space'!CA24</f>
        <v>317.27402999999993</v>
      </c>
      <c r="CV70" s="123">
        <f>CY70-CU70</f>
        <v>616.9514200000001</v>
      </c>
      <c r="CW70" s="123">
        <f>2078-1315-Helicopters!CO20-'Defence &amp; Space'!CC24</f>
        <v>562.42228</v>
      </c>
      <c r="CX70" s="692">
        <f>CZ70-CW70</f>
        <v>1240.3522700000001</v>
      </c>
      <c r="CY70" s="123">
        <f>1315-Helicopters!CQ20-'Defence &amp; Space'!CE24</f>
        <v>934.22545000000002</v>
      </c>
      <c r="CZ70" s="123">
        <f>DA70-CY70</f>
        <v>1802.7745500000001</v>
      </c>
      <c r="DA70" s="345">
        <v>2737</v>
      </c>
      <c r="DB70" s="123">
        <f>597-Helicopters!CT20-'Defence &amp; Space'!CH24</f>
        <v>376.36</v>
      </c>
      <c r="DC70" s="123">
        <f>DF70-DB70</f>
        <v>475.005</v>
      </c>
      <c r="DD70" s="123">
        <f>2261-1340-Helicopters!CV20-'Defence &amp; Space'!CJ24</f>
        <v>663.13499999999999</v>
      </c>
      <c r="DE70" s="692">
        <f>DG70-DD70</f>
        <v>1522.5000000000002</v>
      </c>
      <c r="DF70" s="123">
        <f>1340-Helicopters!CX20-'Defence &amp; Space'!CL24</f>
        <v>851.36500000000001</v>
      </c>
      <c r="DG70" s="123">
        <f>DH70-DF70</f>
        <v>2185.6350000000002</v>
      </c>
      <c r="DH70" s="345">
        <v>3037</v>
      </c>
      <c r="DI70" s="123">
        <f>615-Helicopters!DA20-'Defence &amp; Space'!CO24</f>
        <v>415.65599999999995</v>
      </c>
      <c r="DJ70" s="123">
        <f>DM70-DI70</f>
        <v>602.06400000000008</v>
      </c>
      <c r="DK70" s="415">
        <f>DK71*DK62</f>
        <v>658.16475155988292</v>
      </c>
      <c r="DL70" s="448">
        <f>DN70-DK70</f>
        <v>1474.4082532278503</v>
      </c>
      <c r="DM70" s="123">
        <f>1466-Helicopters!DE20-'Defence &amp; Space'!CS24</f>
        <v>1017.72</v>
      </c>
      <c r="DN70" s="415">
        <f>DO70-DM70</f>
        <v>2132.5730047877332</v>
      </c>
      <c r="DO70" s="414">
        <f>DO71*DO62</f>
        <v>3150.2930047877335</v>
      </c>
      <c r="DP70" s="415">
        <f>DP71*DP62</f>
        <v>789.4212223018169</v>
      </c>
      <c r="DQ70" s="415">
        <f>DT70-DP70</f>
        <v>833.95090659096104</v>
      </c>
      <c r="DR70" s="415">
        <f>DR71*DR62</f>
        <v>836.07770207752094</v>
      </c>
      <c r="DS70" s="448">
        <f>DU70-DR70</f>
        <v>819.08305475435111</v>
      </c>
      <c r="DT70" s="415">
        <f>DT71*DT62</f>
        <v>1623.3721288927779</v>
      </c>
      <c r="DU70" s="415">
        <f>DV70-DT70</f>
        <v>1655.160756831872</v>
      </c>
      <c r="DV70" s="414">
        <f>DV71*DV62</f>
        <v>3278.53288572465</v>
      </c>
      <c r="DW70" s="415">
        <f>DW71*DW62</f>
        <v>826.09613634112691</v>
      </c>
      <c r="DX70" s="415">
        <f>EA70-DW70</f>
        <v>875.13185699558119</v>
      </c>
      <c r="DY70" s="415">
        <f>DY71*DY62</f>
        <v>877.28709536606902</v>
      </c>
      <c r="DZ70" s="448">
        <f>EB70-DY70</f>
        <v>877.60933943709551</v>
      </c>
      <c r="EA70" s="415">
        <f>EA71*EA62</f>
        <v>1701.2279933367081</v>
      </c>
      <c r="EB70" s="415">
        <f>EC70-EA70</f>
        <v>1754.8964348031645</v>
      </c>
      <c r="EC70" s="414">
        <f>EC71*EC62</f>
        <v>3456.1244281398726</v>
      </c>
      <c r="ED70" s="415">
        <f>ED71*ED62</f>
        <v>848.74191866013973</v>
      </c>
      <c r="EE70" s="415">
        <f>EH70-ED70</f>
        <v>861.27965209956585</v>
      </c>
      <c r="EF70" s="415">
        <f>EF71*EF62</f>
        <v>863.42345579936193</v>
      </c>
      <c r="EG70" s="448">
        <f>EI70-EF70</f>
        <v>863.23199796447773</v>
      </c>
      <c r="EH70" s="415">
        <f>EH71*EH62</f>
        <v>1710.0215707597056</v>
      </c>
      <c r="EI70" s="415">
        <f>EJ70-EH70</f>
        <v>1726.6554537638397</v>
      </c>
      <c r="EJ70" s="414">
        <f>EJ71*EJ62</f>
        <v>3436.6770245235452</v>
      </c>
      <c r="EK70" s="415">
        <f>EK71*EK62</f>
        <v>873.66232885004422</v>
      </c>
      <c r="EL70" s="415">
        <f>EO70-EK70</f>
        <v>887.03947311672925</v>
      </c>
      <c r="EM70" s="415">
        <f>EM71*EM62</f>
        <v>889.31667588421931</v>
      </c>
      <c r="EN70" s="448">
        <f>EP70-EM70</f>
        <v>888.26546833228542</v>
      </c>
      <c r="EO70" s="415">
        <f>EO71*EO62</f>
        <v>1760.7018019667735</v>
      </c>
      <c r="EP70" s="415">
        <f>EQ70-EO70</f>
        <v>1777.5821442165047</v>
      </c>
      <c r="EQ70" s="414">
        <f>EQ71*EQ62</f>
        <v>3538.2839461832782</v>
      </c>
    </row>
    <row r="71" spans="1:147" ht="10.199999999999999" customHeight="1">
      <c r="A71" s="28" t="s">
        <v>337</v>
      </c>
      <c r="B71" s="109"/>
      <c r="C71" s="109">
        <f t="shared" ref="C71:AP71" si="364">C70/C62</f>
        <v>0.88184615384615384</v>
      </c>
      <c r="D71" s="109">
        <f t="shared" si="364"/>
        <v>1.037174721189591</v>
      </c>
      <c r="E71" s="109">
        <f t="shared" si="364"/>
        <v>1.2450859950859952</v>
      </c>
      <c r="F71" s="109">
        <f t="shared" si="364"/>
        <v>2.5533088235294117</v>
      </c>
      <c r="G71" s="109">
        <f t="shared" si="364"/>
        <v>1.6480990274093723</v>
      </c>
      <c r="H71" s="109">
        <f t="shared" si="364"/>
        <v>1.5350877192982457</v>
      </c>
      <c r="I71" s="109">
        <f t="shared" si="364"/>
        <v>0.76413570274636511</v>
      </c>
      <c r="J71" s="109">
        <f t="shared" si="364"/>
        <v>0.8512476007677543</v>
      </c>
      <c r="K71" s="109">
        <f t="shared" si="364"/>
        <v>1.2590361445783131</v>
      </c>
      <c r="L71" s="109">
        <f t="shared" si="364"/>
        <v>1.4796663190823776</v>
      </c>
      <c r="M71" s="109">
        <f t="shared" si="364"/>
        <v>1.2497652582159624</v>
      </c>
      <c r="N71" s="109">
        <f t="shared" si="364"/>
        <v>1.8987551867219916</v>
      </c>
      <c r="O71" s="544"/>
      <c r="P71" s="544"/>
      <c r="Q71" s="544"/>
      <c r="R71" s="1291"/>
      <c r="S71" s="544"/>
      <c r="T71" s="544"/>
      <c r="U71" s="1290">
        <f t="shared" si="364"/>
        <v>1.7516556291390728</v>
      </c>
      <c r="V71" s="544"/>
      <c r="W71" s="544"/>
      <c r="X71" s="544"/>
      <c r="Y71" s="1291"/>
      <c r="Z71" s="544"/>
      <c r="AA71" s="544"/>
      <c r="AB71" s="1290">
        <f t="shared" si="364"/>
        <v>1.2071881606765327</v>
      </c>
      <c r="AC71" s="544"/>
      <c r="AD71" s="544"/>
      <c r="AE71" s="544"/>
      <c r="AF71" s="1291"/>
      <c r="AG71" s="544"/>
      <c r="AH71" s="544"/>
      <c r="AI71" s="1290">
        <f t="shared" si="364"/>
        <v>1.2444029850746268</v>
      </c>
      <c r="AJ71" s="544"/>
      <c r="AK71" s="544"/>
      <c r="AL71" s="544"/>
      <c r="AM71" s="1291"/>
      <c r="AN71" s="544"/>
      <c r="AO71" s="544"/>
      <c r="AP71" s="1290">
        <f t="shared" si="364"/>
        <v>1.4693877551020409</v>
      </c>
      <c r="AQ71" s="544"/>
      <c r="AR71" s="544"/>
      <c r="AS71" s="544"/>
      <c r="AT71" s="1291"/>
      <c r="AU71" s="544"/>
      <c r="AV71" s="544"/>
      <c r="AW71" s="1290">
        <f t="shared" ref="AW71:CN71" si="365">AW70/AW62</f>
        <v>1.1619585687382297</v>
      </c>
      <c r="AX71" s="544"/>
      <c r="AY71" s="544"/>
      <c r="AZ71" s="544"/>
      <c r="BA71" s="1291"/>
      <c r="BB71" s="544"/>
      <c r="BC71" s="544"/>
      <c r="BD71" s="1290">
        <f t="shared" si="365"/>
        <v>1.1348585189644793</v>
      </c>
      <c r="BE71" s="544"/>
      <c r="BF71" s="544"/>
      <c r="BG71" s="544"/>
      <c r="BH71" s="1291"/>
      <c r="BI71" s="544"/>
      <c r="BJ71" s="544"/>
      <c r="BK71" s="1290">
        <f t="shared" si="365"/>
        <v>0.90189520624303232</v>
      </c>
      <c r="BL71" s="544"/>
      <c r="BM71" s="544"/>
      <c r="BN71" s="544"/>
      <c r="BO71" s="1291"/>
      <c r="BP71" s="544"/>
      <c r="BQ71" s="544"/>
      <c r="BR71" s="1290">
        <f t="shared" si="365"/>
        <v>0.78779342723004697</v>
      </c>
      <c r="BS71" s="544"/>
      <c r="BT71" s="544"/>
      <c r="BU71" s="544"/>
      <c r="BV71" s="1291"/>
      <c r="BW71" s="544"/>
      <c r="BX71" s="544"/>
      <c r="BY71" s="1290">
        <f t="shared" si="365"/>
        <v>0.61045617631983595</v>
      </c>
      <c r="BZ71" s="544"/>
      <c r="CA71" s="544"/>
      <c r="CB71" s="544"/>
      <c r="CC71" s="1291"/>
      <c r="CD71" s="544"/>
      <c r="CE71" s="544"/>
      <c r="CF71" s="1290">
        <f t="shared" si="365"/>
        <v>0.78589108910891092</v>
      </c>
      <c r="CG71" s="544"/>
      <c r="CH71" s="544"/>
      <c r="CI71" s="544"/>
      <c r="CJ71" s="1291"/>
      <c r="CK71" s="544"/>
      <c r="CL71" s="544"/>
      <c r="CM71" s="1290">
        <f t="shared" si="365"/>
        <v>1.1012094207511138</v>
      </c>
      <c r="CN71" s="544">
        <f t="shared" si="365"/>
        <v>0.81091307921306466</v>
      </c>
      <c r="CO71" s="544">
        <f>CO70/CO62</f>
        <v>0.93636730175151917</v>
      </c>
      <c r="CP71" s="544">
        <f t="shared" ref="CP71" si="366">CP70/CP62</f>
        <v>0.88807623949346481</v>
      </c>
      <c r="CQ71" s="1291">
        <f>CQ70/CQ62</f>
        <v>2.547439306761246</v>
      </c>
      <c r="CR71" s="544">
        <f t="shared" ref="CR71" si="367">CR70/CR62</f>
        <v>0.87766664222902191</v>
      </c>
      <c r="CS71" s="544">
        <f>CS70/CS62</f>
        <v>1.6724898628572404</v>
      </c>
      <c r="CT71" s="1290">
        <f t="shared" ref="CT71:CU71" si="368">CT70/CT62</f>
        <v>1.2855353788353163</v>
      </c>
      <c r="CU71" s="544">
        <f t="shared" si="368"/>
        <v>1.1560947907708898</v>
      </c>
      <c r="CV71" s="544">
        <f>CV70/CV62</f>
        <v>1.1759250322118282</v>
      </c>
      <c r="CW71" s="544">
        <f t="shared" ref="CW71" si="369">CW70/CW62</f>
        <v>1.8639301385298601</v>
      </c>
      <c r="CX71" s="1291">
        <f>CX70/CX62</f>
        <v>2.3004760447500989</v>
      </c>
      <c r="CY71" s="544">
        <f t="shared" ref="CY71" si="370">CY70/CY62</f>
        <v>1.1691146031475881</v>
      </c>
      <c r="CZ71" s="544">
        <f>CZ70/CZ62</f>
        <v>2.1438325889034764</v>
      </c>
      <c r="DA71" s="1290">
        <f t="shared" ref="DA71:DB71" si="371">DA70/DA62</f>
        <v>1.6689024390243903</v>
      </c>
      <c r="DB71" s="544">
        <f t="shared" si="371"/>
        <v>0.83045013239188004</v>
      </c>
      <c r="DC71" s="544">
        <f>DC70/DC62</f>
        <v>1.1154934538836379</v>
      </c>
      <c r="DD71" s="544">
        <f t="shared" ref="DD71" si="372">DD70/DD62</f>
        <v>1.4707734959800387</v>
      </c>
      <c r="DE71" s="1291">
        <f>DE70/DE62</f>
        <v>1.3678016350732189</v>
      </c>
      <c r="DF71" s="544">
        <f t="shared" ref="DF71" si="373">DF70/DF62</f>
        <v>0.96853331816501254</v>
      </c>
      <c r="DG71" s="544">
        <f>DG70/DG62</f>
        <v>1.3974871721095286</v>
      </c>
      <c r="DH71" s="1290">
        <f t="shared" ref="DH71:DI71" si="374">DH70/DH62</f>
        <v>1.2431436758084322</v>
      </c>
      <c r="DI71" s="544">
        <f t="shared" si="374"/>
        <v>0.83754332231804618</v>
      </c>
      <c r="DJ71" s="544">
        <f>DJ70/DJ62</f>
        <v>1.43512585812357</v>
      </c>
      <c r="DK71" s="1990">
        <v>1.3</v>
      </c>
      <c r="DL71" s="543">
        <f>DL70/DL62</f>
        <v>1.2254428760790894</v>
      </c>
      <c r="DM71" s="544">
        <f t="shared" ref="DM71" si="375">DM70/DM62</f>
        <v>1.1112906748198297</v>
      </c>
      <c r="DN71" s="542">
        <f>DN70/DN62</f>
        <v>1.2475242195062755</v>
      </c>
      <c r="DO71" s="545">
        <v>1.2</v>
      </c>
      <c r="DP71" s="542">
        <f>DV71</f>
        <v>1.1000000000000001</v>
      </c>
      <c r="DQ71" s="542">
        <f>DQ70/DQ62</f>
        <v>1.1000000000000001</v>
      </c>
      <c r="DR71" s="542">
        <f>DV71</f>
        <v>1.1000000000000001</v>
      </c>
      <c r="DS71" s="543">
        <f>DS70/DS62</f>
        <v>1.0999999999999999</v>
      </c>
      <c r="DT71" s="542">
        <f>DV71</f>
        <v>1.1000000000000001</v>
      </c>
      <c r="DU71" s="542">
        <f>DU70/DU62</f>
        <v>1.1000000000000001</v>
      </c>
      <c r="DV71" s="545">
        <v>1.1000000000000001</v>
      </c>
      <c r="DW71" s="542">
        <f>EC71</f>
        <v>1.05</v>
      </c>
      <c r="DX71" s="542">
        <f>DX70/DX62</f>
        <v>1.05</v>
      </c>
      <c r="DY71" s="542">
        <f>EC71</f>
        <v>1.05</v>
      </c>
      <c r="DZ71" s="543">
        <f>DZ70/DZ62</f>
        <v>1.0500000000000003</v>
      </c>
      <c r="EA71" s="542">
        <f>EC71</f>
        <v>1.05</v>
      </c>
      <c r="EB71" s="542">
        <f>EB70/EB62</f>
        <v>1.0500000000000003</v>
      </c>
      <c r="EC71" s="545">
        <v>1.05</v>
      </c>
      <c r="ED71" s="542">
        <f>EJ71</f>
        <v>1</v>
      </c>
      <c r="EE71" s="542">
        <f>EE70/EE62</f>
        <v>1</v>
      </c>
      <c r="EF71" s="542">
        <f>EJ71</f>
        <v>1</v>
      </c>
      <c r="EG71" s="543">
        <f>EG70/EG62</f>
        <v>1</v>
      </c>
      <c r="EH71" s="542">
        <f>EJ71</f>
        <v>1</v>
      </c>
      <c r="EI71" s="542">
        <f>EI70/EI62</f>
        <v>1</v>
      </c>
      <c r="EJ71" s="545">
        <v>1</v>
      </c>
      <c r="EK71" s="542">
        <f>EQ71</f>
        <v>1</v>
      </c>
      <c r="EL71" s="542">
        <f>EL70/EL62</f>
        <v>1</v>
      </c>
      <c r="EM71" s="542">
        <f>EQ71</f>
        <v>1</v>
      </c>
      <c r="EN71" s="543">
        <f>EN70/EN62</f>
        <v>1</v>
      </c>
      <c r="EO71" s="542">
        <f>EQ71</f>
        <v>1</v>
      </c>
      <c r="EP71" s="542">
        <f>EP70/EP62</f>
        <v>1</v>
      </c>
      <c r="EQ71" s="545">
        <v>1</v>
      </c>
    </row>
    <row r="72" spans="1:147" ht="10.199999999999999" customHeight="1">
      <c r="A72" s="28"/>
      <c r="B72" s="48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293"/>
      <c r="O72" s="451"/>
      <c r="P72" s="112"/>
      <c r="Q72" s="451"/>
      <c r="R72" s="452"/>
      <c r="S72" s="451"/>
      <c r="T72" s="451"/>
      <c r="U72" s="347"/>
      <c r="V72" s="451"/>
      <c r="W72" s="112"/>
      <c r="X72" s="451"/>
      <c r="Y72" s="452"/>
      <c r="Z72" s="451"/>
      <c r="AA72" s="451"/>
      <c r="AB72" s="347"/>
      <c r="AC72" s="451"/>
      <c r="AD72" s="112"/>
      <c r="AE72" s="451"/>
      <c r="AF72" s="452"/>
      <c r="AG72" s="451"/>
      <c r="AH72" s="451"/>
      <c r="AI72" s="347"/>
      <c r="AJ72" s="451"/>
      <c r="AK72" s="112"/>
      <c r="AL72" s="451"/>
      <c r="AM72" s="452"/>
      <c r="AN72" s="451"/>
      <c r="AO72" s="451"/>
      <c r="AP72" s="347"/>
      <c r="AQ72" s="451"/>
      <c r="AR72" s="112"/>
      <c r="AS72" s="451"/>
      <c r="AT72" s="452"/>
      <c r="AU72" s="451"/>
      <c r="AV72" s="451"/>
      <c r="AW72" s="347"/>
      <c r="AX72" s="451"/>
      <c r="AY72" s="112"/>
      <c r="AZ72" s="451"/>
      <c r="BA72" s="452"/>
      <c r="BB72" s="451"/>
      <c r="BC72" s="451"/>
      <c r="BD72" s="347"/>
      <c r="BE72" s="451"/>
      <c r="BF72" s="112"/>
      <c r="BG72" s="451"/>
      <c r="BH72" s="452"/>
      <c r="BI72" s="451"/>
      <c r="BJ72" s="451"/>
      <c r="BK72" s="347"/>
      <c r="BL72" s="451"/>
      <c r="BM72" s="112"/>
      <c r="BN72" s="451"/>
      <c r="BO72" s="452"/>
      <c r="BP72" s="451"/>
      <c r="BQ72" s="451"/>
      <c r="BR72" s="347"/>
      <c r="BS72" s="451"/>
      <c r="BT72" s="112"/>
      <c r="BU72" s="451"/>
      <c r="BV72" s="452"/>
      <c r="BW72" s="451"/>
      <c r="BX72" s="451"/>
      <c r="BY72" s="347"/>
      <c r="BZ72" s="451"/>
      <c r="CA72" s="112"/>
      <c r="CB72" s="451"/>
      <c r="CC72" s="452"/>
      <c r="CD72" s="451"/>
      <c r="CE72" s="451"/>
      <c r="CF72" s="347"/>
      <c r="CG72" s="451"/>
      <c r="CH72" s="112"/>
      <c r="CI72" s="451"/>
      <c r="CJ72" s="452"/>
      <c r="CK72" s="451"/>
      <c r="CL72" s="451"/>
      <c r="CM72" s="347"/>
      <c r="CN72" s="451"/>
      <c r="CO72" s="112"/>
      <c r="CP72" s="451"/>
      <c r="CQ72" s="452"/>
      <c r="CR72" s="451"/>
      <c r="CS72" s="451"/>
      <c r="CT72" s="347"/>
      <c r="CU72" s="451"/>
      <c r="CV72" s="112"/>
      <c r="CW72" s="451"/>
      <c r="CX72" s="452"/>
      <c r="CY72" s="451"/>
      <c r="CZ72" s="451"/>
      <c r="DA72" s="347"/>
      <c r="DB72" s="451"/>
      <c r="DC72" s="112"/>
      <c r="DD72" s="451"/>
      <c r="DE72" s="452"/>
      <c r="DF72" s="451"/>
      <c r="DG72" s="451"/>
      <c r="DH72" s="347"/>
      <c r="DI72" s="451"/>
      <c r="DJ72" s="112"/>
      <c r="DK72" s="451"/>
      <c r="DL72" s="452"/>
      <c r="DM72" s="451"/>
      <c r="DN72" s="451"/>
      <c r="DO72" s="347"/>
      <c r="DP72" s="451"/>
      <c r="DQ72" s="451"/>
      <c r="DR72" s="451"/>
      <c r="DS72" s="452"/>
      <c r="DT72" s="451"/>
      <c r="DU72" s="451"/>
      <c r="DV72" s="347"/>
      <c r="DW72" s="451"/>
      <c r="DX72" s="451"/>
      <c r="DY72" s="451"/>
      <c r="DZ72" s="452"/>
      <c r="EA72" s="451"/>
      <c r="EB72" s="451"/>
      <c r="EC72" s="347"/>
      <c r="ED72" s="451"/>
      <c r="EE72" s="451"/>
      <c r="EF72" s="451"/>
      <c r="EG72" s="452"/>
      <c r="EH72" s="451"/>
      <c r="EI72" s="451"/>
      <c r="EJ72" s="347"/>
      <c r="EK72" s="451"/>
      <c r="EL72" s="451"/>
      <c r="EM72" s="451"/>
      <c r="EN72" s="452"/>
      <c r="EO72" s="451"/>
      <c r="EP72" s="451"/>
      <c r="EQ72" s="347"/>
    </row>
    <row r="73" spans="1:147" ht="10.199999999999999" customHeight="1">
      <c r="A73" s="32" t="s">
        <v>765</v>
      </c>
      <c r="B73" s="48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293"/>
      <c r="O73" s="451"/>
      <c r="P73" s="112"/>
      <c r="Q73" s="451"/>
      <c r="R73" s="452"/>
      <c r="S73" s="451"/>
      <c r="T73" s="451"/>
      <c r="U73" s="347"/>
      <c r="V73" s="451"/>
      <c r="W73" s="112"/>
      <c r="X73" s="451"/>
      <c r="Y73" s="452"/>
      <c r="Z73" s="451"/>
      <c r="AA73" s="451"/>
      <c r="AB73" s="347"/>
      <c r="AC73" s="451"/>
      <c r="AD73" s="112"/>
      <c r="AE73" s="451"/>
      <c r="AF73" s="452"/>
      <c r="AG73" s="451"/>
      <c r="AH73" s="451"/>
      <c r="AI73" s="347"/>
      <c r="AJ73" s="451"/>
      <c r="AK73" s="112"/>
      <c r="AL73" s="451"/>
      <c r="AM73" s="452"/>
      <c r="AN73" s="451"/>
      <c r="AO73" s="451"/>
      <c r="AP73" s="347"/>
      <c r="AQ73" s="451"/>
      <c r="AR73" s="112"/>
      <c r="AS73" s="451"/>
      <c r="AT73" s="452"/>
      <c r="AU73" s="451"/>
      <c r="AV73" s="451"/>
      <c r="AW73" s="347"/>
      <c r="AX73" s="451"/>
      <c r="AY73" s="112"/>
      <c r="AZ73" s="451"/>
      <c r="BA73" s="452"/>
      <c r="BB73" s="451"/>
      <c r="BC73" s="451"/>
      <c r="BD73" s="347"/>
      <c r="BE73" s="451"/>
      <c r="BF73" s="112"/>
      <c r="BG73" s="451"/>
      <c r="BH73" s="452"/>
      <c r="BI73" s="451"/>
      <c r="BJ73" s="451"/>
      <c r="BK73" s="347"/>
      <c r="BL73" s="451"/>
      <c r="BM73" s="112"/>
      <c r="BN73" s="451"/>
      <c r="BO73" s="452"/>
      <c r="BP73" s="451"/>
      <c r="BQ73" s="451"/>
      <c r="BR73" s="347"/>
      <c r="BS73" s="451"/>
      <c r="BT73" s="112"/>
      <c r="BU73" s="451"/>
      <c r="BV73" s="452"/>
      <c r="BW73" s="451"/>
      <c r="BX73" s="451"/>
      <c r="BY73" s="347"/>
      <c r="BZ73" s="451"/>
      <c r="CA73" s="112"/>
      <c r="CB73" s="451"/>
      <c r="CC73" s="452"/>
      <c r="CD73" s="451"/>
      <c r="CE73" s="451"/>
      <c r="CF73" s="347"/>
      <c r="CG73" s="451"/>
      <c r="CH73" s="112"/>
      <c r="CI73" s="451"/>
      <c r="CJ73" s="452"/>
      <c r="CK73" s="451"/>
      <c r="CL73" s="451"/>
      <c r="CM73" s="347"/>
      <c r="CN73" s="451"/>
      <c r="CO73" s="112"/>
      <c r="CP73" s="451"/>
      <c r="CQ73" s="452"/>
      <c r="CR73" s="451"/>
      <c r="CS73" s="451"/>
      <c r="CT73" s="347"/>
      <c r="CU73" s="451"/>
      <c r="CV73" s="112"/>
      <c r="CW73" s="451"/>
      <c r="CX73" s="452"/>
      <c r="CY73" s="451"/>
      <c r="CZ73" s="451"/>
      <c r="DA73" s="347"/>
      <c r="DB73" s="451"/>
      <c r="DC73" s="112"/>
      <c r="DD73" s="451"/>
      <c r="DE73" s="452"/>
      <c r="DF73" s="451"/>
      <c r="DG73" s="451"/>
      <c r="DH73" s="347"/>
      <c r="DI73" s="451"/>
      <c r="DJ73" s="112"/>
      <c r="DK73" s="451"/>
      <c r="DL73" s="452"/>
      <c r="DM73" s="451"/>
      <c r="DN73" s="451"/>
      <c r="DO73" s="347"/>
      <c r="DP73" s="451"/>
      <c r="DQ73" s="451"/>
      <c r="DR73" s="451"/>
      <c r="DS73" s="452"/>
      <c r="DT73" s="451"/>
      <c r="DU73" s="451"/>
      <c r="DV73" s="347"/>
      <c r="DW73" s="451"/>
      <c r="DX73" s="451"/>
      <c r="DY73" s="451"/>
      <c r="DZ73" s="452"/>
      <c r="EA73" s="451"/>
      <c r="EB73" s="451"/>
      <c r="EC73" s="347"/>
      <c r="ED73" s="451"/>
      <c r="EE73" s="451"/>
      <c r="EF73" s="451"/>
      <c r="EG73" s="452"/>
      <c r="EH73" s="451"/>
      <c r="EI73" s="451"/>
      <c r="EJ73" s="347"/>
      <c r="EK73" s="451"/>
      <c r="EL73" s="451"/>
      <c r="EM73" s="451"/>
      <c r="EN73" s="452"/>
      <c r="EO73" s="451"/>
      <c r="EP73" s="451"/>
      <c r="EQ73" s="347"/>
    </row>
    <row r="74" spans="1:147" ht="10.199999999999999" customHeight="1">
      <c r="A74" s="317" t="s">
        <v>759</v>
      </c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>
        <f t="shared" ref="O74:T74" si="376">O143</f>
        <v>144</v>
      </c>
      <c r="P74" s="319">
        <f t="shared" si="376"/>
        <v>151</v>
      </c>
      <c r="Q74" s="319">
        <f t="shared" si="376"/>
        <v>150</v>
      </c>
      <c r="R74" s="760">
        <f t="shared" si="376"/>
        <v>181</v>
      </c>
      <c r="S74" s="319">
        <f t="shared" si="376"/>
        <v>295</v>
      </c>
      <c r="T74" s="319">
        <f t="shared" si="376"/>
        <v>331</v>
      </c>
      <c r="U74" s="1268">
        <f t="shared" ref="U74:AA74" si="377">U143</f>
        <v>626</v>
      </c>
      <c r="V74" s="319">
        <f t="shared" si="377"/>
        <v>141</v>
      </c>
      <c r="W74" s="319">
        <f t="shared" si="377"/>
        <v>162</v>
      </c>
      <c r="X74" s="319">
        <f t="shared" si="377"/>
        <v>140</v>
      </c>
      <c r="Y74" s="760">
        <f t="shared" si="377"/>
        <v>186</v>
      </c>
      <c r="Z74" s="319">
        <f t="shared" si="377"/>
        <v>303</v>
      </c>
      <c r="AA74" s="319">
        <f t="shared" si="377"/>
        <v>326</v>
      </c>
      <c r="AB74" s="1268">
        <f t="shared" ref="AB74:AH74" si="378">AB143</f>
        <v>629</v>
      </c>
      <c r="AC74" s="319">
        <f t="shared" si="378"/>
        <v>134</v>
      </c>
      <c r="AD74" s="319">
        <f t="shared" si="378"/>
        <v>170</v>
      </c>
      <c r="AE74" s="319">
        <f t="shared" si="378"/>
        <v>142</v>
      </c>
      <c r="AF74" s="760">
        <f t="shared" si="378"/>
        <v>189</v>
      </c>
      <c r="AG74" s="319">
        <f t="shared" si="378"/>
        <v>304</v>
      </c>
      <c r="AH74" s="319">
        <f t="shared" si="378"/>
        <v>331</v>
      </c>
      <c r="AI74" s="1268">
        <f t="shared" ref="AI74:AO74" si="379">AI143</f>
        <v>635</v>
      </c>
      <c r="AJ74" s="319">
        <f t="shared" si="379"/>
        <v>125</v>
      </c>
      <c r="AK74" s="319">
        <f t="shared" si="379"/>
        <v>173</v>
      </c>
      <c r="AL74" s="319">
        <f t="shared" si="379"/>
        <v>164</v>
      </c>
      <c r="AM74" s="760">
        <f t="shared" si="379"/>
        <v>226</v>
      </c>
      <c r="AN74" s="319">
        <f t="shared" si="379"/>
        <v>298</v>
      </c>
      <c r="AO74" s="319">
        <f t="shared" si="379"/>
        <v>390</v>
      </c>
      <c r="AP74" s="1268">
        <f t="shared" ref="AP74:AW74" si="380">AP143</f>
        <v>688</v>
      </c>
      <c r="AQ74" s="319">
        <f t="shared" si="380"/>
        <v>136</v>
      </c>
      <c r="AR74" s="319">
        <f t="shared" si="380"/>
        <v>170</v>
      </c>
      <c r="AS74" s="319">
        <f t="shared" si="380"/>
        <v>148</v>
      </c>
      <c r="AT74" s="760">
        <f t="shared" si="380"/>
        <v>264</v>
      </c>
      <c r="AU74" s="319">
        <f t="shared" si="380"/>
        <v>306</v>
      </c>
      <c r="AV74" s="319">
        <f t="shared" si="380"/>
        <v>412</v>
      </c>
      <c r="AW74" s="1268">
        <f t="shared" si="380"/>
        <v>718</v>
      </c>
      <c r="AX74" s="319">
        <f t="shared" ref="AX74:BD74" si="381">AX143</f>
        <v>136</v>
      </c>
      <c r="AY74" s="319">
        <f t="shared" si="381"/>
        <v>170</v>
      </c>
      <c r="AZ74" s="319">
        <f t="shared" si="381"/>
        <v>148</v>
      </c>
      <c r="BA74" s="760">
        <f t="shared" si="381"/>
        <v>264</v>
      </c>
      <c r="BB74" s="319">
        <f t="shared" si="381"/>
        <v>306</v>
      </c>
      <c r="BC74" s="319">
        <f t="shared" si="381"/>
        <v>412</v>
      </c>
      <c r="BD74" s="1268">
        <f t="shared" si="381"/>
        <v>718</v>
      </c>
      <c r="BE74" s="319">
        <f t="shared" ref="BE74:BJ74" si="382">BE143</f>
        <v>121</v>
      </c>
      <c r="BF74" s="319">
        <f t="shared" si="382"/>
        <v>182</v>
      </c>
      <c r="BG74" s="319">
        <f t="shared" si="382"/>
        <v>200</v>
      </c>
      <c r="BH74" s="760">
        <f t="shared" si="382"/>
        <v>297</v>
      </c>
      <c r="BI74" s="319">
        <f t="shared" si="382"/>
        <v>303</v>
      </c>
      <c r="BJ74" s="319">
        <f t="shared" si="382"/>
        <v>497</v>
      </c>
      <c r="BK74" s="1268">
        <f t="shared" ref="BK74:DN74" si="383">BK143</f>
        <v>800</v>
      </c>
      <c r="BL74" s="319">
        <f t="shared" si="383"/>
        <v>162</v>
      </c>
      <c r="BM74" s="319">
        <f t="shared" si="383"/>
        <v>227</v>
      </c>
      <c r="BN74" s="319">
        <f t="shared" si="383"/>
        <v>182</v>
      </c>
      <c r="BO74" s="760">
        <f t="shared" si="383"/>
        <v>292</v>
      </c>
      <c r="BP74" s="319">
        <f t="shared" si="383"/>
        <v>389</v>
      </c>
      <c r="BQ74" s="319">
        <f t="shared" si="383"/>
        <v>474</v>
      </c>
      <c r="BR74" s="1268">
        <f t="shared" si="383"/>
        <v>863</v>
      </c>
      <c r="BS74" s="319">
        <f t="shared" si="383"/>
        <v>122</v>
      </c>
      <c r="BT74" s="319">
        <f t="shared" si="383"/>
        <v>74</v>
      </c>
      <c r="BU74" s="319">
        <f t="shared" si="383"/>
        <v>145</v>
      </c>
      <c r="BV74" s="760">
        <f t="shared" si="383"/>
        <v>225</v>
      </c>
      <c r="BW74" s="319">
        <f t="shared" si="383"/>
        <v>196</v>
      </c>
      <c r="BX74" s="319">
        <f t="shared" si="383"/>
        <v>370</v>
      </c>
      <c r="BY74" s="1268">
        <f t="shared" si="383"/>
        <v>566</v>
      </c>
      <c r="BZ74" s="319">
        <f t="shared" si="383"/>
        <v>125</v>
      </c>
      <c r="CA74" s="319">
        <f t="shared" si="383"/>
        <v>172</v>
      </c>
      <c r="CB74" s="319">
        <f t="shared" si="383"/>
        <v>127</v>
      </c>
      <c r="CC74" s="760">
        <f t="shared" si="383"/>
        <v>187</v>
      </c>
      <c r="CD74" s="319">
        <f t="shared" si="383"/>
        <v>297</v>
      </c>
      <c r="CE74" s="319">
        <f t="shared" si="383"/>
        <v>314</v>
      </c>
      <c r="CF74" s="1268">
        <f t="shared" si="383"/>
        <v>611</v>
      </c>
      <c r="CG74" s="319">
        <f t="shared" si="383"/>
        <v>142</v>
      </c>
      <c r="CH74" s="319">
        <f t="shared" si="383"/>
        <v>155</v>
      </c>
      <c r="CI74" s="319">
        <f t="shared" si="383"/>
        <v>168</v>
      </c>
      <c r="CJ74" s="760">
        <f t="shared" si="383"/>
        <v>196</v>
      </c>
      <c r="CK74" s="319">
        <f t="shared" si="383"/>
        <v>297</v>
      </c>
      <c r="CL74" s="319">
        <f t="shared" si="383"/>
        <v>364</v>
      </c>
      <c r="CM74" s="1268">
        <f t="shared" si="383"/>
        <v>661</v>
      </c>
      <c r="CN74" s="319">
        <f t="shared" si="383"/>
        <v>127</v>
      </c>
      <c r="CO74" s="319">
        <f t="shared" si="383"/>
        <v>189</v>
      </c>
      <c r="CP74" s="319">
        <f t="shared" si="383"/>
        <v>172</v>
      </c>
      <c r="CQ74" s="760">
        <f t="shared" si="383"/>
        <v>247</v>
      </c>
      <c r="CR74" s="319">
        <f t="shared" si="383"/>
        <v>316</v>
      </c>
      <c r="CS74" s="319">
        <f t="shared" si="383"/>
        <v>419</v>
      </c>
      <c r="CT74" s="1268">
        <f t="shared" si="383"/>
        <v>735</v>
      </c>
      <c r="CU74" s="319">
        <f t="shared" si="383"/>
        <v>142</v>
      </c>
      <c r="CV74" s="319">
        <f t="shared" ref="CV74:CW74" si="384">CV143</f>
        <v>181</v>
      </c>
      <c r="CW74" s="319">
        <f t="shared" si="384"/>
        <v>174</v>
      </c>
      <c r="CX74" s="760">
        <f t="shared" si="383"/>
        <v>269</v>
      </c>
      <c r="CY74" s="319">
        <f t="shared" ref="CY74" si="385">CY143</f>
        <v>323</v>
      </c>
      <c r="CZ74" s="319">
        <f t="shared" si="383"/>
        <v>443</v>
      </c>
      <c r="DA74" s="1268">
        <f t="shared" si="383"/>
        <v>766</v>
      </c>
      <c r="DB74" s="319">
        <f t="shared" si="383"/>
        <v>136</v>
      </c>
      <c r="DC74" s="319">
        <f t="shared" si="383"/>
        <v>170</v>
      </c>
      <c r="DD74" s="319">
        <f t="shared" si="383"/>
        <v>201</v>
      </c>
      <c r="DE74" s="760">
        <f t="shared" ref="DE74" si="386">DE143</f>
        <v>286</v>
      </c>
      <c r="DF74" s="319">
        <f t="shared" si="383"/>
        <v>306</v>
      </c>
      <c r="DG74" s="319">
        <f t="shared" ref="DG74" si="387">DG143</f>
        <v>487</v>
      </c>
      <c r="DH74" s="1268">
        <f t="shared" ref="DH74:DJ74" si="388">DH143</f>
        <v>793</v>
      </c>
      <c r="DI74" s="319">
        <f t="shared" si="388"/>
        <v>114</v>
      </c>
      <c r="DJ74" s="319">
        <f t="shared" si="388"/>
        <v>237</v>
      </c>
      <c r="DK74" s="625">
        <f t="shared" si="383"/>
        <v>212</v>
      </c>
      <c r="DL74" s="761">
        <f t="shared" si="383"/>
        <v>307</v>
      </c>
      <c r="DM74" s="1919">
        <f t="shared" si="383"/>
        <v>351</v>
      </c>
      <c r="DN74" s="625">
        <f t="shared" si="383"/>
        <v>519</v>
      </c>
      <c r="DO74" s="762">
        <f t="shared" ref="DO74:EQ74" si="389">DO143</f>
        <v>870</v>
      </c>
      <c r="DP74" s="625">
        <f t="shared" si="389"/>
        <v>235.125</v>
      </c>
      <c r="DQ74" s="625">
        <f t="shared" si="389"/>
        <v>246.625</v>
      </c>
      <c r="DR74" s="625">
        <f t="shared" si="389"/>
        <v>246.625</v>
      </c>
      <c r="DS74" s="761">
        <f t="shared" si="389"/>
        <v>246.625</v>
      </c>
      <c r="DT74" s="625">
        <f t="shared" si="389"/>
        <v>481.75</v>
      </c>
      <c r="DU74" s="625">
        <f t="shared" si="389"/>
        <v>493.25</v>
      </c>
      <c r="DV74" s="762">
        <f t="shared" si="389"/>
        <v>975</v>
      </c>
      <c r="DW74" s="625">
        <f t="shared" si="389"/>
        <v>249.375</v>
      </c>
      <c r="DX74" s="625">
        <f t="shared" si="389"/>
        <v>263.75</v>
      </c>
      <c r="DY74" s="625">
        <f t="shared" si="389"/>
        <v>263.75</v>
      </c>
      <c r="DZ74" s="761">
        <f t="shared" si="389"/>
        <v>263.75</v>
      </c>
      <c r="EA74" s="625">
        <f t="shared" si="389"/>
        <v>513.125</v>
      </c>
      <c r="EB74" s="625">
        <f t="shared" si="389"/>
        <v>527.5</v>
      </c>
      <c r="EC74" s="762">
        <f t="shared" si="389"/>
        <v>1040.625</v>
      </c>
      <c r="ED74" s="625">
        <f t="shared" si="389"/>
        <v>266.5</v>
      </c>
      <c r="EE74" s="625">
        <f t="shared" si="389"/>
        <v>266.5</v>
      </c>
      <c r="EF74" s="625">
        <f t="shared" si="389"/>
        <v>266.5</v>
      </c>
      <c r="EG74" s="761">
        <f t="shared" si="389"/>
        <v>266.5</v>
      </c>
      <c r="EH74" s="625">
        <f t="shared" si="389"/>
        <v>533</v>
      </c>
      <c r="EI74" s="625">
        <f t="shared" si="389"/>
        <v>533</v>
      </c>
      <c r="EJ74" s="762">
        <f t="shared" si="389"/>
        <v>1066</v>
      </c>
      <c r="EK74" s="625">
        <f t="shared" si="389"/>
        <v>266.5</v>
      </c>
      <c r="EL74" s="625">
        <f t="shared" si="389"/>
        <v>266.5</v>
      </c>
      <c r="EM74" s="625">
        <f t="shared" si="389"/>
        <v>269.25</v>
      </c>
      <c r="EN74" s="761">
        <f t="shared" si="389"/>
        <v>269.25</v>
      </c>
      <c r="EO74" s="625">
        <f t="shared" si="389"/>
        <v>533</v>
      </c>
      <c r="EP74" s="625">
        <f t="shared" si="389"/>
        <v>538.5</v>
      </c>
      <c r="EQ74" s="762">
        <f t="shared" si="389"/>
        <v>1071.5</v>
      </c>
    </row>
    <row r="75" spans="1:147" ht="10.199999999999999" customHeight="1">
      <c r="A75" s="43" t="s">
        <v>71</v>
      </c>
      <c r="B75" s="158"/>
      <c r="C75" s="158">
        <v>156.07499999999999</v>
      </c>
      <c r="D75" s="158">
        <v>140.99600000000001</v>
      </c>
      <c r="E75" s="158">
        <v>141.83600000000001</v>
      </c>
      <c r="F75" s="158">
        <v>136.02199999999999</v>
      </c>
      <c r="G75" s="158">
        <v>201.96299999999999</v>
      </c>
      <c r="H75" s="158">
        <v>210.11500000000001</v>
      </c>
      <c r="I75" s="158">
        <v>283.82900000000001</v>
      </c>
      <c r="J75" s="158">
        <v>337.19299999999998</v>
      </c>
      <c r="K75" s="158">
        <v>320.32100000000003</v>
      </c>
      <c r="L75" s="158">
        <v>379</v>
      </c>
      <c r="M75" s="158">
        <v>475.47699999999998</v>
      </c>
      <c r="N75" s="158">
        <v>505.33300000000003</v>
      </c>
      <c r="O75" s="442"/>
      <c r="P75" s="442"/>
      <c r="Q75" s="442"/>
      <c r="R75" s="443"/>
      <c r="S75" s="442"/>
      <c r="T75" s="442"/>
      <c r="U75" s="948">
        <v>627.11300000000006</v>
      </c>
      <c r="V75" s="442"/>
      <c r="W75" s="442"/>
      <c r="X75" s="442"/>
      <c r="Y75" s="443"/>
      <c r="Z75" s="442"/>
      <c r="AA75" s="442"/>
      <c r="AB75" s="948">
        <v>803.63300000000004</v>
      </c>
      <c r="AC75" s="442"/>
      <c r="AD75" s="442"/>
      <c r="AE75" s="442"/>
      <c r="AF75" s="443"/>
      <c r="AG75" s="442"/>
      <c r="AH75" s="442"/>
      <c r="AI75" s="948">
        <v>952.45</v>
      </c>
      <c r="AJ75" s="442"/>
      <c r="AK75" s="442"/>
      <c r="AL75" s="442"/>
      <c r="AM75" s="443"/>
      <c r="AN75" s="442"/>
      <c r="AO75" s="442"/>
      <c r="AP75" s="948">
        <v>1010.2</v>
      </c>
      <c r="AQ75" s="442"/>
      <c r="AR75" s="442"/>
      <c r="AS75" s="442"/>
      <c r="AT75" s="443"/>
      <c r="AU75" s="442"/>
      <c r="AV75" s="442"/>
      <c r="AW75" s="948">
        <v>950.35400000000004</v>
      </c>
      <c r="AX75" s="442"/>
      <c r="AY75" s="442"/>
      <c r="AZ75" s="442"/>
      <c r="BA75" s="443"/>
      <c r="BB75" s="442"/>
      <c r="BC75" s="442"/>
      <c r="BD75" s="948"/>
      <c r="BE75" s="442"/>
      <c r="BF75" s="442"/>
      <c r="BG75" s="442"/>
      <c r="BH75" s="443"/>
      <c r="BI75" s="442"/>
      <c r="BJ75" s="442"/>
      <c r="BK75" s="948">
        <v>411.65899999999999</v>
      </c>
      <c r="BL75" s="442"/>
      <c r="BM75" s="442"/>
      <c r="BN75" s="442"/>
      <c r="BO75" s="443"/>
      <c r="BP75" s="442"/>
      <c r="BQ75" s="442"/>
      <c r="BR75" s="948">
        <v>424.08199999999999</v>
      </c>
      <c r="BS75" s="442"/>
      <c r="BT75" s="442"/>
      <c r="BU75" s="442"/>
      <c r="BV75" s="443"/>
      <c r="BW75" s="442"/>
      <c r="BX75" s="442"/>
      <c r="BY75" s="948">
        <v>324.67500000000001</v>
      </c>
      <c r="BZ75" s="442"/>
      <c r="CA75" s="442"/>
      <c r="CB75" s="442"/>
      <c r="CC75" s="443"/>
      <c r="CD75" s="442"/>
      <c r="CE75" s="442"/>
      <c r="CF75" s="948">
        <v>345.101</v>
      </c>
      <c r="CG75" s="442"/>
      <c r="CH75" s="442"/>
      <c r="CI75" s="442"/>
      <c r="CJ75" s="443"/>
      <c r="CK75" s="442"/>
      <c r="CL75" s="442"/>
      <c r="CM75" s="948">
        <v>390.45600000000002</v>
      </c>
      <c r="CN75" s="442"/>
      <c r="CO75" s="442"/>
      <c r="CP75" s="442"/>
      <c r="CQ75" s="443"/>
      <c r="CR75" s="442"/>
      <c r="CS75" s="442"/>
      <c r="CT75" s="948">
        <v>490.81200000000001</v>
      </c>
      <c r="CU75" s="442"/>
      <c r="CV75" s="442"/>
      <c r="CW75" s="442"/>
      <c r="CX75" s="443"/>
      <c r="CY75" s="442"/>
      <c r="CZ75" s="442"/>
      <c r="DA75" s="948">
        <v>558.92499999999995</v>
      </c>
      <c r="DB75" s="442"/>
      <c r="DC75" s="442"/>
      <c r="DD75" s="442"/>
      <c r="DE75" s="443"/>
      <c r="DF75" s="442"/>
      <c r="DG75" s="442"/>
      <c r="DH75" s="948">
        <v>539.69299999999998</v>
      </c>
      <c r="DI75" s="442"/>
      <c r="DJ75" s="442"/>
      <c r="DK75" s="442"/>
      <c r="DL75" s="443"/>
      <c r="DM75" s="442"/>
      <c r="DN75" s="442"/>
      <c r="DO75" s="548">
        <f>+DH75+DO76-DO11/10^3</f>
        <v>539.69299999999998</v>
      </c>
      <c r="DP75" s="442"/>
      <c r="DQ75" s="442"/>
      <c r="DR75" s="442"/>
      <c r="DS75" s="443"/>
      <c r="DT75" s="442"/>
      <c r="DU75" s="442"/>
      <c r="DV75" s="548">
        <f>+DO75+DV76-DV11/10^3</f>
        <v>539.69299999999998</v>
      </c>
      <c r="DW75" s="442"/>
      <c r="DX75" s="442"/>
      <c r="DY75" s="442"/>
      <c r="DZ75" s="443"/>
      <c r="EA75" s="442"/>
      <c r="EB75" s="442"/>
      <c r="EC75" s="548">
        <f>+DV75+EC76-EC11/10^3</f>
        <v>539.69299999999998</v>
      </c>
      <c r="ED75" s="442"/>
      <c r="EE75" s="442"/>
      <c r="EF75" s="442"/>
      <c r="EG75" s="443"/>
      <c r="EH75" s="442"/>
      <c r="EI75" s="442"/>
      <c r="EJ75" s="548">
        <f>+EC75+EJ76-EJ11/10^3</f>
        <v>539.69299999999998</v>
      </c>
      <c r="EK75" s="442"/>
      <c r="EL75" s="442"/>
      <c r="EM75" s="442"/>
      <c r="EN75" s="443"/>
      <c r="EO75" s="442"/>
      <c r="EP75" s="442"/>
      <c r="EQ75" s="548">
        <f>+EJ75+EQ76-EQ11/10^3</f>
        <v>539.69299999999998</v>
      </c>
    </row>
    <row r="76" spans="1:147" ht="10.199999999999999" customHeight="1">
      <c r="A76" s="108" t="s">
        <v>647</v>
      </c>
      <c r="B76" s="158"/>
      <c r="C76" s="158">
        <v>60.2</v>
      </c>
      <c r="D76" s="158">
        <v>31</v>
      </c>
      <c r="E76" s="158">
        <f>3.416+33.174+37.028+39.904</f>
        <v>113.52199999999999</v>
      </c>
      <c r="F76" s="158">
        <f>1.068+6.158+10.547+25.816</f>
        <v>43.588999999999999</v>
      </c>
      <c r="G76" s="158">
        <v>53.366999999999997</v>
      </c>
      <c r="H76" s="158">
        <v>78.254000000000005</v>
      </c>
      <c r="I76" s="158">
        <v>69.667000000000002</v>
      </c>
      <c r="J76" s="158">
        <v>82.040999999999997</v>
      </c>
      <c r="K76" s="158">
        <v>23.460999999999999</v>
      </c>
      <c r="L76" s="158">
        <v>68.2</v>
      </c>
      <c r="M76" s="158">
        <v>117.301</v>
      </c>
      <c r="N76" s="158">
        <v>86.477999999999994</v>
      </c>
      <c r="O76" s="327"/>
      <c r="P76" s="327"/>
      <c r="Q76" s="327"/>
      <c r="R76" s="453"/>
      <c r="S76" s="327"/>
      <c r="T76" s="327"/>
      <c r="U76" s="1301">
        <v>199.261</v>
      </c>
      <c r="V76" s="327"/>
      <c r="W76" s="327"/>
      <c r="X76" s="327"/>
      <c r="Y76" s="453"/>
      <c r="Z76" s="327"/>
      <c r="AA76" s="327"/>
      <c r="AB76" s="1301">
        <v>150.08500000000001</v>
      </c>
      <c r="AC76" s="327"/>
      <c r="AD76" s="327"/>
      <c r="AE76" s="327"/>
      <c r="AF76" s="453"/>
      <c r="AG76" s="327"/>
      <c r="AH76" s="327"/>
      <c r="AI76" s="1301">
        <v>139.06200000000001</v>
      </c>
      <c r="AJ76" s="327"/>
      <c r="AK76" s="327"/>
      <c r="AL76" s="327"/>
      <c r="AM76" s="453"/>
      <c r="AN76" s="327"/>
      <c r="AO76" s="327"/>
      <c r="AP76" s="1301">
        <v>114.938</v>
      </c>
      <c r="AQ76" s="327"/>
      <c r="AR76" s="327"/>
      <c r="AS76" s="327"/>
      <c r="AT76" s="453"/>
      <c r="AU76" s="327"/>
      <c r="AV76" s="327"/>
      <c r="AW76" s="1301">
        <v>143.36099999999999</v>
      </c>
      <c r="AX76" s="327"/>
      <c r="AY76" s="327"/>
      <c r="AZ76" s="327"/>
      <c r="BA76" s="453"/>
      <c r="BB76" s="327"/>
      <c r="BC76" s="327"/>
      <c r="BD76" s="1301"/>
      <c r="BE76" s="327"/>
      <c r="BF76" s="327"/>
      <c r="BG76" s="327"/>
      <c r="BH76" s="453"/>
      <c r="BI76" s="327"/>
      <c r="BJ76" s="327"/>
      <c r="BK76" s="1301">
        <v>41.518999999999998</v>
      </c>
      <c r="BL76" s="327"/>
      <c r="BM76" s="327"/>
      <c r="BN76" s="327"/>
      <c r="BO76" s="453"/>
      <c r="BP76" s="327"/>
      <c r="BQ76" s="327"/>
      <c r="BR76" s="1301">
        <v>65.769000000000005</v>
      </c>
      <c r="BS76" s="327"/>
      <c r="BT76" s="327"/>
      <c r="BU76" s="327"/>
      <c r="BV76" s="453"/>
      <c r="BW76" s="327"/>
      <c r="BX76" s="327"/>
      <c r="BY76" s="1301">
        <v>16.088999999999999</v>
      </c>
      <c r="BZ76" s="327"/>
      <c r="CA76" s="327"/>
      <c r="CB76" s="327"/>
      <c r="CC76" s="453"/>
      <c r="CD76" s="327"/>
      <c r="CE76" s="327"/>
      <c r="CF76" s="1301">
        <v>40.003999999999998</v>
      </c>
      <c r="CG76" s="327"/>
      <c r="CH76" s="327"/>
      <c r="CI76" s="327"/>
      <c r="CJ76" s="453"/>
      <c r="CK76" s="327"/>
      <c r="CL76" s="327"/>
      <c r="CM76" s="1301">
        <v>59.726999999999997</v>
      </c>
      <c r="CN76" s="327"/>
      <c r="CO76" s="327"/>
      <c r="CP76" s="327"/>
      <c r="CQ76" s="453"/>
      <c r="CR76" s="327"/>
      <c r="CS76" s="327"/>
      <c r="CT76" s="1301">
        <v>162.571</v>
      </c>
      <c r="CU76" s="327"/>
      <c r="CV76" s="327"/>
      <c r="CW76" s="327"/>
      <c r="CX76" s="453"/>
      <c r="CY76" s="327"/>
      <c r="CZ76" s="327"/>
      <c r="DA76" s="1301">
        <v>77.412999999999997</v>
      </c>
      <c r="DB76" s="327"/>
      <c r="DC76" s="327"/>
      <c r="DD76" s="327"/>
      <c r="DE76" s="453"/>
      <c r="DF76" s="327"/>
      <c r="DG76" s="327"/>
      <c r="DH76" s="1301">
        <v>92.32</v>
      </c>
      <c r="DI76" s="327"/>
      <c r="DJ76" s="327"/>
      <c r="DK76" s="327"/>
      <c r="DL76" s="453"/>
      <c r="DM76" s="327"/>
      <c r="DN76" s="327"/>
      <c r="DO76" s="548">
        <f>+DO77*DO11/10^3</f>
        <v>58.338759347920991</v>
      </c>
      <c r="DP76" s="327"/>
      <c r="DQ76" s="327"/>
      <c r="DR76" s="327"/>
      <c r="DS76" s="453"/>
      <c r="DT76" s="327"/>
      <c r="DU76" s="327"/>
      <c r="DV76" s="548">
        <f>+DV77*DV11/10^3</f>
        <v>66.232987590396959</v>
      </c>
      <c r="DW76" s="327"/>
      <c r="DX76" s="327"/>
      <c r="DY76" s="327"/>
      <c r="DZ76" s="453"/>
      <c r="EA76" s="327"/>
      <c r="EB76" s="327"/>
      <c r="EC76" s="548">
        <f>+EC77*EC11/10^3</f>
        <v>73.145490542642804</v>
      </c>
      <c r="ED76" s="327"/>
      <c r="EE76" s="327"/>
      <c r="EF76" s="327"/>
      <c r="EG76" s="453"/>
      <c r="EH76" s="327"/>
      <c r="EI76" s="327"/>
      <c r="EJ76" s="548">
        <f>+EJ77*EJ11/10^3</f>
        <v>76.370600544967672</v>
      </c>
      <c r="EK76" s="327"/>
      <c r="EL76" s="327"/>
      <c r="EM76" s="327"/>
      <c r="EN76" s="453"/>
      <c r="EO76" s="327"/>
      <c r="EP76" s="327"/>
      <c r="EQ76" s="548">
        <f>+EQ77*EQ11/10^3</f>
        <v>78.628532137406197</v>
      </c>
    </row>
    <row r="77" spans="1:147" ht="10.199999999999999" customHeight="1">
      <c r="A77" s="51" t="s">
        <v>595</v>
      </c>
      <c r="B77" s="557"/>
      <c r="C77" s="546">
        <f t="shared" ref="C77:N77" si="390">+C76/C465*10^3</f>
        <v>2.7141740255680582</v>
      </c>
      <c r="D77" s="546">
        <f t="shared" si="390"/>
        <v>1.4601762527432331</v>
      </c>
      <c r="E77" s="546">
        <f t="shared" si="390"/>
        <v>4.9319363951547297</v>
      </c>
      <c r="F77" s="546">
        <f t="shared" si="390"/>
        <v>1.7645939600032385</v>
      </c>
      <c r="G77" s="546">
        <f t="shared" si="390"/>
        <v>1.8887927981877615</v>
      </c>
      <c r="H77" s="546">
        <f t="shared" si="390"/>
        <v>2.3929107040491866</v>
      </c>
      <c r="I77" s="546">
        <f t="shared" si="390"/>
        <v>2.051174850534871</v>
      </c>
      <c r="J77" s="546">
        <f t="shared" si="390"/>
        <v>2.0298248975295698</v>
      </c>
      <c r="K77" s="546">
        <f t="shared" si="390"/>
        <v>0.55723661339630415</v>
      </c>
      <c r="L77" s="546">
        <f t="shared" si="390"/>
        <v>1.1772808954239677</v>
      </c>
      <c r="M77" s="546">
        <f t="shared" si="390"/>
        <v>1.8152485770615199</v>
      </c>
      <c r="N77" s="546">
        <f t="shared" si="390"/>
        <v>1.1413364921246356</v>
      </c>
      <c r="O77" s="454"/>
      <c r="P77" s="454"/>
      <c r="Q77" s="454"/>
      <c r="R77" s="455"/>
      <c r="S77" s="454"/>
      <c r="T77" s="454"/>
      <c r="U77" s="1302">
        <f>+U76/U465*10^3</f>
        <v>2.4527328767460523</v>
      </c>
      <c r="V77" s="454"/>
      <c r="W77" s="454"/>
      <c r="X77" s="454"/>
      <c r="Y77" s="455"/>
      <c r="Z77" s="454"/>
      <c r="AA77" s="454"/>
      <c r="AB77" s="1302">
        <f>+AB76/AB465*10^3</f>
        <v>1.7314826191263157</v>
      </c>
      <c r="AC77" s="454"/>
      <c r="AD77" s="454"/>
      <c r="AE77" s="454"/>
      <c r="AF77" s="455"/>
      <c r="AG77" s="454"/>
      <c r="AH77" s="454"/>
      <c r="AI77" s="1302">
        <f>+AI76/AI465*10^3</f>
        <v>1.5179005115991213</v>
      </c>
      <c r="AJ77" s="454"/>
      <c r="AK77" s="454"/>
      <c r="AL77" s="454"/>
      <c r="AM77" s="455"/>
      <c r="AN77" s="454"/>
      <c r="AO77" s="454"/>
      <c r="AP77" s="1302">
        <f>+AP76/AP465*10^3</f>
        <v>1.1354424439999011</v>
      </c>
      <c r="AQ77" s="454"/>
      <c r="AR77" s="454"/>
      <c r="AS77" s="454"/>
      <c r="AT77" s="455"/>
      <c r="AU77" s="454"/>
      <c r="AV77" s="454"/>
      <c r="AW77" s="1302">
        <f>+AW76/AW465*10^3</f>
        <v>1.3265826392481024</v>
      </c>
      <c r="AX77" s="454"/>
      <c r="AY77" s="454"/>
      <c r="AZ77" s="454"/>
      <c r="BA77" s="455"/>
      <c r="BB77" s="454"/>
      <c r="BC77" s="454"/>
      <c r="BD77" s="1302"/>
      <c r="BE77" s="454"/>
      <c r="BF77" s="454"/>
      <c r="BG77" s="454"/>
      <c r="BH77" s="455"/>
      <c r="BI77" s="454"/>
      <c r="BJ77" s="454"/>
      <c r="BK77" s="1302">
        <f>(BK76/BK11)*10^3</f>
        <v>0.86552011673962881</v>
      </c>
      <c r="BL77" s="454"/>
      <c r="BM77" s="454"/>
      <c r="BN77" s="454"/>
      <c r="BO77" s="455"/>
      <c r="BP77" s="454"/>
      <c r="BQ77" s="454"/>
      <c r="BR77" s="1302">
        <f>(BR76/BR11)*10^3</f>
        <v>1.2007120036513008</v>
      </c>
      <c r="BS77" s="454"/>
      <c r="BT77" s="454"/>
      <c r="BU77" s="454"/>
      <c r="BV77" s="455"/>
      <c r="BW77" s="454"/>
      <c r="BX77" s="454"/>
      <c r="BY77" s="1302">
        <f>(BY76/BY11)*10^3</f>
        <v>0.4697518248175182</v>
      </c>
      <c r="BZ77" s="454"/>
      <c r="CA77" s="454"/>
      <c r="CB77" s="454"/>
      <c r="CC77" s="455"/>
      <c r="CD77" s="454"/>
      <c r="CE77" s="454"/>
      <c r="CF77" s="1302">
        <f>(CF76/CF11)*10^3</f>
        <v>1.1061829443645614</v>
      </c>
      <c r="CG77" s="454"/>
      <c r="CH77" s="454"/>
      <c r="CI77" s="454"/>
      <c r="CJ77" s="455"/>
      <c r="CK77" s="454"/>
      <c r="CL77" s="454"/>
      <c r="CM77" s="1302">
        <f>(CM76/CM11)*10^3</f>
        <v>1.4417060924978273</v>
      </c>
      <c r="CN77" s="454"/>
      <c r="CO77" s="454"/>
      <c r="CP77" s="454"/>
      <c r="CQ77" s="455"/>
      <c r="CR77" s="454"/>
      <c r="CS77" s="454"/>
      <c r="CT77" s="1302">
        <f>(CT76/CT11)*10^3</f>
        <v>3.4037016100328703</v>
      </c>
      <c r="CU77" s="454"/>
      <c r="CV77" s="454"/>
      <c r="CW77" s="454"/>
      <c r="CX77" s="455"/>
      <c r="CY77" s="454"/>
      <c r="CZ77" s="454"/>
      <c r="DA77" s="1302">
        <f>(DA76/DA11)*10^3</f>
        <v>1.5285116297437111</v>
      </c>
      <c r="DB77" s="454"/>
      <c r="DC77" s="454"/>
      <c r="DD77" s="454"/>
      <c r="DE77" s="455"/>
      <c r="DF77" s="454"/>
      <c r="DG77" s="454"/>
      <c r="DH77" s="1302">
        <f>(DH76/DH11)*10^3</f>
        <v>1.7559008692013616</v>
      </c>
      <c r="DI77" s="454"/>
      <c r="DJ77" s="454"/>
      <c r="DK77" s="454"/>
      <c r="DL77" s="455"/>
      <c r="DM77" s="454"/>
      <c r="DN77" s="454"/>
      <c r="DO77" s="547">
        <v>1</v>
      </c>
      <c r="DP77" s="454"/>
      <c r="DQ77" s="454"/>
      <c r="DR77" s="454"/>
      <c r="DS77" s="455"/>
      <c r="DT77" s="454"/>
      <c r="DU77" s="454"/>
      <c r="DV77" s="547">
        <v>1</v>
      </c>
      <c r="DW77" s="454"/>
      <c r="DX77" s="454"/>
      <c r="DY77" s="454"/>
      <c r="DZ77" s="455"/>
      <c r="EA77" s="454"/>
      <c r="EB77" s="454"/>
      <c r="EC77" s="547">
        <v>1</v>
      </c>
      <c r="ED77" s="454"/>
      <c r="EE77" s="454"/>
      <c r="EF77" s="454"/>
      <c r="EG77" s="455"/>
      <c r="EH77" s="454"/>
      <c r="EI77" s="454"/>
      <c r="EJ77" s="547">
        <v>1</v>
      </c>
      <c r="EK77" s="454"/>
      <c r="EL77" s="454"/>
      <c r="EM77" s="454"/>
      <c r="EN77" s="455"/>
      <c r="EO77" s="454"/>
      <c r="EP77" s="454"/>
      <c r="EQ77" s="547">
        <v>1</v>
      </c>
    </row>
    <row r="78" spans="1:147" ht="10.199999999999999" customHeight="1">
      <c r="A78" s="28"/>
      <c r="B78" s="48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293"/>
      <c r="O78" s="451"/>
      <c r="P78" s="451"/>
      <c r="Q78" s="451"/>
      <c r="R78" s="452"/>
      <c r="S78" s="451"/>
      <c r="T78" s="451"/>
      <c r="U78" s="347"/>
      <c r="V78" s="451"/>
      <c r="W78" s="451"/>
      <c r="X78" s="451"/>
      <c r="Y78" s="452"/>
      <c r="Z78" s="451"/>
      <c r="AA78" s="451"/>
      <c r="AB78" s="347"/>
      <c r="AC78" s="451"/>
      <c r="AD78" s="451"/>
      <c r="AE78" s="451"/>
      <c r="AF78" s="452"/>
      <c r="AG78" s="451"/>
      <c r="AH78" s="451"/>
      <c r="AI78" s="347"/>
      <c r="AJ78" s="451"/>
      <c r="AK78" s="451"/>
      <c r="AL78" s="451"/>
      <c r="AM78" s="452"/>
      <c r="AN78" s="451"/>
      <c r="AO78" s="451"/>
      <c r="AP78" s="347"/>
      <c r="AQ78" s="451"/>
      <c r="AR78" s="451"/>
      <c r="AS78" s="451"/>
      <c r="AT78" s="452"/>
      <c r="AU78" s="451"/>
      <c r="AV78" s="451"/>
      <c r="AW78" s="347"/>
      <c r="AX78" s="451"/>
      <c r="AY78" s="451"/>
      <c r="AZ78" s="451"/>
      <c r="BA78" s="452"/>
      <c r="BB78" s="451"/>
      <c r="BC78" s="451"/>
      <c r="BD78" s="347"/>
      <c r="BE78" s="451"/>
      <c r="BF78" s="451"/>
      <c r="BG78" s="451"/>
      <c r="BH78" s="452"/>
      <c r="BI78" s="451"/>
      <c r="BJ78" s="451"/>
      <c r="BK78" s="347"/>
      <c r="BL78" s="451"/>
      <c r="BM78" s="451"/>
      <c r="BN78" s="451"/>
      <c r="BO78" s="452"/>
      <c r="BP78" s="451"/>
      <c r="BQ78" s="451"/>
      <c r="BR78" s="347"/>
      <c r="BS78" s="451"/>
      <c r="BT78" s="451"/>
      <c r="BU78" s="451"/>
      <c r="BV78" s="452"/>
      <c r="BW78" s="451"/>
      <c r="BX78" s="451"/>
      <c r="BY78" s="347"/>
      <c r="BZ78" s="451"/>
      <c r="CA78" s="451"/>
      <c r="CB78" s="451"/>
      <c r="CC78" s="452"/>
      <c r="CD78" s="451"/>
      <c r="CE78" s="451"/>
      <c r="CF78" s="347"/>
      <c r="CG78" s="451"/>
      <c r="CH78" s="451"/>
      <c r="CI78" s="451"/>
      <c r="CJ78" s="452"/>
      <c r="CK78" s="451"/>
      <c r="CL78" s="451"/>
      <c r="CM78" s="347"/>
      <c r="CN78" s="451"/>
      <c r="CO78" s="451"/>
      <c r="CP78" s="451"/>
      <c r="CQ78" s="452"/>
      <c r="CR78" s="451"/>
      <c r="CS78" s="451"/>
      <c r="CT78" s="347"/>
      <c r="CU78" s="451"/>
      <c r="CV78" s="451"/>
      <c r="CW78" s="451"/>
      <c r="CX78" s="452"/>
      <c r="CY78" s="451"/>
      <c r="CZ78" s="451"/>
      <c r="DA78" s="347"/>
      <c r="DB78" s="451"/>
      <c r="DC78" s="451"/>
      <c r="DD78" s="451"/>
      <c r="DE78" s="452"/>
      <c r="DF78" s="451"/>
      <c r="DG78" s="451"/>
      <c r="DH78" s="347"/>
      <c r="DI78" s="451"/>
      <c r="DJ78" s="451"/>
      <c r="DK78" s="451"/>
      <c r="DL78" s="452"/>
      <c r="DM78" s="451"/>
      <c r="DN78" s="451"/>
      <c r="DO78" s="347"/>
      <c r="DP78" s="451"/>
      <c r="DQ78" s="451"/>
      <c r="DR78" s="451"/>
      <c r="DS78" s="452"/>
      <c r="DT78" s="451"/>
      <c r="DU78" s="451"/>
      <c r="DV78" s="347"/>
      <c r="DW78" s="451"/>
      <c r="DX78" s="451"/>
      <c r="DY78" s="451"/>
      <c r="DZ78" s="452"/>
      <c r="EA78" s="451"/>
      <c r="EB78" s="451"/>
      <c r="EC78" s="347"/>
      <c r="ED78" s="451"/>
      <c r="EE78" s="451"/>
      <c r="EF78" s="451"/>
      <c r="EG78" s="452"/>
      <c r="EH78" s="451"/>
      <c r="EI78" s="451"/>
      <c r="EJ78" s="347"/>
      <c r="EK78" s="451"/>
      <c r="EL78" s="451"/>
      <c r="EM78" s="451"/>
      <c r="EN78" s="452"/>
      <c r="EO78" s="451"/>
      <c r="EP78" s="451"/>
      <c r="EQ78" s="347"/>
    </row>
    <row r="79" spans="1:147" ht="10.199999999999999" customHeight="1">
      <c r="A79" s="28"/>
      <c r="B79" s="48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293"/>
      <c r="O79" s="451"/>
      <c r="P79" s="451"/>
      <c r="Q79" s="451"/>
      <c r="R79" s="452"/>
      <c r="S79" s="451"/>
      <c r="T79" s="451"/>
      <c r="U79" s="347"/>
      <c r="V79" s="451"/>
      <c r="W79" s="451"/>
      <c r="X79" s="451"/>
      <c r="Y79" s="452"/>
      <c r="Z79" s="451"/>
      <c r="AA79" s="451"/>
      <c r="AB79" s="347"/>
      <c r="AC79" s="451"/>
      <c r="AD79" s="451"/>
      <c r="AE79" s="451"/>
      <c r="AF79" s="452"/>
      <c r="AG79" s="451"/>
      <c r="AH79" s="451"/>
      <c r="AI79" s="347"/>
      <c r="AJ79" s="451"/>
      <c r="AK79" s="451"/>
      <c r="AL79" s="451"/>
      <c r="AM79" s="452"/>
      <c r="AN79" s="451"/>
      <c r="AO79" s="451"/>
      <c r="AP79" s="347"/>
      <c r="AQ79" s="451"/>
      <c r="AR79" s="451"/>
      <c r="AS79" s="451"/>
      <c r="AT79" s="452"/>
      <c r="AU79" s="451"/>
      <c r="AV79" s="451"/>
      <c r="AW79" s="347"/>
      <c r="AX79" s="451"/>
      <c r="AY79" s="451"/>
      <c r="AZ79" s="451"/>
      <c r="BA79" s="452"/>
      <c r="BB79" s="451"/>
      <c r="BC79" s="451"/>
      <c r="BD79" s="347"/>
      <c r="BE79" s="451"/>
      <c r="BF79" s="451"/>
      <c r="BG79" s="451"/>
      <c r="BH79" s="452"/>
      <c r="BI79" s="451"/>
      <c r="BJ79" s="451"/>
      <c r="BK79" s="347"/>
      <c r="BL79" s="451"/>
      <c r="BM79" s="451"/>
      <c r="BN79" s="451"/>
      <c r="BO79" s="452"/>
      <c r="BP79" s="451"/>
      <c r="BQ79" s="451"/>
      <c r="BR79" s="347"/>
      <c r="BS79" s="451"/>
      <c r="BT79" s="451"/>
      <c r="BU79" s="451"/>
      <c r="BV79" s="452"/>
      <c r="BW79" s="451"/>
      <c r="BX79" s="451"/>
      <c r="BY79" s="347"/>
      <c r="BZ79" s="451"/>
      <c r="CA79" s="451"/>
      <c r="CB79" s="451"/>
      <c r="CC79" s="452"/>
      <c r="CD79" s="451"/>
      <c r="CE79" s="451"/>
      <c r="CF79" s="347"/>
      <c r="CG79" s="451"/>
      <c r="CH79" s="451"/>
      <c r="CI79" s="451"/>
      <c r="CJ79" s="452"/>
      <c r="CK79" s="451"/>
      <c r="CL79" s="451"/>
      <c r="CM79" s="347"/>
      <c r="CN79" s="451"/>
      <c r="CO79" s="451"/>
      <c r="CP79" s="451"/>
      <c r="CQ79" s="452"/>
      <c r="CR79" s="451"/>
      <c r="CS79" s="451"/>
      <c r="CT79" s="347"/>
      <c r="CU79" s="451"/>
      <c r="CV79" s="451"/>
      <c r="CW79" s="451"/>
      <c r="CX79" s="452"/>
      <c r="CY79" s="451"/>
      <c r="CZ79" s="451"/>
      <c r="DA79" s="347"/>
      <c r="DB79" s="451"/>
      <c r="DC79" s="451"/>
      <c r="DD79" s="451"/>
      <c r="DE79" s="452"/>
      <c r="DF79" s="451"/>
      <c r="DG79" s="451"/>
      <c r="DH79" s="347"/>
      <c r="DI79" s="451"/>
      <c r="DJ79" s="451"/>
      <c r="DK79" s="451"/>
      <c r="DL79" s="452"/>
      <c r="DM79" s="451"/>
      <c r="DN79" s="451"/>
      <c r="DO79" s="347"/>
      <c r="DP79" s="451"/>
      <c r="DQ79" s="451"/>
      <c r="DR79" s="451"/>
      <c r="DS79" s="452"/>
      <c r="DT79" s="451"/>
      <c r="DU79" s="451"/>
      <c r="DV79" s="347"/>
      <c r="DW79" s="451"/>
      <c r="DX79" s="451"/>
      <c r="DY79" s="451"/>
      <c r="DZ79" s="452"/>
      <c r="EA79" s="451"/>
      <c r="EB79" s="451"/>
      <c r="EC79" s="347"/>
      <c r="ED79" s="451"/>
      <c r="EE79" s="451"/>
      <c r="EF79" s="451"/>
      <c r="EG79" s="452"/>
      <c r="EH79" s="451"/>
      <c r="EI79" s="451"/>
      <c r="EJ79" s="347"/>
      <c r="EK79" s="451"/>
      <c r="EL79" s="451"/>
      <c r="EM79" s="451"/>
      <c r="EN79" s="452"/>
      <c r="EO79" s="451"/>
      <c r="EP79" s="451"/>
      <c r="EQ79" s="347"/>
    </row>
    <row r="80" spans="1:147" ht="10.199999999999999" customHeight="1">
      <c r="A80" s="178" t="s">
        <v>744</v>
      </c>
      <c r="B80" s="196"/>
      <c r="C80" s="196"/>
      <c r="D80" s="198"/>
      <c r="E80" s="199"/>
      <c r="F80" s="199"/>
      <c r="G80" s="199"/>
      <c r="H80" s="199"/>
      <c r="I80" s="199"/>
      <c r="J80" s="199"/>
      <c r="K80" s="199"/>
      <c r="L80" s="199"/>
      <c r="M80" s="199"/>
      <c r="N80" s="198"/>
      <c r="O80" s="428"/>
      <c r="P80" s="428"/>
      <c r="Q80" s="428"/>
      <c r="R80" s="429"/>
      <c r="S80" s="428"/>
      <c r="T80" s="428"/>
      <c r="U80" s="348"/>
      <c r="V80" s="428"/>
      <c r="W80" s="428"/>
      <c r="X80" s="428"/>
      <c r="Y80" s="429"/>
      <c r="Z80" s="428"/>
      <c r="AA80" s="428"/>
      <c r="AB80" s="348"/>
      <c r="AC80" s="428"/>
      <c r="AD80" s="428"/>
      <c r="AE80" s="428"/>
      <c r="AF80" s="429"/>
      <c r="AG80" s="428"/>
      <c r="AH80" s="428"/>
      <c r="AI80" s="348"/>
      <c r="AJ80" s="428"/>
      <c r="AK80" s="428"/>
      <c r="AL80" s="428"/>
      <c r="AM80" s="429"/>
      <c r="AN80" s="428"/>
      <c r="AO80" s="428"/>
      <c r="AP80" s="348"/>
      <c r="AQ80" s="428"/>
      <c r="AR80" s="428"/>
      <c r="AS80" s="428"/>
      <c r="AT80" s="429"/>
      <c r="AU80" s="428"/>
      <c r="AV80" s="428"/>
      <c r="AW80" s="348"/>
      <c r="AX80" s="428"/>
      <c r="AY80" s="428"/>
      <c r="AZ80" s="428"/>
      <c r="BA80" s="429"/>
      <c r="BB80" s="428"/>
      <c r="BC80" s="428"/>
      <c r="BD80" s="348"/>
      <c r="BE80" s="428"/>
      <c r="BF80" s="428"/>
      <c r="BG80" s="428"/>
      <c r="BH80" s="429"/>
      <c r="BI80" s="428"/>
      <c r="BJ80" s="428"/>
      <c r="BK80" s="348"/>
      <c r="BL80" s="428"/>
      <c r="BM80" s="428"/>
      <c r="BN80" s="428"/>
      <c r="BO80" s="429"/>
      <c r="BP80" s="428"/>
      <c r="BQ80" s="428"/>
      <c r="BR80" s="348"/>
      <c r="BS80" s="428"/>
      <c r="BT80" s="428"/>
      <c r="BU80" s="428"/>
      <c r="BV80" s="429"/>
      <c r="BW80" s="428"/>
      <c r="BX80" s="428"/>
      <c r="BY80" s="348"/>
      <c r="BZ80" s="428"/>
      <c r="CA80" s="428"/>
      <c r="CB80" s="428"/>
      <c r="CC80" s="429"/>
      <c r="CD80" s="428"/>
      <c r="CE80" s="428"/>
      <c r="CF80" s="348"/>
      <c r="CG80" s="428"/>
      <c r="CH80" s="428"/>
      <c r="CI80" s="428"/>
      <c r="CJ80" s="429"/>
      <c r="CK80" s="428"/>
      <c r="CL80" s="428"/>
      <c r="CM80" s="348"/>
      <c r="CN80" s="428"/>
      <c r="CO80" s="428"/>
      <c r="CP80" s="428"/>
      <c r="CQ80" s="429"/>
      <c r="CR80" s="428"/>
      <c r="CS80" s="428"/>
      <c r="CT80" s="348"/>
      <c r="CU80" s="428"/>
      <c r="CV80" s="428"/>
      <c r="CW80" s="428"/>
      <c r="CX80" s="429"/>
      <c r="CY80" s="428"/>
      <c r="CZ80" s="428"/>
      <c r="DA80" s="348"/>
      <c r="DB80" s="428"/>
      <c r="DC80" s="428"/>
      <c r="DD80" s="428"/>
      <c r="DE80" s="429"/>
      <c r="DF80" s="428"/>
      <c r="DG80" s="428"/>
      <c r="DH80" s="348"/>
      <c r="DI80" s="428"/>
      <c r="DJ80" s="428"/>
      <c r="DK80" s="428"/>
      <c r="DL80" s="429"/>
      <c r="DM80" s="428"/>
      <c r="DN80" s="428"/>
      <c r="DO80" s="348"/>
      <c r="DP80" s="428"/>
      <c r="DQ80" s="428"/>
      <c r="DR80" s="428"/>
      <c r="DS80" s="429"/>
      <c r="DT80" s="428"/>
      <c r="DU80" s="428"/>
      <c r="DV80" s="348"/>
      <c r="DW80" s="428"/>
      <c r="DX80" s="428"/>
      <c r="DY80" s="428"/>
      <c r="DZ80" s="429"/>
      <c r="EA80" s="428"/>
      <c r="EB80" s="428"/>
      <c r="EC80" s="348"/>
      <c r="ED80" s="428"/>
      <c r="EE80" s="428"/>
      <c r="EF80" s="428"/>
      <c r="EG80" s="429"/>
      <c r="EH80" s="428"/>
      <c r="EI80" s="428"/>
      <c r="EJ80" s="348"/>
      <c r="EK80" s="428"/>
      <c r="EL80" s="428"/>
      <c r="EM80" s="428"/>
      <c r="EN80" s="429"/>
      <c r="EO80" s="428"/>
      <c r="EP80" s="428"/>
      <c r="EQ80" s="348"/>
    </row>
    <row r="81" spans="1:147" ht="10.199999999999999" customHeight="1">
      <c r="A81" s="48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456"/>
      <c r="P81" s="456"/>
      <c r="Q81" s="456"/>
      <c r="R81" s="457"/>
      <c r="S81" s="456"/>
      <c r="T81" s="456"/>
      <c r="U81" s="338"/>
      <c r="V81" s="456"/>
      <c r="W81" s="456"/>
      <c r="X81" s="456"/>
      <c r="Y81" s="457"/>
      <c r="Z81" s="456"/>
      <c r="AA81" s="456"/>
      <c r="AB81" s="338"/>
      <c r="AC81" s="456"/>
      <c r="AD81" s="456"/>
      <c r="AE81" s="456"/>
      <c r="AF81" s="457"/>
      <c r="AG81" s="456"/>
      <c r="AH81" s="456"/>
      <c r="AI81" s="338"/>
      <c r="AJ81" s="456"/>
      <c r="AK81" s="456"/>
      <c r="AL81" s="456"/>
      <c r="AM81" s="457"/>
      <c r="AN81" s="456"/>
      <c r="AO81" s="456"/>
      <c r="AP81" s="338"/>
      <c r="AQ81" s="456"/>
      <c r="AR81" s="456"/>
      <c r="AS81" s="456"/>
      <c r="AT81" s="457"/>
      <c r="AU81" s="456"/>
      <c r="AV81" s="456"/>
      <c r="AW81" s="338"/>
      <c r="AX81" s="456"/>
      <c r="AY81" s="456"/>
      <c r="AZ81" s="456"/>
      <c r="BA81" s="457"/>
      <c r="BB81" s="456"/>
      <c r="BC81" s="456"/>
      <c r="BD81" s="338"/>
      <c r="BE81" s="456"/>
      <c r="BF81" s="456"/>
      <c r="BG81" s="456"/>
      <c r="BH81" s="457"/>
      <c r="BI81" s="456"/>
      <c r="BJ81" s="456"/>
      <c r="BK81" s="338"/>
      <c r="BL81" s="456"/>
      <c r="BM81" s="456"/>
      <c r="BN81" s="456"/>
      <c r="BO81" s="457"/>
      <c r="BP81" s="456"/>
      <c r="BQ81" s="456"/>
      <c r="BR81" s="338"/>
      <c r="BS81" s="456"/>
      <c r="BT81" s="456"/>
      <c r="BU81" s="456"/>
      <c r="BV81" s="457"/>
      <c r="BW81" s="456"/>
      <c r="BX81" s="456"/>
      <c r="BY81" s="338"/>
      <c r="BZ81" s="456"/>
      <c r="CA81" s="456"/>
      <c r="CB81" s="456"/>
      <c r="CC81" s="457"/>
      <c r="CD81" s="456"/>
      <c r="CE81" s="456"/>
      <c r="CF81" s="338"/>
      <c r="CG81" s="456"/>
      <c r="CH81" s="456"/>
      <c r="CI81" s="456"/>
      <c r="CJ81" s="457"/>
      <c r="CK81" s="456"/>
      <c r="CL81" s="456"/>
      <c r="CM81" s="338"/>
      <c r="CN81" s="456"/>
      <c r="CO81" s="456"/>
      <c r="CP81" s="456"/>
      <c r="CQ81" s="457"/>
      <c r="CR81" s="456"/>
      <c r="CS81" s="456"/>
      <c r="CT81" s="338"/>
      <c r="CU81" s="456"/>
      <c r="CV81" s="456"/>
      <c r="CW81" s="456"/>
      <c r="CX81" s="457"/>
      <c r="CY81" s="456"/>
      <c r="CZ81" s="456"/>
      <c r="DA81" s="338"/>
      <c r="DB81" s="456"/>
      <c r="DC81" s="456"/>
      <c r="DD81" s="456"/>
      <c r="DE81" s="457"/>
      <c r="DF81" s="456"/>
      <c r="DG81" s="456"/>
      <c r="DH81" s="338"/>
      <c r="DI81" s="456"/>
      <c r="DJ81" s="456"/>
      <c r="DK81" s="456"/>
      <c r="DL81" s="457"/>
      <c r="DM81" s="456"/>
      <c r="DN81" s="456"/>
      <c r="DO81" s="338"/>
      <c r="DP81" s="456"/>
      <c r="DQ81" s="456"/>
      <c r="DR81" s="456"/>
      <c r="DS81" s="457"/>
      <c r="DT81" s="456"/>
      <c r="DU81" s="456"/>
      <c r="DV81" s="338"/>
      <c r="DW81" s="456"/>
      <c r="DX81" s="456"/>
      <c r="DY81" s="456"/>
      <c r="DZ81" s="457"/>
      <c r="EA81" s="456"/>
      <c r="EB81" s="456"/>
      <c r="EC81" s="338"/>
      <c r="ED81" s="456"/>
      <c r="EE81" s="456"/>
      <c r="EF81" s="456"/>
      <c r="EG81" s="457"/>
      <c r="EH81" s="456"/>
      <c r="EI81" s="456"/>
      <c r="EJ81" s="338"/>
      <c r="EK81" s="456"/>
      <c r="EL81" s="456"/>
      <c r="EM81" s="456"/>
      <c r="EN81" s="457"/>
      <c r="EO81" s="456"/>
      <c r="EP81" s="456"/>
      <c r="EQ81" s="338"/>
    </row>
    <row r="82" spans="1:147" ht="10.199999999999999" customHeight="1">
      <c r="A82" s="153" t="s">
        <v>852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1749"/>
      <c r="O82" s="1747"/>
      <c r="P82" s="426"/>
      <c r="Q82" s="426"/>
      <c r="R82" s="427"/>
      <c r="S82" s="426"/>
      <c r="T82" s="426"/>
      <c r="U82" s="579"/>
      <c r="V82" s="1211"/>
      <c r="W82" s="426"/>
      <c r="X82" s="426"/>
      <c r="Y82" s="427"/>
      <c r="Z82" s="426"/>
      <c r="AA82" s="426"/>
      <c r="AB82" s="579"/>
      <c r="AC82" s="1211"/>
      <c r="AD82" s="426"/>
      <c r="AE82" s="426"/>
      <c r="AF82" s="427"/>
      <c r="AG82" s="426"/>
      <c r="AH82" s="426"/>
      <c r="AI82" s="579"/>
      <c r="AJ82" s="1211"/>
      <c r="AK82" s="426"/>
      <c r="AL82" s="426"/>
      <c r="AM82" s="427"/>
      <c r="AN82" s="426"/>
      <c r="AO82" s="426"/>
      <c r="AP82" s="579"/>
      <c r="AQ82" s="1211"/>
      <c r="AR82" s="426"/>
      <c r="AS82" s="426"/>
      <c r="AT82" s="427"/>
      <c r="AU82" s="426"/>
      <c r="AV82" s="426"/>
      <c r="AW82" s="579"/>
      <c r="AX82" s="1211"/>
      <c r="AY82" s="426"/>
      <c r="AZ82" s="426"/>
      <c r="BA82" s="427"/>
      <c r="BB82" s="426"/>
      <c r="BC82" s="426"/>
      <c r="BD82" s="579"/>
      <c r="BE82" s="1211"/>
      <c r="BF82" s="426"/>
      <c r="BG82" s="426"/>
      <c r="BH82" s="427"/>
      <c r="BI82" s="426"/>
      <c r="BJ82" s="426"/>
      <c r="BK82" s="579"/>
      <c r="BL82" s="1211"/>
      <c r="BM82" s="426"/>
      <c r="BN82" s="426"/>
      <c r="BO82" s="427"/>
      <c r="BP82" s="426"/>
      <c r="BQ82" s="426"/>
      <c r="BR82" s="579"/>
      <c r="BS82" s="1211"/>
      <c r="BT82" s="426"/>
      <c r="BU82" s="426"/>
      <c r="BV82" s="427"/>
      <c r="BW82" s="426"/>
      <c r="BX82" s="426"/>
      <c r="BY82" s="579"/>
      <c r="BZ82" s="1211"/>
      <c r="CA82" s="426"/>
      <c r="CB82" s="426"/>
      <c r="CC82" s="427"/>
      <c r="CD82" s="426"/>
      <c r="CE82" s="426"/>
      <c r="CF82" s="579"/>
      <c r="CG82" s="1211"/>
      <c r="CH82" s="426"/>
      <c r="CI82" s="426"/>
      <c r="CJ82" s="427"/>
      <c r="CK82" s="426"/>
      <c r="CL82" s="426"/>
      <c r="CM82" s="579"/>
      <c r="CN82" s="1211"/>
      <c r="CO82" s="426"/>
      <c r="CP82" s="426"/>
      <c r="CQ82" s="427"/>
      <c r="CR82" s="426"/>
      <c r="CS82" s="426"/>
      <c r="CT82" s="579"/>
      <c r="CU82" s="426"/>
      <c r="CV82" s="426"/>
      <c r="CW82" s="426"/>
      <c r="CX82" s="427"/>
      <c r="CY82" s="426"/>
      <c r="CZ82" s="426"/>
      <c r="DA82" s="579"/>
      <c r="DB82" s="426"/>
      <c r="DC82" s="426"/>
      <c r="DD82" s="426"/>
      <c r="DE82" s="427"/>
      <c r="DF82" s="426"/>
      <c r="DG82" s="426"/>
      <c r="DH82" s="579"/>
      <c r="DI82" s="426"/>
      <c r="DJ82" s="426"/>
      <c r="DK82" s="426"/>
      <c r="DL82" s="427"/>
      <c r="DM82" s="426"/>
      <c r="DN82" s="426"/>
      <c r="DO82" s="579"/>
      <c r="DP82" s="426"/>
      <c r="DQ82" s="426"/>
      <c r="DR82" s="426"/>
      <c r="DS82" s="427"/>
      <c r="DT82" s="426"/>
      <c r="DU82" s="426"/>
      <c r="DV82" s="579"/>
      <c r="DW82" s="426"/>
      <c r="DX82" s="426"/>
      <c r="DY82" s="426"/>
      <c r="DZ82" s="427"/>
      <c r="EA82" s="426"/>
      <c r="EB82" s="426"/>
      <c r="EC82" s="579"/>
      <c r="ED82" s="426"/>
      <c r="EE82" s="426"/>
      <c r="EF82" s="426"/>
      <c r="EG82" s="427"/>
      <c r="EH82" s="426"/>
      <c r="EI82" s="426"/>
      <c r="EJ82" s="579"/>
      <c r="EK82" s="426"/>
      <c r="EL82" s="426"/>
      <c r="EM82" s="426"/>
      <c r="EN82" s="427"/>
      <c r="EO82" s="426"/>
      <c r="EP82" s="426"/>
      <c r="EQ82" s="579"/>
    </row>
    <row r="83" spans="1:147" ht="10.199999999999999" customHeight="1">
      <c r="A83" s="48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456"/>
      <c r="P83" s="456"/>
      <c r="Q83" s="456"/>
      <c r="R83" s="457"/>
      <c r="S83" s="456"/>
      <c r="T83" s="456"/>
      <c r="U83" s="338"/>
      <c r="V83" s="456"/>
      <c r="W83" s="456"/>
      <c r="X83" s="456"/>
      <c r="Y83" s="457"/>
      <c r="Z83" s="456"/>
      <c r="AA83" s="456"/>
      <c r="AB83" s="338"/>
      <c r="AC83" s="456"/>
      <c r="AD83" s="456"/>
      <c r="AE83" s="456"/>
      <c r="AF83" s="457"/>
      <c r="AG83" s="456"/>
      <c r="AH83" s="456"/>
      <c r="AI83" s="338"/>
      <c r="AJ83" s="456"/>
      <c r="AK83" s="456"/>
      <c r="AL83" s="456"/>
      <c r="AM83" s="457"/>
      <c r="AN83" s="456"/>
      <c r="AO83" s="456"/>
      <c r="AP83" s="338"/>
      <c r="AQ83" s="456"/>
      <c r="AR83" s="456"/>
      <c r="AS83" s="456"/>
      <c r="AT83" s="457"/>
      <c r="AU83" s="456"/>
      <c r="AV83" s="456"/>
      <c r="AW83" s="338"/>
      <c r="AX83" s="456"/>
      <c r="AY83" s="456"/>
      <c r="AZ83" s="456"/>
      <c r="BA83" s="457"/>
      <c r="BB83" s="456"/>
      <c r="BC83" s="456"/>
      <c r="BD83" s="338"/>
      <c r="BE83" s="456"/>
      <c r="BF83" s="456"/>
      <c r="BG83" s="456"/>
      <c r="BH83" s="457"/>
      <c r="BI83" s="456"/>
      <c r="BJ83" s="456"/>
      <c r="BK83" s="338"/>
      <c r="BL83" s="456"/>
      <c r="BM83" s="456"/>
      <c r="BN83" s="456"/>
      <c r="BO83" s="457"/>
      <c r="BP83" s="456"/>
      <c r="BQ83" s="456"/>
      <c r="BR83" s="338"/>
      <c r="BS83" s="456"/>
      <c r="BT83" s="456"/>
      <c r="BU83" s="456"/>
      <c r="BV83" s="457"/>
      <c r="BW83" s="456"/>
      <c r="BX83" s="456"/>
      <c r="BY83" s="338"/>
      <c r="BZ83" s="456"/>
      <c r="CA83" s="456"/>
      <c r="CB83" s="456"/>
      <c r="CC83" s="457"/>
      <c r="CD83" s="456"/>
      <c r="CE83" s="456"/>
      <c r="CF83" s="338"/>
      <c r="CG83" s="456"/>
      <c r="CH83" s="456"/>
      <c r="CI83" s="456"/>
      <c r="CJ83" s="457"/>
      <c r="CK83" s="456"/>
      <c r="CL83" s="456"/>
      <c r="CM83" s="338"/>
      <c r="CN83" s="456"/>
      <c r="CO83" s="456"/>
      <c r="CP83" s="456"/>
      <c r="CQ83" s="457"/>
      <c r="CR83" s="456"/>
      <c r="CS83" s="456"/>
      <c r="CT83" s="338"/>
      <c r="CU83" s="456"/>
      <c r="CV83" s="456"/>
      <c r="CW83" s="456"/>
      <c r="CX83" s="457"/>
      <c r="CY83" s="456"/>
      <c r="CZ83" s="456"/>
      <c r="DA83" s="338"/>
      <c r="DB83" s="456"/>
      <c r="DC83" s="456"/>
      <c r="DD83" s="456"/>
      <c r="DE83" s="457"/>
      <c r="DF83" s="456"/>
      <c r="DG83" s="456"/>
      <c r="DH83" s="338"/>
      <c r="DI83" s="456"/>
      <c r="DJ83" s="456"/>
      <c r="DK83" s="456"/>
      <c r="DL83" s="457"/>
      <c r="DM83" s="456"/>
      <c r="DN83" s="456"/>
      <c r="DO83" s="338"/>
      <c r="DP83" s="456"/>
      <c r="DQ83" s="456"/>
      <c r="DR83" s="456"/>
      <c r="DS83" s="457"/>
      <c r="DT83" s="456"/>
      <c r="DU83" s="456"/>
      <c r="DV83" s="338"/>
      <c r="DW83" s="456"/>
      <c r="DX83" s="456"/>
      <c r="DY83" s="456"/>
      <c r="DZ83" s="457"/>
      <c r="EA83" s="456"/>
      <c r="EB83" s="456"/>
      <c r="EC83" s="338"/>
      <c r="ED83" s="456"/>
      <c r="EE83" s="456"/>
      <c r="EF83" s="456"/>
      <c r="EG83" s="457"/>
      <c r="EH83" s="456"/>
      <c r="EI83" s="456"/>
      <c r="EJ83" s="338"/>
      <c r="EK83" s="456"/>
      <c r="EL83" s="456"/>
      <c r="EM83" s="456"/>
      <c r="EN83" s="457"/>
      <c r="EO83" s="456"/>
      <c r="EP83" s="456"/>
      <c r="EQ83" s="338"/>
    </row>
    <row r="84" spans="1:147" ht="10.199999999999999" customHeight="1">
      <c r="A84" s="48" t="s">
        <v>742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456"/>
      <c r="P84" s="456"/>
      <c r="Q84" s="456"/>
      <c r="R84" s="457"/>
      <c r="S84" s="456"/>
      <c r="T84" s="456"/>
      <c r="U84" s="338"/>
      <c r="V84" s="456"/>
      <c r="W84" s="456"/>
      <c r="X84" s="456"/>
      <c r="Y84" s="457"/>
      <c r="Z84" s="456"/>
      <c r="AA84" s="456"/>
      <c r="AB84" s="338"/>
      <c r="AC84" s="456"/>
      <c r="AD84" s="456"/>
      <c r="AE84" s="456"/>
      <c r="AF84" s="457"/>
      <c r="AG84" s="456"/>
      <c r="AH84" s="456"/>
      <c r="AI84" s="338"/>
      <c r="AJ84" s="456"/>
      <c r="AK84" s="456"/>
      <c r="AL84" s="456"/>
      <c r="AM84" s="457"/>
      <c r="AN84" s="456"/>
      <c r="AO84" s="456"/>
      <c r="AP84" s="338"/>
      <c r="AQ84" s="456"/>
      <c r="AR84" s="456"/>
      <c r="AS84" s="456"/>
      <c r="AT84" s="457"/>
      <c r="AU84" s="456"/>
      <c r="AV84" s="456"/>
      <c r="AW84" s="338"/>
      <c r="AX84" s="456"/>
      <c r="AY84" s="456"/>
      <c r="AZ84" s="456"/>
      <c r="BA84" s="457"/>
      <c r="BB84" s="456"/>
      <c r="BC84" s="456"/>
      <c r="BD84" s="338"/>
      <c r="BE84" s="456"/>
      <c r="BF84" s="456"/>
      <c r="BG84" s="456"/>
      <c r="BH84" s="457"/>
      <c r="BI84" s="456"/>
      <c r="BJ84" s="456"/>
      <c r="BK84" s="338"/>
      <c r="BL84" s="456"/>
      <c r="BM84" s="456"/>
      <c r="BN84" s="456"/>
      <c r="BO84" s="457"/>
      <c r="BP84" s="456"/>
      <c r="BQ84" s="456"/>
      <c r="BR84" s="338"/>
      <c r="BS84" s="456"/>
      <c r="BT84" s="456"/>
      <c r="BU84" s="456"/>
      <c r="BV84" s="457"/>
      <c r="BW84" s="456"/>
      <c r="BX84" s="456"/>
      <c r="BY84" s="338"/>
      <c r="BZ84" s="456"/>
      <c r="CA84" s="456"/>
      <c r="CB84" s="456"/>
      <c r="CC84" s="457"/>
      <c r="CD84" s="456"/>
      <c r="CE84" s="456"/>
      <c r="CF84" s="338"/>
      <c r="CG84" s="456"/>
      <c r="CH84" s="456"/>
      <c r="CI84" s="456"/>
      <c r="CJ84" s="457"/>
      <c r="CK84" s="456"/>
      <c r="CL84" s="456"/>
      <c r="CM84" s="338"/>
      <c r="CN84" s="456"/>
      <c r="CO84" s="456"/>
      <c r="CP84" s="456"/>
      <c r="CQ84" s="457"/>
      <c r="CR84" s="456"/>
      <c r="CS84" s="456"/>
      <c r="CT84" s="338"/>
      <c r="CU84" s="456"/>
      <c r="CV84" s="456"/>
      <c r="CW84" s="456"/>
      <c r="CX84" s="457"/>
      <c r="CY84" s="456"/>
      <c r="CZ84" s="456"/>
      <c r="DA84" s="338"/>
      <c r="DB84" s="456"/>
      <c r="DC84" s="456"/>
      <c r="DD84" s="456"/>
      <c r="DE84" s="457"/>
      <c r="DF84" s="456"/>
      <c r="DG84" s="456"/>
      <c r="DH84" s="338"/>
      <c r="DI84" s="456"/>
      <c r="DJ84" s="456"/>
      <c r="DK84" s="456"/>
      <c r="DL84" s="457"/>
      <c r="DM84" s="456"/>
      <c r="DN84" s="456"/>
      <c r="DO84" s="338"/>
      <c r="DP84" s="456"/>
      <c r="DQ84" s="456"/>
      <c r="DR84" s="456"/>
      <c r="DS84" s="457"/>
      <c r="DT84" s="456"/>
      <c r="DU84" s="456"/>
      <c r="DV84" s="338"/>
      <c r="DW84" s="456"/>
      <c r="DX84" s="456"/>
      <c r="DY84" s="456"/>
      <c r="DZ84" s="457"/>
      <c r="EA84" s="456"/>
      <c r="EB84" s="456"/>
      <c r="EC84" s="338"/>
      <c r="ED84" s="456"/>
      <c r="EE84" s="456"/>
      <c r="EF84" s="456"/>
      <c r="EG84" s="457"/>
      <c r="EH84" s="456"/>
      <c r="EI84" s="456"/>
      <c r="EJ84" s="338"/>
      <c r="EK84" s="456"/>
      <c r="EL84" s="456"/>
      <c r="EM84" s="456"/>
      <c r="EN84" s="457"/>
      <c r="EO84" s="456"/>
      <c r="EP84" s="456"/>
      <c r="EQ84" s="338"/>
    </row>
    <row r="85" spans="1:147" ht="10.199999999999999" customHeight="1">
      <c r="A85" s="108" t="s">
        <v>644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217"/>
      <c r="P85" s="217"/>
      <c r="Q85" s="217"/>
      <c r="R85" s="696"/>
      <c r="S85" s="217"/>
      <c r="T85" s="217"/>
      <c r="U85" s="1303"/>
      <c r="V85" s="217"/>
      <c r="W85" s="217"/>
      <c r="X85" s="217"/>
      <c r="Y85" s="696"/>
      <c r="Z85" s="217"/>
      <c r="AA85" s="217"/>
      <c r="AB85" s="1303"/>
      <c r="AC85" s="217"/>
      <c r="AD85" s="217"/>
      <c r="AE85" s="217"/>
      <c r="AF85" s="696"/>
      <c r="AG85" s="217"/>
      <c r="AH85" s="217"/>
      <c r="AI85" s="1303"/>
      <c r="AJ85" s="217"/>
      <c r="AK85" s="217"/>
      <c r="AL85" s="217"/>
      <c r="AM85" s="696"/>
      <c r="AN85" s="217"/>
      <c r="AO85" s="217"/>
      <c r="AP85" s="1303"/>
      <c r="AQ85" s="217">
        <f>(AQ104/11.5)*4</f>
        <v>0</v>
      </c>
      <c r="AR85" s="217">
        <f>(AR104/11.5)*4</f>
        <v>0</v>
      </c>
      <c r="AS85" s="217">
        <f>(AS104/11.5)*4</f>
        <v>0</v>
      </c>
      <c r="AT85" s="696">
        <f>(AT104/11.5)*4</f>
        <v>0</v>
      </c>
      <c r="AU85" s="217">
        <f>AVERAGE(AQ85:AR85)</f>
        <v>0</v>
      </c>
      <c r="AV85" s="217">
        <f>AVERAGE(AS85:AT85)</f>
        <v>0</v>
      </c>
      <c r="AW85" s="1303">
        <f>AW104/11.5</f>
        <v>0</v>
      </c>
      <c r="AX85" s="217">
        <f>(AX104/11.5)*4</f>
        <v>0</v>
      </c>
      <c r="AY85" s="217">
        <f>(AY104/11.5)*4</f>
        <v>0</v>
      </c>
      <c r="AZ85" s="217">
        <f>(AZ104/11.5)*4</f>
        <v>0</v>
      </c>
      <c r="BA85" s="696">
        <f>(BA104/11.5)*4</f>
        <v>0</v>
      </c>
      <c r="BB85" s="217">
        <f>AVERAGE(AX85:AY85)</f>
        <v>0</v>
      </c>
      <c r="BC85" s="217">
        <f>AVERAGE(AZ85:BA85)</f>
        <v>0</v>
      </c>
      <c r="BD85" s="1303">
        <f>BD104/11.5</f>
        <v>0</v>
      </c>
      <c r="BE85" s="217">
        <f>(BE104/11.5)*4</f>
        <v>0</v>
      </c>
      <c r="BF85" s="217">
        <f>(BF104/11.5)*4</f>
        <v>0</v>
      </c>
      <c r="BG85" s="217">
        <f>(BG104/11.5)*4</f>
        <v>2.7826086956521738</v>
      </c>
      <c r="BH85" s="696">
        <f>(BH104/11.5)*4</f>
        <v>4.1739130434782608</v>
      </c>
      <c r="BI85" s="217">
        <f>AVERAGE(BE85:BF85)</f>
        <v>0</v>
      </c>
      <c r="BJ85" s="217">
        <f>AVERAGE(BG85:BH85)</f>
        <v>3.4782608695652173</v>
      </c>
      <c r="BK85" s="1303">
        <f>BK104/11.5</f>
        <v>1.7391304347826086</v>
      </c>
      <c r="BL85" s="217">
        <f>(BL104/11.5)*4</f>
        <v>2.4347826086956523</v>
      </c>
      <c r="BM85" s="217">
        <f>(BM104/11.5)*4</f>
        <v>4.8695652173913047</v>
      </c>
      <c r="BN85" s="217">
        <f>(BN104/11.5)*4</f>
        <v>4.1739130434782608</v>
      </c>
      <c r="BO85" s="696">
        <f>(BO104/11.5)*4</f>
        <v>5.2173913043478262</v>
      </c>
      <c r="BP85" s="217">
        <f>AVERAGE(BL85:BM85)</f>
        <v>3.6521739130434785</v>
      </c>
      <c r="BQ85" s="217">
        <f>AVERAGE(BN85:BO85)</f>
        <v>4.695652173913043</v>
      </c>
      <c r="BR85" s="1303">
        <f>BR104/11.5</f>
        <v>4.1739130434782608</v>
      </c>
      <c r="BS85" s="217">
        <f>(BS104/11.5)*4</f>
        <v>2.7826086956521738</v>
      </c>
      <c r="BT85" s="217">
        <f>(BT104/11.5)*4</f>
        <v>1.0434782608695652</v>
      </c>
      <c r="BU85" s="217">
        <f>(BU104/11.5)*4</f>
        <v>2.4347826086956523</v>
      </c>
      <c r="BV85" s="696">
        <f>(BV104/11.5)*4</f>
        <v>6.9565217391304346</v>
      </c>
      <c r="BW85" s="217">
        <f>AVERAGE(BS85:BT85)</f>
        <v>1.9130434782608696</v>
      </c>
      <c r="BX85" s="217">
        <f>AVERAGE(BU85:BV85)</f>
        <v>4.695652173913043</v>
      </c>
      <c r="BY85" s="1303">
        <f>BY104/11.5</f>
        <v>3.3043478260869565</v>
      </c>
      <c r="BZ85" s="217">
        <f>(BZ104/11.5)*4</f>
        <v>3.1304347826086958</v>
      </c>
      <c r="CA85" s="217">
        <f>(CA104/11.5)*4</f>
        <v>4.1739130434782608</v>
      </c>
      <c r="CB85" s="217">
        <f>(CB104/11.5)*4</f>
        <v>4.5217391304347823</v>
      </c>
      <c r="CC85" s="696">
        <f>(CC104/11.5)*4</f>
        <v>5.5652173913043477</v>
      </c>
      <c r="CD85" s="217">
        <f>AVERAGE(BZ85:CA85)</f>
        <v>3.6521739130434785</v>
      </c>
      <c r="CE85" s="217">
        <f>AVERAGE(CB85:CC85)</f>
        <v>5.0434782608695645</v>
      </c>
      <c r="CF85" s="1303">
        <f>CF104/11.5</f>
        <v>4.3478260869565215</v>
      </c>
      <c r="CG85" s="217">
        <f>(CG104/11.5)*4</f>
        <v>3.8260869565217392</v>
      </c>
      <c r="CH85" s="217">
        <f>(CH104/11.5)*4</f>
        <v>4.8695652173913047</v>
      </c>
      <c r="CI85" s="217">
        <f>(CI104/11.5)*4</f>
        <v>3.1304347826086958</v>
      </c>
      <c r="CJ85" s="696">
        <f>(CJ104/11.5)*4</f>
        <v>6.6086956521739131</v>
      </c>
      <c r="CK85" s="217">
        <f>AVERAGE(CG85:CH85)</f>
        <v>4.3478260869565215</v>
      </c>
      <c r="CL85" s="217">
        <f>AVERAGE(CI85:CJ85)</f>
        <v>4.8695652173913047</v>
      </c>
      <c r="CM85" s="1303">
        <f>CM104/11.5</f>
        <v>4.6086956521739131</v>
      </c>
      <c r="CN85" s="217">
        <f>(CN104/11.5)*4</f>
        <v>3.4782608695652173</v>
      </c>
      <c r="CO85" s="217">
        <f>(CO104/11.5)*4</f>
        <v>5.2173913043478262</v>
      </c>
      <c r="CP85" s="217">
        <f>(CP104/11.5)*4</f>
        <v>5.5652173913043477</v>
      </c>
      <c r="CQ85" s="696">
        <f>(CQ104/11.5)*4</f>
        <v>9.3913043478260878</v>
      </c>
      <c r="CR85" s="217">
        <f>AVERAGE(CN85:CO85)</f>
        <v>4.3478260869565215</v>
      </c>
      <c r="CS85" s="217">
        <f>AVERAGE(CP85:CQ85)</f>
        <v>7.4782608695652177</v>
      </c>
      <c r="CT85" s="1303">
        <f>AVERAGE(CR85:CS85)</f>
        <v>5.9130434782608692</v>
      </c>
      <c r="CU85" s="217">
        <f>(CU104/11.5)*4</f>
        <v>4.1739130434782608</v>
      </c>
      <c r="CV85" s="217">
        <f>(CV104/11.5)*4</f>
        <v>5.5652173913043477</v>
      </c>
      <c r="CW85" s="217">
        <f>(CW104/11.5)*4</f>
        <v>5.9130434782608692</v>
      </c>
      <c r="CX85" s="696">
        <f>(CX104/11.5)*4</f>
        <v>10.434782608695652</v>
      </c>
      <c r="CY85" s="217">
        <f>AVERAGE(CU85:CV85)</f>
        <v>4.8695652173913047</v>
      </c>
      <c r="CZ85" s="217">
        <f>AVERAGE(CW85:CX85)</f>
        <v>8.1739130434782616</v>
      </c>
      <c r="DA85" s="1303">
        <f>AVERAGE(CY85:CZ85)</f>
        <v>6.5217391304347831</v>
      </c>
      <c r="DB85" s="217">
        <f>(DB104/11.5)*4</f>
        <v>5.9130434782608692</v>
      </c>
      <c r="DC85" s="217">
        <f>(DC104/11.5)*4</f>
        <v>8.3478260869565215</v>
      </c>
      <c r="DD85" s="217">
        <f>(DD104/11.5)*4</f>
        <v>7.3043478260869561</v>
      </c>
      <c r="DE85" s="696">
        <f>(DE104/11.5)*4</f>
        <v>10.782608695652174</v>
      </c>
      <c r="DF85" s="217">
        <f>AVERAGE(DB85:DC85)</f>
        <v>7.1304347826086953</v>
      </c>
      <c r="DG85" s="217">
        <f>AVERAGE(DD85:DE85)</f>
        <v>9.0434782608695645</v>
      </c>
      <c r="DH85" s="1303">
        <f>AVERAGE(DF85:DG85)</f>
        <v>8.086956521739129</v>
      </c>
      <c r="DI85" s="217">
        <f>(DI104/11.5)*4</f>
        <v>6.6086956521739131</v>
      </c>
      <c r="DJ85" s="217">
        <f>(DJ104/11.5)*4</f>
        <v>8.695652173913043</v>
      </c>
      <c r="DK85" s="1212">
        <v>10</v>
      </c>
      <c r="DL85" s="1213">
        <v>11</v>
      </c>
      <c r="DM85" s="217">
        <f>AVERAGE(DI85:DJ85)</f>
        <v>7.6521739130434785</v>
      </c>
      <c r="DN85" s="458">
        <f>AVERAGE(DK85:DL85)</f>
        <v>10.5</v>
      </c>
      <c r="DO85" s="584">
        <f>AVERAGE(DM85:DN85)</f>
        <v>9.0760869565217384</v>
      </c>
      <c r="DP85" s="1212">
        <v>10</v>
      </c>
      <c r="DQ85" s="1212">
        <v>10</v>
      </c>
      <c r="DR85" s="1212">
        <v>10</v>
      </c>
      <c r="DS85" s="1213">
        <v>10</v>
      </c>
      <c r="DT85" s="458">
        <f>AVERAGE(DP85:DQ85)</f>
        <v>10</v>
      </c>
      <c r="DU85" s="458">
        <f>AVERAGE(DR85:DS85)</f>
        <v>10</v>
      </c>
      <c r="DV85" s="584">
        <f>AVERAGE(DT85:DU85)</f>
        <v>10</v>
      </c>
      <c r="DW85" s="1212">
        <v>10</v>
      </c>
      <c r="DX85" s="1212">
        <v>10</v>
      </c>
      <c r="DY85" s="1212">
        <v>10</v>
      </c>
      <c r="DZ85" s="1213">
        <v>10</v>
      </c>
      <c r="EA85" s="458">
        <f>AVERAGE(DW85:DX85)</f>
        <v>10</v>
      </c>
      <c r="EB85" s="458">
        <f>AVERAGE(DY85:DZ85)</f>
        <v>10</v>
      </c>
      <c r="EC85" s="584">
        <f>AVERAGE(EA85:EB85)</f>
        <v>10</v>
      </c>
      <c r="ED85" s="1212">
        <v>10</v>
      </c>
      <c r="EE85" s="1212">
        <v>10</v>
      </c>
      <c r="EF85" s="1212">
        <v>10</v>
      </c>
      <c r="EG85" s="1213">
        <v>10</v>
      </c>
      <c r="EH85" s="458">
        <f>AVERAGE(ED85:EE85)</f>
        <v>10</v>
      </c>
      <c r="EI85" s="458">
        <f>AVERAGE(EF85:EG85)</f>
        <v>10</v>
      </c>
      <c r="EJ85" s="584">
        <f>AVERAGE(EH85:EI85)</f>
        <v>10</v>
      </c>
      <c r="EK85" s="1212">
        <v>10</v>
      </c>
      <c r="EL85" s="1212">
        <v>10</v>
      </c>
      <c r="EM85" s="1212">
        <v>10</v>
      </c>
      <c r="EN85" s="1213">
        <v>10</v>
      </c>
      <c r="EO85" s="458">
        <f>AVERAGE(EK85:EL85)</f>
        <v>10</v>
      </c>
      <c r="EP85" s="458">
        <f>AVERAGE(EM85:EN85)</f>
        <v>10</v>
      </c>
      <c r="EQ85" s="584">
        <f>AVERAGE(EO85:EP85)</f>
        <v>10</v>
      </c>
    </row>
    <row r="86" spans="1:147" ht="10.199999999999999" customHeight="1">
      <c r="A86" s="108" t="s">
        <v>378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217"/>
      <c r="P86" s="217"/>
      <c r="Q86" s="217"/>
      <c r="R86" s="696"/>
      <c r="S86" s="217"/>
      <c r="T86" s="217"/>
      <c r="U86" s="1303"/>
      <c r="V86" s="217"/>
      <c r="W86" s="217"/>
      <c r="X86" s="217"/>
      <c r="Y86" s="696"/>
      <c r="Z86" s="217"/>
      <c r="AA86" s="217"/>
      <c r="AB86" s="1303"/>
      <c r="AC86" s="217"/>
      <c r="AD86" s="217"/>
      <c r="AE86" s="217"/>
      <c r="AF86" s="696"/>
      <c r="AG86" s="217"/>
      <c r="AH86" s="217"/>
      <c r="AI86" s="1303"/>
      <c r="AJ86" s="217"/>
      <c r="AK86" s="217"/>
      <c r="AL86" s="217"/>
      <c r="AM86" s="696"/>
      <c r="AN86" s="217"/>
      <c r="AO86" s="217"/>
      <c r="AP86" s="1303"/>
      <c r="AQ86" s="217">
        <f>(AQ117/11.5)*4</f>
        <v>9.0434782608695645</v>
      </c>
      <c r="AR86" s="217">
        <f>(AR117/11.5)*4</f>
        <v>11.478260869565217</v>
      </c>
      <c r="AS86" s="217">
        <f>(AS117/11.5)*4</f>
        <v>10.782608695652174</v>
      </c>
      <c r="AT86" s="696">
        <f>(AT117/11.5)*4</f>
        <v>31.652173913043477</v>
      </c>
      <c r="AU86" s="217">
        <f>AVERAGE(AQ86:AR86)</f>
        <v>10.260869565217391</v>
      </c>
      <c r="AV86" s="217">
        <f>AVERAGE(AS86:AT86)</f>
        <v>21.217391304347824</v>
      </c>
      <c r="AW86" s="1303">
        <f>AW117/11.5</f>
        <v>15.739130434782609</v>
      </c>
      <c r="AX86" s="217">
        <f>(AX117/11.5)*4</f>
        <v>9.0434782608695645</v>
      </c>
      <c r="AY86" s="217">
        <f>(AY117/11.5)*4</f>
        <v>11.478260869565217</v>
      </c>
      <c r="AZ86" s="217">
        <f>(AZ117/11.5)*4</f>
        <v>10.782608695652174</v>
      </c>
      <c r="BA86" s="696">
        <f>(BA117/11.5)*4</f>
        <v>31.652173913043477</v>
      </c>
      <c r="BB86" s="217">
        <f>AVERAGE(AX86:AY86)</f>
        <v>10.260869565217391</v>
      </c>
      <c r="BC86" s="217">
        <f>AVERAGE(AZ86:BA86)</f>
        <v>21.217391304347824</v>
      </c>
      <c r="BD86" s="1303">
        <f>BD117/11.5</f>
        <v>15.739130434782609</v>
      </c>
      <c r="BE86" s="217">
        <f>(BE117/11.5)*4</f>
        <v>10.434782608695652</v>
      </c>
      <c r="BF86" s="217">
        <f>(BF117/11.5)*4</f>
        <v>27.826086956521738</v>
      </c>
      <c r="BG86" s="217">
        <f>(BG117/11.5)*4</f>
        <v>38.956521739130437</v>
      </c>
      <c r="BH86" s="696">
        <f>(BH117/11.5)*4</f>
        <v>57.043478260869563</v>
      </c>
      <c r="BI86" s="217">
        <f>AVERAGE(BE86:BF86)</f>
        <v>19.130434782608695</v>
      </c>
      <c r="BJ86" s="217">
        <f>AVERAGE(BG86:BH86)</f>
        <v>48</v>
      </c>
      <c r="BK86" s="1303">
        <f>BK117/11.5</f>
        <v>33.565217391304351</v>
      </c>
      <c r="BL86" s="217">
        <f>(BL117/11.5)*4</f>
        <v>35.478260869565219</v>
      </c>
      <c r="BM86" s="217">
        <f>(BM117/11.5)*4</f>
        <v>45.913043478260867</v>
      </c>
      <c r="BN86" s="217">
        <f>(BN117/11.5)*4</f>
        <v>36.173913043478258</v>
      </c>
      <c r="BO86" s="696">
        <f>(BO117/11.5)*4</f>
        <v>74.086956521739125</v>
      </c>
      <c r="BP86" s="217">
        <f>AVERAGE(BL86:BM86)</f>
        <v>40.695652173913047</v>
      </c>
      <c r="BQ86" s="217">
        <f>AVERAGE(BN86:BO86)</f>
        <v>55.130434782608688</v>
      </c>
      <c r="BR86" s="1303">
        <f>BR117/11.5</f>
        <v>47.913043478260867</v>
      </c>
      <c r="BS86" s="217">
        <f>(BS117/11.5)*4</f>
        <v>31.652173913043477</v>
      </c>
      <c r="BT86" s="217">
        <f>(BT117/11.5)*4</f>
        <v>20.869565217391305</v>
      </c>
      <c r="BU86" s="217">
        <f>(BU117/11.5)*4</f>
        <v>42.086956521739133</v>
      </c>
      <c r="BV86" s="696">
        <f>(BV117/11.5)*4</f>
        <v>55.304347826086953</v>
      </c>
      <c r="BW86" s="217">
        <f>AVERAGE(BS86:BT86)</f>
        <v>26.260869565217391</v>
      </c>
      <c r="BX86" s="217">
        <f>AVERAGE(BU86:BV86)</f>
        <v>48.695652173913047</v>
      </c>
      <c r="BY86" s="1303">
        <f>BY117/11.5</f>
        <v>37.478260869565219</v>
      </c>
      <c r="BZ86" s="217">
        <f>(BZ117/11.5)*4</f>
        <v>33.391304347826086</v>
      </c>
      <c r="CA86" s="217">
        <f>(CA117/11.5)*4</f>
        <v>43.478260869565219</v>
      </c>
      <c r="CB86" s="217">
        <f>(CB117/11.5)*4</f>
        <v>34.782608695652172</v>
      </c>
      <c r="CC86" s="696">
        <f>(CC117/11.5)*4</f>
        <v>48</v>
      </c>
      <c r="CD86" s="217">
        <f>AVERAGE(BZ86:CA86)</f>
        <v>38.434782608695656</v>
      </c>
      <c r="CE86" s="217">
        <f>AVERAGE(CB86:CC86)</f>
        <v>41.391304347826086</v>
      </c>
      <c r="CF86" s="1303">
        <f>CF117/11.5</f>
        <v>39.913043478260867</v>
      </c>
      <c r="CG86" s="217">
        <f>(CG117/11.5)*4</f>
        <v>37.913043478260867</v>
      </c>
      <c r="CH86" s="217">
        <f>(CH117/11.5)*4</f>
        <v>42.086956521739133</v>
      </c>
      <c r="CI86" s="217">
        <f>(CI117/11.5)*4</f>
        <v>48.695652173913047</v>
      </c>
      <c r="CJ86" s="696">
        <f>(CJ117/11.5)*4</f>
        <v>50.782608695652172</v>
      </c>
      <c r="CK86" s="217">
        <f>AVERAGE(CG86:CH86)</f>
        <v>40</v>
      </c>
      <c r="CL86" s="217">
        <f>AVERAGE(CI86:CJ86)</f>
        <v>49.739130434782609</v>
      </c>
      <c r="CM86" s="1303">
        <f>CM117/11.5</f>
        <v>44.869565217391305</v>
      </c>
      <c r="CN86" s="217">
        <f>(CN117/11.5)*4</f>
        <v>36.869565217391305</v>
      </c>
      <c r="CO86" s="217">
        <f>(CO117/11.5)*4</f>
        <v>52.173913043478258</v>
      </c>
      <c r="CP86" s="217">
        <f>(CP117/11.5)*4</f>
        <v>46.956521739130437</v>
      </c>
      <c r="CQ86" s="696">
        <f>(CQ117/11.5)*4</f>
        <v>62.608695652173914</v>
      </c>
      <c r="CR86" s="217">
        <f>AVERAGE(CN86:CO86)</f>
        <v>44.521739130434781</v>
      </c>
      <c r="CS86" s="217">
        <f>AVERAGE(CP86:CQ86)</f>
        <v>54.782608695652172</v>
      </c>
      <c r="CT86" s="1303">
        <f t="shared" ref="CT86:CT89" si="391">AVERAGE(CR86:CS86)</f>
        <v>49.652173913043477</v>
      </c>
      <c r="CU86" s="217">
        <f>(CU117/11.5)*4</f>
        <v>40.347826086956523</v>
      </c>
      <c r="CV86" s="217">
        <f>(CV117/11.5)*4</f>
        <v>50.434782608695649</v>
      </c>
      <c r="CW86" s="217">
        <f>(CW117/11.5)*4</f>
        <v>46.956521739130437</v>
      </c>
      <c r="CX86" s="696">
        <f>(CX117/11.5)*4</f>
        <v>71.652173913043484</v>
      </c>
      <c r="CY86" s="217">
        <f>AVERAGE(CU86:CV86)</f>
        <v>45.391304347826086</v>
      </c>
      <c r="CZ86" s="217">
        <f>AVERAGE(CW86:CX86)</f>
        <v>59.304347826086961</v>
      </c>
      <c r="DA86" s="1303">
        <f t="shared" ref="DA86:DA89" si="392">AVERAGE(CY86:CZ86)</f>
        <v>52.347826086956523</v>
      </c>
      <c r="DB86" s="217">
        <f>(DB117/11.5)*4</f>
        <v>36.869565217391305</v>
      </c>
      <c r="DC86" s="217">
        <f>(DC117/11.5)*4</f>
        <v>43.826086956521742</v>
      </c>
      <c r="DD86" s="217">
        <f>(DD117/11.5)*4</f>
        <v>55.652173913043477</v>
      </c>
      <c r="DE86" s="696">
        <f>(DE117/11.5)*4</f>
        <v>74.782608695652172</v>
      </c>
      <c r="DF86" s="217">
        <f>AVERAGE(DB86:DC86)</f>
        <v>40.347826086956523</v>
      </c>
      <c r="DG86" s="217">
        <f>AVERAGE(DD86:DE86)</f>
        <v>65.217391304347828</v>
      </c>
      <c r="DH86" s="1303">
        <f t="shared" ref="DH86:DH89" si="393">AVERAGE(DF86:DG86)</f>
        <v>52.782608695652172</v>
      </c>
      <c r="DI86" s="217">
        <f>(DI117/11.5)*4</f>
        <v>28.173913043478262</v>
      </c>
      <c r="DJ86" s="217">
        <f>(DJ117/11.5)*4</f>
        <v>66.086956521739125</v>
      </c>
      <c r="DK86" s="1212">
        <v>60</v>
      </c>
      <c r="DL86" s="1213">
        <v>60</v>
      </c>
      <c r="DM86" s="217">
        <f>AVERAGE(DI86:DJ86)</f>
        <v>47.130434782608695</v>
      </c>
      <c r="DN86" s="458">
        <f>AVERAGE(DK86:DL86)</f>
        <v>60</v>
      </c>
      <c r="DO86" s="584">
        <f>AVERAGE(DM86:DN86)</f>
        <v>53.565217391304344</v>
      </c>
      <c r="DP86" s="1212">
        <v>65</v>
      </c>
      <c r="DQ86" s="1212">
        <v>65</v>
      </c>
      <c r="DR86" s="1212">
        <v>65</v>
      </c>
      <c r="DS86" s="1213">
        <v>65</v>
      </c>
      <c r="DT86" s="458">
        <f>AVERAGE(DP86:DQ86)</f>
        <v>65</v>
      </c>
      <c r="DU86" s="458">
        <f>AVERAGE(DR86:DS86)</f>
        <v>65</v>
      </c>
      <c r="DV86" s="584">
        <f t="shared" ref="DV86:DV89" si="394">AVERAGE(DT86:DU86)</f>
        <v>65</v>
      </c>
      <c r="DW86" s="1212">
        <v>70</v>
      </c>
      <c r="DX86" s="1212">
        <v>70</v>
      </c>
      <c r="DY86" s="1212">
        <v>70</v>
      </c>
      <c r="DZ86" s="1213">
        <v>70</v>
      </c>
      <c r="EA86" s="458">
        <f>AVERAGE(DW86:DX86)</f>
        <v>70</v>
      </c>
      <c r="EB86" s="458">
        <f>AVERAGE(DY86:DZ86)</f>
        <v>70</v>
      </c>
      <c r="EC86" s="584">
        <f t="shared" ref="EC86:EC89" si="395">AVERAGE(EA86:EB86)</f>
        <v>70</v>
      </c>
      <c r="ED86" s="1212">
        <v>70</v>
      </c>
      <c r="EE86" s="1212">
        <v>70</v>
      </c>
      <c r="EF86" s="1212">
        <v>70</v>
      </c>
      <c r="EG86" s="1213">
        <v>70</v>
      </c>
      <c r="EH86" s="458">
        <f>AVERAGE(ED86:EE86)</f>
        <v>70</v>
      </c>
      <c r="EI86" s="458">
        <f>AVERAGE(EF86:EG86)</f>
        <v>70</v>
      </c>
      <c r="EJ86" s="584">
        <f t="shared" ref="EJ86:EJ89" si="396">AVERAGE(EH86:EI86)</f>
        <v>70</v>
      </c>
      <c r="EK86" s="1212">
        <v>70</v>
      </c>
      <c r="EL86" s="1212">
        <v>70</v>
      </c>
      <c r="EM86" s="1212">
        <v>70</v>
      </c>
      <c r="EN86" s="1213">
        <v>70</v>
      </c>
      <c r="EO86" s="458">
        <f>AVERAGE(EK86:EL86)</f>
        <v>70</v>
      </c>
      <c r="EP86" s="458">
        <f>AVERAGE(EM86:EN86)</f>
        <v>70</v>
      </c>
      <c r="EQ86" s="584">
        <f t="shared" ref="EQ86:EQ89" si="397">AVERAGE(EO86:EP86)</f>
        <v>70</v>
      </c>
    </row>
    <row r="87" spans="1:147" ht="10.199999999999999" customHeight="1">
      <c r="A87" s="108" t="s">
        <v>380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217"/>
      <c r="P87" s="217"/>
      <c r="Q87" s="217"/>
      <c r="R87" s="696"/>
      <c r="S87" s="217"/>
      <c r="T87" s="217"/>
      <c r="U87" s="1303"/>
      <c r="V87" s="217"/>
      <c r="W87" s="217"/>
      <c r="X87" s="217"/>
      <c r="Y87" s="696"/>
      <c r="Z87" s="217"/>
      <c r="AA87" s="217"/>
      <c r="AB87" s="1303"/>
      <c r="AC87" s="217"/>
      <c r="AD87" s="217"/>
      <c r="AE87" s="217"/>
      <c r="AF87" s="696"/>
      <c r="AG87" s="217"/>
      <c r="AH87" s="217"/>
      <c r="AI87" s="1303"/>
      <c r="AJ87" s="217"/>
      <c r="AK87" s="217"/>
      <c r="AL87" s="217"/>
      <c r="AM87" s="696"/>
      <c r="AN87" s="217"/>
      <c r="AO87" s="217"/>
      <c r="AP87" s="1303"/>
      <c r="AQ87" s="217">
        <f>(AQ123/11)*4</f>
        <v>4.7272727272727275</v>
      </c>
      <c r="AR87" s="217">
        <f>(AR123/11)*4</f>
        <v>6.5454545454545459</v>
      </c>
      <c r="AS87" s="217">
        <f>(AS123/11)*4</f>
        <v>5.0909090909090908</v>
      </c>
      <c r="AT87" s="696">
        <f>(AT123/11)*4</f>
        <v>8</v>
      </c>
      <c r="AU87" s="217">
        <f>AVERAGE(AQ87:AR87)</f>
        <v>5.6363636363636367</v>
      </c>
      <c r="AV87" s="217">
        <f>AVERAGE(AS87:AT87)</f>
        <v>6.545454545454545</v>
      </c>
      <c r="AW87" s="1303">
        <f>AW123/11</f>
        <v>6.0909090909090908</v>
      </c>
      <c r="AX87" s="217">
        <f>(AX123/11)*4</f>
        <v>4.7272727272727275</v>
      </c>
      <c r="AY87" s="217">
        <f>(AY123/11)*4</f>
        <v>6.5454545454545459</v>
      </c>
      <c r="AZ87" s="217">
        <f>(AZ123/11)*4</f>
        <v>5.0909090909090908</v>
      </c>
      <c r="BA87" s="696">
        <f>(BA123/11)*4</f>
        <v>8</v>
      </c>
      <c r="BB87" s="217">
        <f>AVERAGE(AX87:AY87)</f>
        <v>5.6363636363636367</v>
      </c>
      <c r="BC87" s="217">
        <f>AVERAGE(AZ87:BA87)</f>
        <v>6.545454545454545</v>
      </c>
      <c r="BD87" s="1303">
        <f>BD123/11</f>
        <v>6.0909090909090908</v>
      </c>
      <c r="BE87" s="217">
        <f>(BE123/11)*4</f>
        <v>2.9090909090909092</v>
      </c>
      <c r="BF87" s="217">
        <f>(BF123/11)*4</f>
        <v>3.6363636363636362</v>
      </c>
      <c r="BG87" s="217">
        <f>(BG123/11)*4</f>
        <v>4.7272727272727275</v>
      </c>
      <c r="BH87" s="696">
        <f>(BH123/11)*4</f>
        <v>5.4545454545454541</v>
      </c>
      <c r="BI87" s="217">
        <f>AVERAGE(BE87:BF87)</f>
        <v>3.2727272727272725</v>
      </c>
      <c r="BJ87" s="217">
        <f>AVERAGE(BG87:BH87)</f>
        <v>5.0909090909090908</v>
      </c>
      <c r="BK87" s="1303">
        <f>BK123/11</f>
        <v>4.1818181818181817</v>
      </c>
      <c r="BL87" s="217">
        <f>(BL123/11)*4</f>
        <v>0.72727272727272729</v>
      </c>
      <c r="BM87" s="217">
        <f>(BM123/11)*4</f>
        <v>0.72727272727272729</v>
      </c>
      <c r="BN87" s="217">
        <f>(BN123/11)*4</f>
        <v>1.4545454545454546</v>
      </c>
      <c r="BO87" s="696">
        <f>(BO123/11)*4</f>
        <v>1.4545454545454546</v>
      </c>
      <c r="BP87" s="217">
        <f>AVERAGE(BL87:BM87)</f>
        <v>0.72727272727272729</v>
      </c>
      <c r="BQ87" s="217">
        <f>AVERAGE(BN87:BO87)</f>
        <v>1.4545454545454546</v>
      </c>
      <c r="BR87" s="1303">
        <f>BR123/11</f>
        <v>1.0909090909090908</v>
      </c>
      <c r="BS87" s="217">
        <f>(BS123/11)*4</f>
        <v>0.72727272727272729</v>
      </c>
      <c r="BT87" s="217">
        <f>(BT123/11)*4</f>
        <v>0.36363636363636365</v>
      </c>
      <c r="BU87" s="217">
        <f>(BU123/11)*4</f>
        <v>0.36363636363636365</v>
      </c>
      <c r="BV87" s="696">
        <f>(BV123/11)*4</f>
        <v>0.72727272727272729</v>
      </c>
      <c r="BW87" s="217">
        <f>AVERAGE(BS87:BT87)</f>
        <v>0.54545454545454541</v>
      </c>
      <c r="BX87" s="217">
        <f>AVERAGE(BU87:BV87)</f>
        <v>0.54545454545454541</v>
      </c>
      <c r="BY87" s="1303">
        <f>BY123/11</f>
        <v>0.54545454545454541</v>
      </c>
      <c r="BZ87" s="217">
        <f>(BZ123/11)*4</f>
        <v>0</v>
      </c>
      <c r="CA87" s="217">
        <f>(CA123/11)*4</f>
        <v>0.36363636363636365</v>
      </c>
      <c r="CB87" s="217">
        <f>(CB123/11)*4</f>
        <v>0.36363636363636365</v>
      </c>
      <c r="CC87" s="696">
        <f>(CC123/11)*4</f>
        <v>0.72727272727272729</v>
      </c>
      <c r="CD87" s="217">
        <f>AVERAGE(BZ87:CA87)</f>
        <v>0.18181818181818182</v>
      </c>
      <c r="CE87" s="217">
        <f>AVERAGE(CB87:CC87)</f>
        <v>0.54545454545454541</v>
      </c>
      <c r="CF87" s="1303">
        <f>CF123/11</f>
        <v>0.36363636363636365</v>
      </c>
      <c r="CG87" s="217">
        <f>(CG123/11)*4</f>
        <v>0.72727272727272729</v>
      </c>
      <c r="CH87" s="217">
        <f>(CH123/11)*4</f>
        <v>1.0909090909090908</v>
      </c>
      <c r="CI87" s="217">
        <f>(CI123/11)*4</f>
        <v>0</v>
      </c>
      <c r="CJ87" s="696">
        <f>(CJ123/11)*4</f>
        <v>1.4545454545454546</v>
      </c>
      <c r="CK87" s="217">
        <f>AVERAGE(CG87:CH87)</f>
        <v>0.90909090909090906</v>
      </c>
      <c r="CL87" s="217">
        <f>AVERAGE(CI87:CJ87)</f>
        <v>0.72727272727272729</v>
      </c>
      <c r="CM87" s="1303">
        <f>CM123/11</f>
        <v>0.81818181818181823</v>
      </c>
      <c r="CN87" s="217">
        <f>(CN123/11)*4</f>
        <v>0.36363636363636365</v>
      </c>
      <c r="CO87" s="217">
        <f>(CO123/11)*4</f>
        <v>0.36363636363636365</v>
      </c>
      <c r="CP87" s="217">
        <f>(CP123/11)*4</f>
        <v>0</v>
      </c>
      <c r="CQ87" s="696">
        <f>(CQ123/11)*4</f>
        <v>0.36363636363636365</v>
      </c>
      <c r="CR87" s="217">
        <f>AVERAGE(CN87:CO87)</f>
        <v>0.36363636363636365</v>
      </c>
      <c r="CS87" s="217">
        <f>AVERAGE(CP87:CQ87)</f>
        <v>0.18181818181818182</v>
      </c>
      <c r="CT87" s="1303">
        <f t="shared" si="391"/>
        <v>0.27272727272727271</v>
      </c>
      <c r="CU87" s="217">
        <f>(CU123/11)*4</f>
        <v>0</v>
      </c>
      <c r="CV87" s="217">
        <f>(CV123/11)*4</f>
        <v>0</v>
      </c>
      <c r="CW87" s="217">
        <f>(CW123/11)*4</f>
        <v>0</v>
      </c>
      <c r="CX87" s="696">
        <f>(CX123/11)*4</f>
        <v>0.72727272727272729</v>
      </c>
      <c r="CY87" s="217">
        <f>AVERAGE(CU87:CV87)</f>
        <v>0</v>
      </c>
      <c r="CZ87" s="217">
        <f>AVERAGE(CW87:CX87)</f>
        <v>0.36363636363636365</v>
      </c>
      <c r="DA87" s="1303">
        <f t="shared" si="392"/>
        <v>0.18181818181818182</v>
      </c>
      <c r="DB87" s="217">
        <f>(DB123/11)*4</f>
        <v>0</v>
      </c>
      <c r="DC87" s="217">
        <f>(DC123/11)*4</f>
        <v>0.36363636363636365</v>
      </c>
      <c r="DD87" s="217">
        <f>(DD123/11)*4</f>
        <v>0</v>
      </c>
      <c r="DE87" s="696">
        <f>(DE123/11)*4</f>
        <v>0.36363636363636365</v>
      </c>
      <c r="DF87" s="217">
        <f>AVERAGE(DB87:DC87)</f>
        <v>0.18181818181818182</v>
      </c>
      <c r="DG87" s="217">
        <f>AVERAGE(DD87:DE87)</f>
        <v>0.18181818181818182</v>
      </c>
      <c r="DH87" s="1303">
        <f t="shared" si="393"/>
        <v>0.18181818181818182</v>
      </c>
      <c r="DI87" s="217">
        <f>(DI123/11)*4</f>
        <v>0</v>
      </c>
      <c r="DJ87" s="217">
        <f>(DJ123/11)*4</f>
        <v>0.36363636363636365</v>
      </c>
      <c r="DK87" s="1212">
        <f>3/11</f>
        <v>0.27272727272727271</v>
      </c>
      <c r="DL87" s="1213">
        <f>3/11</f>
        <v>0.27272727272727271</v>
      </c>
      <c r="DM87" s="217">
        <f>AVERAGE(DI87:DJ87)</f>
        <v>0.18181818181818182</v>
      </c>
      <c r="DN87" s="458">
        <f>AVERAGE(DK87:DL87)</f>
        <v>0.27272727272727271</v>
      </c>
      <c r="DO87" s="584">
        <f>AVERAGE(DM87:DN87)</f>
        <v>0.22727272727272727</v>
      </c>
      <c r="DP87" s="1212">
        <f>3/11</f>
        <v>0.27272727272727271</v>
      </c>
      <c r="DQ87" s="1212">
        <f>3/11</f>
        <v>0.27272727272727271</v>
      </c>
      <c r="DR87" s="1212">
        <f>3/11</f>
        <v>0.27272727272727271</v>
      </c>
      <c r="DS87" s="1213">
        <f>3/11</f>
        <v>0.27272727272727271</v>
      </c>
      <c r="DT87" s="458">
        <f>AVERAGE(DP87:DQ87)</f>
        <v>0.27272727272727271</v>
      </c>
      <c r="DU87" s="458">
        <f>AVERAGE(DR87:DS87)</f>
        <v>0.27272727272727271</v>
      </c>
      <c r="DV87" s="584">
        <f t="shared" si="394"/>
        <v>0.27272727272727271</v>
      </c>
      <c r="DW87" s="1212">
        <f>3/11</f>
        <v>0.27272727272727271</v>
      </c>
      <c r="DX87" s="1212">
        <f>3/11</f>
        <v>0.27272727272727271</v>
      </c>
      <c r="DY87" s="1212">
        <f>3/11</f>
        <v>0.27272727272727271</v>
      </c>
      <c r="DZ87" s="1213">
        <f>3/11</f>
        <v>0.27272727272727271</v>
      </c>
      <c r="EA87" s="458">
        <f>AVERAGE(DW87:DX87)</f>
        <v>0.27272727272727271</v>
      </c>
      <c r="EB87" s="458">
        <f>AVERAGE(DY87:DZ87)</f>
        <v>0.27272727272727271</v>
      </c>
      <c r="EC87" s="584">
        <f t="shared" si="395"/>
        <v>0.27272727272727271</v>
      </c>
      <c r="ED87" s="1212">
        <f>3/11</f>
        <v>0.27272727272727271</v>
      </c>
      <c r="EE87" s="1212">
        <f>3/11</f>
        <v>0.27272727272727271</v>
      </c>
      <c r="EF87" s="1212">
        <f>3/11</f>
        <v>0.27272727272727271</v>
      </c>
      <c r="EG87" s="1213">
        <f>3/11</f>
        <v>0.27272727272727271</v>
      </c>
      <c r="EH87" s="458">
        <f>AVERAGE(ED87:EE87)</f>
        <v>0.27272727272727271</v>
      </c>
      <c r="EI87" s="458">
        <f>AVERAGE(EF87:EG87)</f>
        <v>0.27272727272727271</v>
      </c>
      <c r="EJ87" s="584">
        <f t="shared" si="396"/>
        <v>0.27272727272727271</v>
      </c>
      <c r="EK87" s="1212">
        <f>3/11</f>
        <v>0.27272727272727271</v>
      </c>
      <c r="EL87" s="1212">
        <f>3/11</f>
        <v>0.27272727272727271</v>
      </c>
      <c r="EM87" s="1212">
        <f>3/11</f>
        <v>0.27272727272727271</v>
      </c>
      <c r="EN87" s="1213">
        <f>3/11</f>
        <v>0.27272727272727271</v>
      </c>
      <c r="EO87" s="458">
        <f>AVERAGE(EK87:EL87)</f>
        <v>0.27272727272727271</v>
      </c>
      <c r="EP87" s="458">
        <f>AVERAGE(EM87:EN87)</f>
        <v>0.27272727272727271</v>
      </c>
      <c r="EQ87" s="584">
        <f t="shared" si="397"/>
        <v>0.27272727272727271</v>
      </c>
    </row>
    <row r="88" spans="1:147" ht="10.199999999999999" customHeight="1">
      <c r="A88" s="108" t="s">
        <v>381</v>
      </c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217"/>
      <c r="P88" s="217"/>
      <c r="Q88" s="217"/>
      <c r="R88" s="696"/>
      <c r="S88" s="217"/>
      <c r="T88" s="217"/>
      <c r="U88" s="1303"/>
      <c r="V88" s="217"/>
      <c r="W88" s="217"/>
      <c r="X88" s="217"/>
      <c r="Y88" s="696"/>
      <c r="Z88" s="217"/>
      <c r="AA88" s="217"/>
      <c r="AB88" s="1303"/>
      <c r="AC88" s="217"/>
      <c r="AD88" s="217"/>
      <c r="AE88" s="217"/>
      <c r="AF88" s="696"/>
      <c r="AG88" s="217"/>
      <c r="AH88" s="217"/>
      <c r="AI88" s="1303"/>
      <c r="AJ88" s="217"/>
      <c r="AK88" s="217"/>
      <c r="AL88" s="217"/>
      <c r="AM88" s="696"/>
      <c r="AN88" s="217"/>
      <c r="AO88" s="217"/>
      <c r="AP88" s="1303"/>
      <c r="AQ88" s="217">
        <f>(AQ127/11)*4</f>
        <v>0</v>
      </c>
      <c r="AR88" s="217">
        <f>(AR127/11)*4</f>
        <v>0</v>
      </c>
      <c r="AS88" s="217">
        <f>(AS127/11)*4</f>
        <v>0</v>
      </c>
      <c r="AT88" s="696">
        <f>(AT127/11)*4</f>
        <v>0</v>
      </c>
      <c r="AU88" s="217">
        <f>AVERAGE(AQ88:AR88)</f>
        <v>0</v>
      </c>
      <c r="AV88" s="217">
        <f>AVERAGE(AS88:AT88)</f>
        <v>0</v>
      </c>
      <c r="AW88" s="1303">
        <f>AW127/11</f>
        <v>0</v>
      </c>
      <c r="AX88" s="217">
        <f>(AX127/11)*4</f>
        <v>0</v>
      </c>
      <c r="AY88" s="217">
        <f>(AY127/11)*4</f>
        <v>0</v>
      </c>
      <c r="AZ88" s="217">
        <f>(AZ127/11)*4</f>
        <v>0</v>
      </c>
      <c r="BA88" s="696">
        <f>(BA127/11)*4</f>
        <v>0</v>
      </c>
      <c r="BB88" s="217">
        <f>AVERAGE(AX88:AY88)</f>
        <v>0</v>
      </c>
      <c r="BC88" s="217">
        <f>AVERAGE(AZ88:BA88)</f>
        <v>0</v>
      </c>
      <c r="BD88" s="1303">
        <f>BD127/11</f>
        <v>0</v>
      </c>
      <c r="BE88" s="217">
        <f>(BE127/11)*4</f>
        <v>0</v>
      </c>
      <c r="BF88" s="217">
        <f>(BF127/11)*4</f>
        <v>0</v>
      </c>
      <c r="BG88" s="217">
        <f>(BG127/11)*4</f>
        <v>0</v>
      </c>
      <c r="BH88" s="696">
        <f>(BH127/11)*4</f>
        <v>1.0909090909090908</v>
      </c>
      <c r="BI88" s="217">
        <f>AVERAGE(BE88:BF88)</f>
        <v>0</v>
      </c>
      <c r="BJ88" s="217">
        <f>AVERAGE(BG88:BH88)</f>
        <v>0.54545454545454541</v>
      </c>
      <c r="BK88" s="1303">
        <f>BK127/11</f>
        <v>0.27272727272727271</v>
      </c>
      <c r="BL88" s="217">
        <f>(BL127/11)*4</f>
        <v>1.0909090909090908</v>
      </c>
      <c r="BM88" s="217">
        <f>(BM127/11)*4</f>
        <v>3.6363636363636362</v>
      </c>
      <c r="BN88" s="217">
        <f>(BN127/11)*4</f>
        <v>4.7272727272727275</v>
      </c>
      <c r="BO88" s="696">
        <f>(BO127/11)*4</f>
        <v>5.4545454545454541</v>
      </c>
      <c r="BP88" s="217">
        <f>AVERAGE(BL88:BM88)</f>
        <v>2.3636363636363633</v>
      </c>
      <c r="BQ88" s="217">
        <f>AVERAGE(BN88:BO88)</f>
        <v>5.0909090909090908</v>
      </c>
      <c r="BR88" s="1303">
        <f>BR127/11</f>
        <v>3.7272727272727271</v>
      </c>
      <c r="BS88" s="217">
        <f>(BS127/11)*4</f>
        <v>0.72727272727272729</v>
      </c>
      <c r="BT88" s="217">
        <f>(BT127/11)*4</f>
        <v>0</v>
      </c>
      <c r="BU88" s="217">
        <f>(BU127/11)*4</f>
        <v>1.0909090909090908</v>
      </c>
      <c r="BV88" s="696">
        <f>(BV127/11)*4</f>
        <v>2.9090909090909092</v>
      </c>
      <c r="BW88" s="217">
        <f>AVERAGE(BS88:BT88)</f>
        <v>0.36363636363636365</v>
      </c>
      <c r="BX88" s="217">
        <f>AVERAGE(BU88:BV88)</f>
        <v>2</v>
      </c>
      <c r="BY88" s="1303">
        <f>BY127/11</f>
        <v>1.1818181818181819</v>
      </c>
      <c r="BZ88" s="217">
        <f>(BZ127/11)*4</f>
        <v>0.36363636363636365</v>
      </c>
      <c r="CA88" s="217">
        <f>(CA127/11)*4</f>
        <v>1.8181818181818181</v>
      </c>
      <c r="CB88" s="217">
        <f>(CB127/11)*4</f>
        <v>1.0909090909090908</v>
      </c>
      <c r="CC88" s="696">
        <f>(CC127/11)*4</f>
        <v>1.8181818181818181</v>
      </c>
      <c r="CD88" s="217">
        <f>AVERAGE(BZ88:CA88)</f>
        <v>1.0909090909090908</v>
      </c>
      <c r="CE88" s="217">
        <f>AVERAGE(CB88:CC88)</f>
        <v>1.4545454545454546</v>
      </c>
      <c r="CF88" s="1303">
        <f>CF127/11</f>
        <v>1.2727272727272727</v>
      </c>
      <c r="CG88" s="217">
        <f>(CG127/11)*4</f>
        <v>1.4545454545454546</v>
      </c>
      <c r="CH88" s="217">
        <f>(CH127/11)*4</f>
        <v>1.4545454545454546</v>
      </c>
      <c r="CI88" s="217">
        <f>(CI127/11)*4</f>
        <v>1.0909090909090908</v>
      </c>
      <c r="CJ88" s="696">
        <f>(CJ127/11)*4</f>
        <v>4.3636363636363633</v>
      </c>
      <c r="CK88" s="217">
        <f>AVERAGE(CG88:CH88)</f>
        <v>1.4545454545454546</v>
      </c>
      <c r="CL88" s="217">
        <f>AVERAGE(CI88:CJ88)</f>
        <v>2.7272727272727271</v>
      </c>
      <c r="CM88" s="1303">
        <f>CM127/11</f>
        <v>2.0909090909090908</v>
      </c>
      <c r="CN88" s="217">
        <f>(CN127/11)*4</f>
        <v>1.8181818181818181</v>
      </c>
      <c r="CO88" s="217">
        <f>(CO127/11)*4</f>
        <v>2.5454545454545454</v>
      </c>
      <c r="CP88" s="217">
        <f>(CP127/11)*4</f>
        <v>2.1818181818181817</v>
      </c>
      <c r="CQ88" s="696">
        <f>(CQ127/11)*4</f>
        <v>4</v>
      </c>
      <c r="CR88" s="217">
        <f>AVERAGE(CN88:CO88)</f>
        <v>2.1818181818181817</v>
      </c>
      <c r="CS88" s="217">
        <f>AVERAGE(CP88:CQ88)</f>
        <v>3.0909090909090908</v>
      </c>
      <c r="CT88" s="1303">
        <f t="shared" si="391"/>
        <v>2.6363636363636362</v>
      </c>
      <c r="CU88" s="217">
        <f>(CU127/11)*4</f>
        <v>2.5454545454545454</v>
      </c>
      <c r="CV88" s="217">
        <f>(CV127/11)*4</f>
        <v>2.1818181818181817</v>
      </c>
      <c r="CW88" s="217">
        <f>(CW127/11)*4</f>
        <v>2.5454545454545454</v>
      </c>
      <c r="CX88" s="696">
        <f>(CX127/11)*4</f>
        <v>3.6363636363636362</v>
      </c>
      <c r="CY88" s="217">
        <f>AVERAGE(CU88:CV88)</f>
        <v>2.3636363636363633</v>
      </c>
      <c r="CZ88" s="217">
        <f>AVERAGE(CW88:CX88)</f>
        <v>3.0909090909090908</v>
      </c>
      <c r="DA88" s="1303">
        <f t="shared" si="392"/>
        <v>2.7272727272727271</v>
      </c>
      <c r="DB88" s="217">
        <f>(DB127/11)*4</f>
        <v>1.4545454545454546</v>
      </c>
      <c r="DC88" s="217">
        <f>(DC127/11)*4</f>
        <v>2.5454545454545454</v>
      </c>
      <c r="DD88" s="217">
        <f>(DD127/11)*4</f>
        <v>2.9090909090909092</v>
      </c>
      <c r="DE88" s="696">
        <f>(DE127/11)*4</f>
        <v>5.4545454545454541</v>
      </c>
      <c r="DF88" s="217">
        <f>AVERAGE(DB88:DC88)</f>
        <v>2</v>
      </c>
      <c r="DG88" s="217">
        <f>AVERAGE(DD88:DE88)</f>
        <v>4.1818181818181817</v>
      </c>
      <c r="DH88" s="1303">
        <f t="shared" si="393"/>
        <v>3.0909090909090908</v>
      </c>
      <c r="DI88" s="217">
        <f>(DI127/11)*4</f>
        <v>1.0909090909090908</v>
      </c>
      <c r="DJ88" s="217">
        <f>(DJ127/11)*4</f>
        <v>2.1818181818181817</v>
      </c>
      <c r="DK88" s="1212">
        <v>3</v>
      </c>
      <c r="DL88" s="1213">
        <v>3</v>
      </c>
      <c r="DM88" s="217">
        <f>AVERAGE(DI88:DJ88)</f>
        <v>1.6363636363636362</v>
      </c>
      <c r="DN88" s="458">
        <f>AVERAGE(DK88:DL88)</f>
        <v>3</v>
      </c>
      <c r="DO88" s="584">
        <f>AVERAGE(DM88:DN88)</f>
        <v>2.3181818181818183</v>
      </c>
      <c r="DP88" s="1212">
        <v>3</v>
      </c>
      <c r="DQ88" s="1212">
        <v>3</v>
      </c>
      <c r="DR88" s="1212">
        <v>3</v>
      </c>
      <c r="DS88" s="1213">
        <v>3</v>
      </c>
      <c r="DT88" s="458">
        <f>AVERAGE(DP88:DQ88)</f>
        <v>3</v>
      </c>
      <c r="DU88" s="458">
        <f>AVERAGE(DR88:DS88)</f>
        <v>3</v>
      </c>
      <c r="DV88" s="584">
        <f t="shared" si="394"/>
        <v>3</v>
      </c>
      <c r="DW88" s="1212">
        <v>3</v>
      </c>
      <c r="DX88" s="1212">
        <v>3</v>
      </c>
      <c r="DY88" s="1212">
        <v>3</v>
      </c>
      <c r="DZ88" s="1213">
        <v>3</v>
      </c>
      <c r="EA88" s="458">
        <f>AVERAGE(DW88:DX88)</f>
        <v>3</v>
      </c>
      <c r="EB88" s="458">
        <f>AVERAGE(DY88:DZ88)</f>
        <v>3</v>
      </c>
      <c r="EC88" s="584">
        <f t="shared" si="395"/>
        <v>3</v>
      </c>
      <c r="ED88" s="1212">
        <v>3</v>
      </c>
      <c r="EE88" s="1212">
        <v>3</v>
      </c>
      <c r="EF88" s="1212">
        <v>3</v>
      </c>
      <c r="EG88" s="1213">
        <v>3</v>
      </c>
      <c r="EH88" s="458">
        <f>AVERAGE(ED88:EE88)</f>
        <v>3</v>
      </c>
      <c r="EI88" s="458">
        <f>AVERAGE(EF88:EG88)</f>
        <v>3</v>
      </c>
      <c r="EJ88" s="584">
        <f t="shared" si="396"/>
        <v>3</v>
      </c>
      <c r="EK88" s="1212">
        <v>4</v>
      </c>
      <c r="EL88" s="1212">
        <v>4</v>
      </c>
      <c r="EM88" s="1212">
        <v>4</v>
      </c>
      <c r="EN88" s="1213">
        <v>4</v>
      </c>
      <c r="EO88" s="458">
        <f>AVERAGE(EK88:EL88)</f>
        <v>4</v>
      </c>
      <c r="EP88" s="458">
        <f>AVERAGE(EM88:EN88)</f>
        <v>4</v>
      </c>
      <c r="EQ88" s="584">
        <f t="shared" si="397"/>
        <v>4</v>
      </c>
    </row>
    <row r="89" spans="1:147" ht="10.199999999999999" customHeight="1">
      <c r="A89" s="108" t="s">
        <v>238</v>
      </c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696"/>
      <c r="S89" s="217"/>
      <c r="T89" s="217"/>
      <c r="U89" s="1303"/>
      <c r="V89" s="217"/>
      <c r="W89" s="217"/>
      <c r="X89" s="217"/>
      <c r="Y89" s="696"/>
      <c r="Z89" s="217"/>
      <c r="AA89" s="217"/>
      <c r="AB89" s="1303"/>
      <c r="AC89" s="217"/>
      <c r="AD89" s="217"/>
      <c r="AE89" s="217"/>
      <c r="AF89" s="696"/>
      <c r="AG89" s="217"/>
      <c r="AH89" s="217"/>
      <c r="AI89" s="1303"/>
      <c r="AJ89" s="217"/>
      <c r="AK89" s="217"/>
      <c r="AL89" s="217"/>
      <c r="AM89" s="696"/>
      <c r="AN89" s="217"/>
      <c r="AO89" s="217"/>
      <c r="AP89" s="1303"/>
      <c r="AQ89" s="217">
        <f>(AQ139/11)*4</f>
        <v>4.7272727272727275</v>
      </c>
      <c r="AR89" s="217">
        <f>(AR139/11)*4</f>
        <v>6.1818181818181817</v>
      </c>
      <c r="AS89" s="217">
        <f>(AS139/11)*4</f>
        <v>7.2727272727272725</v>
      </c>
      <c r="AT89" s="696">
        <f>(AT139/11)*4</f>
        <v>10.181818181818182</v>
      </c>
      <c r="AU89" s="217">
        <f>AVERAGE(AQ89:AR89)</f>
        <v>5.454545454545455</v>
      </c>
      <c r="AV89" s="217">
        <f>AVERAGE(AS89:AT89)</f>
        <v>8.7272727272727266</v>
      </c>
      <c r="AW89" s="1303">
        <f>AW139/11</f>
        <v>7.0909090909090908</v>
      </c>
      <c r="AX89" s="217">
        <f>(AX139/11)*4</f>
        <v>4.7272727272727275</v>
      </c>
      <c r="AY89" s="217">
        <f>(AY139/11)*4</f>
        <v>6.1818181818181817</v>
      </c>
      <c r="AZ89" s="217">
        <f>(AZ139/11)*4</f>
        <v>7.2727272727272725</v>
      </c>
      <c r="BA89" s="696">
        <f>(BA139/11)*4</f>
        <v>10.181818181818182</v>
      </c>
      <c r="BB89" s="217">
        <f>AVERAGE(AX89:AY89)</f>
        <v>5.454545454545455</v>
      </c>
      <c r="BC89" s="217">
        <f>AVERAGE(AZ89:BA89)</f>
        <v>8.7272727272727266</v>
      </c>
      <c r="BD89" s="1303">
        <f>BD139/11</f>
        <v>7.0909090909090908</v>
      </c>
      <c r="BE89" s="217">
        <f>(BE139/11)*4</f>
        <v>6.1818181818181817</v>
      </c>
      <c r="BF89" s="217">
        <f>(BF139/11)*4</f>
        <v>8.3636363636363633</v>
      </c>
      <c r="BG89" s="217">
        <f>(BG139/11)*4</f>
        <v>7.6363636363636367</v>
      </c>
      <c r="BH89" s="696">
        <f>(BH139/11)*4</f>
        <v>11.636363636363637</v>
      </c>
      <c r="BI89" s="217">
        <f>AVERAGE(BE89:BF89)</f>
        <v>7.2727272727272725</v>
      </c>
      <c r="BJ89" s="217">
        <f>AVERAGE(BG89:BH89)</f>
        <v>9.6363636363636367</v>
      </c>
      <c r="BK89" s="1303">
        <f>BK139/11</f>
        <v>8.454545454545455</v>
      </c>
      <c r="BL89" s="217">
        <f>(BL139/11)*4</f>
        <v>6.9090909090909092</v>
      </c>
      <c r="BM89" s="217">
        <f>(BM139/11)*4</f>
        <v>12.363636363636363</v>
      </c>
      <c r="BN89" s="217">
        <f>(BN139/11)*4</f>
        <v>8.7272727272727266</v>
      </c>
      <c r="BO89" s="696">
        <f>(BO139/11)*4</f>
        <v>12.727272727272727</v>
      </c>
      <c r="BP89" s="217">
        <f>AVERAGE(BL89:BM89)</f>
        <v>9.6363636363636367</v>
      </c>
      <c r="BQ89" s="217">
        <f>AVERAGE(BN89:BO89)</f>
        <v>10.727272727272727</v>
      </c>
      <c r="BR89" s="1303">
        <f>BR139/11</f>
        <v>10.181818181818182</v>
      </c>
      <c r="BS89" s="217">
        <f>(BS139/11)*4</f>
        <v>5.0909090909090908</v>
      </c>
      <c r="BT89" s="217">
        <f>(BT139/11)*4</f>
        <v>3.2727272727272729</v>
      </c>
      <c r="BU89" s="217">
        <f>(BU139/11)*4</f>
        <v>3.2727272727272729</v>
      </c>
      <c r="BV89" s="696">
        <f>(BV139/11)*4</f>
        <v>9.8181818181818183</v>
      </c>
      <c r="BW89" s="217">
        <f>AVERAGE(BS89:BT89)</f>
        <v>4.1818181818181817</v>
      </c>
      <c r="BX89" s="217">
        <f>AVERAGE(BU89:BV89)</f>
        <v>6.5454545454545459</v>
      </c>
      <c r="BY89" s="1303">
        <f>BY139/11</f>
        <v>5.3636363636363633</v>
      </c>
      <c r="BZ89" s="217">
        <f>(BZ139/11)*4</f>
        <v>3.6363636363636362</v>
      </c>
      <c r="CA89" s="217">
        <f>(CA139/11)*4</f>
        <v>7.2727272727272725</v>
      </c>
      <c r="CB89" s="217">
        <f>(CB139/11)*4</f>
        <v>2.1818181818181817</v>
      </c>
      <c r="CC89" s="696">
        <f>(CC139/11)*4</f>
        <v>6.9090909090909092</v>
      </c>
      <c r="CD89" s="217">
        <f>AVERAGE(BZ89:CA89)</f>
        <v>5.4545454545454541</v>
      </c>
      <c r="CE89" s="217">
        <f>AVERAGE(CB89:CC89)</f>
        <v>4.545454545454545</v>
      </c>
      <c r="CF89" s="1303">
        <f>CF139/11</f>
        <v>5</v>
      </c>
      <c r="CG89" s="217">
        <f>(CG139/11)*4</f>
        <v>5.8181818181818183</v>
      </c>
      <c r="CH89" s="217">
        <f>(CH139/11)*4</f>
        <v>4.7272727272727275</v>
      </c>
      <c r="CI89" s="217">
        <f>(CI139/11)*4</f>
        <v>4.7272727272727275</v>
      </c>
      <c r="CJ89" s="696">
        <f>(CJ139/11)*4</f>
        <v>6.5454545454545459</v>
      </c>
      <c r="CK89" s="217">
        <f>AVERAGE(CG89:CH89)</f>
        <v>5.2727272727272734</v>
      </c>
      <c r="CL89" s="217">
        <f>AVERAGE(CI89:CJ89)</f>
        <v>5.6363636363636367</v>
      </c>
      <c r="CM89" s="1303">
        <f>CM139/11</f>
        <v>5.4545454545454541</v>
      </c>
      <c r="CN89" s="217">
        <f>(CN139/11)*4</f>
        <v>1.8181818181818181</v>
      </c>
      <c r="CO89" s="217">
        <f>(CO139/11)*4</f>
        <v>5.8181818181818183</v>
      </c>
      <c r="CP89" s="217">
        <f>(CP139/11)*4</f>
        <v>5.4545454545454541</v>
      </c>
      <c r="CQ89" s="696">
        <f>(CQ139/11)*4</f>
        <v>10.181818181818182</v>
      </c>
      <c r="CR89" s="217">
        <f>AVERAGE(CN89:CO89)</f>
        <v>3.8181818181818183</v>
      </c>
      <c r="CS89" s="217">
        <f>AVERAGE(CP89:CQ89)</f>
        <v>7.8181818181818183</v>
      </c>
      <c r="CT89" s="1303">
        <f t="shared" si="391"/>
        <v>5.8181818181818183</v>
      </c>
      <c r="CU89" s="217">
        <f>(CU139/11)*4</f>
        <v>2.5454545454545454</v>
      </c>
      <c r="CV89" s="217">
        <f>(CV139/11)*4</f>
        <v>5.0909090909090908</v>
      </c>
      <c r="CW89" s="217">
        <f>(CW139/11)*4</f>
        <v>5.4545454545454541</v>
      </c>
      <c r="CX89" s="696">
        <f>(CX139/11)*4</f>
        <v>7.6363636363636367</v>
      </c>
      <c r="CY89" s="217">
        <f>AVERAGE(CU89:CV89)</f>
        <v>3.8181818181818183</v>
      </c>
      <c r="CZ89" s="217">
        <f>AVERAGE(CW89:CX89)</f>
        <v>6.545454545454545</v>
      </c>
      <c r="DA89" s="1303">
        <f t="shared" si="392"/>
        <v>5.1818181818181817</v>
      </c>
      <c r="DB89" s="217">
        <f>(DB139/11)*4</f>
        <v>3.2727272727272729</v>
      </c>
      <c r="DC89" s="217">
        <f>(DC139/11)*4</f>
        <v>4.3636363636363633</v>
      </c>
      <c r="DD89" s="217">
        <f>(DD139/11)*4</f>
        <v>4.3636363636363633</v>
      </c>
      <c r="DE89" s="696">
        <f>(DE139/11)*4</f>
        <v>8.7272727272727266</v>
      </c>
      <c r="DF89" s="217">
        <f>AVERAGE(DB89:DC89)</f>
        <v>3.8181818181818183</v>
      </c>
      <c r="DG89" s="217">
        <f>AVERAGE(DD89:DE89)</f>
        <v>6.545454545454545</v>
      </c>
      <c r="DH89" s="1303">
        <f t="shared" si="393"/>
        <v>5.1818181818181817</v>
      </c>
      <c r="DI89" s="217">
        <f>(DI139/11)*4</f>
        <v>4</v>
      </c>
      <c r="DJ89" s="217">
        <f>(DJ139/11)*4</f>
        <v>5.4545454545454541</v>
      </c>
      <c r="DK89" s="1212">
        <v>8</v>
      </c>
      <c r="DL89" s="1213">
        <v>8</v>
      </c>
      <c r="DM89" s="217">
        <f>AVERAGE(DI89:DJ89)</f>
        <v>4.7272727272727266</v>
      </c>
      <c r="DN89" s="458">
        <f>AVERAGE(DK89:DL89)</f>
        <v>8</v>
      </c>
      <c r="DO89" s="584">
        <f>AVERAGE(DM89:DN89)</f>
        <v>6.3636363636363633</v>
      </c>
      <c r="DP89" s="1212">
        <v>8</v>
      </c>
      <c r="DQ89" s="1212">
        <v>8</v>
      </c>
      <c r="DR89" s="1212">
        <v>9</v>
      </c>
      <c r="DS89" s="1213">
        <v>9</v>
      </c>
      <c r="DT89" s="458">
        <f>AVERAGE(DP89:DQ89)</f>
        <v>8</v>
      </c>
      <c r="DU89" s="458">
        <f>AVERAGE(DR89:DS89)</f>
        <v>9</v>
      </c>
      <c r="DV89" s="584">
        <f t="shared" si="394"/>
        <v>8.5</v>
      </c>
      <c r="DW89" s="1212">
        <v>9</v>
      </c>
      <c r="DX89" s="1212">
        <v>9</v>
      </c>
      <c r="DY89" s="1212">
        <v>10</v>
      </c>
      <c r="DZ89" s="1213">
        <v>10</v>
      </c>
      <c r="EA89" s="458">
        <f>AVERAGE(DW89:DX89)</f>
        <v>9</v>
      </c>
      <c r="EB89" s="458">
        <f>AVERAGE(DY89:DZ89)</f>
        <v>10</v>
      </c>
      <c r="EC89" s="584">
        <f t="shared" si="395"/>
        <v>9.5</v>
      </c>
      <c r="ED89" s="1212">
        <v>10</v>
      </c>
      <c r="EE89" s="1212">
        <v>10</v>
      </c>
      <c r="EF89" s="1212">
        <v>10</v>
      </c>
      <c r="EG89" s="1213">
        <v>10</v>
      </c>
      <c r="EH89" s="458">
        <f>AVERAGE(ED89:EE89)</f>
        <v>10</v>
      </c>
      <c r="EI89" s="458">
        <f>AVERAGE(EF89:EG89)</f>
        <v>10</v>
      </c>
      <c r="EJ89" s="584">
        <f t="shared" si="396"/>
        <v>10</v>
      </c>
      <c r="EK89" s="1212">
        <v>10</v>
      </c>
      <c r="EL89" s="1212">
        <v>10</v>
      </c>
      <c r="EM89" s="1212">
        <v>10</v>
      </c>
      <c r="EN89" s="1213">
        <v>10</v>
      </c>
      <c r="EO89" s="458">
        <f>AVERAGE(EK89:EL89)</f>
        <v>10</v>
      </c>
      <c r="EP89" s="458">
        <f>AVERAGE(EM89:EN89)</f>
        <v>10</v>
      </c>
      <c r="EQ89" s="584">
        <f t="shared" si="397"/>
        <v>10</v>
      </c>
    </row>
    <row r="90" spans="1:147" ht="10.199999999999999" customHeight="1">
      <c r="A90" s="48" t="s">
        <v>167</v>
      </c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697"/>
      <c r="S90" s="122"/>
      <c r="T90" s="122"/>
      <c r="U90" s="1304"/>
      <c r="V90" s="122"/>
      <c r="W90" s="122"/>
      <c r="X90" s="122"/>
      <c r="Y90" s="697"/>
      <c r="Z90" s="122"/>
      <c r="AA90" s="122"/>
      <c r="AB90" s="1304"/>
      <c r="AC90" s="122"/>
      <c r="AD90" s="122"/>
      <c r="AE90" s="122"/>
      <c r="AF90" s="697"/>
      <c r="AG90" s="122"/>
      <c r="AH90" s="122"/>
      <c r="AI90" s="1304"/>
      <c r="AJ90" s="122"/>
      <c r="AK90" s="122"/>
      <c r="AL90" s="122"/>
      <c r="AM90" s="697"/>
      <c r="AN90" s="122"/>
      <c r="AO90" s="122"/>
      <c r="AP90" s="1304"/>
      <c r="AQ90" s="122">
        <f>SUM(AQ85:AQ89)</f>
        <v>18.49802371541502</v>
      </c>
      <c r="AR90" s="122">
        <f>SUM(AR85:AR89)</f>
        <v>24.205533596837945</v>
      </c>
      <c r="AS90" s="122">
        <f>SUM(AS85:AS89)</f>
        <v>23.146245059288539</v>
      </c>
      <c r="AT90" s="697">
        <f>SUM(AT85:AT89)</f>
        <v>49.833992094861657</v>
      </c>
      <c r="AU90" s="122">
        <f t="shared" ref="AU90:AW90" si="398">SUM(AU85:AU89)</f>
        <v>21.351778656126484</v>
      </c>
      <c r="AV90" s="122">
        <f t="shared" si="398"/>
        <v>36.490118577075094</v>
      </c>
      <c r="AW90" s="1304">
        <f t="shared" si="398"/>
        <v>28.920948616600789</v>
      </c>
      <c r="AX90" s="122">
        <f>SUM(AX85:AX89)</f>
        <v>18.49802371541502</v>
      </c>
      <c r="AY90" s="122">
        <f>SUM(AY85:AY89)</f>
        <v>24.205533596837945</v>
      </c>
      <c r="AZ90" s="122">
        <f>SUM(AZ85:AZ89)</f>
        <v>23.146245059288539</v>
      </c>
      <c r="BA90" s="697">
        <f>SUM(BA85:BA89)</f>
        <v>49.833992094861657</v>
      </c>
      <c r="BB90" s="122">
        <f t="shared" ref="BB90:BD90" si="399">SUM(BB85:BB89)</f>
        <v>21.351778656126484</v>
      </c>
      <c r="BC90" s="122">
        <f t="shared" si="399"/>
        <v>36.490118577075094</v>
      </c>
      <c r="BD90" s="1304">
        <f t="shared" si="399"/>
        <v>28.920948616600789</v>
      </c>
      <c r="BE90" s="122">
        <f>SUM(BE85:BE89)</f>
        <v>19.525691699604742</v>
      </c>
      <c r="BF90" s="122">
        <f>SUM(BF85:BF89)</f>
        <v>39.826086956521735</v>
      </c>
      <c r="BG90" s="122">
        <f>SUM(BG85:BG89)</f>
        <v>54.102766798418969</v>
      </c>
      <c r="BH90" s="697">
        <f>SUM(BH85:BH89)</f>
        <v>79.399209486166015</v>
      </c>
      <c r="BI90" s="122">
        <f t="shared" ref="BI90:BJ90" si="400">SUM(BI85:BI89)</f>
        <v>29.675889328063242</v>
      </c>
      <c r="BJ90" s="122">
        <f t="shared" si="400"/>
        <v>66.750988142292499</v>
      </c>
      <c r="BK90" s="1304">
        <f t="shared" ref="BK90:CT90" si="401">SUM(BK85:BK89)</f>
        <v>48.213438735177867</v>
      </c>
      <c r="BL90" s="122">
        <f>SUM(BL85:BL89)</f>
        <v>46.640316205533601</v>
      </c>
      <c r="BM90" s="122">
        <f>SUM(BM85:BM89)</f>
        <v>67.509881422924892</v>
      </c>
      <c r="BN90" s="122">
        <f>SUM(BN85:BN89)</f>
        <v>55.256916996047423</v>
      </c>
      <c r="BO90" s="697">
        <f>SUM(BO85:BO89)</f>
        <v>98.940711462450594</v>
      </c>
      <c r="BP90" s="122">
        <f t="shared" ref="BP90:BQ90" si="402">SUM(BP85:BP89)</f>
        <v>57.07509881422925</v>
      </c>
      <c r="BQ90" s="122">
        <f t="shared" si="402"/>
        <v>77.098814229249001</v>
      </c>
      <c r="BR90" s="1304">
        <f t="shared" si="401"/>
        <v>67.086956521739125</v>
      </c>
      <c r="BS90" s="122">
        <f>SUM(BS85:BS89)</f>
        <v>40.980237154150196</v>
      </c>
      <c r="BT90" s="122">
        <f>SUM(BT85:BT89)</f>
        <v>25.549407114624508</v>
      </c>
      <c r="BU90" s="122">
        <f>SUM(BU85:BU89)</f>
        <v>49.249011857707515</v>
      </c>
      <c r="BV90" s="697">
        <f>SUM(BV85:BV89)</f>
        <v>75.715415019762844</v>
      </c>
      <c r="BW90" s="122">
        <f t="shared" ref="BW90:BX90" si="403">SUM(BW85:BW89)</f>
        <v>33.264822134387352</v>
      </c>
      <c r="BX90" s="122">
        <f t="shared" si="403"/>
        <v>62.482213438735187</v>
      </c>
      <c r="BY90" s="1304">
        <f t="shared" si="401"/>
        <v>47.873517786561266</v>
      </c>
      <c r="BZ90" s="122">
        <f>SUM(BZ85:BZ89)</f>
        <v>40.521739130434781</v>
      </c>
      <c r="CA90" s="122">
        <f>SUM(CA85:CA89)</f>
        <v>57.106719367588937</v>
      </c>
      <c r="CB90" s="122">
        <f>SUM(CB85:CB89)</f>
        <v>42.940711462450594</v>
      </c>
      <c r="CC90" s="697">
        <f>SUM(CC85:CC89)</f>
        <v>63.019762845849797</v>
      </c>
      <c r="CD90" s="122">
        <f t="shared" ref="CD90:CE90" si="404">SUM(CD85:CD89)</f>
        <v>48.814229249011859</v>
      </c>
      <c r="CE90" s="122">
        <f t="shared" si="404"/>
        <v>52.980237154150196</v>
      </c>
      <c r="CF90" s="1304">
        <f t="shared" si="401"/>
        <v>50.897233201581031</v>
      </c>
      <c r="CG90" s="122">
        <f>SUM(CG85:CG89)</f>
        <v>49.739130434782609</v>
      </c>
      <c r="CH90" s="122">
        <f>SUM(CH85:CH89)</f>
        <v>54.229249011857711</v>
      </c>
      <c r="CI90" s="122">
        <f>SUM(CI85:CI89)</f>
        <v>57.644268774703562</v>
      </c>
      <c r="CJ90" s="697">
        <f>SUM(CJ85:CJ89)</f>
        <v>69.754940711462453</v>
      </c>
      <c r="CK90" s="122">
        <f t="shared" ref="CK90:CL90" si="405">SUM(CK85:CK89)</f>
        <v>51.984189723320156</v>
      </c>
      <c r="CL90" s="122">
        <f t="shared" si="405"/>
        <v>63.699604743083</v>
      </c>
      <c r="CM90" s="1304">
        <f t="shared" si="401"/>
        <v>57.841897233201585</v>
      </c>
      <c r="CN90" s="122">
        <f>SUM(CN85:CN89)</f>
        <v>44.34782608695653</v>
      </c>
      <c r="CO90" s="122">
        <f>SUM(CO85:CO89)</f>
        <v>66.118577075098813</v>
      </c>
      <c r="CP90" s="122">
        <f>SUM(CP85:CP89)</f>
        <v>60.158102766798415</v>
      </c>
      <c r="CQ90" s="697">
        <f>SUM(CQ85:CQ89)</f>
        <v>86.545454545454547</v>
      </c>
      <c r="CR90" s="122">
        <f t="shared" si="401"/>
        <v>55.233201581027672</v>
      </c>
      <c r="CS90" s="122">
        <f t="shared" si="401"/>
        <v>73.35177865612647</v>
      </c>
      <c r="CT90" s="1304">
        <f t="shared" si="401"/>
        <v>64.292490118577064</v>
      </c>
      <c r="CU90" s="122">
        <f>SUM(CU85:CU89)</f>
        <v>49.612648221343875</v>
      </c>
      <c r="CV90" s="122">
        <f>SUM(CV85:CV89)</f>
        <v>63.272727272727273</v>
      </c>
      <c r="CW90" s="122">
        <f>SUM(CW85:CW89)</f>
        <v>60.869565217391305</v>
      </c>
      <c r="CX90" s="697">
        <f>SUM(CX85:CX89)</f>
        <v>94.086956521739154</v>
      </c>
      <c r="CY90" s="122">
        <f t="shared" ref="CY90:DZ90" si="406">SUM(CY85:CY89)</f>
        <v>56.442687747035571</v>
      </c>
      <c r="CZ90" s="122">
        <f t="shared" si="406"/>
        <v>77.478260869565219</v>
      </c>
      <c r="DA90" s="1304">
        <f t="shared" si="406"/>
        <v>66.960474308300391</v>
      </c>
      <c r="DB90" s="122">
        <f>SUM(DB85:DB89)</f>
        <v>47.509881422924899</v>
      </c>
      <c r="DC90" s="122">
        <f>SUM(DC85:DC89)</f>
        <v>59.446640316205546</v>
      </c>
      <c r="DD90" s="122">
        <f>SUM(DD85:DD89)</f>
        <v>70.229249011857704</v>
      </c>
      <c r="DE90" s="697">
        <f>SUM(DE85:DE89)</f>
        <v>100.11067193675888</v>
      </c>
      <c r="DF90" s="122">
        <f t="shared" ref="DF90" si="407">SUM(DF85:DF89)</f>
        <v>53.478260869565219</v>
      </c>
      <c r="DG90" s="122">
        <f t="shared" si="406"/>
        <v>85.169960474308311</v>
      </c>
      <c r="DH90" s="1304">
        <f t="shared" si="406"/>
        <v>69.324110671936751</v>
      </c>
      <c r="DI90" s="122">
        <f>SUM(DI85:DI89)</f>
        <v>39.873517786561266</v>
      </c>
      <c r="DJ90" s="122">
        <f>SUM(DJ85:DJ89)</f>
        <v>82.782608695652172</v>
      </c>
      <c r="DK90" s="655">
        <f t="shared" si="406"/>
        <v>81.272727272727266</v>
      </c>
      <c r="DL90" s="656">
        <f t="shared" si="406"/>
        <v>82.272727272727266</v>
      </c>
      <c r="DM90" s="122">
        <f t="shared" si="406"/>
        <v>61.328063241106712</v>
      </c>
      <c r="DN90" s="655">
        <f t="shared" si="406"/>
        <v>81.772727272727266</v>
      </c>
      <c r="DO90" s="1214">
        <f t="shared" si="406"/>
        <v>71.550395256916985</v>
      </c>
      <c r="DP90" s="655">
        <f t="shared" si="406"/>
        <v>86.272727272727266</v>
      </c>
      <c r="DQ90" s="655">
        <f t="shared" si="406"/>
        <v>86.272727272727266</v>
      </c>
      <c r="DR90" s="655">
        <f t="shared" si="406"/>
        <v>87.272727272727266</v>
      </c>
      <c r="DS90" s="656">
        <f t="shared" si="406"/>
        <v>87.272727272727266</v>
      </c>
      <c r="DT90" s="655">
        <f t="shared" si="406"/>
        <v>86.272727272727266</v>
      </c>
      <c r="DU90" s="655">
        <f t="shared" si="406"/>
        <v>87.272727272727266</v>
      </c>
      <c r="DV90" s="1214">
        <f t="shared" si="406"/>
        <v>86.772727272727266</v>
      </c>
      <c r="DW90" s="655">
        <f t="shared" si="406"/>
        <v>92.272727272727266</v>
      </c>
      <c r="DX90" s="655">
        <f t="shared" si="406"/>
        <v>92.272727272727266</v>
      </c>
      <c r="DY90" s="655">
        <f t="shared" si="406"/>
        <v>93.272727272727266</v>
      </c>
      <c r="DZ90" s="656">
        <f t="shared" si="406"/>
        <v>93.272727272727266</v>
      </c>
      <c r="EA90" s="655">
        <f t="shared" ref="EA90:EQ90" si="408">SUM(EA85:EA89)</f>
        <v>92.272727272727266</v>
      </c>
      <c r="EB90" s="655">
        <f t="shared" si="408"/>
        <v>93.272727272727266</v>
      </c>
      <c r="EC90" s="1214">
        <f t="shared" si="408"/>
        <v>92.772727272727266</v>
      </c>
      <c r="ED90" s="655">
        <f t="shared" si="408"/>
        <v>93.272727272727266</v>
      </c>
      <c r="EE90" s="655">
        <f t="shared" si="408"/>
        <v>93.272727272727266</v>
      </c>
      <c r="EF90" s="655">
        <f t="shared" si="408"/>
        <v>93.272727272727266</v>
      </c>
      <c r="EG90" s="656">
        <f t="shared" si="408"/>
        <v>93.272727272727266</v>
      </c>
      <c r="EH90" s="655">
        <f t="shared" si="408"/>
        <v>93.272727272727266</v>
      </c>
      <c r="EI90" s="655">
        <f t="shared" si="408"/>
        <v>93.272727272727266</v>
      </c>
      <c r="EJ90" s="1214">
        <f t="shared" si="408"/>
        <v>93.272727272727266</v>
      </c>
      <c r="EK90" s="655">
        <f t="shared" si="408"/>
        <v>94.272727272727266</v>
      </c>
      <c r="EL90" s="655">
        <f t="shared" si="408"/>
        <v>94.272727272727266</v>
      </c>
      <c r="EM90" s="655">
        <f t="shared" si="408"/>
        <v>94.272727272727266</v>
      </c>
      <c r="EN90" s="656">
        <f t="shared" si="408"/>
        <v>94.272727272727266</v>
      </c>
      <c r="EO90" s="655">
        <f t="shared" si="408"/>
        <v>94.272727272727266</v>
      </c>
      <c r="EP90" s="655">
        <f t="shared" si="408"/>
        <v>94.272727272727266</v>
      </c>
      <c r="EQ90" s="1214">
        <f t="shared" si="408"/>
        <v>94.272727272727266</v>
      </c>
    </row>
    <row r="91" spans="1:147" ht="10.199999999999999" customHeight="1">
      <c r="A91" s="108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456"/>
      <c r="P91" s="456"/>
      <c r="Q91" s="456"/>
      <c r="R91" s="457"/>
      <c r="S91" s="456"/>
      <c r="T91" s="456"/>
      <c r="U91" s="650"/>
      <c r="V91" s="456"/>
      <c r="W91" s="456"/>
      <c r="X91" s="456"/>
      <c r="Y91" s="457"/>
      <c r="Z91" s="456"/>
      <c r="AA91" s="456"/>
      <c r="AB91" s="650"/>
      <c r="AC91" s="456"/>
      <c r="AD91" s="456"/>
      <c r="AE91" s="456"/>
      <c r="AF91" s="457"/>
      <c r="AG91" s="456"/>
      <c r="AH91" s="456"/>
      <c r="AI91" s="650"/>
      <c r="AJ91" s="456"/>
      <c r="AK91" s="456"/>
      <c r="AL91" s="456"/>
      <c r="AM91" s="457"/>
      <c r="AN91" s="456"/>
      <c r="AO91" s="456"/>
      <c r="AP91" s="650"/>
      <c r="AQ91" s="456"/>
      <c r="AR91" s="456"/>
      <c r="AS91" s="456"/>
      <c r="AT91" s="457"/>
      <c r="AU91" s="456"/>
      <c r="AV91" s="456"/>
      <c r="AW91" s="650"/>
      <c r="AX91" s="456"/>
      <c r="AY91" s="456"/>
      <c r="AZ91" s="456"/>
      <c r="BA91" s="457"/>
      <c r="BB91" s="456"/>
      <c r="BC91" s="456"/>
      <c r="BD91" s="650"/>
      <c r="BE91" s="456"/>
      <c r="BF91" s="456"/>
      <c r="BG91" s="456"/>
      <c r="BH91" s="457"/>
      <c r="BI91" s="456"/>
      <c r="BJ91" s="456"/>
      <c r="BK91" s="650"/>
      <c r="BL91" s="456"/>
      <c r="BM91" s="456"/>
      <c r="BN91" s="456"/>
      <c r="BO91" s="457"/>
      <c r="BP91" s="456"/>
      <c r="BQ91" s="456"/>
      <c r="BR91" s="650"/>
      <c r="BS91" s="456"/>
      <c r="BT91" s="456"/>
      <c r="BU91" s="456"/>
      <c r="BV91" s="457"/>
      <c r="BW91" s="456"/>
      <c r="BX91" s="456"/>
      <c r="BY91" s="650"/>
      <c r="BZ91" s="456"/>
      <c r="CA91" s="456"/>
      <c r="CB91" s="456"/>
      <c r="CC91" s="457"/>
      <c r="CD91" s="456"/>
      <c r="CE91" s="456"/>
      <c r="CF91" s="650"/>
      <c r="CG91" s="456"/>
      <c r="CH91" s="456"/>
      <c r="CI91" s="456"/>
      <c r="CJ91" s="457"/>
      <c r="CK91" s="456"/>
      <c r="CL91" s="456"/>
      <c r="CM91" s="650"/>
      <c r="CN91" s="456"/>
      <c r="CO91" s="456"/>
      <c r="CP91" s="456"/>
      <c r="CQ91" s="457"/>
      <c r="CR91" s="456"/>
      <c r="CS91" s="456"/>
      <c r="CT91" s="650"/>
      <c r="CU91" s="456"/>
      <c r="CV91" s="456"/>
      <c r="CW91" s="456"/>
      <c r="CX91" s="457"/>
      <c r="CY91" s="456"/>
      <c r="CZ91" s="456"/>
      <c r="DA91" s="627"/>
      <c r="DB91" s="456"/>
      <c r="DC91" s="456"/>
      <c r="DD91" s="456"/>
      <c r="DE91" s="457"/>
      <c r="DF91" s="456"/>
      <c r="DG91" s="456"/>
      <c r="DH91" s="627"/>
      <c r="DI91" s="456"/>
      <c r="DJ91" s="456"/>
      <c r="DK91" s="456"/>
      <c r="DL91" s="457"/>
      <c r="DM91" s="456"/>
      <c r="DN91" s="456"/>
      <c r="DO91" s="627"/>
      <c r="DP91" s="456"/>
      <c r="DQ91" s="456"/>
      <c r="DR91" s="456"/>
      <c r="DS91" s="457"/>
      <c r="DT91" s="456"/>
      <c r="DU91" s="456"/>
      <c r="DV91" s="627"/>
      <c r="DW91" s="456"/>
      <c r="DX91" s="456"/>
      <c r="DY91" s="456"/>
      <c r="DZ91" s="457"/>
      <c r="EA91" s="456"/>
      <c r="EB91" s="456"/>
      <c r="EC91" s="627"/>
      <c r="ED91" s="456"/>
      <c r="EE91" s="456"/>
      <c r="EF91" s="456"/>
      <c r="EG91" s="457"/>
      <c r="EH91" s="456"/>
      <c r="EI91" s="456"/>
      <c r="EJ91" s="627"/>
      <c r="EK91" s="456"/>
      <c r="EL91" s="456"/>
      <c r="EM91" s="456"/>
      <c r="EN91" s="457"/>
      <c r="EO91" s="456"/>
      <c r="EP91" s="456"/>
      <c r="EQ91" s="627"/>
    </row>
    <row r="92" spans="1:147" ht="10.199999999999999" customHeight="1">
      <c r="A92" s="48" t="s">
        <v>763</v>
      </c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456"/>
      <c r="P92" s="456"/>
      <c r="Q92" s="456"/>
      <c r="R92" s="457"/>
      <c r="S92" s="456"/>
      <c r="T92" s="456"/>
      <c r="U92" s="338"/>
      <c r="V92" s="456"/>
      <c r="W92" s="456"/>
      <c r="X92" s="456"/>
      <c r="Y92" s="457"/>
      <c r="Z92" s="456"/>
      <c r="AA92" s="456"/>
      <c r="AB92" s="338"/>
      <c r="AC92" s="456"/>
      <c r="AD92" s="456"/>
      <c r="AE92" s="456"/>
      <c r="AF92" s="457"/>
      <c r="AG92" s="456"/>
      <c r="AH92" s="456"/>
      <c r="AI92" s="338"/>
      <c r="AJ92" s="456"/>
      <c r="AK92" s="456"/>
      <c r="AL92" s="456"/>
      <c r="AM92" s="457"/>
      <c r="AN92" s="456"/>
      <c r="AO92" s="456"/>
      <c r="AP92" s="338"/>
      <c r="AQ92" s="456"/>
      <c r="AR92" s="456"/>
      <c r="AS92" s="456"/>
      <c r="AT92" s="457"/>
      <c r="AU92" s="456"/>
      <c r="AV92" s="456"/>
      <c r="AW92" s="338"/>
      <c r="AX92" s="456"/>
      <c r="AY92" s="456"/>
      <c r="AZ92" s="456"/>
      <c r="BA92" s="457"/>
      <c r="BB92" s="456"/>
      <c r="BC92" s="456"/>
      <c r="BD92" s="338"/>
      <c r="BE92" s="456"/>
      <c r="BF92" s="456"/>
      <c r="BG92" s="456"/>
      <c r="BH92" s="457"/>
      <c r="BI92" s="456"/>
      <c r="BJ92" s="456"/>
      <c r="BK92" s="338"/>
      <c r="BL92" s="456"/>
      <c r="BM92" s="456"/>
      <c r="BN92" s="456"/>
      <c r="BO92" s="457"/>
      <c r="BP92" s="456"/>
      <c r="BQ92" s="456"/>
      <c r="BR92" s="338"/>
      <c r="BS92" s="456"/>
      <c r="BT92" s="456"/>
      <c r="BU92" s="456"/>
      <c r="BV92" s="457"/>
      <c r="BW92" s="456"/>
      <c r="BX92" s="456"/>
      <c r="BY92" s="338"/>
      <c r="BZ92" s="456"/>
      <c r="CA92" s="456"/>
      <c r="CB92" s="456"/>
      <c r="CC92" s="457"/>
      <c r="CD92" s="456"/>
      <c r="CE92" s="456"/>
      <c r="CF92" s="338"/>
      <c r="CG92" s="456"/>
      <c r="CH92" s="456"/>
      <c r="CI92" s="456"/>
      <c r="CJ92" s="457"/>
      <c r="CK92" s="456"/>
      <c r="CL92" s="456"/>
      <c r="CM92" s="338"/>
      <c r="CN92" s="456"/>
      <c r="CO92" s="456"/>
      <c r="CP92" s="456"/>
      <c r="CQ92" s="457"/>
      <c r="CR92" s="456"/>
      <c r="CS92" s="456"/>
      <c r="CT92" s="338"/>
      <c r="CU92" s="456"/>
      <c r="CV92" s="456"/>
      <c r="CW92" s="456"/>
      <c r="CX92" s="457"/>
      <c r="CY92" s="456"/>
      <c r="CZ92" s="456"/>
      <c r="DA92" s="338"/>
      <c r="DB92" s="456"/>
      <c r="DC92" s="456"/>
      <c r="DD92" s="456"/>
      <c r="DE92" s="457"/>
      <c r="DF92" s="456"/>
      <c r="DG92" s="456"/>
      <c r="DH92" s="338"/>
      <c r="DI92" s="456"/>
      <c r="DJ92" s="456"/>
      <c r="DK92" s="456"/>
      <c r="DL92" s="457"/>
      <c r="DM92" s="456"/>
      <c r="DN92" s="456"/>
      <c r="DO92" s="338"/>
      <c r="DP92" s="456"/>
      <c r="DQ92" s="456"/>
      <c r="DR92" s="456"/>
      <c r="DS92" s="457"/>
      <c r="DT92" s="456"/>
      <c r="DU92" s="456"/>
      <c r="DV92" s="338"/>
      <c r="DW92" s="456"/>
      <c r="DX92" s="456"/>
      <c r="DY92" s="456"/>
      <c r="DZ92" s="457"/>
      <c r="EA92" s="456"/>
      <c r="EB92" s="456"/>
      <c r="EC92" s="338"/>
      <c r="ED92" s="456"/>
      <c r="EE92" s="456"/>
      <c r="EF92" s="456"/>
      <c r="EG92" s="457"/>
      <c r="EH92" s="456"/>
      <c r="EI92" s="456"/>
      <c r="EJ92" s="338"/>
      <c r="EK92" s="456"/>
      <c r="EL92" s="456"/>
      <c r="EM92" s="456"/>
      <c r="EN92" s="457"/>
      <c r="EO92" s="456"/>
      <c r="EP92" s="456"/>
      <c r="EQ92" s="338"/>
    </row>
    <row r="93" spans="1:147" ht="10.199999999999999" customHeight="1">
      <c r="A93" s="130" t="str">
        <f>A85</f>
        <v>A220</v>
      </c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698"/>
      <c r="S93" s="130"/>
      <c r="T93" s="130"/>
      <c r="U93" s="619"/>
      <c r="V93" s="130"/>
      <c r="W93" s="130"/>
      <c r="X93" s="130"/>
      <c r="Y93" s="698"/>
      <c r="Z93" s="130"/>
      <c r="AA93" s="130"/>
      <c r="AB93" s="619"/>
      <c r="AC93" s="130"/>
      <c r="AD93" s="130"/>
      <c r="AE93" s="130"/>
      <c r="AF93" s="698"/>
      <c r="AG93" s="130"/>
      <c r="AH93" s="130"/>
      <c r="AI93" s="619"/>
      <c r="AJ93" s="130"/>
      <c r="AK93" s="130"/>
      <c r="AL93" s="130"/>
      <c r="AM93" s="698"/>
      <c r="AN93" s="130"/>
      <c r="AO93" s="130"/>
      <c r="AP93" s="619"/>
      <c r="AQ93" s="130">
        <f t="shared" ref="AQ93:AT93" si="409">(AQ85*11.5)/4</f>
        <v>0</v>
      </c>
      <c r="AR93" s="130">
        <f t="shared" si="409"/>
        <v>0</v>
      </c>
      <c r="AS93" s="130">
        <f t="shared" si="409"/>
        <v>0</v>
      </c>
      <c r="AT93" s="698">
        <f t="shared" si="409"/>
        <v>0</v>
      </c>
      <c r="AU93" s="130">
        <f>AQ93+AR93</f>
        <v>0</v>
      </c>
      <c r="AV93" s="130">
        <f>AS93+AT93</f>
        <v>0</v>
      </c>
      <c r="AW93" s="619">
        <f t="shared" ref="AW93:AW94" si="410">AW85*11.5</f>
        <v>0</v>
      </c>
      <c r="AX93" s="130">
        <f t="shared" ref="AX93:BA93" si="411">(AX85*11.5)/4</f>
        <v>0</v>
      </c>
      <c r="AY93" s="130">
        <f t="shared" si="411"/>
        <v>0</v>
      </c>
      <c r="AZ93" s="130">
        <f t="shared" si="411"/>
        <v>0</v>
      </c>
      <c r="BA93" s="698">
        <f t="shared" si="411"/>
        <v>0</v>
      </c>
      <c r="BB93" s="130">
        <f>AX93+AY93</f>
        <v>0</v>
      </c>
      <c r="BC93" s="130">
        <f>AZ93+BA93</f>
        <v>0</v>
      </c>
      <c r="BD93" s="619">
        <f t="shared" ref="BD93" si="412">BD85*11.5</f>
        <v>0</v>
      </c>
      <c r="BE93" s="130">
        <f t="shared" ref="BE93:BH93" si="413">(BE85*11.5)/4</f>
        <v>0</v>
      </c>
      <c r="BF93" s="130">
        <f t="shared" si="413"/>
        <v>0</v>
      </c>
      <c r="BG93" s="130">
        <f t="shared" si="413"/>
        <v>8</v>
      </c>
      <c r="BH93" s="698">
        <f t="shared" si="413"/>
        <v>12</v>
      </c>
      <c r="BI93" s="130">
        <f>BE93+BF93</f>
        <v>0</v>
      </c>
      <c r="BJ93" s="130">
        <f>BG93+BH93</f>
        <v>20</v>
      </c>
      <c r="BK93" s="619">
        <f t="shared" ref="BK93:CM94" si="414">BK85*11.5</f>
        <v>20</v>
      </c>
      <c r="BL93" s="130">
        <f t="shared" ref="BL93:BO93" si="415">(BL85*11.5)/4</f>
        <v>7</v>
      </c>
      <c r="BM93" s="130">
        <f t="shared" si="415"/>
        <v>14</v>
      </c>
      <c r="BN93" s="130">
        <f t="shared" si="415"/>
        <v>12</v>
      </c>
      <c r="BO93" s="698">
        <f t="shared" si="415"/>
        <v>15</v>
      </c>
      <c r="BP93" s="130">
        <f>BL93+BM93</f>
        <v>21</v>
      </c>
      <c r="BQ93" s="130">
        <f>BN93+BO93</f>
        <v>27</v>
      </c>
      <c r="BR93" s="619">
        <f t="shared" si="414"/>
        <v>48</v>
      </c>
      <c r="BS93" s="130">
        <f t="shared" ref="BS93:BV93" si="416">(BS85*11.5)/4</f>
        <v>8</v>
      </c>
      <c r="BT93" s="130">
        <f t="shared" si="416"/>
        <v>3</v>
      </c>
      <c r="BU93" s="130">
        <f t="shared" si="416"/>
        <v>7</v>
      </c>
      <c r="BV93" s="698">
        <f t="shared" si="416"/>
        <v>20</v>
      </c>
      <c r="BW93" s="130">
        <f>BS93+BT93</f>
        <v>11</v>
      </c>
      <c r="BX93" s="130">
        <f>BU93+BV93</f>
        <v>27</v>
      </c>
      <c r="BY93" s="619">
        <f t="shared" si="414"/>
        <v>38</v>
      </c>
      <c r="BZ93" s="130">
        <f t="shared" ref="BZ93:CC93" si="417">(BZ85*11.5)/4</f>
        <v>9</v>
      </c>
      <c r="CA93" s="130">
        <f t="shared" si="417"/>
        <v>12</v>
      </c>
      <c r="CB93" s="130">
        <f t="shared" si="417"/>
        <v>12.999999999999998</v>
      </c>
      <c r="CC93" s="698">
        <f t="shared" si="417"/>
        <v>16</v>
      </c>
      <c r="CD93" s="130">
        <f>BZ93+CA93</f>
        <v>21</v>
      </c>
      <c r="CE93" s="130">
        <f>CB93+CC93</f>
        <v>29</v>
      </c>
      <c r="CF93" s="619">
        <f t="shared" si="414"/>
        <v>50</v>
      </c>
      <c r="CG93" s="130">
        <f t="shared" ref="CG93:CJ94" si="418">(CG85*11.5)/4</f>
        <v>11</v>
      </c>
      <c r="CH93" s="130">
        <f t="shared" si="418"/>
        <v>14</v>
      </c>
      <c r="CI93" s="130">
        <f t="shared" si="418"/>
        <v>9</v>
      </c>
      <c r="CJ93" s="698">
        <f t="shared" si="418"/>
        <v>19</v>
      </c>
      <c r="CK93" s="130">
        <f>CG93+CH93</f>
        <v>25</v>
      </c>
      <c r="CL93" s="130">
        <f>CI93+CJ93</f>
        <v>28</v>
      </c>
      <c r="CM93" s="619">
        <f t="shared" si="414"/>
        <v>53</v>
      </c>
      <c r="CN93" s="130">
        <f t="shared" ref="CN93:CQ94" si="419">(CN85*11.5)/4</f>
        <v>10</v>
      </c>
      <c r="CO93" s="130">
        <f t="shared" si="419"/>
        <v>15</v>
      </c>
      <c r="CP93" s="130">
        <f t="shared" ref="CP93" si="420">(CP85*11.5)/4</f>
        <v>16</v>
      </c>
      <c r="CQ93" s="698">
        <f t="shared" si="419"/>
        <v>27.000000000000004</v>
      </c>
      <c r="CR93" s="130">
        <f>CN93+CO93</f>
        <v>25</v>
      </c>
      <c r="CS93" s="130">
        <f>CP93+CQ93</f>
        <v>43</v>
      </c>
      <c r="CT93" s="619">
        <f>CT85*11.5</f>
        <v>68</v>
      </c>
      <c r="CU93" s="130">
        <f t="shared" ref="CU93:CV93" si="421">(CU85*11.5)/4</f>
        <v>12</v>
      </c>
      <c r="CV93" s="130">
        <f t="shared" si="421"/>
        <v>16</v>
      </c>
      <c r="CW93" s="130">
        <f t="shared" ref="CW93:CX93" si="422">(CW85*11.5)/4</f>
        <v>17</v>
      </c>
      <c r="CX93" s="698">
        <f t="shared" si="422"/>
        <v>30</v>
      </c>
      <c r="CY93" s="130">
        <f>CU93+CV93</f>
        <v>28</v>
      </c>
      <c r="CZ93" s="130">
        <f>CW93+CX93</f>
        <v>47</v>
      </c>
      <c r="DA93" s="619">
        <f>DA85*11.5</f>
        <v>75</v>
      </c>
      <c r="DB93" s="130">
        <f t="shared" ref="DB93:DD93" si="423">(DB85*11.5)/4</f>
        <v>17</v>
      </c>
      <c r="DC93" s="130">
        <f t="shared" si="423"/>
        <v>24</v>
      </c>
      <c r="DD93" s="130">
        <f t="shared" si="423"/>
        <v>21</v>
      </c>
      <c r="DE93" s="698">
        <f t="shared" ref="DE93:DE94" si="424">(DE85*11.5)/4</f>
        <v>31</v>
      </c>
      <c r="DF93" s="130">
        <f>DB93+DC93</f>
        <v>41</v>
      </c>
      <c r="DG93" s="130">
        <f>DD93+DE93</f>
        <v>52</v>
      </c>
      <c r="DH93" s="619">
        <f>DH85*11.5</f>
        <v>92.999999999999986</v>
      </c>
      <c r="DI93" s="130">
        <f t="shared" ref="DI93:DL94" si="425">(DI85*11.5)/4</f>
        <v>19</v>
      </c>
      <c r="DJ93" s="130">
        <f t="shared" si="425"/>
        <v>25</v>
      </c>
      <c r="DK93" s="617">
        <f t="shared" si="425"/>
        <v>28.75</v>
      </c>
      <c r="DL93" s="618">
        <f t="shared" si="425"/>
        <v>31.625</v>
      </c>
      <c r="DM93" s="130">
        <f>DI93+DJ93</f>
        <v>44</v>
      </c>
      <c r="DN93" s="617">
        <f>DK93+DL93</f>
        <v>60.375</v>
      </c>
      <c r="DO93" s="651">
        <f>DO85*11.5</f>
        <v>104.37499999999999</v>
      </c>
      <c r="DP93" s="617">
        <f t="shared" ref="DP93:DS94" si="426">(DP85*11.5)/4</f>
        <v>28.75</v>
      </c>
      <c r="DQ93" s="617">
        <f t="shared" si="426"/>
        <v>28.75</v>
      </c>
      <c r="DR93" s="617">
        <f t="shared" si="426"/>
        <v>28.75</v>
      </c>
      <c r="DS93" s="618">
        <f t="shared" si="426"/>
        <v>28.75</v>
      </c>
      <c r="DT93" s="617">
        <f>DP93+DQ93</f>
        <v>57.5</v>
      </c>
      <c r="DU93" s="617">
        <f>DR93+DS93</f>
        <v>57.5</v>
      </c>
      <c r="DV93" s="651">
        <f>DV85*11.5</f>
        <v>115</v>
      </c>
      <c r="DW93" s="617">
        <f t="shared" ref="DW93:DZ94" si="427">(DW85*11.5)/4</f>
        <v>28.75</v>
      </c>
      <c r="DX93" s="617">
        <f t="shared" si="427"/>
        <v>28.75</v>
      </c>
      <c r="DY93" s="617">
        <f t="shared" si="427"/>
        <v>28.75</v>
      </c>
      <c r="DZ93" s="618">
        <f t="shared" si="427"/>
        <v>28.75</v>
      </c>
      <c r="EA93" s="617">
        <f>DW93+DX93</f>
        <v>57.5</v>
      </c>
      <c r="EB93" s="617">
        <f>DY93+DZ93</f>
        <v>57.5</v>
      </c>
      <c r="EC93" s="651">
        <f>EC85*11.5</f>
        <v>115</v>
      </c>
      <c r="ED93" s="617">
        <f t="shared" ref="ED93:EG94" si="428">(ED85*11.5)/4</f>
        <v>28.75</v>
      </c>
      <c r="EE93" s="617">
        <f t="shared" si="428"/>
        <v>28.75</v>
      </c>
      <c r="EF93" s="617">
        <f t="shared" si="428"/>
        <v>28.75</v>
      </c>
      <c r="EG93" s="618">
        <f t="shared" si="428"/>
        <v>28.75</v>
      </c>
      <c r="EH93" s="617">
        <f>ED93+EE93</f>
        <v>57.5</v>
      </c>
      <c r="EI93" s="617">
        <f>EF93+EG93</f>
        <v>57.5</v>
      </c>
      <c r="EJ93" s="651">
        <f>EJ85*11.5</f>
        <v>115</v>
      </c>
      <c r="EK93" s="617">
        <f t="shared" ref="EK93:EN94" si="429">(EK85*11.5)/4</f>
        <v>28.75</v>
      </c>
      <c r="EL93" s="617">
        <f t="shared" si="429"/>
        <v>28.75</v>
      </c>
      <c r="EM93" s="617">
        <f t="shared" si="429"/>
        <v>28.75</v>
      </c>
      <c r="EN93" s="618">
        <f t="shared" si="429"/>
        <v>28.75</v>
      </c>
      <c r="EO93" s="617">
        <f>EK93+EL93</f>
        <v>57.5</v>
      </c>
      <c r="EP93" s="617">
        <f>EM93+EN93</f>
        <v>57.5</v>
      </c>
      <c r="EQ93" s="651">
        <f>EQ85*11.5</f>
        <v>115</v>
      </c>
    </row>
    <row r="94" spans="1:147" ht="10.199999999999999" customHeight="1">
      <c r="A94" s="130" t="str">
        <f>A86</f>
        <v>A320neo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698"/>
      <c r="S94" s="130"/>
      <c r="T94" s="130"/>
      <c r="U94" s="619"/>
      <c r="V94" s="130"/>
      <c r="W94" s="130"/>
      <c r="X94" s="130"/>
      <c r="Y94" s="698"/>
      <c r="Z94" s="130"/>
      <c r="AA94" s="130"/>
      <c r="AB94" s="619"/>
      <c r="AC94" s="130"/>
      <c r="AD94" s="130"/>
      <c r="AE94" s="130"/>
      <c r="AF94" s="698"/>
      <c r="AG94" s="130"/>
      <c r="AH94" s="130"/>
      <c r="AI94" s="619"/>
      <c r="AJ94" s="130"/>
      <c r="AK94" s="130"/>
      <c r="AL94" s="130"/>
      <c r="AM94" s="698"/>
      <c r="AN94" s="130"/>
      <c r="AO94" s="130"/>
      <c r="AP94" s="619"/>
      <c r="AQ94" s="130">
        <f t="shared" ref="AQ94:AT94" si="430">(AQ86*11.5)/4</f>
        <v>25.999999999999996</v>
      </c>
      <c r="AR94" s="130">
        <f t="shared" si="430"/>
        <v>33</v>
      </c>
      <c r="AS94" s="130">
        <f t="shared" si="430"/>
        <v>31</v>
      </c>
      <c r="AT94" s="698">
        <f t="shared" si="430"/>
        <v>91</v>
      </c>
      <c r="AU94" s="130">
        <f>AQ94+AR94</f>
        <v>59</v>
      </c>
      <c r="AV94" s="130">
        <f>AS94+AT94</f>
        <v>122</v>
      </c>
      <c r="AW94" s="619">
        <f t="shared" si="410"/>
        <v>181</v>
      </c>
      <c r="AX94" s="130">
        <f t="shared" ref="AX94:BA94" si="431">(AX86*11.5)/4</f>
        <v>25.999999999999996</v>
      </c>
      <c r="AY94" s="130">
        <f t="shared" si="431"/>
        <v>33</v>
      </c>
      <c r="AZ94" s="130">
        <f t="shared" si="431"/>
        <v>31</v>
      </c>
      <c r="BA94" s="698">
        <f t="shared" si="431"/>
        <v>91</v>
      </c>
      <c r="BB94" s="130">
        <f>AX94+AY94</f>
        <v>59</v>
      </c>
      <c r="BC94" s="130">
        <f>AZ94+BA94</f>
        <v>122</v>
      </c>
      <c r="BD94" s="619">
        <f t="shared" ref="BD94" si="432">BD86*11.5</f>
        <v>181</v>
      </c>
      <c r="BE94" s="130">
        <f t="shared" ref="BE94:BH94" si="433">(BE86*11.5)/4</f>
        <v>30</v>
      </c>
      <c r="BF94" s="130">
        <f t="shared" si="433"/>
        <v>80</v>
      </c>
      <c r="BG94" s="130">
        <f t="shared" si="433"/>
        <v>112</v>
      </c>
      <c r="BH94" s="698">
        <f t="shared" si="433"/>
        <v>164</v>
      </c>
      <c r="BI94" s="130">
        <f>BE94+BF94</f>
        <v>110</v>
      </c>
      <c r="BJ94" s="130">
        <f>BG94+BH94</f>
        <v>276</v>
      </c>
      <c r="BK94" s="619">
        <f t="shared" si="414"/>
        <v>386.00000000000006</v>
      </c>
      <c r="BL94" s="130">
        <f t="shared" ref="BL94:BO94" si="434">(BL86*11.5)/4</f>
        <v>102</v>
      </c>
      <c r="BM94" s="130">
        <f t="shared" si="434"/>
        <v>132</v>
      </c>
      <c r="BN94" s="130">
        <f t="shared" si="434"/>
        <v>103.99999999999999</v>
      </c>
      <c r="BO94" s="698">
        <f t="shared" si="434"/>
        <v>213</v>
      </c>
      <c r="BP94" s="130">
        <f>BL94+BM94</f>
        <v>234</v>
      </c>
      <c r="BQ94" s="130">
        <f>BN94+BO94</f>
        <v>317</v>
      </c>
      <c r="BR94" s="619">
        <f t="shared" si="414"/>
        <v>551</v>
      </c>
      <c r="BS94" s="130">
        <f t="shared" ref="BS94:BV94" si="435">(BS86*11.5)/4</f>
        <v>91</v>
      </c>
      <c r="BT94" s="130">
        <f t="shared" si="435"/>
        <v>60</v>
      </c>
      <c r="BU94" s="130">
        <f t="shared" si="435"/>
        <v>121</v>
      </c>
      <c r="BV94" s="698">
        <f t="shared" si="435"/>
        <v>159</v>
      </c>
      <c r="BW94" s="130">
        <f>BS94+BT94</f>
        <v>151</v>
      </c>
      <c r="BX94" s="130">
        <f>BU94+BV94</f>
        <v>280</v>
      </c>
      <c r="BY94" s="619">
        <f t="shared" si="414"/>
        <v>431</v>
      </c>
      <c r="BZ94" s="130">
        <f t="shared" ref="BZ94:CC94" si="436">(BZ86*11.5)/4</f>
        <v>96</v>
      </c>
      <c r="CA94" s="130">
        <f t="shared" si="436"/>
        <v>125</v>
      </c>
      <c r="CB94" s="130">
        <f t="shared" si="436"/>
        <v>100</v>
      </c>
      <c r="CC94" s="698">
        <f t="shared" si="436"/>
        <v>138</v>
      </c>
      <c r="CD94" s="130">
        <f>BZ94+CA94</f>
        <v>221</v>
      </c>
      <c r="CE94" s="130">
        <f>CB94+CC94</f>
        <v>238</v>
      </c>
      <c r="CF94" s="619">
        <f t="shared" si="414"/>
        <v>459</v>
      </c>
      <c r="CG94" s="130">
        <f t="shared" ref="CG94:CH94" si="437">(CG86*11.5)/4</f>
        <v>109</v>
      </c>
      <c r="CH94" s="130">
        <f t="shared" si="437"/>
        <v>121</v>
      </c>
      <c r="CI94" s="130">
        <f t="shared" si="418"/>
        <v>140</v>
      </c>
      <c r="CJ94" s="698">
        <f t="shared" si="418"/>
        <v>146</v>
      </c>
      <c r="CK94" s="130">
        <f>CG94+CH94</f>
        <v>230</v>
      </c>
      <c r="CL94" s="130">
        <f>CI94+CJ94</f>
        <v>286</v>
      </c>
      <c r="CM94" s="619">
        <f t="shared" si="414"/>
        <v>516</v>
      </c>
      <c r="CN94" s="130">
        <f t="shared" si="419"/>
        <v>106</v>
      </c>
      <c r="CO94" s="130">
        <f t="shared" si="419"/>
        <v>150</v>
      </c>
      <c r="CP94" s="130">
        <f t="shared" ref="CP94" si="438">(CP86*11.5)/4</f>
        <v>135</v>
      </c>
      <c r="CQ94" s="698">
        <f t="shared" si="419"/>
        <v>180</v>
      </c>
      <c r="CR94" s="130">
        <f>CN94+CO94</f>
        <v>256</v>
      </c>
      <c r="CS94" s="130">
        <f>CP94+CQ94</f>
        <v>315</v>
      </c>
      <c r="CT94" s="619">
        <f>CT86*11.5</f>
        <v>571</v>
      </c>
      <c r="CU94" s="130">
        <f t="shared" ref="CU94:CV94" si="439">(CU86*11.5)/4</f>
        <v>116</v>
      </c>
      <c r="CV94" s="130">
        <f t="shared" si="439"/>
        <v>145</v>
      </c>
      <c r="CW94" s="130">
        <f t="shared" ref="CW94:CX94" si="440">(CW86*11.5)/4</f>
        <v>135</v>
      </c>
      <c r="CX94" s="698">
        <f t="shared" si="440"/>
        <v>206.00000000000003</v>
      </c>
      <c r="CY94" s="130">
        <f>CU94+CV94</f>
        <v>261</v>
      </c>
      <c r="CZ94" s="130">
        <f>CW94+CX94</f>
        <v>341</v>
      </c>
      <c r="DA94" s="619">
        <f>DA86*11.5</f>
        <v>602</v>
      </c>
      <c r="DB94" s="130">
        <f t="shared" ref="DB94:DD94" si="441">(DB86*11.5)/4</f>
        <v>106</v>
      </c>
      <c r="DC94" s="130">
        <f t="shared" si="441"/>
        <v>126.00000000000001</v>
      </c>
      <c r="DD94" s="130">
        <f t="shared" si="441"/>
        <v>160</v>
      </c>
      <c r="DE94" s="698">
        <f t="shared" si="424"/>
        <v>215</v>
      </c>
      <c r="DF94" s="130">
        <f>DB94+DC94</f>
        <v>232</v>
      </c>
      <c r="DG94" s="130">
        <f>DD94+DE94</f>
        <v>375</v>
      </c>
      <c r="DH94" s="619">
        <f>DH86*11.5</f>
        <v>607</v>
      </c>
      <c r="DI94" s="130">
        <f t="shared" si="425"/>
        <v>81</v>
      </c>
      <c r="DJ94" s="130">
        <f t="shared" si="425"/>
        <v>190</v>
      </c>
      <c r="DK94" s="617">
        <f t="shared" si="425"/>
        <v>172.5</v>
      </c>
      <c r="DL94" s="618">
        <f t="shared" si="425"/>
        <v>172.5</v>
      </c>
      <c r="DM94" s="130">
        <f>DI94+DJ94</f>
        <v>271</v>
      </c>
      <c r="DN94" s="617">
        <f>DK94+DL94</f>
        <v>345</v>
      </c>
      <c r="DO94" s="651">
        <f>DO86*11.5</f>
        <v>616</v>
      </c>
      <c r="DP94" s="617">
        <f t="shared" si="426"/>
        <v>186.875</v>
      </c>
      <c r="DQ94" s="617">
        <f t="shared" si="426"/>
        <v>186.875</v>
      </c>
      <c r="DR94" s="617">
        <f t="shared" si="426"/>
        <v>186.875</v>
      </c>
      <c r="DS94" s="618">
        <f t="shared" si="426"/>
        <v>186.875</v>
      </c>
      <c r="DT94" s="617">
        <f>DP94+DQ94</f>
        <v>373.75</v>
      </c>
      <c r="DU94" s="617">
        <f>DR94+DS94</f>
        <v>373.75</v>
      </c>
      <c r="DV94" s="651">
        <f>DV86*11.5</f>
        <v>747.5</v>
      </c>
      <c r="DW94" s="617">
        <f t="shared" si="427"/>
        <v>201.25</v>
      </c>
      <c r="DX94" s="617">
        <f t="shared" si="427"/>
        <v>201.25</v>
      </c>
      <c r="DY94" s="617">
        <f t="shared" si="427"/>
        <v>201.25</v>
      </c>
      <c r="DZ94" s="618">
        <f t="shared" si="427"/>
        <v>201.25</v>
      </c>
      <c r="EA94" s="617">
        <f>DW94+DX94</f>
        <v>402.5</v>
      </c>
      <c r="EB94" s="617">
        <f>DY94+DZ94</f>
        <v>402.5</v>
      </c>
      <c r="EC94" s="651">
        <f>EC86*11.5</f>
        <v>805</v>
      </c>
      <c r="ED94" s="617">
        <f t="shared" si="428"/>
        <v>201.25</v>
      </c>
      <c r="EE94" s="617">
        <f t="shared" si="428"/>
        <v>201.25</v>
      </c>
      <c r="EF94" s="617">
        <f t="shared" si="428"/>
        <v>201.25</v>
      </c>
      <c r="EG94" s="618">
        <f t="shared" si="428"/>
        <v>201.25</v>
      </c>
      <c r="EH94" s="617">
        <f>ED94+EE94</f>
        <v>402.5</v>
      </c>
      <c r="EI94" s="617">
        <f>EF94+EG94</f>
        <v>402.5</v>
      </c>
      <c r="EJ94" s="651">
        <f>EJ86*11.5</f>
        <v>805</v>
      </c>
      <c r="EK94" s="617">
        <f t="shared" si="429"/>
        <v>201.25</v>
      </c>
      <c r="EL94" s="617">
        <f t="shared" si="429"/>
        <v>201.25</v>
      </c>
      <c r="EM94" s="617">
        <f t="shared" si="429"/>
        <v>201.25</v>
      </c>
      <c r="EN94" s="618">
        <f t="shared" si="429"/>
        <v>201.25</v>
      </c>
      <c r="EO94" s="617">
        <f>EK94+EL94</f>
        <v>402.5</v>
      </c>
      <c r="EP94" s="617">
        <f>EM94+EN94</f>
        <v>402.5</v>
      </c>
      <c r="EQ94" s="651">
        <f>EQ86*11.5</f>
        <v>805</v>
      </c>
    </row>
    <row r="95" spans="1:147" ht="10.199999999999999" customHeight="1">
      <c r="A95" s="130" t="str">
        <f>A87</f>
        <v>A330ceo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698"/>
      <c r="S95" s="130"/>
      <c r="T95" s="130"/>
      <c r="U95" s="619"/>
      <c r="V95" s="130"/>
      <c r="W95" s="130"/>
      <c r="X95" s="130"/>
      <c r="Y95" s="698"/>
      <c r="Z95" s="130"/>
      <c r="AA95" s="130"/>
      <c r="AB95" s="619"/>
      <c r="AC95" s="130"/>
      <c r="AD95" s="130"/>
      <c r="AE95" s="130"/>
      <c r="AF95" s="698"/>
      <c r="AG95" s="130"/>
      <c r="AH95" s="130"/>
      <c r="AI95" s="619"/>
      <c r="AJ95" s="130"/>
      <c r="AK95" s="130"/>
      <c r="AL95" s="130"/>
      <c r="AM95" s="698"/>
      <c r="AN95" s="130"/>
      <c r="AO95" s="130"/>
      <c r="AP95" s="619"/>
      <c r="AQ95" s="130">
        <f t="shared" ref="AQ95:AT95" si="442">(AQ87*11)/4</f>
        <v>13</v>
      </c>
      <c r="AR95" s="130">
        <f t="shared" si="442"/>
        <v>18</v>
      </c>
      <c r="AS95" s="130">
        <f t="shared" si="442"/>
        <v>14</v>
      </c>
      <c r="AT95" s="698">
        <f t="shared" si="442"/>
        <v>22</v>
      </c>
      <c r="AU95" s="130">
        <f>AQ95+AR95</f>
        <v>31</v>
      </c>
      <c r="AV95" s="130">
        <f>AS95+AT95</f>
        <v>36</v>
      </c>
      <c r="AW95" s="619">
        <f t="shared" ref="AW95:AW97" si="443">AW87*11</f>
        <v>67</v>
      </c>
      <c r="AX95" s="130">
        <f t="shared" ref="AX95:BA95" si="444">(AX87*11)/4</f>
        <v>13</v>
      </c>
      <c r="AY95" s="130">
        <f t="shared" si="444"/>
        <v>18</v>
      </c>
      <c r="AZ95" s="130">
        <f t="shared" si="444"/>
        <v>14</v>
      </c>
      <c r="BA95" s="698">
        <f t="shared" si="444"/>
        <v>22</v>
      </c>
      <c r="BB95" s="130">
        <f>AX95+AY95</f>
        <v>31</v>
      </c>
      <c r="BC95" s="130">
        <f>AZ95+BA95</f>
        <v>36</v>
      </c>
      <c r="BD95" s="619">
        <f t="shared" ref="BD95" si="445">BD87*11</f>
        <v>67</v>
      </c>
      <c r="BE95" s="130">
        <f t="shared" ref="BE95:BH95" si="446">(BE87*11)/4</f>
        <v>8</v>
      </c>
      <c r="BF95" s="130">
        <f t="shared" si="446"/>
        <v>10</v>
      </c>
      <c r="BG95" s="130">
        <f t="shared" si="446"/>
        <v>13</v>
      </c>
      <c r="BH95" s="698">
        <f t="shared" si="446"/>
        <v>14.999999999999998</v>
      </c>
      <c r="BI95" s="130">
        <f>BE95+BF95</f>
        <v>18</v>
      </c>
      <c r="BJ95" s="130">
        <f>BG95+BH95</f>
        <v>28</v>
      </c>
      <c r="BK95" s="619">
        <f t="shared" ref="BK95:CM97" si="447">BK87*11</f>
        <v>46</v>
      </c>
      <c r="BL95" s="130">
        <f t="shared" ref="BL95:BO95" si="448">(BL87*11)/4</f>
        <v>2</v>
      </c>
      <c r="BM95" s="130">
        <f t="shared" si="448"/>
        <v>2</v>
      </c>
      <c r="BN95" s="130">
        <f t="shared" si="448"/>
        <v>4</v>
      </c>
      <c r="BO95" s="698">
        <f t="shared" si="448"/>
        <v>4</v>
      </c>
      <c r="BP95" s="130">
        <f>BL95+BM95</f>
        <v>4</v>
      </c>
      <c r="BQ95" s="130">
        <f>BN95+BO95</f>
        <v>8</v>
      </c>
      <c r="BR95" s="619">
        <f t="shared" si="447"/>
        <v>12</v>
      </c>
      <c r="BS95" s="130">
        <f t="shared" ref="BS95:BV95" si="449">(BS87*11)/4</f>
        <v>2</v>
      </c>
      <c r="BT95" s="130">
        <f t="shared" si="449"/>
        <v>1</v>
      </c>
      <c r="BU95" s="130">
        <f t="shared" si="449"/>
        <v>1</v>
      </c>
      <c r="BV95" s="698">
        <f t="shared" si="449"/>
        <v>2</v>
      </c>
      <c r="BW95" s="130">
        <f>BS95+BT95</f>
        <v>3</v>
      </c>
      <c r="BX95" s="130">
        <f>BU95+BV95</f>
        <v>3</v>
      </c>
      <c r="BY95" s="619">
        <f t="shared" si="447"/>
        <v>6</v>
      </c>
      <c r="BZ95" s="130">
        <f t="shared" ref="BZ95:CC95" si="450">(BZ87*11)/4</f>
        <v>0</v>
      </c>
      <c r="CA95" s="130">
        <f t="shared" si="450"/>
        <v>1</v>
      </c>
      <c r="CB95" s="130">
        <f t="shared" si="450"/>
        <v>1</v>
      </c>
      <c r="CC95" s="698">
        <f t="shared" si="450"/>
        <v>2</v>
      </c>
      <c r="CD95" s="130">
        <f>BZ95+CA95</f>
        <v>1</v>
      </c>
      <c r="CE95" s="130">
        <f>CB95+CC95</f>
        <v>3</v>
      </c>
      <c r="CF95" s="619">
        <f t="shared" si="447"/>
        <v>4</v>
      </c>
      <c r="CG95" s="130">
        <f t="shared" ref="CG95:CJ97" si="451">(CG87*11)/4</f>
        <v>2</v>
      </c>
      <c r="CH95" s="130">
        <f t="shared" si="451"/>
        <v>3</v>
      </c>
      <c r="CI95" s="130">
        <f t="shared" si="451"/>
        <v>0</v>
      </c>
      <c r="CJ95" s="698">
        <f t="shared" si="451"/>
        <v>4</v>
      </c>
      <c r="CK95" s="130">
        <f>CG95+CH95</f>
        <v>5</v>
      </c>
      <c r="CL95" s="130">
        <f>CI95+CJ95</f>
        <v>4</v>
      </c>
      <c r="CM95" s="619">
        <f t="shared" si="447"/>
        <v>9</v>
      </c>
      <c r="CN95" s="130">
        <f t="shared" ref="CN95:CQ97" si="452">(CN87*11)/4</f>
        <v>1</v>
      </c>
      <c r="CO95" s="130">
        <f t="shared" si="452"/>
        <v>1</v>
      </c>
      <c r="CP95" s="130">
        <f t="shared" ref="CP95" si="453">(CP87*11)/4</f>
        <v>0</v>
      </c>
      <c r="CQ95" s="698">
        <f t="shared" si="452"/>
        <v>1</v>
      </c>
      <c r="CR95" s="130">
        <f>CN95+CO95</f>
        <v>2</v>
      </c>
      <c r="CS95" s="130">
        <f>CP95+CQ95</f>
        <v>1</v>
      </c>
      <c r="CT95" s="619">
        <f>CT87*11</f>
        <v>3</v>
      </c>
      <c r="CU95" s="130">
        <f t="shared" ref="CU95:CV95" si="454">(CU87*11)/4</f>
        <v>0</v>
      </c>
      <c r="CV95" s="130">
        <f t="shared" si="454"/>
        <v>0</v>
      </c>
      <c r="CW95" s="130">
        <f t="shared" ref="CW95:CX95" si="455">(CW87*11)/4</f>
        <v>0</v>
      </c>
      <c r="CX95" s="698">
        <f t="shared" si="455"/>
        <v>2</v>
      </c>
      <c r="CY95" s="130">
        <f>CU95+CV95</f>
        <v>0</v>
      </c>
      <c r="CZ95" s="130">
        <f>CW95+CX95</f>
        <v>2</v>
      </c>
      <c r="DA95" s="619">
        <f>DA87*11</f>
        <v>2</v>
      </c>
      <c r="DB95" s="130">
        <f t="shared" ref="DB95:DD95" si="456">(DB87*11)/4</f>
        <v>0</v>
      </c>
      <c r="DC95" s="130">
        <f t="shared" si="456"/>
        <v>1</v>
      </c>
      <c r="DD95" s="130">
        <f t="shared" si="456"/>
        <v>0</v>
      </c>
      <c r="DE95" s="698">
        <f t="shared" ref="DE95:DE97" si="457">(DE87*11)/4</f>
        <v>1</v>
      </c>
      <c r="DF95" s="130">
        <f>DB95+DC95</f>
        <v>1</v>
      </c>
      <c r="DG95" s="130">
        <f>DD95+DE95</f>
        <v>1</v>
      </c>
      <c r="DH95" s="619">
        <f>DH87*11</f>
        <v>2</v>
      </c>
      <c r="DI95" s="130">
        <f t="shared" ref="DI95:DL97" si="458">(DI87*11)/4</f>
        <v>0</v>
      </c>
      <c r="DJ95" s="130">
        <f t="shared" si="458"/>
        <v>1</v>
      </c>
      <c r="DK95" s="617">
        <f t="shared" si="458"/>
        <v>0.75</v>
      </c>
      <c r="DL95" s="618">
        <f t="shared" si="458"/>
        <v>0.75</v>
      </c>
      <c r="DM95" s="130">
        <f>DI95+DJ95</f>
        <v>1</v>
      </c>
      <c r="DN95" s="617">
        <f>DK95+DL95</f>
        <v>1.5</v>
      </c>
      <c r="DO95" s="651">
        <f>DO87*11</f>
        <v>2.5</v>
      </c>
      <c r="DP95" s="617">
        <f t="shared" ref="DP95:DS97" si="459">(DP87*11)/4</f>
        <v>0.75</v>
      </c>
      <c r="DQ95" s="617">
        <f t="shared" si="459"/>
        <v>0.75</v>
      </c>
      <c r="DR95" s="617">
        <f t="shared" si="459"/>
        <v>0.75</v>
      </c>
      <c r="DS95" s="618">
        <f t="shared" si="459"/>
        <v>0.75</v>
      </c>
      <c r="DT95" s="617">
        <f>DP95+DQ95</f>
        <v>1.5</v>
      </c>
      <c r="DU95" s="617">
        <f>DR95+DS95</f>
        <v>1.5</v>
      </c>
      <c r="DV95" s="651">
        <f>DV87*11</f>
        <v>3</v>
      </c>
      <c r="DW95" s="617">
        <f t="shared" ref="DW95:DZ97" si="460">(DW87*11)/4</f>
        <v>0.75</v>
      </c>
      <c r="DX95" s="617">
        <f t="shared" si="460"/>
        <v>0.75</v>
      </c>
      <c r="DY95" s="617">
        <f t="shared" si="460"/>
        <v>0.75</v>
      </c>
      <c r="DZ95" s="618">
        <f t="shared" si="460"/>
        <v>0.75</v>
      </c>
      <c r="EA95" s="617">
        <f>DW95+DX95</f>
        <v>1.5</v>
      </c>
      <c r="EB95" s="617">
        <f>DY95+DZ95</f>
        <v>1.5</v>
      </c>
      <c r="EC95" s="651">
        <f>EC87*11</f>
        <v>3</v>
      </c>
      <c r="ED95" s="617">
        <f t="shared" ref="ED95:EG97" si="461">(ED87*11)/4</f>
        <v>0.75</v>
      </c>
      <c r="EE95" s="617">
        <f t="shared" si="461"/>
        <v>0.75</v>
      </c>
      <c r="EF95" s="617">
        <f t="shared" si="461"/>
        <v>0.75</v>
      </c>
      <c r="EG95" s="618">
        <f t="shared" si="461"/>
        <v>0.75</v>
      </c>
      <c r="EH95" s="617">
        <f>ED95+EE95</f>
        <v>1.5</v>
      </c>
      <c r="EI95" s="617">
        <f>EF95+EG95</f>
        <v>1.5</v>
      </c>
      <c r="EJ95" s="651">
        <f>EJ87*11</f>
        <v>3</v>
      </c>
      <c r="EK95" s="617">
        <f t="shared" ref="EK95:EN97" si="462">(EK87*11)/4</f>
        <v>0.75</v>
      </c>
      <c r="EL95" s="617">
        <f t="shared" si="462"/>
        <v>0.75</v>
      </c>
      <c r="EM95" s="617">
        <f t="shared" si="462"/>
        <v>0.75</v>
      </c>
      <c r="EN95" s="618">
        <f t="shared" si="462"/>
        <v>0.75</v>
      </c>
      <c r="EO95" s="617">
        <f>EK95+EL95</f>
        <v>1.5</v>
      </c>
      <c r="EP95" s="617">
        <f>EM95+EN95</f>
        <v>1.5</v>
      </c>
      <c r="EQ95" s="651">
        <f>EQ87*11</f>
        <v>3</v>
      </c>
    </row>
    <row r="96" spans="1:147" ht="10.199999999999999" customHeight="1">
      <c r="A96" s="130" t="str">
        <f>A88</f>
        <v>A330neo</v>
      </c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698"/>
      <c r="S96" s="130"/>
      <c r="T96" s="130"/>
      <c r="U96" s="619"/>
      <c r="V96" s="130"/>
      <c r="W96" s="130"/>
      <c r="X96" s="130"/>
      <c r="Y96" s="698"/>
      <c r="Z96" s="130"/>
      <c r="AA96" s="130"/>
      <c r="AB96" s="619"/>
      <c r="AC96" s="130"/>
      <c r="AD96" s="130"/>
      <c r="AE96" s="130"/>
      <c r="AF96" s="698"/>
      <c r="AG96" s="130"/>
      <c r="AH96" s="130"/>
      <c r="AI96" s="619"/>
      <c r="AJ96" s="130"/>
      <c r="AK96" s="130"/>
      <c r="AL96" s="130"/>
      <c r="AM96" s="698"/>
      <c r="AN96" s="130"/>
      <c r="AO96" s="130"/>
      <c r="AP96" s="619"/>
      <c r="AQ96" s="130">
        <f t="shared" ref="AQ96:AT96" si="463">(AQ88*11)/4</f>
        <v>0</v>
      </c>
      <c r="AR96" s="130">
        <f t="shared" si="463"/>
        <v>0</v>
      </c>
      <c r="AS96" s="130">
        <f t="shared" si="463"/>
        <v>0</v>
      </c>
      <c r="AT96" s="698">
        <f t="shared" si="463"/>
        <v>0</v>
      </c>
      <c r="AU96" s="130">
        <f>AQ96+AR96</f>
        <v>0</v>
      </c>
      <c r="AV96" s="130">
        <f>AS96+AT96</f>
        <v>0</v>
      </c>
      <c r="AW96" s="619">
        <f t="shared" si="443"/>
        <v>0</v>
      </c>
      <c r="AX96" s="130">
        <f t="shared" ref="AX96:BA96" si="464">(AX88*11)/4</f>
        <v>0</v>
      </c>
      <c r="AY96" s="130">
        <f t="shared" si="464"/>
        <v>0</v>
      </c>
      <c r="AZ96" s="130">
        <f t="shared" si="464"/>
        <v>0</v>
      </c>
      <c r="BA96" s="698">
        <f t="shared" si="464"/>
        <v>0</v>
      </c>
      <c r="BB96" s="130">
        <f>AX96+AY96</f>
        <v>0</v>
      </c>
      <c r="BC96" s="130">
        <f>AZ96+BA96</f>
        <v>0</v>
      </c>
      <c r="BD96" s="619">
        <f t="shared" ref="BD96" si="465">BD88*11</f>
        <v>0</v>
      </c>
      <c r="BE96" s="130">
        <f t="shared" ref="BE96:BH96" si="466">(BE88*11)/4</f>
        <v>0</v>
      </c>
      <c r="BF96" s="130">
        <f t="shared" si="466"/>
        <v>0</v>
      </c>
      <c r="BG96" s="130">
        <f t="shared" si="466"/>
        <v>0</v>
      </c>
      <c r="BH96" s="698">
        <f t="shared" si="466"/>
        <v>3</v>
      </c>
      <c r="BI96" s="130">
        <f>BE96+BF96</f>
        <v>0</v>
      </c>
      <c r="BJ96" s="130">
        <f>BG96+BH96</f>
        <v>3</v>
      </c>
      <c r="BK96" s="619">
        <f t="shared" si="447"/>
        <v>3</v>
      </c>
      <c r="BL96" s="130">
        <f t="shared" ref="BL96:BO96" si="467">(BL88*11)/4</f>
        <v>3</v>
      </c>
      <c r="BM96" s="130">
        <f t="shared" si="467"/>
        <v>10</v>
      </c>
      <c r="BN96" s="130">
        <f t="shared" si="467"/>
        <v>13</v>
      </c>
      <c r="BO96" s="698">
        <f t="shared" si="467"/>
        <v>14.999999999999998</v>
      </c>
      <c r="BP96" s="130">
        <f>BL96+BM96</f>
        <v>13</v>
      </c>
      <c r="BQ96" s="130">
        <f>BN96+BO96</f>
        <v>28</v>
      </c>
      <c r="BR96" s="619">
        <f t="shared" si="447"/>
        <v>41</v>
      </c>
      <c r="BS96" s="130">
        <f t="shared" ref="BS96:BV96" si="468">(BS88*11)/4</f>
        <v>2</v>
      </c>
      <c r="BT96" s="130">
        <f t="shared" si="468"/>
        <v>0</v>
      </c>
      <c r="BU96" s="130">
        <f t="shared" si="468"/>
        <v>3</v>
      </c>
      <c r="BV96" s="698">
        <f t="shared" si="468"/>
        <v>8</v>
      </c>
      <c r="BW96" s="130">
        <f>BS96+BT96</f>
        <v>2</v>
      </c>
      <c r="BX96" s="130">
        <f>BU96+BV96</f>
        <v>11</v>
      </c>
      <c r="BY96" s="619">
        <f t="shared" si="447"/>
        <v>13</v>
      </c>
      <c r="BZ96" s="130">
        <f t="shared" ref="BZ96:CC96" si="469">(BZ88*11)/4</f>
        <v>1</v>
      </c>
      <c r="CA96" s="130">
        <f t="shared" si="469"/>
        <v>5</v>
      </c>
      <c r="CB96" s="130">
        <f t="shared" si="469"/>
        <v>3</v>
      </c>
      <c r="CC96" s="698">
        <f t="shared" si="469"/>
        <v>5</v>
      </c>
      <c r="CD96" s="130">
        <f>BZ96+CA96</f>
        <v>6</v>
      </c>
      <c r="CE96" s="130">
        <f>CB96+CC96</f>
        <v>8</v>
      </c>
      <c r="CF96" s="619">
        <f t="shared" si="447"/>
        <v>14</v>
      </c>
      <c r="CG96" s="130">
        <f t="shared" ref="CG96:CH96" si="470">(CG88*11)/4</f>
        <v>4</v>
      </c>
      <c r="CH96" s="130">
        <f t="shared" si="470"/>
        <v>4</v>
      </c>
      <c r="CI96" s="130">
        <f t="shared" si="451"/>
        <v>3</v>
      </c>
      <c r="CJ96" s="698">
        <f t="shared" si="451"/>
        <v>12</v>
      </c>
      <c r="CK96" s="130">
        <f>CG96+CH96</f>
        <v>8</v>
      </c>
      <c r="CL96" s="130">
        <f>CI96+CJ96</f>
        <v>15</v>
      </c>
      <c r="CM96" s="619">
        <f t="shared" si="447"/>
        <v>23</v>
      </c>
      <c r="CN96" s="130">
        <f t="shared" si="452"/>
        <v>5</v>
      </c>
      <c r="CO96" s="130">
        <f t="shared" si="452"/>
        <v>7</v>
      </c>
      <c r="CP96" s="130">
        <f t="shared" ref="CP96" si="471">(CP88*11)/4</f>
        <v>6</v>
      </c>
      <c r="CQ96" s="698">
        <f t="shared" si="452"/>
        <v>11</v>
      </c>
      <c r="CR96" s="130">
        <f>CN96+CO96</f>
        <v>12</v>
      </c>
      <c r="CS96" s="130">
        <f>CP96+CQ96</f>
        <v>17</v>
      </c>
      <c r="CT96" s="619">
        <f>CT88*11</f>
        <v>29</v>
      </c>
      <c r="CU96" s="130">
        <f t="shared" ref="CU96:CV96" si="472">(CU88*11)/4</f>
        <v>7</v>
      </c>
      <c r="CV96" s="130">
        <f t="shared" si="472"/>
        <v>6</v>
      </c>
      <c r="CW96" s="130">
        <f t="shared" ref="CW96:CX96" si="473">(CW88*11)/4</f>
        <v>7</v>
      </c>
      <c r="CX96" s="698">
        <f t="shared" si="473"/>
        <v>10</v>
      </c>
      <c r="CY96" s="130">
        <f>CU96+CV96</f>
        <v>13</v>
      </c>
      <c r="CZ96" s="130">
        <f>CW96+CX96</f>
        <v>17</v>
      </c>
      <c r="DA96" s="619">
        <f>DA88*11</f>
        <v>29.999999999999996</v>
      </c>
      <c r="DB96" s="130">
        <f t="shared" ref="DB96:DD96" si="474">(DB88*11)/4</f>
        <v>4</v>
      </c>
      <c r="DC96" s="130">
        <f t="shared" si="474"/>
        <v>7</v>
      </c>
      <c r="DD96" s="130">
        <f t="shared" si="474"/>
        <v>8</v>
      </c>
      <c r="DE96" s="698">
        <f t="shared" si="457"/>
        <v>14.999999999999998</v>
      </c>
      <c r="DF96" s="130">
        <f>DB96+DC96</f>
        <v>11</v>
      </c>
      <c r="DG96" s="130">
        <f>DD96+DE96</f>
        <v>23</v>
      </c>
      <c r="DH96" s="619">
        <f>DH88*11</f>
        <v>34</v>
      </c>
      <c r="DI96" s="130">
        <f t="shared" si="458"/>
        <v>3</v>
      </c>
      <c r="DJ96" s="130">
        <f t="shared" si="458"/>
        <v>6</v>
      </c>
      <c r="DK96" s="617">
        <f t="shared" si="458"/>
        <v>8.25</v>
      </c>
      <c r="DL96" s="618">
        <f t="shared" si="458"/>
        <v>8.25</v>
      </c>
      <c r="DM96" s="130">
        <f>DI96+DJ96</f>
        <v>9</v>
      </c>
      <c r="DN96" s="617">
        <f>DK96+DL96</f>
        <v>16.5</v>
      </c>
      <c r="DO96" s="651">
        <f>DO88*11</f>
        <v>25.5</v>
      </c>
      <c r="DP96" s="617">
        <f t="shared" si="459"/>
        <v>8.25</v>
      </c>
      <c r="DQ96" s="617">
        <f t="shared" si="459"/>
        <v>8.25</v>
      </c>
      <c r="DR96" s="617">
        <f t="shared" si="459"/>
        <v>8.25</v>
      </c>
      <c r="DS96" s="618">
        <f t="shared" si="459"/>
        <v>8.25</v>
      </c>
      <c r="DT96" s="617">
        <f>DP96+DQ96</f>
        <v>16.5</v>
      </c>
      <c r="DU96" s="617">
        <f>DR96+DS96</f>
        <v>16.5</v>
      </c>
      <c r="DV96" s="651">
        <f>DV88*11</f>
        <v>33</v>
      </c>
      <c r="DW96" s="617">
        <f t="shared" si="460"/>
        <v>8.25</v>
      </c>
      <c r="DX96" s="617">
        <f t="shared" si="460"/>
        <v>8.25</v>
      </c>
      <c r="DY96" s="617">
        <f t="shared" si="460"/>
        <v>8.25</v>
      </c>
      <c r="DZ96" s="618">
        <f t="shared" si="460"/>
        <v>8.25</v>
      </c>
      <c r="EA96" s="617">
        <f>DW96+DX96</f>
        <v>16.5</v>
      </c>
      <c r="EB96" s="617">
        <f>DY96+DZ96</f>
        <v>16.5</v>
      </c>
      <c r="EC96" s="651">
        <f>EC88*11</f>
        <v>33</v>
      </c>
      <c r="ED96" s="617">
        <f t="shared" si="461"/>
        <v>8.25</v>
      </c>
      <c r="EE96" s="617">
        <f t="shared" si="461"/>
        <v>8.25</v>
      </c>
      <c r="EF96" s="617">
        <f t="shared" si="461"/>
        <v>8.25</v>
      </c>
      <c r="EG96" s="618">
        <f t="shared" si="461"/>
        <v>8.25</v>
      </c>
      <c r="EH96" s="617">
        <f>ED96+EE96</f>
        <v>16.5</v>
      </c>
      <c r="EI96" s="617">
        <f>EF96+EG96</f>
        <v>16.5</v>
      </c>
      <c r="EJ96" s="651">
        <f>EJ88*11</f>
        <v>33</v>
      </c>
      <c r="EK96" s="617">
        <f t="shared" si="462"/>
        <v>11</v>
      </c>
      <c r="EL96" s="617">
        <f t="shared" si="462"/>
        <v>11</v>
      </c>
      <c r="EM96" s="617">
        <f t="shared" si="462"/>
        <v>11</v>
      </c>
      <c r="EN96" s="618">
        <f t="shared" si="462"/>
        <v>11</v>
      </c>
      <c r="EO96" s="617">
        <f>EK96+EL96</f>
        <v>22</v>
      </c>
      <c r="EP96" s="617">
        <f>EM96+EN96</f>
        <v>22</v>
      </c>
      <c r="EQ96" s="651">
        <f>EQ88*11</f>
        <v>44</v>
      </c>
    </row>
    <row r="97" spans="1:147" ht="10.199999999999999" customHeight="1">
      <c r="A97" s="130" t="str">
        <f>A89</f>
        <v>A350</v>
      </c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698"/>
      <c r="S97" s="130"/>
      <c r="T97" s="130"/>
      <c r="U97" s="619"/>
      <c r="V97" s="130"/>
      <c r="W97" s="130"/>
      <c r="X97" s="130"/>
      <c r="Y97" s="698"/>
      <c r="Z97" s="130"/>
      <c r="AA97" s="130"/>
      <c r="AB97" s="619"/>
      <c r="AC97" s="130"/>
      <c r="AD97" s="130"/>
      <c r="AE97" s="130"/>
      <c r="AF97" s="698"/>
      <c r="AG97" s="130"/>
      <c r="AH97" s="130"/>
      <c r="AI97" s="619"/>
      <c r="AJ97" s="130"/>
      <c r="AK97" s="130"/>
      <c r="AL97" s="130"/>
      <c r="AM97" s="698"/>
      <c r="AN97" s="130"/>
      <c r="AO97" s="130"/>
      <c r="AP97" s="619"/>
      <c r="AQ97" s="130">
        <f t="shared" ref="AQ97:AT97" si="475">(AQ89*11)/4</f>
        <v>13</v>
      </c>
      <c r="AR97" s="130">
        <f t="shared" si="475"/>
        <v>17</v>
      </c>
      <c r="AS97" s="130">
        <f t="shared" si="475"/>
        <v>20</v>
      </c>
      <c r="AT97" s="698">
        <f t="shared" si="475"/>
        <v>28</v>
      </c>
      <c r="AU97" s="130">
        <f>AQ97+AR97</f>
        <v>30</v>
      </c>
      <c r="AV97" s="130">
        <f>AS97+AT97</f>
        <v>48</v>
      </c>
      <c r="AW97" s="619">
        <f t="shared" si="443"/>
        <v>78</v>
      </c>
      <c r="AX97" s="130">
        <f t="shared" ref="AX97:BA97" si="476">(AX89*11)/4</f>
        <v>13</v>
      </c>
      <c r="AY97" s="130">
        <f t="shared" si="476"/>
        <v>17</v>
      </c>
      <c r="AZ97" s="130">
        <f t="shared" si="476"/>
        <v>20</v>
      </c>
      <c r="BA97" s="698">
        <f t="shared" si="476"/>
        <v>28</v>
      </c>
      <c r="BB97" s="130">
        <f>AX97+AY97</f>
        <v>30</v>
      </c>
      <c r="BC97" s="130">
        <f>AZ97+BA97</f>
        <v>48</v>
      </c>
      <c r="BD97" s="619">
        <f t="shared" ref="BD97" si="477">BD89*11</f>
        <v>78</v>
      </c>
      <c r="BE97" s="130">
        <f t="shared" ref="BE97:BH97" si="478">(BE89*11)/4</f>
        <v>17</v>
      </c>
      <c r="BF97" s="130">
        <f t="shared" si="478"/>
        <v>23</v>
      </c>
      <c r="BG97" s="130">
        <f t="shared" si="478"/>
        <v>21</v>
      </c>
      <c r="BH97" s="698">
        <f t="shared" si="478"/>
        <v>32</v>
      </c>
      <c r="BI97" s="130">
        <f>BE97+BF97</f>
        <v>40</v>
      </c>
      <c r="BJ97" s="130">
        <f>BG97+BH97</f>
        <v>53</v>
      </c>
      <c r="BK97" s="619">
        <f t="shared" si="447"/>
        <v>93</v>
      </c>
      <c r="BL97" s="130">
        <f t="shared" ref="BL97:BO97" si="479">(BL89*11)/4</f>
        <v>19</v>
      </c>
      <c r="BM97" s="130">
        <f t="shared" si="479"/>
        <v>34</v>
      </c>
      <c r="BN97" s="130">
        <f t="shared" si="479"/>
        <v>24</v>
      </c>
      <c r="BO97" s="698">
        <f t="shared" si="479"/>
        <v>35</v>
      </c>
      <c r="BP97" s="130">
        <f>BL97+BM97</f>
        <v>53</v>
      </c>
      <c r="BQ97" s="130">
        <f>BN97+BO97</f>
        <v>59</v>
      </c>
      <c r="BR97" s="619">
        <f t="shared" si="447"/>
        <v>112</v>
      </c>
      <c r="BS97" s="130">
        <f t="shared" ref="BS97:BV97" si="480">(BS89*11)/4</f>
        <v>14</v>
      </c>
      <c r="BT97" s="130">
        <f t="shared" si="480"/>
        <v>9</v>
      </c>
      <c r="BU97" s="130">
        <f t="shared" si="480"/>
        <v>9</v>
      </c>
      <c r="BV97" s="698">
        <f t="shared" si="480"/>
        <v>27</v>
      </c>
      <c r="BW97" s="130">
        <f>BS97+BT97</f>
        <v>23</v>
      </c>
      <c r="BX97" s="130">
        <f>BU97+BV97</f>
        <v>36</v>
      </c>
      <c r="BY97" s="619">
        <f t="shared" si="447"/>
        <v>59</v>
      </c>
      <c r="BZ97" s="130">
        <f t="shared" ref="BZ97:CC97" si="481">(BZ89*11)/4</f>
        <v>10</v>
      </c>
      <c r="CA97" s="130">
        <f t="shared" si="481"/>
        <v>20</v>
      </c>
      <c r="CB97" s="130">
        <f t="shared" si="481"/>
        <v>6</v>
      </c>
      <c r="CC97" s="698">
        <f t="shared" si="481"/>
        <v>19</v>
      </c>
      <c r="CD97" s="130">
        <f>BZ97+CA97</f>
        <v>30</v>
      </c>
      <c r="CE97" s="130">
        <f>CB97+CC97</f>
        <v>25</v>
      </c>
      <c r="CF97" s="619">
        <f t="shared" si="447"/>
        <v>55</v>
      </c>
      <c r="CG97" s="130">
        <f t="shared" ref="CG97:CH97" si="482">(CG89*11)/4</f>
        <v>16</v>
      </c>
      <c r="CH97" s="130">
        <f t="shared" si="482"/>
        <v>13</v>
      </c>
      <c r="CI97" s="130">
        <f t="shared" si="451"/>
        <v>13</v>
      </c>
      <c r="CJ97" s="698">
        <f t="shared" si="451"/>
        <v>18</v>
      </c>
      <c r="CK97" s="130">
        <f>CG97+CH97</f>
        <v>29</v>
      </c>
      <c r="CL97" s="130">
        <f>CI97+CJ97</f>
        <v>31</v>
      </c>
      <c r="CM97" s="619">
        <f t="shared" si="447"/>
        <v>59.999999999999993</v>
      </c>
      <c r="CN97" s="130">
        <f t="shared" si="452"/>
        <v>5</v>
      </c>
      <c r="CO97" s="130">
        <f t="shared" si="452"/>
        <v>16</v>
      </c>
      <c r="CP97" s="130">
        <f t="shared" ref="CP97" si="483">(CP89*11)/4</f>
        <v>14.999999999999998</v>
      </c>
      <c r="CQ97" s="698">
        <f t="shared" si="452"/>
        <v>28</v>
      </c>
      <c r="CR97" s="130">
        <f>CN97+CO97</f>
        <v>21</v>
      </c>
      <c r="CS97" s="130">
        <f>CP97+CQ97</f>
        <v>43</v>
      </c>
      <c r="CT97" s="619">
        <f>CT89*11</f>
        <v>64</v>
      </c>
      <c r="CU97" s="130">
        <f t="shared" ref="CU97:CV97" si="484">(CU89*11)/4</f>
        <v>7</v>
      </c>
      <c r="CV97" s="130">
        <f t="shared" si="484"/>
        <v>14</v>
      </c>
      <c r="CW97" s="130">
        <f t="shared" ref="CW97:CX97" si="485">(CW89*11)/4</f>
        <v>14.999999999999998</v>
      </c>
      <c r="CX97" s="698">
        <f t="shared" si="485"/>
        <v>21</v>
      </c>
      <c r="CY97" s="130">
        <f>CU97+CV97</f>
        <v>21</v>
      </c>
      <c r="CZ97" s="130">
        <f>CW97+CX97</f>
        <v>36</v>
      </c>
      <c r="DA97" s="619">
        <f>DA89*11</f>
        <v>57</v>
      </c>
      <c r="DB97" s="130">
        <f t="shared" ref="DB97:DD97" si="486">(DB89*11)/4</f>
        <v>9</v>
      </c>
      <c r="DC97" s="130">
        <f t="shared" si="486"/>
        <v>12</v>
      </c>
      <c r="DD97" s="130">
        <f t="shared" si="486"/>
        <v>12</v>
      </c>
      <c r="DE97" s="698">
        <f t="shared" si="457"/>
        <v>24</v>
      </c>
      <c r="DF97" s="130">
        <f>DB97+DC97</f>
        <v>21</v>
      </c>
      <c r="DG97" s="130">
        <f>DD97+DE97</f>
        <v>36</v>
      </c>
      <c r="DH97" s="619">
        <f>DH89*11</f>
        <v>57</v>
      </c>
      <c r="DI97" s="130">
        <f t="shared" si="458"/>
        <v>11</v>
      </c>
      <c r="DJ97" s="130">
        <f t="shared" si="458"/>
        <v>14.999999999999998</v>
      </c>
      <c r="DK97" s="617">
        <f t="shared" si="458"/>
        <v>22</v>
      </c>
      <c r="DL97" s="618">
        <f t="shared" si="458"/>
        <v>22</v>
      </c>
      <c r="DM97" s="130">
        <f>DI97+DJ97</f>
        <v>26</v>
      </c>
      <c r="DN97" s="617">
        <f>DK97+DL97</f>
        <v>44</v>
      </c>
      <c r="DO97" s="651">
        <f>DO89*11</f>
        <v>70</v>
      </c>
      <c r="DP97" s="617">
        <f t="shared" si="459"/>
        <v>22</v>
      </c>
      <c r="DQ97" s="617">
        <f t="shared" si="459"/>
        <v>22</v>
      </c>
      <c r="DR97" s="617">
        <f t="shared" si="459"/>
        <v>24.75</v>
      </c>
      <c r="DS97" s="618">
        <f t="shared" si="459"/>
        <v>24.75</v>
      </c>
      <c r="DT97" s="617">
        <f>DP97+DQ97</f>
        <v>44</v>
      </c>
      <c r="DU97" s="617">
        <f>DR97+DS97</f>
        <v>49.5</v>
      </c>
      <c r="DV97" s="651">
        <f>DV89*11</f>
        <v>93.5</v>
      </c>
      <c r="DW97" s="617">
        <f t="shared" si="460"/>
        <v>24.75</v>
      </c>
      <c r="DX97" s="617">
        <f t="shared" si="460"/>
        <v>24.75</v>
      </c>
      <c r="DY97" s="617">
        <f t="shared" si="460"/>
        <v>27.5</v>
      </c>
      <c r="DZ97" s="618">
        <f t="shared" si="460"/>
        <v>27.5</v>
      </c>
      <c r="EA97" s="617">
        <f>DW97+DX97</f>
        <v>49.5</v>
      </c>
      <c r="EB97" s="617">
        <f>DY97+DZ97</f>
        <v>55</v>
      </c>
      <c r="EC97" s="651">
        <f>EC89*11</f>
        <v>104.5</v>
      </c>
      <c r="ED97" s="617">
        <f t="shared" si="461"/>
        <v>27.5</v>
      </c>
      <c r="EE97" s="617">
        <f t="shared" si="461"/>
        <v>27.5</v>
      </c>
      <c r="EF97" s="617">
        <f t="shared" si="461"/>
        <v>27.5</v>
      </c>
      <c r="EG97" s="618">
        <f t="shared" si="461"/>
        <v>27.5</v>
      </c>
      <c r="EH97" s="617">
        <f>ED97+EE97</f>
        <v>55</v>
      </c>
      <c r="EI97" s="617">
        <f>EF97+EG97</f>
        <v>55</v>
      </c>
      <c r="EJ97" s="651">
        <f>EJ89*11</f>
        <v>110</v>
      </c>
      <c r="EK97" s="617">
        <f t="shared" si="462"/>
        <v>27.5</v>
      </c>
      <c r="EL97" s="617">
        <f t="shared" si="462"/>
        <v>27.5</v>
      </c>
      <c r="EM97" s="617">
        <f t="shared" si="462"/>
        <v>27.5</v>
      </c>
      <c r="EN97" s="618">
        <f t="shared" si="462"/>
        <v>27.5</v>
      </c>
      <c r="EO97" s="617">
        <f>EK97+EL97</f>
        <v>55</v>
      </c>
      <c r="EP97" s="617">
        <f>EM97+EN97</f>
        <v>55</v>
      </c>
      <c r="EQ97" s="651">
        <f>EQ89*11</f>
        <v>110</v>
      </c>
    </row>
    <row r="98" spans="1:147" ht="10.199999999999999" customHeight="1">
      <c r="A98" s="92" t="s">
        <v>167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699"/>
      <c r="S98" s="92"/>
      <c r="T98" s="92"/>
      <c r="U98" s="1289"/>
      <c r="V98" s="92"/>
      <c r="W98" s="92"/>
      <c r="X98" s="92"/>
      <c r="Y98" s="699"/>
      <c r="Z98" s="92"/>
      <c r="AA98" s="92"/>
      <c r="AB98" s="1289"/>
      <c r="AC98" s="92"/>
      <c r="AD98" s="92"/>
      <c r="AE98" s="92"/>
      <c r="AF98" s="699"/>
      <c r="AG98" s="92"/>
      <c r="AH98" s="92"/>
      <c r="AI98" s="1289"/>
      <c r="AJ98" s="92"/>
      <c r="AK98" s="92"/>
      <c r="AL98" s="92"/>
      <c r="AM98" s="699"/>
      <c r="AN98" s="92"/>
      <c r="AO98" s="92"/>
      <c r="AP98" s="1289"/>
      <c r="AQ98" s="92">
        <f t="shared" ref="AQ98" si="487">SUM(AQ93:AQ97)</f>
        <v>52</v>
      </c>
      <c r="AR98" s="92">
        <f t="shared" ref="AR98:AV98" si="488">SUM(AR93:AR97)</f>
        <v>68</v>
      </c>
      <c r="AS98" s="92">
        <f t="shared" si="488"/>
        <v>65</v>
      </c>
      <c r="AT98" s="699">
        <f t="shared" si="488"/>
        <v>141</v>
      </c>
      <c r="AU98" s="92">
        <f t="shared" si="488"/>
        <v>120</v>
      </c>
      <c r="AV98" s="92">
        <f t="shared" si="488"/>
        <v>206</v>
      </c>
      <c r="AW98" s="1289">
        <f t="shared" ref="AW98" si="489">SUM(AW93:AW97)</f>
        <v>326</v>
      </c>
      <c r="AX98" s="92">
        <f t="shared" ref="AX98" si="490">SUM(AX93:AX97)</f>
        <v>52</v>
      </c>
      <c r="AY98" s="92">
        <f t="shared" ref="AY98:BC98" si="491">SUM(AY93:AY97)</f>
        <v>68</v>
      </c>
      <c r="AZ98" s="92">
        <f t="shared" si="491"/>
        <v>65</v>
      </c>
      <c r="BA98" s="699">
        <f t="shared" si="491"/>
        <v>141</v>
      </c>
      <c r="BB98" s="92">
        <f t="shared" si="491"/>
        <v>120</v>
      </c>
      <c r="BC98" s="92">
        <f t="shared" si="491"/>
        <v>206</v>
      </c>
      <c r="BD98" s="1289">
        <f t="shared" ref="BD98" si="492">SUM(BD93:BD97)</f>
        <v>326</v>
      </c>
      <c r="BE98" s="92">
        <f t="shared" ref="BE98" si="493">SUM(BE93:BE97)</f>
        <v>55</v>
      </c>
      <c r="BF98" s="92">
        <f t="shared" ref="BF98:BJ98" si="494">SUM(BF93:BF97)</f>
        <v>113</v>
      </c>
      <c r="BG98" s="92">
        <f t="shared" si="494"/>
        <v>154</v>
      </c>
      <c r="BH98" s="699">
        <f t="shared" si="494"/>
        <v>226</v>
      </c>
      <c r="BI98" s="92">
        <f t="shared" si="494"/>
        <v>168</v>
      </c>
      <c r="BJ98" s="92">
        <f t="shared" si="494"/>
        <v>380</v>
      </c>
      <c r="BK98" s="1289">
        <f t="shared" ref="BK98:CN98" si="495">SUM(BK93:BK97)</f>
        <v>548</v>
      </c>
      <c r="BL98" s="92">
        <f t="shared" si="495"/>
        <v>133</v>
      </c>
      <c r="BM98" s="92">
        <f t="shared" ref="BM98:BQ98" si="496">SUM(BM93:BM97)</f>
        <v>192</v>
      </c>
      <c r="BN98" s="92">
        <f t="shared" si="496"/>
        <v>157</v>
      </c>
      <c r="BO98" s="699">
        <f t="shared" si="496"/>
        <v>282</v>
      </c>
      <c r="BP98" s="92">
        <f t="shared" si="496"/>
        <v>325</v>
      </c>
      <c r="BQ98" s="92">
        <f t="shared" si="496"/>
        <v>439</v>
      </c>
      <c r="BR98" s="1289">
        <f t="shared" si="495"/>
        <v>764</v>
      </c>
      <c r="BS98" s="92">
        <f t="shared" ref="BS98" si="497">SUM(BS93:BS97)</f>
        <v>117</v>
      </c>
      <c r="BT98" s="92">
        <f t="shared" ref="BT98:BX98" si="498">SUM(BT93:BT97)</f>
        <v>73</v>
      </c>
      <c r="BU98" s="92">
        <f t="shared" si="498"/>
        <v>141</v>
      </c>
      <c r="BV98" s="699">
        <f t="shared" si="498"/>
        <v>216</v>
      </c>
      <c r="BW98" s="92">
        <f t="shared" si="498"/>
        <v>190</v>
      </c>
      <c r="BX98" s="92">
        <f t="shared" si="498"/>
        <v>357</v>
      </c>
      <c r="BY98" s="1289">
        <f t="shared" si="495"/>
        <v>547</v>
      </c>
      <c r="BZ98" s="92">
        <f t="shared" si="495"/>
        <v>116</v>
      </c>
      <c r="CA98" s="92">
        <f t="shared" ref="CA98:CE98" si="499">SUM(CA93:CA97)</f>
        <v>163</v>
      </c>
      <c r="CB98" s="92">
        <f t="shared" si="499"/>
        <v>123</v>
      </c>
      <c r="CC98" s="699">
        <f t="shared" si="499"/>
        <v>180</v>
      </c>
      <c r="CD98" s="92">
        <f t="shared" si="499"/>
        <v>279</v>
      </c>
      <c r="CE98" s="92">
        <f t="shared" si="499"/>
        <v>303</v>
      </c>
      <c r="CF98" s="1289">
        <f t="shared" si="495"/>
        <v>582</v>
      </c>
      <c r="CG98" s="92">
        <f t="shared" ref="CG98" si="500">SUM(CG93:CG97)</f>
        <v>142</v>
      </c>
      <c r="CH98" s="92">
        <f t="shared" ref="CH98:CL98" si="501">SUM(CH93:CH97)</f>
        <v>155</v>
      </c>
      <c r="CI98" s="92">
        <f t="shared" si="501"/>
        <v>165</v>
      </c>
      <c r="CJ98" s="699">
        <f t="shared" si="501"/>
        <v>199</v>
      </c>
      <c r="CK98" s="92">
        <f t="shared" si="501"/>
        <v>297</v>
      </c>
      <c r="CL98" s="92">
        <f t="shared" si="501"/>
        <v>364</v>
      </c>
      <c r="CM98" s="1289">
        <f t="shared" si="495"/>
        <v>661</v>
      </c>
      <c r="CN98" s="92">
        <f t="shared" si="495"/>
        <v>127</v>
      </c>
      <c r="CO98" s="92">
        <f t="shared" ref="CO98:CT98" si="502">SUM(CO93:CO97)</f>
        <v>189</v>
      </c>
      <c r="CP98" s="92">
        <f t="shared" ref="CP98" si="503">SUM(CP93:CP97)</f>
        <v>172</v>
      </c>
      <c r="CQ98" s="699">
        <f t="shared" si="502"/>
        <v>247</v>
      </c>
      <c r="CR98" s="92">
        <f t="shared" si="502"/>
        <v>316</v>
      </c>
      <c r="CS98" s="92">
        <f t="shared" si="502"/>
        <v>419</v>
      </c>
      <c r="CT98" s="1289">
        <f t="shared" si="502"/>
        <v>735</v>
      </c>
      <c r="CU98" s="92">
        <f t="shared" ref="CU98:CV98" si="504">SUM(CU93:CU97)</f>
        <v>142</v>
      </c>
      <c r="CV98" s="92">
        <f t="shared" si="504"/>
        <v>181</v>
      </c>
      <c r="CW98" s="92">
        <f t="shared" ref="CW98:CX98" si="505">SUM(CW93:CW97)</f>
        <v>174</v>
      </c>
      <c r="CX98" s="699">
        <f t="shared" si="505"/>
        <v>269</v>
      </c>
      <c r="CY98" s="92">
        <f t="shared" ref="CY98:DZ98" si="506">SUM(CY93:CY97)</f>
        <v>323</v>
      </c>
      <c r="CZ98" s="92">
        <f t="shared" si="506"/>
        <v>443</v>
      </c>
      <c r="DA98" s="1289">
        <f t="shared" si="506"/>
        <v>766</v>
      </c>
      <c r="DB98" s="92">
        <f t="shared" si="506"/>
        <v>136</v>
      </c>
      <c r="DC98" s="92">
        <f t="shared" si="506"/>
        <v>170</v>
      </c>
      <c r="DD98" s="92">
        <f t="shared" si="506"/>
        <v>201</v>
      </c>
      <c r="DE98" s="699">
        <f t="shared" si="506"/>
        <v>286</v>
      </c>
      <c r="DF98" s="92">
        <f t="shared" ref="DF98" si="507">SUM(DF93:DF97)</f>
        <v>306</v>
      </c>
      <c r="DG98" s="92">
        <f t="shared" si="506"/>
        <v>487</v>
      </c>
      <c r="DH98" s="1289">
        <f t="shared" si="506"/>
        <v>793</v>
      </c>
      <c r="DI98" s="92">
        <f t="shared" si="506"/>
        <v>114</v>
      </c>
      <c r="DJ98" s="92">
        <f t="shared" ref="DJ98" si="508">SUM(DJ93:DJ97)</f>
        <v>237</v>
      </c>
      <c r="DK98" s="622">
        <f t="shared" si="506"/>
        <v>232.25</v>
      </c>
      <c r="DL98" s="623">
        <f t="shared" si="506"/>
        <v>235.125</v>
      </c>
      <c r="DM98" s="92">
        <f t="shared" si="506"/>
        <v>351</v>
      </c>
      <c r="DN98" s="622">
        <f t="shared" si="506"/>
        <v>467.375</v>
      </c>
      <c r="DO98" s="652">
        <f t="shared" si="506"/>
        <v>818.375</v>
      </c>
      <c r="DP98" s="622">
        <f t="shared" si="506"/>
        <v>246.625</v>
      </c>
      <c r="DQ98" s="622">
        <f t="shared" si="506"/>
        <v>246.625</v>
      </c>
      <c r="DR98" s="622">
        <f t="shared" si="506"/>
        <v>249.375</v>
      </c>
      <c r="DS98" s="623">
        <f t="shared" si="506"/>
        <v>249.375</v>
      </c>
      <c r="DT98" s="622">
        <f t="shared" si="506"/>
        <v>493.25</v>
      </c>
      <c r="DU98" s="622">
        <f t="shared" si="506"/>
        <v>498.75</v>
      </c>
      <c r="DV98" s="652">
        <f t="shared" si="506"/>
        <v>992</v>
      </c>
      <c r="DW98" s="622">
        <f t="shared" si="506"/>
        <v>263.75</v>
      </c>
      <c r="DX98" s="622">
        <f t="shared" si="506"/>
        <v>263.75</v>
      </c>
      <c r="DY98" s="622">
        <f t="shared" si="506"/>
        <v>266.5</v>
      </c>
      <c r="DZ98" s="623">
        <f t="shared" si="506"/>
        <v>266.5</v>
      </c>
      <c r="EA98" s="622">
        <f t="shared" ref="EA98:EQ98" si="509">SUM(EA93:EA97)</f>
        <v>527.5</v>
      </c>
      <c r="EB98" s="622">
        <f t="shared" si="509"/>
        <v>533</v>
      </c>
      <c r="EC98" s="652">
        <f t="shared" si="509"/>
        <v>1060.5</v>
      </c>
      <c r="ED98" s="622">
        <f t="shared" si="509"/>
        <v>266.5</v>
      </c>
      <c r="EE98" s="622">
        <f t="shared" si="509"/>
        <v>266.5</v>
      </c>
      <c r="EF98" s="622">
        <f t="shared" si="509"/>
        <v>266.5</v>
      </c>
      <c r="EG98" s="623">
        <f t="shared" si="509"/>
        <v>266.5</v>
      </c>
      <c r="EH98" s="622">
        <f t="shared" si="509"/>
        <v>533</v>
      </c>
      <c r="EI98" s="622">
        <f t="shared" si="509"/>
        <v>533</v>
      </c>
      <c r="EJ98" s="652">
        <f t="shared" si="509"/>
        <v>1066</v>
      </c>
      <c r="EK98" s="622">
        <f t="shared" si="509"/>
        <v>269.25</v>
      </c>
      <c r="EL98" s="622">
        <f t="shared" si="509"/>
        <v>269.25</v>
      </c>
      <c r="EM98" s="622">
        <f t="shared" si="509"/>
        <v>269.25</v>
      </c>
      <c r="EN98" s="623">
        <f t="shared" si="509"/>
        <v>269.25</v>
      </c>
      <c r="EO98" s="622">
        <f t="shared" si="509"/>
        <v>538.5</v>
      </c>
      <c r="EP98" s="622">
        <f t="shared" si="509"/>
        <v>538.5</v>
      </c>
      <c r="EQ98" s="652">
        <f t="shared" si="509"/>
        <v>1077</v>
      </c>
    </row>
    <row r="99" spans="1:147" ht="10.199999999999999" customHeight="1">
      <c r="A99" s="108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456"/>
      <c r="P99" s="456"/>
      <c r="Q99" s="456"/>
      <c r="R99" s="700"/>
      <c r="S99" s="108"/>
      <c r="T99" s="108"/>
      <c r="U99" s="627"/>
      <c r="V99" s="456"/>
      <c r="W99" s="456"/>
      <c r="X99" s="456"/>
      <c r="Y99" s="700"/>
      <c r="Z99" s="108"/>
      <c r="AA99" s="108"/>
      <c r="AB99" s="627"/>
      <c r="AC99" s="456"/>
      <c r="AD99" s="456"/>
      <c r="AE99" s="456"/>
      <c r="AF99" s="700"/>
      <c r="AG99" s="108"/>
      <c r="AH99" s="108"/>
      <c r="AI99" s="627"/>
      <c r="AJ99" s="456"/>
      <c r="AK99" s="456"/>
      <c r="AL99" s="456"/>
      <c r="AM99" s="700"/>
      <c r="AN99" s="108"/>
      <c r="AO99" s="108"/>
      <c r="AP99" s="627"/>
      <c r="AQ99" s="456"/>
      <c r="AR99" s="456"/>
      <c r="AS99" s="456"/>
      <c r="AT99" s="700"/>
      <c r="AU99" s="108"/>
      <c r="AV99" s="108"/>
      <c r="AW99" s="627"/>
      <c r="AX99" s="456"/>
      <c r="AY99" s="456"/>
      <c r="AZ99" s="456"/>
      <c r="BA99" s="700"/>
      <c r="BB99" s="108"/>
      <c r="BC99" s="108"/>
      <c r="BD99" s="627"/>
      <c r="BE99" s="456"/>
      <c r="BF99" s="456"/>
      <c r="BG99" s="456"/>
      <c r="BH99" s="700"/>
      <c r="BI99" s="108"/>
      <c r="BJ99" s="108"/>
      <c r="BK99" s="627"/>
      <c r="BL99" s="456"/>
      <c r="BM99" s="456"/>
      <c r="BN99" s="456"/>
      <c r="BO99" s="700"/>
      <c r="BP99" s="108"/>
      <c r="BQ99" s="108"/>
      <c r="BR99" s="627"/>
      <c r="BS99" s="456"/>
      <c r="BT99" s="456"/>
      <c r="BU99" s="456"/>
      <c r="BV99" s="700"/>
      <c r="BW99" s="108"/>
      <c r="BX99" s="108"/>
      <c r="BY99" s="627"/>
      <c r="BZ99" s="456"/>
      <c r="CA99" s="456"/>
      <c r="CB99" s="456"/>
      <c r="CC99" s="700"/>
      <c r="CD99" s="108"/>
      <c r="CE99" s="108"/>
      <c r="CF99" s="627"/>
      <c r="CG99" s="456"/>
      <c r="CH99" s="456"/>
      <c r="CI99" s="456"/>
      <c r="CJ99" s="700"/>
      <c r="CK99" s="108"/>
      <c r="CL99" s="108"/>
      <c r="CM99" s="627"/>
      <c r="CN99" s="456"/>
      <c r="CO99" s="456"/>
      <c r="CP99" s="456"/>
      <c r="CQ99" s="700"/>
      <c r="CR99" s="108"/>
      <c r="CS99" s="108"/>
      <c r="CT99" s="627"/>
      <c r="CU99" s="456"/>
      <c r="CV99" s="456"/>
      <c r="CW99" s="456"/>
      <c r="CX99" s="457"/>
      <c r="CY99" s="456"/>
      <c r="CZ99" s="456"/>
      <c r="DA99" s="627"/>
      <c r="DB99" s="456"/>
      <c r="DC99" s="456"/>
      <c r="DD99" s="456"/>
      <c r="DE99" s="457"/>
      <c r="DF99" s="456"/>
      <c r="DG99" s="456"/>
      <c r="DH99" s="1777"/>
      <c r="DI99" s="456"/>
      <c r="DJ99" s="456"/>
      <c r="DK99" s="456"/>
      <c r="DL99" s="457"/>
      <c r="DM99" s="456"/>
      <c r="DN99" s="456"/>
      <c r="DO99" s="627"/>
      <c r="DP99" s="456"/>
      <c r="DQ99" s="456"/>
      <c r="DR99" s="456"/>
      <c r="DS99" s="457"/>
      <c r="DT99" s="456"/>
      <c r="DU99" s="456"/>
      <c r="DV99" s="627"/>
      <c r="DW99" s="456"/>
      <c r="DX99" s="456"/>
      <c r="DY99" s="456"/>
      <c r="DZ99" s="457"/>
      <c r="EA99" s="456"/>
      <c r="EB99" s="456"/>
      <c r="EC99" s="627"/>
      <c r="ED99" s="456"/>
      <c r="EE99" s="456"/>
      <c r="EF99" s="456"/>
      <c r="EG99" s="457"/>
      <c r="EH99" s="456"/>
      <c r="EI99" s="456"/>
      <c r="EJ99" s="627"/>
      <c r="EK99" s="456"/>
      <c r="EL99" s="456"/>
      <c r="EM99" s="456"/>
      <c r="EN99" s="457"/>
      <c r="EO99" s="456"/>
      <c r="EP99" s="456"/>
      <c r="EQ99" s="627"/>
    </row>
    <row r="100" spans="1:147" ht="10.199999999999999" customHeight="1">
      <c r="A100" s="153" t="s">
        <v>39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1749"/>
      <c r="O100" s="1748"/>
      <c r="P100" s="426"/>
      <c r="Q100" s="426"/>
      <c r="R100" s="427"/>
      <c r="S100" s="426"/>
      <c r="T100" s="426"/>
      <c r="U100" s="579"/>
      <c r="V100" s="426"/>
      <c r="W100" s="426"/>
      <c r="X100" s="426"/>
      <c r="Y100" s="427"/>
      <c r="Z100" s="426"/>
      <c r="AA100" s="426"/>
      <c r="AB100" s="579"/>
      <c r="AC100" s="426"/>
      <c r="AD100" s="426"/>
      <c r="AE100" s="426"/>
      <c r="AF100" s="427"/>
      <c r="AG100" s="426"/>
      <c r="AH100" s="426"/>
      <c r="AI100" s="579"/>
      <c r="AJ100" s="426"/>
      <c r="AK100" s="426"/>
      <c r="AL100" s="426"/>
      <c r="AM100" s="427"/>
      <c r="AN100" s="426"/>
      <c r="AO100" s="426"/>
      <c r="AP100" s="579"/>
      <c r="AQ100" s="426"/>
      <c r="AR100" s="426"/>
      <c r="AS100" s="426"/>
      <c r="AT100" s="427"/>
      <c r="AU100" s="426"/>
      <c r="AV100" s="426"/>
      <c r="AW100" s="579"/>
      <c r="AX100" s="426"/>
      <c r="AY100" s="426"/>
      <c r="AZ100" s="426"/>
      <c r="BA100" s="427"/>
      <c r="BB100" s="426"/>
      <c r="BC100" s="426"/>
      <c r="BD100" s="579"/>
      <c r="BE100" s="426"/>
      <c r="BF100" s="426"/>
      <c r="BG100" s="426"/>
      <c r="BH100" s="427"/>
      <c r="BI100" s="426"/>
      <c r="BJ100" s="426"/>
      <c r="BK100" s="579"/>
      <c r="BL100" s="426"/>
      <c r="BM100" s="426"/>
      <c r="BN100" s="426"/>
      <c r="BO100" s="427"/>
      <c r="BP100" s="426"/>
      <c r="BQ100" s="426"/>
      <c r="BR100" s="579"/>
      <c r="BS100" s="426"/>
      <c r="BT100" s="426"/>
      <c r="BU100" s="426"/>
      <c r="BV100" s="427"/>
      <c r="BW100" s="426"/>
      <c r="BX100" s="426"/>
      <c r="BY100" s="579"/>
      <c r="BZ100" s="426"/>
      <c r="CA100" s="426"/>
      <c r="CB100" s="426"/>
      <c r="CC100" s="427"/>
      <c r="CD100" s="426"/>
      <c r="CE100" s="426"/>
      <c r="CF100" s="579"/>
      <c r="CG100" s="426"/>
      <c r="CH100" s="426"/>
      <c r="CI100" s="426"/>
      <c r="CJ100" s="427"/>
      <c r="CK100" s="426"/>
      <c r="CL100" s="426"/>
      <c r="CM100" s="579"/>
      <c r="CN100" s="426"/>
      <c r="CO100" s="426"/>
      <c r="CP100" s="426"/>
      <c r="CQ100" s="427"/>
      <c r="CR100" s="426"/>
      <c r="CS100" s="426"/>
      <c r="CT100" s="579"/>
      <c r="CU100" s="426"/>
      <c r="CV100" s="426"/>
      <c r="CW100" s="426"/>
      <c r="CX100" s="427"/>
      <c r="CY100" s="426"/>
      <c r="CZ100" s="426"/>
      <c r="DA100" s="579"/>
      <c r="DB100" s="426"/>
      <c r="DC100" s="426"/>
      <c r="DD100" s="426"/>
      <c r="DE100" s="427"/>
      <c r="DF100" s="426"/>
      <c r="DG100" s="426"/>
      <c r="DH100" s="579"/>
      <c r="DI100" s="426"/>
      <c r="DJ100" s="426"/>
      <c r="DK100" s="426"/>
      <c r="DL100" s="427"/>
      <c r="DM100" s="426"/>
      <c r="DN100" s="426"/>
      <c r="DO100" s="579"/>
      <c r="DP100" s="426"/>
      <c r="DQ100" s="426"/>
      <c r="DR100" s="426"/>
      <c r="DS100" s="427"/>
      <c r="DT100" s="426"/>
      <c r="DU100" s="426"/>
      <c r="DV100" s="579"/>
      <c r="DW100" s="426"/>
      <c r="DX100" s="426"/>
      <c r="DY100" s="426"/>
      <c r="DZ100" s="427"/>
      <c r="EA100" s="426"/>
      <c r="EB100" s="426"/>
      <c r="EC100" s="579"/>
      <c r="ED100" s="426"/>
      <c r="EE100" s="426"/>
      <c r="EF100" s="426"/>
      <c r="EG100" s="427"/>
      <c r="EH100" s="426"/>
      <c r="EI100" s="426"/>
      <c r="EJ100" s="579"/>
      <c r="EK100" s="426"/>
      <c r="EL100" s="426"/>
      <c r="EM100" s="426"/>
      <c r="EN100" s="427"/>
      <c r="EO100" s="426"/>
      <c r="EP100" s="426"/>
      <c r="EQ100" s="579"/>
    </row>
    <row r="101" spans="1:147" ht="10.199999999999999" customHeight="1">
      <c r="A101" s="48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53"/>
      <c r="P101" s="553"/>
      <c r="Q101" s="553"/>
      <c r="R101" s="554"/>
      <c r="S101" s="553"/>
      <c r="T101" s="553"/>
      <c r="U101" s="555"/>
      <c r="V101" s="553"/>
      <c r="W101" s="553"/>
      <c r="X101" s="553"/>
      <c r="Y101" s="554"/>
      <c r="Z101" s="553"/>
      <c r="AA101" s="553"/>
      <c r="AB101" s="555"/>
      <c r="AC101" s="553"/>
      <c r="AD101" s="553"/>
      <c r="AE101" s="553"/>
      <c r="AF101" s="554"/>
      <c r="AG101" s="553"/>
      <c r="AH101" s="553"/>
      <c r="AI101" s="555"/>
      <c r="AJ101" s="553"/>
      <c r="AK101" s="553"/>
      <c r="AL101" s="553"/>
      <c r="AM101" s="554"/>
      <c r="AN101" s="553"/>
      <c r="AO101" s="553"/>
      <c r="AP101" s="555"/>
      <c r="AQ101" s="553"/>
      <c r="AR101" s="553"/>
      <c r="AS101" s="553"/>
      <c r="AT101" s="554"/>
      <c r="AU101" s="553"/>
      <c r="AV101" s="553"/>
      <c r="AW101" s="555"/>
      <c r="AX101" s="553"/>
      <c r="AY101" s="553"/>
      <c r="AZ101" s="553"/>
      <c r="BA101" s="554"/>
      <c r="BB101" s="553"/>
      <c r="BC101" s="553"/>
      <c r="BD101" s="555"/>
      <c r="BE101" s="553"/>
      <c r="BF101" s="553"/>
      <c r="BG101" s="553"/>
      <c r="BH101" s="554"/>
      <c r="BI101" s="553"/>
      <c r="BJ101" s="553"/>
      <c r="BK101" s="555"/>
      <c r="BL101" s="553"/>
      <c r="BM101" s="553"/>
      <c r="BN101" s="553"/>
      <c r="BO101" s="554"/>
      <c r="BP101" s="553"/>
      <c r="BQ101" s="553"/>
      <c r="BR101" s="555"/>
      <c r="BS101" s="553"/>
      <c r="BT101" s="553"/>
      <c r="BU101" s="553"/>
      <c r="BV101" s="554"/>
      <c r="BW101" s="553"/>
      <c r="BX101" s="553"/>
      <c r="BY101" s="555"/>
      <c r="BZ101" s="553"/>
      <c r="CA101" s="553"/>
      <c r="CB101" s="553"/>
      <c r="CC101" s="554"/>
      <c r="CD101" s="553"/>
      <c r="CE101" s="553"/>
      <c r="CF101" s="555"/>
      <c r="CG101" s="553"/>
      <c r="CH101" s="553"/>
      <c r="CI101" s="553"/>
      <c r="CJ101" s="554"/>
      <c r="CK101" s="553"/>
      <c r="CL101" s="553"/>
      <c r="CM101" s="555"/>
      <c r="CN101" s="553"/>
      <c r="CO101" s="553"/>
      <c r="CP101" s="553"/>
      <c r="CQ101" s="554"/>
      <c r="CR101" s="553"/>
      <c r="CS101" s="553"/>
      <c r="CT101" s="555"/>
      <c r="CU101" s="553"/>
      <c r="CV101" s="553"/>
      <c r="CW101" s="553"/>
      <c r="CX101" s="554"/>
      <c r="CY101" s="553"/>
      <c r="CZ101" s="553"/>
      <c r="DA101" s="555"/>
      <c r="DB101" s="553"/>
      <c r="DC101" s="553"/>
      <c r="DD101" s="553"/>
      <c r="DE101" s="554"/>
      <c r="DF101" s="553"/>
      <c r="DG101" s="553"/>
      <c r="DH101" s="555"/>
      <c r="DI101" s="553"/>
      <c r="DJ101" s="553"/>
      <c r="DK101" s="553"/>
      <c r="DL101" s="554"/>
      <c r="DM101" s="553"/>
      <c r="DN101" s="553"/>
      <c r="DO101" s="555"/>
      <c r="DP101" s="553"/>
      <c r="DQ101" s="553"/>
      <c r="DR101" s="553"/>
      <c r="DS101" s="554"/>
      <c r="DT101" s="553"/>
      <c r="DU101" s="553"/>
      <c r="DV101" s="555"/>
      <c r="DW101" s="553"/>
      <c r="DX101" s="553"/>
      <c r="DY101" s="553"/>
      <c r="DZ101" s="554"/>
      <c r="EA101" s="553"/>
      <c r="EB101" s="553"/>
      <c r="EC101" s="555"/>
      <c r="ED101" s="553"/>
      <c r="EE101" s="553"/>
      <c r="EF101" s="553"/>
      <c r="EG101" s="554"/>
      <c r="EH101" s="553"/>
      <c r="EI101" s="553"/>
      <c r="EJ101" s="555"/>
      <c r="EK101" s="553"/>
      <c r="EL101" s="553"/>
      <c r="EM101" s="553"/>
      <c r="EN101" s="554"/>
      <c r="EO101" s="553"/>
      <c r="EP101" s="553"/>
      <c r="EQ101" s="555"/>
    </row>
    <row r="102" spans="1:147" ht="10.199999999999999" customHeight="1">
      <c r="A102" s="108" t="s">
        <v>727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530"/>
      <c r="P102" s="530"/>
      <c r="Q102" s="530"/>
      <c r="R102" s="680"/>
      <c r="S102" s="530"/>
      <c r="T102" s="530"/>
      <c r="U102" s="1278"/>
      <c r="V102" s="530"/>
      <c r="W102" s="530"/>
      <c r="X102" s="530"/>
      <c r="Y102" s="680"/>
      <c r="Z102" s="530"/>
      <c r="AA102" s="530"/>
      <c r="AB102" s="1278"/>
      <c r="AC102" s="530"/>
      <c r="AD102" s="530"/>
      <c r="AE102" s="530"/>
      <c r="AF102" s="680"/>
      <c r="AG102" s="530"/>
      <c r="AH102" s="530"/>
      <c r="AI102" s="1278"/>
      <c r="AJ102" s="530"/>
      <c r="AK102" s="530"/>
      <c r="AL102" s="530"/>
      <c r="AM102" s="680"/>
      <c r="AN102" s="530"/>
      <c r="AO102" s="530"/>
      <c r="AP102" s="1278"/>
      <c r="AQ102" s="530"/>
      <c r="AR102" s="530"/>
      <c r="AS102" s="530"/>
      <c r="AT102" s="680"/>
      <c r="AU102" s="530"/>
      <c r="AV102" s="530"/>
      <c r="AW102" s="1278"/>
      <c r="AX102" s="530"/>
      <c r="AY102" s="530"/>
      <c r="AZ102" s="530"/>
      <c r="BA102" s="680"/>
      <c r="BB102" s="530"/>
      <c r="BC102" s="530"/>
      <c r="BD102" s="1278"/>
      <c r="BE102" s="530"/>
      <c r="BF102" s="530"/>
      <c r="BG102" s="530"/>
      <c r="BH102" s="680"/>
      <c r="BI102" s="530"/>
      <c r="BJ102" s="530"/>
      <c r="BK102" s="1278">
        <v>4</v>
      </c>
      <c r="BL102" s="530"/>
      <c r="BM102" s="530"/>
      <c r="BN102" s="530"/>
      <c r="BO102" s="680"/>
      <c r="BP102" s="530"/>
      <c r="BQ102" s="530"/>
      <c r="BR102" s="1278">
        <v>25</v>
      </c>
      <c r="BS102" s="530"/>
      <c r="BT102" s="530"/>
      <c r="BU102" s="530"/>
      <c r="BV102" s="680"/>
      <c r="BW102" s="530"/>
      <c r="BX102" s="530"/>
      <c r="BY102" s="1278">
        <v>10</v>
      </c>
      <c r="BZ102" s="530"/>
      <c r="CA102" s="530"/>
      <c r="CB102" s="530"/>
      <c r="CC102" s="680"/>
      <c r="CD102" s="530"/>
      <c r="CE102" s="530"/>
      <c r="CF102" s="1278">
        <v>3</v>
      </c>
      <c r="CG102" s="530"/>
      <c r="CH102" s="530"/>
      <c r="CI102" s="530"/>
      <c r="CJ102" s="680"/>
      <c r="CK102" s="530"/>
      <c r="CL102" s="530"/>
      <c r="CM102" s="1278">
        <v>6</v>
      </c>
      <c r="CN102" s="530">
        <v>0</v>
      </c>
      <c r="CO102" s="530">
        <f>CR102-CN102</f>
        <v>0</v>
      </c>
      <c r="CP102" s="530">
        <v>0</v>
      </c>
      <c r="CQ102" s="680">
        <f>CS102-CP102</f>
        <v>3</v>
      </c>
      <c r="CR102" s="530">
        <v>0</v>
      </c>
      <c r="CS102" s="530">
        <f>CT102-CR102</f>
        <v>3</v>
      </c>
      <c r="CT102" s="1278">
        <v>3</v>
      </c>
      <c r="CU102" s="530">
        <v>1</v>
      </c>
      <c r="CV102" s="530">
        <f>CY102-CU102</f>
        <v>3</v>
      </c>
      <c r="CW102" s="530">
        <v>2</v>
      </c>
      <c r="CX102" s="680">
        <f>CZ102-CW102</f>
        <v>4</v>
      </c>
      <c r="CY102" s="530">
        <v>4</v>
      </c>
      <c r="CZ102" s="530">
        <f>DA102-CY102</f>
        <v>6</v>
      </c>
      <c r="DA102" s="1278">
        <v>10</v>
      </c>
      <c r="DB102" s="530">
        <v>1</v>
      </c>
      <c r="DC102" s="530">
        <f>DF102-DB102</f>
        <v>2</v>
      </c>
      <c r="DD102" s="530">
        <v>1</v>
      </c>
      <c r="DE102" s="680">
        <f>DG102-DD102</f>
        <v>1</v>
      </c>
      <c r="DF102" s="1802">
        <v>3</v>
      </c>
      <c r="DG102" s="530">
        <f>DH102-DF102</f>
        <v>2</v>
      </c>
      <c r="DH102" s="1278">
        <v>5</v>
      </c>
      <c r="DI102" s="530">
        <v>1</v>
      </c>
      <c r="DJ102" s="530">
        <f>DM102-DI102</f>
        <v>0</v>
      </c>
      <c r="DK102" s="460">
        <f>DK104*0.1</f>
        <v>2.5</v>
      </c>
      <c r="DL102" s="461">
        <f>DN102-DK102</f>
        <v>7.4</v>
      </c>
      <c r="DM102" s="530">
        <v>1</v>
      </c>
      <c r="DN102" s="460">
        <f>DO102-DM102</f>
        <v>9.9</v>
      </c>
      <c r="DO102" s="592">
        <f>DO104*0.1</f>
        <v>10.9</v>
      </c>
      <c r="DP102" s="460">
        <f>DP104*0.1</f>
        <v>3.1625000000000001</v>
      </c>
      <c r="DQ102" s="460">
        <f>DT102-DP102</f>
        <v>2.8750000000000004</v>
      </c>
      <c r="DR102" s="460">
        <f>DR104*0.1</f>
        <v>2.875</v>
      </c>
      <c r="DS102" s="461">
        <f>DU102-DR102</f>
        <v>2.8750000000000009</v>
      </c>
      <c r="DT102" s="460">
        <f>DT104*0.1</f>
        <v>6.0375000000000005</v>
      </c>
      <c r="DU102" s="460">
        <f>DV102-DT102</f>
        <v>5.7500000000000009</v>
      </c>
      <c r="DV102" s="592">
        <f>DV104*0.1</f>
        <v>11.787500000000001</v>
      </c>
      <c r="DW102" s="460">
        <f>DW104*0.1</f>
        <v>2.875</v>
      </c>
      <c r="DX102" s="460">
        <f>EA102-DW102</f>
        <v>2.875</v>
      </c>
      <c r="DY102" s="460">
        <f>DY104*0.1</f>
        <v>2.875</v>
      </c>
      <c r="DZ102" s="461">
        <f>EB102-DY102</f>
        <v>2.875</v>
      </c>
      <c r="EA102" s="460">
        <f>EA104*0.1</f>
        <v>5.75</v>
      </c>
      <c r="EB102" s="460">
        <f>EC102-EA102</f>
        <v>5.75</v>
      </c>
      <c r="EC102" s="592">
        <f>EC104*0.1</f>
        <v>11.5</v>
      </c>
      <c r="ED102" s="460">
        <f>ED104*0.1</f>
        <v>2.875</v>
      </c>
      <c r="EE102" s="460">
        <f>EH102-ED102</f>
        <v>2.875</v>
      </c>
      <c r="EF102" s="460">
        <f>EF104*0.1</f>
        <v>2.875</v>
      </c>
      <c r="EG102" s="461">
        <f>EI102-EF102</f>
        <v>2.875</v>
      </c>
      <c r="EH102" s="460">
        <f>EH104*0.1</f>
        <v>5.75</v>
      </c>
      <c r="EI102" s="460">
        <f>EJ102-EH102</f>
        <v>5.75</v>
      </c>
      <c r="EJ102" s="592">
        <f>EJ104*0.1</f>
        <v>11.5</v>
      </c>
      <c r="EK102" s="460">
        <f>EK104*0.1</f>
        <v>2.875</v>
      </c>
      <c r="EL102" s="460">
        <f>EO102-EK102</f>
        <v>2.875</v>
      </c>
      <c r="EM102" s="460">
        <f>EM104*0.1</f>
        <v>2.875</v>
      </c>
      <c r="EN102" s="461">
        <f>EP102-EM102</f>
        <v>2.875</v>
      </c>
      <c r="EO102" s="460">
        <f>EO104*0.1</f>
        <v>5.75</v>
      </c>
      <c r="EP102" s="460">
        <f>EQ102-EO102</f>
        <v>5.75</v>
      </c>
      <c r="EQ102" s="592">
        <f>EQ104*0.1</f>
        <v>11.5</v>
      </c>
    </row>
    <row r="103" spans="1:147" ht="10.199999999999999" customHeight="1">
      <c r="A103" s="561" t="s">
        <v>726</v>
      </c>
      <c r="B103" s="562"/>
      <c r="C103" s="562"/>
      <c r="D103" s="562"/>
      <c r="E103" s="562"/>
      <c r="F103" s="562"/>
      <c r="G103" s="562"/>
      <c r="H103" s="562"/>
      <c r="I103" s="562"/>
      <c r="J103" s="562"/>
      <c r="K103" s="562"/>
      <c r="L103" s="562"/>
      <c r="M103" s="562"/>
      <c r="N103" s="562"/>
      <c r="O103" s="563"/>
      <c r="P103" s="563"/>
      <c r="Q103" s="563"/>
      <c r="R103" s="1353"/>
      <c r="S103" s="563"/>
      <c r="T103" s="563"/>
      <c r="U103" s="1354"/>
      <c r="V103" s="563"/>
      <c r="W103" s="563"/>
      <c r="X103" s="563"/>
      <c r="Y103" s="1353"/>
      <c r="Z103" s="563"/>
      <c r="AA103" s="563"/>
      <c r="AB103" s="1354"/>
      <c r="AC103" s="563"/>
      <c r="AD103" s="563"/>
      <c r="AE103" s="563"/>
      <c r="AF103" s="1353"/>
      <c r="AG103" s="563"/>
      <c r="AH103" s="563"/>
      <c r="AI103" s="1354"/>
      <c r="AJ103" s="563"/>
      <c r="AK103" s="563"/>
      <c r="AL103" s="563"/>
      <c r="AM103" s="1353"/>
      <c r="AN103" s="563"/>
      <c r="AO103" s="563"/>
      <c r="AP103" s="1354"/>
      <c r="AQ103" s="563"/>
      <c r="AR103" s="563"/>
      <c r="AS103" s="563"/>
      <c r="AT103" s="1353"/>
      <c r="AU103" s="563"/>
      <c r="AV103" s="563"/>
      <c r="AW103" s="1354"/>
      <c r="AX103" s="563"/>
      <c r="AY103" s="563"/>
      <c r="AZ103" s="563"/>
      <c r="BA103" s="1353"/>
      <c r="BB103" s="563"/>
      <c r="BC103" s="563"/>
      <c r="BD103" s="1354"/>
      <c r="BE103" s="563"/>
      <c r="BF103" s="563"/>
      <c r="BG103" s="563"/>
      <c r="BH103" s="1353"/>
      <c r="BI103" s="563"/>
      <c r="BJ103" s="563"/>
      <c r="BK103" s="1354">
        <v>16</v>
      </c>
      <c r="BL103" s="563"/>
      <c r="BM103" s="563"/>
      <c r="BN103" s="563"/>
      <c r="BO103" s="1353"/>
      <c r="BP103" s="563"/>
      <c r="BQ103" s="563"/>
      <c r="BR103" s="1354">
        <v>23</v>
      </c>
      <c r="BS103" s="563"/>
      <c r="BT103" s="563"/>
      <c r="BU103" s="563"/>
      <c r="BV103" s="1353"/>
      <c r="BW103" s="563"/>
      <c r="BX103" s="563"/>
      <c r="BY103" s="1354">
        <v>28</v>
      </c>
      <c r="BZ103" s="563"/>
      <c r="CA103" s="563"/>
      <c r="CB103" s="563"/>
      <c r="CC103" s="1353"/>
      <c r="CD103" s="563"/>
      <c r="CE103" s="563"/>
      <c r="CF103" s="1354">
        <v>47</v>
      </c>
      <c r="CG103" s="563"/>
      <c r="CH103" s="563"/>
      <c r="CI103" s="563"/>
      <c r="CJ103" s="1353"/>
      <c r="CK103" s="563"/>
      <c r="CL103" s="563"/>
      <c r="CM103" s="1354">
        <v>47</v>
      </c>
      <c r="CN103" s="563">
        <v>10</v>
      </c>
      <c r="CO103" s="563">
        <f>CO104-CO102</f>
        <v>15</v>
      </c>
      <c r="CP103" s="563">
        <v>16</v>
      </c>
      <c r="CQ103" s="1353">
        <f>CS103-CP103</f>
        <v>24</v>
      </c>
      <c r="CR103" s="563">
        <v>25</v>
      </c>
      <c r="CS103" s="563">
        <f>CT103-CR103</f>
        <v>40</v>
      </c>
      <c r="CT103" s="1354">
        <v>65</v>
      </c>
      <c r="CU103" s="563">
        <v>11</v>
      </c>
      <c r="CV103" s="563">
        <f>CV104-CV102</f>
        <v>13</v>
      </c>
      <c r="CW103" s="563">
        <v>15</v>
      </c>
      <c r="CX103" s="1353">
        <f>CZ103-CW103</f>
        <v>26</v>
      </c>
      <c r="CY103" s="563">
        <v>24</v>
      </c>
      <c r="CZ103" s="563">
        <f>DA103-CY103</f>
        <v>41</v>
      </c>
      <c r="DA103" s="1354">
        <v>65</v>
      </c>
      <c r="DB103" s="563">
        <v>16</v>
      </c>
      <c r="DC103" s="563">
        <f>DC104-DC102</f>
        <v>22</v>
      </c>
      <c r="DD103" s="563">
        <v>20</v>
      </c>
      <c r="DE103" s="1353">
        <f>DG103-DD103</f>
        <v>30</v>
      </c>
      <c r="DF103" s="1810">
        <v>38</v>
      </c>
      <c r="DG103" s="563">
        <f>DH103-DF103</f>
        <v>50</v>
      </c>
      <c r="DH103" s="1354">
        <v>88</v>
      </c>
      <c r="DI103" s="563">
        <v>18</v>
      </c>
      <c r="DJ103" s="563">
        <f>DJ104-DJ102</f>
        <v>25</v>
      </c>
      <c r="DK103" s="564">
        <f>DK104-DK102</f>
        <v>22.5</v>
      </c>
      <c r="DL103" s="565">
        <f>DN103-DK103</f>
        <v>32.599999999999994</v>
      </c>
      <c r="DM103" s="563">
        <v>43</v>
      </c>
      <c r="DN103" s="564">
        <f>DO103-DM103</f>
        <v>55.099999999999994</v>
      </c>
      <c r="DO103" s="653">
        <f>DO104-DO102</f>
        <v>98.1</v>
      </c>
      <c r="DP103" s="564">
        <f>DP104-DP102</f>
        <v>28.462499999999999</v>
      </c>
      <c r="DQ103" s="564">
        <f>DT103-DP103</f>
        <v>25.875</v>
      </c>
      <c r="DR103" s="564">
        <f>DR104-DR102</f>
        <v>25.875</v>
      </c>
      <c r="DS103" s="565">
        <f>DU103-DR103</f>
        <v>25.875000000000007</v>
      </c>
      <c r="DT103" s="564">
        <f>DT104-DT102</f>
        <v>54.337499999999999</v>
      </c>
      <c r="DU103" s="564">
        <f>DV103-DT103</f>
        <v>51.750000000000007</v>
      </c>
      <c r="DV103" s="653">
        <f>DV104-DV102</f>
        <v>106.08750000000001</v>
      </c>
      <c r="DW103" s="564">
        <f>DW104-DW102</f>
        <v>25.875</v>
      </c>
      <c r="DX103" s="564">
        <f>EA103-DW103</f>
        <v>25.875</v>
      </c>
      <c r="DY103" s="564">
        <f>DY104-DY102</f>
        <v>25.875</v>
      </c>
      <c r="DZ103" s="565">
        <f>EB103-DY103</f>
        <v>25.875</v>
      </c>
      <c r="EA103" s="564">
        <f>EA104-EA102</f>
        <v>51.75</v>
      </c>
      <c r="EB103" s="564">
        <f>EC103-EA103</f>
        <v>51.75</v>
      </c>
      <c r="EC103" s="653">
        <f>EC104-EC102</f>
        <v>103.5</v>
      </c>
      <c r="ED103" s="564">
        <f>ED104-ED102</f>
        <v>25.875</v>
      </c>
      <c r="EE103" s="564">
        <f>EH103-ED103</f>
        <v>25.875</v>
      </c>
      <c r="EF103" s="564">
        <f>EF104-EF102</f>
        <v>25.875</v>
      </c>
      <c r="EG103" s="565">
        <f>EI103-EF103</f>
        <v>25.875</v>
      </c>
      <c r="EH103" s="564">
        <f>EH104-EH102</f>
        <v>51.75</v>
      </c>
      <c r="EI103" s="564">
        <f>EJ103-EH103</f>
        <v>51.75</v>
      </c>
      <c r="EJ103" s="653">
        <f>EJ104-EJ102</f>
        <v>103.5</v>
      </c>
      <c r="EK103" s="564">
        <f>EK104-EK102</f>
        <v>25.875</v>
      </c>
      <c r="EL103" s="564">
        <f>EO103-EK103</f>
        <v>25.875</v>
      </c>
      <c r="EM103" s="564">
        <f>EM104-EM102</f>
        <v>25.875</v>
      </c>
      <c r="EN103" s="565">
        <f>EP103-EM103</f>
        <v>25.875</v>
      </c>
      <c r="EO103" s="564">
        <f>EO104-EO102</f>
        <v>51.75</v>
      </c>
      <c r="EP103" s="564">
        <f>EQ103-EO103</f>
        <v>51.75</v>
      </c>
      <c r="EQ103" s="653">
        <f>EQ104-EQ102</f>
        <v>103.5</v>
      </c>
    </row>
    <row r="104" spans="1:147" ht="10.199999999999999" customHeight="1">
      <c r="A104" s="48" t="s">
        <v>730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24"/>
      <c r="P104" s="24"/>
      <c r="Q104" s="24"/>
      <c r="R104" s="703"/>
      <c r="S104" s="24"/>
      <c r="T104" s="24"/>
      <c r="U104" s="1355"/>
      <c r="V104" s="24"/>
      <c r="W104" s="24"/>
      <c r="X104" s="24"/>
      <c r="Y104" s="703"/>
      <c r="Z104" s="24"/>
      <c r="AA104" s="24"/>
      <c r="AB104" s="1355"/>
      <c r="AC104" s="24"/>
      <c r="AD104" s="24"/>
      <c r="AE104" s="24"/>
      <c r="AF104" s="703"/>
      <c r="AG104" s="24"/>
      <c r="AH104" s="24"/>
      <c r="AI104" s="1355"/>
      <c r="AJ104" s="24"/>
      <c r="AK104" s="24"/>
      <c r="AL104" s="24"/>
      <c r="AM104" s="703"/>
      <c r="AN104" s="24"/>
      <c r="AO104" s="24"/>
      <c r="AP104" s="1355"/>
      <c r="AQ104" s="24">
        <f>Divisional!AP207</f>
        <v>0</v>
      </c>
      <c r="AR104" s="24">
        <f>Divisional!AQ207</f>
        <v>0</v>
      </c>
      <c r="AS104" s="24">
        <f>Divisional!AR207</f>
        <v>0</v>
      </c>
      <c r="AT104" s="703">
        <f>Divisional!AS207</f>
        <v>0</v>
      </c>
      <c r="AU104" s="24">
        <f>Divisional!AT207</f>
        <v>0</v>
      </c>
      <c r="AV104" s="24">
        <f>Divisional!AU207</f>
        <v>0</v>
      </c>
      <c r="AW104" s="1355"/>
      <c r="AX104" s="24">
        <f>Divisional!AW207</f>
        <v>0</v>
      </c>
      <c r="AY104" s="24">
        <f>Divisional!AX207</f>
        <v>0</v>
      </c>
      <c r="AZ104" s="24">
        <f>Divisional!AY207</f>
        <v>0</v>
      </c>
      <c r="BA104" s="703">
        <f>Divisional!AZ207</f>
        <v>0</v>
      </c>
      <c r="BB104" s="24">
        <f>Divisional!BA207</f>
        <v>0</v>
      </c>
      <c r="BC104" s="24">
        <f>Divisional!BB207</f>
        <v>0</v>
      </c>
      <c r="BD104" s="1355"/>
      <c r="BE104" s="24">
        <f>Divisional!BD207</f>
        <v>0</v>
      </c>
      <c r="BF104" s="24">
        <f>Divisional!BE207</f>
        <v>0</v>
      </c>
      <c r="BG104" s="24">
        <f>Divisional!BF207</f>
        <v>8</v>
      </c>
      <c r="BH104" s="703">
        <f>Divisional!BG207</f>
        <v>12</v>
      </c>
      <c r="BI104" s="24">
        <f>Divisional!BH207</f>
        <v>0</v>
      </c>
      <c r="BJ104" s="24">
        <f>Divisional!BI207</f>
        <v>20</v>
      </c>
      <c r="BK104" s="1355">
        <f>SUM(BK102:BK103)</f>
        <v>20</v>
      </c>
      <c r="BL104" s="24">
        <f>Divisional!BK207</f>
        <v>7</v>
      </c>
      <c r="BM104" s="24">
        <f>Divisional!BL207</f>
        <v>14</v>
      </c>
      <c r="BN104" s="24">
        <f>Divisional!BM207</f>
        <v>12</v>
      </c>
      <c r="BO104" s="703">
        <f>Divisional!BN207</f>
        <v>15</v>
      </c>
      <c r="BP104" s="24">
        <f>Divisional!BO207</f>
        <v>21</v>
      </c>
      <c r="BQ104" s="24">
        <f>Divisional!BP207</f>
        <v>27</v>
      </c>
      <c r="BR104" s="1355">
        <f>SUM(BR102:BR103)</f>
        <v>48</v>
      </c>
      <c r="BS104" s="24">
        <f>Divisional!BY207</f>
        <v>8</v>
      </c>
      <c r="BT104" s="24">
        <f>Divisional!BZ207</f>
        <v>3</v>
      </c>
      <c r="BU104" s="24">
        <f>Divisional!CA207</f>
        <v>7</v>
      </c>
      <c r="BV104" s="703">
        <f>Divisional!CB207</f>
        <v>20</v>
      </c>
      <c r="BW104" s="24">
        <f>Divisional!CC207</f>
        <v>11</v>
      </c>
      <c r="BX104" s="24">
        <f>Divisional!CD207</f>
        <v>27</v>
      </c>
      <c r="BY104" s="1355">
        <f>SUM(BY102:BY103)</f>
        <v>38</v>
      </c>
      <c r="BZ104" s="24">
        <f>Divisional!CF207</f>
        <v>9</v>
      </c>
      <c r="CA104" s="24">
        <f>Divisional!CG207</f>
        <v>12</v>
      </c>
      <c r="CB104" s="24">
        <f>Divisional!CH207</f>
        <v>13</v>
      </c>
      <c r="CC104" s="703">
        <f>Divisional!CI207</f>
        <v>16</v>
      </c>
      <c r="CD104" s="24">
        <f>Divisional!CJ207</f>
        <v>21</v>
      </c>
      <c r="CE104" s="24">
        <f>Divisional!CK207</f>
        <v>29</v>
      </c>
      <c r="CF104" s="1355">
        <f>SUM(CF102:CF103)</f>
        <v>50</v>
      </c>
      <c r="CG104" s="24">
        <f>Divisional!CM207</f>
        <v>11</v>
      </c>
      <c r="CH104" s="24">
        <f>Divisional!CN207</f>
        <v>14</v>
      </c>
      <c r="CI104" s="24">
        <f>Divisional!CO207</f>
        <v>9</v>
      </c>
      <c r="CJ104" s="703">
        <f>Divisional!CP207</f>
        <v>19</v>
      </c>
      <c r="CK104" s="24">
        <f>Divisional!CQ207</f>
        <v>25</v>
      </c>
      <c r="CL104" s="24">
        <f>Divisional!CR207</f>
        <v>28</v>
      </c>
      <c r="CM104" s="1355">
        <f>SUM(CM102:CM103)</f>
        <v>53</v>
      </c>
      <c r="CN104" s="24">
        <f>CN102+CN103</f>
        <v>10</v>
      </c>
      <c r="CO104" s="24">
        <f>CR104-CN104</f>
        <v>15</v>
      </c>
      <c r="CP104" s="24">
        <f>CP102+CP103</f>
        <v>16</v>
      </c>
      <c r="CQ104" s="703">
        <f>CS104-CP104</f>
        <v>27</v>
      </c>
      <c r="CR104" s="24">
        <f>CR102+CR103</f>
        <v>25</v>
      </c>
      <c r="CS104" s="24">
        <f>CT104-CR104</f>
        <v>43</v>
      </c>
      <c r="CT104" s="1355">
        <f>CT102+CT103</f>
        <v>68</v>
      </c>
      <c r="CU104" s="24">
        <f>CU102+CU103</f>
        <v>12</v>
      </c>
      <c r="CV104" s="24">
        <f>CY104-CU104</f>
        <v>16</v>
      </c>
      <c r="CW104" s="24">
        <f>CW102+CW103</f>
        <v>17</v>
      </c>
      <c r="CX104" s="703">
        <f>CZ104-CW104</f>
        <v>30</v>
      </c>
      <c r="CY104" s="24">
        <f>CY102+CY103</f>
        <v>28</v>
      </c>
      <c r="CZ104" s="24">
        <f>DA104-CY104</f>
        <v>47</v>
      </c>
      <c r="DA104" s="1355">
        <f>DA102+DA103</f>
        <v>75</v>
      </c>
      <c r="DB104" s="24">
        <f>DB102+DB103</f>
        <v>17</v>
      </c>
      <c r="DC104" s="24">
        <f>DF104-DB104</f>
        <v>24</v>
      </c>
      <c r="DD104" s="119">
        <f>DD102+DD103</f>
        <v>21</v>
      </c>
      <c r="DE104" s="703">
        <f>DG104-DD104</f>
        <v>31</v>
      </c>
      <c r="DF104" s="24">
        <f>DF102+DF103</f>
        <v>41</v>
      </c>
      <c r="DG104" s="24">
        <f>DH104-DF104</f>
        <v>52</v>
      </c>
      <c r="DH104" s="1355">
        <f>DH102+DH103</f>
        <v>93</v>
      </c>
      <c r="DI104" s="24">
        <f>DI102+DI103</f>
        <v>19</v>
      </c>
      <c r="DJ104" s="24">
        <f>DM104-DI104</f>
        <v>25</v>
      </c>
      <c r="DK104" s="1838">
        <v>25</v>
      </c>
      <c r="DL104" s="1925">
        <v>40</v>
      </c>
      <c r="DM104" s="24">
        <f>DM102+DM103</f>
        <v>44</v>
      </c>
      <c r="DN104" s="462">
        <f>DK104+DL104</f>
        <v>65</v>
      </c>
      <c r="DO104" s="580">
        <f>DM104+DN104</f>
        <v>109</v>
      </c>
      <c r="DP104" s="462">
        <f>DL93</f>
        <v>31.625</v>
      </c>
      <c r="DQ104" s="462">
        <f>DP93</f>
        <v>28.75</v>
      </c>
      <c r="DR104" s="462">
        <f>DQ93</f>
        <v>28.75</v>
      </c>
      <c r="DS104" s="463">
        <f>DR93</f>
        <v>28.75</v>
      </c>
      <c r="DT104" s="462">
        <f>DP104+DQ104</f>
        <v>60.375</v>
      </c>
      <c r="DU104" s="462">
        <f>DR104+DS104</f>
        <v>57.5</v>
      </c>
      <c r="DV104" s="580">
        <f>DT104+DU104</f>
        <v>117.875</v>
      </c>
      <c r="DW104" s="462">
        <f>DS93</f>
        <v>28.75</v>
      </c>
      <c r="DX104" s="462">
        <f>DW93</f>
        <v>28.75</v>
      </c>
      <c r="DY104" s="462">
        <f>DX93</f>
        <v>28.75</v>
      </c>
      <c r="DZ104" s="463">
        <f>DY93</f>
        <v>28.75</v>
      </c>
      <c r="EA104" s="462">
        <f>DW104+DX104</f>
        <v>57.5</v>
      </c>
      <c r="EB104" s="462">
        <f>DY104+DZ104</f>
        <v>57.5</v>
      </c>
      <c r="EC104" s="580">
        <f>EA104+EB104</f>
        <v>115</v>
      </c>
      <c r="ED104" s="462">
        <f>DZ93</f>
        <v>28.75</v>
      </c>
      <c r="EE104" s="462">
        <f>ED93</f>
        <v>28.75</v>
      </c>
      <c r="EF104" s="462">
        <f>EE93</f>
        <v>28.75</v>
      </c>
      <c r="EG104" s="463">
        <f>EF93</f>
        <v>28.75</v>
      </c>
      <c r="EH104" s="462">
        <f>ED104+EE104</f>
        <v>57.5</v>
      </c>
      <c r="EI104" s="462">
        <f>EF104+EG104</f>
        <v>57.5</v>
      </c>
      <c r="EJ104" s="580">
        <f>EH104+EI104</f>
        <v>115</v>
      </c>
      <c r="EK104" s="462">
        <f>EG93</f>
        <v>28.75</v>
      </c>
      <c r="EL104" s="462">
        <f>EK93</f>
        <v>28.75</v>
      </c>
      <c r="EM104" s="462">
        <f>EL93</f>
        <v>28.75</v>
      </c>
      <c r="EN104" s="463">
        <f>EM93</f>
        <v>28.75</v>
      </c>
      <c r="EO104" s="462">
        <f>EK104+EL104</f>
        <v>57.5</v>
      </c>
      <c r="EP104" s="462">
        <f>EM104+EN104</f>
        <v>57.5</v>
      </c>
      <c r="EQ104" s="580">
        <f>EO104+EP104</f>
        <v>115</v>
      </c>
    </row>
    <row r="105" spans="1:147" ht="10.199999999999999" customHeight="1">
      <c r="A105" s="48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1356"/>
      <c r="P105" s="1356"/>
      <c r="Q105" s="1356"/>
      <c r="R105" s="1357"/>
      <c r="S105" s="1356"/>
      <c r="T105" s="1356"/>
      <c r="U105" s="1358"/>
      <c r="V105" s="1356"/>
      <c r="W105" s="1356"/>
      <c r="X105" s="1356"/>
      <c r="Y105" s="1357"/>
      <c r="Z105" s="1356"/>
      <c r="AA105" s="1356"/>
      <c r="AB105" s="1358"/>
      <c r="AC105" s="1356"/>
      <c r="AD105" s="1356"/>
      <c r="AE105" s="1356"/>
      <c r="AF105" s="1357"/>
      <c r="AG105" s="1356"/>
      <c r="AH105" s="1356"/>
      <c r="AI105" s="1358"/>
      <c r="AJ105" s="1356"/>
      <c r="AK105" s="1356"/>
      <c r="AL105" s="1356"/>
      <c r="AM105" s="1357"/>
      <c r="AN105" s="1356"/>
      <c r="AO105" s="1356"/>
      <c r="AP105" s="1358"/>
      <c r="AQ105" s="1356"/>
      <c r="AR105" s="1356"/>
      <c r="AS105" s="1356"/>
      <c r="AT105" s="1357"/>
      <c r="AU105" s="1356"/>
      <c r="AV105" s="1356"/>
      <c r="AW105" s="1358"/>
      <c r="AX105" s="1356"/>
      <c r="AY105" s="1356"/>
      <c r="AZ105" s="1356"/>
      <c r="BA105" s="1357"/>
      <c r="BB105" s="1356"/>
      <c r="BC105" s="1356"/>
      <c r="BD105" s="1358"/>
      <c r="BE105" s="1356"/>
      <c r="BF105" s="1356"/>
      <c r="BG105" s="1356"/>
      <c r="BH105" s="1357"/>
      <c r="BI105" s="1356"/>
      <c r="BJ105" s="1356"/>
      <c r="BK105" s="1358"/>
      <c r="BL105" s="1356"/>
      <c r="BM105" s="1356"/>
      <c r="BN105" s="1356"/>
      <c r="BO105" s="1357"/>
      <c r="BP105" s="1356"/>
      <c r="BQ105" s="1356"/>
      <c r="BR105" s="1358"/>
      <c r="BS105" s="1356"/>
      <c r="BT105" s="1356"/>
      <c r="BU105" s="1356"/>
      <c r="BV105" s="1357"/>
      <c r="BW105" s="1356"/>
      <c r="BX105" s="1356"/>
      <c r="BY105" s="1358"/>
      <c r="BZ105" s="1356"/>
      <c r="CA105" s="1356"/>
      <c r="CB105" s="1356"/>
      <c r="CC105" s="1357"/>
      <c r="CD105" s="1356"/>
      <c r="CE105" s="1356"/>
      <c r="CF105" s="1358"/>
      <c r="CG105" s="1356"/>
      <c r="CH105" s="1356"/>
      <c r="CI105" s="1356"/>
      <c r="CJ105" s="1357"/>
      <c r="CK105" s="1356"/>
      <c r="CL105" s="1356"/>
      <c r="CM105" s="1358"/>
      <c r="CN105" s="1356"/>
      <c r="CO105" s="1356"/>
      <c r="CP105" s="1356"/>
      <c r="CQ105" s="1357"/>
      <c r="CR105" s="1356"/>
      <c r="CS105" s="1356"/>
      <c r="CT105" s="1358"/>
      <c r="CU105" s="1356"/>
      <c r="CV105" s="1356"/>
      <c r="CW105" s="1356"/>
      <c r="CX105" s="1357"/>
      <c r="CY105" s="1356"/>
      <c r="CZ105" s="1356"/>
      <c r="DA105" s="1776"/>
      <c r="DB105" s="1356"/>
      <c r="DC105" s="553"/>
      <c r="DD105" s="553"/>
      <c r="DE105" s="554"/>
      <c r="DF105" s="553"/>
      <c r="DG105" s="553"/>
      <c r="DH105" s="1776"/>
      <c r="DI105" s="553"/>
      <c r="DJ105" s="553"/>
      <c r="DK105" s="553"/>
      <c r="DL105" s="554"/>
      <c r="DM105" s="553"/>
      <c r="DN105" s="553"/>
      <c r="DO105" s="1776"/>
      <c r="DP105" s="553"/>
      <c r="DQ105" s="553"/>
      <c r="DR105" s="553"/>
      <c r="DS105" s="554"/>
      <c r="DT105" s="553"/>
      <c r="DU105" s="553"/>
      <c r="DV105" s="1776"/>
      <c r="DW105" s="553"/>
      <c r="DX105" s="553"/>
      <c r="DY105" s="553"/>
      <c r="DZ105" s="554"/>
      <c r="EA105" s="553"/>
      <c r="EB105" s="553"/>
      <c r="EC105" s="1776"/>
      <c r="ED105" s="553"/>
      <c r="EE105" s="553"/>
      <c r="EF105" s="553"/>
      <c r="EG105" s="554"/>
      <c r="EH105" s="553"/>
      <c r="EI105" s="553"/>
      <c r="EJ105" s="1776"/>
      <c r="EK105" s="553"/>
      <c r="EL105" s="553"/>
      <c r="EM105" s="553"/>
      <c r="EN105" s="554"/>
      <c r="EO105" s="553"/>
      <c r="EP105" s="553"/>
      <c r="EQ105" s="1776"/>
    </row>
    <row r="106" spans="1:147" ht="10.199999999999999" hidden="1" customHeight="1" outlineLevel="1">
      <c r="A106" s="566" t="s">
        <v>728</v>
      </c>
      <c r="B106" s="566"/>
      <c r="C106" s="566">
        <v>11</v>
      </c>
      <c r="D106" s="566">
        <v>9</v>
      </c>
      <c r="E106" s="566">
        <v>8</v>
      </c>
      <c r="F106" s="567">
        <v>12</v>
      </c>
      <c r="G106" s="567">
        <v>9</v>
      </c>
      <c r="H106" s="567">
        <v>9</v>
      </c>
      <c r="I106" s="567">
        <v>6</v>
      </c>
      <c r="J106" s="568">
        <v>0</v>
      </c>
      <c r="K106" s="568">
        <v>0</v>
      </c>
      <c r="L106" s="568">
        <v>0</v>
      </c>
      <c r="M106" s="568">
        <v>0</v>
      </c>
      <c r="N106" s="568">
        <v>0</v>
      </c>
      <c r="O106" s="577"/>
      <c r="P106" s="577"/>
      <c r="Q106" s="577"/>
      <c r="R106" s="1359"/>
      <c r="S106" s="577"/>
      <c r="T106" s="577"/>
      <c r="U106" s="1360">
        <v>0</v>
      </c>
      <c r="V106" s="577"/>
      <c r="W106" s="577"/>
      <c r="X106" s="577"/>
      <c r="Y106" s="1359"/>
      <c r="Z106" s="577"/>
      <c r="AA106" s="577"/>
      <c r="AB106" s="1360">
        <v>0</v>
      </c>
      <c r="AC106" s="577"/>
      <c r="AD106" s="577"/>
      <c r="AE106" s="577"/>
      <c r="AF106" s="1359"/>
      <c r="AG106" s="577"/>
      <c r="AH106" s="577"/>
      <c r="AI106" s="1360">
        <v>0</v>
      </c>
      <c r="AJ106" s="577"/>
      <c r="AK106" s="577"/>
      <c r="AL106" s="577"/>
      <c r="AM106" s="1359"/>
      <c r="AN106" s="577"/>
      <c r="AO106" s="577"/>
      <c r="AP106" s="1360">
        <v>0</v>
      </c>
      <c r="AQ106" s="577"/>
      <c r="AR106" s="577"/>
      <c r="AS106" s="577"/>
      <c r="AT106" s="1359"/>
      <c r="AU106" s="577"/>
      <c r="AV106" s="577"/>
      <c r="AW106" s="1360">
        <v>0</v>
      </c>
      <c r="AX106" s="577"/>
      <c r="AY106" s="577"/>
      <c r="AZ106" s="577"/>
      <c r="BA106" s="1359"/>
      <c r="BB106" s="577"/>
      <c r="BC106" s="577"/>
      <c r="BD106" s="1360">
        <v>0</v>
      </c>
      <c r="BE106" s="577"/>
      <c r="BF106" s="577"/>
      <c r="BG106" s="577"/>
      <c r="BH106" s="1359"/>
      <c r="BI106" s="577"/>
      <c r="BJ106" s="577"/>
      <c r="BK106" s="1360">
        <v>0</v>
      </c>
      <c r="BL106" s="577"/>
      <c r="BM106" s="577"/>
      <c r="BN106" s="577"/>
      <c r="BO106" s="1359"/>
      <c r="BP106" s="577"/>
      <c r="BQ106" s="577"/>
      <c r="BR106" s="1360">
        <v>0</v>
      </c>
      <c r="BS106" s="577"/>
      <c r="BT106" s="577"/>
      <c r="BU106" s="577"/>
      <c r="BV106" s="1359"/>
      <c r="BW106" s="577"/>
      <c r="BX106" s="577"/>
      <c r="BY106" s="1360">
        <v>0</v>
      </c>
      <c r="BZ106" s="577"/>
      <c r="CA106" s="577"/>
      <c r="CB106" s="577"/>
      <c r="CC106" s="1359"/>
      <c r="CD106" s="577"/>
      <c r="CE106" s="577"/>
      <c r="CF106" s="1360">
        <v>0</v>
      </c>
      <c r="CG106" s="577"/>
      <c r="CH106" s="577"/>
      <c r="CI106" s="577"/>
      <c r="CJ106" s="1359"/>
      <c r="CK106" s="577"/>
      <c r="CL106" s="577"/>
      <c r="CM106" s="1360">
        <v>0</v>
      </c>
      <c r="CN106" s="577"/>
      <c r="CO106" s="577"/>
      <c r="CP106" s="577"/>
      <c r="CQ106" s="1359"/>
      <c r="CR106" s="577"/>
      <c r="CS106" s="577"/>
      <c r="CT106" s="1360">
        <v>0</v>
      </c>
      <c r="CU106" s="577"/>
      <c r="CV106" s="577"/>
      <c r="CW106" s="577"/>
      <c r="CX106" s="1359"/>
      <c r="CY106" s="577"/>
      <c r="CZ106" s="577"/>
      <c r="DA106" s="1782">
        <v>0</v>
      </c>
      <c r="DB106" s="577"/>
      <c r="DC106" s="569"/>
      <c r="DD106" s="569"/>
      <c r="DE106" s="570"/>
      <c r="DF106" s="569"/>
      <c r="DG106" s="569"/>
      <c r="DH106" s="582">
        <v>0</v>
      </c>
      <c r="DI106" s="569"/>
      <c r="DJ106" s="569"/>
      <c r="DK106" s="569"/>
      <c r="DL106" s="570"/>
      <c r="DM106" s="569"/>
      <c r="DN106" s="569"/>
      <c r="DO106" s="582">
        <v>0</v>
      </c>
      <c r="DP106" s="569"/>
      <c r="DQ106" s="569"/>
      <c r="DR106" s="569"/>
      <c r="DS106" s="570"/>
      <c r="DT106" s="569"/>
      <c r="DU106" s="569"/>
      <c r="DV106" s="582">
        <v>0</v>
      </c>
      <c r="DW106" s="569"/>
      <c r="DX106" s="569"/>
      <c r="DY106" s="569"/>
      <c r="DZ106" s="570"/>
      <c r="EA106" s="569"/>
      <c r="EB106" s="569"/>
      <c r="EC106" s="582">
        <v>0</v>
      </c>
      <c r="ED106" s="569"/>
      <c r="EE106" s="569"/>
      <c r="EF106" s="569"/>
      <c r="EG106" s="570"/>
      <c r="EH106" s="569"/>
      <c r="EI106" s="569"/>
      <c r="EJ106" s="582">
        <v>0</v>
      </c>
      <c r="EK106" s="569"/>
      <c r="EL106" s="569"/>
      <c r="EM106" s="569"/>
      <c r="EN106" s="570"/>
      <c r="EO106" s="569"/>
      <c r="EP106" s="569"/>
      <c r="EQ106" s="582">
        <v>0</v>
      </c>
    </row>
    <row r="107" spans="1:147" ht="10.199999999999999" hidden="1" customHeight="1" outlineLevel="1">
      <c r="A107" s="48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1356"/>
      <c r="P107" s="1356"/>
      <c r="Q107" s="1356"/>
      <c r="R107" s="1357"/>
      <c r="S107" s="1356"/>
      <c r="T107" s="1356"/>
      <c r="U107" s="1358"/>
      <c r="V107" s="1356"/>
      <c r="W107" s="1356"/>
      <c r="X107" s="1356"/>
      <c r="Y107" s="1357"/>
      <c r="Z107" s="1356"/>
      <c r="AA107" s="1356"/>
      <c r="AB107" s="1358"/>
      <c r="AC107" s="1356"/>
      <c r="AD107" s="1356"/>
      <c r="AE107" s="1356"/>
      <c r="AF107" s="1357"/>
      <c r="AG107" s="1356"/>
      <c r="AH107" s="1356"/>
      <c r="AI107" s="1358"/>
      <c r="AJ107" s="1356"/>
      <c r="AK107" s="1356"/>
      <c r="AL107" s="1356"/>
      <c r="AM107" s="1357"/>
      <c r="AN107" s="1356"/>
      <c r="AO107" s="1356"/>
      <c r="AP107" s="1358"/>
      <c r="AQ107" s="1356"/>
      <c r="AR107" s="1356"/>
      <c r="AS107" s="1356"/>
      <c r="AT107" s="1357"/>
      <c r="AU107" s="1356"/>
      <c r="AV107" s="1356"/>
      <c r="AW107" s="1358"/>
      <c r="AX107" s="1356"/>
      <c r="AY107" s="1356"/>
      <c r="AZ107" s="1356"/>
      <c r="BA107" s="1357"/>
      <c r="BB107" s="1356"/>
      <c r="BC107" s="1356"/>
      <c r="BD107" s="1358"/>
      <c r="BE107" s="1356"/>
      <c r="BF107" s="1356"/>
      <c r="BG107" s="1356"/>
      <c r="BH107" s="1357"/>
      <c r="BI107" s="1356"/>
      <c r="BJ107" s="1356"/>
      <c r="BK107" s="1358"/>
      <c r="BL107" s="1356"/>
      <c r="BM107" s="1356"/>
      <c r="BN107" s="1356"/>
      <c r="BO107" s="1357"/>
      <c r="BP107" s="1356"/>
      <c r="BQ107" s="1356"/>
      <c r="BR107" s="1358"/>
      <c r="BS107" s="1356"/>
      <c r="BT107" s="1356"/>
      <c r="BU107" s="1356"/>
      <c r="BV107" s="1357"/>
      <c r="BW107" s="1356"/>
      <c r="BX107" s="1356"/>
      <c r="BY107" s="1358"/>
      <c r="BZ107" s="1356"/>
      <c r="CA107" s="1356"/>
      <c r="CB107" s="1356"/>
      <c r="CC107" s="1357"/>
      <c r="CD107" s="1356"/>
      <c r="CE107" s="1356"/>
      <c r="CF107" s="1358"/>
      <c r="CG107" s="1356"/>
      <c r="CH107" s="1356"/>
      <c r="CI107" s="1356"/>
      <c r="CJ107" s="1357"/>
      <c r="CK107" s="1356"/>
      <c r="CL107" s="1356"/>
      <c r="CM107" s="1358"/>
      <c r="CN107" s="1356"/>
      <c r="CO107" s="1356"/>
      <c r="CP107" s="1356"/>
      <c r="CQ107" s="1357"/>
      <c r="CR107" s="1356"/>
      <c r="CS107" s="1356"/>
      <c r="CT107" s="1358"/>
      <c r="CU107" s="1356"/>
      <c r="CV107" s="1356"/>
      <c r="CW107" s="1356"/>
      <c r="CX107" s="1357"/>
      <c r="CY107" s="1356"/>
      <c r="CZ107" s="1356"/>
      <c r="DA107" s="1783"/>
      <c r="DB107" s="1356"/>
      <c r="DC107" s="553"/>
      <c r="DD107" s="553"/>
      <c r="DE107" s="554"/>
      <c r="DF107" s="553"/>
      <c r="DG107" s="553"/>
      <c r="DH107" s="583"/>
      <c r="DI107" s="553"/>
      <c r="DJ107" s="553"/>
      <c r="DK107" s="553"/>
      <c r="DL107" s="554"/>
      <c r="DM107" s="553"/>
      <c r="DN107" s="553"/>
      <c r="DO107" s="583"/>
      <c r="DP107" s="553"/>
      <c r="DQ107" s="553"/>
      <c r="DR107" s="553"/>
      <c r="DS107" s="554"/>
      <c r="DT107" s="553"/>
      <c r="DU107" s="553"/>
      <c r="DV107" s="583"/>
      <c r="DW107" s="553"/>
      <c r="DX107" s="553"/>
      <c r="DY107" s="553"/>
      <c r="DZ107" s="554"/>
      <c r="EA107" s="553"/>
      <c r="EB107" s="553"/>
      <c r="EC107" s="583"/>
      <c r="ED107" s="553"/>
      <c r="EE107" s="553"/>
      <c r="EF107" s="553"/>
      <c r="EG107" s="554"/>
      <c r="EH107" s="553"/>
      <c r="EI107" s="553"/>
      <c r="EJ107" s="583"/>
      <c r="EK107" s="553"/>
      <c r="EL107" s="553"/>
      <c r="EM107" s="553"/>
      <c r="EN107" s="554"/>
      <c r="EO107" s="553"/>
      <c r="EP107" s="553"/>
      <c r="EQ107" s="583"/>
    </row>
    <row r="108" spans="1:147" ht="10.199999999999999" hidden="1" customHeight="1" outlineLevel="1">
      <c r="A108" s="108" t="s">
        <v>100</v>
      </c>
      <c r="B108" s="217"/>
      <c r="C108" s="217">
        <v>0</v>
      </c>
      <c r="D108" s="217">
        <v>0</v>
      </c>
      <c r="E108" s="217">
        <v>9</v>
      </c>
      <c r="F108" s="217">
        <v>10</v>
      </c>
      <c r="G108" s="217">
        <v>9</v>
      </c>
      <c r="H108" s="217">
        <v>8</v>
      </c>
      <c r="I108" s="217">
        <v>17</v>
      </c>
      <c r="J108" s="217">
        <v>13</v>
      </c>
      <c r="K108" s="217">
        <v>6</v>
      </c>
      <c r="L108" s="217">
        <v>2</v>
      </c>
      <c r="M108" s="217">
        <v>2</v>
      </c>
      <c r="N108" s="217">
        <v>2</v>
      </c>
      <c r="O108" s="1361"/>
      <c r="P108" s="1361"/>
      <c r="Q108" s="1361"/>
      <c r="R108" s="1362"/>
      <c r="S108" s="1361"/>
      <c r="T108" s="1361"/>
      <c r="U108" s="1363">
        <v>1</v>
      </c>
      <c r="V108" s="1361"/>
      <c r="W108" s="1361"/>
      <c r="X108" s="1361"/>
      <c r="Y108" s="1362"/>
      <c r="Z108" s="1361"/>
      <c r="AA108" s="1361"/>
      <c r="AB108" s="1363">
        <v>0</v>
      </c>
      <c r="AC108" s="1361"/>
      <c r="AD108" s="1361"/>
      <c r="AE108" s="1361"/>
      <c r="AF108" s="1362"/>
      <c r="AG108" s="1361"/>
      <c r="AH108" s="1361"/>
      <c r="AI108" s="1363">
        <v>1</v>
      </c>
      <c r="AJ108" s="1361"/>
      <c r="AK108" s="1361"/>
      <c r="AL108" s="1361"/>
      <c r="AM108" s="1362"/>
      <c r="AN108" s="1361"/>
      <c r="AO108" s="1361"/>
      <c r="AP108" s="1363">
        <v>0</v>
      </c>
      <c r="AQ108" s="530">
        <f>Divisional!AP193</f>
        <v>0</v>
      </c>
      <c r="AR108" s="530">
        <f>Divisional!AQ193</f>
        <v>0</v>
      </c>
      <c r="AS108" s="530">
        <f>Divisional!AR193</f>
        <v>0</v>
      </c>
      <c r="AT108" s="680">
        <f>Divisional!AS193</f>
        <v>0</v>
      </c>
      <c r="AU108" s="530">
        <f>Divisional!AT193</f>
        <v>0</v>
      </c>
      <c r="AV108" s="530">
        <f>Divisional!AU193</f>
        <v>0</v>
      </c>
      <c r="AW108" s="1363">
        <v>0</v>
      </c>
      <c r="AX108" s="530">
        <f>Divisional!AW193</f>
        <v>0</v>
      </c>
      <c r="AY108" s="530">
        <f>Divisional!AX193</f>
        <v>0</v>
      </c>
      <c r="AZ108" s="530">
        <f>Divisional!AY193</f>
        <v>0</v>
      </c>
      <c r="BA108" s="680">
        <f>Divisional!AZ193</f>
        <v>0</v>
      </c>
      <c r="BB108" s="530">
        <f>Divisional!BA193</f>
        <v>0</v>
      </c>
      <c r="BC108" s="530">
        <f>Divisional!BB193</f>
        <v>0</v>
      </c>
      <c r="BD108" s="1363">
        <v>0</v>
      </c>
      <c r="BE108" s="530">
        <f>Divisional!BD193</f>
        <v>0</v>
      </c>
      <c r="BF108" s="530">
        <f>Divisional!BE193</f>
        <v>0</v>
      </c>
      <c r="BG108" s="530">
        <f>Divisional!BF193</f>
        <v>0</v>
      </c>
      <c r="BH108" s="680">
        <f>Divisional!BG193</f>
        <v>0</v>
      </c>
      <c r="BI108" s="530">
        <f>Divisional!BH193</f>
        <v>0</v>
      </c>
      <c r="BJ108" s="530">
        <f>Divisional!BI193</f>
        <v>0</v>
      </c>
      <c r="BK108" s="1363">
        <v>0</v>
      </c>
      <c r="BL108" s="530">
        <f>Divisional!BK193</f>
        <v>0</v>
      </c>
      <c r="BM108" s="530">
        <f>Divisional!BL193</f>
        <v>0</v>
      </c>
      <c r="BN108" s="530">
        <f>Divisional!BM193</f>
        <v>0</v>
      </c>
      <c r="BO108" s="680">
        <f>Divisional!BN193</f>
        <v>0</v>
      </c>
      <c r="BP108" s="530">
        <f>Divisional!BO193</f>
        <v>0</v>
      </c>
      <c r="BQ108" s="530">
        <f>Divisional!BP193</f>
        <v>0</v>
      </c>
      <c r="BR108" s="1363">
        <v>0</v>
      </c>
      <c r="BS108" s="530">
        <f>Divisional!BY193</f>
        <v>0</v>
      </c>
      <c r="BT108" s="530">
        <f>Divisional!BZ193</f>
        <v>0</v>
      </c>
      <c r="BU108" s="530">
        <f>Divisional!CA193</f>
        <v>0</v>
      </c>
      <c r="BV108" s="680">
        <f>Divisional!CB193</f>
        <v>0</v>
      </c>
      <c r="BW108" s="530">
        <f>Divisional!CC193</f>
        <v>0</v>
      </c>
      <c r="BX108" s="530">
        <f>Divisional!CD193</f>
        <v>0</v>
      </c>
      <c r="BY108" s="1363">
        <v>0</v>
      </c>
      <c r="BZ108" s="530">
        <f>Divisional!CF193</f>
        <v>0</v>
      </c>
      <c r="CA108" s="530">
        <f>Divisional!CG193</f>
        <v>0</v>
      </c>
      <c r="CB108" s="530">
        <f>Divisional!CH193</f>
        <v>0</v>
      </c>
      <c r="CC108" s="680">
        <f>Divisional!CI193</f>
        <v>0</v>
      </c>
      <c r="CD108" s="530">
        <f>Divisional!CJ193</f>
        <v>0</v>
      </c>
      <c r="CE108" s="530">
        <f>Divisional!CK193</f>
        <v>0</v>
      </c>
      <c r="CF108" s="1363">
        <v>0</v>
      </c>
      <c r="CG108" s="530">
        <f>Divisional!CM193</f>
        <v>0</v>
      </c>
      <c r="CH108" s="530">
        <f>Divisional!CN193</f>
        <v>0</v>
      </c>
      <c r="CI108" s="530">
        <f>Divisional!CO193</f>
        <v>0</v>
      </c>
      <c r="CJ108" s="680">
        <f>Divisional!CP193</f>
        <v>0</v>
      </c>
      <c r="CK108" s="530">
        <f>Divisional!CQ193</f>
        <v>0</v>
      </c>
      <c r="CL108" s="530">
        <f>Divisional!CR193</f>
        <v>0</v>
      </c>
      <c r="CM108" s="1363">
        <v>0</v>
      </c>
      <c r="CN108" s="1361"/>
      <c r="CO108" s="1361"/>
      <c r="CP108" s="1361"/>
      <c r="CQ108" s="1362"/>
      <c r="CR108" s="1361"/>
      <c r="CS108" s="1361"/>
      <c r="CT108" s="1363"/>
      <c r="CU108" s="1361"/>
      <c r="CV108" s="1361"/>
      <c r="CW108" s="1361"/>
      <c r="CX108" s="1362"/>
      <c r="CY108" s="1361"/>
      <c r="CZ108" s="1361"/>
      <c r="DA108" s="1506"/>
      <c r="DB108" s="1361"/>
      <c r="DC108" s="458"/>
      <c r="DD108" s="458"/>
      <c r="DE108" s="459"/>
      <c r="DF108" s="458"/>
      <c r="DG108" s="458"/>
      <c r="DH108" s="584"/>
      <c r="DI108" s="458"/>
      <c r="DJ108" s="458"/>
      <c r="DK108" s="458"/>
      <c r="DL108" s="459"/>
      <c r="DM108" s="458"/>
      <c r="DN108" s="458"/>
      <c r="DO108" s="584"/>
      <c r="DP108" s="458"/>
      <c r="DQ108" s="458"/>
      <c r="DR108" s="458"/>
      <c r="DS108" s="459"/>
      <c r="DT108" s="458"/>
      <c r="DU108" s="458"/>
      <c r="DV108" s="584"/>
      <c r="DW108" s="458"/>
      <c r="DX108" s="458"/>
      <c r="DY108" s="458"/>
      <c r="DZ108" s="459"/>
      <c r="EA108" s="458"/>
      <c r="EB108" s="458"/>
      <c r="EC108" s="584"/>
      <c r="ED108" s="458"/>
      <c r="EE108" s="458"/>
      <c r="EF108" s="458"/>
      <c r="EG108" s="459"/>
      <c r="EH108" s="458"/>
      <c r="EI108" s="458"/>
      <c r="EJ108" s="584"/>
      <c r="EK108" s="458"/>
      <c r="EL108" s="458"/>
      <c r="EM108" s="458"/>
      <c r="EN108" s="459"/>
      <c r="EO108" s="458"/>
      <c r="EP108" s="458"/>
      <c r="EQ108" s="584"/>
    </row>
    <row r="109" spans="1:147" ht="10.199999999999999" hidden="1" customHeight="1" outlineLevel="1">
      <c r="A109" s="108" t="s">
        <v>101</v>
      </c>
      <c r="B109" s="108">
        <v>112</v>
      </c>
      <c r="C109" s="108">
        <v>89</v>
      </c>
      <c r="D109" s="108">
        <v>85</v>
      </c>
      <c r="E109" s="108">
        <v>72</v>
      </c>
      <c r="F109" s="108">
        <v>87</v>
      </c>
      <c r="G109" s="108">
        <v>142</v>
      </c>
      <c r="H109" s="108">
        <v>137</v>
      </c>
      <c r="I109" s="108">
        <v>105</v>
      </c>
      <c r="J109" s="108">
        <v>98</v>
      </c>
      <c r="K109" s="108">
        <v>88</v>
      </c>
      <c r="L109" s="108">
        <v>51</v>
      </c>
      <c r="M109" s="108">
        <v>47</v>
      </c>
      <c r="N109" s="108">
        <v>38</v>
      </c>
      <c r="O109" s="460"/>
      <c r="P109" s="460"/>
      <c r="Q109" s="460"/>
      <c r="R109" s="461"/>
      <c r="S109" s="460"/>
      <c r="T109" s="460"/>
      <c r="U109" s="1364">
        <v>38</v>
      </c>
      <c r="V109" s="460"/>
      <c r="W109" s="460"/>
      <c r="X109" s="460"/>
      <c r="Y109" s="461"/>
      <c r="Z109" s="460"/>
      <c r="AA109" s="460"/>
      <c r="AB109" s="1364">
        <v>34</v>
      </c>
      <c r="AC109" s="460"/>
      <c r="AD109" s="460"/>
      <c r="AE109" s="460"/>
      <c r="AF109" s="461"/>
      <c r="AG109" s="460"/>
      <c r="AH109" s="460"/>
      <c r="AI109" s="1364">
        <v>24</v>
      </c>
      <c r="AJ109" s="460"/>
      <c r="AK109" s="460"/>
      <c r="AL109" s="460"/>
      <c r="AM109" s="461"/>
      <c r="AN109" s="460"/>
      <c r="AO109" s="460"/>
      <c r="AP109" s="1364">
        <v>4</v>
      </c>
      <c r="AQ109" s="530">
        <f>Divisional!AP194</f>
        <v>0</v>
      </c>
      <c r="AR109" s="530">
        <f>Divisional!AQ194</f>
        <v>1</v>
      </c>
      <c r="AS109" s="530">
        <f>Divisional!AR194</f>
        <v>2</v>
      </c>
      <c r="AT109" s="680">
        <f>Divisional!AS194</f>
        <v>7</v>
      </c>
      <c r="AU109" s="530">
        <f>Divisional!AT194</f>
        <v>1</v>
      </c>
      <c r="AV109" s="530">
        <f>Divisional!AU194</f>
        <v>9</v>
      </c>
      <c r="AW109" s="1364">
        <v>10</v>
      </c>
      <c r="AX109" s="530">
        <f>Divisional!AW194</f>
        <v>0</v>
      </c>
      <c r="AY109" s="530">
        <f>Divisional!AX194</f>
        <v>1</v>
      </c>
      <c r="AZ109" s="530">
        <f>Divisional!AY194</f>
        <v>2</v>
      </c>
      <c r="BA109" s="680">
        <f>Divisional!AZ194</f>
        <v>7</v>
      </c>
      <c r="BB109" s="530">
        <f>Divisional!BA194</f>
        <v>1</v>
      </c>
      <c r="BC109" s="530">
        <f>Divisional!BB194</f>
        <v>9</v>
      </c>
      <c r="BD109" s="1364">
        <f>+AW109</f>
        <v>10</v>
      </c>
      <c r="BE109" s="530">
        <f>Divisional!BD194</f>
        <v>2</v>
      </c>
      <c r="BF109" s="530">
        <f>Divisional!BE194</f>
        <v>0</v>
      </c>
      <c r="BG109" s="530">
        <f>Divisional!BF194</f>
        <v>1</v>
      </c>
      <c r="BH109" s="680">
        <f>Divisional!BG194</f>
        <v>5</v>
      </c>
      <c r="BI109" s="530">
        <f>Divisional!BH194</f>
        <v>2</v>
      </c>
      <c r="BJ109" s="530">
        <f>Divisional!BI194</f>
        <v>6</v>
      </c>
      <c r="BK109" s="1364">
        <v>8</v>
      </c>
      <c r="BL109" s="530">
        <f>Divisional!BK194</f>
        <v>1</v>
      </c>
      <c r="BM109" s="530">
        <f>Divisional!BL194</f>
        <v>2</v>
      </c>
      <c r="BN109" s="530">
        <f>Divisional!BM194</f>
        <v>1</v>
      </c>
      <c r="BO109" s="680">
        <f>Divisional!BN194</f>
        <v>0</v>
      </c>
      <c r="BP109" s="530">
        <f>Divisional!BO194</f>
        <v>3</v>
      </c>
      <c r="BQ109" s="530">
        <f>Divisional!BP194</f>
        <v>1</v>
      </c>
      <c r="BR109" s="1364">
        <v>4</v>
      </c>
      <c r="BS109" s="530">
        <f>Divisional!BY194</f>
        <v>0</v>
      </c>
      <c r="BT109" s="530">
        <f>Divisional!BZ194</f>
        <v>1</v>
      </c>
      <c r="BU109" s="530">
        <f>Divisional!CA194</f>
        <v>0</v>
      </c>
      <c r="BV109" s="680">
        <f>Divisional!CB194</f>
        <v>2</v>
      </c>
      <c r="BW109" s="530">
        <f>Divisional!CC194</f>
        <v>1</v>
      </c>
      <c r="BX109" s="530">
        <f>Divisional!CD194</f>
        <v>2</v>
      </c>
      <c r="BY109" s="1364">
        <v>3</v>
      </c>
      <c r="BZ109" s="530">
        <f>Divisional!CF194</f>
        <v>1</v>
      </c>
      <c r="CA109" s="530">
        <f>Divisional!CG194</f>
        <v>0</v>
      </c>
      <c r="CB109" s="530">
        <f>Divisional!CH194</f>
        <v>1</v>
      </c>
      <c r="CC109" s="680">
        <f>Divisional!CI194</f>
        <v>0</v>
      </c>
      <c r="CD109" s="530">
        <f>Divisional!CJ194</f>
        <v>1</v>
      </c>
      <c r="CE109" s="530">
        <f>Divisional!CK194</f>
        <v>1</v>
      </c>
      <c r="CF109" s="1364">
        <v>2</v>
      </c>
      <c r="CG109" s="530">
        <f>Divisional!CM194</f>
        <v>0</v>
      </c>
      <c r="CH109" s="530">
        <f>Divisional!CN194</f>
        <v>0</v>
      </c>
      <c r="CI109" s="530">
        <f>Divisional!CO194</f>
        <v>0</v>
      </c>
      <c r="CJ109" s="680">
        <f>Divisional!CP194</f>
        <v>0</v>
      </c>
      <c r="CK109" s="530">
        <f>Divisional!CQ194</f>
        <v>0</v>
      </c>
      <c r="CL109" s="530">
        <f>Divisional!CR194</f>
        <v>0</v>
      </c>
      <c r="CM109" s="1364">
        <v>0</v>
      </c>
      <c r="CN109" s="460"/>
      <c r="CO109" s="460"/>
      <c r="CP109" s="460"/>
      <c r="CQ109" s="461"/>
      <c r="CR109" s="460"/>
      <c r="CS109" s="460"/>
      <c r="CT109" s="1364">
        <v>0</v>
      </c>
      <c r="CU109" s="460"/>
      <c r="CV109" s="460"/>
      <c r="CW109" s="460"/>
      <c r="CX109" s="461"/>
      <c r="CY109" s="460"/>
      <c r="CZ109" s="460"/>
      <c r="DA109" s="1544">
        <v>0</v>
      </c>
      <c r="DB109" s="460"/>
      <c r="DC109" s="460"/>
      <c r="DD109" s="460"/>
      <c r="DE109" s="461"/>
      <c r="DF109" s="460"/>
      <c r="DG109" s="460"/>
      <c r="DH109" s="585">
        <v>0</v>
      </c>
      <c r="DI109" s="460"/>
      <c r="DJ109" s="460"/>
      <c r="DK109" s="460"/>
      <c r="DL109" s="461"/>
      <c r="DM109" s="460"/>
      <c r="DN109" s="460"/>
      <c r="DO109" s="585">
        <v>0</v>
      </c>
      <c r="DP109" s="460"/>
      <c r="DQ109" s="460"/>
      <c r="DR109" s="460"/>
      <c r="DS109" s="461"/>
      <c r="DT109" s="460"/>
      <c r="DU109" s="460"/>
      <c r="DV109" s="585">
        <v>0</v>
      </c>
      <c r="DW109" s="460"/>
      <c r="DX109" s="460"/>
      <c r="DY109" s="460"/>
      <c r="DZ109" s="461"/>
      <c r="EA109" s="460"/>
      <c r="EB109" s="460"/>
      <c r="EC109" s="585">
        <v>0</v>
      </c>
      <c r="ED109" s="460"/>
      <c r="EE109" s="460"/>
      <c r="EF109" s="460"/>
      <c r="EG109" s="461"/>
      <c r="EH109" s="460"/>
      <c r="EI109" s="460"/>
      <c r="EJ109" s="585">
        <v>0</v>
      </c>
      <c r="EK109" s="460"/>
      <c r="EL109" s="460"/>
      <c r="EM109" s="460"/>
      <c r="EN109" s="461"/>
      <c r="EO109" s="460"/>
      <c r="EP109" s="460"/>
      <c r="EQ109" s="585">
        <v>0</v>
      </c>
    </row>
    <row r="110" spans="1:147" ht="10.199999999999999" hidden="1" customHeight="1" outlineLevel="1">
      <c r="A110" s="108" t="s">
        <v>102</v>
      </c>
      <c r="B110" s="108">
        <v>101</v>
      </c>
      <c r="C110" s="108">
        <v>119</v>
      </c>
      <c r="D110" s="108">
        <v>116</v>
      </c>
      <c r="E110" s="108">
        <v>119</v>
      </c>
      <c r="F110" s="108">
        <v>101</v>
      </c>
      <c r="G110" s="108">
        <v>121</v>
      </c>
      <c r="H110" s="108">
        <v>164</v>
      </c>
      <c r="I110" s="108">
        <v>194</v>
      </c>
      <c r="J110" s="108">
        <v>209</v>
      </c>
      <c r="K110" s="108">
        <v>221</v>
      </c>
      <c r="L110" s="108">
        <v>297</v>
      </c>
      <c r="M110" s="108">
        <v>306</v>
      </c>
      <c r="N110" s="108">
        <v>332</v>
      </c>
      <c r="O110" s="460"/>
      <c r="P110" s="460"/>
      <c r="Q110" s="460"/>
      <c r="R110" s="461"/>
      <c r="S110" s="460"/>
      <c r="T110" s="460"/>
      <c r="U110" s="1364">
        <v>352</v>
      </c>
      <c r="V110" s="460"/>
      <c r="W110" s="460"/>
      <c r="X110" s="460"/>
      <c r="Y110" s="461"/>
      <c r="Z110" s="460"/>
      <c r="AA110" s="460"/>
      <c r="AB110" s="1364">
        <v>306</v>
      </c>
      <c r="AC110" s="460"/>
      <c r="AD110" s="460"/>
      <c r="AE110" s="460"/>
      <c r="AF110" s="461"/>
      <c r="AG110" s="460"/>
      <c r="AH110" s="460"/>
      <c r="AI110" s="1364">
        <v>282</v>
      </c>
      <c r="AJ110" s="460"/>
      <c r="AK110" s="460"/>
      <c r="AL110" s="460"/>
      <c r="AM110" s="461"/>
      <c r="AN110" s="460"/>
      <c r="AO110" s="460"/>
      <c r="AP110" s="1364">
        <v>255</v>
      </c>
      <c r="AQ110" s="530">
        <f>Divisional!AP195</f>
        <v>36</v>
      </c>
      <c r="AR110" s="530">
        <f>Divisional!AQ195</f>
        <v>54</v>
      </c>
      <c r="AS110" s="530">
        <f>Divisional!AR195</f>
        <v>38</v>
      </c>
      <c r="AT110" s="680">
        <f>Divisional!AS195</f>
        <v>56</v>
      </c>
      <c r="AU110" s="530">
        <f>Divisional!AT195</f>
        <v>90</v>
      </c>
      <c r="AV110" s="530">
        <f>Divisional!AU195</f>
        <v>94</v>
      </c>
      <c r="AW110" s="1364">
        <v>184</v>
      </c>
      <c r="AX110" s="530">
        <f>Divisional!AW195</f>
        <v>36</v>
      </c>
      <c r="AY110" s="530">
        <f>Divisional!AX195</f>
        <v>54</v>
      </c>
      <c r="AZ110" s="530">
        <f>Divisional!AY195</f>
        <v>38</v>
      </c>
      <c r="BA110" s="680">
        <f>Divisional!AZ195</f>
        <v>56</v>
      </c>
      <c r="BB110" s="530">
        <f>Divisional!BA195</f>
        <v>90</v>
      </c>
      <c r="BC110" s="530">
        <f>Divisional!BB195</f>
        <v>94</v>
      </c>
      <c r="BD110" s="1364">
        <f>+AW110</f>
        <v>184</v>
      </c>
      <c r="BE110" s="530">
        <f>Divisional!BD195</f>
        <v>35</v>
      </c>
      <c r="BF110" s="530">
        <f>Divisional!BE195</f>
        <v>34</v>
      </c>
      <c r="BG110" s="530">
        <f>Divisional!BF195</f>
        <v>25</v>
      </c>
      <c r="BH110" s="680">
        <f>Divisional!BG195</f>
        <v>39</v>
      </c>
      <c r="BI110" s="530">
        <f>Divisional!BH195</f>
        <v>69</v>
      </c>
      <c r="BJ110" s="530">
        <f>Divisional!BI195</f>
        <v>64</v>
      </c>
      <c r="BK110" s="1364">
        <v>133</v>
      </c>
      <c r="BL110" s="530">
        <f>Divisional!BK195</f>
        <v>15</v>
      </c>
      <c r="BM110" s="530">
        <f>Divisional!BL195</f>
        <v>19</v>
      </c>
      <c r="BN110" s="530">
        <f>Divisional!BM195</f>
        <v>10</v>
      </c>
      <c r="BO110" s="680">
        <f>Divisional!BN195</f>
        <v>5</v>
      </c>
      <c r="BP110" s="530">
        <f>Divisional!BO195</f>
        <v>34</v>
      </c>
      <c r="BQ110" s="530">
        <f>Divisional!BP195</f>
        <v>15</v>
      </c>
      <c r="BR110" s="1364">
        <v>49</v>
      </c>
      <c r="BS110" s="530">
        <f>Divisional!BY195</f>
        <v>1</v>
      </c>
      <c r="BT110" s="530">
        <f>Divisional!BZ195</f>
        <v>0</v>
      </c>
      <c r="BU110" s="530">
        <f>Divisional!CA195</f>
        <v>1</v>
      </c>
      <c r="BV110" s="680">
        <f>Divisional!CB195</f>
        <v>1</v>
      </c>
      <c r="BW110" s="530">
        <f>Divisional!CC195</f>
        <v>1</v>
      </c>
      <c r="BX110" s="530">
        <f>Divisional!CD195</f>
        <v>2</v>
      </c>
      <c r="BY110" s="1364">
        <v>3</v>
      </c>
      <c r="BZ110" s="530">
        <f>Divisional!CF195</f>
        <v>0</v>
      </c>
      <c r="CA110" s="530">
        <f>Divisional!CG195</f>
        <v>0</v>
      </c>
      <c r="CB110" s="530">
        <f>Divisional!CH195</f>
        <v>0</v>
      </c>
      <c r="CC110" s="680">
        <f>Divisional!CI195</f>
        <v>0</v>
      </c>
      <c r="CD110" s="530">
        <f>Divisional!CJ195</f>
        <v>0</v>
      </c>
      <c r="CE110" s="530">
        <f>Divisional!CK195</f>
        <v>0</v>
      </c>
      <c r="CF110" s="1364">
        <v>0</v>
      </c>
      <c r="CG110" s="530">
        <f>Divisional!CM195</f>
        <v>0</v>
      </c>
      <c r="CH110" s="530">
        <f>Divisional!CN195</f>
        <v>0</v>
      </c>
      <c r="CI110" s="530">
        <f>Divisional!CO195</f>
        <v>0</v>
      </c>
      <c r="CJ110" s="680">
        <f>Divisional!CP195</f>
        <v>0</v>
      </c>
      <c r="CK110" s="530">
        <f>Divisional!CQ195</f>
        <v>0</v>
      </c>
      <c r="CL110" s="530">
        <f>Divisional!CR195</f>
        <v>0</v>
      </c>
      <c r="CM110" s="1364">
        <v>0</v>
      </c>
      <c r="CN110" s="460"/>
      <c r="CO110" s="460"/>
      <c r="CP110" s="460"/>
      <c r="CQ110" s="461"/>
      <c r="CR110" s="460"/>
      <c r="CS110" s="460"/>
      <c r="CT110" s="1364">
        <v>0</v>
      </c>
      <c r="CU110" s="460"/>
      <c r="CV110" s="460"/>
      <c r="CW110" s="460"/>
      <c r="CX110" s="461"/>
      <c r="CY110" s="460"/>
      <c r="CZ110" s="460"/>
      <c r="DA110" s="1544">
        <v>0</v>
      </c>
      <c r="DB110" s="460"/>
      <c r="DC110" s="460"/>
      <c r="DD110" s="460"/>
      <c r="DE110" s="461"/>
      <c r="DF110" s="460"/>
      <c r="DG110" s="460"/>
      <c r="DH110" s="585">
        <v>0</v>
      </c>
      <c r="DI110" s="460"/>
      <c r="DJ110" s="460"/>
      <c r="DK110" s="460"/>
      <c r="DL110" s="461"/>
      <c r="DM110" s="460"/>
      <c r="DN110" s="460"/>
      <c r="DO110" s="585">
        <v>0</v>
      </c>
      <c r="DP110" s="460"/>
      <c r="DQ110" s="460"/>
      <c r="DR110" s="460"/>
      <c r="DS110" s="461"/>
      <c r="DT110" s="460"/>
      <c r="DU110" s="460"/>
      <c r="DV110" s="585">
        <v>0</v>
      </c>
      <c r="DW110" s="460"/>
      <c r="DX110" s="460"/>
      <c r="DY110" s="460"/>
      <c r="DZ110" s="461"/>
      <c r="EA110" s="460"/>
      <c r="EB110" s="460"/>
      <c r="EC110" s="585">
        <v>0</v>
      </c>
      <c r="ED110" s="460"/>
      <c r="EE110" s="460"/>
      <c r="EF110" s="460"/>
      <c r="EG110" s="461"/>
      <c r="EH110" s="460"/>
      <c r="EI110" s="460"/>
      <c r="EJ110" s="585">
        <v>0</v>
      </c>
      <c r="EK110" s="460"/>
      <c r="EL110" s="460"/>
      <c r="EM110" s="460"/>
      <c r="EN110" s="461"/>
      <c r="EO110" s="460"/>
      <c r="EP110" s="460"/>
      <c r="EQ110" s="585">
        <v>0</v>
      </c>
    </row>
    <row r="111" spans="1:147" ht="10.199999999999999" hidden="1" customHeight="1" outlineLevel="1">
      <c r="A111" s="108" t="s">
        <v>202</v>
      </c>
      <c r="B111" s="108">
        <v>28</v>
      </c>
      <c r="C111" s="108">
        <v>49</v>
      </c>
      <c r="D111" s="108">
        <v>35</v>
      </c>
      <c r="E111" s="108">
        <v>33</v>
      </c>
      <c r="F111" s="108">
        <v>35</v>
      </c>
      <c r="G111" s="108">
        <v>17</v>
      </c>
      <c r="H111" s="108">
        <v>30</v>
      </c>
      <c r="I111" s="108">
        <v>51</v>
      </c>
      <c r="J111" s="108">
        <v>66</v>
      </c>
      <c r="K111" s="108">
        <v>87</v>
      </c>
      <c r="L111" s="108">
        <v>51</v>
      </c>
      <c r="M111" s="108">
        <v>66</v>
      </c>
      <c r="N111" s="108">
        <v>83</v>
      </c>
      <c r="O111" s="460"/>
      <c r="P111" s="460"/>
      <c r="Q111" s="460"/>
      <c r="R111" s="461"/>
      <c r="S111" s="460"/>
      <c r="T111" s="460"/>
      <c r="U111" s="1364">
        <v>102</v>
      </c>
      <c r="V111" s="460"/>
      <c r="W111" s="460"/>
      <c r="X111" s="460"/>
      <c r="Y111" s="461"/>
      <c r="Z111" s="460"/>
      <c r="AA111" s="460"/>
      <c r="AB111" s="1364">
        <v>150</v>
      </c>
      <c r="AC111" s="460"/>
      <c r="AD111" s="460"/>
      <c r="AE111" s="460"/>
      <c r="AF111" s="461"/>
      <c r="AG111" s="460"/>
      <c r="AH111" s="460"/>
      <c r="AI111" s="1364">
        <v>184</v>
      </c>
      <c r="AJ111" s="460"/>
      <c r="AK111" s="460"/>
      <c r="AL111" s="460"/>
      <c r="AM111" s="461"/>
      <c r="AN111" s="460"/>
      <c r="AO111" s="460"/>
      <c r="AP111" s="1364">
        <f>0.4*AP119</f>
        <v>218</v>
      </c>
      <c r="AQ111" s="530">
        <f>Divisional!AP196</f>
        <v>45</v>
      </c>
      <c r="AR111" s="530">
        <f>Divisional!AQ196</f>
        <v>44</v>
      </c>
      <c r="AS111" s="530">
        <f>Divisional!AR196</f>
        <v>40</v>
      </c>
      <c r="AT111" s="680">
        <f>Divisional!AS196</f>
        <v>54</v>
      </c>
      <c r="AU111" s="530">
        <f>Divisional!AT196</f>
        <v>89</v>
      </c>
      <c r="AV111" s="530">
        <f>Divisional!AU196</f>
        <v>94</v>
      </c>
      <c r="AW111" s="1364">
        <v>183</v>
      </c>
      <c r="AX111" s="530">
        <f>Divisional!AW196</f>
        <v>45</v>
      </c>
      <c r="AY111" s="530">
        <f>Divisional!AX196</f>
        <v>44</v>
      </c>
      <c r="AZ111" s="530">
        <f>Divisional!AY196</f>
        <v>40</v>
      </c>
      <c r="BA111" s="680">
        <f>Divisional!AZ196</f>
        <v>54</v>
      </c>
      <c r="BB111" s="530">
        <f>Divisional!BA196</f>
        <v>89</v>
      </c>
      <c r="BC111" s="530">
        <f>Divisional!BB196</f>
        <v>94</v>
      </c>
      <c r="BD111" s="1364">
        <f>+AW111</f>
        <v>183</v>
      </c>
      <c r="BE111" s="530">
        <f>Divisional!BD196</f>
        <v>28</v>
      </c>
      <c r="BF111" s="530">
        <f>Divisional!BE196</f>
        <v>30</v>
      </c>
      <c r="BG111" s="530">
        <f>Divisional!BF196</f>
        <v>18</v>
      </c>
      <c r="BH111" s="680">
        <f>Divisional!BG196</f>
        <v>23</v>
      </c>
      <c r="BI111" s="530">
        <f>Divisional!BH196</f>
        <v>58</v>
      </c>
      <c r="BJ111" s="530">
        <f>Divisional!BI196</f>
        <v>41</v>
      </c>
      <c r="BK111" s="1364">
        <v>99</v>
      </c>
      <c r="BL111" s="530">
        <f>Divisional!BK196</f>
        <v>12</v>
      </c>
      <c r="BM111" s="530">
        <f>Divisional!BL196</f>
        <v>11</v>
      </c>
      <c r="BN111" s="530">
        <f>Divisional!BM196</f>
        <v>13</v>
      </c>
      <c r="BO111" s="680">
        <f>Divisional!BN196</f>
        <v>2</v>
      </c>
      <c r="BP111" s="530">
        <f>Divisional!BO196</f>
        <v>23</v>
      </c>
      <c r="BQ111" s="530">
        <f>Divisional!BP196</f>
        <v>15</v>
      </c>
      <c r="BR111" s="1364">
        <v>38</v>
      </c>
      <c r="BS111" s="530">
        <f>Divisional!BY196</f>
        <v>4</v>
      </c>
      <c r="BT111" s="530">
        <f>Divisional!BZ196</f>
        <v>0</v>
      </c>
      <c r="BU111" s="530">
        <f>Divisional!CA196</f>
        <v>3</v>
      </c>
      <c r="BV111" s="680">
        <f>Divisional!CB196</f>
        <v>2</v>
      </c>
      <c r="BW111" s="530">
        <f>Divisional!CC196</f>
        <v>4</v>
      </c>
      <c r="BX111" s="530">
        <f>Divisional!CD196</f>
        <v>5</v>
      </c>
      <c r="BY111" s="1364">
        <v>9</v>
      </c>
      <c r="BZ111" s="530">
        <f>Divisional!CF196</f>
        <v>8</v>
      </c>
      <c r="CA111" s="530">
        <f>Divisional!CG196</f>
        <v>7</v>
      </c>
      <c r="CB111" s="530">
        <f>Divisional!CH196</f>
        <v>3</v>
      </c>
      <c r="CC111" s="680">
        <f>Divisional!CI196</f>
        <v>4</v>
      </c>
      <c r="CD111" s="530">
        <f>Divisional!CJ196</f>
        <v>15</v>
      </c>
      <c r="CE111" s="530">
        <f>Divisional!CK196</f>
        <v>7</v>
      </c>
      <c r="CF111" s="1364">
        <v>22</v>
      </c>
      <c r="CG111" s="530">
        <f>Divisional!CM196</f>
        <v>0</v>
      </c>
      <c r="CH111" s="530">
        <f>Divisional!CN196</f>
        <v>0</v>
      </c>
      <c r="CI111" s="530">
        <f>Divisional!CO196</f>
        <v>3</v>
      </c>
      <c r="CJ111" s="680">
        <f>Divisional!CP196</f>
        <v>-3</v>
      </c>
      <c r="CK111" s="530">
        <f>Divisional!CQ196</f>
        <v>0</v>
      </c>
      <c r="CL111" s="530">
        <f>Divisional!CR196</f>
        <v>0</v>
      </c>
      <c r="CM111" s="1364">
        <v>0</v>
      </c>
      <c r="CN111" s="460"/>
      <c r="CO111" s="460"/>
      <c r="CP111" s="460"/>
      <c r="CQ111" s="461"/>
      <c r="CR111" s="460"/>
      <c r="CS111" s="460"/>
      <c r="CT111" s="1364">
        <v>0</v>
      </c>
      <c r="CU111" s="460"/>
      <c r="CV111" s="460"/>
      <c r="CW111" s="460"/>
      <c r="CX111" s="461"/>
      <c r="CY111" s="460"/>
      <c r="CZ111" s="460"/>
      <c r="DA111" s="1544">
        <v>0</v>
      </c>
      <c r="DB111" s="460"/>
      <c r="DC111" s="460"/>
      <c r="DD111" s="460"/>
      <c r="DE111" s="461"/>
      <c r="DF111" s="460"/>
      <c r="DG111" s="460"/>
      <c r="DH111" s="585">
        <v>0</v>
      </c>
      <c r="DI111" s="460"/>
      <c r="DJ111" s="460"/>
      <c r="DK111" s="460"/>
      <c r="DL111" s="461"/>
      <c r="DM111" s="460"/>
      <c r="DN111" s="460"/>
      <c r="DO111" s="585">
        <v>0</v>
      </c>
      <c r="DP111" s="460"/>
      <c r="DQ111" s="460"/>
      <c r="DR111" s="460"/>
      <c r="DS111" s="461"/>
      <c r="DT111" s="460"/>
      <c r="DU111" s="460"/>
      <c r="DV111" s="585">
        <v>0</v>
      </c>
      <c r="DW111" s="460"/>
      <c r="DX111" s="460"/>
      <c r="DY111" s="460"/>
      <c r="DZ111" s="461"/>
      <c r="EA111" s="460"/>
      <c r="EB111" s="460"/>
      <c r="EC111" s="585">
        <v>0</v>
      </c>
      <c r="ED111" s="460"/>
      <c r="EE111" s="460"/>
      <c r="EF111" s="460"/>
      <c r="EG111" s="461"/>
      <c r="EH111" s="460"/>
      <c r="EI111" s="460"/>
      <c r="EJ111" s="585">
        <v>0</v>
      </c>
      <c r="EK111" s="460"/>
      <c r="EL111" s="460"/>
      <c r="EM111" s="460"/>
      <c r="EN111" s="461"/>
      <c r="EO111" s="460"/>
      <c r="EP111" s="460"/>
      <c r="EQ111" s="585">
        <v>0</v>
      </c>
    </row>
    <row r="112" spans="1:147" ht="10.199999999999999" hidden="1" customHeight="1" outlineLevel="1">
      <c r="A112" s="48" t="s">
        <v>377</v>
      </c>
      <c r="B112" s="48">
        <f>SUM(B108:B111)</f>
        <v>241</v>
      </c>
      <c r="C112" s="48">
        <f t="shared" ref="C112:L112" si="510">+SUM(C108:C111)</f>
        <v>257</v>
      </c>
      <c r="D112" s="48">
        <f t="shared" si="510"/>
        <v>236</v>
      </c>
      <c r="E112" s="48">
        <f t="shared" si="510"/>
        <v>233</v>
      </c>
      <c r="F112" s="48">
        <f t="shared" si="510"/>
        <v>233</v>
      </c>
      <c r="G112" s="48">
        <f t="shared" si="510"/>
        <v>289</v>
      </c>
      <c r="H112" s="48">
        <f t="shared" si="510"/>
        <v>339</v>
      </c>
      <c r="I112" s="48">
        <f t="shared" si="510"/>
        <v>367</v>
      </c>
      <c r="J112" s="48">
        <f t="shared" si="510"/>
        <v>386</v>
      </c>
      <c r="K112" s="48">
        <f t="shared" si="510"/>
        <v>402</v>
      </c>
      <c r="L112" s="48">
        <f t="shared" si="510"/>
        <v>401</v>
      </c>
      <c r="M112" s="48">
        <f t="shared" ref="M112:AP112" si="511">+SUM(M108:M111)</f>
        <v>421</v>
      </c>
      <c r="N112" s="48">
        <f t="shared" si="511"/>
        <v>455</v>
      </c>
      <c r="O112" s="464"/>
      <c r="P112" s="464"/>
      <c r="Q112" s="464"/>
      <c r="R112" s="465"/>
      <c r="S112" s="464"/>
      <c r="T112" s="464"/>
      <c r="U112" s="1364">
        <f t="shared" si="511"/>
        <v>493</v>
      </c>
      <c r="V112" s="464"/>
      <c r="W112" s="464"/>
      <c r="X112" s="464"/>
      <c r="Y112" s="465"/>
      <c r="Z112" s="464"/>
      <c r="AA112" s="464"/>
      <c r="AB112" s="1364">
        <f t="shared" si="511"/>
        <v>490</v>
      </c>
      <c r="AC112" s="464"/>
      <c r="AD112" s="464"/>
      <c r="AE112" s="464"/>
      <c r="AF112" s="465"/>
      <c r="AG112" s="464"/>
      <c r="AH112" s="464"/>
      <c r="AI112" s="1364">
        <f t="shared" si="511"/>
        <v>491</v>
      </c>
      <c r="AJ112" s="464"/>
      <c r="AK112" s="464"/>
      <c r="AL112" s="464"/>
      <c r="AM112" s="465"/>
      <c r="AN112" s="464"/>
      <c r="AO112" s="464"/>
      <c r="AP112" s="1364">
        <f t="shared" si="511"/>
        <v>477</v>
      </c>
      <c r="AQ112" s="818">
        <f t="shared" ref="AQ112:AV112" si="512">+SUM(AQ109:AQ111)</f>
        <v>81</v>
      </c>
      <c r="AR112" s="818">
        <f t="shared" si="512"/>
        <v>99</v>
      </c>
      <c r="AS112" s="818">
        <f t="shared" si="512"/>
        <v>80</v>
      </c>
      <c r="AT112" s="1766">
        <f t="shared" si="512"/>
        <v>117</v>
      </c>
      <c r="AU112" s="818">
        <f t="shared" si="512"/>
        <v>180</v>
      </c>
      <c r="AV112" s="818">
        <f t="shared" si="512"/>
        <v>197</v>
      </c>
      <c r="AW112" s="1364">
        <f t="shared" ref="AW112:CT112" si="513">+SUM(AW109:AW111)</f>
        <v>377</v>
      </c>
      <c r="AX112" s="818">
        <f t="shared" si="513"/>
        <v>81</v>
      </c>
      <c r="AY112" s="818">
        <f t="shared" si="513"/>
        <v>99</v>
      </c>
      <c r="AZ112" s="818">
        <f t="shared" si="513"/>
        <v>80</v>
      </c>
      <c r="BA112" s="1766">
        <f t="shared" si="513"/>
        <v>117</v>
      </c>
      <c r="BB112" s="818">
        <f t="shared" si="513"/>
        <v>180</v>
      </c>
      <c r="BC112" s="818">
        <f t="shared" si="513"/>
        <v>197</v>
      </c>
      <c r="BD112" s="1364">
        <f>+AW112</f>
        <v>377</v>
      </c>
      <c r="BE112" s="818">
        <f t="shared" ref="BE112:BJ112" si="514">+SUM(BE109:BE111)</f>
        <v>65</v>
      </c>
      <c r="BF112" s="818">
        <f t="shared" si="514"/>
        <v>64</v>
      </c>
      <c r="BG112" s="818">
        <f t="shared" si="514"/>
        <v>44</v>
      </c>
      <c r="BH112" s="1766">
        <f t="shared" si="514"/>
        <v>67</v>
      </c>
      <c r="BI112" s="818">
        <f t="shared" si="514"/>
        <v>129</v>
      </c>
      <c r="BJ112" s="818">
        <f t="shared" si="514"/>
        <v>111</v>
      </c>
      <c r="BK112" s="1364">
        <f t="shared" si="513"/>
        <v>240</v>
      </c>
      <c r="BL112" s="818">
        <f t="shared" ref="BL112:BQ112" si="515">+SUM(BL109:BL111)</f>
        <v>28</v>
      </c>
      <c r="BM112" s="818">
        <f t="shared" si="515"/>
        <v>32</v>
      </c>
      <c r="BN112" s="818">
        <f t="shared" si="515"/>
        <v>24</v>
      </c>
      <c r="BO112" s="1766">
        <f t="shared" si="515"/>
        <v>7</v>
      </c>
      <c r="BP112" s="818">
        <f t="shared" si="515"/>
        <v>60</v>
      </c>
      <c r="BQ112" s="818">
        <f t="shared" si="515"/>
        <v>31</v>
      </c>
      <c r="BR112" s="1364">
        <f t="shared" si="513"/>
        <v>91</v>
      </c>
      <c r="BS112" s="818">
        <f t="shared" si="513"/>
        <v>5</v>
      </c>
      <c r="BT112" s="818">
        <f t="shared" si="513"/>
        <v>1</v>
      </c>
      <c r="BU112" s="818">
        <f t="shared" si="513"/>
        <v>4</v>
      </c>
      <c r="BV112" s="1766">
        <f t="shared" si="513"/>
        <v>5</v>
      </c>
      <c r="BW112" s="818">
        <f t="shared" si="513"/>
        <v>6</v>
      </c>
      <c r="BX112" s="818">
        <f t="shared" si="513"/>
        <v>9</v>
      </c>
      <c r="BY112" s="1364">
        <f t="shared" si="513"/>
        <v>15</v>
      </c>
      <c r="BZ112" s="818">
        <f t="shared" ref="BZ112:CE112" si="516">+SUM(BZ109:BZ111)</f>
        <v>9</v>
      </c>
      <c r="CA112" s="818">
        <f t="shared" si="516"/>
        <v>7</v>
      </c>
      <c r="CB112" s="818">
        <f t="shared" si="516"/>
        <v>4</v>
      </c>
      <c r="CC112" s="1766">
        <f t="shared" si="516"/>
        <v>4</v>
      </c>
      <c r="CD112" s="818">
        <f t="shared" si="516"/>
        <v>16</v>
      </c>
      <c r="CE112" s="818">
        <f t="shared" si="516"/>
        <v>8</v>
      </c>
      <c r="CF112" s="1364">
        <f t="shared" si="513"/>
        <v>24</v>
      </c>
      <c r="CG112" s="818">
        <f t="shared" si="513"/>
        <v>0</v>
      </c>
      <c r="CH112" s="818">
        <f t="shared" si="513"/>
        <v>0</v>
      </c>
      <c r="CI112" s="818">
        <f t="shared" si="513"/>
        <v>3</v>
      </c>
      <c r="CJ112" s="1766">
        <f t="shared" si="513"/>
        <v>-3</v>
      </c>
      <c r="CK112" s="818">
        <f t="shared" si="513"/>
        <v>0</v>
      </c>
      <c r="CL112" s="818">
        <f t="shared" si="513"/>
        <v>0</v>
      </c>
      <c r="CM112" s="1364">
        <f t="shared" si="513"/>
        <v>0</v>
      </c>
      <c r="CN112" s="464"/>
      <c r="CO112" s="464"/>
      <c r="CP112" s="464"/>
      <c r="CQ112" s="465"/>
      <c r="CR112" s="464"/>
      <c r="CS112" s="464"/>
      <c r="CT112" s="1364">
        <f t="shared" si="513"/>
        <v>0</v>
      </c>
      <c r="CU112" s="464"/>
      <c r="CV112" s="464"/>
      <c r="CW112" s="464"/>
      <c r="CX112" s="465"/>
      <c r="CY112" s="464"/>
      <c r="CZ112" s="464"/>
      <c r="DA112" s="1544">
        <f>+SUM(DA109:DA111)</f>
        <v>0</v>
      </c>
      <c r="DB112" s="464"/>
      <c r="DC112" s="462"/>
      <c r="DD112" s="462"/>
      <c r="DE112" s="463"/>
      <c r="DF112" s="462"/>
      <c r="DG112" s="462"/>
      <c r="DH112" s="585">
        <f>+SUM(DH109:DH111)</f>
        <v>0</v>
      </c>
      <c r="DI112" s="462"/>
      <c r="DJ112" s="462"/>
      <c r="DK112" s="462"/>
      <c r="DL112" s="463"/>
      <c r="DM112" s="462"/>
      <c r="DN112" s="462"/>
      <c r="DO112" s="585">
        <f>+SUM(DO109:DO111)</f>
        <v>0</v>
      </c>
      <c r="DP112" s="462"/>
      <c r="DQ112" s="462"/>
      <c r="DR112" s="462"/>
      <c r="DS112" s="463"/>
      <c r="DT112" s="462"/>
      <c r="DU112" s="462"/>
      <c r="DV112" s="585">
        <f>+SUM(DV109:DV111)</f>
        <v>0</v>
      </c>
      <c r="DW112" s="462"/>
      <c r="DX112" s="462"/>
      <c r="DY112" s="462"/>
      <c r="DZ112" s="463"/>
      <c r="EA112" s="462"/>
      <c r="EB112" s="462"/>
      <c r="EC112" s="585">
        <f>+SUM(EC109:EC111)</f>
        <v>0</v>
      </c>
      <c r="ED112" s="462"/>
      <c r="EE112" s="462"/>
      <c r="EF112" s="462"/>
      <c r="EG112" s="463"/>
      <c r="EH112" s="462"/>
      <c r="EI112" s="462"/>
      <c r="EJ112" s="585">
        <f>+SUM(EJ109:EJ111)</f>
        <v>0</v>
      </c>
      <c r="EK112" s="462"/>
      <c r="EL112" s="462"/>
      <c r="EM112" s="462"/>
      <c r="EN112" s="463"/>
      <c r="EO112" s="462"/>
      <c r="EP112" s="462"/>
      <c r="EQ112" s="585">
        <f>+SUM(EQ109:EQ111)</f>
        <v>0</v>
      </c>
    </row>
    <row r="113" spans="1:147" ht="10.199999999999999" hidden="1" customHeight="1" outlineLevel="1">
      <c r="A113" s="5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14"/>
      <c r="O113" s="1365"/>
      <c r="P113" s="1365"/>
      <c r="Q113" s="1365"/>
      <c r="R113" s="1366"/>
      <c r="S113" s="1365"/>
      <c r="T113" s="1365"/>
      <c r="U113" s="1367"/>
      <c r="V113" s="1365"/>
      <c r="W113" s="1365"/>
      <c r="X113" s="1365"/>
      <c r="Y113" s="1366"/>
      <c r="Z113" s="1365"/>
      <c r="AA113" s="1365"/>
      <c r="AB113" s="1367"/>
      <c r="AC113" s="1365"/>
      <c r="AD113" s="1365"/>
      <c r="AE113" s="1365"/>
      <c r="AF113" s="1366"/>
      <c r="AG113" s="1365"/>
      <c r="AH113" s="1365"/>
      <c r="AI113" s="1367"/>
      <c r="AJ113" s="1365"/>
      <c r="AK113" s="1365"/>
      <c r="AL113" s="1365"/>
      <c r="AM113" s="1366"/>
      <c r="AN113" s="1365"/>
      <c r="AO113" s="1365"/>
      <c r="AP113" s="1367"/>
      <c r="AQ113" s="1365"/>
      <c r="AR113" s="1365"/>
      <c r="AS113" s="1365"/>
      <c r="AT113" s="1366"/>
      <c r="AU113" s="1365"/>
      <c r="AV113" s="1365"/>
      <c r="AW113" s="1367"/>
      <c r="AX113" s="1365"/>
      <c r="AY113" s="1365"/>
      <c r="AZ113" s="1365"/>
      <c r="BA113" s="1366"/>
      <c r="BB113" s="1365"/>
      <c r="BC113" s="1365"/>
      <c r="BD113" s="1367"/>
      <c r="BE113" s="1365"/>
      <c r="BF113" s="1365"/>
      <c r="BG113" s="1365"/>
      <c r="BH113" s="1366"/>
      <c r="BI113" s="1365"/>
      <c r="BJ113" s="1365"/>
      <c r="BK113" s="1367"/>
      <c r="BL113" s="1365"/>
      <c r="BM113" s="1365"/>
      <c r="BN113" s="1365"/>
      <c r="BO113" s="1366"/>
      <c r="BP113" s="1365"/>
      <c r="BQ113" s="1365"/>
      <c r="BR113" s="1367"/>
      <c r="BS113" s="1365"/>
      <c r="BT113" s="1365"/>
      <c r="BU113" s="1365"/>
      <c r="BV113" s="1366"/>
      <c r="BW113" s="1365"/>
      <c r="BX113" s="1365"/>
      <c r="BY113" s="1367"/>
      <c r="BZ113" s="1365"/>
      <c r="CA113" s="1365"/>
      <c r="CB113" s="1365"/>
      <c r="CC113" s="1366"/>
      <c r="CD113" s="1365"/>
      <c r="CE113" s="1365"/>
      <c r="CF113" s="1367"/>
      <c r="CG113" s="1365"/>
      <c r="CH113" s="1365"/>
      <c r="CI113" s="1365"/>
      <c r="CJ113" s="1366"/>
      <c r="CK113" s="1365"/>
      <c r="CL113" s="1365"/>
      <c r="CM113" s="1367"/>
      <c r="CN113" s="1365"/>
      <c r="CO113" s="1365"/>
      <c r="CP113" s="1365"/>
      <c r="CQ113" s="1366"/>
      <c r="CR113" s="1365"/>
      <c r="CS113" s="1365"/>
      <c r="CT113" s="1367"/>
      <c r="CU113" s="1365"/>
      <c r="CV113" s="1365"/>
      <c r="CW113" s="1365"/>
      <c r="CX113" s="1366"/>
      <c r="CY113" s="1365"/>
      <c r="CZ113" s="1365"/>
      <c r="DA113" s="1367"/>
      <c r="DB113" s="1365"/>
      <c r="DC113" s="406"/>
      <c r="DD113" s="406"/>
      <c r="DE113" s="435"/>
      <c r="DF113" s="406"/>
      <c r="DG113" s="406"/>
      <c r="DH113" s="405"/>
      <c r="DI113" s="406"/>
      <c r="DJ113" s="406"/>
      <c r="DK113" s="406"/>
      <c r="DL113" s="435"/>
      <c r="DM113" s="406"/>
      <c r="DN113" s="406"/>
      <c r="DO113" s="405"/>
      <c r="DP113" s="406"/>
      <c r="DQ113" s="406"/>
      <c r="DR113" s="406"/>
      <c r="DS113" s="435"/>
      <c r="DT113" s="406"/>
      <c r="DU113" s="406"/>
      <c r="DV113" s="405"/>
      <c r="DW113" s="406"/>
      <c r="DX113" s="406"/>
      <c r="DY113" s="406"/>
      <c r="DZ113" s="435"/>
      <c r="EA113" s="406"/>
      <c r="EB113" s="406"/>
      <c r="EC113" s="405"/>
      <c r="ED113" s="406"/>
      <c r="EE113" s="406"/>
      <c r="EF113" s="406"/>
      <c r="EG113" s="435"/>
      <c r="EH113" s="406"/>
      <c r="EI113" s="406"/>
      <c r="EJ113" s="405"/>
      <c r="EK113" s="406"/>
      <c r="EL113" s="406"/>
      <c r="EM113" s="406"/>
      <c r="EN113" s="435"/>
      <c r="EO113" s="406"/>
      <c r="EP113" s="406"/>
      <c r="EQ113" s="405"/>
    </row>
    <row r="114" spans="1:147" ht="10.199999999999999" customHeight="1" collapsed="1">
      <c r="A114" s="108" t="s">
        <v>366</v>
      </c>
      <c r="B114" s="48"/>
      <c r="C114" s="48"/>
      <c r="D114" s="48"/>
      <c r="E114" s="48"/>
      <c r="F114" s="48"/>
      <c r="G114" s="48"/>
      <c r="H114" s="48"/>
      <c r="I114" s="48"/>
      <c r="J114" s="121"/>
      <c r="K114" s="121"/>
      <c r="L114" s="121"/>
      <c r="M114" s="121"/>
      <c r="N114" s="114"/>
      <c r="O114" s="530"/>
      <c r="P114" s="530"/>
      <c r="Q114" s="530"/>
      <c r="R114" s="680"/>
      <c r="S114" s="530"/>
      <c r="T114" s="530"/>
      <c r="U114" s="1278"/>
      <c r="V114" s="530"/>
      <c r="W114" s="530"/>
      <c r="X114" s="530"/>
      <c r="Y114" s="680"/>
      <c r="Z114" s="530"/>
      <c r="AA114" s="530"/>
      <c r="AB114" s="1278"/>
      <c r="AC114" s="530"/>
      <c r="AD114" s="530"/>
      <c r="AE114" s="530"/>
      <c r="AF114" s="680"/>
      <c r="AG114" s="530"/>
      <c r="AH114" s="530"/>
      <c r="AI114" s="1278"/>
      <c r="AJ114" s="530"/>
      <c r="AK114" s="530"/>
      <c r="AL114" s="530"/>
      <c r="AM114" s="680"/>
      <c r="AN114" s="530"/>
      <c r="AO114" s="530"/>
      <c r="AP114" s="1278">
        <v>0</v>
      </c>
      <c r="AQ114" s="530">
        <f>Divisional!AP197</f>
        <v>0</v>
      </c>
      <c r="AR114" s="530">
        <f>Divisional!AQ197</f>
        <v>0</v>
      </c>
      <c r="AS114" s="530">
        <f>Divisional!AR197</f>
        <v>0</v>
      </c>
      <c r="AT114" s="680">
        <f>Divisional!AS197</f>
        <v>0</v>
      </c>
      <c r="AU114" s="530">
        <f>Divisional!AT197</f>
        <v>0</v>
      </c>
      <c r="AV114" s="530">
        <f>Divisional!AU197</f>
        <v>0</v>
      </c>
      <c r="AW114" s="1278">
        <v>0</v>
      </c>
      <c r="AX114" s="530">
        <f>Divisional!AW197</f>
        <v>0</v>
      </c>
      <c r="AY114" s="530">
        <f>Divisional!AX197</f>
        <v>0</v>
      </c>
      <c r="AZ114" s="530">
        <f>Divisional!AY197</f>
        <v>0</v>
      </c>
      <c r="BA114" s="680">
        <f>Divisional!AZ197</f>
        <v>0</v>
      </c>
      <c r="BB114" s="530">
        <f>Divisional!BA197</f>
        <v>0</v>
      </c>
      <c r="BC114" s="530">
        <f>Divisional!BB197</f>
        <v>0</v>
      </c>
      <c r="BD114" s="1278">
        <f>+AW114</f>
        <v>0</v>
      </c>
      <c r="BE114" s="530">
        <f>Divisional!BD197</f>
        <v>0</v>
      </c>
      <c r="BF114" s="530">
        <f>Divisional!BE197</f>
        <v>0</v>
      </c>
      <c r="BG114" s="530">
        <f>Divisional!BF197</f>
        <v>0</v>
      </c>
      <c r="BH114" s="680">
        <f>Divisional!BG197</f>
        <v>0</v>
      </c>
      <c r="BI114" s="530">
        <f>Divisional!BH197</f>
        <v>0</v>
      </c>
      <c r="BJ114" s="530">
        <f>Divisional!BI197</f>
        <v>0</v>
      </c>
      <c r="BK114" s="1278">
        <v>0</v>
      </c>
      <c r="BL114" s="530">
        <f>Divisional!BK197</f>
        <v>0</v>
      </c>
      <c r="BM114" s="530">
        <f>Divisional!BL197</f>
        <v>0</v>
      </c>
      <c r="BN114" s="530">
        <f>Divisional!BM197</f>
        <v>1</v>
      </c>
      <c r="BO114" s="680">
        <f>Divisional!BN197</f>
        <v>1</v>
      </c>
      <c r="BP114" s="530">
        <f>Divisional!BO197</f>
        <v>0</v>
      </c>
      <c r="BQ114" s="530">
        <f>Divisional!BP197</f>
        <v>2</v>
      </c>
      <c r="BR114" s="1278">
        <v>2</v>
      </c>
      <c r="BS114" s="530">
        <f>Divisional!BY197</f>
        <v>0</v>
      </c>
      <c r="BT114" s="530">
        <f>Divisional!BZ197</f>
        <v>0</v>
      </c>
      <c r="BU114" s="530">
        <f>Divisional!CA197</f>
        <v>0</v>
      </c>
      <c r="BV114" s="680">
        <f>Divisional!CB197</f>
        <v>0</v>
      </c>
      <c r="BW114" s="530">
        <f>Divisional!CC197</f>
        <v>0</v>
      </c>
      <c r="BX114" s="530">
        <f>Divisional!CD197</f>
        <v>0</v>
      </c>
      <c r="BY114" s="1278">
        <v>0</v>
      </c>
      <c r="BZ114" s="530">
        <f>Divisional!CF197</f>
        <v>1</v>
      </c>
      <c r="CA114" s="530">
        <f>Divisional!CG197</f>
        <v>0</v>
      </c>
      <c r="CB114" s="530">
        <f>Divisional!CH197</f>
        <v>0</v>
      </c>
      <c r="CC114" s="680">
        <f>Divisional!CI197</f>
        <v>1</v>
      </c>
      <c r="CD114" s="530">
        <f>Divisional!CJ197</f>
        <v>1</v>
      </c>
      <c r="CE114" s="530">
        <f>Divisional!CK197</f>
        <v>1</v>
      </c>
      <c r="CF114" s="1278">
        <v>2</v>
      </c>
      <c r="CG114" s="530">
        <f>Divisional!CM197</f>
        <v>2</v>
      </c>
      <c r="CH114" s="530">
        <f>Divisional!CN197</f>
        <v>1</v>
      </c>
      <c r="CI114" s="530">
        <f>Divisional!CO197</f>
        <v>0</v>
      </c>
      <c r="CJ114" s="680">
        <f>Divisional!CP197</f>
        <v>3</v>
      </c>
      <c r="CK114" s="530">
        <f>Divisional!CQ197</f>
        <v>3</v>
      </c>
      <c r="CL114" s="530">
        <f>Divisional!CR197</f>
        <v>3</v>
      </c>
      <c r="CM114" s="1278">
        <v>6</v>
      </c>
      <c r="CN114" s="530">
        <v>2</v>
      </c>
      <c r="CO114" s="530">
        <f>CR114-CN114</f>
        <v>1</v>
      </c>
      <c r="CP114" s="530">
        <v>3</v>
      </c>
      <c r="CQ114" s="680">
        <f>CS114-CP114</f>
        <v>1</v>
      </c>
      <c r="CR114" s="530">
        <v>3</v>
      </c>
      <c r="CS114" s="530">
        <f>CT114-CR114</f>
        <v>4</v>
      </c>
      <c r="CT114" s="1278">
        <v>7</v>
      </c>
      <c r="CU114" s="530">
        <v>0</v>
      </c>
      <c r="CV114" s="530">
        <f>CY114-CU114</f>
        <v>0</v>
      </c>
      <c r="CW114" s="530">
        <v>3</v>
      </c>
      <c r="CX114" s="680">
        <f>CZ114-CW114</f>
        <v>6</v>
      </c>
      <c r="CY114" s="530">
        <v>0</v>
      </c>
      <c r="CZ114" s="530">
        <f>DA114-CY114</f>
        <v>9</v>
      </c>
      <c r="DA114" s="1278">
        <v>9</v>
      </c>
      <c r="DB114" s="530">
        <v>4</v>
      </c>
      <c r="DC114" s="530">
        <f>DF114-DB114</f>
        <v>2</v>
      </c>
      <c r="DD114" s="530">
        <v>4</v>
      </c>
      <c r="DE114" s="680">
        <f>DG114-DD114</f>
        <v>5</v>
      </c>
      <c r="DF114" s="1802">
        <v>6</v>
      </c>
      <c r="DG114" s="530">
        <f>DH114-DF114</f>
        <v>9</v>
      </c>
      <c r="DH114" s="1278">
        <v>15</v>
      </c>
      <c r="DI114" s="550">
        <v>0</v>
      </c>
      <c r="DJ114" s="530">
        <f>DM114-DI114</f>
        <v>2</v>
      </c>
      <c r="DK114" s="654">
        <v>1</v>
      </c>
      <c r="DL114" s="461">
        <f>DN114-DK114</f>
        <v>2</v>
      </c>
      <c r="DM114" s="530">
        <v>2</v>
      </c>
      <c r="DN114" s="460">
        <f>DO114-DM114</f>
        <v>3</v>
      </c>
      <c r="DO114" s="386">
        <v>5</v>
      </c>
      <c r="DP114" s="654">
        <v>1</v>
      </c>
      <c r="DQ114" s="460">
        <f>DT114-DP114</f>
        <v>2</v>
      </c>
      <c r="DR114" s="654">
        <v>1</v>
      </c>
      <c r="DS114" s="461">
        <f>DU114-DR114</f>
        <v>1</v>
      </c>
      <c r="DT114" s="654">
        <v>3</v>
      </c>
      <c r="DU114" s="460">
        <f>DV114-DT114</f>
        <v>2</v>
      </c>
      <c r="DV114" s="386">
        <v>5</v>
      </c>
      <c r="DW114" s="654">
        <v>1</v>
      </c>
      <c r="DX114" s="460">
        <f>EA114-DW114</f>
        <v>2</v>
      </c>
      <c r="DY114" s="654">
        <v>1</v>
      </c>
      <c r="DZ114" s="461">
        <f>EB114-DY114</f>
        <v>1</v>
      </c>
      <c r="EA114" s="654">
        <v>3</v>
      </c>
      <c r="EB114" s="460">
        <f>EC114-EA114</f>
        <v>2</v>
      </c>
      <c r="EC114" s="386">
        <v>5</v>
      </c>
      <c r="ED114" s="654">
        <v>1</v>
      </c>
      <c r="EE114" s="460">
        <f>EH114-ED114</f>
        <v>2</v>
      </c>
      <c r="EF114" s="654">
        <v>1</v>
      </c>
      <c r="EG114" s="461">
        <f>EI114-EF114</f>
        <v>1</v>
      </c>
      <c r="EH114" s="654">
        <v>3</v>
      </c>
      <c r="EI114" s="460">
        <f>EJ114-EH114</f>
        <v>2</v>
      </c>
      <c r="EJ114" s="386">
        <v>5</v>
      </c>
      <c r="EK114" s="654">
        <v>1</v>
      </c>
      <c r="EL114" s="460">
        <f>EO114-EK114</f>
        <v>2</v>
      </c>
      <c r="EM114" s="654">
        <v>1</v>
      </c>
      <c r="EN114" s="461">
        <f>EP114-EM114</f>
        <v>1</v>
      </c>
      <c r="EO114" s="654">
        <v>3</v>
      </c>
      <c r="EP114" s="460">
        <f>EQ114-EO114</f>
        <v>2</v>
      </c>
      <c r="EQ114" s="386">
        <v>5</v>
      </c>
    </row>
    <row r="115" spans="1:147" ht="10.199999999999999" customHeight="1">
      <c r="A115" s="108" t="s">
        <v>378</v>
      </c>
      <c r="B115" s="48"/>
      <c r="C115" s="48"/>
      <c r="D115" s="48"/>
      <c r="E115" s="48"/>
      <c r="F115" s="48"/>
      <c r="G115" s="48"/>
      <c r="H115" s="48"/>
      <c r="I115" s="48"/>
      <c r="J115" s="121"/>
      <c r="K115" s="121"/>
      <c r="L115" s="121"/>
      <c r="M115" s="121"/>
      <c r="N115" s="114"/>
      <c r="O115" s="530"/>
      <c r="P115" s="530"/>
      <c r="Q115" s="530"/>
      <c r="R115" s="680"/>
      <c r="S115" s="530"/>
      <c r="T115" s="530"/>
      <c r="U115" s="1278"/>
      <c r="V115" s="530"/>
      <c r="W115" s="530"/>
      <c r="X115" s="530"/>
      <c r="Y115" s="680"/>
      <c r="Z115" s="530"/>
      <c r="AA115" s="530"/>
      <c r="AB115" s="1278"/>
      <c r="AC115" s="530"/>
      <c r="AD115" s="530"/>
      <c r="AE115" s="530"/>
      <c r="AF115" s="680"/>
      <c r="AG115" s="530"/>
      <c r="AH115" s="530"/>
      <c r="AI115" s="1278"/>
      <c r="AJ115" s="530"/>
      <c r="AK115" s="530"/>
      <c r="AL115" s="530"/>
      <c r="AM115" s="680"/>
      <c r="AN115" s="530"/>
      <c r="AO115" s="530"/>
      <c r="AP115" s="1278">
        <v>68</v>
      </c>
      <c r="AQ115" s="530">
        <f>Divisional!AP198</f>
        <v>26</v>
      </c>
      <c r="AR115" s="530">
        <f>Divisional!AQ198</f>
        <v>28</v>
      </c>
      <c r="AS115" s="530">
        <f>Divisional!AR198</f>
        <v>28</v>
      </c>
      <c r="AT115" s="680">
        <f>Divisional!AS198</f>
        <v>79</v>
      </c>
      <c r="AU115" s="530">
        <f>Divisional!AT198</f>
        <v>54</v>
      </c>
      <c r="AV115" s="530">
        <f>Divisional!AU198</f>
        <v>107</v>
      </c>
      <c r="AW115" s="1278">
        <v>161</v>
      </c>
      <c r="AX115" s="530">
        <f>Divisional!AW198</f>
        <v>26</v>
      </c>
      <c r="AY115" s="530">
        <f>Divisional!AX198</f>
        <v>28</v>
      </c>
      <c r="AZ115" s="530">
        <f>Divisional!AY198</f>
        <v>28</v>
      </c>
      <c r="BA115" s="680">
        <f>Divisional!AZ198</f>
        <v>79</v>
      </c>
      <c r="BB115" s="530">
        <f>Divisional!BA198</f>
        <v>54</v>
      </c>
      <c r="BC115" s="530">
        <f>Divisional!BB198</f>
        <v>107</v>
      </c>
      <c r="BD115" s="1278">
        <f>+AW115</f>
        <v>161</v>
      </c>
      <c r="BE115" s="530">
        <f>Divisional!BD198</f>
        <v>24</v>
      </c>
      <c r="BF115" s="530">
        <f>Divisional!BE198</f>
        <v>52</v>
      </c>
      <c r="BG115" s="530">
        <f>Divisional!BF198</f>
        <v>81</v>
      </c>
      <c r="BH115" s="680">
        <f>Divisional!BG198</f>
        <v>127</v>
      </c>
      <c r="BI115" s="530">
        <f>Divisional!BH198</f>
        <v>76</v>
      </c>
      <c r="BJ115" s="530">
        <f>Divisional!BI198</f>
        <v>208</v>
      </c>
      <c r="BK115" s="1278">
        <v>284</v>
      </c>
      <c r="BL115" s="530">
        <f>Divisional!BK198</f>
        <v>75</v>
      </c>
      <c r="BM115" s="530">
        <f>Divisional!BL198</f>
        <v>88</v>
      </c>
      <c r="BN115" s="530">
        <f>Divisional!BM198</f>
        <v>72</v>
      </c>
      <c r="BO115" s="680">
        <f>Divisional!BN198</f>
        <v>146</v>
      </c>
      <c r="BP115" s="530">
        <f>Divisional!BO198</f>
        <v>163</v>
      </c>
      <c r="BQ115" s="530">
        <f>Divisional!BP198</f>
        <v>218</v>
      </c>
      <c r="BR115" s="1278">
        <v>381</v>
      </c>
      <c r="BS115" s="530">
        <f>Divisional!BY198</f>
        <v>61</v>
      </c>
      <c r="BT115" s="530">
        <f>Divisional!BZ198</f>
        <v>36</v>
      </c>
      <c r="BU115" s="530">
        <f>Divisional!CA198</f>
        <v>78</v>
      </c>
      <c r="BV115" s="680">
        <f>Divisional!CB198</f>
        <v>78</v>
      </c>
      <c r="BW115" s="530">
        <f>Divisional!CC198</f>
        <v>97</v>
      </c>
      <c r="BX115" s="530">
        <f>Divisional!CD198</f>
        <v>156</v>
      </c>
      <c r="BY115" s="1278">
        <v>253</v>
      </c>
      <c r="BZ115" s="530">
        <f>Divisional!CF198</f>
        <v>57</v>
      </c>
      <c r="CA115" s="530">
        <f>Divisional!CG198</f>
        <v>68</v>
      </c>
      <c r="CB115" s="530">
        <f>Divisional!CH198</f>
        <v>58</v>
      </c>
      <c r="CC115" s="680">
        <f>Divisional!CI198</f>
        <v>75</v>
      </c>
      <c r="CD115" s="530">
        <f>Divisional!CJ198</f>
        <v>125</v>
      </c>
      <c r="CE115" s="530">
        <f>Divisional!CK198</f>
        <v>133</v>
      </c>
      <c r="CF115" s="1278">
        <v>258</v>
      </c>
      <c r="CG115" s="530">
        <f>Divisional!CM198</f>
        <v>49</v>
      </c>
      <c r="CH115" s="530">
        <f>Divisional!CN198</f>
        <v>60</v>
      </c>
      <c r="CI115" s="530">
        <f>Divisional!CO198</f>
        <v>80</v>
      </c>
      <c r="CJ115" s="680">
        <f>Divisional!CP198</f>
        <v>57</v>
      </c>
      <c r="CK115" s="530">
        <f>Divisional!CQ198</f>
        <v>109</v>
      </c>
      <c r="CL115" s="530">
        <f>Divisional!CR198</f>
        <v>137</v>
      </c>
      <c r="CM115" s="1278">
        <v>246</v>
      </c>
      <c r="CN115" s="530">
        <v>45</v>
      </c>
      <c r="CO115" s="530">
        <f>CR115-CN115</f>
        <v>61</v>
      </c>
      <c r="CP115" s="530">
        <v>57</v>
      </c>
      <c r="CQ115" s="680">
        <f>CS115-CP115</f>
        <v>84</v>
      </c>
      <c r="CR115" s="530">
        <v>106</v>
      </c>
      <c r="CS115" s="530">
        <f>CT115-CR115</f>
        <v>141</v>
      </c>
      <c r="CT115" s="1278">
        <v>247</v>
      </c>
      <c r="CU115" s="530">
        <v>54</v>
      </c>
      <c r="CV115" s="530">
        <f>CY115-CU115</f>
        <v>60</v>
      </c>
      <c r="CW115" s="530">
        <v>48</v>
      </c>
      <c r="CX115" s="680">
        <f>CZ115-CW115</f>
        <v>70</v>
      </c>
      <c r="CY115" s="530">
        <v>114</v>
      </c>
      <c r="CZ115" s="530">
        <f>DA115-CY115</f>
        <v>118</v>
      </c>
      <c r="DA115" s="1278">
        <v>232</v>
      </c>
      <c r="DB115" s="530">
        <v>37</v>
      </c>
      <c r="DC115" s="530">
        <f>DF115-DB115</f>
        <v>46</v>
      </c>
      <c r="DD115" s="530">
        <v>49</v>
      </c>
      <c r="DE115" s="680">
        <f>DG115-DD115</f>
        <v>73</v>
      </c>
      <c r="DF115" s="1802">
        <v>83</v>
      </c>
      <c r="DG115" s="530">
        <f>DH115-DF115</f>
        <v>122</v>
      </c>
      <c r="DH115" s="1278">
        <v>205</v>
      </c>
      <c r="DI115" s="530">
        <v>26</v>
      </c>
      <c r="DJ115" s="530">
        <f>DM115-DI115</f>
        <v>76</v>
      </c>
      <c r="DK115" s="460">
        <f>DK117-DK116-DK114</f>
        <v>47</v>
      </c>
      <c r="DL115" s="461">
        <f>DN115-DK115</f>
        <v>74.550000000000011</v>
      </c>
      <c r="DM115" s="530">
        <v>102</v>
      </c>
      <c r="DN115" s="460">
        <f>DO115-DM115</f>
        <v>121.55000000000001</v>
      </c>
      <c r="DO115" s="592">
        <f>DO117-DO116-DO114</f>
        <v>223.55</v>
      </c>
      <c r="DP115" s="460">
        <f>DP117-DP116-DP114</f>
        <v>50.750000000000014</v>
      </c>
      <c r="DQ115" s="460">
        <f>DT115-DP115</f>
        <v>54.062500000000014</v>
      </c>
      <c r="DR115" s="460">
        <f>DR117-DR116-DR114</f>
        <v>55.0625</v>
      </c>
      <c r="DS115" s="461">
        <f>DU115-DR115</f>
        <v>55.062499999999972</v>
      </c>
      <c r="DT115" s="460">
        <f>DT117-DT116-DT114</f>
        <v>104.81250000000003</v>
      </c>
      <c r="DU115" s="460">
        <f>DV115-DT115</f>
        <v>110.12499999999997</v>
      </c>
      <c r="DV115" s="592">
        <f>DV117-DV116-DV114</f>
        <v>214.9375</v>
      </c>
      <c r="DW115" s="460">
        <f>DW117-DW116-DW114</f>
        <v>55.0625</v>
      </c>
      <c r="DX115" s="460">
        <f>EA115-DW115</f>
        <v>58.375</v>
      </c>
      <c r="DY115" s="460">
        <f>DY117-DY116-DY114</f>
        <v>59.375</v>
      </c>
      <c r="DZ115" s="461">
        <f>EB115-DY115</f>
        <v>19.84375</v>
      </c>
      <c r="EA115" s="460">
        <f>EA117-EA116-EA114</f>
        <v>113.4375</v>
      </c>
      <c r="EB115" s="460">
        <f>EC115-EA115</f>
        <v>79.21875</v>
      </c>
      <c r="EC115" s="592">
        <f>EC117-EC116-EC114</f>
        <v>192.65625</v>
      </c>
      <c r="ED115" s="460">
        <f>ED117-ED116-ED114</f>
        <v>59.375</v>
      </c>
      <c r="EE115" s="460">
        <f>EH115-ED115</f>
        <v>58.375</v>
      </c>
      <c r="EF115" s="460">
        <f>EF117-EF116-EF114</f>
        <v>59.375</v>
      </c>
      <c r="EG115" s="461">
        <f>EI115-EF115</f>
        <v>19.125</v>
      </c>
      <c r="EH115" s="460">
        <f>EH117-EH116-EH114</f>
        <v>117.75</v>
      </c>
      <c r="EI115" s="460">
        <f>EJ115-EH115</f>
        <v>78.5</v>
      </c>
      <c r="EJ115" s="592">
        <f>EJ117-EJ116-EJ114</f>
        <v>196.25</v>
      </c>
      <c r="EK115" s="460">
        <f>EK117-EK116-EK114</f>
        <v>59.375</v>
      </c>
      <c r="EL115" s="460">
        <f>EO115-EK115</f>
        <v>58.375</v>
      </c>
      <c r="EM115" s="460">
        <f>EM117-EM116-EM114</f>
        <v>59.375</v>
      </c>
      <c r="EN115" s="461">
        <f>EP115-EM115</f>
        <v>19.125</v>
      </c>
      <c r="EO115" s="460">
        <f>EO117-EO116-EO114</f>
        <v>117.75</v>
      </c>
      <c r="EP115" s="460">
        <f>EQ115-EO115</f>
        <v>78.5</v>
      </c>
      <c r="EQ115" s="592">
        <f>EQ117-EQ116-EQ114</f>
        <v>196.25</v>
      </c>
    </row>
    <row r="116" spans="1:147" ht="10.199999999999999" customHeight="1">
      <c r="A116" s="108" t="s">
        <v>368</v>
      </c>
      <c r="B116" s="48"/>
      <c r="C116" s="48"/>
      <c r="D116" s="48"/>
      <c r="E116" s="48"/>
      <c r="F116" s="48"/>
      <c r="G116" s="48"/>
      <c r="H116" s="48"/>
      <c r="I116" s="48"/>
      <c r="J116" s="121"/>
      <c r="K116" s="121"/>
      <c r="L116" s="121"/>
      <c r="M116" s="121"/>
      <c r="N116" s="114"/>
      <c r="O116" s="530"/>
      <c r="P116" s="530"/>
      <c r="Q116" s="530"/>
      <c r="R116" s="680"/>
      <c r="S116" s="530"/>
      <c r="T116" s="530"/>
      <c r="U116" s="1278"/>
      <c r="V116" s="530"/>
      <c r="W116" s="530"/>
      <c r="X116" s="530"/>
      <c r="Y116" s="680"/>
      <c r="Z116" s="530"/>
      <c r="AA116" s="530"/>
      <c r="AB116" s="1278"/>
      <c r="AC116" s="530"/>
      <c r="AD116" s="530"/>
      <c r="AE116" s="530"/>
      <c r="AF116" s="680"/>
      <c r="AG116" s="530"/>
      <c r="AH116" s="530"/>
      <c r="AI116" s="1278"/>
      <c r="AJ116" s="530"/>
      <c r="AK116" s="530"/>
      <c r="AL116" s="530"/>
      <c r="AM116" s="680"/>
      <c r="AN116" s="530"/>
      <c r="AO116" s="530"/>
      <c r="AP116" s="1278">
        <v>0</v>
      </c>
      <c r="AQ116" s="530">
        <f>Divisional!AP199</f>
        <v>0</v>
      </c>
      <c r="AR116" s="530">
        <f>Divisional!AQ199</f>
        <v>5</v>
      </c>
      <c r="AS116" s="530">
        <f>Divisional!AR199</f>
        <v>3</v>
      </c>
      <c r="AT116" s="680">
        <f>Divisional!AS199</f>
        <v>12</v>
      </c>
      <c r="AU116" s="530">
        <f>Divisional!AT199</f>
        <v>5</v>
      </c>
      <c r="AV116" s="530">
        <f>Divisional!AU199</f>
        <v>15</v>
      </c>
      <c r="AW116" s="1278">
        <v>20</v>
      </c>
      <c r="AX116" s="530">
        <f>Divisional!AW199</f>
        <v>0</v>
      </c>
      <c r="AY116" s="530">
        <f>Divisional!AX199</f>
        <v>5</v>
      </c>
      <c r="AZ116" s="530">
        <f>Divisional!AY199</f>
        <v>3</v>
      </c>
      <c r="BA116" s="680">
        <f>Divisional!AZ199</f>
        <v>12</v>
      </c>
      <c r="BB116" s="530">
        <f>Divisional!BA199</f>
        <v>5</v>
      </c>
      <c r="BC116" s="530">
        <f>Divisional!BB199</f>
        <v>15</v>
      </c>
      <c r="BD116" s="1278">
        <f>+AW116</f>
        <v>20</v>
      </c>
      <c r="BE116" s="530">
        <f>Divisional!BD199</f>
        <v>6</v>
      </c>
      <c r="BF116" s="530">
        <f>Divisional!BE199</f>
        <v>28</v>
      </c>
      <c r="BG116" s="530">
        <f>Divisional!BF199</f>
        <v>31</v>
      </c>
      <c r="BH116" s="680">
        <f>Divisional!BG199</f>
        <v>37</v>
      </c>
      <c r="BI116" s="530">
        <f>Divisional!BH199</f>
        <v>34</v>
      </c>
      <c r="BJ116" s="530">
        <f>Divisional!BI199</f>
        <v>68</v>
      </c>
      <c r="BK116" s="1278">
        <v>102</v>
      </c>
      <c r="BL116" s="530">
        <f>Divisional!BK199</f>
        <v>27</v>
      </c>
      <c r="BM116" s="530">
        <f>Divisional!BL199</f>
        <v>44</v>
      </c>
      <c r="BN116" s="530">
        <f>Divisional!BM199</f>
        <v>31</v>
      </c>
      <c r="BO116" s="680">
        <f>Divisional!BN199</f>
        <v>66</v>
      </c>
      <c r="BP116" s="530">
        <f>Divisional!BO199</f>
        <v>71</v>
      </c>
      <c r="BQ116" s="530">
        <f>Divisional!BP199</f>
        <v>97</v>
      </c>
      <c r="BR116" s="1278">
        <v>168</v>
      </c>
      <c r="BS116" s="530">
        <f>Divisional!BY199</f>
        <v>30</v>
      </c>
      <c r="BT116" s="530">
        <f>Divisional!BZ199</f>
        <v>24</v>
      </c>
      <c r="BU116" s="530">
        <f>Divisional!CA199</f>
        <v>43</v>
      </c>
      <c r="BV116" s="680">
        <f>Divisional!CB199</f>
        <v>81</v>
      </c>
      <c r="BW116" s="530">
        <f>Divisional!CC199</f>
        <v>54</v>
      </c>
      <c r="BX116" s="530">
        <f>Divisional!CD199</f>
        <v>124</v>
      </c>
      <c r="BY116" s="1278">
        <v>178</v>
      </c>
      <c r="BZ116" s="530">
        <f>Divisional!CF199</f>
        <v>38</v>
      </c>
      <c r="CA116" s="530">
        <f>Divisional!CG199</f>
        <v>57</v>
      </c>
      <c r="CB116" s="530">
        <f>Divisional!CH199</f>
        <v>42</v>
      </c>
      <c r="CC116" s="680">
        <f>Divisional!CI199</f>
        <v>62</v>
      </c>
      <c r="CD116" s="530">
        <f>Divisional!CJ199</f>
        <v>95</v>
      </c>
      <c r="CE116" s="530">
        <f>Divisional!CK199</f>
        <v>104</v>
      </c>
      <c r="CF116" s="1278">
        <v>199</v>
      </c>
      <c r="CG116" s="530">
        <f>Divisional!CM199</f>
        <v>58</v>
      </c>
      <c r="CH116" s="530">
        <f>Divisional!CN199</f>
        <v>60</v>
      </c>
      <c r="CI116" s="530">
        <f>Divisional!CO199</f>
        <v>60</v>
      </c>
      <c r="CJ116" s="680">
        <f>Divisional!CP199</f>
        <v>86</v>
      </c>
      <c r="CK116" s="530">
        <f>Divisional!CQ199</f>
        <v>118</v>
      </c>
      <c r="CL116" s="530">
        <f>Divisional!CR199</f>
        <v>146</v>
      </c>
      <c r="CM116" s="1278">
        <v>264</v>
      </c>
      <c r="CN116" s="530">
        <v>59</v>
      </c>
      <c r="CO116" s="530">
        <f>CR116-CN116</f>
        <v>88</v>
      </c>
      <c r="CP116" s="530">
        <v>75</v>
      </c>
      <c r="CQ116" s="680">
        <f>CS116-CP116</f>
        <v>95</v>
      </c>
      <c r="CR116" s="530">
        <v>147</v>
      </c>
      <c r="CS116" s="530">
        <f>CT116-CR116</f>
        <v>170</v>
      </c>
      <c r="CT116" s="1278">
        <v>317</v>
      </c>
      <c r="CU116" s="530">
        <v>62</v>
      </c>
      <c r="CV116" s="530">
        <f>CY116-CU116</f>
        <v>85</v>
      </c>
      <c r="CW116" s="530">
        <v>84</v>
      </c>
      <c r="CX116" s="680">
        <f>CZ116-CW116</f>
        <v>130</v>
      </c>
      <c r="CY116" s="530">
        <v>147</v>
      </c>
      <c r="CZ116" s="530">
        <f>DA116-CY116</f>
        <v>214</v>
      </c>
      <c r="DA116" s="1278">
        <v>361</v>
      </c>
      <c r="DB116" s="530">
        <v>65</v>
      </c>
      <c r="DC116" s="530">
        <f>DF116-DB116</f>
        <v>78</v>
      </c>
      <c r="DD116" s="530">
        <v>107</v>
      </c>
      <c r="DE116" s="680">
        <f>DG116-DD116</f>
        <v>137</v>
      </c>
      <c r="DF116" s="1802">
        <v>143</v>
      </c>
      <c r="DG116" s="530">
        <f>DH116-DF116</f>
        <v>244</v>
      </c>
      <c r="DH116" s="1278">
        <v>387</v>
      </c>
      <c r="DI116" s="530">
        <v>55</v>
      </c>
      <c r="DJ116" s="530">
        <f>DM116-DI116</f>
        <v>112</v>
      </c>
      <c r="DK116" s="654">
        <f>DK117*0.7</f>
        <v>112</v>
      </c>
      <c r="DL116" s="461">
        <f>DN116-DK116</f>
        <v>145.44999999999999</v>
      </c>
      <c r="DM116" s="530">
        <v>167</v>
      </c>
      <c r="DN116" s="460">
        <f>DO116-DM116</f>
        <v>257.45</v>
      </c>
      <c r="DO116" s="386">
        <f>DO117*0.65</f>
        <v>424.45</v>
      </c>
      <c r="DP116" s="654">
        <f>DP117*0.7</f>
        <v>120.74999999999999</v>
      </c>
      <c r="DQ116" s="460">
        <f>DT116-DP116</f>
        <v>130.8125</v>
      </c>
      <c r="DR116" s="654">
        <f>DR117*0.7</f>
        <v>130.8125</v>
      </c>
      <c r="DS116" s="461">
        <f>DU116-DR116</f>
        <v>130.8125</v>
      </c>
      <c r="DT116" s="654">
        <f>DT117*0.7</f>
        <v>251.56249999999997</v>
      </c>
      <c r="DU116" s="460">
        <f>DV116-DT116</f>
        <v>261.625</v>
      </c>
      <c r="DV116" s="386">
        <f>DV117*0.7</f>
        <v>513.1875</v>
      </c>
      <c r="DW116" s="654">
        <f>DW117*0.7</f>
        <v>130.8125</v>
      </c>
      <c r="DX116" s="460">
        <f>EA116-DW116</f>
        <v>140.875</v>
      </c>
      <c r="DY116" s="654">
        <f>DY117*0.7</f>
        <v>140.875</v>
      </c>
      <c r="DZ116" s="461">
        <f>EB116-DY116</f>
        <v>180.40625</v>
      </c>
      <c r="EA116" s="654">
        <f>EA117*0.7</f>
        <v>271.6875</v>
      </c>
      <c r="EB116" s="460">
        <f>EC116-EA116</f>
        <v>321.28125</v>
      </c>
      <c r="EC116" s="386">
        <f>EC117*0.75</f>
        <v>592.96875</v>
      </c>
      <c r="ED116" s="654">
        <f>ED117*0.7</f>
        <v>140.875</v>
      </c>
      <c r="EE116" s="460">
        <f>EH116-ED116</f>
        <v>140.875</v>
      </c>
      <c r="EF116" s="654">
        <f>EF117*0.7</f>
        <v>140.875</v>
      </c>
      <c r="EG116" s="461">
        <f>EI116-EF116</f>
        <v>181.125</v>
      </c>
      <c r="EH116" s="654">
        <f>EH117*0.7</f>
        <v>281.75</v>
      </c>
      <c r="EI116" s="460">
        <f>EJ116-EH116</f>
        <v>322</v>
      </c>
      <c r="EJ116" s="386">
        <f>EJ117*0.75</f>
        <v>603.75</v>
      </c>
      <c r="EK116" s="654">
        <f>EK117*0.7</f>
        <v>140.875</v>
      </c>
      <c r="EL116" s="460">
        <f>EO116-EK116</f>
        <v>140.875</v>
      </c>
      <c r="EM116" s="654">
        <f>EM117*0.7</f>
        <v>140.875</v>
      </c>
      <c r="EN116" s="461">
        <f>EP116-EM116</f>
        <v>181.125</v>
      </c>
      <c r="EO116" s="654">
        <f>EO117*0.7</f>
        <v>281.75</v>
      </c>
      <c r="EP116" s="460">
        <f>EQ116-EO116</f>
        <v>322</v>
      </c>
      <c r="EQ116" s="386">
        <f>EQ117*0.75</f>
        <v>603.75</v>
      </c>
    </row>
    <row r="117" spans="1:147" ht="10.199999999999999" customHeight="1">
      <c r="A117" s="48" t="s">
        <v>378</v>
      </c>
      <c r="B117" s="48"/>
      <c r="C117" s="48"/>
      <c r="D117" s="48"/>
      <c r="E117" s="48"/>
      <c r="F117" s="48"/>
      <c r="G117" s="48"/>
      <c r="H117" s="48"/>
      <c r="I117" s="48"/>
      <c r="J117" s="121"/>
      <c r="K117" s="121"/>
      <c r="L117" s="121"/>
      <c r="M117" s="121"/>
      <c r="N117" s="114"/>
      <c r="O117" s="24"/>
      <c r="P117" s="24"/>
      <c r="Q117" s="24"/>
      <c r="R117" s="703"/>
      <c r="S117" s="24"/>
      <c r="T117" s="24"/>
      <c r="U117" s="1355"/>
      <c r="V117" s="24"/>
      <c r="W117" s="24"/>
      <c r="X117" s="24"/>
      <c r="Y117" s="703"/>
      <c r="Z117" s="24"/>
      <c r="AA117" s="24"/>
      <c r="AB117" s="1355"/>
      <c r="AC117" s="24"/>
      <c r="AD117" s="24"/>
      <c r="AE117" s="24"/>
      <c r="AF117" s="703"/>
      <c r="AG117" s="24"/>
      <c r="AH117" s="24"/>
      <c r="AI117" s="1355"/>
      <c r="AJ117" s="24"/>
      <c r="AK117" s="24"/>
      <c r="AL117" s="24"/>
      <c r="AM117" s="703"/>
      <c r="AN117" s="24"/>
      <c r="AO117" s="24"/>
      <c r="AP117" s="1355">
        <f>+SUM(AP114:AP116)</f>
        <v>68</v>
      </c>
      <c r="AQ117" s="24">
        <f t="shared" ref="AQ117" si="517">+SUM(AQ114:AQ116)</f>
        <v>26</v>
      </c>
      <c r="AR117" s="24">
        <f t="shared" ref="AR117" si="518">+SUM(AR114:AR116)</f>
        <v>33</v>
      </c>
      <c r="AS117" s="24">
        <f t="shared" ref="AS117" si="519">+SUM(AS114:AS116)</f>
        <v>31</v>
      </c>
      <c r="AT117" s="703">
        <f t="shared" ref="AT117" si="520">+SUM(AT114:AT116)</f>
        <v>91</v>
      </c>
      <c r="AU117" s="24">
        <f t="shared" ref="AU117" si="521">+SUM(AU114:AU116)</f>
        <v>59</v>
      </c>
      <c r="AV117" s="24">
        <f t="shared" ref="AV117" si="522">+SUM(AV114:AV116)</f>
        <v>122</v>
      </c>
      <c r="AW117" s="1355">
        <f>+SUM(AW114:AW116)</f>
        <v>181</v>
      </c>
      <c r="AX117" s="24">
        <f t="shared" ref="AX117" si="523">+SUM(AX114:AX116)</f>
        <v>26</v>
      </c>
      <c r="AY117" s="24">
        <f t="shared" ref="AY117" si="524">+SUM(AY114:AY116)</f>
        <v>33</v>
      </c>
      <c r="AZ117" s="24">
        <f t="shared" ref="AZ117" si="525">+SUM(AZ114:AZ116)</f>
        <v>31</v>
      </c>
      <c r="BA117" s="703">
        <f t="shared" ref="BA117" si="526">+SUM(BA114:BA116)</f>
        <v>91</v>
      </c>
      <c r="BB117" s="24">
        <f t="shared" ref="BB117" si="527">+SUM(BB114:BB116)</f>
        <v>59</v>
      </c>
      <c r="BC117" s="24">
        <f t="shared" ref="BC117" si="528">+SUM(BC114:BC116)</f>
        <v>122</v>
      </c>
      <c r="BD117" s="1355">
        <f>+AW117</f>
        <v>181</v>
      </c>
      <c r="BE117" s="24">
        <f t="shared" ref="BE117" si="529">+SUM(BE114:BE116)</f>
        <v>30</v>
      </c>
      <c r="BF117" s="24">
        <f t="shared" ref="BF117" si="530">+SUM(BF114:BF116)</f>
        <v>80</v>
      </c>
      <c r="BG117" s="24">
        <f t="shared" ref="BG117" si="531">+SUM(BG114:BG116)</f>
        <v>112</v>
      </c>
      <c r="BH117" s="703">
        <f t="shared" ref="BH117" si="532">+SUM(BH114:BH116)</f>
        <v>164</v>
      </c>
      <c r="BI117" s="24">
        <f t="shared" ref="BI117" si="533">+SUM(BI114:BI116)</f>
        <v>110</v>
      </c>
      <c r="BJ117" s="24">
        <f t="shared" ref="BJ117" si="534">+SUM(BJ114:BJ116)</f>
        <v>276</v>
      </c>
      <c r="BK117" s="1355">
        <f>+SUM(BK114:BK116)</f>
        <v>386</v>
      </c>
      <c r="BL117" s="24">
        <f t="shared" ref="BL117" si="535">+SUM(BL114:BL116)</f>
        <v>102</v>
      </c>
      <c r="BM117" s="24">
        <f t="shared" ref="BM117" si="536">+SUM(BM114:BM116)</f>
        <v>132</v>
      </c>
      <c r="BN117" s="24">
        <f t="shared" ref="BN117" si="537">+SUM(BN114:BN116)</f>
        <v>104</v>
      </c>
      <c r="BO117" s="703">
        <f t="shared" ref="BO117" si="538">+SUM(BO114:BO116)</f>
        <v>213</v>
      </c>
      <c r="BP117" s="24">
        <f t="shared" ref="BP117" si="539">+SUM(BP114:BP116)</f>
        <v>234</v>
      </c>
      <c r="BQ117" s="24">
        <f t="shared" ref="BQ117" si="540">+SUM(BQ114:BQ116)</f>
        <v>317</v>
      </c>
      <c r="BR117" s="1355">
        <f>+SUM(BR114:BR116)</f>
        <v>551</v>
      </c>
      <c r="BS117" s="24">
        <f t="shared" ref="BS117" si="541">+SUM(BS114:BS116)</f>
        <v>91</v>
      </c>
      <c r="BT117" s="24">
        <f t="shared" ref="BT117" si="542">+SUM(BT114:BT116)</f>
        <v>60</v>
      </c>
      <c r="BU117" s="24">
        <f t="shared" ref="BU117" si="543">+SUM(BU114:BU116)</f>
        <v>121</v>
      </c>
      <c r="BV117" s="703">
        <f t="shared" ref="BV117" si="544">+SUM(BV114:BV116)</f>
        <v>159</v>
      </c>
      <c r="BW117" s="24">
        <f t="shared" ref="BW117" si="545">+SUM(BW114:BW116)</f>
        <v>151</v>
      </c>
      <c r="BX117" s="24">
        <f t="shared" ref="BX117" si="546">+SUM(BX114:BX116)</f>
        <v>280</v>
      </c>
      <c r="BY117" s="1355">
        <f>+SUM(BY114:BY116)</f>
        <v>431</v>
      </c>
      <c r="BZ117" s="24">
        <f t="shared" ref="BZ117" si="547">+SUM(BZ114:BZ116)</f>
        <v>96</v>
      </c>
      <c r="CA117" s="24">
        <f t="shared" ref="CA117" si="548">+SUM(CA114:CA116)</f>
        <v>125</v>
      </c>
      <c r="CB117" s="24">
        <f t="shared" ref="CB117" si="549">+SUM(CB114:CB116)</f>
        <v>100</v>
      </c>
      <c r="CC117" s="703">
        <f t="shared" ref="CC117" si="550">+SUM(CC114:CC116)</f>
        <v>138</v>
      </c>
      <c r="CD117" s="24">
        <f t="shared" ref="CD117" si="551">+SUM(CD114:CD116)</f>
        <v>221</v>
      </c>
      <c r="CE117" s="24">
        <f t="shared" ref="CE117" si="552">+SUM(CE114:CE116)</f>
        <v>238</v>
      </c>
      <c r="CF117" s="1355">
        <f>+SUM(CF114:CF116)</f>
        <v>459</v>
      </c>
      <c r="CG117" s="24">
        <f t="shared" ref="CG117:CL117" si="553">+SUM(CG114:CG116)</f>
        <v>109</v>
      </c>
      <c r="CH117" s="24">
        <f t="shared" si="553"/>
        <v>121</v>
      </c>
      <c r="CI117" s="24">
        <f t="shared" si="553"/>
        <v>140</v>
      </c>
      <c r="CJ117" s="703">
        <f t="shared" si="553"/>
        <v>146</v>
      </c>
      <c r="CK117" s="24">
        <f t="shared" si="553"/>
        <v>230</v>
      </c>
      <c r="CL117" s="24">
        <f t="shared" si="553"/>
        <v>286</v>
      </c>
      <c r="CM117" s="1355">
        <f>+SUM(CM114:CM116)</f>
        <v>516</v>
      </c>
      <c r="CN117" s="24">
        <f>CN114+CN115+CN116</f>
        <v>106</v>
      </c>
      <c r="CO117" s="24">
        <f>CR117-CN117</f>
        <v>150</v>
      </c>
      <c r="CP117" s="24">
        <f>CP114+CP115+CP116</f>
        <v>135</v>
      </c>
      <c r="CQ117" s="703">
        <f>CS117-CP117</f>
        <v>180</v>
      </c>
      <c r="CR117" s="24">
        <f>CR114+CR115+CR116</f>
        <v>256</v>
      </c>
      <c r="CS117" s="24">
        <f>CT117-CR117</f>
        <v>315</v>
      </c>
      <c r="CT117" s="1355">
        <f>CT114+CT115+CT116</f>
        <v>571</v>
      </c>
      <c r="CU117" s="24">
        <f>CU114+CU115+CU116</f>
        <v>116</v>
      </c>
      <c r="CV117" s="24">
        <f>CY117-CU117</f>
        <v>145</v>
      </c>
      <c r="CW117" s="24">
        <f>CW114+CW115+CW116</f>
        <v>135</v>
      </c>
      <c r="CX117" s="703">
        <f>CZ117-CW117</f>
        <v>206</v>
      </c>
      <c r="CY117" s="24">
        <f>CY114+CY115+CY116</f>
        <v>261</v>
      </c>
      <c r="CZ117" s="24">
        <f>DA117-CY117</f>
        <v>341</v>
      </c>
      <c r="DA117" s="1355">
        <f>DA114+DA115+DA116</f>
        <v>602</v>
      </c>
      <c r="DB117" s="24">
        <f>DB114+DB115+DB116</f>
        <v>106</v>
      </c>
      <c r="DC117" s="24">
        <f>DF117-DB117</f>
        <v>126</v>
      </c>
      <c r="DD117" s="24">
        <f>DD114+DD115+DD116</f>
        <v>160</v>
      </c>
      <c r="DE117" s="703">
        <f>DG117-DD117</f>
        <v>215</v>
      </c>
      <c r="DF117" s="24">
        <f>DF114+DF115+DF116</f>
        <v>232</v>
      </c>
      <c r="DG117" s="24">
        <f>DH117-DF117</f>
        <v>375</v>
      </c>
      <c r="DH117" s="1355">
        <f>DH114+DH115+DH116</f>
        <v>607</v>
      </c>
      <c r="DI117" s="24">
        <f>DI114+DI115+DI116</f>
        <v>81</v>
      </c>
      <c r="DJ117" s="24">
        <f>DM117-DI117</f>
        <v>190</v>
      </c>
      <c r="DK117" s="1839">
        <v>160</v>
      </c>
      <c r="DL117" s="1926">
        <v>222</v>
      </c>
      <c r="DM117" s="24">
        <f>DM114+DM115+DM116</f>
        <v>271</v>
      </c>
      <c r="DN117" s="464">
        <f>DK117+DL117</f>
        <v>382</v>
      </c>
      <c r="DO117" s="580">
        <f>DM117+DN117</f>
        <v>653</v>
      </c>
      <c r="DP117" s="464">
        <f>DL94</f>
        <v>172.5</v>
      </c>
      <c r="DQ117" s="464">
        <f>DP94</f>
        <v>186.875</v>
      </c>
      <c r="DR117" s="464">
        <f>DQ94</f>
        <v>186.875</v>
      </c>
      <c r="DS117" s="465">
        <f>DR94</f>
        <v>186.875</v>
      </c>
      <c r="DT117" s="464">
        <f>DP117+DQ117</f>
        <v>359.375</v>
      </c>
      <c r="DU117" s="464">
        <f>DR117+DS117</f>
        <v>373.75</v>
      </c>
      <c r="DV117" s="580">
        <f>DT117+DU117</f>
        <v>733.125</v>
      </c>
      <c r="DW117" s="464">
        <f>DS94</f>
        <v>186.875</v>
      </c>
      <c r="DX117" s="464">
        <f>DW94</f>
        <v>201.25</v>
      </c>
      <c r="DY117" s="464">
        <f>DX94</f>
        <v>201.25</v>
      </c>
      <c r="DZ117" s="465">
        <f>DY94</f>
        <v>201.25</v>
      </c>
      <c r="EA117" s="464">
        <f>DW117+DX117</f>
        <v>388.125</v>
      </c>
      <c r="EB117" s="464">
        <f>DY117+DZ117</f>
        <v>402.5</v>
      </c>
      <c r="EC117" s="580">
        <f>EA117+EB117</f>
        <v>790.625</v>
      </c>
      <c r="ED117" s="464">
        <f>DZ94</f>
        <v>201.25</v>
      </c>
      <c r="EE117" s="464">
        <f>ED94</f>
        <v>201.25</v>
      </c>
      <c r="EF117" s="464">
        <f>EE94</f>
        <v>201.25</v>
      </c>
      <c r="EG117" s="465">
        <f>EF94</f>
        <v>201.25</v>
      </c>
      <c r="EH117" s="464">
        <f>ED117+EE117</f>
        <v>402.5</v>
      </c>
      <c r="EI117" s="464">
        <f>EF117+EG117</f>
        <v>402.5</v>
      </c>
      <c r="EJ117" s="580">
        <f>EH117+EI117</f>
        <v>805</v>
      </c>
      <c r="EK117" s="464">
        <f>EG94</f>
        <v>201.25</v>
      </c>
      <c r="EL117" s="464">
        <f>EK94</f>
        <v>201.25</v>
      </c>
      <c r="EM117" s="464">
        <f>EL94</f>
        <v>201.25</v>
      </c>
      <c r="EN117" s="465">
        <f>EM94</f>
        <v>201.25</v>
      </c>
      <c r="EO117" s="464">
        <f>EK117+EL117</f>
        <v>402.5</v>
      </c>
      <c r="EP117" s="464">
        <f>EM117+EN117</f>
        <v>402.5</v>
      </c>
      <c r="EQ117" s="580">
        <f>EO117+EP117</f>
        <v>805</v>
      </c>
    </row>
    <row r="118" spans="1:147" ht="10.199999999999999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121"/>
      <c r="K118" s="121"/>
      <c r="L118" s="121"/>
      <c r="M118" s="121"/>
      <c r="N118" s="114"/>
      <c r="O118" s="472"/>
      <c r="P118" s="556"/>
      <c r="Q118" s="472"/>
      <c r="R118" s="704"/>
      <c r="S118" s="556"/>
      <c r="T118" s="556"/>
      <c r="U118" s="1368"/>
      <c r="V118" s="472"/>
      <c r="W118" s="556"/>
      <c r="X118" s="472"/>
      <c r="Y118" s="704"/>
      <c r="Z118" s="556"/>
      <c r="AA118" s="556"/>
      <c r="AB118" s="1368"/>
      <c r="AC118" s="472"/>
      <c r="AD118" s="556"/>
      <c r="AE118" s="472"/>
      <c r="AF118" s="704"/>
      <c r="AG118" s="556"/>
      <c r="AH118" s="556"/>
      <c r="AI118" s="1368"/>
      <c r="AJ118" s="472"/>
      <c r="AK118" s="556"/>
      <c r="AL118" s="472"/>
      <c r="AM118" s="704"/>
      <c r="AN118" s="556"/>
      <c r="AO118" s="556"/>
      <c r="AP118" s="1368"/>
      <c r="AQ118" s="472"/>
      <c r="AR118" s="556"/>
      <c r="AS118" s="472"/>
      <c r="AT118" s="704"/>
      <c r="AU118" s="556"/>
      <c r="AV118" s="556"/>
      <c r="AW118" s="1368"/>
      <c r="AX118" s="472"/>
      <c r="AY118" s="556"/>
      <c r="AZ118" s="472"/>
      <c r="BA118" s="704"/>
      <c r="BB118" s="556"/>
      <c r="BC118" s="556"/>
      <c r="BD118" s="1368"/>
      <c r="BE118" s="472"/>
      <c r="BF118" s="556"/>
      <c r="BG118" s="472"/>
      <c r="BH118" s="704"/>
      <c r="BI118" s="556"/>
      <c r="BJ118" s="556"/>
      <c r="BK118" s="1368"/>
      <c r="BL118" s="472"/>
      <c r="BM118" s="556"/>
      <c r="BN118" s="472"/>
      <c r="BO118" s="704"/>
      <c r="BP118" s="556"/>
      <c r="BQ118" s="556"/>
      <c r="BR118" s="1368"/>
      <c r="BS118" s="472"/>
      <c r="BT118" s="556"/>
      <c r="BU118" s="472"/>
      <c r="BV118" s="704"/>
      <c r="BW118" s="556"/>
      <c r="BX118" s="556"/>
      <c r="BY118" s="1368"/>
      <c r="BZ118" s="472"/>
      <c r="CA118" s="556"/>
      <c r="CB118" s="472"/>
      <c r="CC118" s="704"/>
      <c r="CD118" s="556"/>
      <c r="CE118" s="556"/>
      <c r="CF118" s="1368"/>
      <c r="CG118" s="472"/>
      <c r="CH118" s="556"/>
      <c r="CI118" s="472"/>
      <c r="CJ118" s="704"/>
      <c r="CK118" s="556"/>
      <c r="CL118" s="556"/>
      <c r="CM118" s="1368"/>
      <c r="CN118" s="472"/>
      <c r="CO118" s="556"/>
      <c r="CP118" s="472"/>
      <c r="CQ118" s="704"/>
      <c r="CR118" s="556"/>
      <c r="CS118" s="556"/>
      <c r="CT118" s="1368"/>
      <c r="CU118" s="472"/>
      <c r="CV118" s="556"/>
      <c r="CW118" s="472"/>
      <c r="CX118" s="704"/>
      <c r="CY118" s="556"/>
      <c r="CZ118" s="556"/>
      <c r="DA118" s="1368"/>
      <c r="DB118" s="472"/>
      <c r="DC118" s="277"/>
      <c r="DD118" s="466"/>
      <c r="DE118" s="467"/>
      <c r="DF118" s="466"/>
      <c r="DG118" s="466"/>
      <c r="DH118" s="586"/>
      <c r="DI118" s="472"/>
      <c r="DJ118" s="277"/>
      <c r="DK118" s="466"/>
      <c r="DL118" s="467"/>
      <c r="DM118" s="466"/>
      <c r="DN118" s="466"/>
      <c r="DO118" s="586"/>
      <c r="DP118" s="466"/>
      <c r="DQ118" s="466"/>
      <c r="DR118" s="466"/>
      <c r="DS118" s="467"/>
      <c r="DT118" s="466"/>
      <c r="DU118" s="466"/>
      <c r="DV118" s="586"/>
      <c r="DW118" s="466"/>
      <c r="DX118" s="466"/>
      <c r="DY118" s="466"/>
      <c r="DZ118" s="467"/>
      <c r="EA118" s="466"/>
      <c r="EB118" s="466"/>
      <c r="EC118" s="586"/>
      <c r="ED118" s="466"/>
      <c r="EE118" s="466"/>
      <c r="EF118" s="466"/>
      <c r="EG118" s="467"/>
      <c r="EH118" s="466"/>
      <c r="EI118" s="466"/>
      <c r="EJ118" s="586"/>
      <c r="EK118" s="466"/>
      <c r="EL118" s="466"/>
      <c r="EM118" s="466"/>
      <c r="EN118" s="467"/>
      <c r="EO118" s="466"/>
      <c r="EP118" s="466"/>
      <c r="EQ118" s="586"/>
    </row>
    <row r="119" spans="1:147" ht="10.199999999999999" customHeight="1">
      <c r="A119" s="566" t="s">
        <v>449</v>
      </c>
      <c r="B119" s="572">
        <f t="shared" ref="B119:U119" si="554">B112+B117</f>
        <v>241</v>
      </c>
      <c r="C119" s="572">
        <f t="shared" si="554"/>
        <v>257</v>
      </c>
      <c r="D119" s="572">
        <f t="shared" si="554"/>
        <v>236</v>
      </c>
      <c r="E119" s="572">
        <f t="shared" si="554"/>
        <v>233</v>
      </c>
      <c r="F119" s="572">
        <f t="shared" si="554"/>
        <v>233</v>
      </c>
      <c r="G119" s="572">
        <f t="shared" si="554"/>
        <v>289</v>
      </c>
      <c r="H119" s="572">
        <f t="shared" si="554"/>
        <v>339</v>
      </c>
      <c r="I119" s="572">
        <f t="shared" si="554"/>
        <v>367</v>
      </c>
      <c r="J119" s="572">
        <f t="shared" si="554"/>
        <v>386</v>
      </c>
      <c r="K119" s="572">
        <f t="shared" si="554"/>
        <v>402</v>
      </c>
      <c r="L119" s="572">
        <f t="shared" si="554"/>
        <v>401</v>
      </c>
      <c r="M119" s="572">
        <f t="shared" si="554"/>
        <v>421</v>
      </c>
      <c r="N119" s="572">
        <f t="shared" si="554"/>
        <v>455</v>
      </c>
      <c r="O119" s="578"/>
      <c r="P119" s="578"/>
      <c r="Q119" s="578"/>
      <c r="R119" s="1369"/>
      <c r="S119" s="578"/>
      <c r="T119" s="578"/>
      <c r="U119" s="1370">
        <f t="shared" si="554"/>
        <v>493</v>
      </c>
      <c r="V119" s="578"/>
      <c r="W119" s="578"/>
      <c r="X119" s="578"/>
      <c r="Y119" s="1369"/>
      <c r="Z119" s="578"/>
      <c r="AA119" s="578"/>
      <c r="AB119" s="1370">
        <f>AB112+AB117</f>
        <v>490</v>
      </c>
      <c r="AC119" s="578"/>
      <c r="AD119" s="578"/>
      <c r="AE119" s="578"/>
      <c r="AF119" s="1369"/>
      <c r="AG119" s="578"/>
      <c r="AH119" s="578"/>
      <c r="AI119" s="1370">
        <f>AI112+AI117</f>
        <v>491</v>
      </c>
      <c r="AJ119" s="578"/>
      <c r="AK119" s="578"/>
      <c r="AL119" s="578"/>
      <c r="AM119" s="1369"/>
      <c r="AN119" s="578"/>
      <c r="AO119" s="578"/>
      <c r="AP119" s="1370">
        <v>545</v>
      </c>
      <c r="AQ119" s="578">
        <f t="shared" ref="AQ119:AV119" si="555">AQ112+AQ117</f>
        <v>107</v>
      </c>
      <c r="AR119" s="578">
        <f t="shared" si="555"/>
        <v>132</v>
      </c>
      <c r="AS119" s="578">
        <f t="shared" si="555"/>
        <v>111</v>
      </c>
      <c r="AT119" s="1369">
        <f t="shared" si="555"/>
        <v>208</v>
      </c>
      <c r="AU119" s="578">
        <f t="shared" si="555"/>
        <v>239</v>
      </c>
      <c r="AV119" s="578">
        <f t="shared" si="555"/>
        <v>319</v>
      </c>
      <c r="AW119" s="1370">
        <f>AW112+AW117</f>
        <v>558</v>
      </c>
      <c r="AX119" s="578">
        <f t="shared" ref="AX119:BC119" si="556">AX112+AX117</f>
        <v>107</v>
      </c>
      <c r="AY119" s="578">
        <f t="shared" si="556"/>
        <v>132</v>
      </c>
      <c r="AZ119" s="578">
        <f t="shared" si="556"/>
        <v>111</v>
      </c>
      <c r="BA119" s="1369">
        <f t="shared" si="556"/>
        <v>208</v>
      </c>
      <c r="BB119" s="578">
        <f t="shared" si="556"/>
        <v>239</v>
      </c>
      <c r="BC119" s="578">
        <f t="shared" si="556"/>
        <v>319</v>
      </c>
      <c r="BD119" s="1370">
        <f>+AW119</f>
        <v>558</v>
      </c>
      <c r="BE119" s="578">
        <f t="shared" ref="BE119:BJ119" si="557">BE112+BE117</f>
        <v>95</v>
      </c>
      <c r="BF119" s="578">
        <f t="shared" si="557"/>
        <v>144</v>
      </c>
      <c r="BG119" s="578">
        <f t="shared" si="557"/>
        <v>156</v>
      </c>
      <c r="BH119" s="1369">
        <f t="shared" si="557"/>
        <v>231</v>
      </c>
      <c r="BI119" s="578">
        <f t="shared" si="557"/>
        <v>239</v>
      </c>
      <c r="BJ119" s="578">
        <f t="shared" si="557"/>
        <v>387</v>
      </c>
      <c r="BK119" s="1370">
        <f t="shared" ref="BK119:EQ119" si="558">BK112+BK117</f>
        <v>626</v>
      </c>
      <c r="BL119" s="578">
        <f t="shared" ref="BL119:BQ119" si="559">BL112+BL117</f>
        <v>130</v>
      </c>
      <c r="BM119" s="578">
        <f t="shared" si="559"/>
        <v>164</v>
      </c>
      <c r="BN119" s="578">
        <f t="shared" si="559"/>
        <v>128</v>
      </c>
      <c r="BO119" s="1369">
        <f t="shared" si="559"/>
        <v>220</v>
      </c>
      <c r="BP119" s="578">
        <f t="shared" si="559"/>
        <v>294</v>
      </c>
      <c r="BQ119" s="578">
        <f t="shared" si="559"/>
        <v>348</v>
      </c>
      <c r="BR119" s="1370">
        <f t="shared" si="558"/>
        <v>642</v>
      </c>
      <c r="BS119" s="578">
        <f t="shared" si="558"/>
        <v>96</v>
      </c>
      <c r="BT119" s="578">
        <f t="shared" si="558"/>
        <v>61</v>
      </c>
      <c r="BU119" s="578">
        <f t="shared" si="558"/>
        <v>125</v>
      </c>
      <c r="BV119" s="1369">
        <f t="shared" si="558"/>
        <v>164</v>
      </c>
      <c r="BW119" s="578">
        <f t="shared" si="558"/>
        <v>157</v>
      </c>
      <c r="BX119" s="578">
        <f t="shared" si="558"/>
        <v>289</v>
      </c>
      <c r="BY119" s="1370">
        <f t="shared" si="558"/>
        <v>446</v>
      </c>
      <c r="BZ119" s="578">
        <f t="shared" ref="BZ119:CE119" si="560">BZ112+BZ117</f>
        <v>105</v>
      </c>
      <c r="CA119" s="578">
        <f t="shared" si="560"/>
        <v>132</v>
      </c>
      <c r="CB119" s="578">
        <f t="shared" si="560"/>
        <v>104</v>
      </c>
      <c r="CC119" s="1369">
        <f t="shared" si="560"/>
        <v>142</v>
      </c>
      <c r="CD119" s="578">
        <f t="shared" si="560"/>
        <v>237</v>
      </c>
      <c r="CE119" s="578">
        <f t="shared" si="560"/>
        <v>246</v>
      </c>
      <c r="CF119" s="1370">
        <f t="shared" si="558"/>
        <v>483</v>
      </c>
      <c r="CG119" s="578">
        <f t="shared" si="558"/>
        <v>109</v>
      </c>
      <c r="CH119" s="578">
        <f t="shared" si="558"/>
        <v>121</v>
      </c>
      <c r="CI119" s="578">
        <f t="shared" si="558"/>
        <v>143</v>
      </c>
      <c r="CJ119" s="1369">
        <f t="shared" si="558"/>
        <v>143</v>
      </c>
      <c r="CK119" s="578">
        <f t="shared" si="558"/>
        <v>230</v>
      </c>
      <c r="CL119" s="578">
        <f t="shared" si="558"/>
        <v>286</v>
      </c>
      <c r="CM119" s="1370">
        <f t="shared" si="558"/>
        <v>516</v>
      </c>
      <c r="CN119" s="578">
        <f t="shared" si="558"/>
        <v>106</v>
      </c>
      <c r="CO119" s="578">
        <f t="shared" si="558"/>
        <v>150</v>
      </c>
      <c r="CP119" s="578">
        <f t="shared" si="558"/>
        <v>135</v>
      </c>
      <c r="CQ119" s="1369">
        <f t="shared" si="558"/>
        <v>180</v>
      </c>
      <c r="CR119" s="578">
        <f t="shared" si="558"/>
        <v>256</v>
      </c>
      <c r="CS119" s="578">
        <f t="shared" si="558"/>
        <v>315</v>
      </c>
      <c r="CT119" s="1370">
        <f t="shared" si="558"/>
        <v>571</v>
      </c>
      <c r="CU119" s="578">
        <f t="shared" ref="CU119:CW119" si="561">CU112+CU117</f>
        <v>116</v>
      </c>
      <c r="CV119" s="578">
        <f t="shared" si="561"/>
        <v>145</v>
      </c>
      <c r="CW119" s="578">
        <f t="shared" si="561"/>
        <v>135</v>
      </c>
      <c r="CX119" s="1369">
        <f t="shared" si="558"/>
        <v>206</v>
      </c>
      <c r="CY119" s="578">
        <f t="shared" ref="CY119" si="562">CY112+CY117</f>
        <v>261</v>
      </c>
      <c r="CZ119" s="578">
        <f t="shared" si="558"/>
        <v>341</v>
      </c>
      <c r="DA119" s="1370">
        <f t="shared" si="558"/>
        <v>602</v>
      </c>
      <c r="DB119" s="578">
        <f t="shared" si="558"/>
        <v>106</v>
      </c>
      <c r="DC119" s="572">
        <f t="shared" si="558"/>
        <v>126</v>
      </c>
      <c r="DD119" s="572">
        <f t="shared" si="558"/>
        <v>160</v>
      </c>
      <c r="DE119" s="1836">
        <f t="shared" si="558"/>
        <v>215</v>
      </c>
      <c r="DF119" s="578">
        <f t="shared" si="558"/>
        <v>232</v>
      </c>
      <c r="DG119" s="572">
        <f t="shared" si="558"/>
        <v>375</v>
      </c>
      <c r="DH119" s="1837">
        <f t="shared" si="558"/>
        <v>607</v>
      </c>
      <c r="DI119" s="578">
        <f t="shared" ref="DI119:DJ119" si="563">DI112+DI117</f>
        <v>81</v>
      </c>
      <c r="DJ119" s="572">
        <f t="shared" si="563"/>
        <v>190</v>
      </c>
      <c r="DK119" s="573">
        <f t="shared" si="558"/>
        <v>160</v>
      </c>
      <c r="DL119" s="574">
        <f t="shared" si="558"/>
        <v>222</v>
      </c>
      <c r="DM119" s="572">
        <f t="shared" si="558"/>
        <v>271</v>
      </c>
      <c r="DN119" s="573">
        <f t="shared" si="558"/>
        <v>382</v>
      </c>
      <c r="DO119" s="587">
        <f t="shared" si="558"/>
        <v>653</v>
      </c>
      <c r="DP119" s="573">
        <f t="shared" si="558"/>
        <v>172.5</v>
      </c>
      <c r="DQ119" s="573">
        <f t="shared" si="558"/>
        <v>186.875</v>
      </c>
      <c r="DR119" s="573">
        <f t="shared" si="558"/>
        <v>186.875</v>
      </c>
      <c r="DS119" s="574">
        <f t="shared" si="558"/>
        <v>186.875</v>
      </c>
      <c r="DT119" s="573">
        <f t="shared" si="558"/>
        <v>359.375</v>
      </c>
      <c r="DU119" s="573">
        <f t="shared" si="558"/>
        <v>373.75</v>
      </c>
      <c r="DV119" s="587">
        <f t="shared" si="558"/>
        <v>733.125</v>
      </c>
      <c r="DW119" s="573">
        <f t="shared" si="558"/>
        <v>186.875</v>
      </c>
      <c r="DX119" s="573">
        <f t="shared" si="558"/>
        <v>201.25</v>
      </c>
      <c r="DY119" s="573">
        <f t="shared" si="558"/>
        <v>201.25</v>
      </c>
      <c r="DZ119" s="574">
        <f t="shared" si="558"/>
        <v>201.25</v>
      </c>
      <c r="EA119" s="573">
        <f t="shared" si="558"/>
        <v>388.125</v>
      </c>
      <c r="EB119" s="573">
        <f t="shared" si="558"/>
        <v>402.5</v>
      </c>
      <c r="EC119" s="587">
        <f t="shared" si="558"/>
        <v>790.625</v>
      </c>
      <c r="ED119" s="573">
        <f t="shared" si="558"/>
        <v>201.25</v>
      </c>
      <c r="EE119" s="573">
        <f t="shared" si="558"/>
        <v>201.25</v>
      </c>
      <c r="EF119" s="573">
        <f t="shared" si="558"/>
        <v>201.25</v>
      </c>
      <c r="EG119" s="574">
        <f t="shared" si="558"/>
        <v>201.25</v>
      </c>
      <c r="EH119" s="573">
        <f t="shared" si="558"/>
        <v>402.5</v>
      </c>
      <c r="EI119" s="573">
        <f t="shared" si="558"/>
        <v>402.5</v>
      </c>
      <c r="EJ119" s="587">
        <f t="shared" si="558"/>
        <v>805</v>
      </c>
      <c r="EK119" s="573">
        <f t="shared" si="558"/>
        <v>201.25</v>
      </c>
      <c r="EL119" s="573">
        <f t="shared" si="558"/>
        <v>201.25</v>
      </c>
      <c r="EM119" s="573">
        <f t="shared" si="558"/>
        <v>201.25</v>
      </c>
      <c r="EN119" s="574">
        <f t="shared" si="558"/>
        <v>201.25</v>
      </c>
      <c r="EO119" s="573">
        <f t="shared" si="558"/>
        <v>402.5</v>
      </c>
      <c r="EP119" s="573">
        <f t="shared" si="558"/>
        <v>402.5</v>
      </c>
      <c r="EQ119" s="587">
        <f t="shared" si="558"/>
        <v>805</v>
      </c>
    </row>
    <row r="120" spans="1:147" ht="10.199999999999999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882"/>
      <c r="P120" s="882"/>
      <c r="Q120" s="882"/>
      <c r="R120" s="1371"/>
      <c r="S120" s="882"/>
      <c r="T120" s="882"/>
      <c r="U120" s="310"/>
      <c r="V120" s="882"/>
      <c r="W120" s="882"/>
      <c r="X120" s="882"/>
      <c r="Y120" s="1371"/>
      <c r="Z120" s="882"/>
      <c r="AA120" s="882"/>
      <c r="AB120" s="310"/>
      <c r="AC120" s="882"/>
      <c r="AD120" s="882"/>
      <c r="AE120" s="882"/>
      <c r="AF120" s="1371"/>
      <c r="AG120" s="882"/>
      <c r="AH120" s="882"/>
      <c r="AI120" s="310"/>
      <c r="AJ120" s="882"/>
      <c r="AK120" s="882"/>
      <c r="AL120" s="882"/>
      <c r="AM120" s="1371"/>
      <c r="AN120" s="882"/>
      <c r="AO120" s="882"/>
      <c r="AP120" s="310"/>
      <c r="AQ120" s="882"/>
      <c r="AR120" s="882"/>
      <c r="AS120" s="882"/>
      <c r="AT120" s="1371"/>
      <c r="AU120" s="882"/>
      <c r="AV120" s="882"/>
      <c r="AW120" s="310"/>
      <c r="AX120" s="882"/>
      <c r="AY120" s="882"/>
      <c r="AZ120" s="882"/>
      <c r="BA120" s="1371"/>
      <c r="BB120" s="882"/>
      <c r="BC120" s="882"/>
      <c r="BD120" s="310"/>
      <c r="BE120" s="882"/>
      <c r="BF120" s="882"/>
      <c r="BG120" s="882"/>
      <c r="BH120" s="1371"/>
      <c r="BI120" s="882"/>
      <c r="BJ120" s="882"/>
      <c r="BK120" s="310"/>
      <c r="BL120" s="882"/>
      <c r="BM120" s="882"/>
      <c r="BN120" s="882"/>
      <c r="BO120" s="1371"/>
      <c r="BP120" s="882"/>
      <c r="BQ120" s="882"/>
      <c r="BR120" s="310"/>
      <c r="BS120" s="882"/>
      <c r="BT120" s="882"/>
      <c r="BU120" s="882"/>
      <c r="BV120" s="1371"/>
      <c r="BW120" s="882"/>
      <c r="BX120" s="882"/>
      <c r="BY120" s="310"/>
      <c r="BZ120" s="882"/>
      <c r="CA120" s="882"/>
      <c r="CB120" s="882"/>
      <c r="CC120" s="1371"/>
      <c r="CD120" s="882"/>
      <c r="CE120" s="882"/>
      <c r="CF120" s="310"/>
      <c r="CG120" s="882"/>
      <c r="CH120" s="882"/>
      <c r="CI120" s="882"/>
      <c r="CJ120" s="1371"/>
      <c r="CK120" s="882"/>
      <c r="CL120" s="882"/>
      <c r="CM120" s="310"/>
      <c r="CN120" s="882"/>
      <c r="CO120" s="882"/>
      <c r="CP120" s="882"/>
      <c r="CQ120" s="1371"/>
      <c r="CR120" s="882"/>
      <c r="CS120" s="882"/>
      <c r="CT120" s="310"/>
      <c r="CU120" s="882"/>
      <c r="CV120" s="882"/>
      <c r="CW120" s="882"/>
      <c r="CX120" s="1371"/>
      <c r="CY120" s="882"/>
      <c r="CZ120" s="882"/>
      <c r="DA120" s="310"/>
      <c r="DB120" s="882"/>
      <c r="DC120" s="456"/>
      <c r="DD120" s="456"/>
      <c r="DE120" s="457"/>
      <c r="DF120" s="108"/>
      <c r="DG120" s="456"/>
      <c r="DH120" s="338"/>
      <c r="DI120" s="456"/>
      <c r="DJ120" s="456"/>
      <c r="DK120" s="456"/>
      <c r="DL120" s="457"/>
      <c r="DM120" s="456"/>
      <c r="DN120" s="456"/>
      <c r="DO120" s="1270"/>
      <c r="DP120" s="456"/>
      <c r="DQ120" s="456"/>
      <c r="DR120" s="456"/>
      <c r="DS120" s="457"/>
      <c r="DT120" s="456"/>
      <c r="DU120" s="456"/>
      <c r="DV120" s="338"/>
      <c r="DW120" s="456"/>
      <c r="DX120" s="456"/>
      <c r="DY120" s="456"/>
      <c r="DZ120" s="457"/>
      <c r="EA120" s="456"/>
      <c r="EB120" s="456"/>
      <c r="EC120" s="338"/>
      <c r="ED120" s="456"/>
      <c r="EE120" s="456"/>
      <c r="EF120" s="456"/>
      <c r="EG120" s="457"/>
      <c r="EH120" s="456"/>
      <c r="EI120" s="456"/>
      <c r="EJ120" s="338"/>
      <c r="EK120" s="456"/>
      <c r="EL120" s="456"/>
      <c r="EM120" s="456"/>
      <c r="EN120" s="457"/>
      <c r="EO120" s="456"/>
      <c r="EP120" s="456"/>
      <c r="EQ120" s="338"/>
    </row>
    <row r="121" spans="1:147" ht="10.199999999999999" customHeight="1">
      <c r="A121" s="108" t="s">
        <v>198</v>
      </c>
      <c r="B121" s="133">
        <v>27</v>
      </c>
      <c r="C121" s="108">
        <v>16</v>
      </c>
      <c r="D121" s="108">
        <v>36</v>
      </c>
      <c r="E121" s="108">
        <v>19</v>
      </c>
      <c r="F121" s="108">
        <v>23</v>
      </c>
      <c r="G121" s="217">
        <v>31</v>
      </c>
      <c r="H121" s="108">
        <v>39</v>
      </c>
      <c r="I121" s="108">
        <v>42</v>
      </c>
      <c r="J121" s="108">
        <v>49</v>
      </c>
      <c r="K121" s="108">
        <v>38</v>
      </c>
      <c r="L121" s="108">
        <f>32+5</f>
        <v>37</v>
      </c>
      <c r="M121" s="108">
        <v>40</v>
      </c>
      <c r="N121" s="108">
        <v>45</v>
      </c>
      <c r="O121" s="530"/>
      <c r="P121" s="530"/>
      <c r="Q121" s="530"/>
      <c r="R121" s="680"/>
      <c r="S121" s="530"/>
      <c r="T121" s="530"/>
      <c r="U121" s="1364">
        <v>51</v>
      </c>
      <c r="V121" s="530"/>
      <c r="W121" s="530"/>
      <c r="X121" s="530"/>
      <c r="Y121" s="680"/>
      <c r="Z121" s="530"/>
      <c r="AA121" s="530"/>
      <c r="AB121" s="1364">
        <v>33</v>
      </c>
      <c r="AC121" s="530"/>
      <c r="AD121" s="530"/>
      <c r="AE121" s="530"/>
      <c r="AF121" s="680"/>
      <c r="AG121" s="530"/>
      <c r="AH121" s="530"/>
      <c r="AI121" s="1364">
        <v>33</v>
      </c>
      <c r="AJ121" s="530"/>
      <c r="AK121" s="530"/>
      <c r="AL121" s="530"/>
      <c r="AM121" s="680"/>
      <c r="AN121" s="530"/>
      <c r="AO121" s="530"/>
      <c r="AP121" s="1364">
        <v>24</v>
      </c>
      <c r="AQ121" s="530"/>
      <c r="AR121" s="530"/>
      <c r="AS121" s="530"/>
      <c r="AT121" s="680"/>
      <c r="AU121" s="530"/>
      <c r="AV121" s="530"/>
      <c r="AW121" s="1364">
        <v>18</v>
      </c>
      <c r="AX121" s="530"/>
      <c r="AY121" s="530"/>
      <c r="AZ121" s="530"/>
      <c r="BA121" s="680"/>
      <c r="BB121" s="530"/>
      <c r="BC121" s="530"/>
      <c r="BD121" s="1364">
        <f>+AW121</f>
        <v>18</v>
      </c>
      <c r="BE121" s="530"/>
      <c r="BF121" s="530"/>
      <c r="BG121" s="530"/>
      <c r="BH121" s="680"/>
      <c r="BI121" s="530"/>
      <c r="BJ121" s="530"/>
      <c r="BK121" s="1364">
        <v>14</v>
      </c>
      <c r="BL121" s="530"/>
      <c r="BM121" s="530"/>
      <c r="BN121" s="530"/>
      <c r="BO121" s="680"/>
      <c r="BP121" s="530"/>
      <c r="BQ121" s="530"/>
      <c r="BR121" s="1364">
        <v>7</v>
      </c>
      <c r="BS121" s="530"/>
      <c r="BT121" s="530"/>
      <c r="BU121" s="530"/>
      <c r="BV121" s="680"/>
      <c r="BW121" s="530"/>
      <c r="BX121" s="530"/>
      <c r="BY121" s="1364">
        <v>5</v>
      </c>
      <c r="BZ121" s="530"/>
      <c r="CA121" s="530"/>
      <c r="CB121" s="530"/>
      <c r="CC121" s="680"/>
      <c r="CD121" s="530"/>
      <c r="CE121" s="530"/>
      <c r="CF121" s="1364">
        <v>3</v>
      </c>
      <c r="CG121" s="530"/>
      <c r="CH121" s="530"/>
      <c r="CI121" s="530"/>
      <c r="CJ121" s="680"/>
      <c r="CK121" s="530"/>
      <c r="CL121" s="530"/>
      <c r="CM121" s="1364">
        <v>5</v>
      </c>
      <c r="CN121" s="530">
        <v>1</v>
      </c>
      <c r="CO121" s="530">
        <f>CR121-CN121</f>
        <v>1</v>
      </c>
      <c r="CP121" s="530">
        <v>0</v>
      </c>
      <c r="CQ121" s="680">
        <f>CS121-CP121</f>
        <v>1</v>
      </c>
      <c r="CR121" s="530">
        <v>2</v>
      </c>
      <c r="CS121" s="530">
        <f>CT121-CR121</f>
        <v>1</v>
      </c>
      <c r="CT121" s="1364">
        <v>3</v>
      </c>
      <c r="CU121" s="530">
        <v>0</v>
      </c>
      <c r="CV121" s="530">
        <f>CY121-CU121</f>
        <v>0</v>
      </c>
      <c r="CW121" s="530">
        <v>0</v>
      </c>
      <c r="CX121" s="680">
        <f>CZ121-CW121</f>
        <v>2</v>
      </c>
      <c r="CY121" s="530">
        <v>0</v>
      </c>
      <c r="CZ121" s="530">
        <f>DA121-CY121</f>
        <v>2</v>
      </c>
      <c r="DA121" s="1364">
        <v>2</v>
      </c>
      <c r="DB121" s="530">
        <v>0</v>
      </c>
      <c r="DC121" s="530">
        <f>DF121-DB121</f>
        <v>1</v>
      </c>
      <c r="DD121" s="530">
        <v>0</v>
      </c>
      <c r="DE121" s="680">
        <f>DG121-DD121</f>
        <v>1</v>
      </c>
      <c r="DF121" s="1802">
        <v>1</v>
      </c>
      <c r="DG121" s="530">
        <f>DH121-DF121</f>
        <v>1</v>
      </c>
      <c r="DH121" s="1301">
        <v>2</v>
      </c>
      <c r="DI121" s="550">
        <v>0</v>
      </c>
      <c r="DJ121" s="530">
        <f>DM121-DI121</f>
        <v>1</v>
      </c>
      <c r="DK121" s="460">
        <f>DN121/2</f>
        <v>0.5</v>
      </c>
      <c r="DL121" s="461">
        <f>DN121-DK121</f>
        <v>0.5</v>
      </c>
      <c r="DM121" s="530">
        <v>1</v>
      </c>
      <c r="DN121" s="460">
        <f>DO121-DM121</f>
        <v>1</v>
      </c>
      <c r="DO121" s="598">
        <v>2</v>
      </c>
      <c r="DP121" s="460">
        <f>DT121/2</f>
        <v>0.5</v>
      </c>
      <c r="DQ121" s="460">
        <f>DT121-DP121</f>
        <v>0.5</v>
      </c>
      <c r="DR121" s="460">
        <f>DU121/2</f>
        <v>0.5</v>
      </c>
      <c r="DS121" s="461">
        <f>DU121-DR121</f>
        <v>0.5</v>
      </c>
      <c r="DT121" s="460">
        <f>DV121/2</f>
        <v>1</v>
      </c>
      <c r="DU121" s="460">
        <f>DV121-DT121</f>
        <v>1</v>
      </c>
      <c r="DV121" s="598">
        <v>2</v>
      </c>
      <c r="DW121" s="460">
        <f>EA121/2</f>
        <v>0.5</v>
      </c>
      <c r="DX121" s="460">
        <f>EA121-DW121</f>
        <v>0.5</v>
      </c>
      <c r="DY121" s="460">
        <f>EB121/2</f>
        <v>0.5</v>
      </c>
      <c r="DZ121" s="461">
        <f>EB121-DY121</f>
        <v>0.5</v>
      </c>
      <c r="EA121" s="460">
        <f>EC121/2</f>
        <v>1</v>
      </c>
      <c r="EB121" s="460">
        <f>EC121-EA121</f>
        <v>1</v>
      </c>
      <c r="EC121" s="598">
        <v>2</v>
      </c>
      <c r="ED121" s="460">
        <f>EH121/2</f>
        <v>0.5</v>
      </c>
      <c r="EE121" s="460">
        <f>EH121-ED121</f>
        <v>0.5</v>
      </c>
      <c r="EF121" s="460">
        <f>EI121/2</f>
        <v>0.5</v>
      </c>
      <c r="EG121" s="461">
        <f>EI121-EF121</f>
        <v>0.5</v>
      </c>
      <c r="EH121" s="460">
        <f>EJ121/2</f>
        <v>1</v>
      </c>
      <c r="EI121" s="460">
        <f>EJ121-EH121</f>
        <v>1</v>
      </c>
      <c r="EJ121" s="598">
        <v>2</v>
      </c>
      <c r="EK121" s="460">
        <f>EO121/2</f>
        <v>0.5</v>
      </c>
      <c r="EL121" s="460">
        <f>EO121-EK121</f>
        <v>0.5</v>
      </c>
      <c r="EM121" s="460">
        <f>EP121/2</f>
        <v>0.5</v>
      </c>
      <c r="EN121" s="461">
        <f>EP121-EM121</f>
        <v>0.5</v>
      </c>
      <c r="EO121" s="460">
        <f>EQ121/2</f>
        <v>1</v>
      </c>
      <c r="EP121" s="460">
        <f>EQ121-EO121</f>
        <v>1</v>
      </c>
      <c r="EQ121" s="598">
        <v>2</v>
      </c>
    </row>
    <row r="122" spans="1:147" ht="10.199999999999999" customHeight="1">
      <c r="A122" s="108" t="s">
        <v>199</v>
      </c>
      <c r="B122" s="197">
        <v>16</v>
      </c>
      <c r="C122" s="108">
        <v>19</v>
      </c>
      <c r="D122" s="108">
        <v>6</v>
      </c>
      <c r="E122" s="108">
        <v>12</v>
      </c>
      <c r="F122" s="108">
        <v>24</v>
      </c>
      <c r="G122" s="108">
        <v>25</v>
      </c>
      <c r="H122" s="108">
        <v>23</v>
      </c>
      <c r="I122" s="108">
        <v>26</v>
      </c>
      <c r="J122" s="108">
        <v>23</v>
      </c>
      <c r="K122" s="108">
        <v>38</v>
      </c>
      <c r="L122" s="108">
        <v>50</v>
      </c>
      <c r="M122" s="108">
        <v>47</v>
      </c>
      <c r="N122" s="108">
        <v>56</v>
      </c>
      <c r="O122" s="530"/>
      <c r="P122" s="530"/>
      <c r="Q122" s="530"/>
      <c r="R122" s="680"/>
      <c r="S122" s="530"/>
      <c r="T122" s="530"/>
      <c r="U122" s="1364">
        <v>57</v>
      </c>
      <c r="V122" s="530"/>
      <c r="W122" s="530"/>
      <c r="X122" s="530"/>
      <c r="Y122" s="680"/>
      <c r="Z122" s="530"/>
      <c r="AA122" s="530"/>
      <c r="AB122" s="1364">
        <v>75</v>
      </c>
      <c r="AC122" s="530"/>
      <c r="AD122" s="530"/>
      <c r="AE122" s="530"/>
      <c r="AF122" s="680"/>
      <c r="AG122" s="530"/>
      <c r="AH122" s="530"/>
      <c r="AI122" s="1364">
        <v>70</v>
      </c>
      <c r="AJ122" s="530"/>
      <c r="AK122" s="530"/>
      <c r="AL122" s="530"/>
      <c r="AM122" s="680"/>
      <c r="AN122" s="530"/>
      <c r="AO122" s="530"/>
      <c r="AP122" s="1364">
        <v>42</v>
      </c>
      <c r="AQ122" s="530"/>
      <c r="AR122" s="530"/>
      <c r="AS122" s="530"/>
      <c r="AT122" s="680"/>
      <c r="AU122" s="530"/>
      <c r="AV122" s="530"/>
      <c r="AW122" s="1364">
        <v>49</v>
      </c>
      <c r="AX122" s="530"/>
      <c r="AY122" s="530"/>
      <c r="AZ122" s="530"/>
      <c r="BA122" s="680"/>
      <c r="BB122" s="530"/>
      <c r="BC122" s="530"/>
      <c r="BD122" s="1364">
        <f>+AW122</f>
        <v>49</v>
      </c>
      <c r="BE122" s="530"/>
      <c r="BF122" s="530"/>
      <c r="BG122" s="530"/>
      <c r="BH122" s="680"/>
      <c r="BI122" s="530"/>
      <c r="BJ122" s="530"/>
      <c r="BK122" s="1364">
        <v>32</v>
      </c>
      <c r="BL122" s="530"/>
      <c r="BM122" s="530"/>
      <c r="BN122" s="530"/>
      <c r="BO122" s="680"/>
      <c r="BP122" s="530"/>
      <c r="BQ122" s="530"/>
      <c r="BR122" s="1364">
        <v>5</v>
      </c>
      <c r="BS122" s="530"/>
      <c r="BT122" s="530"/>
      <c r="BU122" s="530"/>
      <c r="BV122" s="680"/>
      <c r="BW122" s="530"/>
      <c r="BX122" s="530"/>
      <c r="BY122" s="1364">
        <v>1</v>
      </c>
      <c r="BZ122" s="530"/>
      <c r="CA122" s="530"/>
      <c r="CB122" s="530"/>
      <c r="CC122" s="680"/>
      <c r="CD122" s="530"/>
      <c r="CE122" s="530"/>
      <c r="CF122" s="1364">
        <v>1</v>
      </c>
      <c r="CG122" s="530"/>
      <c r="CH122" s="530"/>
      <c r="CI122" s="530"/>
      <c r="CJ122" s="680"/>
      <c r="CK122" s="530"/>
      <c r="CL122" s="530"/>
      <c r="CM122" s="1364">
        <v>4</v>
      </c>
      <c r="CN122" s="530">
        <v>0</v>
      </c>
      <c r="CO122" s="530">
        <f>CR122-CN122</f>
        <v>0</v>
      </c>
      <c r="CP122" s="530">
        <v>0</v>
      </c>
      <c r="CQ122" s="680">
        <f>CS122-CP122</f>
        <v>0</v>
      </c>
      <c r="CR122" s="530">
        <v>0</v>
      </c>
      <c r="CS122" s="530">
        <f>CT122-CR122</f>
        <v>0</v>
      </c>
      <c r="CT122" s="1364">
        <f>CT123-CT121</f>
        <v>0</v>
      </c>
      <c r="CU122" s="530">
        <v>0</v>
      </c>
      <c r="CV122" s="530">
        <f>CY122-CU122</f>
        <v>0</v>
      </c>
      <c r="CW122" s="530">
        <v>0</v>
      </c>
      <c r="CX122" s="680">
        <f>CZ122-CW122</f>
        <v>0</v>
      </c>
      <c r="CY122" s="530">
        <v>0</v>
      </c>
      <c r="CZ122" s="530">
        <f>DA122-CY122</f>
        <v>0</v>
      </c>
      <c r="DA122" s="1364">
        <v>0</v>
      </c>
      <c r="DB122" s="530">
        <v>0</v>
      </c>
      <c r="DC122" s="530">
        <f>DF122-DB122</f>
        <v>0</v>
      </c>
      <c r="DD122" s="530">
        <v>0</v>
      </c>
      <c r="DE122" s="680">
        <f>DG122-DD122</f>
        <v>0</v>
      </c>
      <c r="DF122" s="530">
        <v>0</v>
      </c>
      <c r="DG122" s="530">
        <f>DH122-DF122</f>
        <v>0</v>
      </c>
      <c r="DH122" s="1301">
        <v>0</v>
      </c>
      <c r="DI122" s="550">
        <v>0</v>
      </c>
      <c r="DJ122" s="530">
        <f>DM122-DI122</f>
        <v>0</v>
      </c>
      <c r="DK122" s="460">
        <f>DN122/2</f>
        <v>0.5</v>
      </c>
      <c r="DL122" s="461">
        <f>DN122-DK122</f>
        <v>0.5</v>
      </c>
      <c r="DM122" s="530">
        <v>0</v>
      </c>
      <c r="DN122" s="460">
        <f>DO122-DM122</f>
        <v>1</v>
      </c>
      <c r="DO122" s="585">
        <f>DO123-DO121</f>
        <v>1</v>
      </c>
      <c r="DP122" s="460">
        <f>DT122/2</f>
        <v>0.25</v>
      </c>
      <c r="DQ122" s="460">
        <f>DT122-DP122</f>
        <v>0.25</v>
      </c>
      <c r="DR122" s="460">
        <f>DU122/2</f>
        <v>0.25</v>
      </c>
      <c r="DS122" s="461">
        <f>DU122-DR122</f>
        <v>0.25</v>
      </c>
      <c r="DT122" s="460">
        <f>DT123-DT121</f>
        <v>0.5</v>
      </c>
      <c r="DU122" s="460">
        <f>DV122-DT122</f>
        <v>0.5</v>
      </c>
      <c r="DV122" s="585">
        <f>DV123-DV121</f>
        <v>1</v>
      </c>
      <c r="DW122" s="460">
        <f>EA122/2</f>
        <v>0.25</v>
      </c>
      <c r="DX122" s="460">
        <f>EA122-DW122</f>
        <v>0.25</v>
      </c>
      <c r="DY122" s="460">
        <f>EB122/2</f>
        <v>0.25</v>
      </c>
      <c r="DZ122" s="461">
        <f>EB122-DY122</f>
        <v>0.25</v>
      </c>
      <c r="EA122" s="460">
        <f>EA123-EA121</f>
        <v>0.5</v>
      </c>
      <c r="EB122" s="460">
        <f>EC122-EA122</f>
        <v>0.5</v>
      </c>
      <c r="EC122" s="585">
        <f>EC123-EC121</f>
        <v>1</v>
      </c>
      <c r="ED122" s="460">
        <f>EH122/2</f>
        <v>0.25</v>
      </c>
      <c r="EE122" s="460">
        <f>EH122-ED122</f>
        <v>0.25</v>
      </c>
      <c r="EF122" s="460">
        <f>EI122/2</f>
        <v>0.25</v>
      </c>
      <c r="EG122" s="461">
        <f>EI122-EF122</f>
        <v>0.25</v>
      </c>
      <c r="EH122" s="460">
        <f>EH123-EH121</f>
        <v>0.5</v>
      </c>
      <c r="EI122" s="460">
        <f>EJ122-EH122</f>
        <v>0.5</v>
      </c>
      <c r="EJ122" s="585">
        <f>EJ123-EJ121</f>
        <v>1</v>
      </c>
      <c r="EK122" s="460">
        <f>EO122/2</f>
        <v>0.25</v>
      </c>
      <c r="EL122" s="460">
        <f>EO122-EK122</f>
        <v>0.25</v>
      </c>
      <c r="EM122" s="460">
        <f>EP122/2</f>
        <v>0.25</v>
      </c>
      <c r="EN122" s="461">
        <f>EP122-EM122</f>
        <v>0.25</v>
      </c>
      <c r="EO122" s="460">
        <f>EO123-EO121</f>
        <v>0.5</v>
      </c>
      <c r="EP122" s="460">
        <f>EQ122-EO122</f>
        <v>0.5</v>
      </c>
      <c r="EQ122" s="585">
        <f>EQ123-EQ121</f>
        <v>1</v>
      </c>
    </row>
    <row r="123" spans="1:147" ht="10.199999999999999" customHeight="1">
      <c r="A123" s="48" t="s">
        <v>380</v>
      </c>
      <c r="B123" s="113">
        <f>SUM(B121:B122)</f>
        <v>43</v>
      </c>
      <c r="C123" s="48">
        <f t="shared" ref="C123:AP123" si="564">C122+C121</f>
        <v>35</v>
      </c>
      <c r="D123" s="48">
        <f t="shared" si="564"/>
        <v>42</v>
      </c>
      <c r="E123" s="48">
        <f t="shared" si="564"/>
        <v>31</v>
      </c>
      <c r="F123" s="48">
        <f t="shared" si="564"/>
        <v>47</v>
      </c>
      <c r="G123" s="48">
        <f t="shared" si="564"/>
        <v>56</v>
      </c>
      <c r="H123" s="48">
        <f t="shared" si="564"/>
        <v>62</v>
      </c>
      <c r="I123" s="48">
        <f t="shared" si="564"/>
        <v>68</v>
      </c>
      <c r="J123" s="48">
        <f t="shared" si="564"/>
        <v>72</v>
      </c>
      <c r="K123" s="48">
        <f t="shared" si="564"/>
        <v>76</v>
      </c>
      <c r="L123" s="48">
        <f t="shared" si="564"/>
        <v>87</v>
      </c>
      <c r="M123" s="48">
        <f t="shared" si="564"/>
        <v>87</v>
      </c>
      <c r="N123" s="48">
        <f t="shared" si="564"/>
        <v>101</v>
      </c>
      <c r="O123" s="2"/>
      <c r="P123" s="319"/>
      <c r="Q123" s="22"/>
      <c r="R123" s="1372"/>
      <c r="S123" s="22"/>
      <c r="T123" s="24"/>
      <c r="U123" s="1355">
        <f t="shared" si="564"/>
        <v>108</v>
      </c>
      <c r="V123" s="2"/>
      <c r="W123" s="319"/>
      <c r="X123" s="22"/>
      <c r="Y123" s="1372"/>
      <c r="Z123" s="22"/>
      <c r="AA123" s="24"/>
      <c r="AB123" s="1355">
        <f>AB122+AB121</f>
        <v>108</v>
      </c>
      <c r="AC123" s="2"/>
      <c r="AD123" s="319"/>
      <c r="AE123" s="22"/>
      <c r="AF123" s="1372"/>
      <c r="AG123" s="22"/>
      <c r="AH123" s="24"/>
      <c r="AI123" s="1355">
        <f t="shared" si="564"/>
        <v>103</v>
      </c>
      <c r="AJ123" s="2"/>
      <c r="AK123" s="319"/>
      <c r="AL123" s="22"/>
      <c r="AM123" s="1372"/>
      <c r="AN123" s="22"/>
      <c r="AO123" s="24"/>
      <c r="AP123" s="1355">
        <f t="shared" si="564"/>
        <v>66</v>
      </c>
      <c r="AQ123" s="319">
        <f>Divisional!AP203</f>
        <v>13</v>
      </c>
      <c r="AR123" s="319">
        <f>Divisional!AQ203</f>
        <v>18</v>
      </c>
      <c r="AS123" s="319">
        <f>Divisional!AR203</f>
        <v>14</v>
      </c>
      <c r="AT123" s="760">
        <f>Divisional!AS203</f>
        <v>22</v>
      </c>
      <c r="AU123" s="319">
        <f>Divisional!AT203</f>
        <v>31</v>
      </c>
      <c r="AV123" s="319">
        <f>Divisional!AU203</f>
        <v>36</v>
      </c>
      <c r="AW123" s="1355">
        <f t="shared" ref="AW123:CN123" si="565">AW122+AW121</f>
        <v>67</v>
      </c>
      <c r="AX123" s="319">
        <f>Divisional!AW203</f>
        <v>13</v>
      </c>
      <c r="AY123" s="319">
        <f>Divisional!AX203</f>
        <v>18</v>
      </c>
      <c r="AZ123" s="319">
        <f>Divisional!AY203</f>
        <v>14</v>
      </c>
      <c r="BA123" s="760">
        <f>Divisional!AZ203</f>
        <v>22</v>
      </c>
      <c r="BB123" s="319">
        <f>Divisional!BA203</f>
        <v>31</v>
      </c>
      <c r="BC123" s="319">
        <f>Divisional!BB203</f>
        <v>36</v>
      </c>
      <c r="BD123" s="1355">
        <f>+AW123</f>
        <v>67</v>
      </c>
      <c r="BE123" s="319">
        <f>Divisional!BD201</f>
        <v>8</v>
      </c>
      <c r="BF123" s="319">
        <f>Divisional!BE201</f>
        <v>10</v>
      </c>
      <c r="BG123" s="319">
        <f>Divisional!BF201</f>
        <v>13</v>
      </c>
      <c r="BH123" s="760">
        <f>Divisional!BG201</f>
        <v>15</v>
      </c>
      <c r="BI123" s="319">
        <f>Divisional!BH201</f>
        <v>18</v>
      </c>
      <c r="BJ123" s="319">
        <f>Divisional!BI201</f>
        <v>28</v>
      </c>
      <c r="BK123" s="1355">
        <f t="shared" si="565"/>
        <v>46</v>
      </c>
      <c r="BL123" s="319">
        <f>Divisional!BK201</f>
        <v>2</v>
      </c>
      <c r="BM123" s="319">
        <f>Divisional!BL201</f>
        <v>2</v>
      </c>
      <c r="BN123" s="319">
        <f>Divisional!BM201</f>
        <v>4</v>
      </c>
      <c r="BO123" s="760">
        <f>Divisional!BN201</f>
        <v>4</v>
      </c>
      <c r="BP123" s="319">
        <f>Divisional!BO201</f>
        <v>4</v>
      </c>
      <c r="BQ123" s="319">
        <f>Divisional!BP201</f>
        <v>8</v>
      </c>
      <c r="BR123" s="1355">
        <f t="shared" si="565"/>
        <v>12</v>
      </c>
      <c r="BS123" s="319">
        <f>Divisional!BY201</f>
        <v>2</v>
      </c>
      <c r="BT123" s="319">
        <f>Divisional!BZ201</f>
        <v>1</v>
      </c>
      <c r="BU123" s="22">
        <f>Divisional!CA201</f>
        <v>1</v>
      </c>
      <c r="BV123" s="1372">
        <f>Divisional!CB201</f>
        <v>2</v>
      </c>
      <c r="BW123" s="22">
        <f>Divisional!CC201</f>
        <v>3</v>
      </c>
      <c r="BX123" s="24">
        <f>Divisional!CD201</f>
        <v>3</v>
      </c>
      <c r="BY123" s="1355">
        <f t="shared" si="565"/>
        <v>6</v>
      </c>
      <c r="BZ123" s="319">
        <f>Divisional!CF201</f>
        <v>0</v>
      </c>
      <c r="CA123" s="319">
        <f>Divisional!CG201</f>
        <v>1</v>
      </c>
      <c r="CB123" s="22">
        <f>Divisional!CH201</f>
        <v>1</v>
      </c>
      <c r="CC123" s="1372">
        <f>Divisional!CI201</f>
        <v>2</v>
      </c>
      <c r="CD123" s="22">
        <f>Divisional!CJ201</f>
        <v>1</v>
      </c>
      <c r="CE123" s="24">
        <f>Divisional!CK201</f>
        <v>3</v>
      </c>
      <c r="CF123" s="1355">
        <f t="shared" si="565"/>
        <v>4</v>
      </c>
      <c r="CG123" s="319">
        <f>Divisional!CM201</f>
        <v>2</v>
      </c>
      <c r="CH123" s="319">
        <f>Divisional!CN201</f>
        <v>3</v>
      </c>
      <c r="CI123" s="22">
        <f>Divisional!CO201</f>
        <v>0</v>
      </c>
      <c r="CJ123" s="1372">
        <f>Divisional!CP201</f>
        <v>4</v>
      </c>
      <c r="CK123" s="22">
        <f>Divisional!CQ201</f>
        <v>5</v>
      </c>
      <c r="CL123" s="24">
        <f>Divisional!CR201</f>
        <v>4</v>
      </c>
      <c r="CM123" s="1355">
        <f t="shared" si="565"/>
        <v>9</v>
      </c>
      <c r="CN123" s="2">
        <f t="shared" si="565"/>
        <v>1</v>
      </c>
      <c r="CO123" s="319">
        <f>CR123-CN123</f>
        <v>1</v>
      </c>
      <c r="CP123" s="22">
        <f>CP121+CP122</f>
        <v>0</v>
      </c>
      <c r="CQ123" s="1372">
        <f>CS123-CP123</f>
        <v>1</v>
      </c>
      <c r="CR123" s="22">
        <f>CR121+CR122</f>
        <v>2</v>
      </c>
      <c r="CS123" s="24">
        <f>CT123-CR123</f>
        <v>1</v>
      </c>
      <c r="CT123" s="1355">
        <v>3</v>
      </c>
      <c r="CU123" s="2">
        <f t="shared" ref="CU123" si="566">CU122+CU121</f>
        <v>0</v>
      </c>
      <c r="CV123" s="319">
        <f>CY123-CU123</f>
        <v>0</v>
      </c>
      <c r="CW123" s="22">
        <f>CW121+CW122</f>
        <v>0</v>
      </c>
      <c r="CX123" s="1372">
        <f>CZ123-CW123</f>
        <v>2</v>
      </c>
      <c r="CY123" s="22">
        <f>CY121+CY122</f>
        <v>0</v>
      </c>
      <c r="CZ123" s="24">
        <f>DA123-CY123</f>
        <v>2</v>
      </c>
      <c r="DA123" s="1355">
        <f>DA121+DA122</f>
        <v>2</v>
      </c>
      <c r="DB123" s="2">
        <f t="shared" ref="DB123" si="567">DB122+DB121</f>
        <v>0</v>
      </c>
      <c r="DC123" s="319">
        <f>DF123-DB123</f>
        <v>1</v>
      </c>
      <c r="DD123" s="122">
        <f>DD121+DD122</f>
        <v>0</v>
      </c>
      <c r="DE123" s="1372">
        <f>DG123-DD123</f>
        <v>1</v>
      </c>
      <c r="DF123" s="22">
        <f>DF121+DF122</f>
        <v>1</v>
      </c>
      <c r="DG123" s="24">
        <f>DH123-DF123</f>
        <v>1</v>
      </c>
      <c r="DH123" s="349">
        <f>DH121+DH122</f>
        <v>2</v>
      </c>
      <c r="DI123" s="2">
        <f t="shared" ref="DI123" si="568">DI122+DI121</f>
        <v>0</v>
      </c>
      <c r="DJ123" s="319">
        <f>DM123-DI123</f>
        <v>1</v>
      </c>
      <c r="DK123" s="1826">
        <v>1</v>
      </c>
      <c r="DL123" s="1929">
        <v>1</v>
      </c>
      <c r="DM123" s="22">
        <f>DM121+DM122</f>
        <v>1</v>
      </c>
      <c r="DN123" s="464">
        <f>DK123+DL123</f>
        <v>2</v>
      </c>
      <c r="DO123" s="580">
        <f>DM123+DN123</f>
        <v>3</v>
      </c>
      <c r="DP123" s="622">
        <f>DK95</f>
        <v>0.75</v>
      </c>
      <c r="DQ123" s="622">
        <f>DL95</f>
        <v>0.75</v>
      </c>
      <c r="DR123" s="655">
        <f>DP95</f>
        <v>0.75</v>
      </c>
      <c r="DS123" s="656">
        <f>DQ95</f>
        <v>0.75</v>
      </c>
      <c r="DT123" s="655">
        <f>DP123+DQ123</f>
        <v>1.5</v>
      </c>
      <c r="DU123" s="464">
        <f>DR123+DS123</f>
        <v>1.5</v>
      </c>
      <c r="DV123" s="580">
        <f>DT123+DU123</f>
        <v>3</v>
      </c>
      <c r="DW123" s="622">
        <f>DR95</f>
        <v>0.75</v>
      </c>
      <c r="DX123" s="622">
        <f>DS95</f>
        <v>0.75</v>
      </c>
      <c r="DY123" s="655">
        <f>DW95</f>
        <v>0.75</v>
      </c>
      <c r="DZ123" s="656">
        <f>DX95</f>
        <v>0.75</v>
      </c>
      <c r="EA123" s="655">
        <f>DW123+DX123</f>
        <v>1.5</v>
      </c>
      <c r="EB123" s="464">
        <f>DY123+DZ123</f>
        <v>1.5</v>
      </c>
      <c r="EC123" s="580">
        <f>EA123+EB123</f>
        <v>3</v>
      </c>
      <c r="ED123" s="622">
        <f>DY95</f>
        <v>0.75</v>
      </c>
      <c r="EE123" s="622">
        <f>DZ95</f>
        <v>0.75</v>
      </c>
      <c r="EF123" s="655">
        <f>ED95</f>
        <v>0.75</v>
      </c>
      <c r="EG123" s="656">
        <f>EE95</f>
        <v>0.75</v>
      </c>
      <c r="EH123" s="655">
        <f>ED123+EE123</f>
        <v>1.5</v>
      </c>
      <c r="EI123" s="464">
        <f>EF123+EG123</f>
        <v>1.5</v>
      </c>
      <c r="EJ123" s="580">
        <f>EH123+EI123</f>
        <v>3</v>
      </c>
      <c r="EK123" s="622">
        <f>EF95</f>
        <v>0.75</v>
      </c>
      <c r="EL123" s="622">
        <f>EG95</f>
        <v>0.75</v>
      </c>
      <c r="EM123" s="655">
        <f>EK95</f>
        <v>0.75</v>
      </c>
      <c r="EN123" s="656">
        <f>EL95</f>
        <v>0.75</v>
      </c>
      <c r="EO123" s="655">
        <f>EK123+EL123</f>
        <v>1.5</v>
      </c>
      <c r="EP123" s="464">
        <f>EM123+EN123</f>
        <v>1.5</v>
      </c>
      <c r="EQ123" s="580">
        <f>EO123+EP123</f>
        <v>3</v>
      </c>
    </row>
    <row r="124" spans="1:147" ht="10.199999999999999" customHeight="1">
      <c r="A124" s="48"/>
      <c r="B124" s="113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2"/>
      <c r="P124" s="474"/>
      <c r="Q124" s="2"/>
      <c r="R124" s="475"/>
      <c r="S124" s="474"/>
      <c r="T124" s="474"/>
      <c r="U124" s="1355"/>
      <c r="V124" s="2"/>
      <c r="W124" s="474"/>
      <c r="X124" s="2"/>
      <c r="Y124" s="475"/>
      <c r="Z124" s="474"/>
      <c r="AA124" s="474"/>
      <c r="AB124" s="1355"/>
      <c r="AC124" s="2"/>
      <c r="AD124" s="474"/>
      <c r="AE124" s="2"/>
      <c r="AF124" s="475"/>
      <c r="AG124" s="474"/>
      <c r="AH124" s="474"/>
      <c r="AI124" s="1355"/>
      <c r="AJ124" s="2"/>
      <c r="AK124" s="474"/>
      <c r="AL124" s="2"/>
      <c r="AM124" s="475"/>
      <c r="AN124" s="474"/>
      <c r="AO124" s="474"/>
      <c r="AP124" s="1355"/>
      <c r="AQ124" s="2"/>
      <c r="AR124" s="474"/>
      <c r="AS124" s="2"/>
      <c r="AT124" s="475"/>
      <c r="AU124" s="474"/>
      <c r="AV124" s="474"/>
      <c r="AW124" s="1355"/>
      <c r="AX124" s="2"/>
      <c r="AY124" s="474"/>
      <c r="AZ124" s="2"/>
      <c r="BA124" s="475"/>
      <c r="BB124" s="474"/>
      <c r="BC124" s="474"/>
      <c r="BD124" s="1355"/>
      <c r="BE124" s="2"/>
      <c r="BF124" s="474"/>
      <c r="BG124" s="2"/>
      <c r="BH124" s="475"/>
      <c r="BI124" s="474"/>
      <c r="BJ124" s="474"/>
      <c r="BK124" s="1355"/>
      <c r="BL124" s="2"/>
      <c r="BM124" s="474"/>
      <c r="BN124" s="2"/>
      <c r="BO124" s="475"/>
      <c r="BP124" s="474"/>
      <c r="BQ124" s="474"/>
      <c r="BR124" s="1355"/>
      <c r="BS124" s="2"/>
      <c r="BT124" s="474"/>
      <c r="BU124" s="2"/>
      <c r="BV124" s="475"/>
      <c r="BW124" s="474"/>
      <c r="BX124" s="474"/>
      <c r="BY124" s="1355"/>
      <c r="BZ124" s="2"/>
      <c r="CA124" s="474"/>
      <c r="CB124" s="2"/>
      <c r="CC124" s="475"/>
      <c r="CD124" s="474"/>
      <c r="CE124" s="474"/>
      <c r="CF124" s="1355"/>
      <c r="CG124" s="2"/>
      <c r="CH124" s="474"/>
      <c r="CI124" s="2"/>
      <c r="CJ124" s="475"/>
      <c r="CK124" s="474"/>
      <c r="CL124" s="474"/>
      <c r="CM124" s="1355"/>
      <c r="CN124" s="2"/>
      <c r="CO124" s="474"/>
      <c r="CP124" s="2"/>
      <c r="CQ124" s="475"/>
      <c r="CR124" s="474"/>
      <c r="CS124" s="474"/>
      <c r="CT124" s="1355"/>
      <c r="CU124" s="2"/>
      <c r="CV124" s="474"/>
      <c r="CW124" s="2"/>
      <c r="CX124" s="475"/>
      <c r="CY124" s="474"/>
      <c r="CZ124" s="474"/>
      <c r="DA124" s="1355"/>
      <c r="DB124" s="2"/>
      <c r="DC124" s="468"/>
      <c r="DD124" s="468"/>
      <c r="DE124" s="469"/>
      <c r="DF124" s="468"/>
      <c r="DG124" s="468"/>
      <c r="DH124" s="349"/>
      <c r="DI124" s="468"/>
      <c r="DJ124" s="468"/>
      <c r="DK124" s="468"/>
      <c r="DL124" s="469"/>
      <c r="DM124" s="468"/>
      <c r="DN124" s="468"/>
      <c r="DO124" s="349"/>
      <c r="DP124" s="468"/>
      <c r="DQ124" s="468"/>
      <c r="DR124" s="468"/>
      <c r="DS124" s="469"/>
      <c r="DT124" s="468"/>
      <c r="DU124" s="468"/>
      <c r="DV124" s="349"/>
      <c r="DW124" s="468"/>
      <c r="DX124" s="468"/>
      <c r="DY124" s="468"/>
      <c r="DZ124" s="469"/>
      <c r="EA124" s="468"/>
      <c r="EB124" s="468"/>
      <c r="EC124" s="349"/>
      <c r="ED124" s="468"/>
      <c r="EE124" s="468"/>
      <c r="EF124" s="468"/>
      <c r="EG124" s="469"/>
      <c r="EH124" s="468"/>
      <c r="EI124" s="468"/>
      <c r="EJ124" s="349"/>
      <c r="EK124" s="468"/>
      <c r="EL124" s="468"/>
      <c r="EM124" s="468"/>
      <c r="EN124" s="469"/>
      <c r="EO124" s="468"/>
      <c r="EP124" s="468"/>
      <c r="EQ124" s="349"/>
    </row>
    <row r="125" spans="1:147" ht="10.199999999999999" customHeight="1">
      <c r="A125" s="108" t="s">
        <v>523</v>
      </c>
      <c r="B125" s="108"/>
      <c r="C125" s="108"/>
      <c r="D125" s="108"/>
      <c r="E125" s="108"/>
      <c r="F125" s="108"/>
      <c r="G125" s="108"/>
      <c r="H125" s="217"/>
      <c r="I125" s="108"/>
      <c r="J125" s="108"/>
      <c r="K125" s="108"/>
      <c r="L125" s="108"/>
      <c r="M125" s="133"/>
      <c r="N125" s="197"/>
      <c r="O125" s="530"/>
      <c r="P125" s="530"/>
      <c r="Q125" s="530"/>
      <c r="R125" s="680"/>
      <c r="S125" s="530"/>
      <c r="T125" s="530"/>
      <c r="U125" s="1278"/>
      <c r="V125" s="530"/>
      <c r="W125" s="530"/>
      <c r="X125" s="530"/>
      <c r="Y125" s="680"/>
      <c r="Z125" s="530"/>
      <c r="AA125" s="530"/>
      <c r="AB125" s="1278"/>
      <c r="AC125" s="530"/>
      <c r="AD125" s="530"/>
      <c r="AE125" s="530"/>
      <c r="AF125" s="680"/>
      <c r="AG125" s="530"/>
      <c r="AH125" s="530"/>
      <c r="AI125" s="1278"/>
      <c r="AJ125" s="530"/>
      <c r="AK125" s="530"/>
      <c r="AL125" s="530"/>
      <c r="AM125" s="680"/>
      <c r="AN125" s="530"/>
      <c r="AO125" s="530"/>
      <c r="AP125" s="1278"/>
      <c r="AQ125" s="530"/>
      <c r="AR125" s="530"/>
      <c r="AS125" s="530"/>
      <c r="AT125" s="680"/>
      <c r="AU125" s="530"/>
      <c r="AV125" s="530"/>
      <c r="AW125" s="1278">
        <v>0</v>
      </c>
      <c r="AX125" s="530"/>
      <c r="AY125" s="530"/>
      <c r="AZ125" s="530"/>
      <c r="BA125" s="680"/>
      <c r="BB125" s="530"/>
      <c r="BC125" s="530"/>
      <c r="BD125" s="1278">
        <f>+AW125</f>
        <v>0</v>
      </c>
      <c r="BE125" s="530"/>
      <c r="BF125" s="530"/>
      <c r="BG125" s="530"/>
      <c r="BH125" s="680"/>
      <c r="BI125" s="530"/>
      <c r="BJ125" s="530"/>
      <c r="BK125" s="1278">
        <v>0</v>
      </c>
      <c r="BL125" s="530"/>
      <c r="BM125" s="530"/>
      <c r="BN125" s="530"/>
      <c r="BO125" s="680"/>
      <c r="BP125" s="530"/>
      <c r="BQ125" s="530"/>
      <c r="BR125" s="1278">
        <v>0</v>
      </c>
      <c r="BS125" s="530"/>
      <c r="BT125" s="530"/>
      <c r="BU125" s="530"/>
      <c r="BV125" s="680"/>
      <c r="BW125" s="530"/>
      <c r="BX125" s="530"/>
      <c r="BY125" s="1278">
        <v>3</v>
      </c>
      <c r="BZ125" s="530"/>
      <c r="CA125" s="530"/>
      <c r="CB125" s="530"/>
      <c r="CC125" s="680"/>
      <c r="CD125" s="530"/>
      <c r="CE125" s="530"/>
      <c r="CF125" s="1278">
        <v>1</v>
      </c>
      <c r="CG125" s="530"/>
      <c r="CH125" s="530"/>
      <c r="CI125" s="530"/>
      <c r="CJ125" s="680"/>
      <c r="CK125" s="530"/>
      <c r="CL125" s="530"/>
      <c r="CM125" s="1278">
        <v>3</v>
      </c>
      <c r="CN125" s="530">
        <v>0</v>
      </c>
      <c r="CO125" s="530">
        <f>CR125-CN125</f>
        <v>0</v>
      </c>
      <c r="CP125" s="530">
        <v>0</v>
      </c>
      <c r="CQ125" s="680">
        <f>CS125-CP125</f>
        <v>0</v>
      </c>
      <c r="CR125" s="530">
        <v>0</v>
      </c>
      <c r="CS125" s="530">
        <f>CT125-CR125</f>
        <v>0</v>
      </c>
      <c r="CT125" s="1278">
        <v>0</v>
      </c>
      <c r="CU125" s="530">
        <v>0</v>
      </c>
      <c r="CV125" s="530">
        <f>CY125-CU125</f>
        <v>0</v>
      </c>
      <c r="CW125" s="530">
        <v>0</v>
      </c>
      <c r="CX125" s="680">
        <f>CZ125-CW125</f>
        <v>0</v>
      </c>
      <c r="CY125" s="530">
        <v>0</v>
      </c>
      <c r="CZ125" s="530">
        <f>DA125-CY125</f>
        <v>0</v>
      </c>
      <c r="DA125" s="1278">
        <v>0</v>
      </c>
      <c r="DB125" s="530">
        <v>0</v>
      </c>
      <c r="DC125" s="530">
        <f>DF125-DB125</f>
        <v>0</v>
      </c>
      <c r="DD125" s="530">
        <v>0</v>
      </c>
      <c r="DE125" s="680">
        <f>DG125-DD125</f>
        <v>1</v>
      </c>
      <c r="DF125" s="530">
        <v>0</v>
      </c>
      <c r="DG125" s="530">
        <f>DH125-DF125</f>
        <v>1</v>
      </c>
      <c r="DH125" s="1278">
        <v>1</v>
      </c>
      <c r="DI125" s="530">
        <v>0</v>
      </c>
      <c r="DJ125" s="530">
        <f>DM125-DI125</f>
        <v>0</v>
      </c>
      <c r="DK125" s="460">
        <v>1</v>
      </c>
      <c r="DL125" s="461">
        <f>DN125-DK125</f>
        <v>3</v>
      </c>
      <c r="DM125" s="530">
        <v>0</v>
      </c>
      <c r="DN125" s="460">
        <f>DO125-DM125</f>
        <v>4</v>
      </c>
      <c r="DO125" s="386">
        <v>4</v>
      </c>
      <c r="DP125" s="460">
        <f>DT125/2</f>
        <v>1</v>
      </c>
      <c r="DQ125" s="460">
        <f>DT125-DP125</f>
        <v>1</v>
      </c>
      <c r="DR125" s="460">
        <f>DU125/2</f>
        <v>1</v>
      </c>
      <c r="DS125" s="461">
        <f>DU125-DR125</f>
        <v>1</v>
      </c>
      <c r="DT125" s="460">
        <f>DV125/2</f>
        <v>2</v>
      </c>
      <c r="DU125" s="460">
        <f>DV125-DT125</f>
        <v>2</v>
      </c>
      <c r="DV125" s="386">
        <v>4</v>
      </c>
      <c r="DW125" s="460">
        <f>EA125/2</f>
        <v>1</v>
      </c>
      <c r="DX125" s="460">
        <f>EA125-DW125</f>
        <v>1</v>
      </c>
      <c r="DY125" s="460">
        <f>EB125/2</f>
        <v>1</v>
      </c>
      <c r="DZ125" s="461">
        <f>EB125-DY125</f>
        <v>1</v>
      </c>
      <c r="EA125" s="460">
        <f>EC125/2</f>
        <v>2</v>
      </c>
      <c r="EB125" s="460">
        <f>EC125-EA125</f>
        <v>2</v>
      </c>
      <c r="EC125" s="386">
        <v>4</v>
      </c>
      <c r="ED125" s="460">
        <f>EH125/2</f>
        <v>1</v>
      </c>
      <c r="EE125" s="460">
        <f>EH125-ED125</f>
        <v>1</v>
      </c>
      <c r="EF125" s="460">
        <f>EI125/2</f>
        <v>1</v>
      </c>
      <c r="EG125" s="461">
        <f>EI125-EF125</f>
        <v>1</v>
      </c>
      <c r="EH125" s="460">
        <f>EJ125/2</f>
        <v>2</v>
      </c>
      <c r="EI125" s="460">
        <f>EJ125-EH125</f>
        <v>2</v>
      </c>
      <c r="EJ125" s="386">
        <v>4</v>
      </c>
      <c r="EK125" s="460">
        <f>EO125/2</f>
        <v>1</v>
      </c>
      <c r="EL125" s="460">
        <f>EO125-EK125</f>
        <v>1</v>
      </c>
      <c r="EM125" s="460">
        <f>EP125/2</f>
        <v>1</v>
      </c>
      <c r="EN125" s="461">
        <f>EP125-EM125</f>
        <v>1</v>
      </c>
      <c r="EO125" s="460">
        <f>EQ125/2</f>
        <v>2</v>
      </c>
      <c r="EP125" s="460">
        <f>EQ125-EO125</f>
        <v>2</v>
      </c>
      <c r="EQ125" s="386">
        <v>4</v>
      </c>
    </row>
    <row r="126" spans="1:147" ht="10.199999999999999" customHeight="1">
      <c r="A126" s="108" t="s">
        <v>524</v>
      </c>
      <c r="B126" s="108"/>
      <c r="C126" s="108"/>
      <c r="D126" s="108"/>
      <c r="E126" s="108"/>
      <c r="F126" s="108"/>
      <c r="G126" s="108"/>
      <c r="H126" s="217"/>
      <c r="I126" s="108"/>
      <c r="J126" s="108"/>
      <c r="K126" s="108"/>
      <c r="L126" s="108"/>
      <c r="M126" s="197"/>
      <c r="N126" s="197"/>
      <c r="O126" s="530"/>
      <c r="P126" s="530"/>
      <c r="Q126" s="530"/>
      <c r="R126" s="680"/>
      <c r="S126" s="530"/>
      <c r="T126" s="530"/>
      <c r="U126" s="1278"/>
      <c r="V126" s="530"/>
      <c r="W126" s="530"/>
      <c r="X126" s="530"/>
      <c r="Y126" s="680"/>
      <c r="Z126" s="530"/>
      <c r="AA126" s="530"/>
      <c r="AB126" s="1278"/>
      <c r="AC126" s="530"/>
      <c r="AD126" s="530"/>
      <c r="AE126" s="530"/>
      <c r="AF126" s="680"/>
      <c r="AG126" s="530"/>
      <c r="AH126" s="530"/>
      <c r="AI126" s="1278"/>
      <c r="AJ126" s="530"/>
      <c r="AK126" s="530"/>
      <c r="AL126" s="530"/>
      <c r="AM126" s="680"/>
      <c r="AN126" s="530"/>
      <c r="AO126" s="530"/>
      <c r="AP126" s="1278"/>
      <c r="AQ126" s="530"/>
      <c r="AR126" s="530"/>
      <c r="AS126" s="530"/>
      <c r="AT126" s="680"/>
      <c r="AU126" s="530"/>
      <c r="AV126" s="530"/>
      <c r="AW126" s="1278">
        <v>0</v>
      </c>
      <c r="AX126" s="530"/>
      <c r="AY126" s="530"/>
      <c r="AZ126" s="530"/>
      <c r="BA126" s="680"/>
      <c r="BB126" s="530"/>
      <c r="BC126" s="530"/>
      <c r="BD126" s="1278">
        <f>+AW126</f>
        <v>0</v>
      </c>
      <c r="BE126" s="530"/>
      <c r="BF126" s="530"/>
      <c r="BG126" s="530"/>
      <c r="BH126" s="680"/>
      <c r="BI126" s="530"/>
      <c r="BJ126" s="530"/>
      <c r="BK126" s="1278">
        <v>3</v>
      </c>
      <c r="BL126" s="530"/>
      <c r="BM126" s="530"/>
      <c r="BN126" s="530"/>
      <c r="BO126" s="680"/>
      <c r="BP126" s="530"/>
      <c r="BQ126" s="530"/>
      <c r="BR126" s="1278">
        <v>41</v>
      </c>
      <c r="BS126" s="530"/>
      <c r="BT126" s="530"/>
      <c r="BU126" s="530"/>
      <c r="BV126" s="680"/>
      <c r="BW126" s="530"/>
      <c r="BX126" s="530"/>
      <c r="BY126" s="1278">
        <v>10</v>
      </c>
      <c r="BZ126" s="530"/>
      <c r="CA126" s="530"/>
      <c r="CB126" s="530"/>
      <c r="CC126" s="680"/>
      <c r="CD126" s="530"/>
      <c r="CE126" s="530"/>
      <c r="CF126" s="1278">
        <v>13</v>
      </c>
      <c r="CG126" s="530"/>
      <c r="CH126" s="530"/>
      <c r="CI126" s="530"/>
      <c r="CJ126" s="680"/>
      <c r="CK126" s="530"/>
      <c r="CL126" s="530"/>
      <c r="CM126" s="1278">
        <v>20</v>
      </c>
      <c r="CN126" s="530">
        <v>5</v>
      </c>
      <c r="CO126" s="530">
        <f>CR126-CN126</f>
        <v>7</v>
      </c>
      <c r="CP126" s="530">
        <v>6</v>
      </c>
      <c r="CQ126" s="680">
        <f>CS126-CP126</f>
        <v>11</v>
      </c>
      <c r="CR126" s="530">
        <v>12</v>
      </c>
      <c r="CS126" s="530">
        <f>CT126-CR126</f>
        <v>17</v>
      </c>
      <c r="CT126" s="1278">
        <f>CT127-CT125</f>
        <v>29</v>
      </c>
      <c r="CU126" s="530">
        <v>7</v>
      </c>
      <c r="CV126" s="530">
        <f>CY126-CU126</f>
        <v>6</v>
      </c>
      <c r="CW126" s="530">
        <v>7</v>
      </c>
      <c r="CX126" s="680">
        <f>CZ126-CW126</f>
        <v>10</v>
      </c>
      <c r="CY126" s="550">
        <v>13</v>
      </c>
      <c r="CZ126" s="530">
        <f>DA126-CY126</f>
        <v>17</v>
      </c>
      <c r="DA126" s="1278">
        <v>30</v>
      </c>
      <c r="DB126" s="530">
        <v>4</v>
      </c>
      <c r="DC126" s="530">
        <f>DF126-DB126</f>
        <v>7</v>
      </c>
      <c r="DD126" s="530">
        <v>8</v>
      </c>
      <c r="DE126" s="680">
        <f>DG126-DD126</f>
        <v>14</v>
      </c>
      <c r="DF126" s="1802">
        <v>11</v>
      </c>
      <c r="DG126" s="530">
        <f>DH126-DF126</f>
        <v>22</v>
      </c>
      <c r="DH126" s="1278">
        <v>33</v>
      </c>
      <c r="DI126" s="530">
        <v>3</v>
      </c>
      <c r="DJ126" s="530">
        <f>DM126-DI126</f>
        <v>6</v>
      </c>
      <c r="DK126" s="460">
        <f>DK127-DK125</f>
        <v>7</v>
      </c>
      <c r="DL126" s="461">
        <f>DN126-DK126</f>
        <v>13</v>
      </c>
      <c r="DM126" s="530">
        <v>9</v>
      </c>
      <c r="DN126" s="460">
        <f>DO126-DM126</f>
        <v>20</v>
      </c>
      <c r="DO126" s="592">
        <f>DO127-DO125</f>
        <v>29</v>
      </c>
      <c r="DP126" s="460">
        <f>DT126/2</f>
        <v>7.25</v>
      </c>
      <c r="DQ126" s="460">
        <f>DT126-DP126</f>
        <v>7.25</v>
      </c>
      <c r="DR126" s="460">
        <f>DU126/2</f>
        <v>7.25</v>
      </c>
      <c r="DS126" s="461">
        <f>DU126-DR126</f>
        <v>7.25</v>
      </c>
      <c r="DT126" s="460">
        <f>DV126/2</f>
        <v>14.5</v>
      </c>
      <c r="DU126" s="460">
        <f>DV126-DT126</f>
        <v>14.5</v>
      </c>
      <c r="DV126" s="592">
        <f>DV127-DV125</f>
        <v>29</v>
      </c>
      <c r="DW126" s="460">
        <f>EA126/2</f>
        <v>7.25</v>
      </c>
      <c r="DX126" s="460">
        <f>EA126-DW126</f>
        <v>7.25</v>
      </c>
      <c r="DY126" s="460">
        <f>EB126/2</f>
        <v>7.25</v>
      </c>
      <c r="DZ126" s="461">
        <f>EB126-DY126</f>
        <v>7.25</v>
      </c>
      <c r="EA126" s="460">
        <f>EC126/2</f>
        <v>14.5</v>
      </c>
      <c r="EB126" s="460">
        <f>EC126-EA126</f>
        <v>14.5</v>
      </c>
      <c r="EC126" s="592">
        <f>EC127-EC125</f>
        <v>29</v>
      </c>
      <c r="ED126" s="460">
        <f>EH126/2</f>
        <v>7.25</v>
      </c>
      <c r="EE126" s="460">
        <f>EH126-ED126</f>
        <v>7.25</v>
      </c>
      <c r="EF126" s="460">
        <f>EI126/2</f>
        <v>7.25</v>
      </c>
      <c r="EG126" s="461">
        <f>EI126-EF126</f>
        <v>7.25</v>
      </c>
      <c r="EH126" s="460">
        <f>EJ126/2</f>
        <v>14.5</v>
      </c>
      <c r="EI126" s="460">
        <f>EJ126-EH126</f>
        <v>14.5</v>
      </c>
      <c r="EJ126" s="592">
        <f>EJ127-EJ125</f>
        <v>29</v>
      </c>
      <c r="EK126" s="460">
        <f>EO126/2</f>
        <v>8.625</v>
      </c>
      <c r="EL126" s="460">
        <f>EO126-EK126</f>
        <v>8.625</v>
      </c>
      <c r="EM126" s="460">
        <f>EP126/2</f>
        <v>8.625</v>
      </c>
      <c r="EN126" s="461">
        <f>EP126-EM126</f>
        <v>8.625</v>
      </c>
      <c r="EO126" s="460">
        <f>EQ126/2</f>
        <v>17.25</v>
      </c>
      <c r="EP126" s="460">
        <f>EQ126-EO126</f>
        <v>17.25</v>
      </c>
      <c r="EQ126" s="592">
        <f>EQ127-EQ125</f>
        <v>34.5</v>
      </c>
    </row>
    <row r="127" spans="1:147" ht="10.199999999999999" customHeight="1">
      <c r="A127" s="48" t="s">
        <v>381</v>
      </c>
      <c r="B127" s="48"/>
      <c r="C127" s="48"/>
      <c r="D127" s="48"/>
      <c r="E127" s="48"/>
      <c r="F127" s="48"/>
      <c r="G127" s="48"/>
      <c r="H127" s="122"/>
      <c r="I127" s="48"/>
      <c r="J127" s="48"/>
      <c r="K127" s="48"/>
      <c r="L127" s="48"/>
      <c r="M127" s="113"/>
      <c r="N127" s="111"/>
      <c r="O127" s="549"/>
      <c r="P127" s="549"/>
      <c r="Q127" s="549"/>
      <c r="R127" s="1099"/>
      <c r="S127" s="22"/>
      <c r="T127" s="24"/>
      <c r="U127" s="1355"/>
      <c r="V127" s="549"/>
      <c r="W127" s="549"/>
      <c r="X127" s="549"/>
      <c r="Y127" s="1099"/>
      <c r="Z127" s="22"/>
      <c r="AA127" s="24"/>
      <c r="AB127" s="1355"/>
      <c r="AC127" s="549"/>
      <c r="AD127" s="549"/>
      <c r="AE127" s="549"/>
      <c r="AF127" s="1099"/>
      <c r="AG127" s="22"/>
      <c r="AH127" s="24"/>
      <c r="AI127" s="1355"/>
      <c r="AJ127" s="549"/>
      <c r="AK127" s="549"/>
      <c r="AL127" s="549"/>
      <c r="AM127" s="1099"/>
      <c r="AN127" s="22"/>
      <c r="AO127" s="24"/>
      <c r="AP127" s="1355"/>
      <c r="AQ127" s="549">
        <f>Divisional!AP202</f>
        <v>0</v>
      </c>
      <c r="AR127" s="549">
        <f>Divisional!AQ202</f>
        <v>0</v>
      </c>
      <c r="AS127" s="549">
        <f>Divisional!AR202</f>
        <v>0</v>
      </c>
      <c r="AT127" s="1099">
        <f>Divisional!AS202</f>
        <v>0</v>
      </c>
      <c r="AU127" s="549">
        <f>Divisional!AT202</f>
        <v>0</v>
      </c>
      <c r="AV127" s="549">
        <f>Divisional!AU202</f>
        <v>0</v>
      </c>
      <c r="AW127" s="1355">
        <f t="shared" ref="AW127:CN127" si="569">AW126+AW125</f>
        <v>0</v>
      </c>
      <c r="AX127" s="549">
        <f>Divisional!AW202</f>
        <v>0</v>
      </c>
      <c r="AY127" s="549">
        <f>Divisional!AX202</f>
        <v>0</v>
      </c>
      <c r="AZ127" s="549">
        <f>Divisional!AY202</f>
        <v>0</v>
      </c>
      <c r="BA127" s="1099">
        <f>Divisional!AZ202</f>
        <v>0</v>
      </c>
      <c r="BB127" s="549">
        <f>Divisional!BA202</f>
        <v>0</v>
      </c>
      <c r="BC127" s="549">
        <f>Divisional!BB202</f>
        <v>0</v>
      </c>
      <c r="BD127" s="1355">
        <f>+AW127</f>
        <v>0</v>
      </c>
      <c r="BE127" s="549">
        <f>Divisional!BD202</f>
        <v>0</v>
      </c>
      <c r="BF127" s="549">
        <f>Divisional!BE202</f>
        <v>0</v>
      </c>
      <c r="BG127" s="549">
        <f>Divisional!BF202</f>
        <v>0</v>
      </c>
      <c r="BH127" s="1099">
        <f>Divisional!BG202</f>
        <v>3</v>
      </c>
      <c r="BI127" s="549">
        <f>Divisional!BH202</f>
        <v>0</v>
      </c>
      <c r="BJ127" s="549">
        <f>Divisional!BI202</f>
        <v>3</v>
      </c>
      <c r="BK127" s="1355">
        <f t="shared" si="569"/>
        <v>3</v>
      </c>
      <c r="BL127" s="549">
        <f>Divisional!BK202</f>
        <v>3</v>
      </c>
      <c r="BM127" s="549">
        <f>Divisional!BL202</f>
        <v>10</v>
      </c>
      <c r="BN127" s="549">
        <f>Divisional!BM202</f>
        <v>13</v>
      </c>
      <c r="BO127" s="1099">
        <f>Divisional!BN202</f>
        <v>15</v>
      </c>
      <c r="BP127" s="549">
        <f>Divisional!BO202</f>
        <v>13</v>
      </c>
      <c r="BQ127" s="549">
        <f>Divisional!BP202</f>
        <v>28</v>
      </c>
      <c r="BR127" s="1355">
        <f t="shared" si="569"/>
        <v>41</v>
      </c>
      <c r="BS127" s="549">
        <f>Divisional!BY202</f>
        <v>2</v>
      </c>
      <c r="BT127" s="549">
        <f>Divisional!BZ202</f>
        <v>0</v>
      </c>
      <c r="BU127" s="549">
        <f>Divisional!CA202</f>
        <v>3</v>
      </c>
      <c r="BV127" s="1099">
        <f>Divisional!CB202</f>
        <v>8</v>
      </c>
      <c r="BW127" s="22">
        <f>Divisional!CC202</f>
        <v>2</v>
      </c>
      <c r="BX127" s="24">
        <f>Divisional!CD202</f>
        <v>11</v>
      </c>
      <c r="BY127" s="1355">
        <f t="shared" si="569"/>
        <v>13</v>
      </c>
      <c r="BZ127" s="549">
        <f>Divisional!CF202</f>
        <v>1</v>
      </c>
      <c r="CA127" s="549">
        <f>Divisional!CG202</f>
        <v>5</v>
      </c>
      <c r="CB127" s="549">
        <f>Divisional!CH202</f>
        <v>3</v>
      </c>
      <c r="CC127" s="1099">
        <f>Divisional!CI202</f>
        <v>5</v>
      </c>
      <c r="CD127" s="22">
        <f>Divisional!CJ202</f>
        <v>6</v>
      </c>
      <c r="CE127" s="24">
        <f>Divisional!CK202</f>
        <v>8</v>
      </c>
      <c r="CF127" s="1355">
        <f t="shared" si="569"/>
        <v>14</v>
      </c>
      <c r="CG127" s="549">
        <f>Divisional!CM202</f>
        <v>4</v>
      </c>
      <c r="CH127" s="549">
        <f>Divisional!CN202</f>
        <v>4</v>
      </c>
      <c r="CI127" s="549">
        <f>Divisional!CO202</f>
        <v>3</v>
      </c>
      <c r="CJ127" s="1099">
        <f>Divisional!CP202</f>
        <v>12</v>
      </c>
      <c r="CK127" s="22">
        <f>Divisional!CQ202</f>
        <v>8</v>
      </c>
      <c r="CL127" s="24">
        <f>Divisional!CR202</f>
        <v>15</v>
      </c>
      <c r="CM127" s="1355">
        <f t="shared" si="569"/>
        <v>23</v>
      </c>
      <c r="CN127" s="549">
        <f t="shared" si="569"/>
        <v>5</v>
      </c>
      <c r="CO127" s="549">
        <f>CR127-CN127</f>
        <v>7</v>
      </c>
      <c r="CP127" s="549">
        <f>CP125+CP126</f>
        <v>6</v>
      </c>
      <c r="CQ127" s="1099">
        <f>CS127-CP127</f>
        <v>11</v>
      </c>
      <c r="CR127" s="22">
        <f>CR125+CR126</f>
        <v>12</v>
      </c>
      <c r="CS127" s="24">
        <f>CT127-CR127</f>
        <v>17</v>
      </c>
      <c r="CT127" s="1355">
        <v>29</v>
      </c>
      <c r="CU127" s="549">
        <f t="shared" ref="CU127" si="570">CU126+CU125</f>
        <v>7</v>
      </c>
      <c r="CV127" s="549">
        <f>CY127-CU127</f>
        <v>6</v>
      </c>
      <c r="CW127" s="549">
        <f>CW125+CW126</f>
        <v>7</v>
      </c>
      <c r="CX127" s="1099">
        <f>CZ127-CW127</f>
        <v>10</v>
      </c>
      <c r="CY127" s="22">
        <f>CY125+CY126</f>
        <v>13</v>
      </c>
      <c r="CZ127" s="24">
        <f>DA127-CY127</f>
        <v>17</v>
      </c>
      <c r="DA127" s="1355">
        <f>DA125+DA126</f>
        <v>30</v>
      </c>
      <c r="DB127" s="549">
        <f t="shared" ref="DB127" si="571">DB126+DB125</f>
        <v>4</v>
      </c>
      <c r="DC127" s="549">
        <f>DF127-DB127</f>
        <v>7</v>
      </c>
      <c r="DD127" s="549">
        <f>DD125+DD126</f>
        <v>8</v>
      </c>
      <c r="DE127" s="1099">
        <f>DG127-DD127</f>
        <v>15</v>
      </c>
      <c r="DF127" s="22">
        <f>DF125+DF126</f>
        <v>11</v>
      </c>
      <c r="DG127" s="24">
        <f>DH127-DF127</f>
        <v>23</v>
      </c>
      <c r="DH127" s="1355">
        <f>DH125+DH126</f>
        <v>34</v>
      </c>
      <c r="DI127" s="549">
        <f t="shared" ref="DI127" si="572">DI126+DI125</f>
        <v>3</v>
      </c>
      <c r="DJ127" s="549">
        <f>DM127-DI127</f>
        <v>6</v>
      </c>
      <c r="DK127" s="1840">
        <v>8</v>
      </c>
      <c r="DL127" s="1927">
        <v>16</v>
      </c>
      <c r="DM127" s="22">
        <f>DM125+DM126</f>
        <v>9</v>
      </c>
      <c r="DN127" s="464">
        <f>DK127+DL127</f>
        <v>24</v>
      </c>
      <c r="DO127" s="580">
        <f>DM127+DN127</f>
        <v>33</v>
      </c>
      <c r="DP127" s="551">
        <f>DK96</f>
        <v>8.25</v>
      </c>
      <c r="DQ127" s="551">
        <f>DL96</f>
        <v>8.25</v>
      </c>
      <c r="DR127" s="551">
        <f>DP96</f>
        <v>8.25</v>
      </c>
      <c r="DS127" s="552">
        <f>DQ96</f>
        <v>8.25</v>
      </c>
      <c r="DT127" s="655">
        <f>DP127+DQ127</f>
        <v>16.5</v>
      </c>
      <c r="DU127" s="464">
        <f>DR127+DS127</f>
        <v>16.5</v>
      </c>
      <c r="DV127" s="580">
        <f>DT127+DU127</f>
        <v>33</v>
      </c>
      <c r="DW127" s="551">
        <f>DR96</f>
        <v>8.25</v>
      </c>
      <c r="DX127" s="551">
        <f>DS96</f>
        <v>8.25</v>
      </c>
      <c r="DY127" s="551">
        <f>DW96</f>
        <v>8.25</v>
      </c>
      <c r="DZ127" s="552">
        <f>DX96</f>
        <v>8.25</v>
      </c>
      <c r="EA127" s="655">
        <f>DW127+DX127</f>
        <v>16.5</v>
      </c>
      <c r="EB127" s="464">
        <f>DY127+DZ127</f>
        <v>16.5</v>
      </c>
      <c r="EC127" s="580">
        <f>EA127+EB127</f>
        <v>33</v>
      </c>
      <c r="ED127" s="551">
        <f>DY96</f>
        <v>8.25</v>
      </c>
      <c r="EE127" s="551">
        <f>DZ96</f>
        <v>8.25</v>
      </c>
      <c r="EF127" s="551">
        <f>ED96</f>
        <v>8.25</v>
      </c>
      <c r="EG127" s="552">
        <f>EE96</f>
        <v>8.25</v>
      </c>
      <c r="EH127" s="655">
        <f>ED127+EE127</f>
        <v>16.5</v>
      </c>
      <c r="EI127" s="464">
        <f>EF127+EG127</f>
        <v>16.5</v>
      </c>
      <c r="EJ127" s="580">
        <f>EH127+EI127</f>
        <v>33</v>
      </c>
      <c r="EK127" s="551">
        <f>EF96</f>
        <v>8.25</v>
      </c>
      <c r="EL127" s="551">
        <f>EG96</f>
        <v>8.25</v>
      </c>
      <c r="EM127" s="551">
        <f>EK96</f>
        <v>11</v>
      </c>
      <c r="EN127" s="552">
        <f>EL96</f>
        <v>11</v>
      </c>
      <c r="EO127" s="655">
        <f>EK127+EL127</f>
        <v>16.5</v>
      </c>
      <c r="EP127" s="464">
        <f>EM127+EN127</f>
        <v>22</v>
      </c>
      <c r="EQ127" s="580">
        <f>EO127+EP127</f>
        <v>38.5</v>
      </c>
    </row>
    <row r="128" spans="1:147" ht="10.199999999999999" customHeight="1">
      <c r="A128" s="48"/>
      <c r="B128" s="108"/>
      <c r="C128" s="108"/>
      <c r="D128" s="108"/>
      <c r="E128" s="108"/>
      <c r="F128" s="108"/>
      <c r="G128" s="108"/>
      <c r="H128" s="217"/>
      <c r="I128" s="108"/>
      <c r="J128" s="108"/>
      <c r="K128" s="108"/>
      <c r="L128" s="108"/>
      <c r="M128" s="133"/>
      <c r="N128" s="197"/>
      <c r="O128" s="530"/>
      <c r="P128" s="460"/>
      <c r="Q128" s="460"/>
      <c r="R128" s="680"/>
      <c r="S128" s="530"/>
      <c r="T128" s="530"/>
      <c r="U128" s="1273"/>
      <c r="V128" s="530"/>
      <c r="W128" s="460"/>
      <c r="X128" s="460"/>
      <c r="Y128" s="680"/>
      <c r="Z128" s="530"/>
      <c r="AA128" s="530"/>
      <c r="AB128" s="1273"/>
      <c r="AC128" s="530"/>
      <c r="AD128" s="460"/>
      <c r="AE128" s="460"/>
      <c r="AF128" s="680"/>
      <c r="AG128" s="530"/>
      <c r="AH128" s="530"/>
      <c r="AI128" s="1273"/>
      <c r="AJ128" s="530"/>
      <c r="AK128" s="460"/>
      <c r="AL128" s="460"/>
      <c r="AM128" s="680"/>
      <c r="AN128" s="530"/>
      <c r="AO128" s="530"/>
      <c r="AP128" s="1273"/>
      <c r="AQ128" s="530"/>
      <c r="AR128" s="460"/>
      <c r="AS128" s="460"/>
      <c r="AT128" s="680"/>
      <c r="AU128" s="530"/>
      <c r="AV128" s="530"/>
      <c r="AW128" s="1273"/>
      <c r="AX128" s="530"/>
      <c r="AY128" s="460"/>
      <c r="AZ128" s="460"/>
      <c r="BA128" s="680"/>
      <c r="BB128" s="530"/>
      <c r="BC128" s="530"/>
      <c r="BD128" s="1273"/>
      <c r="BE128" s="530"/>
      <c r="BF128" s="460"/>
      <c r="BG128" s="460"/>
      <c r="BH128" s="680"/>
      <c r="BI128" s="530"/>
      <c r="BJ128" s="530"/>
      <c r="BK128" s="1273"/>
      <c r="BL128" s="530"/>
      <c r="BM128" s="460"/>
      <c r="BN128" s="460"/>
      <c r="BO128" s="680"/>
      <c r="BP128" s="530"/>
      <c r="BQ128" s="530"/>
      <c r="BR128" s="1273"/>
      <c r="BS128" s="530"/>
      <c r="BT128" s="460"/>
      <c r="BU128" s="460"/>
      <c r="BV128" s="680"/>
      <c r="BW128" s="530"/>
      <c r="BX128" s="530"/>
      <c r="BY128" s="1273"/>
      <c r="BZ128" s="530"/>
      <c r="CA128" s="460"/>
      <c r="CB128" s="460"/>
      <c r="CC128" s="680"/>
      <c r="CD128" s="530"/>
      <c r="CE128" s="530"/>
      <c r="CF128" s="1273"/>
      <c r="CG128" s="530"/>
      <c r="CH128" s="460"/>
      <c r="CI128" s="460"/>
      <c r="CJ128" s="680"/>
      <c r="CK128" s="530"/>
      <c r="CL128" s="530"/>
      <c r="CM128" s="1273"/>
      <c r="CN128" s="530"/>
      <c r="CO128" s="460"/>
      <c r="CP128" s="460"/>
      <c r="CQ128" s="680"/>
      <c r="CR128" s="530"/>
      <c r="CS128" s="530"/>
      <c r="CT128" s="1273"/>
      <c r="CU128" s="530"/>
      <c r="CV128" s="460"/>
      <c r="CW128" s="460"/>
      <c r="CX128" s="461"/>
      <c r="CY128" s="530"/>
      <c r="CZ128" s="460"/>
      <c r="DA128" s="664"/>
      <c r="DB128" s="530"/>
      <c r="DC128" s="460"/>
      <c r="DD128" s="460"/>
      <c r="DE128" s="461"/>
      <c r="DF128" s="460"/>
      <c r="DG128" s="460"/>
      <c r="DH128" s="400"/>
      <c r="DI128" s="530"/>
      <c r="DJ128" s="460"/>
      <c r="DK128" s="460"/>
      <c r="DL128" s="461"/>
      <c r="DM128" s="460"/>
      <c r="DN128" s="460"/>
      <c r="DO128" s="400"/>
      <c r="DP128" s="460"/>
      <c r="DQ128" s="460"/>
      <c r="DR128" s="460"/>
      <c r="DS128" s="461"/>
      <c r="DT128" s="460"/>
      <c r="DU128" s="460"/>
      <c r="DV128" s="400"/>
      <c r="DW128" s="460"/>
      <c r="DX128" s="460"/>
      <c r="DY128" s="460"/>
      <c r="DZ128" s="461"/>
      <c r="EA128" s="460"/>
      <c r="EB128" s="460"/>
      <c r="EC128" s="400"/>
      <c r="ED128" s="460"/>
      <c r="EE128" s="460"/>
      <c r="EF128" s="460"/>
      <c r="EG128" s="461"/>
      <c r="EH128" s="460"/>
      <c r="EI128" s="460"/>
      <c r="EJ128" s="400"/>
      <c r="EK128" s="460"/>
      <c r="EL128" s="460"/>
      <c r="EM128" s="460"/>
      <c r="EN128" s="461"/>
      <c r="EO128" s="460"/>
      <c r="EP128" s="460"/>
      <c r="EQ128" s="400"/>
    </row>
    <row r="129" spans="1:147" ht="10.199999999999999" customHeight="1">
      <c r="A129" s="566" t="s">
        <v>450</v>
      </c>
      <c r="B129" s="572">
        <f t="shared" ref="B129:BD129" si="573">B123+B127</f>
        <v>43</v>
      </c>
      <c r="C129" s="572">
        <f t="shared" si="573"/>
        <v>35</v>
      </c>
      <c r="D129" s="572">
        <f t="shared" si="573"/>
        <v>42</v>
      </c>
      <c r="E129" s="572">
        <f t="shared" si="573"/>
        <v>31</v>
      </c>
      <c r="F129" s="572">
        <f t="shared" si="573"/>
        <v>47</v>
      </c>
      <c r="G129" s="572">
        <f t="shared" si="573"/>
        <v>56</v>
      </c>
      <c r="H129" s="572">
        <f t="shared" si="573"/>
        <v>62</v>
      </c>
      <c r="I129" s="572">
        <f t="shared" si="573"/>
        <v>68</v>
      </c>
      <c r="J129" s="572">
        <f t="shared" si="573"/>
        <v>72</v>
      </c>
      <c r="K129" s="572">
        <f t="shared" si="573"/>
        <v>76</v>
      </c>
      <c r="L129" s="572">
        <f t="shared" si="573"/>
        <v>87</v>
      </c>
      <c r="M129" s="572">
        <f t="shared" si="573"/>
        <v>87</v>
      </c>
      <c r="N129" s="572">
        <f t="shared" si="573"/>
        <v>101</v>
      </c>
      <c r="O129" s="578"/>
      <c r="P129" s="578"/>
      <c r="Q129" s="578"/>
      <c r="R129" s="1369"/>
      <c r="S129" s="578"/>
      <c r="T129" s="578"/>
      <c r="U129" s="1370">
        <f t="shared" si="573"/>
        <v>108</v>
      </c>
      <c r="V129" s="578"/>
      <c r="W129" s="578"/>
      <c r="X129" s="578"/>
      <c r="Y129" s="1369"/>
      <c r="Z129" s="578"/>
      <c r="AA129" s="578"/>
      <c r="AB129" s="1370">
        <f t="shared" si="573"/>
        <v>108</v>
      </c>
      <c r="AC129" s="578"/>
      <c r="AD129" s="578"/>
      <c r="AE129" s="578"/>
      <c r="AF129" s="1369"/>
      <c r="AG129" s="578"/>
      <c r="AH129" s="578"/>
      <c r="AI129" s="1370">
        <f t="shared" si="573"/>
        <v>103</v>
      </c>
      <c r="AJ129" s="578"/>
      <c r="AK129" s="578"/>
      <c r="AL129" s="578"/>
      <c r="AM129" s="1369"/>
      <c r="AN129" s="578"/>
      <c r="AO129" s="578"/>
      <c r="AP129" s="1370">
        <f t="shared" si="573"/>
        <v>66</v>
      </c>
      <c r="AQ129" s="578">
        <f t="shared" ref="AQ129:AV129" si="574">+AQ123+AQ127</f>
        <v>13</v>
      </c>
      <c r="AR129" s="578">
        <f t="shared" si="574"/>
        <v>18</v>
      </c>
      <c r="AS129" s="578">
        <f t="shared" si="574"/>
        <v>14</v>
      </c>
      <c r="AT129" s="1369">
        <f t="shared" si="574"/>
        <v>22</v>
      </c>
      <c r="AU129" s="578">
        <f t="shared" si="574"/>
        <v>31</v>
      </c>
      <c r="AV129" s="578">
        <f t="shared" si="574"/>
        <v>36</v>
      </c>
      <c r="AW129" s="1370">
        <f t="shared" si="573"/>
        <v>67</v>
      </c>
      <c r="AX129" s="578">
        <f t="shared" ref="AX129:BC129" si="575">+AX123+AX127</f>
        <v>13</v>
      </c>
      <c r="AY129" s="578">
        <f t="shared" si="575"/>
        <v>18</v>
      </c>
      <c r="AZ129" s="578">
        <f t="shared" si="575"/>
        <v>14</v>
      </c>
      <c r="BA129" s="1369">
        <f t="shared" si="575"/>
        <v>22</v>
      </c>
      <c r="BB129" s="578">
        <f t="shared" si="575"/>
        <v>31</v>
      </c>
      <c r="BC129" s="578">
        <f t="shared" si="575"/>
        <v>36</v>
      </c>
      <c r="BD129" s="1370">
        <f t="shared" si="573"/>
        <v>67</v>
      </c>
      <c r="BE129" s="578">
        <f t="shared" ref="BE129:BJ129" si="576">+BE123+BE127</f>
        <v>8</v>
      </c>
      <c r="BF129" s="578">
        <f t="shared" si="576"/>
        <v>10</v>
      </c>
      <c r="BG129" s="578">
        <f t="shared" si="576"/>
        <v>13</v>
      </c>
      <c r="BH129" s="1369">
        <f t="shared" si="576"/>
        <v>18</v>
      </c>
      <c r="BI129" s="578">
        <f t="shared" si="576"/>
        <v>18</v>
      </c>
      <c r="BJ129" s="578">
        <f t="shared" si="576"/>
        <v>31</v>
      </c>
      <c r="BK129" s="1370">
        <f t="shared" ref="BK129:CN129" si="577">+BK123+BK127</f>
        <v>49</v>
      </c>
      <c r="BL129" s="578">
        <f t="shared" ref="BL129:BQ129" si="578">+BL123+BL127</f>
        <v>5</v>
      </c>
      <c r="BM129" s="578">
        <f t="shared" si="578"/>
        <v>12</v>
      </c>
      <c r="BN129" s="578">
        <f t="shared" si="578"/>
        <v>17</v>
      </c>
      <c r="BO129" s="1369">
        <f t="shared" si="578"/>
        <v>19</v>
      </c>
      <c r="BP129" s="578">
        <f t="shared" si="578"/>
        <v>17</v>
      </c>
      <c r="BQ129" s="578">
        <f t="shared" si="578"/>
        <v>36</v>
      </c>
      <c r="BR129" s="1370">
        <f t="shared" si="577"/>
        <v>53</v>
      </c>
      <c r="BS129" s="578">
        <f t="shared" si="577"/>
        <v>4</v>
      </c>
      <c r="BT129" s="578">
        <f t="shared" si="577"/>
        <v>1</v>
      </c>
      <c r="BU129" s="578">
        <f t="shared" si="577"/>
        <v>4</v>
      </c>
      <c r="BV129" s="1369">
        <f t="shared" si="577"/>
        <v>10</v>
      </c>
      <c r="BW129" s="578">
        <f t="shared" si="577"/>
        <v>5</v>
      </c>
      <c r="BX129" s="578">
        <f t="shared" si="577"/>
        <v>14</v>
      </c>
      <c r="BY129" s="1370">
        <f t="shared" si="577"/>
        <v>19</v>
      </c>
      <c r="BZ129" s="578">
        <f t="shared" ref="BZ129:CE129" si="579">+BZ123+BZ127</f>
        <v>1</v>
      </c>
      <c r="CA129" s="578">
        <f t="shared" si="579"/>
        <v>6</v>
      </c>
      <c r="CB129" s="578">
        <f t="shared" si="579"/>
        <v>4</v>
      </c>
      <c r="CC129" s="1369">
        <f t="shared" si="579"/>
        <v>7</v>
      </c>
      <c r="CD129" s="578">
        <f t="shared" si="579"/>
        <v>7</v>
      </c>
      <c r="CE129" s="578">
        <f t="shared" si="579"/>
        <v>11</v>
      </c>
      <c r="CF129" s="1370">
        <f t="shared" si="577"/>
        <v>18</v>
      </c>
      <c r="CG129" s="578">
        <f t="shared" si="577"/>
        <v>6</v>
      </c>
      <c r="CH129" s="578">
        <f t="shared" si="577"/>
        <v>7</v>
      </c>
      <c r="CI129" s="578">
        <f t="shared" si="577"/>
        <v>3</v>
      </c>
      <c r="CJ129" s="1369">
        <f t="shared" si="577"/>
        <v>16</v>
      </c>
      <c r="CK129" s="578">
        <f t="shared" si="577"/>
        <v>13</v>
      </c>
      <c r="CL129" s="578">
        <f t="shared" si="577"/>
        <v>19</v>
      </c>
      <c r="CM129" s="1370">
        <f t="shared" si="577"/>
        <v>32</v>
      </c>
      <c r="CN129" s="578">
        <f t="shared" si="577"/>
        <v>6</v>
      </c>
      <c r="CO129" s="578">
        <f t="shared" ref="CO129:EQ129" si="580">+CO123+CO127</f>
        <v>8</v>
      </c>
      <c r="CP129" s="578">
        <f t="shared" si="580"/>
        <v>6</v>
      </c>
      <c r="CQ129" s="1369">
        <f t="shared" si="580"/>
        <v>12</v>
      </c>
      <c r="CR129" s="578">
        <f t="shared" si="580"/>
        <v>14</v>
      </c>
      <c r="CS129" s="578">
        <f t="shared" si="580"/>
        <v>18</v>
      </c>
      <c r="CT129" s="1370">
        <f>+CT123+CT127</f>
        <v>32</v>
      </c>
      <c r="CU129" s="578">
        <f t="shared" ref="CU129:CW129" si="581">+CU123+CU127</f>
        <v>7</v>
      </c>
      <c r="CV129" s="578">
        <f t="shared" si="581"/>
        <v>6</v>
      </c>
      <c r="CW129" s="578">
        <f t="shared" si="581"/>
        <v>7</v>
      </c>
      <c r="CX129" s="1369">
        <f t="shared" si="580"/>
        <v>12</v>
      </c>
      <c r="CY129" s="578">
        <f t="shared" ref="CY129" si="582">+CY123+CY127</f>
        <v>13</v>
      </c>
      <c r="CZ129" s="578">
        <f t="shared" si="580"/>
        <v>19</v>
      </c>
      <c r="DA129" s="1370">
        <f t="shared" si="580"/>
        <v>32</v>
      </c>
      <c r="DB129" s="578">
        <f t="shared" si="580"/>
        <v>4</v>
      </c>
      <c r="DC129" s="578">
        <f t="shared" si="580"/>
        <v>8</v>
      </c>
      <c r="DD129" s="572">
        <f t="shared" si="580"/>
        <v>8</v>
      </c>
      <c r="DE129" s="1369">
        <f t="shared" ref="DE129" si="583">+DE123+DE127</f>
        <v>16</v>
      </c>
      <c r="DF129" s="572">
        <f t="shared" si="580"/>
        <v>12</v>
      </c>
      <c r="DG129" s="578">
        <f t="shared" ref="DG129" si="584">+DG123+DG127</f>
        <v>24</v>
      </c>
      <c r="DH129" s="1370">
        <f t="shared" si="580"/>
        <v>36</v>
      </c>
      <c r="DI129" s="578">
        <f t="shared" ref="DI129:DJ129" si="585">+DI123+DI127</f>
        <v>3</v>
      </c>
      <c r="DJ129" s="578">
        <f t="shared" si="585"/>
        <v>7</v>
      </c>
      <c r="DK129" s="573">
        <f t="shared" si="580"/>
        <v>9</v>
      </c>
      <c r="DL129" s="574">
        <f t="shared" si="580"/>
        <v>17</v>
      </c>
      <c r="DM129" s="572">
        <f t="shared" si="580"/>
        <v>10</v>
      </c>
      <c r="DN129" s="573">
        <f t="shared" si="580"/>
        <v>26</v>
      </c>
      <c r="DO129" s="587">
        <f>+DO123+DO127</f>
        <v>36</v>
      </c>
      <c r="DP129" s="573">
        <f t="shared" si="580"/>
        <v>9</v>
      </c>
      <c r="DQ129" s="573">
        <f t="shared" si="580"/>
        <v>9</v>
      </c>
      <c r="DR129" s="573">
        <f t="shared" si="580"/>
        <v>9</v>
      </c>
      <c r="DS129" s="574">
        <f t="shared" si="580"/>
        <v>9</v>
      </c>
      <c r="DT129" s="573">
        <f t="shared" si="580"/>
        <v>18</v>
      </c>
      <c r="DU129" s="573">
        <f t="shared" si="580"/>
        <v>18</v>
      </c>
      <c r="DV129" s="587">
        <f t="shared" si="580"/>
        <v>36</v>
      </c>
      <c r="DW129" s="573">
        <f t="shared" si="580"/>
        <v>9</v>
      </c>
      <c r="DX129" s="573">
        <f t="shared" si="580"/>
        <v>9</v>
      </c>
      <c r="DY129" s="573">
        <f t="shared" si="580"/>
        <v>9</v>
      </c>
      <c r="DZ129" s="574">
        <f t="shared" si="580"/>
        <v>9</v>
      </c>
      <c r="EA129" s="573">
        <f t="shared" si="580"/>
        <v>18</v>
      </c>
      <c r="EB129" s="573">
        <f t="shared" si="580"/>
        <v>18</v>
      </c>
      <c r="EC129" s="587">
        <f t="shared" si="580"/>
        <v>36</v>
      </c>
      <c r="ED129" s="573">
        <f t="shared" si="580"/>
        <v>9</v>
      </c>
      <c r="EE129" s="573">
        <f t="shared" si="580"/>
        <v>9</v>
      </c>
      <c r="EF129" s="573">
        <f t="shared" si="580"/>
        <v>9</v>
      </c>
      <c r="EG129" s="574">
        <f t="shared" si="580"/>
        <v>9</v>
      </c>
      <c r="EH129" s="573">
        <f t="shared" si="580"/>
        <v>18</v>
      </c>
      <c r="EI129" s="573">
        <f t="shared" si="580"/>
        <v>18</v>
      </c>
      <c r="EJ129" s="587">
        <f t="shared" si="580"/>
        <v>36</v>
      </c>
      <c r="EK129" s="573">
        <f t="shared" si="580"/>
        <v>9</v>
      </c>
      <c r="EL129" s="573">
        <f t="shared" si="580"/>
        <v>9</v>
      </c>
      <c r="EM129" s="573">
        <f t="shared" si="580"/>
        <v>11.75</v>
      </c>
      <c r="EN129" s="574">
        <f t="shared" si="580"/>
        <v>11.75</v>
      </c>
      <c r="EO129" s="573">
        <f t="shared" si="580"/>
        <v>18</v>
      </c>
      <c r="EP129" s="573">
        <f t="shared" si="580"/>
        <v>23.5</v>
      </c>
      <c r="EQ129" s="587">
        <f t="shared" si="580"/>
        <v>41.5</v>
      </c>
    </row>
    <row r="130" spans="1:147" ht="10.199999999999999" customHeight="1">
      <c r="A130" s="51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59"/>
      <c r="P130" s="470"/>
      <c r="Q130" s="470"/>
      <c r="R130" s="471"/>
      <c r="S130" s="470"/>
      <c r="T130" s="470"/>
      <c r="U130" s="1373"/>
      <c r="V130" s="259"/>
      <c r="W130" s="470"/>
      <c r="X130" s="470"/>
      <c r="Y130" s="471"/>
      <c r="Z130" s="470"/>
      <c r="AA130" s="470"/>
      <c r="AB130" s="1373"/>
      <c r="AC130" s="259"/>
      <c r="AD130" s="470"/>
      <c r="AE130" s="470"/>
      <c r="AF130" s="471"/>
      <c r="AG130" s="470"/>
      <c r="AH130" s="470"/>
      <c r="AI130" s="1373"/>
      <c r="AJ130" s="259"/>
      <c r="AK130" s="470"/>
      <c r="AL130" s="470"/>
      <c r="AM130" s="471"/>
      <c r="AN130" s="470"/>
      <c r="AO130" s="470"/>
      <c r="AP130" s="1373"/>
      <c r="AQ130" s="259"/>
      <c r="AR130" s="470"/>
      <c r="AS130" s="470"/>
      <c r="AT130" s="471"/>
      <c r="AU130" s="470"/>
      <c r="AV130" s="470"/>
      <c r="AW130" s="1373"/>
      <c r="AX130" s="259"/>
      <c r="AY130" s="470"/>
      <c r="AZ130" s="470"/>
      <c r="BA130" s="471"/>
      <c r="BB130" s="470"/>
      <c r="BC130" s="470"/>
      <c r="BD130" s="1373"/>
      <c r="BE130" s="259"/>
      <c r="BF130" s="470"/>
      <c r="BG130" s="470"/>
      <c r="BH130" s="471"/>
      <c r="BI130" s="470"/>
      <c r="BJ130" s="470"/>
      <c r="BK130" s="1373"/>
      <c r="BL130" s="259"/>
      <c r="BM130" s="470"/>
      <c r="BN130" s="470"/>
      <c r="BO130" s="471"/>
      <c r="BP130" s="470"/>
      <c r="BQ130" s="470"/>
      <c r="BR130" s="1373"/>
      <c r="BS130" s="259"/>
      <c r="BT130" s="470"/>
      <c r="BU130" s="470"/>
      <c r="BV130" s="471"/>
      <c r="BW130" s="470"/>
      <c r="BX130" s="470"/>
      <c r="BY130" s="1373"/>
      <c r="BZ130" s="259"/>
      <c r="CA130" s="470"/>
      <c r="CB130" s="470"/>
      <c r="CC130" s="471"/>
      <c r="CD130" s="470"/>
      <c r="CE130" s="470"/>
      <c r="CF130" s="1373"/>
      <c r="CG130" s="259"/>
      <c r="CH130" s="470"/>
      <c r="CI130" s="470"/>
      <c r="CJ130" s="471"/>
      <c r="CK130" s="470"/>
      <c r="CL130" s="470"/>
      <c r="CM130" s="1373"/>
      <c r="CN130" s="259"/>
      <c r="CO130" s="470"/>
      <c r="CP130" s="470"/>
      <c r="CQ130" s="471"/>
      <c r="CR130" s="470"/>
      <c r="CS130" s="470"/>
      <c r="CT130" s="1373"/>
      <c r="CU130" s="259"/>
      <c r="CV130" s="470"/>
      <c r="CW130" s="470"/>
      <c r="CX130" s="1770"/>
      <c r="CY130" s="259"/>
      <c r="CZ130" s="259"/>
      <c r="DA130" s="1373"/>
      <c r="DB130" s="259"/>
      <c r="DC130" s="470"/>
      <c r="DD130" s="470"/>
      <c r="DE130" s="471"/>
      <c r="DF130" s="470"/>
      <c r="DG130" s="470"/>
      <c r="DH130" s="350"/>
      <c r="DI130" s="470"/>
      <c r="DJ130" s="470"/>
      <c r="DK130" s="470"/>
      <c r="DL130" s="471"/>
      <c r="DM130" s="470"/>
      <c r="DN130" s="470"/>
      <c r="DO130" s="350"/>
      <c r="DP130" s="470"/>
      <c r="DQ130" s="470"/>
      <c r="DR130" s="470"/>
      <c r="DS130" s="471"/>
      <c r="DT130" s="470"/>
      <c r="DU130" s="470"/>
      <c r="DV130" s="350"/>
      <c r="DW130" s="470"/>
      <c r="DX130" s="470"/>
      <c r="DY130" s="470"/>
      <c r="DZ130" s="471"/>
      <c r="EA130" s="470"/>
      <c r="EB130" s="470"/>
      <c r="EC130" s="350"/>
      <c r="ED130" s="470"/>
      <c r="EE130" s="470"/>
      <c r="EF130" s="470"/>
      <c r="EG130" s="471"/>
      <c r="EH130" s="470"/>
      <c r="EI130" s="470"/>
      <c r="EJ130" s="350"/>
      <c r="EK130" s="470"/>
      <c r="EL130" s="470"/>
      <c r="EM130" s="470"/>
      <c r="EN130" s="471"/>
      <c r="EO130" s="470"/>
      <c r="EP130" s="470"/>
      <c r="EQ130" s="350"/>
    </row>
    <row r="131" spans="1:147" ht="10.199999999999999" hidden="1" customHeight="1" outlineLevel="1">
      <c r="A131" s="108" t="s">
        <v>313</v>
      </c>
      <c r="B131" s="108"/>
      <c r="C131" s="108">
        <v>22</v>
      </c>
      <c r="D131" s="108">
        <v>8</v>
      </c>
      <c r="E131" s="108">
        <v>10</v>
      </c>
      <c r="F131" s="108">
        <v>8</v>
      </c>
      <c r="G131" s="108">
        <v>7</v>
      </c>
      <c r="H131" s="217">
        <v>5</v>
      </c>
      <c r="I131" s="108">
        <v>2</v>
      </c>
      <c r="J131" s="108">
        <v>2</v>
      </c>
      <c r="K131" s="133">
        <v>0</v>
      </c>
      <c r="L131" s="133">
        <v>0</v>
      </c>
      <c r="M131" s="133">
        <v>0</v>
      </c>
      <c r="N131" s="197">
        <v>0</v>
      </c>
      <c r="O131" s="1"/>
      <c r="P131" s="882"/>
      <c r="Q131" s="882"/>
      <c r="R131" s="1371"/>
      <c r="S131" s="882"/>
      <c r="T131" s="1374"/>
      <c r="U131" s="1278">
        <v>0</v>
      </c>
      <c r="V131" s="1"/>
      <c r="W131" s="882"/>
      <c r="X131" s="882"/>
      <c r="Y131" s="1371"/>
      <c r="Z131" s="882"/>
      <c r="AA131" s="1374"/>
      <c r="AB131" s="1278">
        <v>0</v>
      </c>
      <c r="AC131" s="1"/>
      <c r="AD131" s="882"/>
      <c r="AE131" s="882"/>
      <c r="AF131" s="1371"/>
      <c r="AG131" s="882"/>
      <c r="AH131" s="1374"/>
      <c r="AI131" s="1278">
        <v>0</v>
      </c>
      <c r="AJ131" s="1"/>
      <c r="AK131" s="882"/>
      <c r="AL131" s="882"/>
      <c r="AM131" s="1371"/>
      <c r="AN131" s="882"/>
      <c r="AO131" s="1374"/>
      <c r="AP131" s="1278">
        <v>0</v>
      </c>
      <c r="AQ131" s="1"/>
      <c r="AR131" s="882"/>
      <c r="AS131" s="882"/>
      <c r="AT131" s="1371"/>
      <c r="AU131" s="882"/>
      <c r="AV131" s="1374"/>
      <c r="AW131" s="1278">
        <v>0</v>
      </c>
      <c r="AX131" s="1"/>
      <c r="AY131" s="882"/>
      <c r="AZ131" s="882"/>
      <c r="BA131" s="1371"/>
      <c r="BB131" s="882"/>
      <c r="BC131" s="1374"/>
      <c r="BD131" s="1278">
        <v>0</v>
      </c>
      <c r="BE131" s="1"/>
      <c r="BF131" s="882"/>
      <c r="BG131" s="882"/>
      <c r="BH131" s="1371"/>
      <c r="BI131" s="882"/>
      <c r="BJ131" s="1374"/>
      <c r="BK131" s="1278">
        <v>0</v>
      </c>
      <c r="BL131" s="1"/>
      <c r="BM131" s="882"/>
      <c r="BN131" s="882"/>
      <c r="BO131" s="1371"/>
      <c r="BP131" s="882"/>
      <c r="BQ131" s="1374"/>
      <c r="BR131" s="1278">
        <v>0</v>
      </c>
      <c r="BS131" s="1"/>
      <c r="BT131" s="882"/>
      <c r="BU131" s="882"/>
      <c r="BV131" s="1371"/>
      <c r="BW131" s="882"/>
      <c r="BX131" s="1374"/>
      <c r="BY131" s="1278">
        <v>0</v>
      </c>
      <c r="BZ131" s="1"/>
      <c r="CA131" s="882"/>
      <c r="CB131" s="882"/>
      <c r="CC131" s="1371"/>
      <c r="CD131" s="882"/>
      <c r="CE131" s="1374"/>
      <c r="CF131" s="1278">
        <v>0</v>
      </c>
      <c r="CG131" s="1"/>
      <c r="CH131" s="882"/>
      <c r="CI131" s="882"/>
      <c r="CJ131" s="1371"/>
      <c r="CK131" s="882"/>
      <c r="CL131" s="1374"/>
      <c r="CM131" s="1278">
        <v>0</v>
      </c>
      <c r="CN131" s="1"/>
      <c r="CO131" s="882"/>
      <c r="CP131" s="882"/>
      <c r="CQ131" s="1371"/>
      <c r="CR131" s="882"/>
      <c r="CS131" s="1374"/>
      <c r="CT131" s="1278">
        <v>0</v>
      </c>
      <c r="CU131" s="1"/>
      <c r="CV131" s="882"/>
      <c r="CW131" s="882"/>
      <c r="CX131" s="1094"/>
      <c r="CY131" s="1"/>
      <c r="CZ131" s="312"/>
      <c r="DA131" s="1278">
        <v>0</v>
      </c>
      <c r="DB131" s="1"/>
      <c r="DC131" s="456"/>
      <c r="DD131" s="456"/>
      <c r="DE131" s="457"/>
      <c r="DF131" s="456"/>
      <c r="DG131" s="588"/>
      <c r="DH131" s="339">
        <v>0</v>
      </c>
      <c r="DI131" s="456"/>
      <c r="DJ131" s="456"/>
      <c r="DK131" s="456"/>
      <c r="DL131" s="457"/>
      <c r="DM131" s="456"/>
      <c r="DN131" s="588"/>
      <c r="DO131" s="339">
        <v>0</v>
      </c>
      <c r="DP131" s="456"/>
      <c r="DQ131" s="456"/>
      <c r="DR131" s="456"/>
      <c r="DS131" s="457"/>
      <c r="DT131" s="456"/>
      <c r="DU131" s="588"/>
      <c r="DV131" s="339">
        <v>0</v>
      </c>
      <c r="DW131" s="456"/>
      <c r="DX131" s="456"/>
      <c r="DY131" s="456"/>
      <c r="DZ131" s="457"/>
      <c r="EA131" s="456"/>
      <c r="EB131" s="588"/>
      <c r="EC131" s="339">
        <v>0</v>
      </c>
      <c r="ED131" s="456"/>
      <c r="EE131" s="456"/>
      <c r="EF131" s="456"/>
      <c r="EG131" s="457"/>
      <c r="EH131" s="456"/>
      <c r="EI131" s="588"/>
      <c r="EJ131" s="339">
        <v>0</v>
      </c>
      <c r="EK131" s="456"/>
      <c r="EL131" s="456"/>
      <c r="EM131" s="456"/>
      <c r="EN131" s="457"/>
      <c r="EO131" s="456"/>
      <c r="EP131" s="588"/>
      <c r="EQ131" s="339">
        <v>0</v>
      </c>
    </row>
    <row r="132" spans="1:147" ht="10.199999999999999" hidden="1" customHeight="1" outlineLevel="1">
      <c r="A132" s="108" t="s">
        <v>314</v>
      </c>
      <c r="B132" s="108"/>
      <c r="C132" s="133">
        <v>0</v>
      </c>
      <c r="D132" s="133">
        <v>0</v>
      </c>
      <c r="E132" s="108">
        <v>7</v>
      </c>
      <c r="F132" s="108">
        <v>9</v>
      </c>
      <c r="G132" s="108">
        <v>4</v>
      </c>
      <c r="H132" s="217">
        <v>4</v>
      </c>
      <c r="I132" s="217">
        <v>3</v>
      </c>
      <c r="J132" s="217">
        <v>3</v>
      </c>
      <c r="K132" s="217">
        <v>2</v>
      </c>
      <c r="L132" s="217">
        <v>2</v>
      </c>
      <c r="M132" s="133">
        <v>0</v>
      </c>
      <c r="N132" s="197">
        <v>0</v>
      </c>
      <c r="O132" s="1"/>
      <c r="P132" s="882"/>
      <c r="Q132" s="882"/>
      <c r="R132" s="1371"/>
      <c r="S132" s="882"/>
      <c r="T132" s="882"/>
      <c r="U132" s="1278">
        <v>0</v>
      </c>
      <c r="V132" s="1"/>
      <c r="W132" s="882"/>
      <c r="X132" s="882"/>
      <c r="Y132" s="1371"/>
      <c r="Z132" s="882"/>
      <c r="AA132" s="882"/>
      <c r="AB132" s="1278">
        <v>0</v>
      </c>
      <c r="AC132" s="1"/>
      <c r="AD132" s="882"/>
      <c r="AE132" s="882"/>
      <c r="AF132" s="1371"/>
      <c r="AG132" s="882"/>
      <c r="AH132" s="882"/>
      <c r="AI132" s="1278">
        <v>0</v>
      </c>
      <c r="AJ132" s="1"/>
      <c r="AK132" s="882"/>
      <c r="AL132" s="882"/>
      <c r="AM132" s="1371"/>
      <c r="AN132" s="882"/>
      <c r="AO132" s="882"/>
      <c r="AP132" s="1278">
        <v>0</v>
      </c>
      <c r="AQ132" s="1"/>
      <c r="AR132" s="882"/>
      <c r="AS132" s="882"/>
      <c r="AT132" s="1371"/>
      <c r="AU132" s="882"/>
      <c r="AV132" s="882"/>
      <c r="AW132" s="1278">
        <v>0</v>
      </c>
      <c r="AX132" s="1"/>
      <c r="AY132" s="882"/>
      <c r="AZ132" s="882"/>
      <c r="BA132" s="1371"/>
      <c r="BB132" s="882"/>
      <c r="BC132" s="882"/>
      <c r="BD132" s="1278">
        <v>0</v>
      </c>
      <c r="BE132" s="1"/>
      <c r="BF132" s="882"/>
      <c r="BG132" s="882"/>
      <c r="BH132" s="1371"/>
      <c r="BI132" s="882"/>
      <c r="BJ132" s="882"/>
      <c r="BK132" s="1278">
        <v>0</v>
      </c>
      <c r="BL132" s="1"/>
      <c r="BM132" s="882"/>
      <c r="BN132" s="882"/>
      <c r="BO132" s="1371"/>
      <c r="BP132" s="882"/>
      <c r="BQ132" s="882"/>
      <c r="BR132" s="1278">
        <v>0</v>
      </c>
      <c r="BS132" s="1"/>
      <c r="BT132" s="882"/>
      <c r="BU132" s="882"/>
      <c r="BV132" s="1371"/>
      <c r="BW132" s="882"/>
      <c r="BX132" s="882"/>
      <c r="BY132" s="1278">
        <v>0</v>
      </c>
      <c r="BZ132" s="1"/>
      <c r="CA132" s="882"/>
      <c r="CB132" s="882"/>
      <c r="CC132" s="1371"/>
      <c r="CD132" s="882"/>
      <c r="CE132" s="882"/>
      <c r="CF132" s="1278">
        <v>0</v>
      </c>
      <c r="CG132" s="1"/>
      <c r="CH132" s="882"/>
      <c r="CI132" s="882"/>
      <c r="CJ132" s="1371"/>
      <c r="CK132" s="882"/>
      <c r="CL132" s="882"/>
      <c r="CM132" s="1278">
        <v>0</v>
      </c>
      <c r="CN132" s="1"/>
      <c r="CO132" s="882"/>
      <c r="CP132" s="882"/>
      <c r="CQ132" s="1371"/>
      <c r="CR132" s="882"/>
      <c r="CS132" s="882"/>
      <c r="CT132" s="1278">
        <v>0</v>
      </c>
      <c r="CU132" s="1"/>
      <c r="CV132" s="882"/>
      <c r="CW132" s="882"/>
      <c r="CX132" s="1094"/>
      <c r="CY132" s="1"/>
      <c r="CZ132" s="1"/>
      <c r="DA132" s="1278">
        <v>0</v>
      </c>
      <c r="DB132" s="1"/>
      <c r="DC132" s="456"/>
      <c r="DD132" s="456"/>
      <c r="DE132" s="457"/>
      <c r="DF132" s="456"/>
      <c r="DG132" s="456"/>
      <c r="DH132" s="339">
        <v>0</v>
      </c>
      <c r="DI132" s="456"/>
      <c r="DJ132" s="456"/>
      <c r="DK132" s="456"/>
      <c r="DL132" s="457"/>
      <c r="DM132" s="456"/>
      <c r="DN132" s="456"/>
      <c r="DO132" s="339">
        <v>0</v>
      </c>
      <c r="DP132" s="456"/>
      <c r="DQ132" s="456"/>
      <c r="DR132" s="456"/>
      <c r="DS132" s="457"/>
      <c r="DT132" s="456"/>
      <c r="DU132" s="456"/>
      <c r="DV132" s="339">
        <v>0</v>
      </c>
      <c r="DW132" s="456"/>
      <c r="DX132" s="456"/>
      <c r="DY132" s="456"/>
      <c r="DZ132" s="457"/>
      <c r="EA132" s="456"/>
      <c r="EB132" s="456"/>
      <c r="EC132" s="339">
        <v>0</v>
      </c>
      <c r="ED132" s="456"/>
      <c r="EE132" s="456"/>
      <c r="EF132" s="456"/>
      <c r="EG132" s="457"/>
      <c r="EH132" s="456"/>
      <c r="EI132" s="456"/>
      <c r="EJ132" s="339">
        <v>0</v>
      </c>
      <c r="EK132" s="456"/>
      <c r="EL132" s="456"/>
      <c r="EM132" s="456"/>
      <c r="EN132" s="457"/>
      <c r="EO132" s="456"/>
      <c r="EP132" s="456"/>
      <c r="EQ132" s="339">
        <v>0</v>
      </c>
    </row>
    <row r="133" spans="1:147" ht="10.199999999999999" hidden="1" customHeight="1" outlineLevel="1">
      <c r="A133" s="108" t="s">
        <v>315</v>
      </c>
      <c r="B133" s="108"/>
      <c r="C133" s="133">
        <v>0</v>
      </c>
      <c r="D133" s="108">
        <v>8</v>
      </c>
      <c r="E133" s="108">
        <v>16</v>
      </c>
      <c r="F133" s="108">
        <v>11</v>
      </c>
      <c r="G133" s="108">
        <v>13</v>
      </c>
      <c r="H133" s="108">
        <v>15</v>
      </c>
      <c r="I133" s="108">
        <v>6</v>
      </c>
      <c r="J133" s="108">
        <v>8</v>
      </c>
      <c r="K133" s="108">
        <v>8</v>
      </c>
      <c r="L133" s="108">
        <v>2</v>
      </c>
      <c r="M133" s="133">
        <v>0</v>
      </c>
      <c r="N133" s="108">
        <v>2</v>
      </c>
      <c r="O133" s="1"/>
      <c r="P133" s="882"/>
      <c r="Q133" s="882"/>
      <c r="R133" s="1371"/>
      <c r="S133" s="882"/>
      <c r="T133" s="882"/>
      <c r="U133" s="1278">
        <v>0</v>
      </c>
      <c r="V133" s="1"/>
      <c r="W133" s="882"/>
      <c r="X133" s="882"/>
      <c r="Y133" s="1371"/>
      <c r="Z133" s="882"/>
      <c r="AA133" s="882"/>
      <c r="AB133" s="1278">
        <v>0</v>
      </c>
      <c r="AC133" s="1"/>
      <c r="AD133" s="882"/>
      <c r="AE133" s="882"/>
      <c r="AF133" s="1371"/>
      <c r="AG133" s="882"/>
      <c r="AH133" s="882"/>
      <c r="AI133" s="1278">
        <v>0</v>
      </c>
      <c r="AJ133" s="1"/>
      <c r="AK133" s="882"/>
      <c r="AL133" s="882"/>
      <c r="AM133" s="1371"/>
      <c r="AN133" s="882"/>
      <c r="AO133" s="882"/>
      <c r="AP133" s="1278">
        <v>0</v>
      </c>
      <c r="AQ133" s="1"/>
      <c r="AR133" s="882"/>
      <c r="AS133" s="882"/>
      <c r="AT133" s="1371"/>
      <c r="AU133" s="882"/>
      <c r="AV133" s="882"/>
      <c r="AW133" s="1278">
        <v>0</v>
      </c>
      <c r="AX133" s="1"/>
      <c r="AY133" s="882"/>
      <c r="AZ133" s="882"/>
      <c r="BA133" s="1371"/>
      <c r="BB133" s="882"/>
      <c r="BC133" s="882"/>
      <c r="BD133" s="1278">
        <v>0</v>
      </c>
      <c r="BE133" s="1"/>
      <c r="BF133" s="882"/>
      <c r="BG133" s="882"/>
      <c r="BH133" s="1371"/>
      <c r="BI133" s="882"/>
      <c r="BJ133" s="882"/>
      <c r="BK133" s="1278">
        <v>0</v>
      </c>
      <c r="BL133" s="1"/>
      <c r="BM133" s="882"/>
      <c r="BN133" s="882"/>
      <c r="BO133" s="1371"/>
      <c r="BP133" s="882"/>
      <c r="BQ133" s="882"/>
      <c r="BR133" s="1278">
        <v>0</v>
      </c>
      <c r="BS133" s="1"/>
      <c r="BT133" s="882"/>
      <c r="BU133" s="882"/>
      <c r="BV133" s="1371"/>
      <c r="BW133" s="882"/>
      <c r="BX133" s="882"/>
      <c r="BY133" s="1278">
        <v>0</v>
      </c>
      <c r="BZ133" s="1"/>
      <c r="CA133" s="882"/>
      <c r="CB133" s="882"/>
      <c r="CC133" s="1371"/>
      <c r="CD133" s="882"/>
      <c r="CE133" s="882"/>
      <c r="CF133" s="1278">
        <v>0</v>
      </c>
      <c r="CG133" s="1"/>
      <c r="CH133" s="882"/>
      <c r="CI133" s="882"/>
      <c r="CJ133" s="1371"/>
      <c r="CK133" s="882"/>
      <c r="CL133" s="882"/>
      <c r="CM133" s="1278">
        <v>0</v>
      </c>
      <c r="CN133" s="1"/>
      <c r="CO133" s="882"/>
      <c r="CP133" s="882"/>
      <c r="CQ133" s="1371"/>
      <c r="CR133" s="882"/>
      <c r="CS133" s="882"/>
      <c r="CT133" s="1278">
        <v>0</v>
      </c>
      <c r="CU133" s="1"/>
      <c r="CV133" s="882"/>
      <c r="CW133" s="882"/>
      <c r="CX133" s="1094"/>
      <c r="CY133" s="1"/>
      <c r="CZ133" s="1"/>
      <c r="DA133" s="1278">
        <v>0</v>
      </c>
      <c r="DB133" s="1"/>
      <c r="DC133" s="456"/>
      <c r="DD133" s="456"/>
      <c r="DE133" s="457"/>
      <c r="DF133" s="456"/>
      <c r="DG133" s="456"/>
      <c r="DH133" s="339">
        <v>0</v>
      </c>
      <c r="DI133" s="456"/>
      <c r="DJ133" s="456"/>
      <c r="DK133" s="456"/>
      <c r="DL133" s="457"/>
      <c r="DM133" s="456"/>
      <c r="DN133" s="456"/>
      <c r="DO133" s="339">
        <v>0</v>
      </c>
      <c r="DP133" s="456"/>
      <c r="DQ133" s="456"/>
      <c r="DR133" s="456"/>
      <c r="DS133" s="457"/>
      <c r="DT133" s="456"/>
      <c r="DU133" s="456"/>
      <c r="DV133" s="339">
        <v>0</v>
      </c>
      <c r="DW133" s="456"/>
      <c r="DX133" s="456"/>
      <c r="DY133" s="456"/>
      <c r="DZ133" s="457"/>
      <c r="EA133" s="456"/>
      <c r="EB133" s="456"/>
      <c r="EC133" s="339">
        <v>0</v>
      </c>
      <c r="ED133" s="456"/>
      <c r="EE133" s="456"/>
      <c r="EF133" s="456"/>
      <c r="EG133" s="457"/>
      <c r="EH133" s="456"/>
      <c r="EI133" s="456"/>
      <c r="EJ133" s="339">
        <v>0</v>
      </c>
      <c r="EK133" s="456"/>
      <c r="EL133" s="456"/>
      <c r="EM133" s="456"/>
      <c r="EN133" s="457"/>
      <c r="EO133" s="456"/>
      <c r="EP133" s="456"/>
      <c r="EQ133" s="339">
        <v>0</v>
      </c>
    </row>
    <row r="134" spans="1:147" ht="10.199999999999999" hidden="1" customHeight="1" outlineLevel="1">
      <c r="A134" s="566" t="s">
        <v>731</v>
      </c>
      <c r="B134" s="566"/>
      <c r="C134" s="566">
        <f t="shared" ref="C134:N134" si="586">SUM(C131:C133)</f>
        <v>22</v>
      </c>
      <c r="D134" s="566">
        <f t="shared" si="586"/>
        <v>16</v>
      </c>
      <c r="E134" s="566">
        <f t="shared" si="586"/>
        <v>33</v>
      </c>
      <c r="F134" s="566">
        <f t="shared" si="586"/>
        <v>28</v>
      </c>
      <c r="G134" s="566">
        <f t="shared" si="586"/>
        <v>24</v>
      </c>
      <c r="H134" s="566">
        <f t="shared" si="586"/>
        <v>24</v>
      </c>
      <c r="I134" s="566">
        <f t="shared" si="586"/>
        <v>11</v>
      </c>
      <c r="J134" s="566">
        <f t="shared" si="586"/>
        <v>13</v>
      </c>
      <c r="K134" s="566">
        <f t="shared" si="586"/>
        <v>10</v>
      </c>
      <c r="L134" s="566">
        <f t="shared" si="586"/>
        <v>4</v>
      </c>
      <c r="M134" s="566">
        <f t="shared" si="586"/>
        <v>0</v>
      </c>
      <c r="N134" s="566">
        <f t="shared" si="586"/>
        <v>2</v>
      </c>
      <c r="O134" s="571"/>
      <c r="P134" s="577"/>
      <c r="Q134" s="577"/>
      <c r="R134" s="1359"/>
      <c r="S134" s="577"/>
      <c r="T134" s="577"/>
      <c r="U134" s="1375">
        <f t="shared" ref="U134:CM134" si="587">U131+U132+U133</f>
        <v>0</v>
      </c>
      <c r="V134" s="571"/>
      <c r="W134" s="577"/>
      <c r="X134" s="577"/>
      <c r="Y134" s="1359"/>
      <c r="Z134" s="577"/>
      <c r="AA134" s="577"/>
      <c r="AB134" s="1375">
        <f t="shared" si="587"/>
        <v>0</v>
      </c>
      <c r="AC134" s="571"/>
      <c r="AD134" s="577"/>
      <c r="AE134" s="577"/>
      <c r="AF134" s="1359"/>
      <c r="AG134" s="577"/>
      <c r="AH134" s="577"/>
      <c r="AI134" s="1375">
        <f t="shared" si="587"/>
        <v>0</v>
      </c>
      <c r="AJ134" s="571"/>
      <c r="AK134" s="577"/>
      <c r="AL134" s="577"/>
      <c r="AM134" s="1359"/>
      <c r="AN134" s="577"/>
      <c r="AO134" s="577"/>
      <c r="AP134" s="1375">
        <f t="shared" si="587"/>
        <v>0</v>
      </c>
      <c r="AQ134" s="571"/>
      <c r="AR134" s="577"/>
      <c r="AS134" s="577"/>
      <c r="AT134" s="1359"/>
      <c r="AU134" s="577"/>
      <c r="AV134" s="577"/>
      <c r="AW134" s="1375">
        <f t="shared" si="587"/>
        <v>0</v>
      </c>
      <c r="AX134" s="571"/>
      <c r="AY134" s="577"/>
      <c r="AZ134" s="577"/>
      <c r="BA134" s="1359"/>
      <c r="BB134" s="577"/>
      <c r="BC134" s="577"/>
      <c r="BD134" s="1375">
        <f t="shared" si="587"/>
        <v>0</v>
      </c>
      <c r="BE134" s="571"/>
      <c r="BF134" s="577"/>
      <c r="BG134" s="577"/>
      <c r="BH134" s="1359"/>
      <c r="BI134" s="577"/>
      <c r="BJ134" s="577"/>
      <c r="BK134" s="1375">
        <f t="shared" si="587"/>
        <v>0</v>
      </c>
      <c r="BL134" s="571"/>
      <c r="BM134" s="577"/>
      <c r="BN134" s="577"/>
      <c r="BO134" s="1359"/>
      <c r="BP134" s="577"/>
      <c r="BQ134" s="577"/>
      <c r="BR134" s="1375">
        <f t="shared" si="587"/>
        <v>0</v>
      </c>
      <c r="BS134" s="571"/>
      <c r="BT134" s="577"/>
      <c r="BU134" s="577"/>
      <c r="BV134" s="1359"/>
      <c r="BW134" s="577"/>
      <c r="BX134" s="577"/>
      <c r="BY134" s="1375">
        <f t="shared" si="587"/>
        <v>0</v>
      </c>
      <c r="BZ134" s="571"/>
      <c r="CA134" s="577"/>
      <c r="CB134" s="577"/>
      <c r="CC134" s="1359"/>
      <c r="CD134" s="577"/>
      <c r="CE134" s="577"/>
      <c r="CF134" s="1375">
        <f t="shared" si="587"/>
        <v>0</v>
      </c>
      <c r="CG134" s="571"/>
      <c r="CH134" s="577"/>
      <c r="CI134" s="577"/>
      <c r="CJ134" s="1359"/>
      <c r="CK134" s="577"/>
      <c r="CL134" s="577"/>
      <c r="CM134" s="1375">
        <f t="shared" si="587"/>
        <v>0</v>
      </c>
      <c r="CN134" s="571"/>
      <c r="CO134" s="577"/>
      <c r="CP134" s="577"/>
      <c r="CQ134" s="1359"/>
      <c r="CR134" s="577"/>
      <c r="CS134" s="577"/>
      <c r="CT134" s="1375">
        <f>CT131+CT132+CT133</f>
        <v>0</v>
      </c>
      <c r="CU134" s="571"/>
      <c r="CV134" s="577"/>
      <c r="CW134" s="577"/>
      <c r="CX134" s="1771"/>
      <c r="CY134" s="571"/>
      <c r="CZ134" s="571"/>
      <c r="DA134" s="1772">
        <f>DA131+DA132+DA133</f>
        <v>0</v>
      </c>
      <c r="DB134" s="571"/>
      <c r="DC134" s="569"/>
      <c r="DD134" s="569"/>
      <c r="DE134" s="570"/>
      <c r="DF134" s="569"/>
      <c r="DG134" s="569"/>
      <c r="DH134" s="589">
        <f>DH131+DH132+DH133</f>
        <v>0</v>
      </c>
      <c r="DI134" s="569"/>
      <c r="DJ134" s="569"/>
      <c r="DK134" s="569"/>
      <c r="DL134" s="570"/>
      <c r="DM134" s="569"/>
      <c r="DN134" s="569"/>
      <c r="DO134" s="589">
        <f>DO131+DO132+DO133</f>
        <v>0</v>
      </c>
      <c r="DP134" s="569"/>
      <c r="DQ134" s="569"/>
      <c r="DR134" s="569"/>
      <c r="DS134" s="570"/>
      <c r="DT134" s="569"/>
      <c r="DU134" s="569"/>
      <c r="DV134" s="589">
        <f>DV131+DV132+DV133</f>
        <v>0</v>
      </c>
      <c r="DW134" s="569"/>
      <c r="DX134" s="569"/>
      <c r="DY134" s="569"/>
      <c r="DZ134" s="570"/>
      <c r="EA134" s="569"/>
      <c r="EB134" s="569"/>
      <c r="EC134" s="589">
        <f>EC131+EC132+EC133</f>
        <v>0</v>
      </c>
      <c r="ED134" s="569"/>
      <c r="EE134" s="569"/>
      <c r="EF134" s="569"/>
      <c r="EG134" s="570"/>
      <c r="EH134" s="569"/>
      <c r="EI134" s="569"/>
      <c r="EJ134" s="589">
        <f>EJ131+EJ132+EJ133</f>
        <v>0</v>
      </c>
      <c r="EK134" s="569"/>
      <c r="EL134" s="569"/>
      <c r="EM134" s="569"/>
      <c r="EN134" s="570"/>
      <c r="EO134" s="569"/>
      <c r="EP134" s="569"/>
      <c r="EQ134" s="589">
        <f>EQ131+EQ132+EQ133</f>
        <v>0</v>
      </c>
    </row>
    <row r="135" spans="1:147" ht="10.199999999999999" hidden="1" customHeight="1" outlineLevel="1">
      <c r="A135" s="108"/>
      <c r="B135" s="108"/>
      <c r="C135" s="108"/>
      <c r="D135" s="108"/>
      <c r="E135" s="108"/>
      <c r="F135" s="108"/>
      <c r="G135" s="108"/>
      <c r="H135" s="217"/>
      <c r="I135" s="108"/>
      <c r="J135" s="108"/>
      <c r="K135" s="108"/>
      <c r="L135" s="108"/>
      <c r="M135" s="133"/>
      <c r="N135" s="197"/>
      <c r="O135" s="530"/>
      <c r="P135" s="460"/>
      <c r="Q135" s="460"/>
      <c r="R135" s="461"/>
      <c r="S135" s="460"/>
      <c r="T135" s="460"/>
      <c r="U135" s="310"/>
      <c r="V135" s="530"/>
      <c r="W135" s="460"/>
      <c r="X135" s="460"/>
      <c r="Y135" s="461"/>
      <c r="Z135" s="460"/>
      <c r="AA135" s="460"/>
      <c r="AB135" s="310"/>
      <c r="AC135" s="530"/>
      <c r="AD135" s="460"/>
      <c r="AE135" s="460"/>
      <c r="AF135" s="461"/>
      <c r="AG135" s="460"/>
      <c r="AH135" s="460"/>
      <c r="AI135" s="310"/>
      <c r="AJ135" s="530"/>
      <c r="AK135" s="460"/>
      <c r="AL135" s="460"/>
      <c r="AM135" s="461"/>
      <c r="AN135" s="460"/>
      <c r="AO135" s="460"/>
      <c r="AP135" s="310"/>
      <c r="AQ135" s="530"/>
      <c r="AR135" s="460"/>
      <c r="AS135" s="460"/>
      <c r="AT135" s="461"/>
      <c r="AU135" s="460"/>
      <c r="AV135" s="460"/>
      <c r="AW135" s="310"/>
      <c r="AX135" s="530"/>
      <c r="AY135" s="460"/>
      <c r="AZ135" s="460"/>
      <c r="BA135" s="461"/>
      <c r="BB135" s="460"/>
      <c r="BC135" s="460"/>
      <c r="BD135" s="310"/>
      <c r="BE135" s="530"/>
      <c r="BF135" s="460"/>
      <c r="BG135" s="460"/>
      <c r="BH135" s="461"/>
      <c r="BI135" s="460"/>
      <c r="BJ135" s="460"/>
      <c r="BK135" s="310"/>
      <c r="BL135" s="530"/>
      <c r="BM135" s="460"/>
      <c r="BN135" s="460"/>
      <c r="BO135" s="461"/>
      <c r="BP135" s="460"/>
      <c r="BQ135" s="460"/>
      <c r="BR135" s="310"/>
      <c r="BS135" s="530"/>
      <c r="BT135" s="460"/>
      <c r="BU135" s="460"/>
      <c r="BV135" s="461"/>
      <c r="BW135" s="460"/>
      <c r="BX135" s="460"/>
      <c r="BY135" s="310"/>
      <c r="BZ135" s="530"/>
      <c r="CA135" s="460"/>
      <c r="CB135" s="460"/>
      <c r="CC135" s="461"/>
      <c r="CD135" s="460"/>
      <c r="CE135" s="460"/>
      <c r="CF135" s="310"/>
      <c r="CG135" s="530"/>
      <c r="CH135" s="460"/>
      <c r="CI135" s="460"/>
      <c r="CJ135" s="461"/>
      <c r="CK135" s="460"/>
      <c r="CL135" s="460"/>
      <c r="CM135" s="310"/>
      <c r="CN135" s="530"/>
      <c r="CO135" s="460"/>
      <c r="CP135" s="460"/>
      <c r="CQ135" s="461"/>
      <c r="CR135" s="460"/>
      <c r="CS135" s="460"/>
      <c r="CT135" s="310"/>
      <c r="CU135" s="530"/>
      <c r="CV135" s="460"/>
      <c r="CW135" s="460"/>
      <c r="CX135" s="680"/>
      <c r="CY135" s="530"/>
      <c r="CZ135" s="530"/>
      <c r="DA135" s="1296"/>
      <c r="DB135" s="530"/>
      <c r="DC135" s="322"/>
      <c r="DD135" s="322"/>
      <c r="DE135" s="430"/>
      <c r="DF135" s="322"/>
      <c r="DG135" s="322"/>
      <c r="DH135" s="338"/>
      <c r="DI135" s="322"/>
      <c r="DJ135" s="322"/>
      <c r="DK135" s="322"/>
      <c r="DL135" s="430"/>
      <c r="DM135" s="322"/>
      <c r="DN135" s="322"/>
      <c r="DO135" s="338"/>
      <c r="DP135" s="322"/>
      <c r="DQ135" s="322"/>
      <c r="DR135" s="322"/>
      <c r="DS135" s="430"/>
      <c r="DT135" s="322"/>
      <c r="DU135" s="322"/>
      <c r="DV135" s="338"/>
      <c r="DW135" s="322"/>
      <c r="DX135" s="322"/>
      <c r="DY135" s="322"/>
      <c r="DZ135" s="430"/>
      <c r="EA135" s="322"/>
      <c r="EB135" s="322"/>
      <c r="EC135" s="338"/>
      <c r="ED135" s="322"/>
      <c r="EE135" s="322"/>
      <c r="EF135" s="322"/>
      <c r="EG135" s="430"/>
      <c r="EH135" s="322"/>
      <c r="EI135" s="322"/>
      <c r="EJ135" s="338"/>
      <c r="EK135" s="322"/>
      <c r="EL135" s="322"/>
      <c r="EM135" s="322"/>
      <c r="EN135" s="430"/>
      <c r="EO135" s="322"/>
      <c r="EP135" s="322"/>
      <c r="EQ135" s="338"/>
    </row>
    <row r="136" spans="1:147" ht="10.199999999999999" customHeight="1" collapsed="1">
      <c r="A136" s="108" t="s">
        <v>371</v>
      </c>
      <c r="B136" s="108"/>
      <c r="C136" s="108"/>
      <c r="D136" s="108"/>
      <c r="E136" s="108"/>
      <c r="F136" s="108"/>
      <c r="G136" s="108"/>
      <c r="H136" s="217"/>
      <c r="I136" s="108"/>
      <c r="J136" s="108"/>
      <c r="K136" s="108"/>
      <c r="L136" s="108"/>
      <c r="M136" s="133"/>
      <c r="N136" s="197"/>
      <c r="O136" s="530"/>
      <c r="P136" s="530"/>
      <c r="Q136" s="460"/>
      <c r="R136" s="680"/>
      <c r="S136" s="530"/>
      <c r="T136" s="530"/>
      <c r="U136" s="1278"/>
      <c r="V136" s="530"/>
      <c r="W136" s="530"/>
      <c r="X136" s="460"/>
      <c r="Y136" s="680"/>
      <c r="Z136" s="530"/>
      <c r="AA136" s="530"/>
      <c r="AB136" s="1278">
        <v>0</v>
      </c>
      <c r="AC136" s="530"/>
      <c r="AD136" s="530"/>
      <c r="AE136" s="460"/>
      <c r="AF136" s="680"/>
      <c r="AG136" s="530"/>
      <c r="AH136" s="530"/>
      <c r="AI136" s="1278">
        <v>0</v>
      </c>
      <c r="AJ136" s="530"/>
      <c r="AK136" s="530"/>
      <c r="AL136" s="460"/>
      <c r="AM136" s="680"/>
      <c r="AN136" s="530"/>
      <c r="AO136" s="530"/>
      <c r="AP136" s="1278">
        <v>0</v>
      </c>
      <c r="AQ136" s="530"/>
      <c r="AR136" s="530"/>
      <c r="AS136" s="460"/>
      <c r="AT136" s="680"/>
      <c r="AU136" s="530"/>
      <c r="AV136" s="530"/>
      <c r="AW136" s="1278">
        <v>0</v>
      </c>
      <c r="AX136" s="530"/>
      <c r="AY136" s="530"/>
      <c r="AZ136" s="460"/>
      <c r="BA136" s="680"/>
      <c r="BB136" s="530"/>
      <c r="BC136" s="530"/>
      <c r="BD136" s="1278">
        <v>0</v>
      </c>
      <c r="BE136" s="530"/>
      <c r="BF136" s="530"/>
      <c r="BG136" s="460"/>
      <c r="BH136" s="680"/>
      <c r="BI136" s="530"/>
      <c r="BJ136" s="530"/>
      <c r="BK136" s="1278">
        <v>0</v>
      </c>
      <c r="BL136" s="530"/>
      <c r="BM136" s="530"/>
      <c r="BN136" s="460"/>
      <c r="BO136" s="680"/>
      <c r="BP136" s="530"/>
      <c r="BQ136" s="530"/>
      <c r="BR136" s="1278">
        <v>0</v>
      </c>
      <c r="BS136" s="530"/>
      <c r="BT136" s="530"/>
      <c r="BU136" s="460"/>
      <c r="BV136" s="680"/>
      <c r="BW136" s="530"/>
      <c r="BX136" s="530"/>
      <c r="BY136" s="1278">
        <v>0</v>
      </c>
      <c r="BZ136" s="530"/>
      <c r="CA136" s="530"/>
      <c r="CB136" s="460"/>
      <c r="CC136" s="680"/>
      <c r="CD136" s="530"/>
      <c r="CE136" s="530"/>
      <c r="CF136" s="1278">
        <v>0</v>
      </c>
      <c r="CG136" s="530"/>
      <c r="CH136" s="530"/>
      <c r="CI136" s="460"/>
      <c r="CJ136" s="680"/>
      <c r="CK136" s="530"/>
      <c r="CL136" s="530"/>
      <c r="CM136" s="1278">
        <v>0</v>
      </c>
      <c r="CN136" s="530">
        <f>CR136/2</f>
        <v>0</v>
      </c>
      <c r="CO136" s="530">
        <f>CR136-CN136</f>
        <v>0</v>
      </c>
      <c r="CP136" s="460">
        <f>CS136/2</f>
        <v>0</v>
      </c>
      <c r="CQ136" s="680">
        <f>CS136-CP136</f>
        <v>0</v>
      </c>
      <c r="CR136" s="530">
        <v>0</v>
      </c>
      <c r="CS136" s="530">
        <f>CT136-CR136</f>
        <v>0</v>
      </c>
      <c r="CT136" s="1278">
        <v>0</v>
      </c>
      <c r="CU136" s="530">
        <f>CY136/2</f>
        <v>0</v>
      </c>
      <c r="CV136" s="530">
        <f>CY136-CU136</f>
        <v>0</v>
      </c>
      <c r="CW136" s="460">
        <f>CZ136/2</f>
        <v>0</v>
      </c>
      <c r="CX136" s="680">
        <f>CZ136-CW136</f>
        <v>0</v>
      </c>
      <c r="CY136" s="530">
        <v>0</v>
      </c>
      <c r="CZ136" s="530">
        <f>DA136-CY136</f>
        <v>0</v>
      </c>
      <c r="DA136" s="1278">
        <v>0</v>
      </c>
      <c r="DB136" s="530">
        <f>DF136/2</f>
        <v>0</v>
      </c>
      <c r="DC136" s="530">
        <f>DF136-DB136</f>
        <v>0</v>
      </c>
      <c r="DD136" s="530">
        <v>0</v>
      </c>
      <c r="DE136" s="461">
        <f>DG136-DD136</f>
        <v>0</v>
      </c>
      <c r="DF136" s="530">
        <f>DH136/2</f>
        <v>0</v>
      </c>
      <c r="DG136" s="460">
        <f>DH136-DF136</f>
        <v>0</v>
      </c>
      <c r="DH136" s="386">
        <v>0</v>
      </c>
      <c r="DI136" s="530">
        <v>0</v>
      </c>
      <c r="DJ136" s="530">
        <f>DM136-DI136</f>
        <v>0</v>
      </c>
      <c r="DK136" s="460">
        <f>DN136/2</f>
        <v>0</v>
      </c>
      <c r="DL136" s="461">
        <f>DN136-DK136</f>
        <v>0</v>
      </c>
      <c r="DM136" s="530">
        <v>0</v>
      </c>
      <c r="DN136" s="460">
        <f>DO136-DM136</f>
        <v>0</v>
      </c>
      <c r="DO136" s="386">
        <v>0</v>
      </c>
      <c r="DP136" s="460">
        <f>DT136/2</f>
        <v>0</v>
      </c>
      <c r="DQ136" s="460">
        <f>DT136-DP136</f>
        <v>0</v>
      </c>
      <c r="DR136" s="460">
        <f>DU136/2</f>
        <v>0</v>
      </c>
      <c r="DS136" s="461">
        <f>DU136-DR136</f>
        <v>0</v>
      </c>
      <c r="DT136" s="460">
        <f>DV136/2</f>
        <v>0</v>
      </c>
      <c r="DU136" s="460">
        <f>DV136-DT136</f>
        <v>0</v>
      </c>
      <c r="DV136" s="386">
        <v>0</v>
      </c>
      <c r="DW136" s="460">
        <f>EA136/2</f>
        <v>0</v>
      </c>
      <c r="DX136" s="460">
        <f>EA136-DW136</f>
        <v>0</v>
      </c>
      <c r="DY136" s="460">
        <f>EB136/2</f>
        <v>0</v>
      </c>
      <c r="DZ136" s="461">
        <f>EB136-DY136</f>
        <v>0</v>
      </c>
      <c r="EA136" s="460">
        <f>EC136/2</f>
        <v>0</v>
      </c>
      <c r="EB136" s="460">
        <f>EC136-EA136</f>
        <v>0</v>
      </c>
      <c r="EC136" s="386">
        <v>0</v>
      </c>
      <c r="ED136" s="460">
        <f>EH136/2</f>
        <v>0</v>
      </c>
      <c r="EE136" s="460">
        <f>EH136-ED136</f>
        <v>0</v>
      </c>
      <c r="EF136" s="460">
        <f>EI136/2</f>
        <v>0</v>
      </c>
      <c r="EG136" s="461">
        <f>EI136-EF136</f>
        <v>0</v>
      </c>
      <c r="EH136" s="460">
        <f>EJ136/2</f>
        <v>0</v>
      </c>
      <c r="EI136" s="460">
        <f>EJ136-EH136</f>
        <v>0</v>
      </c>
      <c r="EJ136" s="386">
        <v>0</v>
      </c>
      <c r="EK136" s="460">
        <f>EO136/2</f>
        <v>0</v>
      </c>
      <c r="EL136" s="460">
        <f>EO136-EK136</f>
        <v>0</v>
      </c>
      <c r="EM136" s="460">
        <f>EP136/2</f>
        <v>0</v>
      </c>
      <c r="EN136" s="461">
        <f>EP136-EM136</f>
        <v>0</v>
      </c>
      <c r="EO136" s="460">
        <f>EQ136/2</f>
        <v>0</v>
      </c>
      <c r="EP136" s="460">
        <f>EQ136-EO136</f>
        <v>0</v>
      </c>
      <c r="EQ136" s="386">
        <v>0</v>
      </c>
    </row>
    <row r="137" spans="1:147" ht="10.199999999999999" customHeight="1">
      <c r="A137" s="108" t="s">
        <v>369</v>
      </c>
      <c r="B137" s="108"/>
      <c r="C137" s="108"/>
      <c r="D137" s="108"/>
      <c r="E137" s="108"/>
      <c r="F137" s="108"/>
      <c r="G137" s="108"/>
      <c r="H137" s="217"/>
      <c r="I137" s="108"/>
      <c r="J137" s="108"/>
      <c r="K137" s="108"/>
      <c r="L137" s="108"/>
      <c r="M137" s="133"/>
      <c r="N137" s="197"/>
      <c r="O137" s="530"/>
      <c r="P137" s="530"/>
      <c r="Q137" s="530"/>
      <c r="R137" s="680"/>
      <c r="S137" s="530"/>
      <c r="T137" s="530"/>
      <c r="U137" s="1278"/>
      <c r="V137" s="530"/>
      <c r="W137" s="530"/>
      <c r="X137" s="530"/>
      <c r="Y137" s="680"/>
      <c r="Z137" s="530"/>
      <c r="AA137" s="530"/>
      <c r="AB137" s="1278">
        <v>1</v>
      </c>
      <c r="AC137" s="530"/>
      <c r="AD137" s="530"/>
      <c r="AE137" s="530"/>
      <c r="AF137" s="680"/>
      <c r="AG137" s="530"/>
      <c r="AH137" s="530"/>
      <c r="AI137" s="1278">
        <v>14</v>
      </c>
      <c r="AJ137" s="530"/>
      <c r="AK137" s="530"/>
      <c r="AL137" s="530"/>
      <c r="AM137" s="680"/>
      <c r="AN137" s="530"/>
      <c r="AO137" s="530"/>
      <c r="AP137" s="1278">
        <v>49</v>
      </c>
      <c r="AQ137" s="530"/>
      <c r="AR137" s="530"/>
      <c r="AS137" s="530"/>
      <c r="AT137" s="680"/>
      <c r="AU137" s="530"/>
      <c r="AV137" s="530"/>
      <c r="AW137" s="1278">
        <v>78</v>
      </c>
      <c r="AX137" s="530"/>
      <c r="AY137" s="530"/>
      <c r="AZ137" s="530"/>
      <c r="BA137" s="680"/>
      <c r="BB137" s="530"/>
      <c r="BC137" s="530"/>
      <c r="BD137" s="1278">
        <v>78</v>
      </c>
      <c r="BE137" s="530"/>
      <c r="BF137" s="530"/>
      <c r="BG137" s="530"/>
      <c r="BH137" s="680"/>
      <c r="BI137" s="530"/>
      <c r="BJ137" s="530"/>
      <c r="BK137" s="1278">
        <v>79</v>
      </c>
      <c r="BL137" s="530"/>
      <c r="BM137" s="530"/>
      <c r="BN137" s="530"/>
      <c r="BO137" s="680"/>
      <c r="BP137" s="530"/>
      <c r="BQ137" s="530"/>
      <c r="BR137" s="1278">
        <v>87</v>
      </c>
      <c r="BS137" s="530"/>
      <c r="BT137" s="530"/>
      <c r="BU137" s="530"/>
      <c r="BV137" s="680"/>
      <c r="BW137" s="530"/>
      <c r="BX137" s="530"/>
      <c r="BY137" s="1278">
        <v>45</v>
      </c>
      <c r="BZ137" s="530"/>
      <c r="CA137" s="530"/>
      <c r="CB137" s="530"/>
      <c r="CC137" s="680"/>
      <c r="CD137" s="530"/>
      <c r="CE137" s="530"/>
      <c r="CF137" s="1278">
        <v>49</v>
      </c>
      <c r="CG137" s="530"/>
      <c r="CH137" s="530"/>
      <c r="CI137" s="530"/>
      <c r="CJ137" s="680"/>
      <c r="CK137" s="530"/>
      <c r="CL137" s="530"/>
      <c r="CM137" s="1278">
        <f>52-2</f>
        <v>50</v>
      </c>
      <c r="CN137" s="530">
        <v>5</v>
      </c>
      <c r="CO137" s="530">
        <f>CR137-CN137</f>
        <v>11</v>
      </c>
      <c r="CP137" s="530">
        <v>11</v>
      </c>
      <c r="CQ137" s="680">
        <f>CS137-CP137</f>
        <v>25</v>
      </c>
      <c r="CR137" s="530">
        <v>16</v>
      </c>
      <c r="CS137" s="530">
        <f>CT137-CR137</f>
        <v>36</v>
      </c>
      <c r="CT137" s="1278">
        <v>52</v>
      </c>
      <c r="CU137" s="530">
        <v>4</v>
      </c>
      <c r="CV137" s="530">
        <f>CY137-CU137</f>
        <v>13</v>
      </c>
      <c r="CW137" s="530">
        <v>12</v>
      </c>
      <c r="CX137" s="680">
        <f>CZ137-CW137</f>
        <v>15</v>
      </c>
      <c r="CY137" s="530">
        <v>17</v>
      </c>
      <c r="CZ137" s="530">
        <f>DA137-CY137</f>
        <v>27</v>
      </c>
      <c r="DA137" s="1278">
        <v>44</v>
      </c>
      <c r="DB137" s="530">
        <v>8</v>
      </c>
      <c r="DC137" s="530">
        <f>DF137-DB137</f>
        <v>11</v>
      </c>
      <c r="DD137" s="530">
        <v>7</v>
      </c>
      <c r="DE137" s="680">
        <f>DG137-DD137</f>
        <v>16</v>
      </c>
      <c r="DF137" s="1802">
        <v>19</v>
      </c>
      <c r="DG137" s="530">
        <f>DH137-DF137</f>
        <v>23</v>
      </c>
      <c r="DH137" s="1278">
        <v>42</v>
      </c>
      <c r="DI137" s="530">
        <v>8</v>
      </c>
      <c r="DJ137" s="530">
        <f>DM137-DI137</f>
        <v>12</v>
      </c>
      <c r="DK137" s="460">
        <v>14</v>
      </c>
      <c r="DL137" s="461">
        <f>DN137-DK137</f>
        <v>20</v>
      </c>
      <c r="DM137" s="530">
        <v>20</v>
      </c>
      <c r="DN137" s="460">
        <f>DO137-DM137</f>
        <v>34</v>
      </c>
      <c r="DO137" s="386">
        <f>DO139*0.75</f>
        <v>54</v>
      </c>
      <c r="DP137" s="460">
        <f>DT137/2</f>
        <v>16.5</v>
      </c>
      <c r="DQ137" s="460">
        <f>DT137-DP137</f>
        <v>16.5</v>
      </c>
      <c r="DR137" s="460">
        <f>DU137/2</f>
        <v>16.5</v>
      </c>
      <c r="DS137" s="461">
        <f>DU137-DR137</f>
        <v>16.5</v>
      </c>
      <c r="DT137" s="460">
        <f>DV137/2</f>
        <v>33</v>
      </c>
      <c r="DU137" s="460">
        <f>DV137-DT137</f>
        <v>33</v>
      </c>
      <c r="DV137" s="386">
        <f>DV139*0.75</f>
        <v>66</v>
      </c>
      <c r="DW137" s="460">
        <f>EA137/2</f>
        <v>18.5625</v>
      </c>
      <c r="DX137" s="460">
        <f>EA137-DW137</f>
        <v>18.5625</v>
      </c>
      <c r="DY137" s="460">
        <f>EB137/2</f>
        <v>18.5625</v>
      </c>
      <c r="DZ137" s="461">
        <f>EB137-DY137</f>
        <v>18.5625</v>
      </c>
      <c r="EA137" s="460">
        <f>EC137/2</f>
        <v>37.125</v>
      </c>
      <c r="EB137" s="460">
        <f>EC137-EA137</f>
        <v>37.125</v>
      </c>
      <c r="EC137" s="386">
        <f>EC139*0.75</f>
        <v>74.25</v>
      </c>
      <c r="ED137" s="460">
        <f>EH137/2</f>
        <v>20.625</v>
      </c>
      <c r="EE137" s="460">
        <f>EH137-ED137</f>
        <v>20.625</v>
      </c>
      <c r="EF137" s="460">
        <f>EI137/2</f>
        <v>20.625</v>
      </c>
      <c r="EG137" s="461">
        <f>EI137-EF137</f>
        <v>20.625</v>
      </c>
      <c r="EH137" s="460">
        <f>EJ137/2</f>
        <v>41.25</v>
      </c>
      <c r="EI137" s="460">
        <f>EJ137-EH137</f>
        <v>41.25</v>
      </c>
      <c r="EJ137" s="386">
        <f>EJ139*0.75</f>
        <v>82.5</v>
      </c>
      <c r="EK137" s="460">
        <f>EO137/2</f>
        <v>20.625</v>
      </c>
      <c r="EL137" s="460">
        <f>EO137-EK137</f>
        <v>20.625</v>
      </c>
      <c r="EM137" s="460">
        <f>EP137/2</f>
        <v>20.625</v>
      </c>
      <c r="EN137" s="461">
        <f>EP137-EM137</f>
        <v>20.625</v>
      </c>
      <c r="EO137" s="460">
        <f>EQ137/2</f>
        <v>41.25</v>
      </c>
      <c r="EP137" s="460">
        <f>EQ137-EO137</f>
        <v>41.25</v>
      </c>
      <c r="EQ137" s="386">
        <f>EQ139*0.75</f>
        <v>82.5</v>
      </c>
    </row>
    <row r="138" spans="1:147" ht="10.199999999999999" customHeight="1">
      <c r="A138" s="108" t="s">
        <v>370</v>
      </c>
      <c r="B138" s="108"/>
      <c r="C138" s="108"/>
      <c r="D138" s="108"/>
      <c r="E138" s="108"/>
      <c r="F138" s="108"/>
      <c r="G138" s="108"/>
      <c r="H138" s="217"/>
      <c r="I138" s="108"/>
      <c r="J138" s="108"/>
      <c r="K138" s="108"/>
      <c r="L138" s="108"/>
      <c r="M138" s="197"/>
      <c r="N138" s="197"/>
      <c r="O138" s="530"/>
      <c r="P138" s="530"/>
      <c r="Q138" s="530"/>
      <c r="R138" s="680"/>
      <c r="S138" s="530"/>
      <c r="T138" s="530"/>
      <c r="U138" s="1278"/>
      <c r="V138" s="530"/>
      <c r="W138" s="530"/>
      <c r="X138" s="530"/>
      <c r="Y138" s="680"/>
      <c r="Z138" s="530"/>
      <c r="AA138" s="530"/>
      <c r="AB138" s="1278">
        <v>0</v>
      </c>
      <c r="AC138" s="530"/>
      <c r="AD138" s="530"/>
      <c r="AE138" s="530"/>
      <c r="AF138" s="680"/>
      <c r="AG138" s="530"/>
      <c r="AH138" s="530"/>
      <c r="AI138" s="1278">
        <v>0</v>
      </c>
      <c r="AJ138" s="530"/>
      <c r="AK138" s="530"/>
      <c r="AL138" s="530"/>
      <c r="AM138" s="680"/>
      <c r="AN138" s="530"/>
      <c r="AO138" s="530"/>
      <c r="AP138" s="1278">
        <v>0</v>
      </c>
      <c r="AQ138" s="530"/>
      <c r="AR138" s="530"/>
      <c r="AS138" s="530"/>
      <c r="AT138" s="680"/>
      <c r="AU138" s="530"/>
      <c r="AV138" s="530"/>
      <c r="AW138" s="1278">
        <v>0</v>
      </c>
      <c r="AX138" s="530"/>
      <c r="AY138" s="530"/>
      <c r="AZ138" s="530"/>
      <c r="BA138" s="680"/>
      <c r="BB138" s="530"/>
      <c r="BC138" s="530"/>
      <c r="BD138" s="1278">
        <v>0</v>
      </c>
      <c r="BE138" s="530"/>
      <c r="BF138" s="530"/>
      <c r="BG138" s="530"/>
      <c r="BH138" s="680"/>
      <c r="BI138" s="530"/>
      <c r="BJ138" s="530"/>
      <c r="BK138" s="1278">
        <v>14</v>
      </c>
      <c r="BL138" s="530"/>
      <c r="BM138" s="530"/>
      <c r="BN138" s="530"/>
      <c r="BO138" s="680"/>
      <c r="BP138" s="530"/>
      <c r="BQ138" s="530"/>
      <c r="BR138" s="1278">
        <v>25</v>
      </c>
      <c r="BS138" s="530"/>
      <c r="BT138" s="530"/>
      <c r="BU138" s="530"/>
      <c r="BV138" s="680"/>
      <c r="BW138" s="530"/>
      <c r="BX138" s="530"/>
      <c r="BY138" s="1278">
        <v>14</v>
      </c>
      <c r="BZ138" s="530"/>
      <c r="CA138" s="530"/>
      <c r="CB138" s="530"/>
      <c r="CC138" s="680"/>
      <c r="CD138" s="530"/>
      <c r="CE138" s="530"/>
      <c r="CF138" s="1278">
        <v>6</v>
      </c>
      <c r="CG138" s="530"/>
      <c r="CH138" s="530"/>
      <c r="CI138" s="530"/>
      <c r="CJ138" s="680"/>
      <c r="CK138" s="530"/>
      <c r="CL138" s="530"/>
      <c r="CM138" s="1278">
        <v>10</v>
      </c>
      <c r="CN138" s="530">
        <v>0</v>
      </c>
      <c r="CO138" s="530">
        <f>CR138-CN138</f>
        <v>5</v>
      </c>
      <c r="CP138" s="530">
        <v>4</v>
      </c>
      <c r="CQ138" s="680">
        <f>CS138-CP138</f>
        <v>3</v>
      </c>
      <c r="CR138" s="530">
        <v>5</v>
      </c>
      <c r="CS138" s="530">
        <f>CT138-CR138</f>
        <v>7</v>
      </c>
      <c r="CT138" s="1278">
        <f>CT139-CT137-CT136</f>
        <v>12</v>
      </c>
      <c r="CU138" s="530">
        <v>3</v>
      </c>
      <c r="CV138" s="530">
        <f>CY138-CU138</f>
        <v>1</v>
      </c>
      <c r="CW138" s="530">
        <v>3</v>
      </c>
      <c r="CX138" s="680">
        <f>CZ138-CW138</f>
        <v>6</v>
      </c>
      <c r="CY138" s="530">
        <v>4</v>
      </c>
      <c r="CZ138" s="530">
        <f>DA138-CY138</f>
        <v>9</v>
      </c>
      <c r="DA138" s="1278">
        <v>13</v>
      </c>
      <c r="DB138" s="530">
        <v>1</v>
      </c>
      <c r="DC138" s="530">
        <f>DF138-DB138</f>
        <v>1</v>
      </c>
      <c r="DD138" s="530">
        <v>5</v>
      </c>
      <c r="DE138" s="680">
        <f>DG138-DD138</f>
        <v>8</v>
      </c>
      <c r="DF138" s="1802">
        <v>2</v>
      </c>
      <c r="DG138" s="530">
        <f>DH138-DF138</f>
        <v>13</v>
      </c>
      <c r="DH138" s="1278">
        <v>15</v>
      </c>
      <c r="DI138" s="530">
        <v>3</v>
      </c>
      <c r="DJ138" s="530">
        <f>DM138-DI138</f>
        <v>3</v>
      </c>
      <c r="DK138" s="460">
        <f>DK139-DK137</f>
        <v>4</v>
      </c>
      <c r="DL138" s="461">
        <f>DN138-DK138</f>
        <v>8</v>
      </c>
      <c r="DM138" s="530">
        <v>6</v>
      </c>
      <c r="DN138" s="460">
        <f>DO138-DM138</f>
        <v>12</v>
      </c>
      <c r="DO138" s="592">
        <f>DO139-DO137-DO136</f>
        <v>18</v>
      </c>
      <c r="DP138" s="460">
        <f>DT138/2</f>
        <v>5.5</v>
      </c>
      <c r="DQ138" s="460">
        <f>DT138-DP138</f>
        <v>5.5</v>
      </c>
      <c r="DR138" s="460">
        <f>DU138/2</f>
        <v>5.5</v>
      </c>
      <c r="DS138" s="461">
        <f>DU138-DR138</f>
        <v>5.5</v>
      </c>
      <c r="DT138" s="460">
        <f>DV138/2</f>
        <v>11</v>
      </c>
      <c r="DU138" s="460">
        <f>DV138-DT138</f>
        <v>11</v>
      </c>
      <c r="DV138" s="592">
        <f>DV139-DV137-DV136</f>
        <v>22</v>
      </c>
      <c r="DW138" s="460">
        <f>EA138/2</f>
        <v>6.1875</v>
      </c>
      <c r="DX138" s="460">
        <f>EA138-DW138</f>
        <v>6.1875</v>
      </c>
      <c r="DY138" s="460">
        <f>EB138/2</f>
        <v>6.1875</v>
      </c>
      <c r="DZ138" s="461">
        <f>EB138-DY138</f>
        <v>6.1875</v>
      </c>
      <c r="EA138" s="460">
        <f>EC138/2</f>
        <v>12.375</v>
      </c>
      <c r="EB138" s="460">
        <f>EC138-EA138</f>
        <v>12.375</v>
      </c>
      <c r="EC138" s="592">
        <f>EC139-EC137-EC136</f>
        <v>24.75</v>
      </c>
      <c r="ED138" s="460">
        <f>EH138/2</f>
        <v>6.875</v>
      </c>
      <c r="EE138" s="460">
        <f>EH138-ED138</f>
        <v>6.875</v>
      </c>
      <c r="EF138" s="460">
        <f>EI138/2</f>
        <v>6.875</v>
      </c>
      <c r="EG138" s="461">
        <f>EI138-EF138</f>
        <v>6.875</v>
      </c>
      <c r="EH138" s="460">
        <f>EJ138/2</f>
        <v>13.75</v>
      </c>
      <c r="EI138" s="460">
        <f>EJ138-EH138</f>
        <v>13.75</v>
      </c>
      <c r="EJ138" s="592">
        <f>EJ139-EJ137-EJ136</f>
        <v>27.5</v>
      </c>
      <c r="EK138" s="460">
        <f>EO138/2</f>
        <v>6.875</v>
      </c>
      <c r="EL138" s="460">
        <f>EO138-EK138</f>
        <v>6.875</v>
      </c>
      <c r="EM138" s="460">
        <f>EP138/2</f>
        <v>6.875</v>
      </c>
      <c r="EN138" s="461">
        <f>EP138-EM138</f>
        <v>6.875</v>
      </c>
      <c r="EO138" s="460">
        <f>EQ138/2</f>
        <v>13.75</v>
      </c>
      <c r="EP138" s="460">
        <f>EQ138-EO138</f>
        <v>13.75</v>
      </c>
      <c r="EQ138" s="592">
        <f>EQ139-EQ137-EQ136</f>
        <v>27.5</v>
      </c>
    </row>
    <row r="139" spans="1:147" ht="10.199999999999999" customHeight="1">
      <c r="A139" s="566" t="s">
        <v>732</v>
      </c>
      <c r="B139" s="566">
        <v>0</v>
      </c>
      <c r="C139" s="566">
        <v>0</v>
      </c>
      <c r="D139" s="566">
        <v>0</v>
      </c>
      <c r="E139" s="566">
        <v>0</v>
      </c>
      <c r="F139" s="566">
        <v>0</v>
      </c>
      <c r="G139" s="566">
        <v>0</v>
      </c>
      <c r="H139" s="566">
        <v>0</v>
      </c>
      <c r="I139" s="566">
        <v>0</v>
      </c>
      <c r="J139" s="566">
        <v>0</v>
      </c>
      <c r="K139" s="566">
        <v>0</v>
      </c>
      <c r="L139" s="566">
        <v>0</v>
      </c>
      <c r="M139" s="566">
        <v>0</v>
      </c>
      <c r="N139" s="566">
        <v>0</v>
      </c>
      <c r="O139" s="1376"/>
      <c r="P139" s="1376"/>
      <c r="Q139" s="1376"/>
      <c r="R139" s="1377"/>
      <c r="S139" s="1376"/>
      <c r="T139" s="1376"/>
      <c r="U139" s="1378">
        <v>0</v>
      </c>
      <c r="V139" s="1376"/>
      <c r="W139" s="1376"/>
      <c r="X139" s="1376"/>
      <c r="Y139" s="1377"/>
      <c r="Z139" s="1376"/>
      <c r="AA139" s="1376"/>
      <c r="AB139" s="1378">
        <f t="shared" ref="AB139:CM139" si="588">SUM(AB136:AB138)</f>
        <v>1</v>
      </c>
      <c r="AC139" s="1376"/>
      <c r="AD139" s="1376"/>
      <c r="AE139" s="1376"/>
      <c r="AF139" s="1377"/>
      <c r="AG139" s="1376"/>
      <c r="AH139" s="1376"/>
      <c r="AI139" s="1378">
        <f t="shared" si="588"/>
        <v>14</v>
      </c>
      <c r="AJ139" s="1376"/>
      <c r="AK139" s="1376"/>
      <c r="AL139" s="1376"/>
      <c r="AM139" s="1377"/>
      <c r="AN139" s="1376"/>
      <c r="AO139" s="1376"/>
      <c r="AP139" s="1378">
        <f t="shared" si="588"/>
        <v>49</v>
      </c>
      <c r="AQ139" s="1376">
        <f>Divisional!AP204</f>
        <v>13</v>
      </c>
      <c r="AR139" s="1376">
        <f>Divisional!AQ204</f>
        <v>17</v>
      </c>
      <c r="AS139" s="1376">
        <f>Divisional!AR204</f>
        <v>20</v>
      </c>
      <c r="AT139" s="1377">
        <f>Divisional!AS204</f>
        <v>28</v>
      </c>
      <c r="AU139" s="1376">
        <f>Divisional!AT204</f>
        <v>30</v>
      </c>
      <c r="AV139" s="1376">
        <f>Divisional!AU204</f>
        <v>48</v>
      </c>
      <c r="AW139" s="1378">
        <f t="shared" si="588"/>
        <v>78</v>
      </c>
      <c r="AX139" s="1376">
        <f>Divisional!AW204</f>
        <v>13</v>
      </c>
      <c r="AY139" s="1376">
        <f>Divisional!AX204</f>
        <v>17</v>
      </c>
      <c r="AZ139" s="1376">
        <f>Divisional!AY204</f>
        <v>20</v>
      </c>
      <c r="BA139" s="1377">
        <f>Divisional!AZ204</f>
        <v>28</v>
      </c>
      <c r="BB139" s="1376">
        <f>Divisional!BA204</f>
        <v>30</v>
      </c>
      <c r="BC139" s="1376">
        <f>Divisional!BB204</f>
        <v>48</v>
      </c>
      <c r="BD139" s="1378">
        <f>SUM(BD136:BD138)</f>
        <v>78</v>
      </c>
      <c r="BE139" s="1376">
        <f>Divisional!BD204</f>
        <v>17</v>
      </c>
      <c r="BF139" s="1376">
        <f>Divisional!BE204</f>
        <v>23</v>
      </c>
      <c r="BG139" s="1376">
        <f>Divisional!BF204</f>
        <v>21</v>
      </c>
      <c r="BH139" s="1377">
        <f>Divisional!BG204</f>
        <v>32</v>
      </c>
      <c r="BI139" s="1376">
        <f>Divisional!BH204</f>
        <v>40</v>
      </c>
      <c r="BJ139" s="1376">
        <f>Divisional!BI204</f>
        <v>53</v>
      </c>
      <c r="BK139" s="1378">
        <f t="shared" si="588"/>
        <v>93</v>
      </c>
      <c r="BL139" s="1376">
        <f>Divisional!BK204</f>
        <v>19</v>
      </c>
      <c r="BM139" s="1376">
        <f>Divisional!BL204</f>
        <v>34</v>
      </c>
      <c r="BN139" s="1376">
        <f>Divisional!BM204</f>
        <v>24</v>
      </c>
      <c r="BO139" s="1377">
        <f>Divisional!BN204</f>
        <v>35</v>
      </c>
      <c r="BP139" s="1376">
        <f>Divisional!BO204</f>
        <v>53</v>
      </c>
      <c r="BQ139" s="1376">
        <f>Divisional!BP204</f>
        <v>59</v>
      </c>
      <c r="BR139" s="1378">
        <f t="shared" si="588"/>
        <v>112</v>
      </c>
      <c r="BS139" s="1376">
        <f>Divisional!BY204</f>
        <v>14</v>
      </c>
      <c r="BT139" s="1376">
        <f>Divisional!BZ204</f>
        <v>9</v>
      </c>
      <c r="BU139" s="1376">
        <f>Divisional!CA204</f>
        <v>9</v>
      </c>
      <c r="BV139" s="1377">
        <f>Divisional!CB204</f>
        <v>27</v>
      </c>
      <c r="BW139" s="1376">
        <f>Divisional!CC204</f>
        <v>23</v>
      </c>
      <c r="BX139" s="1376">
        <f>Divisional!CD204</f>
        <v>36</v>
      </c>
      <c r="BY139" s="1378">
        <f t="shared" si="588"/>
        <v>59</v>
      </c>
      <c r="BZ139" s="1376">
        <f>Divisional!CF204</f>
        <v>10</v>
      </c>
      <c r="CA139" s="1376">
        <f>Divisional!CG204</f>
        <v>20</v>
      </c>
      <c r="CB139" s="1376">
        <f>Divisional!CH204</f>
        <v>6</v>
      </c>
      <c r="CC139" s="1377">
        <f>Divisional!CI204</f>
        <v>19</v>
      </c>
      <c r="CD139" s="1376">
        <f>Divisional!CJ204</f>
        <v>30</v>
      </c>
      <c r="CE139" s="1376">
        <f>Divisional!CK204</f>
        <v>25</v>
      </c>
      <c r="CF139" s="1378">
        <f t="shared" si="588"/>
        <v>55</v>
      </c>
      <c r="CG139" s="1376">
        <f>Divisional!CM204</f>
        <v>16</v>
      </c>
      <c r="CH139" s="1376">
        <f>Divisional!CN204</f>
        <v>13</v>
      </c>
      <c r="CI139" s="1376">
        <f>Divisional!CO204</f>
        <v>13</v>
      </c>
      <c r="CJ139" s="1377">
        <f>Divisional!CP204</f>
        <v>18</v>
      </c>
      <c r="CK139" s="1376">
        <f>Divisional!CQ204</f>
        <v>29</v>
      </c>
      <c r="CL139" s="1376">
        <f>Divisional!CR204</f>
        <v>31</v>
      </c>
      <c r="CM139" s="1378">
        <f t="shared" si="588"/>
        <v>60</v>
      </c>
      <c r="CN139" s="1376">
        <f>CN136+CN137+CN138</f>
        <v>5</v>
      </c>
      <c r="CO139" s="1376">
        <f>CR139-CN139</f>
        <v>16</v>
      </c>
      <c r="CP139" s="1376">
        <f>CP137+CP138</f>
        <v>15</v>
      </c>
      <c r="CQ139" s="1377">
        <f>CS139-CP139</f>
        <v>28</v>
      </c>
      <c r="CR139" s="1376">
        <f>CR136+CR137+CR138</f>
        <v>21</v>
      </c>
      <c r="CS139" s="1376">
        <f>CT139-CR139</f>
        <v>43</v>
      </c>
      <c r="CT139" s="1378">
        <v>64</v>
      </c>
      <c r="CU139" s="1376">
        <f>CU136+CU137+CU138</f>
        <v>7</v>
      </c>
      <c r="CV139" s="1376">
        <f>CY139-CU139</f>
        <v>14</v>
      </c>
      <c r="CW139" s="1376">
        <f>CW137+CW138</f>
        <v>15</v>
      </c>
      <c r="CX139" s="1377">
        <f>CZ139-CW139</f>
        <v>21</v>
      </c>
      <c r="CY139" s="1376">
        <f>CY136+CY137+CY138</f>
        <v>21</v>
      </c>
      <c r="CZ139" s="1376">
        <f>DA139-CY139</f>
        <v>36</v>
      </c>
      <c r="DA139" s="1378">
        <f>DA137+DA138</f>
        <v>57</v>
      </c>
      <c r="DB139" s="1376">
        <f>DB136+DB137+DB138</f>
        <v>9</v>
      </c>
      <c r="DC139" s="1376">
        <f>DF139-DB139</f>
        <v>12</v>
      </c>
      <c r="DD139" s="1376">
        <f>DD137+DD138</f>
        <v>12</v>
      </c>
      <c r="DE139" s="1377">
        <f>DG139-DD139</f>
        <v>24</v>
      </c>
      <c r="DF139" s="1376">
        <f>DF136+DF137+DF138</f>
        <v>21</v>
      </c>
      <c r="DG139" s="1376">
        <f>DH139-DF139</f>
        <v>36</v>
      </c>
      <c r="DH139" s="1378">
        <f>DH137+DH138</f>
        <v>57</v>
      </c>
      <c r="DI139" s="1376">
        <f>DI136+DI137+DI138</f>
        <v>11</v>
      </c>
      <c r="DJ139" s="1376">
        <f>DM139-DI139</f>
        <v>15</v>
      </c>
      <c r="DK139" s="1773">
        <v>18</v>
      </c>
      <c r="DL139" s="1928">
        <v>28</v>
      </c>
      <c r="DM139" s="1376">
        <f>DM136+DM137+DM138</f>
        <v>26</v>
      </c>
      <c r="DN139" s="575">
        <f>DK139+DL139</f>
        <v>46</v>
      </c>
      <c r="DO139" s="591">
        <f>DM139+DN139</f>
        <v>72</v>
      </c>
      <c r="DP139" s="575">
        <f>DK97</f>
        <v>22</v>
      </c>
      <c r="DQ139" s="575">
        <f>DL97</f>
        <v>22</v>
      </c>
      <c r="DR139" s="575">
        <f>DP97</f>
        <v>22</v>
      </c>
      <c r="DS139" s="576">
        <f>DQ97</f>
        <v>22</v>
      </c>
      <c r="DT139" s="575">
        <f>DP139+DQ139</f>
        <v>44</v>
      </c>
      <c r="DU139" s="575">
        <f>DR139+DS139</f>
        <v>44</v>
      </c>
      <c r="DV139" s="591">
        <f>DT139+DU139</f>
        <v>88</v>
      </c>
      <c r="DW139" s="575">
        <f>DR97</f>
        <v>24.75</v>
      </c>
      <c r="DX139" s="575">
        <f>DS97</f>
        <v>24.75</v>
      </c>
      <c r="DY139" s="575">
        <f>DW97</f>
        <v>24.75</v>
      </c>
      <c r="DZ139" s="576">
        <f>DX97</f>
        <v>24.75</v>
      </c>
      <c r="EA139" s="575">
        <f>DW139+DX139</f>
        <v>49.5</v>
      </c>
      <c r="EB139" s="575">
        <f>DY139+DZ139</f>
        <v>49.5</v>
      </c>
      <c r="EC139" s="591">
        <f>EA139+EB139</f>
        <v>99</v>
      </c>
      <c r="ED139" s="575">
        <f>DY97</f>
        <v>27.5</v>
      </c>
      <c r="EE139" s="575">
        <f>DZ97</f>
        <v>27.5</v>
      </c>
      <c r="EF139" s="575">
        <f>ED97</f>
        <v>27.5</v>
      </c>
      <c r="EG139" s="576">
        <f>EE97</f>
        <v>27.5</v>
      </c>
      <c r="EH139" s="575">
        <f>ED139+EE139</f>
        <v>55</v>
      </c>
      <c r="EI139" s="575">
        <f>EF139+EG139</f>
        <v>55</v>
      </c>
      <c r="EJ139" s="591">
        <f>EH139+EI139</f>
        <v>110</v>
      </c>
      <c r="EK139" s="575">
        <f>EF97</f>
        <v>27.5</v>
      </c>
      <c r="EL139" s="575">
        <f>EG97</f>
        <v>27.5</v>
      </c>
      <c r="EM139" s="575">
        <f>EK97</f>
        <v>27.5</v>
      </c>
      <c r="EN139" s="576">
        <f>EL97</f>
        <v>27.5</v>
      </c>
      <c r="EO139" s="575">
        <f>EK139+EL139</f>
        <v>55</v>
      </c>
      <c r="EP139" s="575">
        <f>EM139+EN139</f>
        <v>55</v>
      </c>
      <c r="EQ139" s="591">
        <f>EO139+EP139</f>
        <v>110</v>
      </c>
    </row>
    <row r="140" spans="1:147" ht="10.199999999999999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556"/>
      <c r="P140" s="472"/>
      <c r="Q140" s="472"/>
      <c r="R140" s="704"/>
      <c r="S140" s="556"/>
      <c r="T140" s="556"/>
      <c r="U140" s="1379"/>
      <c r="V140" s="556"/>
      <c r="W140" s="472"/>
      <c r="X140" s="472"/>
      <c r="Y140" s="704"/>
      <c r="Z140" s="556"/>
      <c r="AA140" s="556"/>
      <c r="AB140" s="1379"/>
      <c r="AC140" s="556"/>
      <c r="AD140" s="472"/>
      <c r="AE140" s="472"/>
      <c r="AF140" s="704"/>
      <c r="AG140" s="556"/>
      <c r="AH140" s="556"/>
      <c r="AI140" s="1379"/>
      <c r="AJ140" s="556"/>
      <c r="AK140" s="472"/>
      <c r="AL140" s="472"/>
      <c r="AM140" s="704"/>
      <c r="AN140" s="556"/>
      <c r="AO140" s="556"/>
      <c r="AP140" s="1379"/>
      <c r="AQ140" s="556"/>
      <c r="AR140" s="472"/>
      <c r="AS140" s="472"/>
      <c r="AT140" s="704"/>
      <c r="AU140" s="556"/>
      <c r="AV140" s="556"/>
      <c r="AW140" s="1379"/>
      <c r="AX140" s="556"/>
      <c r="AY140" s="472"/>
      <c r="AZ140" s="472"/>
      <c r="BA140" s="704"/>
      <c r="BB140" s="556"/>
      <c r="BC140" s="556"/>
      <c r="BD140" s="1379"/>
      <c r="BE140" s="556"/>
      <c r="BF140" s="472"/>
      <c r="BG140" s="472"/>
      <c r="BH140" s="704"/>
      <c r="BI140" s="556"/>
      <c r="BJ140" s="556"/>
      <c r="BK140" s="1379"/>
      <c r="BL140" s="556"/>
      <c r="BM140" s="472"/>
      <c r="BN140" s="472"/>
      <c r="BO140" s="704"/>
      <c r="BP140" s="556"/>
      <c r="BQ140" s="556"/>
      <c r="BR140" s="1379"/>
      <c r="BS140" s="556"/>
      <c r="BT140" s="472"/>
      <c r="BU140" s="472"/>
      <c r="BV140" s="704"/>
      <c r="BW140" s="556"/>
      <c r="BX140" s="556"/>
      <c r="BY140" s="1379"/>
      <c r="BZ140" s="556"/>
      <c r="CA140" s="472"/>
      <c r="CB140" s="472"/>
      <c r="CC140" s="704"/>
      <c r="CD140" s="556"/>
      <c r="CE140" s="556"/>
      <c r="CF140" s="1379"/>
      <c r="CG140" s="556"/>
      <c r="CH140" s="472"/>
      <c r="CI140" s="472"/>
      <c r="CJ140" s="704"/>
      <c r="CK140" s="556"/>
      <c r="CL140" s="556"/>
      <c r="CM140" s="1379"/>
      <c r="CN140" s="556"/>
      <c r="CO140" s="472"/>
      <c r="CP140" s="472"/>
      <c r="CQ140" s="704"/>
      <c r="CR140" s="556"/>
      <c r="CS140" s="556"/>
      <c r="CT140" s="1379"/>
      <c r="CU140" s="556"/>
      <c r="CV140" s="472"/>
      <c r="CW140" s="472"/>
      <c r="CX140" s="704"/>
      <c r="CY140" s="556"/>
      <c r="CZ140" s="556"/>
      <c r="DA140" s="1379"/>
      <c r="DB140" s="556"/>
      <c r="DC140" s="472"/>
      <c r="DD140" s="472"/>
      <c r="DE140" s="473"/>
      <c r="DF140" s="472"/>
      <c r="DG140" s="472"/>
      <c r="DH140" s="537"/>
      <c r="DI140" s="556"/>
      <c r="DJ140" s="472"/>
      <c r="DK140" s="472"/>
      <c r="DL140" s="473"/>
      <c r="DM140" s="472"/>
      <c r="DN140" s="472"/>
      <c r="DO140" s="537"/>
      <c r="DP140" s="472"/>
      <c r="DQ140" s="472"/>
      <c r="DR140" s="472"/>
      <c r="DS140" s="473"/>
      <c r="DT140" s="472"/>
      <c r="DU140" s="472"/>
      <c r="DV140" s="537"/>
      <c r="DW140" s="472"/>
      <c r="DX140" s="472"/>
      <c r="DY140" s="472"/>
      <c r="DZ140" s="473"/>
      <c r="EA140" s="472"/>
      <c r="EB140" s="472"/>
      <c r="EC140" s="537"/>
      <c r="ED140" s="472"/>
      <c r="EE140" s="472"/>
      <c r="EF140" s="472"/>
      <c r="EG140" s="473"/>
      <c r="EH140" s="472"/>
      <c r="EI140" s="472"/>
      <c r="EJ140" s="537"/>
      <c r="EK140" s="472"/>
      <c r="EL140" s="472"/>
      <c r="EM140" s="472"/>
      <c r="EN140" s="473"/>
      <c r="EO140" s="472"/>
      <c r="EP140" s="472"/>
      <c r="EQ140" s="537"/>
    </row>
    <row r="141" spans="1:147" ht="10.199999999999999" customHeight="1">
      <c r="A141" s="566" t="s">
        <v>733</v>
      </c>
      <c r="B141" s="566">
        <v>0</v>
      </c>
      <c r="C141" s="566">
        <v>0</v>
      </c>
      <c r="D141" s="566">
        <v>0</v>
      </c>
      <c r="E141" s="566">
        <v>0</v>
      </c>
      <c r="F141" s="566">
        <v>0</v>
      </c>
      <c r="G141" s="566">
        <v>0</v>
      </c>
      <c r="H141" s="566">
        <v>0</v>
      </c>
      <c r="I141" s="566">
        <v>1</v>
      </c>
      <c r="J141" s="566">
        <v>12</v>
      </c>
      <c r="K141" s="566">
        <v>10</v>
      </c>
      <c r="L141" s="566">
        <v>18</v>
      </c>
      <c r="M141" s="566">
        <v>26</v>
      </c>
      <c r="N141" s="566">
        <v>30</v>
      </c>
      <c r="O141" s="571"/>
      <c r="P141" s="571"/>
      <c r="Q141" s="571"/>
      <c r="R141" s="1380"/>
      <c r="S141" s="571"/>
      <c r="T141" s="1381"/>
      <c r="U141" s="1382">
        <v>25</v>
      </c>
      <c r="V141" s="571"/>
      <c r="W141" s="571"/>
      <c r="X141" s="571"/>
      <c r="Y141" s="1380"/>
      <c r="Z141" s="571"/>
      <c r="AA141" s="1381"/>
      <c r="AB141" s="1382">
        <v>30</v>
      </c>
      <c r="AC141" s="571"/>
      <c r="AD141" s="571"/>
      <c r="AE141" s="571"/>
      <c r="AF141" s="1380"/>
      <c r="AG141" s="571"/>
      <c r="AH141" s="1381"/>
      <c r="AI141" s="1382">
        <v>27</v>
      </c>
      <c r="AJ141" s="571"/>
      <c r="AK141" s="571"/>
      <c r="AL141" s="571"/>
      <c r="AM141" s="1380"/>
      <c r="AN141" s="571"/>
      <c r="AO141" s="1381"/>
      <c r="AP141" s="1382">
        <v>28</v>
      </c>
      <c r="AQ141" s="1765">
        <f>Divisional!AP205</f>
        <v>3</v>
      </c>
      <c r="AR141" s="1765">
        <f>Divisional!AQ205</f>
        <v>3</v>
      </c>
      <c r="AS141" s="1765">
        <f>Divisional!AR205</f>
        <v>3</v>
      </c>
      <c r="AT141" s="1767">
        <f>Divisional!AS205</f>
        <v>6</v>
      </c>
      <c r="AU141" s="1765">
        <f>Divisional!AT205</f>
        <v>6</v>
      </c>
      <c r="AV141" s="1765">
        <f>Divisional!AU205</f>
        <v>9</v>
      </c>
      <c r="AW141" s="1382">
        <v>15</v>
      </c>
      <c r="AX141" s="1765">
        <f>Divisional!AW205</f>
        <v>3</v>
      </c>
      <c r="AY141" s="1765">
        <f>Divisional!AX205</f>
        <v>3</v>
      </c>
      <c r="AZ141" s="1765">
        <f>Divisional!AY205</f>
        <v>3</v>
      </c>
      <c r="BA141" s="1767">
        <f>Divisional!AZ205</f>
        <v>6</v>
      </c>
      <c r="BB141" s="1765">
        <f>Divisional!BA205</f>
        <v>6</v>
      </c>
      <c r="BC141" s="1765">
        <f>Divisional!BB205</f>
        <v>9</v>
      </c>
      <c r="BD141" s="1382">
        <v>15</v>
      </c>
      <c r="BE141" s="1765">
        <f>Divisional!BD205</f>
        <v>1</v>
      </c>
      <c r="BF141" s="1765">
        <f>Divisional!BE205</f>
        <v>5</v>
      </c>
      <c r="BG141" s="1765">
        <f>Divisional!BF205</f>
        <v>2</v>
      </c>
      <c r="BH141" s="1767">
        <f>Divisional!BG205</f>
        <v>4</v>
      </c>
      <c r="BI141" s="1765">
        <f>Divisional!BH205</f>
        <v>6</v>
      </c>
      <c r="BJ141" s="1765">
        <f>Divisional!BI205</f>
        <v>6</v>
      </c>
      <c r="BK141" s="1382">
        <v>12</v>
      </c>
      <c r="BL141" s="1765">
        <f>Divisional!BK205</f>
        <v>1</v>
      </c>
      <c r="BM141" s="1765">
        <f>Divisional!BL205</f>
        <v>3</v>
      </c>
      <c r="BN141" s="1765">
        <f>Divisional!BM205</f>
        <v>1</v>
      </c>
      <c r="BO141" s="1767">
        <f>Divisional!BN205</f>
        <v>3</v>
      </c>
      <c r="BP141" s="1765">
        <f>Divisional!BO205</f>
        <v>4</v>
      </c>
      <c r="BQ141" s="1765">
        <f>Divisional!BP205</f>
        <v>4</v>
      </c>
      <c r="BR141" s="1382">
        <v>8</v>
      </c>
      <c r="BS141" s="1765">
        <f>Divisional!BY205</f>
        <v>0</v>
      </c>
      <c r="BT141" s="1765">
        <f>Divisional!BZ205</f>
        <v>0</v>
      </c>
      <c r="BU141" s="1765">
        <f>Divisional!CA205</f>
        <v>0</v>
      </c>
      <c r="BV141" s="1380">
        <f>Divisional!CB205</f>
        <v>4</v>
      </c>
      <c r="BW141" s="1765">
        <f>Divisional!CC205</f>
        <v>0</v>
      </c>
      <c r="BX141" s="1381">
        <f>Divisional!CD205</f>
        <v>4</v>
      </c>
      <c r="BY141" s="1382">
        <v>4</v>
      </c>
      <c r="BZ141" s="1765">
        <f>Divisional!CF205</f>
        <v>0</v>
      </c>
      <c r="CA141" s="1765">
        <f>Divisional!CG205</f>
        <v>2</v>
      </c>
      <c r="CB141" s="1765">
        <f>Divisional!CH205</f>
        <v>0</v>
      </c>
      <c r="CC141" s="1380">
        <f>Divisional!CI205</f>
        <v>3</v>
      </c>
      <c r="CD141" s="1765">
        <f>Divisional!CJ205</f>
        <v>2</v>
      </c>
      <c r="CE141" s="1381">
        <f>Divisional!CK205</f>
        <v>3</v>
      </c>
      <c r="CF141" s="1382">
        <v>5</v>
      </c>
      <c r="CG141" s="1765">
        <f>Divisional!CM205</f>
        <v>0</v>
      </c>
      <c r="CH141" s="1765">
        <f>Divisional!CN205</f>
        <v>0</v>
      </c>
      <c r="CI141" s="1765">
        <f>Divisional!CO205</f>
        <v>0</v>
      </c>
      <c r="CJ141" s="1380">
        <f>Divisional!CP205</f>
        <v>0</v>
      </c>
      <c r="CK141" s="1765">
        <f>Divisional!CQ205</f>
        <v>0</v>
      </c>
      <c r="CL141" s="1381">
        <f>Divisional!CR205</f>
        <v>0</v>
      </c>
      <c r="CM141" s="1382">
        <v>0</v>
      </c>
      <c r="CN141" s="571">
        <v>0</v>
      </c>
      <c r="CO141" s="571">
        <f>CR141-CN141</f>
        <v>0</v>
      </c>
      <c r="CP141" s="571">
        <v>0</v>
      </c>
      <c r="CQ141" s="1380">
        <f>CS141-CP141</f>
        <v>0</v>
      </c>
      <c r="CR141" s="571">
        <v>0</v>
      </c>
      <c r="CS141" s="1381">
        <f>CT141-CR141</f>
        <v>0</v>
      </c>
      <c r="CT141" s="1382">
        <v>0</v>
      </c>
      <c r="CU141" s="571">
        <v>0</v>
      </c>
      <c r="CV141" s="571">
        <f>CY141-CU141</f>
        <v>0</v>
      </c>
      <c r="CW141" s="571">
        <v>0</v>
      </c>
      <c r="CX141" s="1380">
        <f>CZ141-CW141</f>
        <v>0</v>
      </c>
      <c r="CY141" s="571">
        <v>0</v>
      </c>
      <c r="CZ141" s="1381">
        <f>DA141-CY141</f>
        <v>0</v>
      </c>
      <c r="DA141" s="1382">
        <v>0</v>
      </c>
      <c r="DB141" s="571">
        <v>0</v>
      </c>
      <c r="DC141" s="571">
        <f>DF141-DB141</f>
        <v>0</v>
      </c>
      <c r="DD141" s="571">
        <f>DG141/2</f>
        <v>0</v>
      </c>
      <c r="DE141" s="1380">
        <f>DG141-DD141</f>
        <v>0</v>
      </c>
      <c r="DF141" s="571">
        <v>0</v>
      </c>
      <c r="DG141" s="1381">
        <f>DH141-DF141</f>
        <v>0</v>
      </c>
      <c r="DH141" s="1382">
        <v>0</v>
      </c>
      <c r="DI141" s="571">
        <v>0</v>
      </c>
      <c r="DJ141" s="571">
        <f>DM141-DI141</f>
        <v>0</v>
      </c>
      <c r="DK141" s="577">
        <f>DN141/2</f>
        <v>0</v>
      </c>
      <c r="DL141" s="658">
        <f>DN141-DK141</f>
        <v>0</v>
      </c>
      <c r="DM141" s="571">
        <v>0</v>
      </c>
      <c r="DN141" s="657">
        <f>DO141-DM141</f>
        <v>0</v>
      </c>
      <c r="DO141" s="1259">
        <v>0</v>
      </c>
      <c r="DP141" s="577">
        <f>DT141/2</f>
        <v>0</v>
      </c>
      <c r="DQ141" s="577">
        <f>DT141-DP141</f>
        <v>0</v>
      </c>
      <c r="DR141" s="577">
        <f>DU141/2</f>
        <v>0</v>
      </c>
      <c r="DS141" s="658">
        <f>DU141-DR141</f>
        <v>0</v>
      </c>
      <c r="DT141" s="577">
        <f>DV141/2</f>
        <v>0</v>
      </c>
      <c r="DU141" s="657">
        <f>DV141-DT141</f>
        <v>0</v>
      </c>
      <c r="DV141" s="1259">
        <v>0</v>
      </c>
      <c r="DW141" s="577">
        <f>EA141/2</f>
        <v>0</v>
      </c>
      <c r="DX141" s="577">
        <f>EA141-DW141</f>
        <v>0</v>
      </c>
      <c r="DY141" s="577">
        <f>EB141/2</f>
        <v>0</v>
      </c>
      <c r="DZ141" s="658">
        <f>EB141-DY141</f>
        <v>0</v>
      </c>
      <c r="EA141" s="577">
        <f>EC141/2</f>
        <v>0</v>
      </c>
      <c r="EB141" s="657">
        <f>EC141-EA141</f>
        <v>0</v>
      </c>
      <c r="EC141" s="1259">
        <v>0</v>
      </c>
      <c r="ED141" s="577">
        <f>EH141/2</f>
        <v>0</v>
      </c>
      <c r="EE141" s="577">
        <f>EH141-ED141</f>
        <v>0</v>
      </c>
      <c r="EF141" s="577">
        <f>EI141/2</f>
        <v>0</v>
      </c>
      <c r="EG141" s="658">
        <f>EI141-EF141</f>
        <v>0</v>
      </c>
      <c r="EH141" s="577">
        <f>EJ141/2</f>
        <v>0</v>
      </c>
      <c r="EI141" s="657">
        <f>EJ141-EH141</f>
        <v>0</v>
      </c>
      <c r="EJ141" s="1259">
        <v>0</v>
      </c>
      <c r="EK141" s="577">
        <f>EO141/2</f>
        <v>0</v>
      </c>
      <c r="EL141" s="577">
        <f>EO141-EK141</f>
        <v>0</v>
      </c>
      <c r="EM141" s="577">
        <f>EP141/2</f>
        <v>0</v>
      </c>
      <c r="EN141" s="658">
        <f>EP141-EM141</f>
        <v>0</v>
      </c>
      <c r="EO141" s="577">
        <f>EQ141/2</f>
        <v>0</v>
      </c>
      <c r="EP141" s="657">
        <f>EQ141-EO141</f>
        <v>0</v>
      </c>
      <c r="EQ141" s="1259">
        <v>0</v>
      </c>
    </row>
    <row r="142" spans="1:147" ht="10.199999999999999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2"/>
      <c r="P142" s="474"/>
      <c r="Q142" s="474"/>
      <c r="R142" s="705"/>
      <c r="S142" s="2"/>
      <c r="T142" s="2"/>
      <c r="U142" s="1383"/>
      <c r="V142" s="2"/>
      <c r="W142" s="474"/>
      <c r="X142" s="474"/>
      <c r="Y142" s="705"/>
      <c r="Z142" s="2"/>
      <c r="AA142" s="2"/>
      <c r="AB142" s="1383"/>
      <c r="AC142" s="2"/>
      <c r="AD142" s="474"/>
      <c r="AE142" s="474"/>
      <c r="AF142" s="705"/>
      <c r="AG142" s="2"/>
      <c r="AH142" s="2"/>
      <c r="AI142" s="1383"/>
      <c r="AJ142" s="2"/>
      <c r="AK142" s="474"/>
      <c r="AL142" s="474"/>
      <c r="AM142" s="705"/>
      <c r="AN142" s="2"/>
      <c r="AO142" s="2"/>
      <c r="AP142" s="1383"/>
      <c r="AQ142" s="2"/>
      <c r="AR142" s="474"/>
      <c r="AS142" s="474"/>
      <c r="AT142" s="705"/>
      <c r="AU142" s="2"/>
      <c r="AV142" s="2"/>
      <c r="AW142" s="1383"/>
      <c r="AX142" s="2"/>
      <c r="AY142" s="474"/>
      <c r="AZ142" s="474"/>
      <c r="BA142" s="705"/>
      <c r="BB142" s="2"/>
      <c r="BC142" s="2"/>
      <c r="BD142" s="1383"/>
      <c r="BE142" s="2"/>
      <c r="BF142" s="474"/>
      <c r="BG142" s="474"/>
      <c r="BH142" s="705"/>
      <c r="BI142" s="2"/>
      <c r="BJ142" s="2"/>
      <c r="BK142" s="1383"/>
      <c r="BL142" s="2"/>
      <c r="BM142" s="474"/>
      <c r="BN142" s="474"/>
      <c r="BO142" s="705"/>
      <c r="BP142" s="2"/>
      <c r="BQ142" s="2"/>
      <c r="BR142" s="1383"/>
      <c r="BS142" s="2"/>
      <c r="BT142" s="474"/>
      <c r="BU142" s="474"/>
      <c r="BV142" s="705"/>
      <c r="BW142" s="2"/>
      <c r="BX142" s="2"/>
      <c r="BY142" s="1383"/>
      <c r="BZ142" s="2"/>
      <c r="CA142" s="474"/>
      <c r="CB142" s="474"/>
      <c r="CC142" s="705"/>
      <c r="CD142" s="2"/>
      <c r="CE142" s="2"/>
      <c r="CF142" s="1383"/>
      <c r="CG142" s="2"/>
      <c r="CH142" s="474"/>
      <c r="CI142" s="474"/>
      <c r="CJ142" s="705"/>
      <c r="CK142" s="2"/>
      <c r="CL142" s="2"/>
      <c r="CM142" s="1383"/>
      <c r="CN142" s="2"/>
      <c r="CO142" s="474"/>
      <c r="CP142" s="474"/>
      <c r="CQ142" s="705"/>
      <c r="CR142" s="2"/>
      <c r="CS142" s="2"/>
      <c r="CT142" s="1383"/>
      <c r="CU142" s="2"/>
      <c r="CV142" s="474"/>
      <c r="CW142" s="474"/>
      <c r="CX142" s="705"/>
      <c r="CY142" s="2"/>
      <c r="CZ142" s="2"/>
      <c r="DA142" s="1383"/>
      <c r="DB142" s="2"/>
      <c r="DC142" s="474"/>
      <c r="DD142" s="474"/>
      <c r="DE142" s="475"/>
      <c r="DF142" s="2"/>
      <c r="DG142" s="474"/>
      <c r="DH142" s="1106"/>
      <c r="DI142" s="474"/>
      <c r="DJ142" s="474"/>
      <c r="DK142" s="474"/>
      <c r="DL142" s="475"/>
      <c r="DM142" s="474"/>
      <c r="DN142" s="474"/>
      <c r="DO142" s="590"/>
      <c r="DP142" s="474"/>
      <c r="DQ142" s="474"/>
      <c r="DR142" s="474"/>
      <c r="DS142" s="475"/>
      <c r="DT142" s="474"/>
      <c r="DU142" s="474"/>
      <c r="DV142" s="590"/>
      <c r="DW142" s="474"/>
      <c r="DX142" s="474"/>
      <c r="DY142" s="474"/>
      <c r="DZ142" s="475"/>
      <c r="EA142" s="474"/>
      <c r="EB142" s="474"/>
      <c r="EC142" s="590"/>
      <c r="ED142" s="474"/>
      <c r="EE142" s="474"/>
      <c r="EF142" s="474"/>
      <c r="EG142" s="475"/>
      <c r="EH142" s="474"/>
      <c r="EI142" s="474"/>
      <c r="EJ142" s="590"/>
      <c r="EK142" s="474"/>
      <c r="EL142" s="474"/>
      <c r="EM142" s="474"/>
      <c r="EN142" s="475"/>
      <c r="EO142" s="474"/>
      <c r="EP142" s="474"/>
      <c r="EQ142" s="590"/>
    </row>
    <row r="143" spans="1:147" ht="10.199999999999999" customHeight="1">
      <c r="A143" s="633" t="s">
        <v>729</v>
      </c>
      <c r="B143" s="633">
        <f t="shared" ref="B143:CN143" si="589">B104+B106+B119+B129+B134+B139+B141</f>
        <v>284</v>
      </c>
      <c r="C143" s="616">
        <f t="shared" si="589"/>
        <v>325</v>
      </c>
      <c r="D143" s="616">
        <f t="shared" si="589"/>
        <v>303</v>
      </c>
      <c r="E143" s="616">
        <f t="shared" si="589"/>
        <v>305</v>
      </c>
      <c r="F143" s="616">
        <f t="shared" si="589"/>
        <v>320</v>
      </c>
      <c r="G143" s="616">
        <f t="shared" si="589"/>
        <v>378</v>
      </c>
      <c r="H143" s="616">
        <f t="shared" si="589"/>
        <v>434</v>
      </c>
      <c r="I143" s="616">
        <f t="shared" si="589"/>
        <v>453</v>
      </c>
      <c r="J143" s="616">
        <f t="shared" si="589"/>
        <v>483</v>
      </c>
      <c r="K143" s="616">
        <f t="shared" si="589"/>
        <v>498</v>
      </c>
      <c r="L143" s="616">
        <f t="shared" si="589"/>
        <v>510</v>
      </c>
      <c r="M143" s="616">
        <f t="shared" si="589"/>
        <v>534</v>
      </c>
      <c r="N143" s="616">
        <f t="shared" si="589"/>
        <v>588</v>
      </c>
      <c r="O143" s="616">
        <v>144</v>
      </c>
      <c r="P143" s="616">
        <f>S143-O143</f>
        <v>151</v>
      </c>
      <c r="Q143" s="616">
        <f>445-O143-P143</f>
        <v>150</v>
      </c>
      <c r="R143" s="706">
        <f>T143-Q143</f>
        <v>181</v>
      </c>
      <c r="S143" s="616">
        <v>295</v>
      </c>
      <c r="T143" s="616">
        <f>U143-S143</f>
        <v>331</v>
      </c>
      <c r="U143" s="1384">
        <f t="shared" si="589"/>
        <v>626</v>
      </c>
      <c r="V143" s="616">
        <v>141</v>
      </c>
      <c r="W143" s="616">
        <f>Z143-V143</f>
        <v>162</v>
      </c>
      <c r="X143" s="616">
        <f>443-V143-W143</f>
        <v>140</v>
      </c>
      <c r="Y143" s="706">
        <f>AA143-X143</f>
        <v>186</v>
      </c>
      <c r="Z143" s="616">
        <v>303</v>
      </c>
      <c r="AA143" s="616">
        <f>AB143-Z143</f>
        <v>326</v>
      </c>
      <c r="AB143" s="1384">
        <f t="shared" si="589"/>
        <v>629</v>
      </c>
      <c r="AC143" s="616">
        <v>134</v>
      </c>
      <c r="AD143" s="616">
        <f>AG143-AC143</f>
        <v>170</v>
      </c>
      <c r="AE143" s="616">
        <f>446-AC143-AD143</f>
        <v>142</v>
      </c>
      <c r="AF143" s="706">
        <f>AH143-AE143</f>
        <v>189</v>
      </c>
      <c r="AG143" s="616">
        <v>304</v>
      </c>
      <c r="AH143" s="616">
        <f>AI143-AG143</f>
        <v>331</v>
      </c>
      <c r="AI143" s="1384">
        <f t="shared" si="589"/>
        <v>635</v>
      </c>
      <c r="AJ143" s="616">
        <v>125</v>
      </c>
      <c r="AK143" s="616">
        <f>AN143-AJ143</f>
        <v>173</v>
      </c>
      <c r="AL143" s="616">
        <f>462-AJ143-AK143</f>
        <v>164</v>
      </c>
      <c r="AM143" s="706">
        <f>AO143-AL143</f>
        <v>226</v>
      </c>
      <c r="AN143" s="616">
        <v>298</v>
      </c>
      <c r="AO143" s="616">
        <f>AP143-AN143</f>
        <v>390</v>
      </c>
      <c r="AP143" s="1384">
        <f t="shared" si="589"/>
        <v>688</v>
      </c>
      <c r="AQ143" s="616">
        <f>AQ104+AQ106+AQ119+AQ129+AQ134+AQ139+AQ141</f>
        <v>136</v>
      </c>
      <c r="AR143" s="616">
        <f t="shared" ref="AR143:AV143" si="590">AR104+AR106+AR119+AR129+AR134+AR139+AR141</f>
        <v>170</v>
      </c>
      <c r="AS143" s="616">
        <f t="shared" si="590"/>
        <v>148</v>
      </c>
      <c r="AT143" s="706">
        <f t="shared" si="590"/>
        <v>264</v>
      </c>
      <c r="AU143" s="616">
        <f t="shared" si="590"/>
        <v>306</v>
      </c>
      <c r="AV143" s="616">
        <f t="shared" si="590"/>
        <v>412</v>
      </c>
      <c r="AW143" s="1384">
        <f t="shared" si="589"/>
        <v>718</v>
      </c>
      <c r="AX143" s="616">
        <f>AX104+AX106+AX119+AX129+AX134+AX139+AX141</f>
        <v>136</v>
      </c>
      <c r="AY143" s="616">
        <f t="shared" ref="AY143:BC143" si="591">AY104+AY106+AY119+AY129+AY134+AY139+AY141</f>
        <v>170</v>
      </c>
      <c r="AZ143" s="616">
        <f t="shared" si="591"/>
        <v>148</v>
      </c>
      <c r="BA143" s="706">
        <f t="shared" si="591"/>
        <v>264</v>
      </c>
      <c r="BB143" s="616">
        <f t="shared" si="591"/>
        <v>306</v>
      </c>
      <c r="BC143" s="616">
        <f t="shared" si="591"/>
        <v>412</v>
      </c>
      <c r="BD143" s="1384">
        <f t="shared" si="589"/>
        <v>718</v>
      </c>
      <c r="BE143" s="616">
        <f>BE104+BE106+BE119+BE129+BE134+BE139+BE141</f>
        <v>121</v>
      </c>
      <c r="BF143" s="616">
        <f t="shared" ref="BF143:BJ143" si="592">BF104+BF106+BF119+BF129+BF134+BF139+BF141</f>
        <v>182</v>
      </c>
      <c r="BG143" s="616">
        <f t="shared" si="592"/>
        <v>200</v>
      </c>
      <c r="BH143" s="706">
        <f t="shared" si="592"/>
        <v>297</v>
      </c>
      <c r="BI143" s="616">
        <f t="shared" si="592"/>
        <v>303</v>
      </c>
      <c r="BJ143" s="616">
        <f t="shared" si="592"/>
        <v>497</v>
      </c>
      <c r="BK143" s="1384">
        <f t="shared" si="589"/>
        <v>800</v>
      </c>
      <c r="BL143" s="616">
        <f>BL104+BL106+BL119+BL129+BL134+BL139+BL141</f>
        <v>162</v>
      </c>
      <c r="BM143" s="616">
        <f t="shared" ref="BM143:BQ143" si="593">BM104+BM106+BM119+BM129+BM134+BM139+BM141</f>
        <v>227</v>
      </c>
      <c r="BN143" s="616">
        <f t="shared" si="593"/>
        <v>182</v>
      </c>
      <c r="BO143" s="706">
        <f t="shared" si="593"/>
        <v>292</v>
      </c>
      <c r="BP143" s="616">
        <f t="shared" si="593"/>
        <v>389</v>
      </c>
      <c r="BQ143" s="616">
        <f t="shared" si="593"/>
        <v>474</v>
      </c>
      <c r="BR143" s="1384">
        <f t="shared" si="589"/>
        <v>863</v>
      </c>
      <c r="BS143" s="616">
        <f>BS104+BS106+BS119+BS129+BS134+BS139+BS141</f>
        <v>122</v>
      </c>
      <c r="BT143" s="616">
        <f t="shared" ref="BT143:BX143" si="594">BT104+BT106+BT119+BT129+BT134+BT139+BT141</f>
        <v>74</v>
      </c>
      <c r="BU143" s="616">
        <f t="shared" si="594"/>
        <v>145</v>
      </c>
      <c r="BV143" s="706">
        <f t="shared" si="594"/>
        <v>225</v>
      </c>
      <c r="BW143" s="616">
        <f t="shared" si="594"/>
        <v>196</v>
      </c>
      <c r="BX143" s="616">
        <f t="shared" si="594"/>
        <v>370</v>
      </c>
      <c r="BY143" s="1384">
        <f t="shared" si="589"/>
        <v>566</v>
      </c>
      <c r="BZ143" s="616">
        <f>BZ104+BZ106+BZ119+BZ129+BZ134+BZ139+BZ141</f>
        <v>125</v>
      </c>
      <c r="CA143" s="616">
        <f t="shared" ref="CA143:CE143" si="595">CA104+CA106+CA119+CA129+CA134+CA139+CA141</f>
        <v>172</v>
      </c>
      <c r="CB143" s="616">
        <f t="shared" si="595"/>
        <v>127</v>
      </c>
      <c r="CC143" s="706">
        <f t="shared" si="595"/>
        <v>187</v>
      </c>
      <c r="CD143" s="616">
        <f t="shared" si="595"/>
        <v>297</v>
      </c>
      <c r="CE143" s="616">
        <f t="shared" si="595"/>
        <v>314</v>
      </c>
      <c r="CF143" s="1384">
        <f t="shared" si="589"/>
        <v>611</v>
      </c>
      <c r="CG143" s="616">
        <f>CG104+CG106+CG119+CG129+CG134+CG139+CG141</f>
        <v>142</v>
      </c>
      <c r="CH143" s="616">
        <f t="shared" si="589"/>
        <v>155</v>
      </c>
      <c r="CI143" s="616">
        <f t="shared" si="589"/>
        <v>168</v>
      </c>
      <c r="CJ143" s="706">
        <f t="shared" si="589"/>
        <v>196</v>
      </c>
      <c r="CK143" s="616">
        <f t="shared" si="589"/>
        <v>297</v>
      </c>
      <c r="CL143" s="616">
        <f t="shared" si="589"/>
        <v>364</v>
      </c>
      <c r="CM143" s="1384">
        <f t="shared" si="589"/>
        <v>661</v>
      </c>
      <c r="CN143" s="616">
        <f t="shared" si="589"/>
        <v>127</v>
      </c>
      <c r="CO143" s="616">
        <f t="shared" ref="CO143:EQ143" si="596">CO104+CO106+CO119+CO129+CO134+CO139+CO141</f>
        <v>189</v>
      </c>
      <c r="CP143" s="616">
        <f t="shared" si="596"/>
        <v>172</v>
      </c>
      <c r="CQ143" s="706">
        <f t="shared" si="596"/>
        <v>247</v>
      </c>
      <c r="CR143" s="616">
        <f t="shared" si="596"/>
        <v>316</v>
      </c>
      <c r="CS143" s="616">
        <f t="shared" si="596"/>
        <v>419</v>
      </c>
      <c r="CT143" s="1384">
        <f t="shared" si="596"/>
        <v>735</v>
      </c>
      <c r="CU143" s="616">
        <f t="shared" si="596"/>
        <v>142</v>
      </c>
      <c r="CV143" s="616">
        <f t="shared" ref="CV143:CW143" si="597">CV104+CV106+CV119+CV129+CV134+CV139+CV141</f>
        <v>181</v>
      </c>
      <c r="CW143" s="616">
        <f t="shared" si="597"/>
        <v>174</v>
      </c>
      <c r="CX143" s="706">
        <f t="shared" si="596"/>
        <v>269</v>
      </c>
      <c r="CY143" s="616">
        <f t="shared" ref="CY143" si="598">CY104+CY106+CY119+CY129+CY134+CY139+CY141</f>
        <v>323</v>
      </c>
      <c r="CZ143" s="616">
        <f t="shared" si="596"/>
        <v>443</v>
      </c>
      <c r="DA143" s="1384">
        <f t="shared" si="596"/>
        <v>766</v>
      </c>
      <c r="DB143" s="616">
        <f t="shared" ref="DB143:DC143" si="599">DB104+DB106+DB119+DB129+DB134+DB139+DB141</f>
        <v>136</v>
      </c>
      <c r="DC143" s="616">
        <f t="shared" si="599"/>
        <v>170</v>
      </c>
      <c r="DD143" s="616">
        <f t="shared" si="596"/>
        <v>201</v>
      </c>
      <c r="DE143" s="706">
        <f t="shared" si="596"/>
        <v>286</v>
      </c>
      <c r="DF143" s="616">
        <f t="shared" si="596"/>
        <v>306</v>
      </c>
      <c r="DG143" s="616">
        <f t="shared" si="596"/>
        <v>487</v>
      </c>
      <c r="DH143" s="1384">
        <f t="shared" si="596"/>
        <v>793</v>
      </c>
      <c r="DI143" s="616">
        <f t="shared" si="596"/>
        <v>114</v>
      </c>
      <c r="DJ143" s="616">
        <f t="shared" si="596"/>
        <v>237</v>
      </c>
      <c r="DK143" s="634">
        <f t="shared" si="596"/>
        <v>212</v>
      </c>
      <c r="DL143" s="635">
        <f t="shared" si="596"/>
        <v>307</v>
      </c>
      <c r="DM143" s="616">
        <f t="shared" si="596"/>
        <v>351</v>
      </c>
      <c r="DN143" s="634">
        <f t="shared" si="596"/>
        <v>519</v>
      </c>
      <c r="DO143" s="636">
        <f>DO104+DO106+DO119+DO129+DO134+DO139+DO141</f>
        <v>870</v>
      </c>
      <c r="DP143" s="634">
        <f t="shared" si="596"/>
        <v>235.125</v>
      </c>
      <c r="DQ143" s="634">
        <f t="shared" si="596"/>
        <v>246.625</v>
      </c>
      <c r="DR143" s="634">
        <f t="shared" si="596"/>
        <v>246.625</v>
      </c>
      <c r="DS143" s="635">
        <f t="shared" si="596"/>
        <v>246.625</v>
      </c>
      <c r="DT143" s="634">
        <f t="shared" si="596"/>
        <v>481.75</v>
      </c>
      <c r="DU143" s="634">
        <f t="shared" si="596"/>
        <v>493.25</v>
      </c>
      <c r="DV143" s="636">
        <f t="shared" si="596"/>
        <v>975</v>
      </c>
      <c r="DW143" s="634">
        <f t="shared" si="596"/>
        <v>249.375</v>
      </c>
      <c r="DX143" s="634">
        <f t="shared" si="596"/>
        <v>263.75</v>
      </c>
      <c r="DY143" s="634">
        <f t="shared" si="596"/>
        <v>263.75</v>
      </c>
      <c r="DZ143" s="635">
        <f t="shared" si="596"/>
        <v>263.75</v>
      </c>
      <c r="EA143" s="634">
        <f t="shared" si="596"/>
        <v>513.125</v>
      </c>
      <c r="EB143" s="634">
        <f t="shared" si="596"/>
        <v>527.5</v>
      </c>
      <c r="EC143" s="636">
        <f t="shared" si="596"/>
        <v>1040.625</v>
      </c>
      <c r="ED143" s="634">
        <f t="shared" si="596"/>
        <v>266.5</v>
      </c>
      <c r="EE143" s="634">
        <f t="shared" si="596"/>
        <v>266.5</v>
      </c>
      <c r="EF143" s="634">
        <f t="shared" si="596"/>
        <v>266.5</v>
      </c>
      <c r="EG143" s="635">
        <f t="shared" si="596"/>
        <v>266.5</v>
      </c>
      <c r="EH143" s="634">
        <f t="shared" si="596"/>
        <v>533</v>
      </c>
      <c r="EI143" s="634">
        <f t="shared" si="596"/>
        <v>533</v>
      </c>
      <c r="EJ143" s="636">
        <f t="shared" si="596"/>
        <v>1066</v>
      </c>
      <c r="EK143" s="634">
        <f t="shared" si="596"/>
        <v>266.5</v>
      </c>
      <c r="EL143" s="634">
        <f t="shared" si="596"/>
        <v>266.5</v>
      </c>
      <c r="EM143" s="634">
        <f t="shared" si="596"/>
        <v>269.25</v>
      </c>
      <c r="EN143" s="635">
        <f t="shared" si="596"/>
        <v>269.25</v>
      </c>
      <c r="EO143" s="634">
        <f t="shared" si="596"/>
        <v>533</v>
      </c>
      <c r="EP143" s="634">
        <f t="shared" si="596"/>
        <v>538.5</v>
      </c>
      <c r="EQ143" s="636">
        <f t="shared" si="596"/>
        <v>1071.5</v>
      </c>
    </row>
    <row r="144" spans="1:147" ht="10.199999999999999" customHeight="1">
      <c r="A144" s="133" t="s">
        <v>863</v>
      </c>
      <c r="B144" s="197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97"/>
      <c r="O144" s="322"/>
      <c r="P144" s="322"/>
      <c r="Q144" s="322"/>
      <c r="R144" s="430"/>
      <c r="S144" s="322"/>
      <c r="T144" s="322"/>
      <c r="U144" s="339"/>
      <c r="V144" s="322"/>
      <c r="W144" s="322"/>
      <c r="X144" s="322"/>
      <c r="Y144" s="430"/>
      <c r="Z144" s="322"/>
      <c r="AA144" s="322"/>
      <c r="AB144" s="339"/>
      <c r="AC144" s="322"/>
      <c r="AD144" s="322"/>
      <c r="AE144" s="322"/>
      <c r="AF144" s="430"/>
      <c r="AG144" s="322"/>
      <c r="AH144" s="322"/>
      <c r="AI144" s="339">
        <f t="shared" ref="AI144" si="600">AI143-AB143</f>
        <v>6</v>
      </c>
      <c r="AJ144" s="322"/>
      <c r="AK144" s="322"/>
      <c r="AL144" s="322"/>
      <c r="AM144" s="430"/>
      <c r="AN144" s="322"/>
      <c r="AO144" s="322"/>
      <c r="AP144" s="339">
        <f>AP143-AI143</f>
        <v>53</v>
      </c>
      <c r="AQ144" s="322"/>
      <c r="AR144" s="322"/>
      <c r="AS144" s="322"/>
      <c r="AT144" s="430"/>
      <c r="AU144" s="322"/>
      <c r="AV144" s="322"/>
      <c r="AW144" s="339">
        <f>AW143-AP143</f>
        <v>30</v>
      </c>
      <c r="AX144" s="322"/>
      <c r="AY144" s="322"/>
      <c r="AZ144" s="322"/>
      <c r="BA144" s="430"/>
      <c r="BB144" s="322"/>
      <c r="BC144" s="322"/>
      <c r="BD144" s="339">
        <f>BD143-AW143</f>
        <v>0</v>
      </c>
      <c r="BE144" s="322"/>
      <c r="BF144" s="322"/>
      <c r="BG144" s="322"/>
      <c r="BH144" s="430"/>
      <c r="BI144" s="322"/>
      <c r="BJ144" s="322"/>
      <c r="BK144" s="339">
        <f>BK143-BD143</f>
        <v>82</v>
      </c>
      <c r="BL144" s="322"/>
      <c r="BM144" s="322"/>
      <c r="BN144" s="322"/>
      <c r="BO144" s="430"/>
      <c r="BP144" s="322"/>
      <c r="BQ144" s="322"/>
      <c r="BR144" s="339">
        <f>BR143-BK143</f>
        <v>63</v>
      </c>
      <c r="BS144" s="322"/>
      <c r="BT144" s="322"/>
      <c r="BU144" s="322"/>
      <c r="BV144" s="430"/>
      <c r="BW144" s="322"/>
      <c r="BX144" s="322"/>
      <c r="BY144" s="339">
        <f>BY143-BR143</f>
        <v>-297</v>
      </c>
      <c r="BZ144" s="322"/>
      <c r="CA144" s="322"/>
      <c r="CB144" s="322"/>
      <c r="CC144" s="430"/>
      <c r="CD144" s="322"/>
      <c r="CE144" s="322"/>
      <c r="CF144" s="339">
        <f>CF143-BY143</f>
        <v>45</v>
      </c>
      <c r="CG144" s="322"/>
      <c r="CH144" s="322"/>
      <c r="CI144" s="322"/>
      <c r="CJ144" s="430"/>
      <c r="CK144" s="322"/>
      <c r="CL144" s="322"/>
      <c r="CM144" s="339">
        <f>CM143-CF143</f>
        <v>50</v>
      </c>
      <c r="CN144" s="322"/>
      <c r="CO144" s="322"/>
      <c r="CP144" s="322"/>
      <c r="CQ144" s="430"/>
      <c r="CR144" s="322"/>
      <c r="CS144" s="322"/>
      <c r="CT144" s="339">
        <f>CT143-CM143</f>
        <v>74</v>
      </c>
      <c r="CU144" s="322"/>
      <c r="CV144" s="322"/>
      <c r="CW144" s="322"/>
      <c r="CX144" s="430"/>
      <c r="CY144" s="322"/>
      <c r="CZ144" s="322"/>
      <c r="DA144" s="339">
        <f>DA143-CT143</f>
        <v>31</v>
      </c>
      <c r="DB144" s="197">
        <f t="shared" ref="DB144:DG144" si="601">DB143-CU143</f>
        <v>-6</v>
      </c>
      <c r="DC144" s="4">
        <f t="shared" si="601"/>
        <v>-11</v>
      </c>
      <c r="DD144" s="4">
        <f t="shared" si="601"/>
        <v>27</v>
      </c>
      <c r="DE144" s="688">
        <f t="shared" si="601"/>
        <v>17</v>
      </c>
      <c r="DF144" s="4">
        <f t="shared" si="601"/>
        <v>-17</v>
      </c>
      <c r="DG144" s="4">
        <f t="shared" si="601"/>
        <v>44</v>
      </c>
      <c r="DH144" s="339">
        <f>DH143-DA143</f>
        <v>27</v>
      </c>
      <c r="DI144" s="4">
        <f t="shared" ref="DI144" si="602">DI143-DB143</f>
        <v>-22</v>
      </c>
      <c r="DJ144" s="4">
        <f t="shared" ref="DJ144" si="603">DJ143-DC143</f>
        <v>67</v>
      </c>
      <c r="DK144" s="1795">
        <f t="shared" ref="DK144" si="604">DK143-DD143</f>
        <v>11</v>
      </c>
      <c r="DL144" s="430">
        <f t="shared" ref="DL144" si="605">DL143-DE143</f>
        <v>21</v>
      </c>
      <c r="DM144" s="4">
        <f t="shared" ref="DM144" si="606">DM143-DF143</f>
        <v>45</v>
      </c>
      <c r="DN144" s="1795">
        <f t="shared" ref="DN144" si="607">DN143-DG143</f>
        <v>32</v>
      </c>
      <c r="DO144" s="385">
        <f>DO143-DH143</f>
        <v>77</v>
      </c>
      <c r="DP144" s="1795">
        <f t="shared" ref="DP144" si="608">DP143-DI143</f>
        <v>121.125</v>
      </c>
      <c r="DQ144" s="1795">
        <f t="shared" ref="DQ144" si="609">DQ143-DJ143</f>
        <v>9.625</v>
      </c>
      <c r="DR144" s="1795">
        <f t="shared" ref="DR144" si="610">DR143-DK143</f>
        <v>34.625</v>
      </c>
      <c r="DS144" s="430">
        <f t="shared" ref="DS144" si="611">DS143-DL143</f>
        <v>-60.375</v>
      </c>
      <c r="DT144" s="1795">
        <f t="shared" ref="DT144" si="612">DT143-DM143</f>
        <v>130.75</v>
      </c>
      <c r="DU144" s="1795">
        <f t="shared" ref="DU144" si="613">DU143-DN143</f>
        <v>-25.75</v>
      </c>
      <c r="DV144" s="385">
        <f>DV143-DO143</f>
        <v>105</v>
      </c>
      <c r="DW144" s="1795">
        <f t="shared" ref="DW144" si="614">DW143-DP143</f>
        <v>14.25</v>
      </c>
      <c r="DX144" s="1795">
        <f t="shared" ref="DX144" si="615">DX143-DQ143</f>
        <v>17.125</v>
      </c>
      <c r="DY144" s="1795">
        <f t="shared" ref="DY144" si="616">DY143-DR143</f>
        <v>17.125</v>
      </c>
      <c r="DZ144" s="430">
        <f t="shared" ref="DZ144" si="617">DZ143-DS143</f>
        <v>17.125</v>
      </c>
      <c r="EA144" s="1795">
        <f t="shared" ref="EA144" si="618">EA143-DT143</f>
        <v>31.375</v>
      </c>
      <c r="EB144" s="1795">
        <f t="shared" ref="EB144" si="619">EB143-DU143</f>
        <v>34.25</v>
      </c>
      <c r="EC144" s="385">
        <f>EC143-DV143</f>
        <v>65.625</v>
      </c>
      <c r="ED144" s="1795">
        <f t="shared" ref="ED144" si="620">ED143-DW143</f>
        <v>17.125</v>
      </c>
      <c r="EE144" s="1795">
        <f t="shared" ref="EE144" si="621">EE143-DX143</f>
        <v>2.75</v>
      </c>
      <c r="EF144" s="1795">
        <f t="shared" ref="EF144" si="622">EF143-DY143</f>
        <v>2.75</v>
      </c>
      <c r="EG144" s="430">
        <f t="shared" ref="EG144" si="623">EG143-DZ143</f>
        <v>2.75</v>
      </c>
      <c r="EH144" s="1795">
        <f t="shared" ref="EH144" si="624">EH143-EA143</f>
        <v>19.875</v>
      </c>
      <c r="EI144" s="1795">
        <f t="shared" ref="EI144" si="625">EI143-EB143</f>
        <v>5.5</v>
      </c>
      <c r="EJ144" s="385">
        <f>EJ143-EC143</f>
        <v>25.375</v>
      </c>
      <c r="EK144" s="1795">
        <f t="shared" ref="EK144" si="626">EK143-ED143</f>
        <v>0</v>
      </c>
      <c r="EL144" s="1795">
        <f t="shared" ref="EL144" si="627">EL143-EE143</f>
        <v>0</v>
      </c>
      <c r="EM144" s="1795">
        <f t="shared" ref="EM144" si="628">EM143-EF143</f>
        <v>2.75</v>
      </c>
      <c r="EN144" s="430">
        <f t="shared" ref="EN144" si="629">EN143-EG143</f>
        <v>2.75</v>
      </c>
      <c r="EO144" s="1795">
        <f t="shared" ref="EO144" si="630">EO143-EH143</f>
        <v>0</v>
      </c>
      <c r="EP144" s="1795">
        <f t="shared" ref="EP144" si="631">EP143-EI143</f>
        <v>5.5</v>
      </c>
      <c r="EQ144" s="385">
        <f>EQ143-EJ143</f>
        <v>5.5</v>
      </c>
    </row>
    <row r="145" spans="1:147" ht="10.199999999999999" customHeight="1">
      <c r="A145" s="603" t="s">
        <v>886</v>
      </c>
      <c r="B145" s="604"/>
      <c r="C145" s="603"/>
      <c r="D145" s="603"/>
      <c r="E145" s="603"/>
      <c r="F145" s="603"/>
      <c r="G145" s="603"/>
      <c r="H145" s="603"/>
      <c r="I145" s="603"/>
      <c r="J145" s="603"/>
      <c r="K145" s="603"/>
      <c r="L145" s="603"/>
      <c r="M145" s="603"/>
      <c r="N145" s="604"/>
      <c r="O145" s="1429"/>
      <c r="P145" s="1429"/>
      <c r="Q145" s="1429"/>
      <c r="R145" s="1430"/>
      <c r="S145" s="1429"/>
      <c r="T145" s="1429"/>
      <c r="U145" s="1431"/>
      <c r="V145" s="1429"/>
      <c r="W145" s="1429"/>
      <c r="X145" s="1429"/>
      <c r="Y145" s="1430"/>
      <c r="Z145" s="1429"/>
      <c r="AA145" s="1429"/>
      <c r="AB145" s="1431"/>
      <c r="AC145" s="1429"/>
      <c r="AD145" s="1429"/>
      <c r="AE145" s="1429"/>
      <c r="AF145" s="1430"/>
      <c r="AG145" s="1429"/>
      <c r="AH145" s="1429"/>
      <c r="AI145" s="1431">
        <f t="shared" ref="AI145" si="632">AI143/AB143-1</f>
        <v>9.5389507154213238E-3</v>
      </c>
      <c r="AJ145" s="1429"/>
      <c r="AK145" s="1429"/>
      <c r="AL145" s="1429"/>
      <c r="AM145" s="1430"/>
      <c r="AN145" s="1429"/>
      <c r="AO145" s="1429"/>
      <c r="AP145" s="1431">
        <f>AP143/AI143-1</f>
        <v>8.3464566929133843E-2</v>
      </c>
      <c r="AQ145" s="1429"/>
      <c r="AR145" s="1429"/>
      <c r="AS145" s="1429"/>
      <c r="AT145" s="1430"/>
      <c r="AU145" s="1429"/>
      <c r="AV145" s="1429"/>
      <c r="AW145" s="1431">
        <f>AW143/AP143-1</f>
        <v>4.3604651162790775E-2</v>
      </c>
      <c r="AX145" s="1429"/>
      <c r="AY145" s="1429"/>
      <c r="AZ145" s="1429"/>
      <c r="BA145" s="1430"/>
      <c r="BB145" s="1429"/>
      <c r="BC145" s="1429"/>
      <c r="BD145" s="1431">
        <f>BD143/AW143-1</f>
        <v>0</v>
      </c>
      <c r="BE145" s="1429"/>
      <c r="BF145" s="1429"/>
      <c r="BG145" s="1429"/>
      <c r="BH145" s="1430"/>
      <c r="BI145" s="1429"/>
      <c r="BJ145" s="1429"/>
      <c r="BK145" s="1431">
        <f>BK143/BD143-1</f>
        <v>0.11420612813370479</v>
      </c>
      <c r="BL145" s="1429"/>
      <c r="BM145" s="1429"/>
      <c r="BN145" s="1429"/>
      <c r="BO145" s="1430"/>
      <c r="BP145" s="1429"/>
      <c r="BQ145" s="1429"/>
      <c r="BR145" s="1431">
        <f>BR143/BK143-1</f>
        <v>7.8750000000000098E-2</v>
      </c>
      <c r="BS145" s="1429"/>
      <c r="BT145" s="1429"/>
      <c r="BU145" s="1429"/>
      <c r="BV145" s="1430"/>
      <c r="BW145" s="1429"/>
      <c r="BX145" s="1429"/>
      <c r="BY145" s="1431">
        <f>BY143/BR143-1</f>
        <v>-0.34414831981460026</v>
      </c>
      <c r="BZ145" s="1429"/>
      <c r="CA145" s="1429"/>
      <c r="CB145" s="1429"/>
      <c r="CC145" s="1430"/>
      <c r="CD145" s="1429"/>
      <c r="CE145" s="1429"/>
      <c r="CF145" s="1431">
        <f>CF143/BY143-1</f>
        <v>7.9505300353356789E-2</v>
      </c>
      <c r="CG145" s="1429"/>
      <c r="CH145" s="1429"/>
      <c r="CI145" s="1429"/>
      <c r="CJ145" s="1430"/>
      <c r="CK145" s="1429"/>
      <c r="CL145" s="1429"/>
      <c r="CM145" s="1431">
        <f>CM143/CF143-1</f>
        <v>8.1833060556464776E-2</v>
      </c>
      <c r="CN145" s="1429"/>
      <c r="CO145" s="1429"/>
      <c r="CP145" s="1429"/>
      <c r="CQ145" s="1430"/>
      <c r="CR145" s="1429"/>
      <c r="CS145" s="1429"/>
      <c r="CT145" s="1431">
        <f>CT143/CM143-1</f>
        <v>0.11195158850226927</v>
      </c>
      <c r="CU145" s="1429"/>
      <c r="CV145" s="1429"/>
      <c r="CW145" s="1429"/>
      <c r="CX145" s="1430"/>
      <c r="CY145" s="1429"/>
      <c r="CZ145" s="1429"/>
      <c r="DA145" s="1431">
        <f t="shared" ref="DA145:EQ145" si="633">DA143/CT143-1</f>
        <v>4.2176870748299233E-2</v>
      </c>
      <c r="DB145" s="604">
        <f t="shared" si="633"/>
        <v>-4.2253521126760618E-2</v>
      </c>
      <c r="DC145" s="223">
        <f t="shared" si="633"/>
        <v>-6.0773480662983381E-2</v>
      </c>
      <c r="DD145" s="223">
        <f t="shared" si="633"/>
        <v>0.15517241379310343</v>
      </c>
      <c r="DE145" s="717">
        <f t="shared" si="633"/>
        <v>6.3197026022304925E-2</v>
      </c>
      <c r="DF145" s="223">
        <f t="shared" si="633"/>
        <v>-5.2631578947368474E-2</v>
      </c>
      <c r="DG145" s="223">
        <f t="shared" si="633"/>
        <v>9.9322799097065539E-2</v>
      </c>
      <c r="DH145" s="1431">
        <f t="shared" si="633"/>
        <v>3.5248041775456818E-2</v>
      </c>
      <c r="DI145" s="223">
        <f t="shared" si="633"/>
        <v>-0.16176470588235292</v>
      </c>
      <c r="DJ145" s="223">
        <f t="shared" si="633"/>
        <v>0.39411764705882346</v>
      </c>
      <c r="DK145" s="321">
        <f t="shared" si="633"/>
        <v>5.4726368159204064E-2</v>
      </c>
      <c r="DL145" s="444">
        <f t="shared" si="633"/>
        <v>7.3426573426573327E-2</v>
      </c>
      <c r="DM145" s="223">
        <f t="shared" si="633"/>
        <v>0.14705882352941169</v>
      </c>
      <c r="DN145" s="321">
        <f t="shared" si="633"/>
        <v>6.5708418891170517E-2</v>
      </c>
      <c r="DO145" s="1432">
        <f t="shared" si="633"/>
        <v>9.7099621689785698E-2</v>
      </c>
      <c r="DP145" s="321">
        <f t="shared" si="633"/>
        <v>1.0625</v>
      </c>
      <c r="DQ145" s="321">
        <f t="shared" si="633"/>
        <v>4.0611814345991482E-2</v>
      </c>
      <c r="DR145" s="321">
        <f t="shared" si="633"/>
        <v>0.16332547169811318</v>
      </c>
      <c r="DS145" s="444">
        <f t="shared" si="633"/>
        <v>-0.19666123778501632</v>
      </c>
      <c r="DT145" s="321">
        <f t="shared" si="633"/>
        <v>0.37250712250712259</v>
      </c>
      <c r="DU145" s="321">
        <f t="shared" si="633"/>
        <v>-4.9614643545279336E-2</v>
      </c>
      <c r="DV145" s="1432">
        <f t="shared" si="633"/>
        <v>0.1206896551724137</v>
      </c>
      <c r="DW145" s="321">
        <f t="shared" si="633"/>
        <v>6.0606060606060552E-2</v>
      </c>
      <c r="DX145" s="321">
        <f t="shared" si="633"/>
        <v>6.9437404967055194E-2</v>
      </c>
      <c r="DY145" s="321">
        <f t="shared" si="633"/>
        <v>6.9437404967055194E-2</v>
      </c>
      <c r="DZ145" s="444">
        <f t="shared" si="633"/>
        <v>6.9437404967055194E-2</v>
      </c>
      <c r="EA145" s="321">
        <f t="shared" si="633"/>
        <v>6.5127140633108427E-2</v>
      </c>
      <c r="EB145" s="321">
        <f t="shared" si="633"/>
        <v>6.9437404967055194E-2</v>
      </c>
      <c r="EC145" s="1432">
        <f t="shared" si="633"/>
        <v>6.7307692307692291E-2</v>
      </c>
      <c r="ED145" s="321">
        <f t="shared" si="633"/>
        <v>6.8671679197994884E-2</v>
      </c>
      <c r="EE145" s="321">
        <f t="shared" si="633"/>
        <v>1.0426540284360186E-2</v>
      </c>
      <c r="EF145" s="321">
        <f t="shared" si="633"/>
        <v>1.0426540284360186E-2</v>
      </c>
      <c r="EG145" s="444">
        <f t="shared" si="633"/>
        <v>1.0426540284360186E-2</v>
      </c>
      <c r="EH145" s="321">
        <f t="shared" si="633"/>
        <v>3.873325213154688E-2</v>
      </c>
      <c r="EI145" s="321">
        <f t="shared" si="633"/>
        <v>1.0426540284360186E-2</v>
      </c>
      <c r="EJ145" s="1432">
        <f t="shared" si="633"/>
        <v>2.4384384384384283E-2</v>
      </c>
      <c r="EK145" s="321">
        <f t="shared" si="633"/>
        <v>0</v>
      </c>
      <c r="EL145" s="321">
        <f t="shared" si="633"/>
        <v>0</v>
      </c>
      <c r="EM145" s="321">
        <f t="shared" si="633"/>
        <v>1.0318949343339545E-2</v>
      </c>
      <c r="EN145" s="444">
        <f t="shared" si="633"/>
        <v>1.0318949343339545E-2</v>
      </c>
      <c r="EO145" s="321">
        <f t="shared" si="633"/>
        <v>0</v>
      </c>
      <c r="EP145" s="321">
        <f t="shared" si="633"/>
        <v>1.0318949343339545E-2</v>
      </c>
      <c r="EQ145" s="1432">
        <f t="shared" si="633"/>
        <v>5.1594746716698836E-3</v>
      </c>
    </row>
    <row r="146" spans="1:147" ht="10.199999999999999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76"/>
      <c r="P146" s="476"/>
      <c r="Q146" s="476"/>
      <c r="R146" s="477"/>
      <c r="S146" s="476"/>
      <c r="T146" s="476"/>
      <c r="U146" s="351"/>
      <c r="V146" s="476"/>
      <c r="W146" s="476"/>
      <c r="X146" s="476"/>
      <c r="Y146" s="477"/>
      <c r="Z146" s="476"/>
      <c r="AA146" s="476"/>
      <c r="AB146" s="351"/>
      <c r="AC146" s="476"/>
      <c r="AD146" s="476"/>
      <c r="AE146" s="476"/>
      <c r="AF146" s="477"/>
      <c r="AG146" s="476"/>
      <c r="AH146" s="476"/>
      <c r="AI146" s="351"/>
      <c r="AJ146" s="476"/>
      <c r="AK146" s="476"/>
      <c r="AL146" s="476"/>
      <c r="AM146" s="477"/>
      <c r="AN146" s="476"/>
      <c r="AO146" s="476"/>
      <c r="AP146" s="351"/>
      <c r="AQ146" s="476"/>
      <c r="AR146" s="476"/>
      <c r="AS146" s="476"/>
      <c r="AT146" s="477"/>
      <c r="AU146" s="476"/>
      <c r="AV146" s="476"/>
      <c r="AW146" s="351"/>
      <c r="AX146" s="476"/>
      <c r="AY146" s="476"/>
      <c r="AZ146" s="476"/>
      <c r="BA146" s="477"/>
      <c r="BB146" s="476"/>
      <c r="BC146" s="476"/>
      <c r="BD146" s="351"/>
      <c r="BE146" s="476"/>
      <c r="BF146" s="476"/>
      <c r="BG146" s="476"/>
      <c r="BH146" s="477"/>
      <c r="BI146" s="476"/>
      <c r="BJ146" s="476"/>
      <c r="BK146" s="351"/>
      <c r="BL146" s="476"/>
      <c r="BM146" s="476"/>
      <c r="BN146" s="476"/>
      <c r="BO146" s="477"/>
      <c r="BP146" s="476"/>
      <c r="BQ146" s="476"/>
      <c r="BR146" s="351"/>
      <c r="BS146" s="476"/>
      <c r="BT146" s="476"/>
      <c r="BU146" s="476"/>
      <c r="BV146" s="477"/>
      <c r="BW146" s="476"/>
      <c r="BX146" s="476"/>
      <c r="BY146" s="351"/>
      <c r="BZ146" s="476"/>
      <c r="CA146" s="476"/>
      <c r="CB146" s="476"/>
      <c r="CC146" s="477"/>
      <c r="CD146" s="476"/>
      <c r="CE146" s="476"/>
      <c r="CF146" s="351"/>
      <c r="CG146" s="476"/>
      <c r="CH146" s="476"/>
      <c r="CI146" s="476"/>
      <c r="CJ146" s="477"/>
      <c r="CK146" s="476"/>
      <c r="CL146" s="476"/>
      <c r="CM146" s="351"/>
      <c r="CN146" s="476"/>
      <c r="CO146" s="476"/>
      <c r="CP146" s="476"/>
      <c r="CQ146" s="477"/>
      <c r="CR146" s="476"/>
      <c r="CS146" s="476"/>
      <c r="CT146" s="351"/>
      <c r="CU146" s="476"/>
      <c r="CV146" s="476"/>
      <c r="CW146" s="476"/>
      <c r="CX146" s="477"/>
      <c r="CY146" s="476"/>
      <c r="CZ146" s="476"/>
      <c r="DA146" s="1428"/>
      <c r="DB146" s="476"/>
      <c r="DC146" s="476"/>
      <c r="DD146" s="476"/>
      <c r="DE146" s="477"/>
      <c r="DF146" s="476"/>
      <c r="DG146" s="476"/>
      <c r="DH146" s="1428"/>
      <c r="DI146" s="476"/>
      <c r="DJ146" s="476"/>
      <c r="DK146" s="476"/>
      <c r="DL146" s="477"/>
      <c r="DM146" s="476"/>
      <c r="DN146" s="476"/>
      <c r="DO146" s="1428"/>
      <c r="DP146" s="476"/>
      <c r="DQ146" s="476"/>
      <c r="DR146" s="476"/>
      <c r="DS146" s="477"/>
      <c r="DT146" s="476"/>
      <c r="DU146" s="476"/>
      <c r="DV146" s="1428"/>
      <c r="DW146" s="476"/>
      <c r="DX146" s="476"/>
      <c r="DY146" s="476"/>
      <c r="DZ146" s="477"/>
      <c r="EA146" s="476"/>
      <c r="EB146" s="476"/>
      <c r="EC146" s="1428"/>
      <c r="ED146" s="476"/>
      <c r="EE146" s="476"/>
      <c r="EF146" s="476"/>
      <c r="EG146" s="477"/>
      <c r="EH146" s="476"/>
      <c r="EI146" s="476"/>
      <c r="EJ146" s="1428"/>
      <c r="EK146" s="476"/>
      <c r="EL146" s="476"/>
      <c r="EM146" s="476"/>
      <c r="EN146" s="477"/>
      <c r="EO146" s="476"/>
      <c r="EP146" s="476"/>
      <c r="EQ146" s="1428"/>
    </row>
    <row r="147" spans="1:147" ht="10.199999999999999" customHeight="1">
      <c r="A147" s="293" t="s">
        <v>931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21"/>
      <c r="P147" s="321"/>
      <c r="Q147" s="321"/>
      <c r="R147" s="444"/>
      <c r="S147" s="321"/>
      <c r="T147" s="321"/>
      <c r="U147" s="1270"/>
      <c r="V147" s="321"/>
      <c r="W147" s="321"/>
      <c r="X147" s="321"/>
      <c r="Y147" s="444"/>
      <c r="Z147" s="321"/>
      <c r="AA147" s="321"/>
      <c r="AB147" s="1270"/>
      <c r="AC147" s="321"/>
      <c r="AD147" s="321"/>
      <c r="AE147" s="321"/>
      <c r="AF147" s="444"/>
      <c r="AG147" s="321"/>
      <c r="AH147" s="321"/>
      <c r="AI147" s="1270"/>
      <c r="AJ147" s="321"/>
      <c r="AK147" s="321"/>
      <c r="AL147" s="321"/>
      <c r="AM147" s="444"/>
      <c r="AN147" s="321"/>
      <c r="AO147" s="321"/>
      <c r="AP147" s="1270"/>
      <c r="AQ147" s="321"/>
      <c r="AR147" s="321"/>
      <c r="AS147" s="321"/>
      <c r="AT147" s="444"/>
      <c r="AU147" s="321"/>
      <c r="AV147" s="321"/>
      <c r="AW147" s="1270"/>
      <c r="AX147" s="321"/>
      <c r="AY147" s="321"/>
      <c r="AZ147" s="321"/>
      <c r="BA147" s="444"/>
      <c r="BB147" s="321"/>
      <c r="BC147" s="321"/>
      <c r="BD147" s="1270"/>
      <c r="BE147" s="321"/>
      <c r="BF147" s="321"/>
      <c r="BG147" s="321"/>
      <c r="BH147" s="444"/>
      <c r="BI147" s="321"/>
      <c r="BJ147" s="321"/>
      <c r="BK147" s="1270"/>
      <c r="BL147" s="321"/>
      <c r="BM147" s="321"/>
      <c r="BN147" s="321"/>
      <c r="BO147" s="444"/>
      <c r="BP147" s="321"/>
      <c r="BQ147" s="321"/>
      <c r="BR147" s="1270"/>
      <c r="BS147" s="321"/>
      <c r="BT147" s="321"/>
      <c r="BU147" s="321"/>
      <c r="BV147" s="444"/>
      <c r="BW147" s="321"/>
      <c r="BX147" s="321"/>
      <c r="BY147" s="1270"/>
      <c r="BZ147" s="321"/>
      <c r="CA147" s="321"/>
      <c r="CB147" s="321"/>
      <c r="CC147" s="444"/>
      <c r="CD147" s="321"/>
      <c r="CE147" s="321"/>
      <c r="CF147" s="1270"/>
      <c r="CG147" s="321"/>
      <c r="CH147" s="321"/>
      <c r="CI147" s="321"/>
      <c r="CJ147" s="444"/>
      <c r="CK147" s="321"/>
      <c r="CL147" s="321"/>
      <c r="CM147" s="1270"/>
      <c r="CN147" s="321"/>
      <c r="CO147" s="321"/>
      <c r="CP147" s="321"/>
      <c r="CQ147" s="444"/>
      <c r="CR147" s="321"/>
      <c r="CS147" s="321"/>
      <c r="CT147" s="1270"/>
      <c r="CU147" s="321"/>
      <c r="CV147" s="321"/>
      <c r="CW147" s="321"/>
      <c r="CX147" s="444"/>
      <c r="CY147" s="321"/>
      <c r="CZ147" s="321"/>
      <c r="DA147" s="1431"/>
      <c r="DB147" s="321"/>
      <c r="DC147" s="321"/>
      <c r="DD147" s="321"/>
      <c r="DE147" s="438"/>
      <c r="DF147" s="321"/>
      <c r="DG147" s="321"/>
      <c r="DH147" s="1431"/>
      <c r="DI147" s="321"/>
      <c r="DJ147" s="321"/>
      <c r="DK147" s="321"/>
      <c r="DL147" s="444"/>
      <c r="DM147" s="321"/>
      <c r="DN147" s="321"/>
      <c r="DO147" s="1431"/>
      <c r="DP147" s="321"/>
      <c r="DQ147" s="321"/>
      <c r="DR147" s="321"/>
      <c r="DS147" s="444"/>
      <c r="DT147" s="321"/>
      <c r="DU147" s="321"/>
      <c r="DV147" s="1431"/>
      <c r="DW147" s="321"/>
      <c r="DX147" s="321"/>
      <c r="DY147" s="321"/>
      <c r="DZ147" s="444"/>
      <c r="EA147" s="321"/>
      <c r="EB147" s="321"/>
      <c r="EC147" s="1431"/>
      <c r="ED147" s="321"/>
      <c r="EE147" s="321"/>
      <c r="EF147" s="321"/>
      <c r="EG147" s="444"/>
      <c r="EH147" s="321"/>
      <c r="EI147" s="321"/>
      <c r="EJ147" s="1431"/>
      <c r="EK147" s="321"/>
      <c r="EL147" s="321"/>
      <c r="EM147" s="321"/>
      <c r="EN147" s="444"/>
      <c r="EO147" s="321"/>
      <c r="EP147" s="321"/>
      <c r="EQ147" s="1431"/>
    </row>
    <row r="148" spans="1:147" ht="10.199999999999999" customHeight="1">
      <c r="A148" s="201" t="str">
        <f>A102</f>
        <v>A220-100 (formerly CS100)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321"/>
      <c r="P148" s="321"/>
      <c r="Q148" s="321"/>
      <c r="R148" s="444"/>
      <c r="S148" s="321"/>
      <c r="T148" s="321"/>
      <c r="U148" s="1270"/>
      <c r="V148" s="321"/>
      <c r="W148" s="321"/>
      <c r="X148" s="321"/>
      <c r="Y148" s="444"/>
      <c r="Z148" s="321"/>
      <c r="AA148" s="321"/>
      <c r="AB148" s="1270"/>
      <c r="AC148" s="321"/>
      <c r="AD148" s="321"/>
      <c r="AE148" s="321"/>
      <c r="AF148" s="444"/>
      <c r="AG148" s="321"/>
      <c r="AH148" s="321"/>
      <c r="AI148" s="1270"/>
      <c r="AJ148" s="321"/>
      <c r="AK148" s="321"/>
      <c r="AL148" s="321"/>
      <c r="AM148" s="444"/>
      <c r="AN148" s="321"/>
      <c r="AO148" s="321"/>
      <c r="AP148" s="1270"/>
      <c r="AQ148" s="321"/>
      <c r="AR148" s="321"/>
      <c r="AS148" s="321"/>
      <c r="AT148" s="444"/>
      <c r="AU148" s="321"/>
      <c r="AV148" s="321"/>
      <c r="AW148" s="1270"/>
      <c r="AX148" s="321"/>
      <c r="AY148" s="321"/>
      <c r="AZ148" s="321"/>
      <c r="BA148" s="444"/>
      <c r="BB148" s="321"/>
      <c r="BC148" s="321"/>
      <c r="BD148" s="1270"/>
      <c r="BE148" s="321"/>
      <c r="BF148" s="321"/>
      <c r="BG148" s="321"/>
      <c r="BH148" s="444"/>
      <c r="BI148" s="321"/>
      <c r="BJ148" s="321"/>
      <c r="BK148" s="1270"/>
      <c r="BL148" s="321"/>
      <c r="BM148" s="321"/>
      <c r="BN148" s="321"/>
      <c r="BO148" s="444"/>
      <c r="BP148" s="321"/>
      <c r="BQ148" s="321"/>
      <c r="BR148" s="1270"/>
      <c r="BS148" s="321"/>
      <c r="BT148" s="321"/>
      <c r="BU148" s="321"/>
      <c r="BV148" s="444"/>
      <c r="BW148" s="321"/>
      <c r="BX148" s="321"/>
      <c r="BY148" s="1270"/>
      <c r="BZ148" s="321"/>
      <c r="CA148" s="321"/>
      <c r="CB148" s="321"/>
      <c r="CC148" s="444"/>
      <c r="CD148" s="321"/>
      <c r="CE148" s="321"/>
      <c r="CF148" s="1270"/>
      <c r="CG148" s="321"/>
      <c r="CH148" s="321"/>
      <c r="CI148" s="321"/>
      <c r="CJ148" s="444"/>
      <c r="CK148" s="321"/>
      <c r="CL148" s="321"/>
      <c r="CM148" s="1270"/>
      <c r="CN148" s="321"/>
      <c r="CO148" s="321"/>
      <c r="CP148" s="321"/>
      <c r="CQ148" s="444"/>
      <c r="CR148" s="321"/>
      <c r="CS148" s="321"/>
      <c r="CT148" s="1270"/>
      <c r="CU148" s="321"/>
      <c r="CV148" s="321"/>
      <c r="CW148" s="321"/>
      <c r="CX148" s="444"/>
      <c r="CY148" s="321"/>
      <c r="CZ148" s="321"/>
      <c r="DA148" s="1431">
        <f>DA102/DA143</f>
        <v>1.3054830287206266E-2</v>
      </c>
      <c r="DB148" s="321"/>
      <c r="DC148" s="321"/>
      <c r="DD148" s="321"/>
      <c r="DE148" s="438"/>
      <c r="DF148" s="321"/>
      <c r="DG148" s="321"/>
      <c r="DH148" s="1431">
        <f>DH102/DH143</f>
        <v>6.3051702395964691E-3</v>
      </c>
      <c r="DI148" s="321"/>
      <c r="DJ148" s="321"/>
      <c r="DK148" s="321"/>
      <c r="DL148" s="444"/>
      <c r="DM148" s="321"/>
      <c r="DN148" s="321"/>
      <c r="DO148" s="1432">
        <f>DO102/DO143</f>
        <v>1.2528735632183909E-2</v>
      </c>
      <c r="DP148" s="321"/>
      <c r="DQ148" s="321"/>
      <c r="DR148" s="321"/>
      <c r="DS148" s="444"/>
      <c r="DT148" s="321"/>
      <c r="DU148" s="321"/>
      <c r="DV148" s="1432">
        <f>DV102/DV143</f>
        <v>1.2089743589743591E-2</v>
      </c>
      <c r="DW148" s="321"/>
      <c r="DX148" s="321"/>
      <c r="DY148" s="321"/>
      <c r="DZ148" s="444"/>
      <c r="EA148" s="321"/>
      <c r="EB148" s="321"/>
      <c r="EC148" s="1432">
        <f>EC102/EC143</f>
        <v>1.1051051051051052E-2</v>
      </c>
      <c r="ED148" s="321"/>
      <c r="EE148" s="321"/>
      <c r="EF148" s="321"/>
      <c r="EG148" s="444"/>
      <c r="EH148" s="321"/>
      <c r="EI148" s="321"/>
      <c r="EJ148" s="1432">
        <f>EJ102/EJ143</f>
        <v>1.0787992495309569E-2</v>
      </c>
      <c r="EK148" s="321"/>
      <c r="EL148" s="321"/>
      <c r="EM148" s="321"/>
      <c r="EN148" s="444"/>
      <c r="EO148" s="321"/>
      <c r="EP148" s="321"/>
      <c r="EQ148" s="1432">
        <f>EQ102/EQ143</f>
        <v>1.0732617825478302E-2</v>
      </c>
    </row>
    <row r="149" spans="1:147" ht="10.199999999999999" customHeight="1">
      <c r="A149" s="201" t="str">
        <f>A103</f>
        <v>A220-300 (formerly CS300)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321"/>
      <c r="P149" s="321"/>
      <c r="Q149" s="321"/>
      <c r="R149" s="444"/>
      <c r="S149" s="321"/>
      <c r="T149" s="321"/>
      <c r="U149" s="1270"/>
      <c r="V149" s="321"/>
      <c r="W149" s="321"/>
      <c r="X149" s="321"/>
      <c r="Y149" s="444"/>
      <c r="Z149" s="321"/>
      <c r="AA149" s="321"/>
      <c r="AB149" s="1270"/>
      <c r="AC149" s="321"/>
      <c r="AD149" s="321"/>
      <c r="AE149" s="321"/>
      <c r="AF149" s="444"/>
      <c r="AG149" s="321"/>
      <c r="AH149" s="321"/>
      <c r="AI149" s="1270"/>
      <c r="AJ149" s="321"/>
      <c r="AK149" s="321"/>
      <c r="AL149" s="321"/>
      <c r="AM149" s="444"/>
      <c r="AN149" s="321"/>
      <c r="AO149" s="321"/>
      <c r="AP149" s="1270"/>
      <c r="AQ149" s="321"/>
      <c r="AR149" s="321"/>
      <c r="AS149" s="321"/>
      <c r="AT149" s="444"/>
      <c r="AU149" s="321"/>
      <c r="AV149" s="321"/>
      <c r="AW149" s="1270"/>
      <c r="AX149" s="321"/>
      <c r="AY149" s="321"/>
      <c r="AZ149" s="321"/>
      <c r="BA149" s="444"/>
      <c r="BB149" s="321"/>
      <c r="BC149" s="321"/>
      <c r="BD149" s="1270"/>
      <c r="BE149" s="321"/>
      <c r="BF149" s="321"/>
      <c r="BG149" s="321"/>
      <c r="BH149" s="444"/>
      <c r="BI149" s="321"/>
      <c r="BJ149" s="321"/>
      <c r="BK149" s="1270"/>
      <c r="BL149" s="321"/>
      <c r="BM149" s="321"/>
      <c r="BN149" s="321"/>
      <c r="BO149" s="444"/>
      <c r="BP149" s="321"/>
      <c r="BQ149" s="321"/>
      <c r="BR149" s="1270"/>
      <c r="BS149" s="321"/>
      <c r="BT149" s="321"/>
      <c r="BU149" s="321"/>
      <c r="BV149" s="444"/>
      <c r="BW149" s="321"/>
      <c r="BX149" s="321"/>
      <c r="BY149" s="1270"/>
      <c r="BZ149" s="321"/>
      <c r="CA149" s="321"/>
      <c r="CB149" s="321"/>
      <c r="CC149" s="444"/>
      <c r="CD149" s="321"/>
      <c r="CE149" s="321"/>
      <c r="CF149" s="1270"/>
      <c r="CG149" s="321"/>
      <c r="CH149" s="321"/>
      <c r="CI149" s="321"/>
      <c r="CJ149" s="444"/>
      <c r="CK149" s="321"/>
      <c r="CL149" s="321"/>
      <c r="CM149" s="1270"/>
      <c r="CN149" s="321"/>
      <c r="CO149" s="321"/>
      <c r="CP149" s="321"/>
      <c r="CQ149" s="444"/>
      <c r="CR149" s="321"/>
      <c r="CS149" s="321"/>
      <c r="CT149" s="1270"/>
      <c r="CU149" s="321"/>
      <c r="CV149" s="321"/>
      <c r="CW149" s="321"/>
      <c r="CX149" s="444"/>
      <c r="CY149" s="321"/>
      <c r="CZ149" s="321"/>
      <c r="DA149" s="1431">
        <f>DA103/DA143</f>
        <v>8.4856396866840725E-2</v>
      </c>
      <c r="DB149" s="321"/>
      <c r="DC149" s="321"/>
      <c r="DD149" s="321"/>
      <c r="DE149" s="444"/>
      <c r="DF149" s="321"/>
      <c r="DG149" s="321"/>
      <c r="DH149" s="1431">
        <f>DH103/DH143</f>
        <v>0.11097099621689786</v>
      </c>
      <c r="DI149" s="321"/>
      <c r="DJ149" s="321"/>
      <c r="DK149" s="321"/>
      <c r="DL149" s="444"/>
      <c r="DM149" s="321"/>
      <c r="DN149" s="321"/>
      <c r="DO149" s="1432">
        <f>DO103/DO143</f>
        <v>0.11275862068965517</v>
      </c>
      <c r="DP149" s="321"/>
      <c r="DQ149" s="321"/>
      <c r="DR149" s="321"/>
      <c r="DS149" s="444"/>
      <c r="DT149" s="321"/>
      <c r="DU149" s="321"/>
      <c r="DV149" s="1432">
        <f>DV103/DV143</f>
        <v>0.10880769230769231</v>
      </c>
      <c r="DW149" s="321"/>
      <c r="DX149" s="321"/>
      <c r="DY149" s="321"/>
      <c r="DZ149" s="444"/>
      <c r="EA149" s="321"/>
      <c r="EB149" s="321"/>
      <c r="EC149" s="1432">
        <f>EC103/EC143</f>
        <v>9.9459459459459457E-2</v>
      </c>
      <c r="ED149" s="321"/>
      <c r="EE149" s="321"/>
      <c r="EF149" s="321"/>
      <c r="EG149" s="444"/>
      <c r="EH149" s="321"/>
      <c r="EI149" s="321"/>
      <c r="EJ149" s="1432">
        <f>EJ103/EJ143</f>
        <v>9.709193245778612E-2</v>
      </c>
      <c r="EK149" s="321"/>
      <c r="EL149" s="321"/>
      <c r="EM149" s="321"/>
      <c r="EN149" s="444"/>
      <c r="EO149" s="321"/>
      <c r="EP149" s="321"/>
      <c r="EQ149" s="1432">
        <f>EQ103/EQ143</f>
        <v>9.6593560429304712E-2</v>
      </c>
    </row>
    <row r="150" spans="1:147" ht="10.199999999999999" customHeight="1">
      <c r="A150" s="293" t="s">
        <v>644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451"/>
      <c r="P150" s="451"/>
      <c r="Q150" s="451"/>
      <c r="R150" s="452"/>
      <c r="S150" s="451"/>
      <c r="T150" s="451"/>
      <c r="U150" s="347"/>
      <c r="V150" s="451"/>
      <c r="W150" s="451"/>
      <c r="X150" s="451"/>
      <c r="Y150" s="452"/>
      <c r="Z150" s="451"/>
      <c r="AA150" s="451"/>
      <c r="AB150" s="347"/>
      <c r="AC150" s="451"/>
      <c r="AD150" s="451"/>
      <c r="AE150" s="451"/>
      <c r="AF150" s="452"/>
      <c r="AG150" s="451"/>
      <c r="AH150" s="451"/>
      <c r="AI150" s="347"/>
      <c r="AJ150" s="451"/>
      <c r="AK150" s="451"/>
      <c r="AL150" s="451"/>
      <c r="AM150" s="452"/>
      <c r="AN150" s="451"/>
      <c r="AO150" s="451"/>
      <c r="AP150" s="347"/>
      <c r="AQ150" s="451"/>
      <c r="AR150" s="451"/>
      <c r="AS150" s="451"/>
      <c r="AT150" s="452"/>
      <c r="AU150" s="451"/>
      <c r="AV150" s="451"/>
      <c r="AW150" s="347"/>
      <c r="AX150" s="451"/>
      <c r="AY150" s="451"/>
      <c r="AZ150" s="451"/>
      <c r="BA150" s="452"/>
      <c r="BB150" s="451"/>
      <c r="BC150" s="451"/>
      <c r="BD150" s="347"/>
      <c r="BE150" s="451"/>
      <c r="BF150" s="451"/>
      <c r="BG150" s="451"/>
      <c r="BH150" s="452"/>
      <c r="BI150" s="451"/>
      <c r="BJ150" s="451"/>
      <c r="BK150" s="347"/>
      <c r="BL150" s="451"/>
      <c r="BM150" s="451"/>
      <c r="BN150" s="451"/>
      <c r="BO150" s="452"/>
      <c r="BP150" s="451"/>
      <c r="BQ150" s="451"/>
      <c r="BR150" s="347"/>
      <c r="BS150" s="451"/>
      <c r="BT150" s="451"/>
      <c r="BU150" s="451"/>
      <c r="BV150" s="452"/>
      <c r="BW150" s="451"/>
      <c r="BX150" s="451"/>
      <c r="BY150" s="347"/>
      <c r="BZ150" s="451"/>
      <c r="CA150" s="451"/>
      <c r="CB150" s="451"/>
      <c r="CC150" s="452"/>
      <c r="CD150" s="451"/>
      <c r="CE150" s="451"/>
      <c r="CF150" s="347"/>
      <c r="CG150" s="451"/>
      <c r="CH150" s="451"/>
      <c r="CI150" s="451"/>
      <c r="CJ150" s="452"/>
      <c r="CK150" s="451"/>
      <c r="CL150" s="451"/>
      <c r="CM150" s="347"/>
      <c r="CN150" s="451"/>
      <c r="CO150" s="451"/>
      <c r="CP150" s="451"/>
      <c r="CQ150" s="452"/>
      <c r="CR150" s="451"/>
      <c r="CS150" s="451"/>
      <c r="CT150" s="347"/>
      <c r="CU150" s="451"/>
      <c r="CV150" s="451"/>
      <c r="CW150" s="451"/>
      <c r="CX150" s="452"/>
      <c r="CY150" s="451"/>
      <c r="CZ150" s="451"/>
      <c r="DA150" s="1774">
        <f>DA104/DA143</f>
        <v>9.7911227154047001E-2</v>
      </c>
      <c r="DB150" s="451"/>
      <c r="DC150" s="451"/>
      <c r="DD150" s="451"/>
      <c r="DE150" s="452"/>
      <c r="DF150" s="451"/>
      <c r="DG150" s="451"/>
      <c r="DH150" s="1774">
        <f>DH104/DH143</f>
        <v>0.11727616645649433</v>
      </c>
      <c r="DI150" s="451"/>
      <c r="DJ150" s="451"/>
      <c r="DK150" s="451"/>
      <c r="DL150" s="452"/>
      <c r="DM150" s="451"/>
      <c r="DN150" s="451"/>
      <c r="DO150" s="1775">
        <f>DO104/DO143</f>
        <v>0.12528735632183907</v>
      </c>
      <c r="DP150" s="451"/>
      <c r="DQ150" s="451"/>
      <c r="DR150" s="451"/>
      <c r="DS150" s="452"/>
      <c r="DT150" s="451"/>
      <c r="DU150" s="451"/>
      <c r="DV150" s="1775">
        <f>DV104/DV143</f>
        <v>0.1208974358974359</v>
      </c>
      <c r="DW150" s="451"/>
      <c r="DX150" s="451"/>
      <c r="DY150" s="451"/>
      <c r="DZ150" s="452"/>
      <c r="EA150" s="451"/>
      <c r="EB150" s="451"/>
      <c r="EC150" s="1775">
        <f>EC104/EC143</f>
        <v>0.11051051051051052</v>
      </c>
      <c r="ED150" s="451"/>
      <c r="EE150" s="451"/>
      <c r="EF150" s="451"/>
      <c r="EG150" s="452"/>
      <c r="EH150" s="451"/>
      <c r="EI150" s="451"/>
      <c r="EJ150" s="1775">
        <f>EJ104/EJ143</f>
        <v>0.10787992495309569</v>
      </c>
      <c r="EK150" s="451"/>
      <c r="EL150" s="451"/>
      <c r="EM150" s="451"/>
      <c r="EN150" s="452"/>
      <c r="EO150" s="451"/>
      <c r="EP150" s="451"/>
      <c r="EQ150" s="1775">
        <f>EQ104/EQ143</f>
        <v>0.10732617825478301</v>
      </c>
    </row>
    <row r="151" spans="1:147" ht="10.199999999999999" customHeight="1">
      <c r="A151" s="201" t="str">
        <f>A114</f>
        <v>A319neo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21"/>
      <c r="P151" s="321"/>
      <c r="Q151" s="321"/>
      <c r="R151" s="444"/>
      <c r="S151" s="321"/>
      <c r="T151" s="321"/>
      <c r="U151" s="1270"/>
      <c r="V151" s="321"/>
      <c r="W151" s="321"/>
      <c r="X151" s="321"/>
      <c r="Y151" s="444"/>
      <c r="Z151" s="321"/>
      <c r="AA151" s="321"/>
      <c r="AB151" s="1270"/>
      <c r="AC151" s="321"/>
      <c r="AD151" s="321"/>
      <c r="AE151" s="321"/>
      <c r="AF151" s="444"/>
      <c r="AG151" s="321"/>
      <c r="AH151" s="321"/>
      <c r="AI151" s="1270"/>
      <c r="AJ151" s="321"/>
      <c r="AK151" s="321"/>
      <c r="AL151" s="321"/>
      <c r="AM151" s="444"/>
      <c r="AN151" s="321"/>
      <c r="AO151" s="321"/>
      <c r="AP151" s="1270"/>
      <c r="AQ151" s="321"/>
      <c r="AR151" s="321"/>
      <c r="AS151" s="321"/>
      <c r="AT151" s="444"/>
      <c r="AU151" s="321"/>
      <c r="AV151" s="321"/>
      <c r="AW151" s="1270"/>
      <c r="AX151" s="321"/>
      <c r="AY151" s="321"/>
      <c r="AZ151" s="321"/>
      <c r="BA151" s="444"/>
      <c r="BB151" s="321"/>
      <c r="BC151" s="321"/>
      <c r="BD151" s="1270"/>
      <c r="BE151" s="321"/>
      <c r="BF151" s="321"/>
      <c r="BG151" s="321"/>
      <c r="BH151" s="444"/>
      <c r="BI151" s="321"/>
      <c r="BJ151" s="321"/>
      <c r="BK151" s="1270"/>
      <c r="BL151" s="321"/>
      <c r="BM151" s="321"/>
      <c r="BN151" s="321"/>
      <c r="BO151" s="444"/>
      <c r="BP151" s="321"/>
      <c r="BQ151" s="321"/>
      <c r="BR151" s="1270"/>
      <c r="BS151" s="321"/>
      <c r="BT151" s="321"/>
      <c r="BU151" s="321"/>
      <c r="BV151" s="444"/>
      <c r="BW151" s="321"/>
      <c r="BX151" s="321"/>
      <c r="BY151" s="1270"/>
      <c r="BZ151" s="321"/>
      <c r="CA151" s="321"/>
      <c r="CB151" s="321"/>
      <c r="CC151" s="444"/>
      <c r="CD151" s="321"/>
      <c r="CE151" s="321"/>
      <c r="CF151" s="1270"/>
      <c r="CG151" s="321"/>
      <c r="CH151" s="321"/>
      <c r="CI151" s="321"/>
      <c r="CJ151" s="444"/>
      <c r="CK151" s="321"/>
      <c r="CL151" s="321"/>
      <c r="CM151" s="1270"/>
      <c r="CN151" s="321"/>
      <c r="CO151" s="321"/>
      <c r="CP151" s="321"/>
      <c r="CQ151" s="444"/>
      <c r="CR151" s="321"/>
      <c r="CS151" s="321"/>
      <c r="CT151" s="1270"/>
      <c r="CU151" s="321"/>
      <c r="CV151" s="321"/>
      <c r="CW151" s="321"/>
      <c r="CX151" s="444"/>
      <c r="CY151" s="321"/>
      <c r="CZ151" s="321"/>
      <c r="DA151" s="1431">
        <f>DA114/DA143</f>
        <v>1.1749347258485639E-2</v>
      </c>
      <c r="DB151" s="321"/>
      <c r="DC151" s="321"/>
      <c r="DD151" s="321"/>
      <c r="DE151" s="444"/>
      <c r="DF151" s="321"/>
      <c r="DG151" s="321"/>
      <c r="DH151" s="1431">
        <f>DH114/DH143</f>
        <v>1.8915510718789406E-2</v>
      </c>
      <c r="DI151" s="321"/>
      <c r="DJ151" s="321"/>
      <c r="DK151" s="321"/>
      <c r="DL151" s="444"/>
      <c r="DM151" s="321"/>
      <c r="DN151" s="321"/>
      <c r="DO151" s="1432">
        <f>DO114/DO143</f>
        <v>5.7471264367816091E-3</v>
      </c>
      <c r="DP151" s="321"/>
      <c r="DQ151" s="321"/>
      <c r="DR151" s="321"/>
      <c r="DS151" s="444"/>
      <c r="DT151" s="321"/>
      <c r="DU151" s="321"/>
      <c r="DV151" s="1432">
        <f>DV114/DV143</f>
        <v>5.1282051282051282E-3</v>
      </c>
      <c r="DW151" s="321"/>
      <c r="DX151" s="321"/>
      <c r="DY151" s="321"/>
      <c r="DZ151" s="444"/>
      <c r="EA151" s="321"/>
      <c r="EB151" s="321"/>
      <c r="EC151" s="1432">
        <f>EC114/EC143</f>
        <v>4.8048048048048046E-3</v>
      </c>
      <c r="ED151" s="321"/>
      <c r="EE151" s="321"/>
      <c r="EF151" s="321"/>
      <c r="EG151" s="444"/>
      <c r="EH151" s="321"/>
      <c r="EI151" s="321"/>
      <c r="EJ151" s="1432">
        <f>EJ114/EJ143</f>
        <v>4.6904315196998128E-3</v>
      </c>
      <c r="EK151" s="321"/>
      <c r="EL151" s="321"/>
      <c r="EM151" s="321"/>
      <c r="EN151" s="444"/>
      <c r="EO151" s="321"/>
      <c r="EP151" s="321"/>
      <c r="EQ151" s="1432">
        <f>EQ114/EQ143</f>
        <v>4.6663555762949133E-3</v>
      </c>
    </row>
    <row r="152" spans="1:147" ht="10.199999999999999" customHeight="1">
      <c r="A152" s="201" t="str">
        <f t="shared" ref="A152:A153" si="634">A115</f>
        <v>A320neo</v>
      </c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21"/>
      <c r="P152" s="321"/>
      <c r="Q152" s="321"/>
      <c r="R152" s="444"/>
      <c r="S152" s="321"/>
      <c r="T152" s="321"/>
      <c r="U152" s="1270"/>
      <c r="V152" s="321"/>
      <c r="W152" s="321"/>
      <c r="X152" s="321"/>
      <c r="Y152" s="444"/>
      <c r="Z152" s="321"/>
      <c r="AA152" s="321"/>
      <c r="AB152" s="1270"/>
      <c r="AC152" s="321"/>
      <c r="AD152" s="321"/>
      <c r="AE152" s="321"/>
      <c r="AF152" s="444"/>
      <c r="AG152" s="321"/>
      <c r="AH152" s="321"/>
      <c r="AI152" s="1270"/>
      <c r="AJ152" s="321"/>
      <c r="AK152" s="321"/>
      <c r="AL152" s="321"/>
      <c r="AM152" s="444"/>
      <c r="AN152" s="321"/>
      <c r="AO152" s="321"/>
      <c r="AP152" s="1270"/>
      <c r="AQ152" s="321"/>
      <c r="AR152" s="321"/>
      <c r="AS152" s="321"/>
      <c r="AT152" s="444"/>
      <c r="AU152" s="321"/>
      <c r="AV152" s="321"/>
      <c r="AW152" s="1270"/>
      <c r="AX152" s="321"/>
      <c r="AY152" s="321"/>
      <c r="AZ152" s="321"/>
      <c r="BA152" s="444"/>
      <c r="BB152" s="321"/>
      <c r="BC152" s="321"/>
      <c r="BD152" s="1270"/>
      <c r="BE152" s="321"/>
      <c r="BF152" s="321"/>
      <c r="BG152" s="321"/>
      <c r="BH152" s="444"/>
      <c r="BI152" s="321"/>
      <c r="BJ152" s="321"/>
      <c r="BK152" s="1270"/>
      <c r="BL152" s="321"/>
      <c r="BM152" s="321"/>
      <c r="BN152" s="321"/>
      <c r="BO152" s="444"/>
      <c r="BP152" s="321"/>
      <c r="BQ152" s="321"/>
      <c r="BR152" s="1270"/>
      <c r="BS152" s="321"/>
      <c r="BT152" s="321"/>
      <c r="BU152" s="321"/>
      <c r="BV152" s="444"/>
      <c r="BW152" s="321"/>
      <c r="BX152" s="321"/>
      <c r="BY152" s="1270"/>
      <c r="BZ152" s="321"/>
      <c r="CA152" s="321"/>
      <c r="CB152" s="321"/>
      <c r="CC152" s="444"/>
      <c r="CD152" s="321"/>
      <c r="CE152" s="321"/>
      <c r="CF152" s="1270"/>
      <c r="CG152" s="321"/>
      <c r="CH152" s="321"/>
      <c r="CI152" s="321"/>
      <c r="CJ152" s="444"/>
      <c r="CK152" s="321"/>
      <c r="CL152" s="321"/>
      <c r="CM152" s="1270"/>
      <c r="CN152" s="321"/>
      <c r="CO152" s="321"/>
      <c r="CP152" s="321"/>
      <c r="CQ152" s="444"/>
      <c r="CR152" s="321"/>
      <c r="CS152" s="321"/>
      <c r="CT152" s="1270"/>
      <c r="CU152" s="321"/>
      <c r="CV152" s="321"/>
      <c r="CW152" s="321"/>
      <c r="CX152" s="444"/>
      <c r="CY152" s="321"/>
      <c r="CZ152" s="321"/>
      <c r="DA152" s="1431">
        <f>DA115/DA143</f>
        <v>0.30287206266318539</v>
      </c>
      <c r="DB152" s="321"/>
      <c r="DC152" s="321"/>
      <c r="DD152" s="321"/>
      <c r="DE152" s="444"/>
      <c r="DF152" s="321"/>
      <c r="DG152" s="321"/>
      <c r="DH152" s="1431">
        <f>DH115/DH143</f>
        <v>0.25851197982345525</v>
      </c>
      <c r="DI152" s="321"/>
      <c r="DJ152" s="321"/>
      <c r="DK152" s="321"/>
      <c r="DL152" s="444"/>
      <c r="DM152" s="321"/>
      <c r="DN152" s="321"/>
      <c r="DO152" s="1432">
        <f>DO115/DO143</f>
        <v>0.25695402298850578</v>
      </c>
      <c r="DP152" s="321"/>
      <c r="DQ152" s="321"/>
      <c r="DR152" s="321"/>
      <c r="DS152" s="444"/>
      <c r="DT152" s="321"/>
      <c r="DU152" s="321"/>
      <c r="DV152" s="1432">
        <f>DV115/DV143</f>
        <v>0.22044871794871795</v>
      </c>
      <c r="DW152" s="321"/>
      <c r="DX152" s="321"/>
      <c r="DY152" s="321"/>
      <c r="DZ152" s="444"/>
      <c r="EA152" s="321"/>
      <c r="EB152" s="321"/>
      <c r="EC152" s="1432">
        <f>EC115/EC143</f>
        <v>0.18513513513513513</v>
      </c>
      <c r="ED152" s="321"/>
      <c r="EE152" s="321"/>
      <c r="EF152" s="321"/>
      <c r="EG152" s="444"/>
      <c r="EH152" s="321"/>
      <c r="EI152" s="321"/>
      <c r="EJ152" s="1432">
        <f>EJ115/EJ143</f>
        <v>0.18409943714821764</v>
      </c>
      <c r="EK152" s="321"/>
      <c r="EL152" s="321"/>
      <c r="EM152" s="321"/>
      <c r="EN152" s="444"/>
      <c r="EO152" s="321"/>
      <c r="EP152" s="321"/>
      <c r="EQ152" s="1432">
        <f>EQ115/EQ143</f>
        <v>0.18315445636957536</v>
      </c>
    </row>
    <row r="153" spans="1:147" ht="10.199999999999999" customHeight="1">
      <c r="A153" s="201" t="str">
        <f t="shared" si="634"/>
        <v>A321neo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21"/>
      <c r="P153" s="321"/>
      <c r="Q153" s="321"/>
      <c r="R153" s="444"/>
      <c r="S153" s="321"/>
      <c r="T153" s="321"/>
      <c r="U153" s="1270"/>
      <c r="V153" s="321"/>
      <c r="W153" s="321"/>
      <c r="X153" s="321"/>
      <c r="Y153" s="444"/>
      <c r="Z153" s="321"/>
      <c r="AA153" s="321"/>
      <c r="AB153" s="1270"/>
      <c r="AC153" s="321"/>
      <c r="AD153" s="321"/>
      <c r="AE153" s="321"/>
      <c r="AF153" s="444"/>
      <c r="AG153" s="321"/>
      <c r="AH153" s="321"/>
      <c r="AI153" s="1270"/>
      <c r="AJ153" s="321"/>
      <c r="AK153" s="321"/>
      <c r="AL153" s="321"/>
      <c r="AM153" s="444"/>
      <c r="AN153" s="321"/>
      <c r="AO153" s="321"/>
      <c r="AP153" s="1270"/>
      <c r="AQ153" s="321"/>
      <c r="AR153" s="321"/>
      <c r="AS153" s="321"/>
      <c r="AT153" s="444"/>
      <c r="AU153" s="321"/>
      <c r="AV153" s="321"/>
      <c r="AW153" s="1270"/>
      <c r="AX153" s="321"/>
      <c r="AY153" s="321"/>
      <c r="AZ153" s="321"/>
      <c r="BA153" s="444"/>
      <c r="BB153" s="321"/>
      <c r="BC153" s="321"/>
      <c r="BD153" s="1270"/>
      <c r="BE153" s="321"/>
      <c r="BF153" s="321"/>
      <c r="BG153" s="321"/>
      <c r="BH153" s="444"/>
      <c r="BI153" s="321"/>
      <c r="BJ153" s="321"/>
      <c r="BK153" s="1270"/>
      <c r="BL153" s="321"/>
      <c r="BM153" s="321"/>
      <c r="BN153" s="321"/>
      <c r="BO153" s="444"/>
      <c r="BP153" s="321"/>
      <c r="BQ153" s="321"/>
      <c r="BR153" s="1270"/>
      <c r="BS153" s="321"/>
      <c r="BT153" s="321"/>
      <c r="BU153" s="321"/>
      <c r="BV153" s="444"/>
      <c r="BW153" s="321"/>
      <c r="BX153" s="321"/>
      <c r="BY153" s="1270"/>
      <c r="BZ153" s="321"/>
      <c r="CA153" s="321"/>
      <c r="CB153" s="321"/>
      <c r="CC153" s="444"/>
      <c r="CD153" s="321"/>
      <c r="CE153" s="321"/>
      <c r="CF153" s="1270"/>
      <c r="CG153" s="321"/>
      <c r="CH153" s="321"/>
      <c r="CI153" s="321"/>
      <c r="CJ153" s="444"/>
      <c r="CK153" s="321"/>
      <c r="CL153" s="321"/>
      <c r="CM153" s="1270"/>
      <c r="CN153" s="321"/>
      <c r="CO153" s="321"/>
      <c r="CP153" s="321"/>
      <c r="CQ153" s="444"/>
      <c r="CR153" s="321"/>
      <c r="CS153" s="321"/>
      <c r="CT153" s="1270"/>
      <c r="CU153" s="321"/>
      <c r="CV153" s="321"/>
      <c r="CW153" s="321"/>
      <c r="CX153" s="444"/>
      <c r="CY153" s="321"/>
      <c r="CZ153" s="321"/>
      <c r="DA153" s="1431">
        <f>DA116/DA143</f>
        <v>0.47127937336814624</v>
      </c>
      <c r="DB153" s="321"/>
      <c r="DC153" s="321"/>
      <c r="DD153" s="321"/>
      <c r="DE153" s="444"/>
      <c r="DF153" s="321"/>
      <c r="DG153" s="321"/>
      <c r="DH153" s="1431">
        <f>DH116/DH143</f>
        <v>0.4880201765447667</v>
      </c>
      <c r="DI153" s="321"/>
      <c r="DJ153" s="321"/>
      <c r="DK153" s="321"/>
      <c r="DL153" s="444"/>
      <c r="DM153" s="321"/>
      <c r="DN153" s="321"/>
      <c r="DO153" s="1432">
        <f>DO116/DO143</f>
        <v>0.48787356321839082</v>
      </c>
      <c r="DP153" s="321"/>
      <c r="DQ153" s="321"/>
      <c r="DR153" s="321"/>
      <c r="DS153" s="444"/>
      <c r="DT153" s="321"/>
      <c r="DU153" s="321"/>
      <c r="DV153" s="1432">
        <f>DV116/DV143</f>
        <v>0.5263461538461538</v>
      </c>
      <c r="DW153" s="321"/>
      <c r="DX153" s="321"/>
      <c r="DY153" s="321"/>
      <c r="DZ153" s="444"/>
      <c r="EA153" s="321"/>
      <c r="EB153" s="321"/>
      <c r="EC153" s="1432">
        <f>EC116/EC143</f>
        <v>0.56981981981981977</v>
      </c>
      <c r="ED153" s="321"/>
      <c r="EE153" s="321"/>
      <c r="EF153" s="321"/>
      <c r="EG153" s="444"/>
      <c r="EH153" s="321"/>
      <c r="EI153" s="321"/>
      <c r="EJ153" s="1432">
        <f>EJ116/EJ143</f>
        <v>0.5663696060037523</v>
      </c>
      <c r="EK153" s="321"/>
      <c r="EL153" s="321"/>
      <c r="EM153" s="321"/>
      <c r="EN153" s="444"/>
      <c r="EO153" s="321"/>
      <c r="EP153" s="321"/>
      <c r="EQ153" s="1432">
        <f>EQ116/EQ143</f>
        <v>0.5634624358376108</v>
      </c>
    </row>
    <row r="154" spans="1:147" ht="10.199999999999999" customHeight="1">
      <c r="A154" s="293" t="s">
        <v>378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451"/>
      <c r="P154" s="451"/>
      <c r="Q154" s="451"/>
      <c r="R154" s="452"/>
      <c r="S154" s="451"/>
      <c r="T154" s="451"/>
      <c r="U154" s="347"/>
      <c r="V154" s="451"/>
      <c r="W154" s="451"/>
      <c r="X154" s="451"/>
      <c r="Y154" s="452"/>
      <c r="Z154" s="451"/>
      <c r="AA154" s="451"/>
      <c r="AB154" s="347"/>
      <c r="AC154" s="451"/>
      <c r="AD154" s="451"/>
      <c r="AE154" s="451"/>
      <c r="AF154" s="452"/>
      <c r="AG154" s="451"/>
      <c r="AH154" s="451"/>
      <c r="AI154" s="347"/>
      <c r="AJ154" s="451"/>
      <c r="AK154" s="451"/>
      <c r="AL154" s="451"/>
      <c r="AM154" s="452"/>
      <c r="AN154" s="451"/>
      <c r="AO154" s="451"/>
      <c r="AP154" s="347"/>
      <c r="AQ154" s="451"/>
      <c r="AR154" s="451"/>
      <c r="AS154" s="451"/>
      <c r="AT154" s="452"/>
      <c r="AU154" s="451"/>
      <c r="AV154" s="451"/>
      <c r="AW154" s="347"/>
      <c r="AX154" s="451"/>
      <c r="AY154" s="451"/>
      <c r="AZ154" s="451"/>
      <c r="BA154" s="452"/>
      <c r="BB154" s="451"/>
      <c r="BC154" s="451"/>
      <c r="BD154" s="347"/>
      <c r="BE154" s="451"/>
      <c r="BF154" s="451"/>
      <c r="BG154" s="451"/>
      <c r="BH154" s="452"/>
      <c r="BI154" s="451"/>
      <c r="BJ154" s="451"/>
      <c r="BK154" s="347"/>
      <c r="BL154" s="451"/>
      <c r="BM154" s="451"/>
      <c r="BN154" s="451"/>
      <c r="BO154" s="452"/>
      <c r="BP154" s="451"/>
      <c r="BQ154" s="451"/>
      <c r="BR154" s="347"/>
      <c r="BS154" s="451"/>
      <c r="BT154" s="451"/>
      <c r="BU154" s="451"/>
      <c r="BV154" s="452"/>
      <c r="BW154" s="451"/>
      <c r="BX154" s="451"/>
      <c r="BY154" s="347"/>
      <c r="BZ154" s="451"/>
      <c r="CA154" s="451"/>
      <c r="CB154" s="451"/>
      <c r="CC154" s="452"/>
      <c r="CD154" s="451"/>
      <c r="CE154" s="451"/>
      <c r="CF154" s="347"/>
      <c r="CG154" s="451"/>
      <c r="CH154" s="451"/>
      <c r="CI154" s="451"/>
      <c r="CJ154" s="452"/>
      <c r="CK154" s="451"/>
      <c r="CL154" s="451"/>
      <c r="CM154" s="347"/>
      <c r="CN154" s="451"/>
      <c r="CO154" s="451"/>
      <c r="CP154" s="451"/>
      <c r="CQ154" s="452"/>
      <c r="CR154" s="451"/>
      <c r="CS154" s="451"/>
      <c r="CT154" s="347"/>
      <c r="CU154" s="451"/>
      <c r="CV154" s="451"/>
      <c r="CW154" s="451"/>
      <c r="CX154" s="452"/>
      <c r="CY154" s="451"/>
      <c r="CZ154" s="451"/>
      <c r="DA154" s="1774">
        <f>DA117/DA143</f>
        <v>0.78590078328981727</v>
      </c>
      <c r="DB154" s="451"/>
      <c r="DC154" s="451"/>
      <c r="DD154" s="451"/>
      <c r="DE154" s="452"/>
      <c r="DF154" s="451"/>
      <c r="DG154" s="451"/>
      <c r="DH154" s="1774">
        <f>DH117/DH143</f>
        <v>0.7654476670870114</v>
      </c>
      <c r="DI154" s="451"/>
      <c r="DJ154" s="451"/>
      <c r="DK154" s="451"/>
      <c r="DL154" s="452"/>
      <c r="DM154" s="451"/>
      <c r="DN154" s="451"/>
      <c r="DO154" s="1775">
        <f>DO117/DO143</f>
        <v>0.75057471264367814</v>
      </c>
      <c r="DP154" s="451"/>
      <c r="DQ154" s="451"/>
      <c r="DR154" s="451"/>
      <c r="DS154" s="452"/>
      <c r="DT154" s="451"/>
      <c r="DU154" s="451"/>
      <c r="DV154" s="1775">
        <f>DV117/DV143</f>
        <v>0.75192307692307692</v>
      </c>
      <c r="DW154" s="451"/>
      <c r="DX154" s="451"/>
      <c r="DY154" s="451"/>
      <c r="DZ154" s="452"/>
      <c r="EA154" s="451"/>
      <c r="EB154" s="451"/>
      <c r="EC154" s="1775">
        <f>EC117/EC143</f>
        <v>0.75975975975975973</v>
      </c>
      <c r="ED154" s="451"/>
      <c r="EE154" s="451"/>
      <c r="EF154" s="451"/>
      <c r="EG154" s="452"/>
      <c r="EH154" s="451"/>
      <c r="EI154" s="451"/>
      <c r="EJ154" s="1775">
        <f>EJ117/EJ143</f>
        <v>0.75515947467166977</v>
      </c>
      <c r="EK154" s="451"/>
      <c r="EL154" s="451"/>
      <c r="EM154" s="451"/>
      <c r="EN154" s="452"/>
      <c r="EO154" s="451"/>
      <c r="EP154" s="451"/>
      <c r="EQ154" s="1775">
        <f>EQ117/EQ143</f>
        <v>0.7512832477834811</v>
      </c>
    </row>
    <row r="155" spans="1:147" ht="10.199999999999999" customHeight="1">
      <c r="A155" s="201" t="str">
        <f>A121</f>
        <v>A330-200</v>
      </c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321"/>
      <c r="P155" s="321"/>
      <c r="Q155" s="321"/>
      <c r="R155" s="444"/>
      <c r="S155" s="321"/>
      <c r="T155" s="321"/>
      <c r="U155" s="1270"/>
      <c r="V155" s="321"/>
      <c r="W155" s="321"/>
      <c r="X155" s="321"/>
      <c r="Y155" s="444"/>
      <c r="Z155" s="321"/>
      <c r="AA155" s="321"/>
      <c r="AB155" s="1270"/>
      <c r="AC155" s="321"/>
      <c r="AD155" s="321"/>
      <c r="AE155" s="321"/>
      <c r="AF155" s="444"/>
      <c r="AG155" s="321"/>
      <c r="AH155" s="321"/>
      <c r="AI155" s="1270"/>
      <c r="AJ155" s="321"/>
      <c r="AK155" s="321"/>
      <c r="AL155" s="321"/>
      <c r="AM155" s="444"/>
      <c r="AN155" s="321"/>
      <c r="AO155" s="321"/>
      <c r="AP155" s="1270"/>
      <c r="AQ155" s="321"/>
      <c r="AR155" s="321"/>
      <c r="AS155" s="321"/>
      <c r="AT155" s="444"/>
      <c r="AU155" s="321"/>
      <c r="AV155" s="321"/>
      <c r="AW155" s="1270"/>
      <c r="AX155" s="321"/>
      <c r="AY155" s="321"/>
      <c r="AZ155" s="321"/>
      <c r="BA155" s="444"/>
      <c r="BB155" s="321"/>
      <c r="BC155" s="321"/>
      <c r="BD155" s="1270"/>
      <c r="BE155" s="321"/>
      <c r="BF155" s="321"/>
      <c r="BG155" s="321"/>
      <c r="BH155" s="444"/>
      <c r="BI155" s="321"/>
      <c r="BJ155" s="321"/>
      <c r="BK155" s="1270"/>
      <c r="BL155" s="321"/>
      <c r="BM155" s="321"/>
      <c r="BN155" s="321"/>
      <c r="BO155" s="444"/>
      <c r="BP155" s="321"/>
      <c r="BQ155" s="321"/>
      <c r="BR155" s="1270"/>
      <c r="BS155" s="321"/>
      <c r="BT155" s="321"/>
      <c r="BU155" s="321"/>
      <c r="BV155" s="444"/>
      <c r="BW155" s="321"/>
      <c r="BX155" s="321"/>
      <c r="BY155" s="1270"/>
      <c r="BZ155" s="321"/>
      <c r="CA155" s="321"/>
      <c r="CB155" s="321"/>
      <c r="CC155" s="444"/>
      <c r="CD155" s="321"/>
      <c r="CE155" s="321"/>
      <c r="CF155" s="1270"/>
      <c r="CG155" s="321"/>
      <c r="CH155" s="321"/>
      <c r="CI155" s="321"/>
      <c r="CJ155" s="444"/>
      <c r="CK155" s="321"/>
      <c r="CL155" s="321"/>
      <c r="CM155" s="1270"/>
      <c r="CN155" s="321"/>
      <c r="CO155" s="321"/>
      <c r="CP155" s="321"/>
      <c r="CQ155" s="444"/>
      <c r="CR155" s="321"/>
      <c r="CS155" s="321"/>
      <c r="CT155" s="1270"/>
      <c r="CU155" s="321"/>
      <c r="CV155" s="321"/>
      <c r="CW155" s="321"/>
      <c r="CX155" s="444"/>
      <c r="CY155" s="321"/>
      <c r="CZ155" s="321"/>
      <c r="DA155" s="1431">
        <f>DA121/DA143</f>
        <v>2.6109660574412533E-3</v>
      </c>
      <c r="DB155" s="321"/>
      <c r="DC155" s="321"/>
      <c r="DD155" s="321"/>
      <c r="DE155" s="444"/>
      <c r="DF155" s="321"/>
      <c r="DG155" s="321"/>
      <c r="DH155" s="1431">
        <f>DH121/DH143</f>
        <v>2.5220680958385876E-3</v>
      </c>
      <c r="DI155" s="321"/>
      <c r="DJ155" s="321"/>
      <c r="DK155" s="321"/>
      <c r="DL155" s="444"/>
      <c r="DM155" s="321"/>
      <c r="DN155" s="321"/>
      <c r="DO155" s="1432">
        <f>DO121/DO143</f>
        <v>2.2988505747126436E-3</v>
      </c>
      <c r="DP155" s="321"/>
      <c r="DQ155" s="321"/>
      <c r="DR155" s="321"/>
      <c r="DS155" s="444"/>
      <c r="DT155" s="321"/>
      <c r="DU155" s="321"/>
      <c r="DV155" s="1432">
        <f>DV121/DV143</f>
        <v>2.0512820512820513E-3</v>
      </c>
      <c r="DW155" s="321"/>
      <c r="DX155" s="321"/>
      <c r="DY155" s="321"/>
      <c r="DZ155" s="444"/>
      <c r="EA155" s="321"/>
      <c r="EB155" s="321"/>
      <c r="EC155" s="1432">
        <f>EC121/EC143</f>
        <v>1.9219219219219219E-3</v>
      </c>
      <c r="ED155" s="321"/>
      <c r="EE155" s="321"/>
      <c r="EF155" s="321"/>
      <c r="EG155" s="444"/>
      <c r="EH155" s="321"/>
      <c r="EI155" s="321"/>
      <c r="EJ155" s="1432">
        <f>EJ121/EJ143</f>
        <v>1.876172607879925E-3</v>
      </c>
      <c r="EK155" s="321"/>
      <c r="EL155" s="321"/>
      <c r="EM155" s="321"/>
      <c r="EN155" s="444"/>
      <c r="EO155" s="321"/>
      <c r="EP155" s="321"/>
      <c r="EQ155" s="1432">
        <f>EQ121/EQ143</f>
        <v>1.8665422305179655E-3</v>
      </c>
    </row>
    <row r="156" spans="1:147" ht="10.199999999999999" customHeight="1">
      <c r="A156" s="201" t="str">
        <f t="shared" ref="A156:A157" si="635">A122</f>
        <v>A330-300</v>
      </c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321"/>
      <c r="P156" s="321"/>
      <c r="Q156" s="321"/>
      <c r="R156" s="444"/>
      <c r="S156" s="321"/>
      <c r="T156" s="321"/>
      <c r="U156" s="1270"/>
      <c r="V156" s="321"/>
      <c r="W156" s="321"/>
      <c r="X156" s="321"/>
      <c r="Y156" s="444"/>
      <c r="Z156" s="321"/>
      <c r="AA156" s="321"/>
      <c r="AB156" s="1270"/>
      <c r="AC156" s="321"/>
      <c r="AD156" s="321"/>
      <c r="AE156" s="321"/>
      <c r="AF156" s="444"/>
      <c r="AG156" s="321"/>
      <c r="AH156" s="321"/>
      <c r="AI156" s="1270"/>
      <c r="AJ156" s="321"/>
      <c r="AK156" s="321"/>
      <c r="AL156" s="321"/>
      <c r="AM156" s="444"/>
      <c r="AN156" s="321"/>
      <c r="AO156" s="321"/>
      <c r="AP156" s="1270"/>
      <c r="AQ156" s="321"/>
      <c r="AR156" s="321"/>
      <c r="AS156" s="321"/>
      <c r="AT156" s="444"/>
      <c r="AU156" s="321"/>
      <c r="AV156" s="321"/>
      <c r="AW156" s="1270"/>
      <c r="AX156" s="321"/>
      <c r="AY156" s="321"/>
      <c r="AZ156" s="321"/>
      <c r="BA156" s="444"/>
      <c r="BB156" s="321"/>
      <c r="BC156" s="321"/>
      <c r="BD156" s="1270"/>
      <c r="BE156" s="321"/>
      <c r="BF156" s="321"/>
      <c r="BG156" s="321"/>
      <c r="BH156" s="444"/>
      <c r="BI156" s="321"/>
      <c r="BJ156" s="321"/>
      <c r="BK156" s="1270"/>
      <c r="BL156" s="321"/>
      <c r="BM156" s="321"/>
      <c r="BN156" s="321"/>
      <c r="BO156" s="444"/>
      <c r="BP156" s="321"/>
      <c r="BQ156" s="321"/>
      <c r="BR156" s="1270"/>
      <c r="BS156" s="321"/>
      <c r="BT156" s="321"/>
      <c r="BU156" s="321"/>
      <c r="BV156" s="444"/>
      <c r="BW156" s="321"/>
      <c r="BX156" s="321"/>
      <c r="BY156" s="1270"/>
      <c r="BZ156" s="321"/>
      <c r="CA156" s="321"/>
      <c r="CB156" s="321"/>
      <c r="CC156" s="444"/>
      <c r="CD156" s="321"/>
      <c r="CE156" s="321"/>
      <c r="CF156" s="1270"/>
      <c r="CG156" s="321"/>
      <c r="CH156" s="321"/>
      <c r="CI156" s="321"/>
      <c r="CJ156" s="444"/>
      <c r="CK156" s="321"/>
      <c r="CL156" s="321"/>
      <c r="CM156" s="1270"/>
      <c r="CN156" s="321"/>
      <c r="CO156" s="321"/>
      <c r="CP156" s="321"/>
      <c r="CQ156" s="444"/>
      <c r="CR156" s="321"/>
      <c r="CS156" s="321"/>
      <c r="CT156" s="1270"/>
      <c r="CU156" s="321"/>
      <c r="CV156" s="321"/>
      <c r="CW156" s="321"/>
      <c r="CX156" s="444"/>
      <c r="CY156" s="321"/>
      <c r="CZ156" s="321"/>
      <c r="DA156" s="1431">
        <f>DA122/DA143</f>
        <v>0</v>
      </c>
      <c r="DB156" s="321"/>
      <c r="DC156" s="321"/>
      <c r="DD156" s="321"/>
      <c r="DE156" s="444"/>
      <c r="DF156" s="321"/>
      <c r="DG156" s="321"/>
      <c r="DH156" s="1431">
        <f>DH122/DH143</f>
        <v>0</v>
      </c>
      <c r="DI156" s="321"/>
      <c r="DJ156" s="321"/>
      <c r="DK156" s="321"/>
      <c r="DL156" s="444"/>
      <c r="DM156" s="321"/>
      <c r="DN156" s="321"/>
      <c r="DO156" s="1432">
        <f>DO122/DO143</f>
        <v>1.1494252873563218E-3</v>
      </c>
      <c r="DP156" s="321"/>
      <c r="DQ156" s="321"/>
      <c r="DR156" s="321"/>
      <c r="DS156" s="444"/>
      <c r="DT156" s="321"/>
      <c r="DU156" s="321"/>
      <c r="DV156" s="1432">
        <f>DV122/DV143</f>
        <v>1.0256410256410256E-3</v>
      </c>
      <c r="DW156" s="321"/>
      <c r="DX156" s="321"/>
      <c r="DY156" s="321"/>
      <c r="DZ156" s="444"/>
      <c r="EA156" s="321"/>
      <c r="EB156" s="321"/>
      <c r="EC156" s="1432">
        <f>EC122/EC143</f>
        <v>9.6096096096096094E-4</v>
      </c>
      <c r="ED156" s="321"/>
      <c r="EE156" s="321"/>
      <c r="EF156" s="321"/>
      <c r="EG156" s="444"/>
      <c r="EH156" s="321"/>
      <c r="EI156" s="321"/>
      <c r="EJ156" s="1432">
        <f>EJ122/EJ143</f>
        <v>9.3808630393996248E-4</v>
      </c>
      <c r="EK156" s="321"/>
      <c r="EL156" s="321"/>
      <c r="EM156" s="321"/>
      <c r="EN156" s="444"/>
      <c r="EO156" s="321"/>
      <c r="EP156" s="321"/>
      <c r="EQ156" s="1432">
        <f>EQ122/EQ143</f>
        <v>9.3327111525898275E-4</v>
      </c>
    </row>
    <row r="157" spans="1:147" ht="10.199999999999999" customHeight="1">
      <c r="A157" s="293" t="str">
        <f t="shared" si="635"/>
        <v>A330ceo</v>
      </c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451"/>
      <c r="P157" s="451"/>
      <c r="Q157" s="451"/>
      <c r="R157" s="452"/>
      <c r="S157" s="451"/>
      <c r="T157" s="451"/>
      <c r="U157" s="347"/>
      <c r="V157" s="451"/>
      <c r="W157" s="451"/>
      <c r="X157" s="451"/>
      <c r="Y157" s="452"/>
      <c r="Z157" s="451"/>
      <c r="AA157" s="451"/>
      <c r="AB157" s="347"/>
      <c r="AC157" s="451"/>
      <c r="AD157" s="451"/>
      <c r="AE157" s="451"/>
      <c r="AF157" s="452"/>
      <c r="AG157" s="451"/>
      <c r="AH157" s="451"/>
      <c r="AI157" s="347"/>
      <c r="AJ157" s="451"/>
      <c r="AK157" s="451"/>
      <c r="AL157" s="451"/>
      <c r="AM157" s="452"/>
      <c r="AN157" s="451"/>
      <c r="AO157" s="451"/>
      <c r="AP157" s="347"/>
      <c r="AQ157" s="451"/>
      <c r="AR157" s="451"/>
      <c r="AS157" s="451"/>
      <c r="AT157" s="452"/>
      <c r="AU157" s="451"/>
      <c r="AV157" s="451"/>
      <c r="AW157" s="347"/>
      <c r="AX157" s="451"/>
      <c r="AY157" s="451"/>
      <c r="AZ157" s="451"/>
      <c r="BA157" s="452"/>
      <c r="BB157" s="451"/>
      <c r="BC157" s="451"/>
      <c r="BD157" s="347"/>
      <c r="BE157" s="451"/>
      <c r="BF157" s="451"/>
      <c r="BG157" s="451"/>
      <c r="BH157" s="452"/>
      <c r="BI157" s="451"/>
      <c r="BJ157" s="451"/>
      <c r="BK157" s="347"/>
      <c r="BL157" s="451"/>
      <c r="BM157" s="451"/>
      <c r="BN157" s="451"/>
      <c r="BO157" s="452"/>
      <c r="BP157" s="451"/>
      <c r="BQ157" s="451"/>
      <c r="BR157" s="347"/>
      <c r="BS157" s="451"/>
      <c r="BT157" s="451"/>
      <c r="BU157" s="451"/>
      <c r="BV157" s="452"/>
      <c r="BW157" s="451"/>
      <c r="BX157" s="451"/>
      <c r="BY157" s="347"/>
      <c r="BZ157" s="451"/>
      <c r="CA157" s="451"/>
      <c r="CB157" s="451"/>
      <c r="CC157" s="452"/>
      <c r="CD157" s="451"/>
      <c r="CE157" s="451"/>
      <c r="CF157" s="347"/>
      <c r="CG157" s="451"/>
      <c r="CH157" s="451"/>
      <c r="CI157" s="451"/>
      <c r="CJ157" s="452"/>
      <c r="CK157" s="451"/>
      <c r="CL157" s="451"/>
      <c r="CM157" s="347"/>
      <c r="CN157" s="451"/>
      <c r="CO157" s="451"/>
      <c r="CP157" s="451"/>
      <c r="CQ157" s="452"/>
      <c r="CR157" s="451"/>
      <c r="CS157" s="451"/>
      <c r="CT157" s="347"/>
      <c r="CU157" s="451"/>
      <c r="CV157" s="451"/>
      <c r="CW157" s="451"/>
      <c r="CX157" s="452"/>
      <c r="CY157" s="451"/>
      <c r="CZ157" s="451"/>
      <c r="DA157" s="1774">
        <f>DA123/DA143</f>
        <v>2.6109660574412533E-3</v>
      </c>
      <c r="DB157" s="451"/>
      <c r="DC157" s="451"/>
      <c r="DD157" s="451"/>
      <c r="DE157" s="452"/>
      <c r="DF157" s="451"/>
      <c r="DG157" s="451"/>
      <c r="DH157" s="1774">
        <f>DH123/DH143</f>
        <v>2.5220680958385876E-3</v>
      </c>
      <c r="DI157" s="451"/>
      <c r="DJ157" s="451"/>
      <c r="DK157" s="451"/>
      <c r="DL157" s="452"/>
      <c r="DM157" s="451"/>
      <c r="DN157" s="451"/>
      <c r="DO157" s="1775">
        <f>DO123/DO143</f>
        <v>3.4482758620689655E-3</v>
      </c>
      <c r="DP157" s="451"/>
      <c r="DQ157" s="451"/>
      <c r="DR157" s="451"/>
      <c r="DS157" s="452"/>
      <c r="DT157" s="451"/>
      <c r="DU157" s="451"/>
      <c r="DV157" s="1775">
        <f>DV123/DV143</f>
        <v>3.0769230769230769E-3</v>
      </c>
      <c r="DW157" s="451"/>
      <c r="DX157" s="451"/>
      <c r="DY157" s="451"/>
      <c r="DZ157" s="452"/>
      <c r="EA157" s="451"/>
      <c r="EB157" s="451"/>
      <c r="EC157" s="1775">
        <f>EC123/EC143</f>
        <v>2.8828828828828829E-3</v>
      </c>
      <c r="ED157" s="451"/>
      <c r="EE157" s="451"/>
      <c r="EF157" s="451"/>
      <c r="EG157" s="452"/>
      <c r="EH157" s="451"/>
      <c r="EI157" s="451"/>
      <c r="EJ157" s="1775">
        <f>EJ123/EJ143</f>
        <v>2.8142589118198874E-3</v>
      </c>
      <c r="EK157" s="451"/>
      <c r="EL157" s="451"/>
      <c r="EM157" s="451"/>
      <c r="EN157" s="452"/>
      <c r="EO157" s="451"/>
      <c r="EP157" s="451"/>
      <c r="EQ157" s="1775">
        <f>EQ123/EQ143</f>
        <v>2.7998133457769483E-3</v>
      </c>
    </row>
    <row r="158" spans="1:147" ht="10.199999999999999" customHeight="1">
      <c r="A158" s="201" t="str">
        <f>A125</f>
        <v>A330-800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21"/>
      <c r="P158" s="321"/>
      <c r="Q158" s="321"/>
      <c r="R158" s="444"/>
      <c r="S158" s="321"/>
      <c r="T158" s="321"/>
      <c r="U158" s="1270"/>
      <c r="V158" s="321"/>
      <c r="W158" s="321"/>
      <c r="X158" s="321"/>
      <c r="Y158" s="444"/>
      <c r="Z158" s="321"/>
      <c r="AA158" s="321"/>
      <c r="AB158" s="1270"/>
      <c r="AC158" s="321"/>
      <c r="AD158" s="321"/>
      <c r="AE158" s="321"/>
      <c r="AF158" s="444"/>
      <c r="AG158" s="321"/>
      <c r="AH158" s="321"/>
      <c r="AI158" s="1270"/>
      <c r="AJ158" s="321"/>
      <c r="AK158" s="321"/>
      <c r="AL158" s="321"/>
      <c r="AM158" s="444"/>
      <c r="AN158" s="321"/>
      <c r="AO158" s="321"/>
      <c r="AP158" s="1270"/>
      <c r="AQ158" s="321"/>
      <c r="AR158" s="321"/>
      <c r="AS158" s="321"/>
      <c r="AT158" s="444"/>
      <c r="AU158" s="321"/>
      <c r="AV158" s="321"/>
      <c r="AW158" s="1270"/>
      <c r="AX158" s="321"/>
      <c r="AY158" s="321"/>
      <c r="AZ158" s="321"/>
      <c r="BA158" s="444"/>
      <c r="BB158" s="321"/>
      <c r="BC158" s="321"/>
      <c r="BD158" s="1270"/>
      <c r="BE158" s="321"/>
      <c r="BF158" s="321"/>
      <c r="BG158" s="321"/>
      <c r="BH158" s="444"/>
      <c r="BI158" s="321"/>
      <c r="BJ158" s="321"/>
      <c r="BK158" s="1270"/>
      <c r="BL158" s="321"/>
      <c r="BM158" s="321"/>
      <c r="BN158" s="321"/>
      <c r="BO158" s="444"/>
      <c r="BP158" s="321"/>
      <c r="BQ158" s="321"/>
      <c r="BR158" s="1270"/>
      <c r="BS158" s="321"/>
      <c r="BT158" s="321"/>
      <c r="BU158" s="321"/>
      <c r="BV158" s="444"/>
      <c r="BW158" s="321"/>
      <c r="BX158" s="321"/>
      <c r="BY158" s="1270"/>
      <c r="BZ158" s="321"/>
      <c r="CA158" s="321"/>
      <c r="CB158" s="321"/>
      <c r="CC158" s="444"/>
      <c r="CD158" s="321"/>
      <c r="CE158" s="321"/>
      <c r="CF158" s="1270"/>
      <c r="CG158" s="321"/>
      <c r="CH158" s="321"/>
      <c r="CI158" s="321"/>
      <c r="CJ158" s="444"/>
      <c r="CK158" s="321"/>
      <c r="CL158" s="321"/>
      <c r="CM158" s="1270"/>
      <c r="CN158" s="321"/>
      <c r="CO158" s="321"/>
      <c r="CP158" s="321"/>
      <c r="CQ158" s="444"/>
      <c r="CR158" s="321"/>
      <c r="CS158" s="321"/>
      <c r="CT158" s="1270"/>
      <c r="CU158" s="321"/>
      <c r="CV158" s="321"/>
      <c r="CW158" s="321"/>
      <c r="CX158" s="444"/>
      <c r="CY158" s="321"/>
      <c r="CZ158" s="321"/>
      <c r="DA158" s="1431">
        <f>DA125/DA143</f>
        <v>0</v>
      </c>
      <c r="DB158" s="321"/>
      <c r="DC158" s="321"/>
      <c r="DD158" s="321"/>
      <c r="DE158" s="444"/>
      <c r="DF158" s="321"/>
      <c r="DG158" s="321"/>
      <c r="DH158" s="1431">
        <f>DH125/DH143</f>
        <v>1.2610340479192938E-3</v>
      </c>
      <c r="DI158" s="321"/>
      <c r="DJ158" s="321"/>
      <c r="DK158" s="321"/>
      <c r="DL158" s="444"/>
      <c r="DM158" s="321"/>
      <c r="DN158" s="321"/>
      <c r="DO158" s="1432">
        <f>DO125/DO143</f>
        <v>4.5977011494252873E-3</v>
      </c>
      <c r="DP158" s="321"/>
      <c r="DQ158" s="321"/>
      <c r="DR158" s="321"/>
      <c r="DS158" s="444"/>
      <c r="DT158" s="321"/>
      <c r="DU158" s="321"/>
      <c r="DV158" s="1432">
        <f>DV125/DV143</f>
        <v>4.1025641025641026E-3</v>
      </c>
      <c r="DW158" s="321"/>
      <c r="DX158" s="321"/>
      <c r="DY158" s="321"/>
      <c r="DZ158" s="444"/>
      <c r="EA158" s="321"/>
      <c r="EB158" s="321"/>
      <c r="EC158" s="1432">
        <f>EC125/EC143</f>
        <v>3.8438438438438438E-3</v>
      </c>
      <c r="ED158" s="321"/>
      <c r="EE158" s="321"/>
      <c r="EF158" s="321"/>
      <c r="EG158" s="444"/>
      <c r="EH158" s="321"/>
      <c r="EI158" s="321"/>
      <c r="EJ158" s="1432">
        <f>EJ125/EJ143</f>
        <v>3.7523452157598499E-3</v>
      </c>
      <c r="EK158" s="321"/>
      <c r="EL158" s="321"/>
      <c r="EM158" s="321"/>
      <c r="EN158" s="444"/>
      <c r="EO158" s="321"/>
      <c r="EP158" s="321"/>
      <c r="EQ158" s="1432">
        <f>EQ125/EQ143</f>
        <v>3.733084461035931E-3</v>
      </c>
    </row>
    <row r="159" spans="1:147" ht="10.199999999999999" customHeight="1">
      <c r="A159" s="201" t="str">
        <f t="shared" ref="A159:A160" si="636">A126</f>
        <v>A330-900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21"/>
      <c r="P159" s="321"/>
      <c r="Q159" s="321"/>
      <c r="R159" s="444"/>
      <c r="S159" s="321"/>
      <c r="T159" s="321"/>
      <c r="U159" s="1270"/>
      <c r="V159" s="321"/>
      <c r="W159" s="321"/>
      <c r="X159" s="321"/>
      <c r="Y159" s="444"/>
      <c r="Z159" s="321"/>
      <c r="AA159" s="321"/>
      <c r="AB159" s="1270"/>
      <c r="AC159" s="321"/>
      <c r="AD159" s="321"/>
      <c r="AE159" s="321"/>
      <c r="AF159" s="444"/>
      <c r="AG159" s="321"/>
      <c r="AH159" s="321"/>
      <c r="AI159" s="1270"/>
      <c r="AJ159" s="321"/>
      <c r="AK159" s="321"/>
      <c r="AL159" s="321"/>
      <c r="AM159" s="444"/>
      <c r="AN159" s="321"/>
      <c r="AO159" s="321"/>
      <c r="AP159" s="1270"/>
      <c r="AQ159" s="321"/>
      <c r="AR159" s="321"/>
      <c r="AS159" s="321"/>
      <c r="AT159" s="444"/>
      <c r="AU159" s="321"/>
      <c r="AV159" s="321"/>
      <c r="AW159" s="1270"/>
      <c r="AX159" s="321"/>
      <c r="AY159" s="321"/>
      <c r="AZ159" s="321"/>
      <c r="BA159" s="444"/>
      <c r="BB159" s="321"/>
      <c r="BC159" s="321"/>
      <c r="BD159" s="1270"/>
      <c r="BE159" s="321"/>
      <c r="BF159" s="321"/>
      <c r="BG159" s="321"/>
      <c r="BH159" s="444"/>
      <c r="BI159" s="321"/>
      <c r="BJ159" s="321"/>
      <c r="BK159" s="1270"/>
      <c r="BL159" s="321"/>
      <c r="BM159" s="321"/>
      <c r="BN159" s="321"/>
      <c r="BO159" s="444"/>
      <c r="BP159" s="321"/>
      <c r="BQ159" s="321"/>
      <c r="BR159" s="1270"/>
      <c r="BS159" s="321"/>
      <c r="BT159" s="321"/>
      <c r="BU159" s="321"/>
      <c r="BV159" s="444"/>
      <c r="BW159" s="321"/>
      <c r="BX159" s="321"/>
      <c r="BY159" s="1270"/>
      <c r="BZ159" s="321"/>
      <c r="CA159" s="321"/>
      <c r="CB159" s="321"/>
      <c r="CC159" s="444"/>
      <c r="CD159" s="321"/>
      <c r="CE159" s="321"/>
      <c r="CF159" s="1270"/>
      <c r="CG159" s="321"/>
      <c r="CH159" s="321"/>
      <c r="CI159" s="321"/>
      <c r="CJ159" s="444"/>
      <c r="CK159" s="321"/>
      <c r="CL159" s="321"/>
      <c r="CM159" s="1270"/>
      <c r="CN159" s="321"/>
      <c r="CO159" s="321"/>
      <c r="CP159" s="321"/>
      <c r="CQ159" s="444"/>
      <c r="CR159" s="321"/>
      <c r="CS159" s="321"/>
      <c r="CT159" s="1270"/>
      <c r="CU159" s="321"/>
      <c r="CV159" s="321"/>
      <c r="CW159" s="321"/>
      <c r="CX159" s="444"/>
      <c r="CY159" s="321"/>
      <c r="CZ159" s="321"/>
      <c r="DA159" s="1431">
        <f>DA126/DA143</f>
        <v>3.91644908616188E-2</v>
      </c>
      <c r="DB159" s="321"/>
      <c r="DC159" s="321"/>
      <c r="DD159" s="321"/>
      <c r="DE159" s="444"/>
      <c r="DF159" s="321"/>
      <c r="DG159" s="321"/>
      <c r="DH159" s="1431">
        <f>DH126/DH143</f>
        <v>4.1614123581336697E-2</v>
      </c>
      <c r="DI159" s="321"/>
      <c r="DJ159" s="321"/>
      <c r="DK159" s="321"/>
      <c r="DL159" s="444"/>
      <c r="DM159" s="321"/>
      <c r="DN159" s="321"/>
      <c r="DO159" s="1432">
        <f>DO126/DO143</f>
        <v>3.3333333333333333E-2</v>
      </c>
      <c r="DP159" s="321"/>
      <c r="DQ159" s="321"/>
      <c r="DR159" s="321"/>
      <c r="DS159" s="444"/>
      <c r="DT159" s="321"/>
      <c r="DU159" s="321"/>
      <c r="DV159" s="1432">
        <f>DV126/DV143</f>
        <v>2.9743589743589743E-2</v>
      </c>
      <c r="DW159" s="321"/>
      <c r="DX159" s="321"/>
      <c r="DY159" s="321"/>
      <c r="DZ159" s="444"/>
      <c r="EA159" s="321"/>
      <c r="EB159" s="321"/>
      <c r="EC159" s="1432">
        <f>EC126/EC143</f>
        <v>2.7867867867867869E-2</v>
      </c>
      <c r="ED159" s="321"/>
      <c r="EE159" s="321"/>
      <c r="EF159" s="321"/>
      <c r="EG159" s="444"/>
      <c r="EH159" s="321"/>
      <c r="EI159" s="321"/>
      <c r="EJ159" s="1432">
        <f>EJ126/EJ143</f>
        <v>2.7204502814258912E-2</v>
      </c>
      <c r="EK159" s="321"/>
      <c r="EL159" s="321"/>
      <c r="EM159" s="321"/>
      <c r="EN159" s="444"/>
      <c r="EO159" s="321"/>
      <c r="EP159" s="321"/>
      <c r="EQ159" s="1432">
        <f>EQ126/EQ143</f>
        <v>3.2197853476434904E-2</v>
      </c>
    </row>
    <row r="160" spans="1:147" ht="10.199999999999999" customHeight="1">
      <c r="A160" s="293" t="str">
        <f t="shared" si="636"/>
        <v>A330neo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451"/>
      <c r="P160" s="451"/>
      <c r="Q160" s="451"/>
      <c r="R160" s="452"/>
      <c r="S160" s="451"/>
      <c r="T160" s="451"/>
      <c r="U160" s="347"/>
      <c r="V160" s="451"/>
      <c r="W160" s="451"/>
      <c r="X160" s="451"/>
      <c r="Y160" s="452"/>
      <c r="Z160" s="451"/>
      <c r="AA160" s="451"/>
      <c r="AB160" s="347"/>
      <c r="AC160" s="451"/>
      <c r="AD160" s="451"/>
      <c r="AE160" s="451"/>
      <c r="AF160" s="452"/>
      <c r="AG160" s="451"/>
      <c r="AH160" s="451"/>
      <c r="AI160" s="347"/>
      <c r="AJ160" s="451"/>
      <c r="AK160" s="451"/>
      <c r="AL160" s="451"/>
      <c r="AM160" s="452"/>
      <c r="AN160" s="451"/>
      <c r="AO160" s="451"/>
      <c r="AP160" s="347"/>
      <c r="AQ160" s="451"/>
      <c r="AR160" s="451"/>
      <c r="AS160" s="451"/>
      <c r="AT160" s="452"/>
      <c r="AU160" s="451"/>
      <c r="AV160" s="451"/>
      <c r="AW160" s="347"/>
      <c r="AX160" s="451"/>
      <c r="AY160" s="451"/>
      <c r="AZ160" s="451"/>
      <c r="BA160" s="452"/>
      <c r="BB160" s="451"/>
      <c r="BC160" s="451"/>
      <c r="BD160" s="347"/>
      <c r="BE160" s="451"/>
      <c r="BF160" s="451"/>
      <c r="BG160" s="451"/>
      <c r="BH160" s="452"/>
      <c r="BI160" s="451"/>
      <c r="BJ160" s="451"/>
      <c r="BK160" s="347"/>
      <c r="BL160" s="451"/>
      <c r="BM160" s="451"/>
      <c r="BN160" s="451"/>
      <c r="BO160" s="452"/>
      <c r="BP160" s="451"/>
      <c r="BQ160" s="451"/>
      <c r="BR160" s="347"/>
      <c r="BS160" s="451"/>
      <c r="BT160" s="451"/>
      <c r="BU160" s="451"/>
      <c r="BV160" s="452"/>
      <c r="BW160" s="451"/>
      <c r="BX160" s="451"/>
      <c r="BY160" s="347"/>
      <c r="BZ160" s="451"/>
      <c r="CA160" s="451"/>
      <c r="CB160" s="451"/>
      <c r="CC160" s="452"/>
      <c r="CD160" s="451"/>
      <c r="CE160" s="451"/>
      <c r="CF160" s="347"/>
      <c r="CG160" s="451"/>
      <c r="CH160" s="451"/>
      <c r="CI160" s="451"/>
      <c r="CJ160" s="452"/>
      <c r="CK160" s="451"/>
      <c r="CL160" s="451"/>
      <c r="CM160" s="347"/>
      <c r="CN160" s="451"/>
      <c r="CO160" s="451"/>
      <c r="CP160" s="451"/>
      <c r="CQ160" s="452"/>
      <c r="CR160" s="451"/>
      <c r="CS160" s="451"/>
      <c r="CT160" s="347"/>
      <c r="CU160" s="451"/>
      <c r="CV160" s="451"/>
      <c r="CW160" s="451"/>
      <c r="CX160" s="452"/>
      <c r="CY160" s="451"/>
      <c r="CZ160" s="451"/>
      <c r="DA160" s="1774">
        <f>DA127/DA143</f>
        <v>3.91644908616188E-2</v>
      </c>
      <c r="DB160" s="451"/>
      <c r="DC160" s="451"/>
      <c r="DD160" s="451"/>
      <c r="DE160" s="452"/>
      <c r="DF160" s="451"/>
      <c r="DG160" s="451"/>
      <c r="DH160" s="1774">
        <f>DH127/DH143</f>
        <v>4.2875157629255992E-2</v>
      </c>
      <c r="DI160" s="451"/>
      <c r="DJ160" s="451"/>
      <c r="DK160" s="451"/>
      <c r="DL160" s="452"/>
      <c r="DM160" s="451"/>
      <c r="DN160" s="451"/>
      <c r="DO160" s="1775">
        <f>DO127/DO143</f>
        <v>3.793103448275862E-2</v>
      </c>
      <c r="DP160" s="451"/>
      <c r="DQ160" s="451"/>
      <c r="DR160" s="451"/>
      <c r="DS160" s="452"/>
      <c r="DT160" s="451"/>
      <c r="DU160" s="451"/>
      <c r="DV160" s="1775">
        <f>DV127/DV143</f>
        <v>3.3846153846153845E-2</v>
      </c>
      <c r="DW160" s="451"/>
      <c r="DX160" s="451"/>
      <c r="DY160" s="451"/>
      <c r="DZ160" s="452"/>
      <c r="EA160" s="451"/>
      <c r="EB160" s="451"/>
      <c r="EC160" s="1775">
        <f>EC127/EC143</f>
        <v>3.1711711711711714E-2</v>
      </c>
      <c r="ED160" s="451"/>
      <c r="EE160" s="451"/>
      <c r="EF160" s="451"/>
      <c r="EG160" s="452"/>
      <c r="EH160" s="451"/>
      <c r="EI160" s="451"/>
      <c r="EJ160" s="1775">
        <f>EJ127/EJ143</f>
        <v>3.095684803001876E-2</v>
      </c>
      <c r="EK160" s="451"/>
      <c r="EL160" s="451"/>
      <c r="EM160" s="451"/>
      <c r="EN160" s="452"/>
      <c r="EO160" s="451"/>
      <c r="EP160" s="451"/>
      <c r="EQ160" s="1775">
        <f>EQ127/EQ143</f>
        <v>3.5930937937470833E-2</v>
      </c>
    </row>
    <row r="161" spans="1:147" ht="10.199999999999999" customHeight="1">
      <c r="A161" s="201" t="str">
        <f>A136</f>
        <v>A350-800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21"/>
      <c r="P161" s="321"/>
      <c r="Q161" s="321"/>
      <c r="R161" s="444"/>
      <c r="S161" s="321"/>
      <c r="T161" s="321"/>
      <c r="U161" s="1270"/>
      <c r="V161" s="321"/>
      <c r="W161" s="321"/>
      <c r="X161" s="321"/>
      <c r="Y161" s="444"/>
      <c r="Z161" s="321"/>
      <c r="AA161" s="321"/>
      <c r="AB161" s="1270"/>
      <c r="AC161" s="321"/>
      <c r="AD161" s="321"/>
      <c r="AE161" s="321"/>
      <c r="AF161" s="444"/>
      <c r="AG161" s="321"/>
      <c r="AH161" s="321"/>
      <c r="AI161" s="1270"/>
      <c r="AJ161" s="321"/>
      <c r="AK161" s="321"/>
      <c r="AL161" s="321"/>
      <c r="AM161" s="444"/>
      <c r="AN161" s="321"/>
      <c r="AO161" s="321"/>
      <c r="AP161" s="1270"/>
      <c r="AQ161" s="321"/>
      <c r="AR161" s="321"/>
      <c r="AS161" s="321"/>
      <c r="AT161" s="444"/>
      <c r="AU161" s="321"/>
      <c r="AV161" s="321"/>
      <c r="AW161" s="1270"/>
      <c r="AX161" s="321"/>
      <c r="AY161" s="321"/>
      <c r="AZ161" s="321"/>
      <c r="BA161" s="444"/>
      <c r="BB161" s="321"/>
      <c r="BC161" s="321"/>
      <c r="BD161" s="1270"/>
      <c r="BE161" s="321"/>
      <c r="BF161" s="321"/>
      <c r="BG161" s="321"/>
      <c r="BH161" s="444"/>
      <c r="BI161" s="321"/>
      <c r="BJ161" s="321"/>
      <c r="BK161" s="1270"/>
      <c r="BL161" s="321"/>
      <c r="BM161" s="321"/>
      <c r="BN161" s="321"/>
      <c r="BO161" s="444"/>
      <c r="BP161" s="321"/>
      <c r="BQ161" s="321"/>
      <c r="BR161" s="1270"/>
      <c r="BS161" s="321"/>
      <c r="BT161" s="321"/>
      <c r="BU161" s="321"/>
      <c r="BV161" s="444"/>
      <c r="BW161" s="321"/>
      <c r="BX161" s="321"/>
      <c r="BY161" s="1270"/>
      <c r="BZ161" s="321"/>
      <c r="CA161" s="321"/>
      <c r="CB161" s="321"/>
      <c r="CC161" s="444"/>
      <c r="CD161" s="321"/>
      <c r="CE161" s="321"/>
      <c r="CF161" s="1270"/>
      <c r="CG161" s="321"/>
      <c r="CH161" s="321"/>
      <c r="CI161" s="321"/>
      <c r="CJ161" s="444"/>
      <c r="CK161" s="321"/>
      <c r="CL161" s="321"/>
      <c r="CM161" s="1270"/>
      <c r="CN161" s="321"/>
      <c r="CO161" s="321"/>
      <c r="CP161" s="321"/>
      <c r="CQ161" s="444"/>
      <c r="CR161" s="321"/>
      <c r="CS161" s="321"/>
      <c r="CT161" s="1270"/>
      <c r="CU161" s="321"/>
      <c r="CV161" s="321"/>
      <c r="CW161" s="321"/>
      <c r="CX161" s="444"/>
      <c r="CY161" s="321"/>
      <c r="CZ161" s="321"/>
      <c r="DA161" s="1431">
        <f>DA136/DA143</f>
        <v>0</v>
      </c>
      <c r="DB161" s="321"/>
      <c r="DC161" s="321"/>
      <c r="DD161" s="321"/>
      <c r="DE161" s="444"/>
      <c r="DF161" s="321"/>
      <c r="DG161" s="321"/>
      <c r="DH161" s="1431">
        <f>DH136/DH143</f>
        <v>0</v>
      </c>
      <c r="DI161" s="321"/>
      <c r="DJ161" s="321"/>
      <c r="DK161" s="321"/>
      <c r="DL161" s="444"/>
      <c r="DM161" s="321"/>
      <c r="DN161" s="321"/>
      <c r="DO161" s="1432">
        <f>DO136/DO143</f>
        <v>0</v>
      </c>
      <c r="DP161" s="321"/>
      <c r="DQ161" s="321"/>
      <c r="DR161" s="321"/>
      <c r="DS161" s="444"/>
      <c r="DT161" s="321"/>
      <c r="DU161" s="321"/>
      <c r="DV161" s="1432">
        <f>DV136/DV143</f>
        <v>0</v>
      </c>
      <c r="DW161" s="321"/>
      <c r="DX161" s="321"/>
      <c r="DY161" s="321"/>
      <c r="DZ161" s="444"/>
      <c r="EA161" s="321"/>
      <c r="EB161" s="321"/>
      <c r="EC161" s="1432">
        <f>EC136/EC143</f>
        <v>0</v>
      </c>
      <c r="ED161" s="321"/>
      <c r="EE161" s="321"/>
      <c r="EF161" s="321"/>
      <c r="EG161" s="444"/>
      <c r="EH161" s="321"/>
      <c r="EI161" s="321"/>
      <c r="EJ161" s="1432">
        <f>EJ136/EJ143</f>
        <v>0</v>
      </c>
      <c r="EK161" s="321"/>
      <c r="EL161" s="321"/>
      <c r="EM161" s="321"/>
      <c r="EN161" s="444"/>
      <c r="EO161" s="321"/>
      <c r="EP161" s="321"/>
      <c r="EQ161" s="1432">
        <f>EQ136/EQ143</f>
        <v>0</v>
      </c>
    </row>
    <row r="162" spans="1:147" ht="10.199999999999999" customHeight="1">
      <c r="A162" s="201" t="str">
        <f t="shared" ref="A162:A164" si="637">A137</f>
        <v>A350-900</v>
      </c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21"/>
      <c r="P162" s="321"/>
      <c r="Q162" s="321"/>
      <c r="R162" s="444"/>
      <c r="S162" s="321"/>
      <c r="T162" s="321"/>
      <c r="U162" s="1270"/>
      <c r="V162" s="321"/>
      <c r="W162" s="321"/>
      <c r="X162" s="321"/>
      <c r="Y162" s="444"/>
      <c r="Z162" s="321"/>
      <c r="AA162" s="321"/>
      <c r="AB162" s="1270"/>
      <c r="AC162" s="321"/>
      <c r="AD162" s="321"/>
      <c r="AE162" s="321"/>
      <c r="AF162" s="444"/>
      <c r="AG162" s="321"/>
      <c r="AH162" s="321"/>
      <c r="AI162" s="1270"/>
      <c r="AJ162" s="321"/>
      <c r="AK162" s="321"/>
      <c r="AL162" s="321"/>
      <c r="AM162" s="444"/>
      <c r="AN162" s="321"/>
      <c r="AO162" s="321"/>
      <c r="AP162" s="1270"/>
      <c r="AQ162" s="321"/>
      <c r="AR162" s="321"/>
      <c r="AS162" s="321"/>
      <c r="AT162" s="444"/>
      <c r="AU162" s="321"/>
      <c r="AV162" s="321"/>
      <c r="AW162" s="1270"/>
      <c r="AX162" s="321"/>
      <c r="AY162" s="321"/>
      <c r="AZ162" s="321"/>
      <c r="BA162" s="444"/>
      <c r="BB162" s="321"/>
      <c r="BC162" s="321"/>
      <c r="BD162" s="1270"/>
      <c r="BE162" s="321"/>
      <c r="BF162" s="321"/>
      <c r="BG162" s="321"/>
      <c r="BH162" s="444"/>
      <c r="BI162" s="321"/>
      <c r="BJ162" s="321"/>
      <c r="BK162" s="1270"/>
      <c r="BL162" s="321"/>
      <c r="BM162" s="321"/>
      <c r="BN162" s="321"/>
      <c r="BO162" s="444"/>
      <c r="BP162" s="321"/>
      <c r="BQ162" s="321"/>
      <c r="BR162" s="1270"/>
      <c r="BS162" s="321"/>
      <c r="BT162" s="321"/>
      <c r="BU162" s="321"/>
      <c r="BV162" s="444"/>
      <c r="BW162" s="321"/>
      <c r="BX162" s="321"/>
      <c r="BY162" s="1270"/>
      <c r="BZ162" s="321"/>
      <c r="CA162" s="321"/>
      <c r="CB162" s="321"/>
      <c r="CC162" s="444"/>
      <c r="CD162" s="321"/>
      <c r="CE162" s="321"/>
      <c r="CF162" s="1270"/>
      <c r="CG162" s="321"/>
      <c r="CH162" s="321"/>
      <c r="CI162" s="321"/>
      <c r="CJ162" s="444"/>
      <c r="CK162" s="321"/>
      <c r="CL162" s="321"/>
      <c r="CM162" s="1270"/>
      <c r="CN162" s="321"/>
      <c r="CO162" s="321"/>
      <c r="CP162" s="321"/>
      <c r="CQ162" s="444"/>
      <c r="CR162" s="321"/>
      <c r="CS162" s="321"/>
      <c r="CT162" s="1270"/>
      <c r="CU162" s="321"/>
      <c r="CV162" s="321"/>
      <c r="CW162" s="321"/>
      <c r="CX162" s="444"/>
      <c r="CY162" s="321"/>
      <c r="CZ162" s="321"/>
      <c r="DA162" s="1431">
        <f>DA137/DA143</f>
        <v>5.7441253263707574E-2</v>
      </c>
      <c r="DB162" s="321"/>
      <c r="DC162" s="321"/>
      <c r="DD162" s="321"/>
      <c r="DE162" s="444"/>
      <c r="DF162" s="321"/>
      <c r="DG162" s="321"/>
      <c r="DH162" s="1431">
        <f>DH137/DH143</f>
        <v>5.2963430012610342E-2</v>
      </c>
      <c r="DI162" s="321"/>
      <c r="DJ162" s="321"/>
      <c r="DK162" s="321"/>
      <c r="DL162" s="444"/>
      <c r="DM162" s="321"/>
      <c r="DN162" s="321"/>
      <c r="DO162" s="1432">
        <f>DO137/DO143</f>
        <v>6.2068965517241378E-2</v>
      </c>
      <c r="DP162" s="321"/>
      <c r="DQ162" s="321"/>
      <c r="DR162" s="321"/>
      <c r="DS162" s="444"/>
      <c r="DT162" s="321"/>
      <c r="DU162" s="321"/>
      <c r="DV162" s="1432">
        <f>DV137/DV143</f>
        <v>6.7692307692307691E-2</v>
      </c>
      <c r="DW162" s="321"/>
      <c r="DX162" s="321"/>
      <c r="DY162" s="321"/>
      <c r="DZ162" s="444"/>
      <c r="EA162" s="321"/>
      <c r="EB162" s="321"/>
      <c r="EC162" s="1432">
        <f>EC137/EC143</f>
        <v>7.1351351351351358E-2</v>
      </c>
      <c r="ED162" s="321"/>
      <c r="EE162" s="321"/>
      <c r="EF162" s="321"/>
      <c r="EG162" s="444"/>
      <c r="EH162" s="321"/>
      <c r="EI162" s="321"/>
      <c r="EJ162" s="1432">
        <f>EJ137/EJ143</f>
        <v>7.7392120075046908E-2</v>
      </c>
      <c r="EK162" s="321"/>
      <c r="EL162" s="321"/>
      <c r="EM162" s="321"/>
      <c r="EN162" s="444"/>
      <c r="EO162" s="321"/>
      <c r="EP162" s="321"/>
      <c r="EQ162" s="1432">
        <f>EQ137/EQ143</f>
        <v>7.6994867008866069E-2</v>
      </c>
    </row>
    <row r="163" spans="1:147" ht="10.199999999999999" customHeight="1">
      <c r="A163" s="201" t="str">
        <f t="shared" si="637"/>
        <v>A350-1000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21"/>
      <c r="P163" s="321"/>
      <c r="Q163" s="321"/>
      <c r="R163" s="444"/>
      <c r="S163" s="321"/>
      <c r="T163" s="321"/>
      <c r="U163" s="1270"/>
      <c r="V163" s="321"/>
      <c r="W163" s="321"/>
      <c r="X163" s="321"/>
      <c r="Y163" s="444"/>
      <c r="Z163" s="321"/>
      <c r="AA163" s="321"/>
      <c r="AB163" s="1270"/>
      <c r="AC163" s="321"/>
      <c r="AD163" s="321"/>
      <c r="AE163" s="321"/>
      <c r="AF163" s="444"/>
      <c r="AG163" s="321"/>
      <c r="AH163" s="321"/>
      <c r="AI163" s="1270"/>
      <c r="AJ163" s="321"/>
      <c r="AK163" s="321"/>
      <c r="AL163" s="321"/>
      <c r="AM163" s="444"/>
      <c r="AN163" s="321"/>
      <c r="AO163" s="321"/>
      <c r="AP163" s="1270"/>
      <c r="AQ163" s="321"/>
      <c r="AR163" s="321"/>
      <c r="AS163" s="321"/>
      <c r="AT163" s="444"/>
      <c r="AU163" s="321"/>
      <c r="AV163" s="321"/>
      <c r="AW163" s="1270"/>
      <c r="AX163" s="321"/>
      <c r="AY163" s="321"/>
      <c r="AZ163" s="321"/>
      <c r="BA163" s="444"/>
      <c r="BB163" s="321"/>
      <c r="BC163" s="321"/>
      <c r="BD163" s="1270"/>
      <c r="BE163" s="321"/>
      <c r="BF163" s="321"/>
      <c r="BG163" s="321"/>
      <c r="BH163" s="444"/>
      <c r="BI163" s="321"/>
      <c r="BJ163" s="321"/>
      <c r="BK163" s="1270"/>
      <c r="BL163" s="321"/>
      <c r="BM163" s="321"/>
      <c r="BN163" s="321"/>
      <c r="BO163" s="444"/>
      <c r="BP163" s="321"/>
      <c r="BQ163" s="321"/>
      <c r="BR163" s="1270"/>
      <c r="BS163" s="321"/>
      <c r="BT163" s="321"/>
      <c r="BU163" s="321"/>
      <c r="BV163" s="444"/>
      <c r="BW163" s="321"/>
      <c r="BX163" s="321"/>
      <c r="BY163" s="1270"/>
      <c r="BZ163" s="321"/>
      <c r="CA163" s="321"/>
      <c r="CB163" s="321"/>
      <c r="CC163" s="444"/>
      <c r="CD163" s="321"/>
      <c r="CE163" s="321"/>
      <c r="CF163" s="1270"/>
      <c r="CG163" s="321"/>
      <c r="CH163" s="321"/>
      <c r="CI163" s="321"/>
      <c r="CJ163" s="444"/>
      <c r="CK163" s="321"/>
      <c r="CL163" s="321"/>
      <c r="CM163" s="1270"/>
      <c r="CN163" s="321"/>
      <c r="CO163" s="321"/>
      <c r="CP163" s="321"/>
      <c r="CQ163" s="444"/>
      <c r="CR163" s="321"/>
      <c r="CS163" s="321"/>
      <c r="CT163" s="1270"/>
      <c r="CU163" s="321"/>
      <c r="CV163" s="321"/>
      <c r="CW163" s="321"/>
      <c r="CX163" s="444"/>
      <c r="CY163" s="321"/>
      <c r="CZ163" s="321"/>
      <c r="DA163" s="1431">
        <f>DA138/DA143</f>
        <v>1.6971279373368148E-2</v>
      </c>
      <c r="DB163" s="321"/>
      <c r="DC163" s="321"/>
      <c r="DD163" s="321"/>
      <c r="DE163" s="444"/>
      <c r="DF163" s="321"/>
      <c r="DG163" s="321"/>
      <c r="DH163" s="1431">
        <f>DH138/DH143</f>
        <v>1.8915510718789406E-2</v>
      </c>
      <c r="DI163" s="321"/>
      <c r="DJ163" s="321"/>
      <c r="DK163" s="321"/>
      <c r="DL163" s="444"/>
      <c r="DM163" s="321"/>
      <c r="DN163" s="321"/>
      <c r="DO163" s="1432">
        <f>DO138/DO143</f>
        <v>2.0689655172413793E-2</v>
      </c>
      <c r="DP163" s="321"/>
      <c r="DQ163" s="321"/>
      <c r="DR163" s="321"/>
      <c r="DS163" s="444"/>
      <c r="DT163" s="321"/>
      <c r="DU163" s="321"/>
      <c r="DV163" s="1432">
        <f>DV138/DV143</f>
        <v>2.2564102564102566E-2</v>
      </c>
      <c r="DW163" s="321"/>
      <c r="DX163" s="321"/>
      <c r="DY163" s="321"/>
      <c r="DZ163" s="444"/>
      <c r="EA163" s="321"/>
      <c r="EB163" s="321"/>
      <c r="EC163" s="1432">
        <f>EC138/EC143</f>
        <v>2.3783783783783784E-2</v>
      </c>
      <c r="ED163" s="321"/>
      <c r="EE163" s="321"/>
      <c r="EF163" s="321"/>
      <c r="EG163" s="444"/>
      <c r="EH163" s="321"/>
      <c r="EI163" s="321"/>
      <c r="EJ163" s="1432">
        <f>EJ138/EJ143</f>
        <v>2.5797373358348967E-2</v>
      </c>
      <c r="EK163" s="321"/>
      <c r="EL163" s="321"/>
      <c r="EM163" s="321"/>
      <c r="EN163" s="444"/>
      <c r="EO163" s="321"/>
      <c r="EP163" s="321"/>
      <c r="EQ163" s="1432">
        <f>EQ138/EQ143</f>
        <v>2.5664955669622024E-2</v>
      </c>
    </row>
    <row r="164" spans="1:147" ht="10.199999999999999" customHeight="1">
      <c r="A164" s="293" t="str">
        <f t="shared" si="637"/>
        <v>A350 total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451"/>
      <c r="P164" s="451"/>
      <c r="Q164" s="451"/>
      <c r="R164" s="452"/>
      <c r="S164" s="451"/>
      <c r="T164" s="451"/>
      <c r="U164" s="347"/>
      <c r="V164" s="451"/>
      <c r="W164" s="451"/>
      <c r="X164" s="451"/>
      <c r="Y164" s="452"/>
      <c r="Z164" s="451"/>
      <c r="AA164" s="451"/>
      <c r="AB164" s="347"/>
      <c r="AC164" s="451"/>
      <c r="AD164" s="451"/>
      <c r="AE164" s="451"/>
      <c r="AF164" s="452"/>
      <c r="AG164" s="451"/>
      <c r="AH164" s="451"/>
      <c r="AI164" s="347"/>
      <c r="AJ164" s="451"/>
      <c r="AK164" s="451"/>
      <c r="AL164" s="451"/>
      <c r="AM164" s="452"/>
      <c r="AN164" s="451"/>
      <c r="AO164" s="451"/>
      <c r="AP164" s="347"/>
      <c r="AQ164" s="451"/>
      <c r="AR164" s="451"/>
      <c r="AS164" s="451"/>
      <c r="AT164" s="452"/>
      <c r="AU164" s="451"/>
      <c r="AV164" s="451"/>
      <c r="AW164" s="347"/>
      <c r="AX164" s="451"/>
      <c r="AY164" s="451"/>
      <c r="AZ164" s="451"/>
      <c r="BA164" s="452"/>
      <c r="BB164" s="451"/>
      <c r="BC164" s="451"/>
      <c r="BD164" s="347"/>
      <c r="BE164" s="451"/>
      <c r="BF164" s="451"/>
      <c r="BG164" s="451"/>
      <c r="BH164" s="452"/>
      <c r="BI164" s="451"/>
      <c r="BJ164" s="451"/>
      <c r="BK164" s="347"/>
      <c r="BL164" s="451"/>
      <c r="BM164" s="451"/>
      <c r="BN164" s="451"/>
      <c r="BO164" s="452"/>
      <c r="BP164" s="451"/>
      <c r="BQ164" s="451"/>
      <c r="BR164" s="347"/>
      <c r="BS164" s="451"/>
      <c r="BT164" s="451"/>
      <c r="BU164" s="451"/>
      <c r="BV164" s="452"/>
      <c r="BW164" s="451"/>
      <c r="BX164" s="451"/>
      <c r="BY164" s="347"/>
      <c r="BZ164" s="451"/>
      <c r="CA164" s="451"/>
      <c r="CB164" s="451"/>
      <c r="CC164" s="452"/>
      <c r="CD164" s="451"/>
      <c r="CE164" s="451"/>
      <c r="CF164" s="347"/>
      <c r="CG164" s="451"/>
      <c r="CH164" s="451"/>
      <c r="CI164" s="451"/>
      <c r="CJ164" s="452"/>
      <c r="CK164" s="451"/>
      <c r="CL164" s="451"/>
      <c r="CM164" s="347"/>
      <c r="CN164" s="451"/>
      <c r="CO164" s="451"/>
      <c r="CP164" s="451"/>
      <c r="CQ164" s="452"/>
      <c r="CR164" s="451"/>
      <c r="CS164" s="451"/>
      <c r="CT164" s="347"/>
      <c r="CU164" s="451"/>
      <c r="CV164" s="451"/>
      <c r="CW164" s="451"/>
      <c r="CX164" s="452"/>
      <c r="CY164" s="451"/>
      <c r="CZ164" s="451"/>
      <c r="DA164" s="1774">
        <f>DA139/DA143</f>
        <v>7.4412532637075715E-2</v>
      </c>
      <c r="DB164" s="451"/>
      <c r="DC164" s="451"/>
      <c r="DD164" s="451"/>
      <c r="DE164" s="452"/>
      <c r="DF164" s="451"/>
      <c r="DG164" s="451"/>
      <c r="DH164" s="1774">
        <f>DH139/DH143</f>
        <v>7.1878940731399749E-2</v>
      </c>
      <c r="DI164" s="451"/>
      <c r="DJ164" s="451"/>
      <c r="DK164" s="451"/>
      <c r="DL164" s="452"/>
      <c r="DM164" s="451"/>
      <c r="DN164" s="451"/>
      <c r="DO164" s="1775">
        <f>DO139/DO143</f>
        <v>8.2758620689655171E-2</v>
      </c>
      <c r="DP164" s="451"/>
      <c r="DQ164" s="451"/>
      <c r="DR164" s="451"/>
      <c r="DS164" s="452"/>
      <c r="DT164" s="451"/>
      <c r="DU164" s="451"/>
      <c r="DV164" s="1775">
        <f>DV139/DV143</f>
        <v>9.0256410256410263E-2</v>
      </c>
      <c r="DW164" s="451"/>
      <c r="DX164" s="451"/>
      <c r="DY164" s="451"/>
      <c r="DZ164" s="452"/>
      <c r="EA164" s="451"/>
      <c r="EB164" s="451"/>
      <c r="EC164" s="1775">
        <f>EC139/EC143</f>
        <v>9.5135135135135135E-2</v>
      </c>
      <c r="ED164" s="451"/>
      <c r="EE164" s="451"/>
      <c r="EF164" s="451"/>
      <c r="EG164" s="452"/>
      <c r="EH164" s="451"/>
      <c r="EI164" s="451"/>
      <c r="EJ164" s="1775">
        <f>EJ139/EJ143</f>
        <v>0.10318949343339587</v>
      </c>
      <c r="EK164" s="451"/>
      <c r="EL164" s="451"/>
      <c r="EM164" s="451"/>
      <c r="EN164" s="452"/>
      <c r="EO164" s="451"/>
      <c r="EP164" s="451"/>
      <c r="EQ164" s="1775">
        <f>EQ139/EQ143</f>
        <v>0.1026598226784881</v>
      </c>
    </row>
    <row r="165" spans="1:147" ht="10.199999999999999" customHeight="1">
      <c r="A165" s="293" t="str">
        <f>A141</f>
        <v>A380 total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451"/>
      <c r="P165" s="451"/>
      <c r="Q165" s="451"/>
      <c r="R165" s="452"/>
      <c r="S165" s="451"/>
      <c r="T165" s="451"/>
      <c r="U165" s="347"/>
      <c r="V165" s="451"/>
      <c r="W165" s="451"/>
      <c r="X165" s="451"/>
      <c r="Y165" s="452"/>
      <c r="Z165" s="451"/>
      <c r="AA165" s="451"/>
      <c r="AB165" s="347"/>
      <c r="AC165" s="451"/>
      <c r="AD165" s="451"/>
      <c r="AE165" s="451"/>
      <c r="AF165" s="452"/>
      <c r="AG165" s="451"/>
      <c r="AH165" s="451"/>
      <c r="AI165" s="347"/>
      <c r="AJ165" s="451"/>
      <c r="AK165" s="451"/>
      <c r="AL165" s="451"/>
      <c r="AM165" s="452"/>
      <c r="AN165" s="451"/>
      <c r="AO165" s="451"/>
      <c r="AP165" s="347"/>
      <c r="AQ165" s="451"/>
      <c r="AR165" s="451"/>
      <c r="AS165" s="451"/>
      <c r="AT165" s="452"/>
      <c r="AU165" s="451"/>
      <c r="AV165" s="451"/>
      <c r="AW165" s="347"/>
      <c r="AX165" s="451"/>
      <c r="AY165" s="451"/>
      <c r="AZ165" s="451"/>
      <c r="BA165" s="452"/>
      <c r="BB165" s="451"/>
      <c r="BC165" s="451"/>
      <c r="BD165" s="347"/>
      <c r="BE165" s="451"/>
      <c r="BF165" s="451"/>
      <c r="BG165" s="451"/>
      <c r="BH165" s="452"/>
      <c r="BI165" s="451"/>
      <c r="BJ165" s="451"/>
      <c r="BK165" s="347"/>
      <c r="BL165" s="451"/>
      <c r="BM165" s="451"/>
      <c r="BN165" s="451"/>
      <c r="BO165" s="452"/>
      <c r="BP165" s="451"/>
      <c r="BQ165" s="451"/>
      <c r="BR165" s="347"/>
      <c r="BS165" s="451"/>
      <c r="BT165" s="451"/>
      <c r="BU165" s="451"/>
      <c r="BV165" s="452"/>
      <c r="BW165" s="451"/>
      <c r="BX165" s="451"/>
      <c r="BY165" s="347"/>
      <c r="BZ165" s="451"/>
      <c r="CA165" s="451"/>
      <c r="CB165" s="451"/>
      <c r="CC165" s="452"/>
      <c r="CD165" s="451"/>
      <c r="CE165" s="451"/>
      <c r="CF165" s="347"/>
      <c r="CG165" s="451"/>
      <c r="CH165" s="451"/>
      <c r="CI165" s="451"/>
      <c r="CJ165" s="452"/>
      <c r="CK165" s="451"/>
      <c r="CL165" s="451"/>
      <c r="CM165" s="347"/>
      <c r="CN165" s="451"/>
      <c r="CO165" s="451"/>
      <c r="CP165" s="451"/>
      <c r="CQ165" s="452"/>
      <c r="CR165" s="451"/>
      <c r="CS165" s="451"/>
      <c r="CT165" s="347"/>
      <c r="CU165" s="451"/>
      <c r="CV165" s="451"/>
      <c r="CW165" s="451"/>
      <c r="CX165" s="452"/>
      <c r="CY165" s="451"/>
      <c r="CZ165" s="451"/>
      <c r="DA165" s="1774">
        <f>DA141/DA143</f>
        <v>0</v>
      </c>
      <c r="DB165" s="451"/>
      <c r="DC165" s="451"/>
      <c r="DD165" s="451"/>
      <c r="DE165" s="452"/>
      <c r="DF165" s="451"/>
      <c r="DG165" s="451"/>
      <c r="DH165" s="1774">
        <f>DH141/DH143</f>
        <v>0</v>
      </c>
      <c r="DI165" s="451"/>
      <c r="DJ165" s="451"/>
      <c r="DK165" s="451"/>
      <c r="DL165" s="452"/>
      <c r="DM165" s="451"/>
      <c r="DN165" s="451"/>
      <c r="DO165" s="1775">
        <f>DO141/DO143</f>
        <v>0</v>
      </c>
      <c r="DP165" s="451"/>
      <c r="DQ165" s="451"/>
      <c r="DR165" s="451"/>
      <c r="DS165" s="452"/>
      <c r="DT165" s="451"/>
      <c r="DU165" s="451"/>
      <c r="DV165" s="1775">
        <f>DV141/DV143</f>
        <v>0</v>
      </c>
      <c r="DW165" s="451"/>
      <c r="DX165" s="451"/>
      <c r="DY165" s="451"/>
      <c r="DZ165" s="452"/>
      <c r="EA165" s="451"/>
      <c r="EB165" s="451"/>
      <c r="EC165" s="1775">
        <f>EC141/EC143</f>
        <v>0</v>
      </c>
      <c r="ED165" s="451"/>
      <c r="EE165" s="451"/>
      <c r="EF165" s="451"/>
      <c r="EG165" s="452"/>
      <c r="EH165" s="451"/>
      <c r="EI165" s="451"/>
      <c r="EJ165" s="1775">
        <f>EJ141/EJ143</f>
        <v>0</v>
      </c>
      <c r="EK165" s="451"/>
      <c r="EL165" s="451"/>
      <c r="EM165" s="451"/>
      <c r="EN165" s="452"/>
      <c r="EO165" s="451"/>
      <c r="EP165" s="451"/>
      <c r="EQ165" s="1775">
        <f>EQ141/EQ143</f>
        <v>0</v>
      </c>
    </row>
    <row r="166" spans="1:147" ht="10.199999999999999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76"/>
      <c r="P166" s="476"/>
      <c r="Q166" s="476"/>
      <c r="R166" s="477"/>
      <c r="S166" s="476"/>
      <c r="T166" s="476"/>
      <c r="U166" s="351"/>
      <c r="V166" s="476"/>
      <c r="W166" s="476"/>
      <c r="X166" s="476"/>
      <c r="Y166" s="477"/>
      <c r="Z166" s="476"/>
      <c r="AA166" s="476"/>
      <c r="AB166" s="351"/>
      <c r="AC166" s="476"/>
      <c r="AD166" s="476"/>
      <c r="AE166" s="476"/>
      <c r="AF166" s="477"/>
      <c r="AG166" s="476"/>
      <c r="AH166" s="476"/>
      <c r="AI166" s="351"/>
      <c r="AJ166" s="476"/>
      <c r="AK166" s="476"/>
      <c r="AL166" s="476"/>
      <c r="AM166" s="477"/>
      <c r="AN166" s="476"/>
      <c r="AO166" s="476"/>
      <c r="AP166" s="351"/>
      <c r="AQ166" s="476"/>
      <c r="AR166" s="476"/>
      <c r="AS166" s="476"/>
      <c r="AT166" s="477"/>
      <c r="AU166" s="476"/>
      <c r="AV166" s="476"/>
      <c r="AW166" s="351"/>
      <c r="AX166" s="476"/>
      <c r="AY166" s="476"/>
      <c r="AZ166" s="476"/>
      <c r="BA166" s="477"/>
      <c r="BB166" s="476"/>
      <c r="BC166" s="476"/>
      <c r="BD166" s="351"/>
      <c r="BE166" s="476"/>
      <c r="BF166" s="476"/>
      <c r="BG166" s="476"/>
      <c r="BH166" s="477"/>
      <c r="BI166" s="476"/>
      <c r="BJ166" s="476"/>
      <c r="BK166" s="351"/>
      <c r="BL166" s="476"/>
      <c r="BM166" s="476"/>
      <c r="BN166" s="476"/>
      <c r="BO166" s="477"/>
      <c r="BP166" s="476"/>
      <c r="BQ166" s="476"/>
      <c r="BR166" s="351"/>
      <c r="BS166" s="476"/>
      <c r="BT166" s="476"/>
      <c r="BU166" s="476"/>
      <c r="BV166" s="477"/>
      <c r="BW166" s="476"/>
      <c r="BX166" s="476"/>
      <c r="BY166" s="351"/>
      <c r="BZ166" s="476"/>
      <c r="CA166" s="476"/>
      <c r="CB166" s="476"/>
      <c r="CC166" s="477"/>
      <c r="CD166" s="476"/>
      <c r="CE166" s="476"/>
      <c r="CF166" s="351"/>
      <c r="CG166" s="476"/>
      <c r="CH166" s="476"/>
      <c r="CI166" s="476"/>
      <c r="CJ166" s="477"/>
      <c r="CK166" s="476"/>
      <c r="CL166" s="476"/>
      <c r="CM166" s="351"/>
      <c r="CN166" s="476"/>
      <c r="CO166" s="476"/>
      <c r="CP166" s="476"/>
      <c r="CQ166" s="477"/>
      <c r="CR166" s="476"/>
      <c r="CS166" s="476"/>
      <c r="CT166" s="351"/>
      <c r="CU166" s="476"/>
      <c r="CV166" s="476"/>
      <c r="CW166" s="476"/>
      <c r="CX166" s="477"/>
      <c r="CY166" s="476"/>
      <c r="CZ166" s="476"/>
      <c r="DA166" s="1428"/>
      <c r="DB166" s="476"/>
      <c r="DC166" s="476"/>
      <c r="DD166" s="476"/>
      <c r="DE166" s="477"/>
      <c r="DF166" s="476"/>
      <c r="DG166" s="476"/>
      <c r="DH166" s="1428"/>
      <c r="DI166" s="476"/>
      <c r="DJ166" s="476"/>
      <c r="DK166" s="476"/>
      <c r="DL166" s="477"/>
      <c r="DM166" s="476"/>
      <c r="DN166" s="476"/>
      <c r="DO166" s="1428"/>
      <c r="DP166" s="476"/>
      <c r="DQ166" s="476"/>
      <c r="DR166" s="476"/>
      <c r="DS166" s="477"/>
      <c r="DT166" s="476"/>
      <c r="DU166" s="476"/>
      <c r="DV166" s="1428"/>
      <c r="DW166" s="476"/>
      <c r="DX166" s="476"/>
      <c r="DY166" s="476"/>
      <c r="DZ166" s="477"/>
      <c r="EA166" s="476"/>
      <c r="EB166" s="476"/>
      <c r="EC166" s="1428"/>
      <c r="ED166" s="476"/>
      <c r="EE166" s="476"/>
      <c r="EF166" s="476"/>
      <c r="EG166" s="477"/>
      <c r="EH166" s="476"/>
      <c r="EI166" s="476"/>
      <c r="EJ166" s="1428"/>
      <c r="EK166" s="476"/>
      <c r="EL166" s="476"/>
      <c r="EM166" s="476"/>
      <c r="EN166" s="477"/>
      <c r="EO166" s="476"/>
      <c r="EP166" s="476"/>
      <c r="EQ166" s="1428"/>
    </row>
    <row r="167" spans="1:147" ht="10.199999999999999" customHeight="1">
      <c r="A167" s="178" t="s">
        <v>745</v>
      </c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637"/>
      <c r="P167" s="637"/>
      <c r="Q167" s="637"/>
      <c r="R167" s="638"/>
      <c r="S167" s="637"/>
      <c r="T167" s="637"/>
      <c r="U167" s="639"/>
      <c r="V167" s="637"/>
      <c r="W167" s="637"/>
      <c r="X167" s="637"/>
      <c r="Y167" s="638"/>
      <c r="Z167" s="637"/>
      <c r="AA167" s="637"/>
      <c r="AB167" s="639"/>
      <c r="AC167" s="637"/>
      <c r="AD167" s="637"/>
      <c r="AE167" s="637"/>
      <c r="AF167" s="638"/>
      <c r="AG167" s="637"/>
      <c r="AH167" s="637"/>
      <c r="AI167" s="639"/>
      <c r="AJ167" s="637"/>
      <c r="AK167" s="637"/>
      <c r="AL167" s="637"/>
      <c r="AM167" s="638"/>
      <c r="AN167" s="637"/>
      <c r="AO167" s="637"/>
      <c r="AP167" s="639"/>
      <c r="AQ167" s="637"/>
      <c r="AR167" s="637"/>
      <c r="AS167" s="637"/>
      <c r="AT167" s="638"/>
      <c r="AU167" s="637"/>
      <c r="AV167" s="637"/>
      <c r="AW167" s="639"/>
      <c r="AX167" s="637"/>
      <c r="AY167" s="637"/>
      <c r="AZ167" s="637"/>
      <c r="BA167" s="638"/>
      <c r="BB167" s="637"/>
      <c r="BC167" s="637"/>
      <c r="BD167" s="639"/>
      <c r="BE167" s="637"/>
      <c r="BF167" s="637"/>
      <c r="BG167" s="637"/>
      <c r="BH167" s="638"/>
      <c r="BI167" s="637"/>
      <c r="BJ167" s="637"/>
      <c r="BK167" s="639"/>
      <c r="BL167" s="637"/>
      <c r="BM167" s="637"/>
      <c r="BN167" s="637"/>
      <c r="BO167" s="638"/>
      <c r="BP167" s="637"/>
      <c r="BQ167" s="637"/>
      <c r="BR167" s="639"/>
      <c r="BS167" s="637"/>
      <c r="BT167" s="637"/>
      <c r="BU167" s="637"/>
      <c r="BV167" s="638"/>
      <c r="BW167" s="637"/>
      <c r="BX167" s="637"/>
      <c r="BY167" s="639"/>
      <c r="BZ167" s="637"/>
      <c r="CA167" s="637"/>
      <c r="CB167" s="637"/>
      <c r="CC167" s="638"/>
      <c r="CD167" s="637"/>
      <c r="CE167" s="637"/>
      <c r="CF167" s="639"/>
      <c r="CG167" s="637"/>
      <c r="CH167" s="637"/>
      <c r="CI167" s="637"/>
      <c r="CJ167" s="638"/>
      <c r="CK167" s="637"/>
      <c r="CL167" s="637"/>
      <c r="CM167" s="639"/>
      <c r="CN167" s="637"/>
      <c r="CO167" s="637"/>
      <c r="CP167" s="637"/>
      <c r="CQ167" s="638"/>
      <c r="CR167" s="637"/>
      <c r="CS167" s="637"/>
      <c r="CT167" s="639"/>
      <c r="CU167" s="637"/>
      <c r="CV167" s="637"/>
      <c r="CW167" s="637"/>
      <c r="CX167" s="638"/>
      <c r="CY167" s="637"/>
      <c r="CZ167" s="637"/>
      <c r="DA167" s="639"/>
      <c r="DB167" s="637"/>
      <c r="DC167" s="637"/>
      <c r="DD167" s="637"/>
      <c r="DE167" s="638"/>
      <c r="DF167" s="637"/>
      <c r="DG167" s="637"/>
      <c r="DH167" s="639"/>
      <c r="DI167" s="637"/>
      <c r="DJ167" s="637"/>
      <c r="DK167" s="637"/>
      <c r="DL167" s="638"/>
      <c r="DM167" s="637"/>
      <c r="DN167" s="637"/>
      <c r="DO167" s="639"/>
      <c r="DP167" s="637"/>
      <c r="DQ167" s="637"/>
      <c r="DR167" s="637"/>
      <c r="DS167" s="638"/>
      <c r="DT167" s="637"/>
      <c r="DU167" s="637"/>
      <c r="DV167" s="639"/>
      <c r="DW167" s="637"/>
      <c r="DX167" s="637"/>
      <c r="DY167" s="637"/>
      <c r="DZ167" s="638"/>
      <c r="EA167" s="637"/>
      <c r="EB167" s="637"/>
      <c r="EC167" s="639"/>
      <c r="ED167" s="637"/>
      <c r="EE167" s="637"/>
      <c r="EF167" s="637"/>
      <c r="EG167" s="638"/>
      <c r="EH167" s="637"/>
      <c r="EI167" s="637"/>
      <c r="EJ167" s="639"/>
      <c r="EK167" s="637"/>
      <c r="EL167" s="637"/>
      <c r="EM167" s="637"/>
      <c r="EN167" s="638"/>
      <c r="EO167" s="637"/>
      <c r="EP167" s="637"/>
      <c r="EQ167" s="639"/>
    </row>
    <row r="168" spans="1:147" ht="10.199999999999999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40"/>
      <c r="P168" s="640"/>
      <c r="Q168" s="640"/>
      <c r="R168" s="641"/>
      <c r="S168" s="640"/>
      <c r="T168" s="640"/>
      <c r="U168" s="642"/>
      <c r="V168" s="640"/>
      <c r="W168" s="640"/>
      <c r="X168" s="640"/>
      <c r="Y168" s="641"/>
      <c r="Z168" s="640"/>
      <c r="AA168" s="640"/>
      <c r="AB168" s="642"/>
      <c r="AC168" s="640"/>
      <c r="AD168" s="640"/>
      <c r="AE168" s="640"/>
      <c r="AF168" s="641"/>
      <c r="AG168" s="640"/>
      <c r="AH168" s="640"/>
      <c r="AI168" s="642"/>
      <c r="AJ168" s="640"/>
      <c r="AK168" s="640"/>
      <c r="AL168" s="640"/>
      <c r="AM168" s="641"/>
      <c r="AN168" s="640"/>
      <c r="AO168" s="640"/>
      <c r="AP168" s="642"/>
      <c r="AQ168" s="640"/>
      <c r="AR168" s="640"/>
      <c r="AS168" s="640"/>
      <c r="AT168" s="641"/>
      <c r="AU168" s="640"/>
      <c r="AV168" s="640"/>
      <c r="AW168" s="642"/>
      <c r="AX168" s="640"/>
      <c r="AY168" s="640"/>
      <c r="AZ168" s="640"/>
      <c r="BA168" s="641"/>
      <c r="BB168" s="640"/>
      <c r="BC168" s="640"/>
      <c r="BD168" s="642"/>
      <c r="BE168" s="640"/>
      <c r="BF168" s="640"/>
      <c r="BG168" s="640"/>
      <c r="BH168" s="641"/>
      <c r="BI168" s="640"/>
      <c r="BJ168" s="640"/>
      <c r="BK168" s="642"/>
      <c r="BL168" s="640"/>
      <c r="BM168" s="640"/>
      <c r="BN168" s="640"/>
      <c r="BO168" s="641"/>
      <c r="BP168" s="640"/>
      <c r="BQ168" s="640"/>
      <c r="BR168" s="642"/>
      <c r="BS168" s="640"/>
      <c r="BT168" s="640"/>
      <c r="BU168" s="640"/>
      <c r="BV168" s="641"/>
      <c r="BW168" s="640"/>
      <c r="BX168" s="640"/>
      <c r="BY168" s="642"/>
      <c r="BZ168" s="640"/>
      <c r="CA168" s="640"/>
      <c r="CB168" s="640"/>
      <c r="CC168" s="641"/>
      <c r="CD168" s="640"/>
      <c r="CE168" s="640"/>
      <c r="CF168" s="642"/>
      <c r="CG168" s="640"/>
      <c r="CH168" s="640"/>
      <c r="CI168" s="640"/>
      <c r="CJ168" s="641"/>
      <c r="CK168" s="640"/>
      <c r="CL168" s="640"/>
      <c r="CM168" s="642"/>
      <c r="CN168" s="640"/>
      <c r="CO168" s="640"/>
      <c r="CP168" s="640"/>
      <c r="CQ168" s="641"/>
      <c r="CR168" s="640"/>
      <c r="CS168" s="640"/>
      <c r="CT168" s="642"/>
      <c r="CU168" s="640"/>
      <c r="CV168" s="640"/>
      <c r="CW168" s="640"/>
      <c r="CX168" s="641"/>
      <c r="CY168" s="640"/>
      <c r="CZ168" s="640"/>
      <c r="DA168" s="642"/>
      <c r="DB168" s="640"/>
      <c r="DC168" s="640"/>
      <c r="DD168" s="640"/>
      <c r="DE168" s="641"/>
      <c r="DF168" s="640"/>
      <c r="DG168" s="640"/>
      <c r="DH168" s="642"/>
      <c r="DI168" s="640"/>
      <c r="DJ168" s="640"/>
      <c r="DK168" s="640"/>
      <c r="DL168" s="641"/>
      <c r="DM168" s="640"/>
      <c r="DN168" s="640"/>
      <c r="DO168" s="642"/>
      <c r="DP168" s="640"/>
      <c r="DQ168" s="640"/>
      <c r="DR168" s="640"/>
      <c r="DS168" s="641"/>
      <c r="DT168" s="640"/>
      <c r="DU168" s="640"/>
      <c r="DV168" s="642"/>
      <c r="DW168" s="640"/>
      <c r="DX168" s="640"/>
      <c r="DY168" s="640"/>
      <c r="DZ168" s="641"/>
      <c r="EA168" s="640"/>
      <c r="EB168" s="640"/>
      <c r="EC168" s="642"/>
      <c r="ED168" s="640"/>
      <c r="EE168" s="640"/>
      <c r="EF168" s="640"/>
      <c r="EG168" s="641"/>
      <c r="EH168" s="640"/>
      <c r="EI168" s="640"/>
      <c r="EJ168" s="642"/>
      <c r="EK168" s="640"/>
      <c r="EL168" s="640"/>
      <c r="EM168" s="640"/>
      <c r="EN168" s="641"/>
      <c r="EO168" s="640"/>
      <c r="EP168" s="640"/>
      <c r="EQ168" s="642"/>
    </row>
    <row r="169" spans="1:147" ht="10.199999999999999" customHeight="1">
      <c r="A169" s="48" t="s">
        <v>525</v>
      </c>
      <c r="B169" s="43"/>
      <c r="C169" s="43"/>
      <c r="D169" s="43"/>
      <c r="E169" s="77"/>
      <c r="F169" s="77"/>
      <c r="G169" s="77"/>
      <c r="H169" s="77"/>
      <c r="I169" s="77"/>
      <c r="J169" s="77"/>
      <c r="K169" s="77"/>
      <c r="L169" s="77"/>
      <c r="M169" s="77"/>
      <c r="N169" s="43"/>
      <c r="O169" s="399"/>
      <c r="P169" s="399"/>
      <c r="Q169" s="399"/>
      <c r="R169" s="425"/>
      <c r="S169" s="399"/>
      <c r="T169" s="399"/>
      <c r="U169" s="338"/>
      <c r="V169" s="399"/>
      <c r="W169" s="399"/>
      <c r="X169" s="399"/>
      <c r="Y169" s="425"/>
      <c r="Z169" s="399"/>
      <c r="AA169" s="399"/>
      <c r="AB169" s="338"/>
      <c r="AC169" s="399"/>
      <c r="AD169" s="399"/>
      <c r="AE169" s="399"/>
      <c r="AF169" s="425"/>
      <c r="AG169" s="399"/>
      <c r="AH169" s="399"/>
      <c r="AI169" s="338"/>
      <c r="AJ169" s="399"/>
      <c r="AK169" s="399"/>
      <c r="AL169" s="399"/>
      <c r="AM169" s="425"/>
      <c r="AN169" s="399"/>
      <c r="AO169" s="399"/>
      <c r="AP169" s="338"/>
      <c r="AQ169" s="399"/>
      <c r="AR169" s="399"/>
      <c r="AS169" s="399"/>
      <c r="AT169" s="425"/>
      <c r="AU169" s="399"/>
      <c r="AV169" s="399"/>
      <c r="AW169" s="338"/>
      <c r="AX169" s="399"/>
      <c r="AY169" s="399"/>
      <c r="AZ169" s="399"/>
      <c r="BA169" s="425"/>
      <c r="BB169" s="399"/>
      <c r="BC169" s="399"/>
      <c r="BD169" s="338"/>
      <c r="BE169" s="399"/>
      <c r="BF169" s="399"/>
      <c r="BG169" s="399"/>
      <c r="BH169" s="425"/>
      <c r="BI169" s="399"/>
      <c r="BJ169" s="399"/>
      <c r="BK169" s="538" t="s">
        <v>753</v>
      </c>
      <c r="BL169" s="399"/>
      <c r="BM169" s="399"/>
      <c r="BN169" s="399"/>
      <c r="BO169" s="425"/>
      <c r="BP169" s="399"/>
      <c r="BQ169" s="399"/>
      <c r="BR169" s="338"/>
      <c r="BS169" s="399"/>
      <c r="BT169" s="399"/>
      <c r="BU169" s="399"/>
      <c r="BV169" s="425"/>
      <c r="BW169" s="399"/>
      <c r="BX169" s="399"/>
      <c r="BY169" s="338"/>
      <c r="BZ169" s="399"/>
      <c r="CA169" s="399"/>
      <c r="CB169" s="399"/>
      <c r="CC169" s="425"/>
      <c r="CD169" s="399"/>
      <c r="CE169" s="399"/>
      <c r="CF169" s="338"/>
      <c r="CG169" s="399"/>
      <c r="CH169" s="399"/>
      <c r="CI169" s="399"/>
      <c r="CJ169" s="425"/>
      <c r="CK169" s="399"/>
      <c r="CL169" s="399"/>
      <c r="CM169" s="338"/>
      <c r="CN169" s="399"/>
      <c r="CO169" s="399"/>
      <c r="CP169" s="399"/>
      <c r="CQ169" s="425"/>
      <c r="CR169" s="399"/>
      <c r="CS169" s="399"/>
      <c r="CT169" s="338"/>
      <c r="CU169" s="399"/>
      <c r="CV169" s="399"/>
      <c r="CW169" s="399"/>
      <c r="CX169" s="425"/>
      <c r="CY169" s="399"/>
      <c r="CZ169" s="399"/>
      <c r="DA169" s="338"/>
      <c r="DB169" s="399"/>
      <c r="DC169" s="399"/>
      <c r="DD169" s="399"/>
      <c r="DE169" s="425"/>
      <c r="DF169" s="399"/>
      <c r="DG169" s="399"/>
      <c r="DH169" s="338"/>
      <c r="DI169" s="399"/>
      <c r="DJ169" s="399"/>
      <c r="DK169" s="399"/>
      <c r="DL169" s="425"/>
      <c r="DM169" s="399"/>
      <c r="DN169" s="399"/>
      <c r="DO169" s="338"/>
      <c r="DP169" s="399"/>
      <c r="DQ169" s="399"/>
      <c r="DR169" s="399"/>
      <c r="DS169" s="425"/>
      <c r="DT169" s="399"/>
      <c r="DU169" s="399"/>
      <c r="DV169" s="338"/>
      <c r="DW169" s="399"/>
      <c r="DX169" s="399"/>
      <c r="DY169" s="399"/>
      <c r="DZ169" s="425"/>
      <c r="EA169" s="399"/>
      <c r="EB169" s="399"/>
      <c r="EC169" s="338"/>
      <c r="ED169" s="399"/>
      <c r="EE169" s="399"/>
      <c r="EF169" s="399"/>
      <c r="EG169" s="425"/>
      <c r="EH169" s="399"/>
      <c r="EI169" s="399"/>
      <c r="EJ169" s="338"/>
      <c r="EK169" s="399"/>
      <c r="EL169" s="399"/>
      <c r="EM169" s="399"/>
      <c r="EN169" s="425"/>
      <c r="EO169" s="399"/>
      <c r="EP169" s="399"/>
      <c r="EQ169" s="338"/>
    </row>
    <row r="170" spans="1:147" ht="10.199999999999999" customHeight="1">
      <c r="A170" s="108" t="s">
        <v>725</v>
      </c>
      <c r="B170" s="43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750"/>
      <c r="O170" s="176"/>
      <c r="P170" s="176"/>
      <c r="Q170" s="176"/>
      <c r="R170" s="709"/>
      <c r="S170" s="176"/>
      <c r="T170" s="176"/>
      <c r="U170" s="352"/>
      <c r="V170" s="176"/>
      <c r="W170" s="176"/>
      <c r="X170" s="176"/>
      <c r="Y170" s="709"/>
      <c r="Z170" s="176"/>
      <c r="AA170" s="176"/>
      <c r="AB170" s="352"/>
      <c r="AC170" s="176"/>
      <c r="AD170" s="176"/>
      <c r="AE170" s="176"/>
      <c r="AF170" s="709"/>
      <c r="AG170" s="176"/>
      <c r="AH170" s="176"/>
      <c r="AI170" s="352"/>
      <c r="AJ170" s="176"/>
      <c r="AK170" s="176"/>
      <c r="AL170" s="176"/>
      <c r="AM170" s="709"/>
      <c r="AN170" s="176"/>
      <c r="AO170" s="176"/>
      <c r="AP170" s="352"/>
      <c r="AQ170" s="176"/>
      <c r="AR170" s="176"/>
      <c r="AS170" s="176"/>
      <c r="AT170" s="709"/>
      <c r="AU170" s="176"/>
      <c r="AV170" s="176"/>
      <c r="AW170" s="352"/>
      <c r="AX170" s="176"/>
      <c r="AY170" s="176"/>
      <c r="AZ170" s="176"/>
      <c r="BA170" s="709"/>
      <c r="BB170" s="176"/>
      <c r="BC170" s="176"/>
      <c r="BD170" s="352"/>
      <c r="BE170" s="176"/>
      <c r="BF170" s="176"/>
      <c r="BG170" s="176"/>
      <c r="BH170" s="709"/>
      <c r="BI170" s="176"/>
      <c r="BJ170" s="176"/>
      <c r="BK170" s="352">
        <v>81</v>
      </c>
      <c r="BL170" s="176"/>
      <c r="BM170" s="176"/>
      <c r="BN170" s="176"/>
      <c r="BO170" s="709"/>
      <c r="BP170" s="176"/>
      <c r="BQ170" s="176"/>
      <c r="BR170" s="352">
        <f t="shared" ref="BR170:BR171" si="638">BK170*(1+BR$193)</f>
        <v>82.62</v>
      </c>
      <c r="BS170" s="176"/>
      <c r="BT170" s="176"/>
      <c r="BU170" s="176"/>
      <c r="BV170" s="709"/>
      <c r="BW170" s="176"/>
      <c r="BX170" s="176"/>
      <c r="BY170" s="352">
        <f>BR170*(1+BY$193)</f>
        <v>84.272400000000005</v>
      </c>
      <c r="BZ170" s="176"/>
      <c r="CA170" s="176"/>
      <c r="CB170" s="176"/>
      <c r="CC170" s="709"/>
      <c r="CD170" s="176"/>
      <c r="CE170" s="176"/>
      <c r="CF170" s="352">
        <f>BY170*(1+CF$193)</f>
        <v>85.957848000000013</v>
      </c>
      <c r="CG170" s="176"/>
      <c r="CH170" s="176"/>
      <c r="CI170" s="176"/>
      <c r="CJ170" s="709"/>
      <c r="CK170" s="176"/>
      <c r="CL170" s="176"/>
      <c r="CM170" s="352">
        <f>CF170*(1+CM$193)</f>
        <v>87.677004960000019</v>
      </c>
      <c r="CN170" s="176">
        <f>CT170</f>
        <v>90.74570013360001</v>
      </c>
      <c r="CO170" s="176">
        <f>CT170</f>
        <v>90.74570013360001</v>
      </c>
      <c r="CP170" s="176">
        <f>CT170</f>
        <v>90.74570013360001</v>
      </c>
      <c r="CQ170" s="709">
        <f>CT170</f>
        <v>90.74570013360001</v>
      </c>
      <c r="CR170" s="176">
        <f>CT170</f>
        <v>90.74570013360001</v>
      </c>
      <c r="CS170" s="176">
        <f>CT170</f>
        <v>90.74570013360001</v>
      </c>
      <c r="CT170" s="352">
        <f>CM170*(1+CT$193)</f>
        <v>90.74570013360001</v>
      </c>
      <c r="CU170" s="176">
        <f>DA170</f>
        <v>93.01434263694</v>
      </c>
      <c r="CV170" s="176">
        <f>DA170</f>
        <v>93.01434263694</v>
      </c>
      <c r="CW170" s="176">
        <f>DA170</f>
        <v>93.01434263694</v>
      </c>
      <c r="CX170" s="709">
        <f>DA170</f>
        <v>93.01434263694</v>
      </c>
      <c r="CY170" s="176">
        <f>DA170</f>
        <v>93.01434263694</v>
      </c>
      <c r="CZ170" s="176">
        <f>DA170</f>
        <v>93.01434263694</v>
      </c>
      <c r="DA170" s="352">
        <f>CT170*(1+DA$193)</f>
        <v>93.01434263694</v>
      </c>
      <c r="DB170" s="176">
        <f>DH170</f>
        <v>95.339701202863495</v>
      </c>
      <c r="DC170" s="176">
        <f>DH170</f>
        <v>95.339701202863495</v>
      </c>
      <c r="DD170" s="176">
        <f>DH170</f>
        <v>95.339701202863495</v>
      </c>
      <c r="DE170" s="709">
        <f>DH170</f>
        <v>95.339701202863495</v>
      </c>
      <c r="DF170" s="176">
        <f>DH170</f>
        <v>95.339701202863495</v>
      </c>
      <c r="DG170" s="176">
        <f>DH170</f>
        <v>95.339701202863495</v>
      </c>
      <c r="DH170" s="352">
        <f>DA170*(1+DH$193)</f>
        <v>95.339701202863495</v>
      </c>
      <c r="DI170" s="176">
        <f>DO170</f>
        <v>97.723193732935073</v>
      </c>
      <c r="DJ170" s="176">
        <f>DO170</f>
        <v>97.723193732935073</v>
      </c>
      <c r="DK170" s="324">
        <f>DO170</f>
        <v>97.723193732935073</v>
      </c>
      <c r="DL170" s="445">
        <f>DO170</f>
        <v>97.723193732935073</v>
      </c>
      <c r="DM170" s="176">
        <f>DO170</f>
        <v>97.723193732935073</v>
      </c>
      <c r="DN170" s="324">
        <f>DO170</f>
        <v>97.723193732935073</v>
      </c>
      <c r="DO170" s="389">
        <f>DH170*(1+DO$193)</f>
        <v>97.723193732935073</v>
      </c>
      <c r="DP170" s="324">
        <f>DV170</f>
        <v>100.16627357625845</v>
      </c>
      <c r="DQ170" s="324">
        <f>DV170</f>
        <v>100.16627357625845</v>
      </c>
      <c r="DR170" s="324">
        <f>DV170</f>
        <v>100.16627357625845</v>
      </c>
      <c r="DS170" s="445">
        <f>DV170</f>
        <v>100.16627357625845</v>
      </c>
      <c r="DT170" s="324">
        <f>DV170</f>
        <v>100.16627357625845</v>
      </c>
      <c r="DU170" s="324">
        <f>DV170</f>
        <v>100.16627357625845</v>
      </c>
      <c r="DV170" s="389">
        <f>DO170*(1+DV$193)</f>
        <v>100.16627357625845</v>
      </c>
      <c r="DW170" s="324">
        <f>EC170</f>
        <v>102.6704304156649</v>
      </c>
      <c r="DX170" s="324">
        <f>EC170</f>
        <v>102.6704304156649</v>
      </c>
      <c r="DY170" s="324">
        <f>EC170</f>
        <v>102.6704304156649</v>
      </c>
      <c r="DZ170" s="445">
        <f>EC170</f>
        <v>102.6704304156649</v>
      </c>
      <c r="EA170" s="324">
        <f>EC170</f>
        <v>102.6704304156649</v>
      </c>
      <c r="EB170" s="324">
        <f>EC170</f>
        <v>102.6704304156649</v>
      </c>
      <c r="EC170" s="389">
        <f>DV170*(1+EC$193)</f>
        <v>102.6704304156649</v>
      </c>
      <c r="ED170" s="324">
        <f>EJ170</f>
        <v>105.23719117605651</v>
      </c>
      <c r="EE170" s="324">
        <f>EJ170</f>
        <v>105.23719117605651</v>
      </c>
      <c r="EF170" s="324">
        <f>EJ170</f>
        <v>105.23719117605651</v>
      </c>
      <c r="EG170" s="445">
        <f>EJ170</f>
        <v>105.23719117605651</v>
      </c>
      <c r="EH170" s="324">
        <f>EJ170</f>
        <v>105.23719117605651</v>
      </c>
      <c r="EI170" s="324">
        <f>EJ170</f>
        <v>105.23719117605651</v>
      </c>
      <c r="EJ170" s="389">
        <f>EC170*(1+EJ$193)</f>
        <v>105.23719117605651</v>
      </c>
      <c r="EK170" s="324">
        <f>EQ170</f>
        <v>107.86812095545791</v>
      </c>
      <c r="EL170" s="324">
        <f>EQ170</f>
        <v>107.86812095545791</v>
      </c>
      <c r="EM170" s="324">
        <f>EQ170</f>
        <v>107.86812095545791</v>
      </c>
      <c r="EN170" s="445">
        <f>EQ170</f>
        <v>107.86812095545791</v>
      </c>
      <c r="EO170" s="324">
        <f>EQ170</f>
        <v>107.86812095545791</v>
      </c>
      <c r="EP170" s="324">
        <f>EQ170</f>
        <v>107.86812095545791</v>
      </c>
      <c r="EQ170" s="389">
        <f>EJ170*(1+EQ$193)</f>
        <v>107.86812095545791</v>
      </c>
    </row>
    <row r="171" spans="1:147" ht="10.199999999999999" customHeight="1">
      <c r="A171" s="108" t="s">
        <v>734</v>
      </c>
      <c r="B171" s="43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750"/>
      <c r="O171" s="176"/>
      <c r="P171" s="176"/>
      <c r="Q171" s="176"/>
      <c r="R171" s="709"/>
      <c r="S171" s="176"/>
      <c r="T171" s="176"/>
      <c r="U171" s="352"/>
      <c r="V171" s="176"/>
      <c r="W171" s="176"/>
      <c r="X171" s="176"/>
      <c r="Y171" s="709"/>
      <c r="Z171" s="176"/>
      <c r="AA171" s="176"/>
      <c r="AB171" s="352"/>
      <c r="AC171" s="176"/>
      <c r="AD171" s="176"/>
      <c r="AE171" s="176"/>
      <c r="AF171" s="709"/>
      <c r="AG171" s="176"/>
      <c r="AH171" s="176"/>
      <c r="AI171" s="352"/>
      <c r="AJ171" s="176"/>
      <c r="AK171" s="176"/>
      <c r="AL171" s="176"/>
      <c r="AM171" s="709"/>
      <c r="AN171" s="176"/>
      <c r="AO171" s="176"/>
      <c r="AP171" s="352"/>
      <c r="AQ171" s="176"/>
      <c r="AR171" s="176"/>
      <c r="AS171" s="176"/>
      <c r="AT171" s="709"/>
      <c r="AU171" s="176"/>
      <c r="AV171" s="176"/>
      <c r="AW171" s="352"/>
      <c r="AX171" s="176"/>
      <c r="AY171" s="176"/>
      <c r="AZ171" s="176"/>
      <c r="BA171" s="709"/>
      <c r="BB171" s="176"/>
      <c r="BC171" s="176"/>
      <c r="BD171" s="352"/>
      <c r="BE171" s="176"/>
      <c r="BF171" s="176"/>
      <c r="BG171" s="176"/>
      <c r="BH171" s="709"/>
      <c r="BI171" s="176"/>
      <c r="BJ171" s="176"/>
      <c r="BK171" s="352">
        <v>91.5</v>
      </c>
      <c r="BL171" s="176"/>
      <c r="BM171" s="176"/>
      <c r="BN171" s="176"/>
      <c r="BO171" s="709"/>
      <c r="BP171" s="176"/>
      <c r="BQ171" s="176"/>
      <c r="BR171" s="352">
        <f t="shared" si="638"/>
        <v>93.33</v>
      </c>
      <c r="BS171" s="176"/>
      <c r="BT171" s="176"/>
      <c r="BU171" s="176"/>
      <c r="BV171" s="709"/>
      <c r="BW171" s="176"/>
      <c r="BX171" s="176"/>
      <c r="BY171" s="352">
        <f>BR171*(1+BY$193)</f>
        <v>95.196600000000004</v>
      </c>
      <c r="BZ171" s="176"/>
      <c r="CA171" s="176"/>
      <c r="CB171" s="176"/>
      <c r="CC171" s="709"/>
      <c r="CD171" s="176"/>
      <c r="CE171" s="176"/>
      <c r="CF171" s="352">
        <f>BY171*(1+CF$193)</f>
        <v>97.100532000000001</v>
      </c>
      <c r="CG171" s="176"/>
      <c r="CH171" s="176"/>
      <c r="CI171" s="176"/>
      <c r="CJ171" s="709"/>
      <c r="CK171" s="176"/>
      <c r="CL171" s="176"/>
      <c r="CM171" s="352">
        <f>CF171*(1+CM$193)</f>
        <v>99.042542640000008</v>
      </c>
      <c r="CN171" s="176">
        <f t="shared" ref="CN171:CN191" si="639">CT171</f>
        <v>102.5090316324</v>
      </c>
      <c r="CO171" s="176">
        <f t="shared" ref="CO171:CO191" si="640">CT171</f>
        <v>102.5090316324</v>
      </c>
      <c r="CP171" s="176">
        <f t="shared" ref="CP171:CP191" si="641">CT171</f>
        <v>102.5090316324</v>
      </c>
      <c r="CQ171" s="709">
        <f t="shared" ref="CQ171:CQ191" si="642">CT171</f>
        <v>102.5090316324</v>
      </c>
      <c r="CR171" s="176">
        <f t="shared" ref="CR171:CR191" si="643">CT171</f>
        <v>102.5090316324</v>
      </c>
      <c r="CS171" s="176">
        <f t="shared" ref="CS171:CS191" si="644">CT171</f>
        <v>102.5090316324</v>
      </c>
      <c r="CT171" s="352">
        <f>CM171*(1+CT$193)</f>
        <v>102.5090316324</v>
      </c>
      <c r="CU171" s="176">
        <f t="shared" ref="CU171:CU191" si="645">DA171</f>
        <v>105.07175742320999</v>
      </c>
      <c r="CV171" s="176">
        <f t="shared" ref="CV171:CV191" si="646">DA171</f>
        <v>105.07175742320999</v>
      </c>
      <c r="CW171" s="176">
        <f t="shared" ref="CW171:CW191" si="647">DA171</f>
        <v>105.07175742320999</v>
      </c>
      <c r="CX171" s="709">
        <f t="shared" ref="CX171:CX191" si="648">DA171</f>
        <v>105.07175742320999</v>
      </c>
      <c r="CY171" s="176">
        <f t="shared" ref="CY171:CY191" si="649">DA171</f>
        <v>105.07175742320999</v>
      </c>
      <c r="CZ171" s="176">
        <f t="shared" ref="CZ171:CZ191" si="650">DA171</f>
        <v>105.07175742320999</v>
      </c>
      <c r="DA171" s="352">
        <f>CT171*(1+DA$193)</f>
        <v>105.07175742320999</v>
      </c>
      <c r="DB171" s="176">
        <f t="shared" ref="DB171:DB191" si="651">DH171</f>
        <v>107.69855135879023</v>
      </c>
      <c r="DC171" s="176">
        <f t="shared" ref="DC171:DC191" si="652">DH171</f>
        <v>107.69855135879023</v>
      </c>
      <c r="DD171" s="176">
        <f t="shared" ref="DD171:DD191" si="653">DH171</f>
        <v>107.69855135879023</v>
      </c>
      <c r="DE171" s="709">
        <f t="shared" ref="DE171:DE191" si="654">DH171</f>
        <v>107.69855135879023</v>
      </c>
      <c r="DF171" s="176">
        <f t="shared" ref="DF171:DF191" si="655">DH171</f>
        <v>107.69855135879023</v>
      </c>
      <c r="DG171" s="176">
        <f t="shared" ref="DG171:DG191" si="656">DH171</f>
        <v>107.69855135879023</v>
      </c>
      <c r="DH171" s="352">
        <f>DA171*(1+DH$193)</f>
        <v>107.69855135879023</v>
      </c>
      <c r="DI171" s="176">
        <f t="shared" ref="DI171:DI191" si="657">DO171</f>
        <v>110.39101514275997</v>
      </c>
      <c r="DJ171" s="176">
        <f t="shared" ref="DJ171:DJ191" si="658">DO171</f>
        <v>110.39101514275997</v>
      </c>
      <c r="DK171" s="324">
        <f t="shared" ref="DK171:DK191" si="659">DO171</f>
        <v>110.39101514275997</v>
      </c>
      <c r="DL171" s="445">
        <f t="shared" ref="DL171:DL191" si="660">DO171</f>
        <v>110.39101514275997</v>
      </c>
      <c r="DM171" s="176">
        <f t="shared" ref="DM171:DM191" si="661">DO171</f>
        <v>110.39101514275997</v>
      </c>
      <c r="DN171" s="324">
        <f t="shared" ref="DN171:DN191" si="662">DO171</f>
        <v>110.39101514275997</v>
      </c>
      <c r="DO171" s="389">
        <f>DH171*(1+DO$193)</f>
        <v>110.39101514275997</v>
      </c>
      <c r="DP171" s="324">
        <f t="shared" ref="DP171:DP191" si="663">DV171</f>
        <v>113.15079052132896</v>
      </c>
      <c r="DQ171" s="324">
        <f t="shared" ref="DQ171:DQ191" si="664">DV171</f>
        <v>113.15079052132896</v>
      </c>
      <c r="DR171" s="324">
        <f t="shared" ref="DR171:DR191" si="665">DV171</f>
        <v>113.15079052132896</v>
      </c>
      <c r="DS171" s="445">
        <f t="shared" ref="DS171:DS191" si="666">DV171</f>
        <v>113.15079052132896</v>
      </c>
      <c r="DT171" s="324">
        <f t="shared" ref="DT171:DT191" si="667">DV171</f>
        <v>113.15079052132896</v>
      </c>
      <c r="DU171" s="324">
        <f t="shared" ref="DU171:DU191" si="668">DV171</f>
        <v>113.15079052132896</v>
      </c>
      <c r="DV171" s="389">
        <f>DO171*(1+DV$193)</f>
        <v>113.15079052132896</v>
      </c>
      <c r="DW171" s="324">
        <f t="shared" ref="DW171:DW191" si="669">EC171</f>
        <v>115.97956028436217</v>
      </c>
      <c r="DX171" s="324">
        <f t="shared" ref="DX171:DX191" si="670">EC171</f>
        <v>115.97956028436217</v>
      </c>
      <c r="DY171" s="324">
        <f t="shared" ref="DY171:DY191" si="671">EC171</f>
        <v>115.97956028436217</v>
      </c>
      <c r="DZ171" s="445">
        <f t="shared" ref="DZ171:DZ191" si="672">EC171</f>
        <v>115.97956028436217</v>
      </c>
      <c r="EA171" s="324">
        <f t="shared" ref="EA171:EA191" si="673">EC171</f>
        <v>115.97956028436217</v>
      </c>
      <c r="EB171" s="324">
        <f t="shared" ref="EB171:EB191" si="674">EC171</f>
        <v>115.97956028436217</v>
      </c>
      <c r="EC171" s="389">
        <f>DV171*(1+EC$193)</f>
        <v>115.97956028436217</v>
      </c>
      <c r="ED171" s="324">
        <f t="shared" ref="ED171:ED191" si="675">EJ171</f>
        <v>118.8790492914712</v>
      </c>
      <c r="EE171" s="324">
        <f t="shared" ref="EE171:EE191" si="676">EJ171</f>
        <v>118.8790492914712</v>
      </c>
      <c r="EF171" s="324">
        <f t="shared" ref="EF171:EF191" si="677">EJ171</f>
        <v>118.8790492914712</v>
      </c>
      <c r="EG171" s="445">
        <f t="shared" ref="EG171:EG191" si="678">EJ171</f>
        <v>118.8790492914712</v>
      </c>
      <c r="EH171" s="324">
        <f t="shared" ref="EH171:EH191" si="679">EJ171</f>
        <v>118.8790492914712</v>
      </c>
      <c r="EI171" s="324">
        <f t="shared" ref="EI171:EI191" si="680">EJ171</f>
        <v>118.8790492914712</v>
      </c>
      <c r="EJ171" s="389">
        <f>EC171*(1+EJ$193)</f>
        <v>118.8790492914712</v>
      </c>
      <c r="EK171" s="324">
        <f t="shared" ref="EK171:EK191" si="681">EQ171</f>
        <v>121.85102552375797</v>
      </c>
      <c r="EL171" s="324">
        <f t="shared" ref="EL171:EL191" si="682">EQ171</f>
        <v>121.85102552375797</v>
      </c>
      <c r="EM171" s="324">
        <f t="shared" ref="EM171:EM191" si="683">EQ171</f>
        <v>121.85102552375797</v>
      </c>
      <c r="EN171" s="445">
        <f t="shared" ref="EN171:EN191" si="684">EQ171</f>
        <v>121.85102552375797</v>
      </c>
      <c r="EO171" s="324">
        <f t="shared" ref="EO171:EO191" si="685">EQ171</f>
        <v>121.85102552375797</v>
      </c>
      <c r="EP171" s="324">
        <f t="shared" ref="EP171:EP191" si="686">EQ171</f>
        <v>121.85102552375797</v>
      </c>
      <c r="EQ171" s="389">
        <f>EJ171*(1+EQ$193)</f>
        <v>121.85102552375797</v>
      </c>
    </row>
    <row r="172" spans="1:147" ht="10.199999999999999" hidden="1" customHeight="1" outlineLevel="1">
      <c r="A172" s="43" t="s">
        <v>131</v>
      </c>
      <c r="B172" s="43"/>
      <c r="C172" s="191">
        <f>+D172/1.015</f>
        <v>109.97645428021789</v>
      </c>
      <c r="D172" s="191">
        <f>+E172/1.015</f>
        <v>111.62610109442114</v>
      </c>
      <c r="E172" s="191">
        <f>+F172/1.015</f>
        <v>113.30049261083745</v>
      </c>
      <c r="F172" s="191">
        <v>115</v>
      </c>
      <c r="G172" s="191">
        <f>+F172*1.015</f>
        <v>116.72499999999999</v>
      </c>
      <c r="H172" s="191">
        <f>+G172*1.015</f>
        <v>118.47587499999999</v>
      </c>
      <c r="I172" s="191">
        <f>+H172*1.015</f>
        <v>120.25301312499998</v>
      </c>
      <c r="J172" s="191">
        <f>+I172*1.015</f>
        <v>122.05680832187497</v>
      </c>
      <c r="K172" s="191">
        <f>+J172*1.015</f>
        <v>123.88766044670308</v>
      </c>
      <c r="L172" s="191"/>
      <c r="M172" s="191"/>
      <c r="N172" s="176"/>
      <c r="O172" s="176"/>
      <c r="P172" s="176"/>
      <c r="Q172" s="176"/>
      <c r="R172" s="709"/>
      <c r="S172" s="176"/>
      <c r="T172" s="176"/>
      <c r="U172" s="352"/>
      <c r="V172" s="176"/>
      <c r="W172" s="176"/>
      <c r="X172" s="176"/>
      <c r="Y172" s="709"/>
      <c r="Z172" s="176"/>
      <c r="AA172" s="176"/>
      <c r="AB172" s="352"/>
      <c r="AC172" s="176"/>
      <c r="AD172" s="176"/>
      <c r="AE172" s="176"/>
      <c r="AF172" s="709"/>
      <c r="AG172" s="176"/>
      <c r="AH172" s="176"/>
      <c r="AI172" s="352"/>
      <c r="AJ172" s="176"/>
      <c r="AK172" s="176"/>
      <c r="AL172" s="176"/>
      <c r="AM172" s="709"/>
      <c r="AN172" s="176"/>
      <c r="AO172" s="176"/>
      <c r="AP172" s="352"/>
      <c r="AQ172" s="176"/>
      <c r="AR172" s="176"/>
      <c r="AS172" s="176"/>
      <c r="AT172" s="709"/>
      <c r="AU172" s="176"/>
      <c r="AV172" s="176"/>
      <c r="AW172" s="352"/>
      <c r="AX172" s="176"/>
      <c r="AY172" s="176"/>
      <c r="AZ172" s="176"/>
      <c r="BA172" s="709"/>
      <c r="BB172" s="176"/>
      <c r="BC172" s="176"/>
      <c r="BD172" s="352"/>
      <c r="BE172" s="176"/>
      <c r="BF172" s="176"/>
      <c r="BG172" s="176"/>
      <c r="BH172" s="709"/>
      <c r="BI172" s="176"/>
      <c r="BJ172" s="176"/>
      <c r="BK172" s="352"/>
      <c r="BL172" s="176"/>
      <c r="BM172" s="176"/>
      <c r="BN172" s="176"/>
      <c r="BO172" s="709"/>
      <c r="BP172" s="176"/>
      <c r="BQ172" s="176"/>
      <c r="BR172" s="352"/>
      <c r="BS172" s="176"/>
      <c r="BT172" s="176"/>
      <c r="BU172" s="176"/>
      <c r="BV172" s="709"/>
      <c r="BW172" s="176"/>
      <c r="BX172" s="176"/>
      <c r="BY172" s="352"/>
      <c r="BZ172" s="176"/>
      <c r="CA172" s="176"/>
      <c r="CB172" s="176"/>
      <c r="CC172" s="709"/>
      <c r="CD172" s="176"/>
      <c r="CE172" s="176"/>
      <c r="CF172" s="352"/>
      <c r="CG172" s="176"/>
      <c r="CH172" s="176"/>
      <c r="CI172" s="176"/>
      <c r="CJ172" s="709"/>
      <c r="CK172" s="176"/>
      <c r="CL172" s="176"/>
      <c r="CM172" s="352"/>
      <c r="CN172" s="176">
        <f t="shared" si="639"/>
        <v>0</v>
      </c>
      <c r="CO172" s="176">
        <f t="shared" si="640"/>
        <v>0</v>
      </c>
      <c r="CP172" s="176">
        <f t="shared" si="641"/>
        <v>0</v>
      </c>
      <c r="CQ172" s="709">
        <f t="shared" si="642"/>
        <v>0</v>
      </c>
      <c r="CR172" s="176">
        <f t="shared" si="643"/>
        <v>0</v>
      </c>
      <c r="CS172" s="176">
        <f t="shared" si="644"/>
        <v>0</v>
      </c>
      <c r="CT172" s="352"/>
      <c r="CU172" s="176">
        <f t="shared" si="645"/>
        <v>0</v>
      </c>
      <c r="CV172" s="176">
        <f t="shared" si="646"/>
        <v>0</v>
      </c>
      <c r="CW172" s="176">
        <f t="shared" si="647"/>
        <v>0</v>
      </c>
      <c r="CX172" s="709">
        <f t="shared" si="648"/>
        <v>0</v>
      </c>
      <c r="CY172" s="176">
        <f t="shared" si="649"/>
        <v>0</v>
      </c>
      <c r="CZ172" s="176">
        <f t="shared" si="650"/>
        <v>0</v>
      </c>
      <c r="DA172" s="352"/>
      <c r="DB172" s="176">
        <f t="shared" si="651"/>
        <v>0</v>
      </c>
      <c r="DC172" s="176">
        <f t="shared" si="652"/>
        <v>0</v>
      </c>
      <c r="DD172" s="176">
        <f t="shared" si="653"/>
        <v>0</v>
      </c>
      <c r="DE172" s="709">
        <f t="shared" si="654"/>
        <v>0</v>
      </c>
      <c r="DF172" s="176">
        <f t="shared" si="655"/>
        <v>0</v>
      </c>
      <c r="DG172" s="176">
        <f t="shared" si="656"/>
        <v>0</v>
      </c>
      <c r="DH172" s="352"/>
      <c r="DI172" s="176">
        <f t="shared" si="657"/>
        <v>0</v>
      </c>
      <c r="DJ172" s="176">
        <f t="shared" si="658"/>
        <v>0</v>
      </c>
      <c r="DK172" s="324">
        <f t="shared" si="659"/>
        <v>0</v>
      </c>
      <c r="DL172" s="445">
        <f t="shared" si="660"/>
        <v>0</v>
      </c>
      <c r="DM172" s="176">
        <f t="shared" si="661"/>
        <v>0</v>
      </c>
      <c r="DN172" s="324">
        <f t="shared" si="662"/>
        <v>0</v>
      </c>
      <c r="DO172" s="389"/>
      <c r="DP172" s="324">
        <f t="shared" si="663"/>
        <v>0</v>
      </c>
      <c r="DQ172" s="324">
        <f t="shared" si="664"/>
        <v>0</v>
      </c>
      <c r="DR172" s="324">
        <f t="shared" si="665"/>
        <v>0</v>
      </c>
      <c r="DS172" s="445">
        <f t="shared" si="666"/>
        <v>0</v>
      </c>
      <c r="DT172" s="324">
        <f t="shared" si="667"/>
        <v>0</v>
      </c>
      <c r="DU172" s="324">
        <f t="shared" si="668"/>
        <v>0</v>
      </c>
      <c r="DV172" s="389"/>
      <c r="DW172" s="324">
        <f t="shared" si="669"/>
        <v>0</v>
      </c>
      <c r="DX172" s="324">
        <f t="shared" si="670"/>
        <v>0</v>
      </c>
      <c r="DY172" s="324">
        <f t="shared" si="671"/>
        <v>0</v>
      </c>
      <c r="DZ172" s="445">
        <f t="shared" si="672"/>
        <v>0</v>
      </c>
      <c r="EA172" s="324">
        <f t="shared" si="673"/>
        <v>0</v>
      </c>
      <c r="EB172" s="324">
        <f t="shared" si="674"/>
        <v>0</v>
      </c>
      <c r="EC172" s="389"/>
      <c r="ED172" s="324">
        <f t="shared" si="675"/>
        <v>0</v>
      </c>
      <c r="EE172" s="324">
        <f t="shared" si="676"/>
        <v>0</v>
      </c>
      <c r="EF172" s="324">
        <f t="shared" si="677"/>
        <v>0</v>
      </c>
      <c r="EG172" s="445">
        <f t="shared" si="678"/>
        <v>0</v>
      </c>
      <c r="EH172" s="324">
        <f t="shared" si="679"/>
        <v>0</v>
      </c>
      <c r="EI172" s="324">
        <f t="shared" si="680"/>
        <v>0</v>
      </c>
      <c r="EJ172" s="389"/>
      <c r="EK172" s="324">
        <f t="shared" si="681"/>
        <v>0</v>
      </c>
      <c r="EL172" s="324">
        <f t="shared" si="682"/>
        <v>0</v>
      </c>
      <c r="EM172" s="324">
        <f t="shared" si="683"/>
        <v>0</v>
      </c>
      <c r="EN172" s="445">
        <f t="shared" si="684"/>
        <v>0</v>
      </c>
      <c r="EO172" s="324">
        <f t="shared" si="685"/>
        <v>0</v>
      </c>
      <c r="EP172" s="324">
        <f t="shared" si="686"/>
        <v>0</v>
      </c>
      <c r="EQ172" s="389"/>
    </row>
    <row r="173" spans="1:147" ht="10.199999999999999" hidden="1" customHeight="1" outlineLevel="1" collapsed="1">
      <c r="A173" s="108" t="s">
        <v>379</v>
      </c>
      <c r="B173" s="43"/>
      <c r="C173" s="191">
        <f t="shared" ref="C173:E181" si="687">+D173/1.015</f>
        <v>43.03426471834613</v>
      </c>
      <c r="D173" s="191">
        <f t="shared" si="687"/>
        <v>43.679778689121321</v>
      </c>
      <c r="E173" s="191">
        <f t="shared" si="687"/>
        <v>44.334975369458135</v>
      </c>
      <c r="F173" s="191">
        <v>45</v>
      </c>
      <c r="G173" s="191">
        <f t="shared" ref="G173:J187" si="688">+F173*1.015</f>
        <v>45.674999999999997</v>
      </c>
      <c r="H173" s="191">
        <f t="shared" si="688"/>
        <v>46.360124999999989</v>
      </c>
      <c r="I173" s="191">
        <f t="shared" si="688"/>
        <v>47.055526874999984</v>
      </c>
      <c r="J173" s="191">
        <f t="shared" si="688"/>
        <v>47.761359778124977</v>
      </c>
      <c r="K173" s="191">
        <f>+J173*1.015</f>
        <v>48.477780174796848</v>
      </c>
      <c r="L173" s="191">
        <v>62.5</v>
      </c>
      <c r="M173" s="191">
        <v>65.2</v>
      </c>
      <c r="N173" s="176">
        <v>67.7</v>
      </c>
      <c r="O173" s="176"/>
      <c r="P173" s="176"/>
      <c r="Q173" s="176"/>
      <c r="R173" s="709"/>
      <c r="S173" s="176"/>
      <c r="T173" s="176"/>
      <c r="U173" s="352">
        <v>70.099999999999994</v>
      </c>
      <c r="V173" s="176"/>
      <c r="W173" s="176"/>
      <c r="X173" s="176"/>
      <c r="Y173" s="709"/>
      <c r="Z173" s="176"/>
      <c r="AA173" s="176"/>
      <c r="AB173" s="352">
        <v>71.900000000000006</v>
      </c>
      <c r="AC173" s="176"/>
      <c r="AD173" s="176"/>
      <c r="AE173" s="176"/>
      <c r="AF173" s="709"/>
      <c r="AG173" s="176"/>
      <c r="AH173" s="176"/>
      <c r="AI173" s="352">
        <v>74.3</v>
      </c>
      <c r="AJ173" s="176"/>
      <c r="AK173" s="176"/>
      <c r="AL173" s="176"/>
      <c r="AM173" s="709"/>
      <c r="AN173" s="176"/>
      <c r="AO173" s="176"/>
      <c r="AP173" s="352">
        <v>75.099999999999994</v>
      </c>
      <c r="AQ173" s="176"/>
      <c r="AR173" s="176"/>
      <c r="AS173" s="176"/>
      <c r="AT173" s="709"/>
      <c r="AU173" s="176"/>
      <c r="AV173" s="176"/>
      <c r="AW173" s="352">
        <v>75.900000000000006</v>
      </c>
      <c r="AX173" s="176"/>
      <c r="AY173" s="176"/>
      <c r="AZ173" s="176"/>
      <c r="BA173" s="709"/>
      <c r="BB173" s="176"/>
      <c r="BC173" s="176"/>
      <c r="BD173" s="352">
        <f>+AW173</f>
        <v>75.900000000000006</v>
      </c>
      <c r="BE173" s="176"/>
      <c r="BF173" s="176"/>
      <c r="BG173" s="176"/>
      <c r="BH173" s="709"/>
      <c r="BI173" s="176"/>
      <c r="BJ173" s="176"/>
      <c r="BK173" s="352">
        <v>77.400000000000006</v>
      </c>
      <c r="BL173" s="176"/>
      <c r="BM173" s="176"/>
      <c r="BN173" s="176"/>
      <c r="BO173" s="709"/>
      <c r="BP173" s="176"/>
      <c r="BQ173" s="176"/>
      <c r="BR173" s="352">
        <f t="shared" ref="BR173:BR179" si="689">BK173*(1+BR$193)</f>
        <v>78.948000000000008</v>
      </c>
      <c r="BS173" s="176"/>
      <c r="BT173" s="176"/>
      <c r="BU173" s="176"/>
      <c r="BV173" s="709"/>
      <c r="BW173" s="176"/>
      <c r="BX173" s="176"/>
      <c r="BY173" s="352">
        <f t="shared" ref="BY173:BY183" si="690">BR173*(1+BY$193)</f>
        <v>80.526960000000003</v>
      </c>
      <c r="BZ173" s="176"/>
      <c r="CA173" s="176"/>
      <c r="CB173" s="176"/>
      <c r="CC173" s="709"/>
      <c r="CD173" s="176"/>
      <c r="CE173" s="176"/>
      <c r="CF173" s="352">
        <f t="shared" ref="CF173:CF179" si="691">BY173*(1+CF$193)</f>
        <v>82.137499200000008</v>
      </c>
      <c r="CG173" s="176"/>
      <c r="CH173" s="176"/>
      <c r="CI173" s="176"/>
      <c r="CJ173" s="709"/>
      <c r="CK173" s="176"/>
      <c r="CL173" s="176"/>
      <c r="CM173" s="352">
        <f t="shared" ref="CM173:CM183" si="692">CF173*(1+CM$193)</f>
        <v>83.780249184000013</v>
      </c>
      <c r="CN173" s="176">
        <f t="shared" si="639"/>
        <v>86.712557905440008</v>
      </c>
      <c r="CO173" s="176">
        <f t="shared" si="640"/>
        <v>86.712557905440008</v>
      </c>
      <c r="CP173" s="176">
        <f t="shared" si="641"/>
        <v>86.712557905440008</v>
      </c>
      <c r="CQ173" s="709">
        <f t="shared" si="642"/>
        <v>86.712557905440008</v>
      </c>
      <c r="CR173" s="176">
        <f t="shared" si="643"/>
        <v>86.712557905440008</v>
      </c>
      <c r="CS173" s="176">
        <f t="shared" si="644"/>
        <v>86.712557905440008</v>
      </c>
      <c r="CT173" s="352">
        <f t="shared" ref="CT173:CT183" si="693">CM173*(1+CT$193)</f>
        <v>86.712557905440008</v>
      </c>
      <c r="CU173" s="176">
        <f t="shared" si="645"/>
        <v>88.880371853075999</v>
      </c>
      <c r="CV173" s="176">
        <f t="shared" si="646"/>
        <v>88.880371853075999</v>
      </c>
      <c r="CW173" s="176">
        <f t="shared" si="647"/>
        <v>88.880371853075999</v>
      </c>
      <c r="CX173" s="709">
        <f t="shared" si="648"/>
        <v>88.880371853075999</v>
      </c>
      <c r="CY173" s="176">
        <f t="shared" si="649"/>
        <v>88.880371853075999</v>
      </c>
      <c r="CZ173" s="176">
        <f t="shared" si="650"/>
        <v>88.880371853075999</v>
      </c>
      <c r="DA173" s="352">
        <f t="shared" ref="DA173:DA183" si="694">CT173*(1+DA$193)</f>
        <v>88.880371853075999</v>
      </c>
      <c r="DB173" s="176">
        <f t="shared" si="651"/>
        <v>91.102381149402888</v>
      </c>
      <c r="DC173" s="176">
        <f t="shared" si="652"/>
        <v>91.102381149402888</v>
      </c>
      <c r="DD173" s="176">
        <f t="shared" si="653"/>
        <v>91.102381149402888</v>
      </c>
      <c r="DE173" s="709">
        <f t="shared" si="654"/>
        <v>91.102381149402888</v>
      </c>
      <c r="DF173" s="176">
        <f t="shared" si="655"/>
        <v>91.102381149402888</v>
      </c>
      <c r="DG173" s="176">
        <f t="shared" si="656"/>
        <v>91.102381149402888</v>
      </c>
      <c r="DH173" s="352">
        <f t="shared" ref="DH173:DH183" si="695">DA173*(1+DH$193)</f>
        <v>91.102381149402888</v>
      </c>
      <c r="DI173" s="176">
        <f t="shared" si="657"/>
        <v>93.379940678137956</v>
      </c>
      <c r="DJ173" s="176">
        <f t="shared" si="658"/>
        <v>93.379940678137956</v>
      </c>
      <c r="DK173" s="324">
        <f t="shared" si="659"/>
        <v>93.379940678137956</v>
      </c>
      <c r="DL173" s="445">
        <f t="shared" si="660"/>
        <v>93.379940678137956</v>
      </c>
      <c r="DM173" s="176">
        <f t="shared" si="661"/>
        <v>93.379940678137956</v>
      </c>
      <c r="DN173" s="324">
        <f t="shared" si="662"/>
        <v>93.379940678137956</v>
      </c>
      <c r="DO173" s="389">
        <f t="shared" ref="DO173:DO183" si="696">DH173*(1+DO$193)</f>
        <v>93.379940678137956</v>
      </c>
      <c r="DP173" s="324">
        <f t="shared" si="663"/>
        <v>95.714439195091401</v>
      </c>
      <c r="DQ173" s="324">
        <f t="shared" si="664"/>
        <v>95.714439195091401</v>
      </c>
      <c r="DR173" s="324">
        <f t="shared" si="665"/>
        <v>95.714439195091401</v>
      </c>
      <c r="DS173" s="445">
        <f t="shared" si="666"/>
        <v>95.714439195091401</v>
      </c>
      <c r="DT173" s="324">
        <f t="shared" si="667"/>
        <v>95.714439195091401</v>
      </c>
      <c r="DU173" s="324">
        <f t="shared" si="668"/>
        <v>95.714439195091401</v>
      </c>
      <c r="DV173" s="389">
        <f t="shared" ref="DV173:DV183" si="697">DO173*(1+DV$193)</f>
        <v>95.714439195091401</v>
      </c>
      <c r="DW173" s="324">
        <f t="shared" si="669"/>
        <v>98.107300174968671</v>
      </c>
      <c r="DX173" s="324">
        <f t="shared" si="670"/>
        <v>98.107300174968671</v>
      </c>
      <c r="DY173" s="324">
        <f t="shared" si="671"/>
        <v>98.107300174968671</v>
      </c>
      <c r="DZ173" s="445">
        <f t="shared" si="672"/>
        <v>98.107300174968671</v>
      </c>
      <c r="EA173" s="324">
        <f t="shared" si="673"/>
        <v>98.107300174968671</v>
      </c>
      <c r="EB173" s="324">
        <f t="shared" si="674"/>
        <v>98.107300174968671</v>
      </c>
      <c r="EC173" s="389">
        <f t="shared" ref="EC173:EC183" si="698">DV173*(1+EC$193)</f>
        <v>98.107300174968671</v>
      </c>
      <c r="ED173" s="324">
        <f t="shared" si="675"/>
        <v>100.55998267934288</v>
      </c>
      <c r="EE173" s="324">
        <f t="shared" si="676"/>
        <v>100.55998267934288</v>
      </c>
      <c r="EF173" s="324">
        <f t="shared" si="677"/>
        <v>100.55998267934288</v>
      </c>
      <c r="EG173" s="445">
        <f t="shared" si="678"/>
        <v>100.55998267934288</v>
      </c>
      <c r="EH173" s="324">
        <f t="shared" si="679"/>
        <v>100.55998267934288</v>
      </c>
      <c r="EI173" s="324">
        <f t="shared" si="680"/>
        <v>100.55998267934288</v>
      </c>
      <c r="EJ173" s="389">
        <f t="shared" ref="EJ173:EJ183" si="699">EC173*(1+EJ$193)</f>
        <v>100.55998267934288</v>
      </c>
      <c r="EK173" s="324">
        <f t="shared" si="681"/>
        <v>103.07398224632644</v>
      </c>
      <c r="EL173" s="324">
        <f t="shared" si="682"/>
        <v>103.07398224632644</v>
      </c>
      <c r="EM173" s="324">
        <f t="shared" si="683"/>
        <v>103.07398224632644</v>
      </c>
      <c r="EN173" s="445">
        <f t="shared" si="684"/>
        <v>103.07398224632644</v>
      </c>
      <c r="EO173" s="324">
        <f t="shared" si="685"/>
        <v>103.07398224632644</v>
      </c>
      <c r="EP173" s="324">
        <f t="shared" si="686"/>
        <v>103.07398224632644</v>
      </c>
      <c r="EQ173" s="389">
        <f t="shared" ref="EQ173:EQ183" si="700">EJ173*(1+EQ$193)</f>
        <v>103.07398224632644</v>
      </c>
    </row>
    <row r="174" spans="1:147" ht="10.199999999999999" hidden="1" customHeight="1" outlineLevel="1">
      <c r="A174" s="108" t="s">
        <v>382</v>
      </c>
      <c r="B174" s="43"/>
      <c r="C174" s="191">
        <f t="shared" si="687"/>
        <v>47.815849687051255</v>
      </c>
      <c r="D174" s="191">
        <f t="shared" si="687"/>
        <v>48.533087432357021</v>
      </c>
      <c r="E174" s="191">
        <f t="shared" si="687"/>
        <v>49.26108374384237</v>
      </c>
      <c r="F174" s="191">
        <v>50</v>
      </c>
      <c r="G174" s="191">
        <f t="shared" si="688"/>
        <v>50.749999999999993</v>
      </c>
      <c r="H174" s="191">
        <f t="shared" si="688"/>
        <v>51.51124999999999</v>
      </c>
      <c r="I174" s="191">
        <f t="shared" si="688"/>
        <v>52.283918749999984</v>
      </c>
      <c r="J174" s="191">
        <f t="shared" si="688"/>
        <v>53.068177531249979</v>
      </c>
      <c r="K174" s="191">
        <f>+J174*1.015</f>
        <v>53.864200194218725</v>
      </c>
      <c r="L174" s="191">
        <v>74.400000000000006</v>
      </c>
      <c r="M174" s="191">
        <v>77.7</v>
      </c>
      <c r="N174" s="176">
        <v>80.7</v>
      </c>
      <c r="O174" s="176"/>
      <c r="P174" s="176"/>
      <c r="Q174" s="176"/>
      <c r="R174" s="709"/>
      <c r="S174" s="176"/>
      <c r="T174" s="176"/>
      <c r="U174" s="352">
        <v>83.6</v>
      </c>
      <c r="V174" s="176"/>
      <c r="W174" s="176"/>
      <c r="X174" s="176"/>
      <c r="Y174" s="709"/>
      <c r="Z174" s="176"/>
      <c r="AA174" s="176"/>
      <c r="AB174" s="352">
        <v>85.8</v>
      </c>
      <c r="AC174" s="176"/>
      <c r="AD174" s="176"/>
      <c r="AE174" s="176"/>
      <c r="AF174" s="709"/>
      <c r="AG174" s="176"/>
      <c r="AH174" s="176"/>
      <c r="AI174" s="352">
        <v>88.6</v>
      </c>
      <c r="AJ174" s="176"/>
      <c r="AK174" s="176"/>
      <c r="AL174" s="176"/>
      <c r="AM174" s="709"/>
      <c r="AN174" s="176"/>
      <c r="AO174" s="176"/>
      <c r="AP174" s="352">
        <v>89.6</v>
      </c>
      <c r="AQ174" s="176"/>
      <c r="AR174" s="176"/>
      <c r="AS174" s="176"/>
      <c r="AT174" s="709"/>
      <c r="AU174" s="176"/>
      <c r="AV174" s="176"/>
      <c r="AW174" s="352">
        <v>90.5</v>
      </c>
      <c r="AX174" s="176"/>
      <c r="AY174" s="176"/>
      <c r="AZ174" s="176"/>
      <c r="BA174" s="709"/>
      <c r="BB174" s="176"/>
      <c r="BC174" s="176"/>
      <c r="BD174" s="352">
        <f t="shared" ref="BD174:BD191" si="701">+AW174</f>
        <v>90.5</v>
      </c>
      <c r="BE174" s="176"/>
      <c r="BF174" s="176"/>
      <c r="BG174" s="176"/>
      <c r="BH174" s="709"/>
      <c r="BI174" s="176"/>
      <c r="BJ174" s="176"/>
      <c r="BK174" s="352">
        <v>92.3</v>
      </c>
      <c r="BL174" s="176"/>
      <c r="BM174" s="176"/>
      <c r="BN174" s="176"/>
      <c r="BO174" s="709"/>
      <c r="BP174" s="176"/>
      <c r="BQ174" s="176"/>
      <c r="BR174" s="352">
        <f t="shared" si="689"/>
        <v>94.146000000000001</v>
      </c>
      <c r="BS174" s="176"/>
      <c r="BT174" s="176"/>
      <c r="BU174" s="176"/>
      <c r="BV174" s="709"/>
      <c r="BW174" s="176"/>
      <c r="BX174" s="176"/>
      <c r="BY174" s="352">
        <f t="shared" si="690"/>
        <v>96.028919999999999</v>
      </c>
      <c r="BZ174" s="176"/>
      <c r="CA174" s="176"/>
      <c r="CB174" s="176"/>
      <c r="CC174" s="709"/>
      <c r="CD174" s="176"/>
      <c r="CE174" s="176"/>
      <c r="CF174" s="352">
        <f t="shared" si="691"/>
        <v>97.949498399999996</v>
      </c>
      <c r="CG174" s="176"/>
      <c r="CH174" s="176"/>
      <c r="CI174" s="176"/>
      <c r="CJ174" s="709"/>
      <c r="CK174" s="176"/>
      <c r="CL174" s="176"/>
      <c r="CM174" s="352">
        <f t="shared" si="692"/>
        <v>99.908488367999993</v>
      </c>
      <c r="CN174" s="176">
        <f t="shared" si="639"/>
        <v>103.40528546087998</v>
      </c>
      <c r="CO174" s="176">
        <f t="shared" si="640"/>
        <v>103.40528546087998</v>
      </c>
      <c r="CP174" s="176">
        <f t="shared" si="641"/>
        <v>103.40528546087998</v>
      </c>
      <c r="CQ174" s="709">
        <f t="shared" si="642"/>
        <v>103.40528546087998</v>
      </c>
      <c r="CR174" s="176">
        <f t="shared" si="643"/>
        <v>103.40528546087998</v>
      </c>
      <c r="CS174" s="176">
        <f t="shared" si="644"/>
        <v>103.40528546087998</v>
      </c>
      <c r="CT174" s="352">
        <f t="shared" si="693"/>
        <v>103.40528546087998</v>
      </c>
      <c r="CU174" s="176">
        <f t="shared" si="645"/>
        <v>105.99041759740197</v>
      </c>
      <c r="CV174" s="176">
        <f t="shared" si="646"/>
        <v>105.99041759740197</v>
      </c>
      <c r="CW174" s="176">
        <f t="shared" si="647"/>
        <v>105.99041759740197</v>
      </c>
      <c r="CX174" s="709">
        <f t="shared" si="648"/>
        <v>105.99041759740197</v>
      </c>
      <c r="CY174" s="176">
        <f t="shared" si="649"/>
        <v>105.99041759740197</v>
      </c>
      <c r="CZ174" s="176">
        <f t="shared" si="650"/>
        <v>105.99041759740197</v>
      </c>
      <c r="DA174" s="352">
        <f t="shared" si="694"/>
        <v>105.99041759740197</v>
      </c>
      <c r="DB174" s="176">
        <f t="shared" si="651"/>
        <v>108.64017803733701</v>
      </c>
      <c r="DC174" s="176">
        <f t="shared" si="652"/>
        <v>108.64017803733701</v>
      </c>
      <c r="DD174" s="176">
        <f t="shared" si="653"/>
        <v>108.64017803733701</v>
      </c>
      <c r="DE174" s="709">
        <f t="shared" si="654"/>
        <v>108.64017803733701</v>
      </c>
      <c r="DF174" s="176">
        <f t="shared" si="655"/>
        <v>108.64017803733701</v>
      </c>
      <c r="DG174" s="176">
        <f t="shared" si="656"/>
        <v>108.64017803733701</v>
      </c>
      <c r="DH174" s="352">
        <f t="shared" si="695"/>
        <v>108.64017803733701</v>
      </c>
      <c r="DI174" s="176">
        <f t="shared" si="657"/>
        <v>111.35618248827042</v>
      </c>
      <c r="DJ174" s="176">
        <f t="shared" si="658"/>
        <v>111.35618248827042</v>
      </c>
      <c r="DK174" s="324">
        <f t="shared" si="659"/>
        <v>111.35618248827042</v>
      </c>
      <c r="DL174" s="445">
        <f t="shared" si="660"/>
        <v>111.35618248827042</v>
      </c>
      <c r="DM174" s="176">
        <f t="shared" si="661"/>
        <v>111.35618248827042</v>
      </c>
      <c r="DN174" s="324">
        <f t="shared" si="662"/>
        <v>111.35618248827042</v>
      </c>
      <c r="DO174" s="389">
        <f t="shared" si="696"/>
        <v>111.35618248827042</v>
      </c>
      <c r="DP174" s="324">
        <f t="shared" si="663"/>
        <v>114.14008705047718</v>
      </c>
      <c r="DQ174" s="324">
        <f t="shared" si="664"/>
        <v>114.14008705047718</v>
      </c>
      <c r="DR174" s="324">
        <f t="shared" si="665"/>
        <v>114.14008705047718</v>
      </c>
      <c r="DS174" s="445">
        <f t="shared" si="666"/>
        <v>114.14008705047718</v>
      </c>
      <c r="DT174" s="324">
        <f t="shared" si="667"/>
        <v>114.14008705047718</v>
      </c>
      <c r="DU174" s="324">
        <f t="shared" si="668"/>
        <v>114.14008705047718</v>
      </c>
      <c r="DV174" s="389">
        <f t="shared" si="697"/>
        <v>114.14008705047718</v>
      </c>
      <c r="DW174" s="324">
        <f t="shared" si="669"/>
        <v>116.99358922673909</v>
      </c>
      <c r="DX174" s="324">
        <f t="shared" si="670"/>
        <v>116.99358922673909</v>
      </c>
      <c r="DY174" s="324">
        <f t="shared" si="671"/>
        <v>116.99358922673909</v>
      </c>
      <c r="DZ174" s="445">
        <f t="shared" si="672"/>
        <v>116.99358922673909</v>
      </c>
      <c r="EA174" s="324">
        <f t="shared" si="673"/>
        <v>116.99358922673909</v>
      </c>
      <c r="EB174" s="324">
        <f t="shared" si="674"/>
        <v>116.99358922673909</v>
      </c>
      <c r="EC174" s="389">
        <f t="shared" si="698"/>
        <v>116.99358922673909</v>
      </c>
      <c r="ED174" s="324">
        <f t="shared" si="675"/>
        <v>119.91842895740756</v>
      </c>
      <c r="EE174" s="324">
        <f t="shared" si="676"/>
        <v>119.91842895740756</v>
      </c>
      <c r="EF174" s="324">
        <f t="shared" si="677"/>
        <v>119.91842895740756</v>
      </c>
      <c r="EG174" s="445">
        <f t="shared" si="678"/>
        <v>119.91842895740756</v>
      </c>
      <c r="EH174" s="324">
        <f t="shared" si="679"/>
        <v>119.91842895740756</v>
      </c>
      <c r="EI174" s="324">
        <f t="shared" si="680"/>
        <v>119.91842895740756</v>
      </c>
      <c r="EJ174" s="389">
        <f t="shared" si="699"/>
        <v>119.91842895740756</v>
      </c>
      <c r="EK174" s="324">
        <f t="shared" si="681"/>
        <v>122.91638968134274</v>
      </c>
      <c r="EL174" s="324">
        <f t="shared" si="682"/>
        <v>122.91638968134274</v>
      </c>
      <c r="EM174" s="324">
        <f t="shared" si="683"/>
        <v>122.91638968134274</v>
      </c>
      <c r="EN174" s="445">
        <f t="shared" si="684"/>
        <v>122.91638968134274</v>
      </c>
      <c r="EO174" s="324">
        <f t="shared" si="685"/>
        <v>122.91638968134274</v>
      </c>
      <c r="EP174" s="324">
        <f t="shared" si="686"/>
        <v>122.91638968134274</v>
      </c>
      <c r="EQ174" s="389">
        <f t="shared" si="700"/>
        <v>122.91638968134274</v>
      </c>
    </row>
    <row r="175" spans="1:147" ht="10.199999999999999" hidden="1" customHeight="1" outlineLevel="1">
      <c r="A175" s="108" t="s">
        <v>377</v>
      </c>
      <c r="B175" s="43"/>
      <c r="C175" s="191">
        <f t="shared" si="687"/>
        <v>54.510068643238426</v>
      </c>
      <c r="D175" s="191">
        <f t="shared" si="687"/>
        <v>55.327719672887</v>
      </c>
      <c r="E175" s="191">
        <f t="shared" si="687"/>
        <v>56.157635467980299</v>
      </c>
      <c r="F175" s="191">
        <v>57</v>
      </c>
      <c r="G175" s="191">
        <f t="shared" si="688"/>
        <v>57.854999999999997</v>
      </c>
      <c r="H175" s="191">
        <f t="shared" si="688"/>
        <v>58.722824999999993</v>
      </c>
      <c r="I175" s="191">
        <f t="shared" si="688"/>
        <v>59.603667374999986</v>
      </c>
      <c r="J175" s="191">
        <f t="shared" si="688"/>
        <v>60.497722385624982</v>
      </c>
      <c r="K175" s="191">
        <f>+J175*1.015</f>
        <v>61.405188221409354</v>
      </c>
      <c r="L175" s="191">
        <v>81.400000000000006</v>
      </c>
      <c r="M175" s="191">
        <v>85</v>
      </c>
      <c r="N175" s="176">
        <v>88.3</v>
      </c>
      <c r="O175" s="176"/>
      <c r="P175" s="176"/>
      <c r="Q175" s="176"/>
      <c r="R175" s="709"/>
      <c r="S175" s="176"/>
      <c r="T175" s="176"/>
      <c r="U175" s="352">
        <v>91.5</v>
      </c>
      <c r="V175" s="176"/>
      <c r="W175" s="176"/>
      <c r="X175" s="176"/>
      <c r="Y175" s="709"/>
      <c r="Z175" s="176"/>
      <c r="AA175" s="176"/>
      <c r="AB175" s="352">
        <v>93.9</v>
      </c>
      <c r="AC175" s="176"/>
      <c r="AD175" s="176"/>
      <c r="AE175" s="176"/>
      <c r="AF175" s="709"/>
      <c r="AG175" s="176"/>
      <c r="AH175" s="176"/>
      <c r="AI175" s="352">
        <v>97</v>
      </c>
      <c r="AJ175" s="176"/>
      <c r="AK175" s="176"/>
      <c r="AL175" s="176"/>
      <c r="AM175" s="709"/>
      <c r="AN175" s="176"/>
      <c r="AO175" s="176"/>
      <c r="AP175" s="352">
        <v>98</v>
      </c>
      <c r="AQ175" s="176"/>
      <c r="AR175" s="176"/>
      <c r="AS175" s="176"/>
      <c r="AT175" s="709"/>
      <c r="AU175" s="176"/>
      <c r="AV175" s="176"/>
      <c r="AW175" s="352">
        <v>99</v>
      </c>
      <c r="AX175" s="176"/>
      <c r="AY175" s="176"/>
      <c r="AZ175" s="176"/>
      <c r="BA175" s="709"/>
      <c r="BB175" s="176"/>
      <c r="BC175" s="176"/>
      <c r="BD175" s="352">
        <f t="shared" si="701"/>
        <v>99</v>
      </c>
      <c r="BE175" s="176"/>
      <c r="BF175" s="176"/>
      <c r="BG175" s="176"/>
      <c r="BH175" s="709"/>
      <c r="BI175" s="176"/>
      <c r="BJ175" s="176"/>
      <c r="BK175" s="352">
        <v>101</v>
      </c>
      <c r="BL175" s="176"/>
      <c r="BM175" s="176"/>
      <c r="BN175" s="176"/>
      <c r="BO175" s="709"/>
      <c r="BP175" s="176"/>
      <c r="BQ175" s="176"/>
      <c r="BR175" s="352">
        <f t="shared" si="689"/>
        <v>103.02</v>
      </c>
      <c r="BS175" s="176"/>
      <c r="BT175" s="176"/>
      <c r="BU175" s="176"/>
      <c r="BV175" s="709"/>
      <c r="BW175" s="176"/>
      <c r="BX175" s="176"/>
      <c r="BY175" s="352">
        <f t="shared" si="690"/>
        <v>105.0804</v>
      </c>
      <c r="BZ175" s="176"/>
      <c r="CA175" s="176"/>
      <c r="CB175" s="176"/>
      <c r="CC175" s="709"/>
      <c r="CD175" s="176"/>
      <c r="CE175" s="176"/>
      <c r="CF175" s="352">
        <f t="shared" si="691"/>
        <v>107.182008</v>
      </c>
      <c r="CG175" s="176"/>
      <c r="CH175" s="176"/>
      <c r="CI175" s="176"/>
      <c r="CJ175" s="709"/>
      <c r="CK175" s="176"/>
      <c r="CL175" s="176"/>
      <c r="CM175" s="352">
        <f t="shared" si="692"/>
        <v>109.32564816</v>
      </c>
      <c r="CN175" s="176">
        <f t="shared" si="639"/>
        <v>113.15204584559999</v>
      </c>
      <c r="CO175" s="176">
        <f t="shared" si="640"/>
        <v>113.15204584559999</v>
      </c>
      <c r="CP175" s="176">
        <f t="shared" si="641"/>
        <v>113.15204584559999</v>
      </c>
      <c r="CQ175" s="709">
        <f t="shared" si="642"/>
        <v>113.15204584559999</v>
      </c>
      <c r="CR175" s="176">
        <f t="shared" si="643"/>
        <v>113.15204584559999</v>
      </c>
      <c r="CS175" s="176">
        <f t="shared" si="644"/>
        <v>113.15204584559999</v>
      </c>
      <c r="CT175" s="352">
        <f t="shared" si="693"/>
        <v>113.15204584559999</v>
      </c>
      <c r="CU175" s="176">
        <f t="shared" si="645"/>
        <v>115.98084699173998</v>
      </c>
      <c r="CV175" s="176">
        <f t="shared" si="646"/>
        <v>115.98084699173998</v>
      </c>
      <c r="CW175" s="176">
        <f t="shared" si="647"/>
        <v>115.98084699173998</v>
      </c>
      <c r="CX175" s="709">
        <f t="shared" si="648"/>
        <v>115.98084699173998</v>
      </c>
      <c r="CY175" s="176">
        <f t="shared" si="649"/>
        <v>115.98084699173998</v>
      </c>
      <c r="CZ175" s="176">
        <f t="shared" si="650"/>
        <v>115.98084699173998</v>
      </c>
      <c r="DA175" s="352">
        <f t="shared" si="694"/>
        <v>115.98084699173998</v>
      </c>
      <c r="DB175" s="176">
        <f t="shared" si="651"/>
        <v>118.88036816653347</v>
      </c>
      <c r="DC175" s="176">
        <f t="shared" si="652"/>
        <v>118.88036816653347</v>
      </c>
      <c r="DD175" s="176">
        <f t="shared" si="653"/>
        <v>118.88036816653347</v>
      </c>
      <c r="DE175" s="709">
        <f t="shared" si="654"/>
        <v>118.88036816653347</v>
      </c>
      <c r="DF175" s="176">
        <f t="shared" si="655"/>
        <v>118.88036816653347</v>
      </c>
      <c r="DG175" s="176">
        <f t="shared" si="656"/>
        <v>118.88036816653347</v>
      </c>
      <c r="DH175" s="352">
        <f t="shared" si="695"/>
        <v>118.88036816653347</v>
      </c>
      <c r="DI175" s="176">
        <f t="shared" si="657"/>
        <v>121.8523773706968</v>
      </c>
      <c r="DJ175" s="176">
        <f t="shared" si="658"/>
        <v>121.8523773706968</v>
      </c>
      <c r="DK175" s="324">
        <f t="shared" si="659"/>
        <v>121.8523773706968</v>
      </c>
      <c r="DL175" s="445">
        <f t="shared" si="660"/>
        <v>121.8523773706968</v>
      </c>
      <c r="DM175" s="176">
        <f t="shared" si="661"/>
        <v>121.8523773706968</v>
      </c>
      <c r="DN175" s="324">
        <f t="shared" si="662"/>
        <v>121.8523773706968</v>
      </c>
      <c r="DO175" s="389">
        <f t="shared" si="696"/>
        <v>121.8523773706968</v>
      </c>
      <c r="DP175" s="324">
        <f t="shared" si="663"/>
        <v>124.89868680496421</v>
      </c>
      <c r="DQ175" s="324">
        <f t="shared" si="664"/>
        <v>124.89868680496421</v>
      </c>
      <c r="DR175" s="324">
        <f t="shared" si="665"/>
        <v>124.89868680496421</v>
      </c>
      <c r="DS175" s="445">
        <f t="shared" si="666"/>
        <v>124.89868680496421</v>
      </c>
      <c r="DT175" s="324">
        <f t="shared" si="667"/>
        <v>124.89868680496421</v>
      </c>
      <c r="DU175" s="324">
        <f t="shared" si="668"/>
        <v>124.89868680496421</v>
      </c>
      <c r="DV175" s="389">
        <f t="shared" si="697"/>
        <v>124.89868680496421</v>
      </c>
      <c r="DW175" s="324">
        <f t="shared" si="669"/>
        <v>128.02115397508831</v>
      </c>
      <c r="DX175" s="324">
        <f t="shared" si="670"/>
        <v>128.02115397508831</v>
      </c>
      <c r="DY175" s="324">
        <f t="shared" si="671"/>
        <v>128.02115397508831</v>
      </c>
      <c r="DZ175" s="445">
        <f t="shared" si="672"/>
        <v>128.02115397508831</v>
      </c>
      <c r="EA175" s="324">
        <f t="shared" si="673"/>
        <v>128.02115397508831</v>
      </c>
      <c r="EB175" s="324">
        <f t="shared" si="674"/>
        <v>128.02115397508831</v>
      </c>
      <c r="EC175" s="389">
        <f t="shared" si="698"/>
        <v>128.02115397508831</v>
      </c>
      <c r="ED175" s="324">
        <f t="shared" si="675"/>
        <v>131.22168282446552</v>
      </c>
      <c r="EE175" s="324">
        <f t="shared" si="676"/>
        <v>131.22168282446552</v>
      </c>
      <c r="EF175" s="324">
        <f t="shared" si="677"/>
        <v>131.22168282446552</v>
      </c>
      <c r="EG175" s="445">
        <f t="shared" si="678"/>
        <v>131.22168282446552</v>
      </c>
      <c r="EH175" s="324">
        <f t="shared" si="679"/>
        <v>131.22168282446552</v>
      </c>
      <c r="EI175" s="324">
        <f t="shared" si="680"/>
        <v>131.22168282446552</v>
      </c>
      <c r="EJ175" s="389">
        <f t="shared" si="699"/>
        <v>131.22168282446552</v>
      </c>
      <c r="EK175" s="324">
        <f t="shared" si="681"/>
        <v>134.50222489507715</v>
      </c>
      <c r="EL175" s="324">
        <f t="shared" si="682"/>
        <v>134.50222489507715</v>
      </c>
      <c r="EM175" s="324">
        <f t="shared" si="683"/>
        <v>134.50222489507715</v>
      </c>
      <c r="EN175" s="445">
        <f t="shared" si="684"/>
        <v>134.50222489507715</v>
      </c>
      <c r="EO175" s="324">
        <f t="shared" si="685"/>
        <v>134.50222489507715</v>
      </c>
      <c r="EP175" s="324">
        <f t="shared" si="686"/>
        <v>134.50222489507715</v>
      </c>
      <c r="EQ175" s="389">
        <f t="shared" si="700"/>
        <v>134.50222489507715</v>
      </c>
    </row>
    <row r="176" spans="1:147" ht="10.199999999999999" hidden="1" customHeight="1" outlineLevel="1">
      <c r="A176" s="108" t="s">
        <v>383</v>
      </c>
      <c r="B176" s="43"/>
      <c r="C176" s="191">
        <f t="shared" si="687"/>
        <v>66.942189561871757</v>
      </c>
      <c r="D176" s="191">
        <f t="shared" si="687"/>
        <v>67.946322405299824</v>
      </c>
      <c r="E176" s="191">
        <f t="shared" si="687"/>
        <v>68.965517241379317</v>
      </c>
      <c r="F176" s="191">
        <v>70</v>
      </c>
      <c r="G176" s="191">
        <f t="shared" si="688"/>
        <v>71.05</v>
      </c>
      <c r="H176" s="191">
        <f t="shared" si="688"/>
        <v>72.115749999999991</v>
      </c>
      <c r="I176" s="191">
        <f t="shared" si="688"/>
        <v>73.197486249999983</v>
      </c>
      <c r="J176" s="191">
        <f t="shared" si="688"/>
        <v>74.29544854374997</v>
      </c>
      <c r="K176" s="191">
        <f>+J176*1.015</f>
        <v>75.409880271906218</v>
      </c>
      <c r="L176" s="191">
        <v>95.5</v>
      </c>
      <c r="M176" s="191">
        <v>99.7</v>
      </c>
      <c r="N176" s="176">
        <v>103.6</v>
      </c>
      <c r="O176" s="176"/>
      <c r="P176" s="176"/>
      <c r="Q176" s="176"/>
      <c r="R176" s="709"/>
      <c r="S176" s="176"/>
      <c r="T176" s="176"/>
      <c r="U176" s="352">
        <v>107.3</v>
      </c>
      <c r="V176" s="176"/>
      <c r="W176" s="176"/>
      <c r="X176" s="176"/>
      <c r="Y176" s="709"/>
      <c r="Z176" s="176"/>
      <c r="AA176" s="176"/>
      <c r="AB176" s="352">
        <v>110.1</v>
      </c>
      <c r="AC176" s="176"/>
      <c r="AD176" s="176"/>
      <c r="AE176" s="176"/>
      <c r="AF176" s="709"/>
      <c r="AG176" s="176"/>
      <c r="AH176" s="176"/>
      <c r="AI176" s="352">
        <v>113.7</v>
      </c>
      <c r="AJ176" s="176"/>
      <c r="AK176" s="176"/>
      <c r="AL176" s="176"/>
      <c r="AM176" s="709"/>
      <c r="AN176" s="176"/>
      <c r="AO176" s="176"/>
      <c r="AP176" s="352">
        <v>114.9</v>
      </c>
      <c r="AQ176" s="176"/>
      <c r="AR176" s="176"/>
      <c r="AS176" s="176"/>
      <c r="AT176" s="709"/>
      <c r="AU176" s="176"/>
      <c r="AV176" s="176"/>
      <c r="AW176" s="352">
        <v>116</v>
      </c>
      <c r="AX176" s="176"/>
      <c r="AY176" s="176"/>
      <c r="AZ176" s="176"/>
      <c r="BA176" s="709"/>
      <c r="BB176" s="176"/>
      <c r="BC176" s="176"/>
      <c r="BD176" s="352">
        <f t="shared" si="701"/>
        <v>116</v>
      </c>
      <c r="BE176" s="176"/>
      <c r="BF176" s="176"/>
      <c r="BG176" s="176"/>
      <c r="BH176" s="709"/>
      <c r="BI176" s="176"/>
      <c r="BJ176" s="176"/>
      <c r="BK176" s="352">
        <v>118.3</v>
      </c>
      <c r="BL176" s="176"/>
      <c r="BM176" s="176"/>
      <c r="BN176" s="176"/>
      <c r="BO176" s="709"/>
      <c r="BP176" s="176"/>
      <c r="BQ176" s="176"/>
      <c r="BR176" s="352">
        <f t="shared" si="689"/>
        <v>120.666</v>
      </c>
      <c r="BS176" s="176"/>
      <c r="BT176" s="176"/>
      <c r="BU176" s="176"/>
      <c r="BV176" s="709"/>
      <c r="BW176" s="176"/>
      <c r="BX176" s="176"/>
      <c r="BY176" s="352">
        <f t="shared" si="690"/>
        <v>123.07932</v>
      </c>
      <c r="BZ176" s="176"/>
      <c r="CA176" s="176"/>
      <c r="CB176" s="176"/>
      <c r="CC176" s="709"/>
      <c r="CD176" s="176"/>
      <c r="CE176" s="176"/>
      <c r="CF176" s="352">
        <f t="shared" si="691"/>
        <v>125.5409064</v>
      </c>
      <c r="CG176" s="176"/>
      <c r="CH176" s="176"/>
      <c r="CI176" s="176"/>
      <c r="CJ176" s="709"/>
      <c r="CK176" s="176"/>
      <c r="CL176" s="176"/>
      <c r="CM176" s="352">
        <f t="shared" si="692"/>
        <v>128.05172452799999</v>
      </c>
      <c r="CN176" s="176">
        <f t="shared" si="639"/>
        <v>132.53353488647997</v>
      </c>
      <c r="CO176" s="176">
        <f t="shared" si="640"/>
        <v>132.53353488647997</v>
      </c>
      <c r="CP176" s="176">
        <f t="shared" si="641"/>
        <v>132.53353488647997</v>
      </c>
      <c r="CQ176" s="709">
        <f t="shared" si="642"/>
        <v>132.53353488647997</v>
      </c>
      <c r="CR176" s="176">
        <f t="shared" si="643"/>
        <v>132.53353488647997</v>
      </c>
      <c r="CS176" s="176">
        <f t="shared" si="644"/>
        <v>132.53353488647997</v>
      </c>
      <c r="CT176" s="352">
        <f t="shared" si="693"/>
        <v>132.53353488647997</v>
      </c>
      <c r="CU176" s="176">
        <f t="shared" si="645"/>
        <v>135.84687325864195</v>
      </c>
      <c r="CV176" s="176">
        <f t="shared" si="646"/>
        <v>135.84687325864195</v>
      </c>
      <c r="CW176" s="176">
        <f t="shared" si="647"/>
        <v>135.84687325864195</v>
      </c>
      <c r="CX176" s="709">
        <f t="shared" si="648"/>
        <v>135.84687325864195</v>
      </c>
      <c r="CY176" s="176">
        <f t="shared" si="649"/>
        <v>135.84687325864195</v>
      </c>
      <c r="CZ176" s="176">
        <f t="shared" si="650"/>
        <v>135.84687325864195</v>
      </c>
      <c r="DA176" s="352">
        <f t="shared" si="694"/>
        <v>135.84687325864195</v>
      </c>
      <c r="DB176" s="176">
        <f t="shared" si="651"/>
        <v>139.24304509010798</v>
      </c>
      <c r="DC176" s="176">
        <f t="shared" si="652"/>
        <v>139.24304509010798</v>
      </c>
      <c r="DD176" s="176">
        <f t="shared" si="653"/>
        <v>139.24304509010798</v>
      </c>
      <c r="DE176" s="709">
        <f t="shared" si="654"/>
        <v>139.24304509010798</v>
      </c>
      <c r="DF176" s="176">
        <f t="shared" si="655"/>
        <v>139.24304509010798</v>
      </c>
      <c r="DG176" s="176">
        <f t="shared" si="656"/>
        <v>139.24304509010798</v>
      </c>
      <c r="DH176" s="352">
        <f t="shared" si="695"/>
        <v>139.24304509010798</v>
      </c>
      <c r="DI176" s="176">
        <f t="shared" si="657"/>
        <v>142.72412121736068</v>
      </c>
      <c r="DJ176" s="176">
        <f t="shared" si="658"/>
        <v>142.72412121736068</v>
      </c>
      <c r="DK176" s="324">
        <f t="shared" si="659"/>
        <v>142.72412121736068</v>
      </c>
      <c r="DL176" s="445">
        <f t="shared" si="660"/>
        <v>142.72412121736068</v>
      </c>
      <c r="DM176" s="176">
        <f t="shared" si="661"/>
        <v>142.72412121736068</v>
      </c>
      <c r="DN176" s="324">
        <f t="shared" si="662"/>
        <v>142.72412121736068</v>
      </c>
      <c r="DO176" s="389">
        <f t="shared" si="696"/>
        <v>142.72412121736068</v>
      </c>
      <c r="DP176" s="324">
        <f t="shared" si="663"/>
        <v>146.29222424779468</v>
      </c>
      <c r="DQ176" s="324">
        <f t="shared" si="664"/>
        <v>146.29222424779468</v>
      </c>
      <c r="DR176" s="324">
        <f t="shared" si="665"/>
        <v>146.29222424779468</v>
      </c>
      <c r="DS176" s="445">
        <f t="shared" si="666"/>
        <v>146.29222424779468</v>
      </c>
      <c r="DT176" s="324">
        <f t="shared" si="667"/>
        <v>146.29222424779468</v>
      </c>
      <c r="DU176" s="324">
        <f t="shared" si="668"/>
        <v>146.29222424779468</v>
      </c>
      <c r="DV176" s="389">
        <f t="shared" si="697"/>
        <v>146.29222424779468</v>
      </c>
      <c r="DW176" s="324">
        <f t="shared" si="669"/>
        <v>149.94952985398953</v>
      </c>
      <c r="DX176" s="324">
        <f t="shared" si="670"/>
        <v>149.94952985398953</v>
      </c>
      <c r="DY176" s="324">
        <f t="shared" si="671"/>
        <v>149.94952985398953</v>
      </c>
      <c r="DZ176" s="445">
        <f t="shared" si="672"/>
        <v>149.94952985398953</v>
      </c>
      <c r="EA176" s="324">
        <f t="shared" si="673"/>
        <v>149.94952985398953</v>
      </c>
      <c r="EB176" s="324">
        <f t="shared" si="674"/>
        <v>149.94952985398953</v>
      </c>
      <c r="EC176" s="389">
        <f t="shared" si="698"/>
        <v>149.94952985398953</v>
      </c>
      <c r="ED176" s="324">
        <f t="shared" si="675"/>
        <v>153.69826810033925</v>
      </c>
      <c r="EE176" s="324">
        <f t="shared" si="676"/>
        <v>153.69826810033925</v>
      </c>
      <c r="EF176" s="324">
        <f t="shared" si="677"/>
        <v>153.69826810033925</v>
      </c>
      <c r="EG176" s="445">
        <f t="shared" si="678"/>
        <v>153.69826810033925</v>
      </c>
      <c r="EH176" s="324">
        <f t="shared" si="679"/>
        <v>153.69826810033925</v>
      </c>
      <c r="EI176" s="324">
        <f t="shared" si="680"/>
        <v>153.69826810033925</v>
      </c>
      <c r="EJ176" s="389">
        <f t="shared" si="699"/>
        <v>153.69826810033925</v>
      </c>
      <c r="EK176" s="324">
        <f t="shared" si="681"/>
        <v>157.54072480284771</v>
      </c>
      <c r="EL176" s="324">
        <f t="shared" si="682"/>
        <v>157.54072480284771</v>
      </c>
      <c r="EM176" s="324">
        <f t="shared" si="683"/>
        <v>157.54072480284771</v>
      </c>
      <c r="EN176" s="445">
        <f t="shared" si="684"/>
        <v>157.54072480284771</v>
      </c>
      <c r="EO176" s="324">
        <f t="shared" si="685"/>
        <v>157.54072480284771</v>
      </c>
      <c r="EP176" s="324">
        <f t="shared" si="686"/>
        <v>157.54072480284771</v>
      </c>
      <c r="EQ176" s="389">
        <f t="shared" si="700"/>
        <v>157.54072480284771</v>
      </c>
    </row>
    <row r="177" spans="1:147" ht="10.199999999999999" customHeight="1" collapsed="1">
      <c r="A177" s="108" t="s">
        <v>366</v>
      </c>
      <c r="B177" s="43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76"/>
      <c r="O177" s="176"/>
      <c r="P177" s="176"/>
      <c r="Q177" s="176"/>
      <c r="R177" s="709"/>
      <c r="S177" s="176"/>
      <c r="T177" s="176"/>
      <c r="U177" s="352">
        <v>92</v>
      </c>
      <c r="V177" s="176"/>
      <c r="W177" s="176"/>
      <c r="X177" s="176"/>
      <c r="Y177" s="709"/>
      <c r="Z177" s="176"/>
      <c r="AA177" s="176"/>
      <c r="AB177" s="352">
        <v>94.4</v>
      </c>
      <c r="AC177" s="176"/>
      <c r="AD177" s="176"/>
      <c r="AE177" s="176"/>
      <c r="AF177" s="709"/>
      <c r="AG177" s="176"/>
      <c r="AH177" s="176"/>
      <c r="AI177" s="352">
        <v>97.5</v>
      </c>
      <c r="AJ177" s="176"/>
      <c r="AK177" s="176"/>
      <c r="AL177" s="176"/>
      <c r="AM177" s="709"/>
      <c r="AN177" s="176"/>
      <c r="AO177" s="176"/>
      <c r="AP177" s="352">
        <v>98.5</v>
      </c>
      <c r="AQ177" s="176"/>
      <c r="AR177" s="176"/>
      <c r="AS177" s="176"/>
      <c r="AT177" s="709"/>
      <c r="AU177" s="176"/>
      <c r="AV177" s="176"/>
      <c r="AW177" s="352">
        <v>99.5</v>
      </c>
      <c r="AX177" s="176"/>
      <c r="AY177" s="176"/>
      <c r="AZ177" s="176"/>
      <c r="BA177" s="709"/>
      <c r="BB177" s="176"/>
      <c r="BC177" s="176"/>
      <c r="BD177" s="352">
        <f t="shared" si="701"/>
        <v>99.5</v>
      </c>
      <c r="BE177" s="176"/>
      <c r="BF177" s="176"/>
      <c r="BG177" s="176"/>
      <c r="BH177" s="709"/>
      <c r="BI177" s="176"/>
      <c r="BJ177" s="176"/>
      <c r="BK177" s="352">
        <v>101.5</v>
      </c>
      <c r="BL177" s="176"/>
      <c r="BM177" s="176"/>
      <c r="BN177" s="176"/>
      <c r="BO177" s="709"/>
      <c r="BP177" s="176"/>
      <c r="BQ177" s="176"/>
      <c r="BR177" s="352">
        <f t="shared" si="689"/>
        <v>103.53</v>
      </c>
      <c r="BS177" s="176"/>
      <c r="BT177" s="176"/>
      <c r="BU177" s="176"/>
      <c r="BV177" s="709"/>
      <c r="BW177" s="176"/>
      <c r="BX177" s="176"/>
      <c r="BY177" s="352">
        <f t="shared" si="690"/>
        <v>105.6006</v>
      </c>
      <c r="BZ177" s="176"/>
      <c r="CA177" s="176"/>
      <c r="CB177" s="176"/>
      <c r="CC177" s="709"/>
      <c r="CD177" s="176"/>
      <c r="CE177" s="176"/>
      <c r="CF177" s="352">
        <f t="shared" si="691"/>
        <v>107.71261200000001</v>
      </c>
      <c r="CG177" s="176"/>
      <c r="CH177" s="176"/>
      <c r="CI177" s="176"/>
      <c r="CJ177" s="709"/>
      <c r="CK177" s="176"/>
      <c r="CL177" s="176"/>
      <c r="CM177" s="352">
        <f t="shared" si="692"/>
        <v>109.86686424000001</v>
      </c>
      <c r="CN177" s="176">
        <f t="shared" si="639"/>
        <v>113.7122044884</v>
      </c>
      <c r="CO177" s="176">
        <f t="shared" si="640"/>
        <v>113.7122044884</v>
      </c>
      <c r="CP177" s="176">
        <f t="shared" si="641"/>
        <v>113.7122044884</v>
      </c>
      <c r="CQ177" s="709">
        <f t="shared" si="642"/>
        <v>113.7122044884</v>
      </c>
      <c r="CR177" s="176">
        <f t="shared" si="643"/>
        <v>113.7122044884</v>
      </c>
      <c r="CS177" s="176">
        <f t="shared" si="644"/>
        <v>113.7122044884</v>
      </c>
      <c r="CT177" s="352">
        <f t="shared" si="693"/>
        <v>113.7122044884</v>
      </c>
      <c r="CU177" s="176">
        <f t="shared" si="645"/>
        <v>116.55500960060999</v>
      </c>
      <c r="CV177" s="176">
        <f t="shared" si="646"/>
        <v>116.55500960060999</v>
      </c>
      <c r="CW177" s="176">
        <f t="shared" si="647"/>
        <v>116.55500960060999</v>
      </c>
      <c r="CX177" s="709">
        <f t="shared" si="648"/>
        <v>116.55500960060999</v>
      </c>
      <c r="CY177" s="176">
        <f t="shared" si="649"/>
        <v>116.55500960060999</v>
      </c>
      <c r="CZ177" s="176">
        <f t="shared" si="650"/>
        <v>116.55500960060999</v>
      </c>
      <c r="DA177" s="352">
        <f t="shared" si="694"/>
        <v>116.55500960060999</v>
      </c>
      <c r="DB177" s="176">
        <f t="shared" si="651"/>
        <v>119.46888484062524</v>
      </c>
      <c r="DC177" s="176">
        <f t="shared" si="652"/>
        <v>119.46888484062524</v>
      </c>
      <c r="DD177" s="176">
        <f t="shared" si="653"/>
        <v>119.46888484062524</v>
      </c>
      <c r="DE177" s="709">
        <f t="shared" si="654"/>
        <v>119.46888484062524</v>
      </c>
      <c r="DF177" s="176">
        <f t="shared" si="655"/>
        <v>119.46888484062524</v>
      </c>
      <c r="DG177" s="176">
        <f t="shared" si="656"/>
        <v>119.46888484062524</v>
      </c>
      <c r="DH177" s="352">
        <f t="shared" si="695"/>
        <v>119.46888484062524</v>
      </c>
      <c r="DI177" s="176">
        <f t="shared" si="657"/>
        <v>122.45560696164085</v>
      </c>
      <c r="DJ177" s="176">
        <f t="shared" si="658"/>
        <v>122.45560696164085</v>
      </c>
      <c r="DK177" s="324">
        <f t="shared" si="659"/>
        <v>122.45560696164085</v>
      </c>
      <c r="DL177" s="445">
        <f t="shared" si="660"/>
        <v>122.45560696164085</v>
      </c>
      <c r="DM177" s="176">
        <f t="shared" si="661"/>
        <v>122.45560696164085</v>
      </c>
      <c r="DN177" s="324">
        <f t="shared" si="662"/>
        <v>122.45560696164085</v>
      </c>
      <c r="DO177" s="389">
        <f t="shared" si="696"/>
        <v>122.45560696164085</v>
      </c>
      <c r="DP177" s="324">
        <f t="shared" si="663"/>
        <v>125.51699713568186</v>
      </c>
      <c r="DQ177" s="324">
        <f t="shared" si="664"/>
        <v>125.51699713568186</v>
      </c>
      <c r="DR177" s="324">
        <f t="shared" si="665"/>
        <v>125.51699713568186</v>
      </c>
      <c r="DS177" s="445">
        <f t="shared" si="666"/>
        <v>125.51699713568186</v>
      </c>
      <c r="DT177" s="324">
        <f t="shared" si="667"/>
        <v>125.51699713568186</v>
      </c>
      <c r="DU177" s="324">
        <f t="shared" si="668"/>
        <v>125.51699713568186</v>
      </c>
      <c r="DV177" s="389">
        <f t="shared" si="697"/>
        <v>125.51699713568186</v>
      </c>
      <c r="DW177" s="324">
        <f t="shared" si="669"/>
        <v>128.6549220640739</v>
      </c>
      <c r="DX177" s="324">
        <f t="shared" si="670"/>
        <v>128.6549220640739</v>
      </c>
      <c r="DY177" s="324">
        <f t="shared" si="671"/>
        <v>128.6549220640739</v>
      </c>
      <c r="DZ177" s="445">
        <f t="shared" si="672"/>
        <v>128.6549220640739</v>
      </c>
      <c r="EA177" s="324">
        <f t="shared" si="673"/>
        <v>128.6549220640739</v>
      </c>
      <c r="EB177" s="324">
        <f t="shared" si="674"/>
        <v>128.6549220640739</v>
      </c>
      <c r="EC177" s="389">
        <f t="shared" si="698"/>
        <v>128.6549220640739</v>
      </c>
      <c r="ED177" s="324">
        <f t="shared" si="675"/>
        <v>131.87129511567574</v>
      </c>
      <c r="EE177" s="324">
        <f t="shared" si="676"/>
        <v>131.87129511567574</v>
      </c>
      <c r="EF177" s="324">
        <f t="shared" si="677"/>
        <v>131.87129511567574</v>
      </c>
      <c r="EG177" s="445">
        <f t="shared" si="678"/>
        <v>131.87129511567574</v>
      </c>
      <c r="EH177" s="324">
        <f t="shared" si="679"/>
        <v>131.87129511567574</v>
      </c>
      <c r="EI177" s="324">
        <f t="shared" si="680"/>
        <v>131.87129511567574</v>
      </c>
      <c r="EJ177" s="389">
        <f t="shared" si="699"/>
        <v>131.87129511567574</v>
      </c>
      <c r="EK177" s="324">
        <f t="shared" si="681"/>
        <v>135.16807749356761</v>
      </c>
      <c r="EL177" s="324">
        <f t="shared" si="682"/>
        <v>135.16807749356761</v>
      </c>
      <c r="EM177" s="324">
        <f t="shared" si="683"/>
        <v>135.16807749356761</v>
      </c>
      <c r="EN177" s="445">
        <f t="shared" si="684"/>
        <v>135.16807749356761</v>
      </c>
      <c r="EO177" s="324">
        <f t="shared" si="685"/>
        <v>135.16807749356761</v>
      </c>
      <c r="EP177" s="324">
        <f t="shared" si="686"/>
        <v>135.16807749356761</v>
      </c>
      <c r="EQ177" s="389">
        <f t="shared" si="700"/>
        <v>135.16807749356761</v>
      </c>
    </row>
    <row r="178" spans="1:147" ht="10.199999999999999" customHeight="1">
      <c r="A178" s="108" t="s">
        <v>378</v>
      </c>
      <c r="B178" s="43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76"/>
      <c r="O178" s="176"/>
      <c r="P178" s="176"/>
      <c r="Q178" s="176"/>
      <c r="R178" s="709"/>
      <c r="S178" s="176"/>
      <c r="T178" s="176"/>
      <c r="U178" s="352">
        <v>100.2</v>
      </c>
      <c r="V178" s="176"/>
      <c r="W178" s="176"/>
      <c r="X178" s="176"/>
      <c r="Y178" s="709"/>
      <c r="Z178" s="176"/>
      <c r="AA178" s="176"/>
      <c r="AB178" s="352">
        <v>102.8</v>
      </c>
      <c r="AC178" s="176"/>
      <c r="AD178" s="176"/>
      <c r="AE178" s="176"/>
      <c r="AF178" s="709"/>
      <c r="AG178" s="176"/>
      <c r="AH178" s="176"/>
      <c r="AI178" s="352">
        <v>106.2</v>
      </c>
      <c r="AJ178" s="176"/>
      <c r="AK178" s="176"/>
      <c r="AL178" s="176"/>
      <c r="AM178" s="709"/>
      <c r="AN178" s="176"/>
      <c r="AO178" s="176"/>
      <c r="AP178" s="352">
        <v>107.3</v>
      </c>
      <c r="AQ178" s="176"/>
      <c r="AR178" s="176"/>
      <c r="AS178" s="176"/>
      <c r="AT178" s="709"/>
      <c r="AU178" s="176"/>
      <c r="AV178" s="176"/>
      <c r="AW178" s="352">
        <v>108.4</v>
      </c>
      <c r="AX178" s="176"/>
      <c r="AY178" s="176"/>
      <c r="AZ178" s="176"/>
      <c r="BA178" s="709"/>
      <c r="BB178" s="176"/>
      <c r="BC178" s="176"/>
      <c r="BD178" s="352">
        <f t="shared" si="701"/>
        <v>108.4</v>
      </c>
      <c r="BE178" s="176"/>
      <c r="BF178" s="176"/>
      <c r="BG178" s="176"/>
      <c r="BH178" s="709"/>
      <c r="BI178" s="176"/>
      <c r="BJ178" s="176"/>
      <c r="BK178" s="352">
        <v>110.6</v>
      </c>
      <c r="BL178" s="176"/>
      <c r="BM178" s="176"/>
      <c r="BN178" s="176"/>
      <c r="BO178" s="709"/>
      <c r="BP178" s="176"/>
      <c r="BQ178" s="176"/>
      <c r="BR178" s="352">
        <f t="shared" si="689"/>
        <v>112.812</v>
      </c>
      <c r="BS178" s="176"/>
      <c r="BT178" s="176"/>
      <c r="BU178" s="176"/>
      <c r="BV178" s="709"/>
      <c r="BW178" s="176"/>
      <c r="BX178" s="176"/>
      <c r="BY178" s="352">
        <f t="shared" si="690"/>
        <v>115.06824</v>
      </c>
      <c r="BZ178" s="176"/>
      <c r="CA178" s="176"/>
      <c r="CB178" s="176"/>
      <c r="CC178" s="709"/>
      <c r="CD178" s="176"/>
      <c r="CE178" s="176"/>
      <c r="CF178" s="352">
        <f t="shared" si="691"/>
        <v>117.3696048</v>
      </c>
      <c r="CG178" s="176"/>
      <c r="CH178" s="176"/>
      <c r="CI178" s="176"/>
      <c r="CJ178" s="709"/>
      <c r="CK178" s="176"/>
      <c r="CL178" s="176"/>
      <c r="CM178" s="352">
        <f t="shared" si="692"/>
        <v>119.71699689600001</v>
      </c>
      <c r="CN178" s="176">
        <f t="shared" si="639"/>
        <v>123.90709178736</v>
      </c>
      <c r="CO178" s="176">
        <f t="shared" si="640"/>
        <v>123.90709178736</v>
      </c>
      <c r="CP178" s="176">
        <f t="shared" si="641"/>
        <v>123.90709178736</v>
      </c>
      <c r="CQ178" s="709">
        <f t="shared" si="642"/>
        <v>123.90709178736</v>
      </c>
      <c r="CR178" s="176">
        <f t="shared" si="643"/>
        <v>123.90709178736</v>
      </c>
      <c r="CS178" s="176">
        <f t="shared" si="644"/>
        <v>123.90709178736</v>
      </c>
      <c r="CT178" s="352">
        <f t="shared" si="693"/>
        <v>123.90709178736</v>
      </c>
      <c r="CU178" s="176">
        <f t="shared" si="645"/>
        <v>127.00476908204399</v>
      </c>
      <c r="CV178" s="176">
        <f t="shared" si="646"/>
        <v>127.00476908204399</v>
      </c>
      <c r="CW178" s="176">
        <f t="shared" si="647"/>
        <v>127.00476908204399</v>
      </c>
      <c r="CX178" s="709">
        <f t="shared" si="648"/>
        <v>127.00476908204399</v>
      </c>
      <c r="CY178" s="176">
        <f t="shared" si="649"/>
        <v>127.00476908204399</v>
      </c>
      <c r="CZ178" s="176">
        <f t="shared" si="650"/>
        <v>127.00476908204399</v>
      </c>
      <c r="DA178" s="352">
        <f t="shared" si="694"/>
        <v>127.00476908204399</v>
      </c>
      <c r="DB178" s="176">
        <f t="shared" si="651"/>
        <v>130.17988830909508</v>
      </c>
      <c r="DC178" s="176">
        <f t="shared" si="652"/>
        <v>130.17988830909508</v>
      </c>
      <c r="DD178" s="176">
        <f t="shared" si="653"/>
        <v>130.17988830909508</v>
      </c>
      <c r="DE178" s="709">
        <f t="shared" si="654"/>
        <v>130.17988830909508</v>
      </c>
      <c r="DF178" s="176">
        <f t="shared" si="655"/>
        <v>130.17988830909508</v>
      </c>
      <c r="DG178" s="176">
        <f t="shared" si="656"/>
        <v>130.17988830909508</v>
      </c>
      <c r="DH178" s="352">
        <f t="shared" si="695"/>
        <v>130.17988830909508</v>
      </c>
      <c r="DI178" s="176">
        <f t="shared" si="657"/>
        <v>133.43438551682243</v>
      </c>
      <c r="DJ178" s="176">
        <f t="shared" si="658"/>
        <v>133.43438551682243</v>
      </c>
      <c r="DK178" s="324">
        <f t="shared" si="659"/>
        <v>133.43438551682243</v>
      </c>
      <c r="DL178" s="445">
        <f t="shared" si="660"/>
        <v>133.43438551682243</v>
      </c>
      <c r="DM178" s="176">
        <f t="shared" si="661"/>
        <v>133.43438551682243</v>
      </c>
      <c r="DN178" s="324">
        <f t="shared" si="662"/>
        <v>133.43438551682243</v>
      </c>
      <c r="DO178" s="389">
        <f t="shared" si="696"/>
        <v>133.43438551682243</v>
      </c>
      <c r="DP178" s="324">
        <f t="shared" si="663"/>
        <v>136.77024515474298</v>
      </c>
      <c r="DQ178" s="324">
        <f t="shared" si="664"/>
        <v>136.77024515474298</v>
      </c>
      <c r="DR178" s="324">
        <f t="shared" si="665"/>
        <v>136.77024515474298</v>
      </c>
      <c r="DS178" s="445">
        <f t="shared" si="666"/>
        <v>136.77024515474298</v>
      </c>
      <c r="DT178" s="324">
        <f t="shared" si="667"/>
        <v>136.77024515474298</v>
      </c>
      <c r="DU178" s="324">
        <f t="shared" si="668"/>
        <v>136.77024515474298</v>
      </c>
      <c r="DV178" s="389">
        <f t="shared" si="697"/>
        <v>136.77024515474298</v>
      </c>
      <c r="DW178" s="324">
        <f t="shared" si="669"/>
        <v>140.18950128361155</v>
      </c>
      <c r="DX178" s="324">
        <f t="shared" si="670"/>
        <v>140.18950128361155</v>
      </c>
      <c r="DY178" s="324">
        <f t="shared" si="671"/>
        <v>140.18950128361155</v>
      </c>
      <c r="DZ178" s="445">
        <f t="shared" si="672"/>
        <v>140.18950128361155</v>
      </c>
      <c r="EA178" s="324">
        <f t="shared" si="673"/>
        <v>140.18950128361155</v>
      </c>
      <c r="EB178" s="324">
        <f t="shared" si="674"/>
        <v>140.18950128361155</v>
      </c>
      <c r="EC178" s="389">
        <f t="shared" si="698"/>
        <v>140.18950128361155</v>
      </c>
      <c r="ED178" s="324">
        <f t="shared" si="675"/>
        <v>143.69423881570182</v>
      </c>
      <c r="EE178" s="324">
        <f t="shared" si="676"/>
        <v>143.69423881570182</v>
      </c>
      <c r="EF178" s="324">
        <f t="shared" si="677"/>
        <v>143.69423881570182</v>
      </c>
      <c r="EG178" s="445">
        <f t="shared" si="678"/>
        <v>143.69423881570182</v>
      </c>
      <c r="EH178" s="324">
        <f t="shared" si="679"/>
        <v>143.69423881570182</v>
      </c>
      <c r="EI178" s="324">
        <f t="shared" si="680"/>
        <v>143.69423881570182</v>
      </c>
      <c r="EJ178" s="389">
        <f t="shared" si="699"/>
        <v>143.69423881570182</v>
      </c>
      <c r="EK178" s="324">
        <f t="shared" si="681"/>
        <v>147.28659478609435</v>
      </c>
      <c r="EL178" s="324">
        <f t="shared" si="682"/>
        <v>147.28659478609435</v>
      </c>
      <c r="EM178" s="324">
        <f t="shared" si="683"/>
        <v>147.28659478609435</v>
      </c>
      <c r="EN178" s="445">
        <f t="shared" si="684"/>
        <v>147.28659478609435</v>
      </c>
      <c r="EO178" s="324">
        <f t="shared" si="685"/>
        <v>147.28659478609435</v>
      </c>
      <c r="EP178" s="324">
        <f t="shared" si="686"/>
        <v>147.28659478609435</v>
      </c>
      <c r="EQ178" s="389">
        <f t="shared" si="700"/>
        <v>147.28659478609435</v>
      </c>
    </row>
    <row r="179" spans="1:147" ht="10.199999999999999" customHeight="1">
      <c r="A179" s="108" t="s">
        <v>368</v>
      </c>
      <c r="B179" s="43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76"/>
      <c r="O179" s="176"/>
      <c r="P179" s="176"/>
      <c r="Q179" s="176"/>
      <c r="R179" s="709"/>
      <c r="S179" s="176"/>
      <c r="T179" s="176"/>
      <c r="U179" s="352">
        <v>117.4</v>
      </c>
      <c r="V179" s="176"/>
      <c r="W179" s="176"/>
      <c r="X179" s="176"/>
      <c r="Y179" s="709"/>
      <c r="Z179" s="176"/>
      <c r="AA179" s="176"/>
      <c r="AB179" s="352">
        <v>120.5</v>
      </c>
      <c r="AC179" s="176"/>
      <c r="AD179" s="176"/>
      <c r="AE179" s="176"/>
      <c r="AF179" s="709"/>
      <c r="AG179" s="176"/>
      <c r="AH179" s="176"/>
      <c r="AI179" s="352">
        <v>124.4</v>
      </c>
      <c r="AJ179" s="176"/>
      <c r="AK179" s="176"/>
      <c r="AL179" s="176"/>
      <c r="AM179" s="709"/>
      <c r="AN179" s="176"/>
      <c r="AO179" s="176"/>
      <c r="AP179" s="352">
        <v>125.7</v>
      </c>
      <c r="AQ179" s="176"/>
      <c r="AR179" s="176"/>
      <c r="AS179" s="176"/>
      <c r="AT179" s="709"/>
      <c r="AU179" s="176"/>
      <c r="AV179" s="176"/>
      <c r="AW179" s="352">
        <v>127</v>
      </c>
      <c r="AX179" s="176"/>
      <c r="AY179" s="176"/>
      <c r="AZ179" s="176"/>
      <c r="BA179" s="709"/>
      <c r="BB179" s="176"/>
      <c r="BC179" s="176"/>
      <c r="BD179" s="352">
        <f t="shared" si="701"/>
        <v>127</v>
      </c>
      <c r="BE179" s="176"/>
      <c r="BF179" s="176"/>
      <c r="BG179" s="176"/>
      <c r="BH179" s="709"/>
      <c r="BI179" s="176"/>
      <c r="BJ179" s="176"/>
      <c r="BK179" s="352">
        <v>129.5</v>
      </c>
      <c r="BL179" s="176"/>
      <c r="BM179" s="176"/>
      <c r="BN179" s="176"/>
      <c r="BO179" s="709"/>
      <c r="BP179" s="176"/>
      <c r="BQ179" s="176"/>
      <c r="BR179" s="352">
        <f t="shared" si="689"/>
        <v>132.09</v>
      </c>
      <c r="BS179" s="176"/>
      <c r="BT179" s="176"/>
      <c r="BU179" s="176"/>
      <c r="BV179" s="709"/>
      <c r="BW179" s="176"/>
      <c r="BX179" s="176"/>
      <c r="BY179" s="352">
        <f t="shared" si="690"/>
        <v>134.73179999999999</v>
      </c>
      <c r="BZ179" s="176"/>
      <c r="CA179" s="176"/>
      <c r="CB179" s="176"/>
      <c r="CC179" s="709"/>
      <c r="CD179" s="176"/>
      <c r="CE179" s="176"/>
      <c r="CF179" s="352">
        <f t="shared" si="691"/>
        <v>137.426436</v>
      </c>
      <c r="CG179" s="176"/>
      <c r="CH179" s="176"/>
      <c r="CI179" s="176"/>
      <c r="CJ179" s="709"/>
      <c r="CK179" s="176"/>
      <c r="CL179" s="176"/>
      <c r="CM179" s="352">
        <f t="shared" si="692"/>
        <v>140.17496471999999</v>
      </c>
      <c r="CN179" s="176">
        <f t="shared" si="639"/>
        <v>145.08108848519998</v>
      </c>
      <c r="CO179" s="176">
        <f t="shared" si="640"/>
        <v>145.08108848519998</v>
      </c>
      <c r="CP179" s="176">
        <f t="shared" si="641"/>
        <v>145.08108848519998</v>
      </c>
      <c r="CQ179" s="709">
        <f t="shared" si="642"/>
        <v>145.08108848519998</v>
      </c>
      <c r="CR179" s="176">
        <f t="shared" si="643"/>
        <v>145.08108848519998</v>
      </c>
      <c r="CS179" s="176">
        <f t="shared" si="644"/>
        <v>145.08108848519998</v>
      </c>
      <c r="CT179" s="352">
        <f t="shared" si="693"/>
        <v>145.08108848519998</v>
      </c>
      <c r="CU179" s="176">
        <f t="shared" si="645"/>
        <v>148.70811569732996</v>
      </c>
      <c r="CV179" s="176">
        <f t="shared" si="646"/>
        <v>148.70811569732996</v>
      </c>
      <c r="CW179" s="176">
        <f t="shared" si="647"/>
        <v>148.70811569732996</v>
      </c>
      <c r="CX179" s="709">
        <f t="shared" si="648"/>
        <v>148.70811569732996</v>
      </c>
      <c r="CY179" s="176">
        <f t="shared" si="649"/>
        <v>148.70811569732996</v>
      </c>
      <c r="CZ179" s="176">
        <f t="shared" si="650"/>
        <v>148.70811569732996</v>
      </c>
      <c r="DA179" s="352">
        <f t="shared" si="694"/>
        <v>148.70811569732996</v>
      </c>
      <c r="DB179" s="176">
        <f t="shared" si="651"/>
        <v>152.4258185897632</v>
      </c>
      <c r="DC179" s="176">
        <f t="shared" si="652"/>
        <v>152.4258185897632</v>
      </c>
      <c r="DD179" s="176">
        <f t="shared" si="653"/>
        <v>152.4258185897632</v>
      </c>
      <c r="DE179" s="709">
        <f t="shared" si="654"/>
        <v>152.4258185897632</v>
      </c>
      <c r="DF179" s="176">
        <f t="shared" si="655"/>
        <v>152.4258185897632</v>
      </c>
      <c r="DG179" s="176">
        <f t="shared" si="656"/>
        <v>152.4258185897632</v>
      </c>
      <c r="DH179" s="352">
        <f t="shared" si="695"/>
        <v>152.4258185897632</v>
      </c>
      <c r="DI179" s="176">
        <f t="shared" si="657"/>
        <v>156.23646405450725</v>
      </c>
      <c r="DJ179" s="176">
        <f t="shared" si="658"/>
        <v>156.23646405450725</v>
      </c>
      <c r="DK179" s="324">
        <f t="shared" si="659"/>
        <v>156.23646405450725</v>
      </c>
      <c r="DL179" s="445">
        <f t="shared" si="660"/>
        <v>156.23646405450725</v>
      </c>
      <c r="DM179" s="176">
        <f t="shared" si="661"/>
        <v>156.23646405450725</v>
      </c>
      <c r="DN179" s="324">
        <f t="shared" si="662"/>
        <v>156.23646405450725</v>
      </c>
      <c r="DO179" s="389">
        <f t="shared" si="696"/>
        <v>156.23646405450725</v>
      </c>
      <c r="DP179" s="324">
        <f t="shared" si="663"/>
        <v>160.14237565586993</v>
      </c>
      <c r="DQ179" s="324">
        <f t="shared" si="664"/>
        <v>160.14237565586993</v>
      </c>
      <c r="DR179" s="324">
        <f t="shared" si="665"/>
        <v>160.14237565586993</v>
      </c>
      <c r="DS179" s="445">
        <f t="shared" si="666"/>
        <v>160.14237565586993</v>
      </c>
      <c r="DT179" s="324">
        <f t="shared" si="667"/>
        <v>160.14237565586993</v>
      </c>
      <c r="DU179" s="324">
        <f t="shared" si="668"/>
        <v>160.14237565586993</v>
      </c>
      <c r="DV179" s="389">
        <f t="shared" si="697"/>
        <v>160.14237565586993</v>
      </c>
      <c r="DW179" s="324">
        <f t="shared" si="669"/>
        <v>164.14593504726665</v>
      </c>
      <c r="DX179" s="324">
        <f t="shared" si="670"/>
        <v>164.14593504726665</v>
      </c>
      <c r="DY179" s="324">
        <f t="shared" si="671"/>
        <v>164.14593504726665</v>
      </c>
      <c r="DZ179" s="445">
        <f t="shared" si="672"/>
        <v>164.14593504726665</v>
      </c>
      <c r="EA179" s="324">
        <f t="shared" si="673"/>
        <v>164.14593504726665</v>
      </c>
      <c r="EB179" s="324">
        <f t="shared" si="674"/>
        <v>164.14593504726665</v>
      </c>
      <c r="EC179" s="389">
        <f t="shared" si="698"/>
        <v>164.14593504726665</v>
      </c>
      <c r="ED179" s="324">
        <f t="shared" si="675"/>
        <v>168.24958342344829</v>
      </c>
      <c r="EE179" s="324">
        <f t="shared" si="676"/>
        <v>168.24958342344829</v>
      </c>
      <c r="EF179" s="324">
        <f t="shared" si="677"/>
        <v>168.24958342344829</v>
      </c>
      <c r="EG179" s="445">
        <f t="shared" si="678"/>
        <v>168.24958342344829</v>
      </c>
      <c r="EH179" s="324">
        <f t="shared" si="679"/>
        <v>168.24958342344829</v>
      </c>
      <c r="EI179" s="324">
        <f t="shared" si="680"/>
        <v>168.24958342344829</v>
      </c>
      <c r="EJ179" s="389">
        <f t="shared" si="699"/>
        <v>168.24958342344829</v>
      </c>
      <c r="EK179" s="324">
        <f t="shared" si="681"/>
        <v>172.45582300903448</v>
      </c>
      <c r="EL179" s="324">
        <f t="shared" si="682"/>
        <v>172.45582300903448</v>
      </c>
      <c r="EM179" s="324">
        <f t="shared" si="683"/>
        <v>172.45582300903448</v>
      </c>
      <c r="EN179" s="445">
        <f t="shared" si="684"/>
        <v>172.45582300903448</v>
      </c>
      <c r="EO179" s="324">
        <f t="shared" si="685"/>
        <v>172.45582300903448</v>
      </c>
      <c r="EP179" s="324">
        <f t="shared" si="686"/>
        <v>172.45582300903448</v>
      </c>
      <c r="EQ179" s="389">
        <f t="shared" si="700"/>
        <v>172.45582300903448</v>
      </c>
    </row>
    <row r="180" spans="1:147" ht="10.199999999999999" customHeight="1">
      <c r="A180" s="108" t="s">
        <v>198</v>
      </c>
      <c r="B180" s="43"/>
      <c r="C180" s="191">
        <f t="shared" si="687"/>
        <v>129.1027941550384</v>
      </c>
      <c r="D180" s="191">
        <f t="shared" si="687"/>
        <v>131.03933606736396</v>
      </c>
      <c r="E180" s="191">
        <f t="shared" si="687"/>
        <v>133.00492610837441</v>
      </c>
      <c r="F180" s="191">
        <v>135</v>
      </c>
      <c r="G180" s="191">
        <f t="shared" si="688"/>
        <v>137.02499999999998</v>
      </c>
      <c r="H180" s="191">
        <f t="shared" si="688"/>
        <v>139.08037499999998</v>
      </c>
      <c r="I180" s="191">
        <f t="shared" si="688"/>
        <v>141.16658062499997</v>
      </c>
      <c r="J180" s="191">
        <f t="shared" si="688"/>
        <v>143.28407933437495</v>
      </c>
      <c r="K180" s="191">
        <f t="shared" ref="K180:K187" si="702">+J180*1.015</f>
        <v>145.43334052439056</v>
      </c>
      <c r="L180" s="191">
        <v>191.4</v>
      </c>
      <c r="M180" s="191">
        <v>200.8</v>
      </c>
      <c r="N180" s="176">
        <f>AVERAGE(208.6, 211.5)</f>
        <v>210.05</v>
      </c>
      <c r="O180" s="176"/>
      <c r="P180" s="176"/>
      <c r="Q180" s="176"/>
      <c r="R180" s="709"/>
      <c r="S180" s="176"/>
      <c r="T180" s="176"/>
      <c r="U180" s="352">
        <f>AVERAGE(216.1, 219.1)</f>
        <v>217.6</v>
      </c>
      <c r="V180" s="176"/>
      <c r="W180" s="176"/>
      <c r="X180" s="176"/>
      <c r="Y180" s="709"/>
      <c r="Z180" s="176"/>
      <c r="AA180" s="176"/>
      <c r="AB180" s="352">
        <f>AVERAGE(221.7,224.8)</f>
        <v>223.25</v>
      </c>
      <c r="AC180" s="176"/>
      <c r="AD180" s="176"/>
      <c r="AE180" s="176"/>
      <c r="AF180" s="709"/>
      <c r="AG180" s="176"/>
      <c r="AH180" s="176"/>
      <c r="AI180" s="352">
        <v>229</v>
      </c>
      <c r="AJ180" s="176"/>
      <c r="AK180" s="176"/>
      <c r="AL180" s="176"/>
      <c r="AM180" s="709"/>
      <c r="AN180" s="176"/>
      <c r="AO180" s="176"/>
      <c r="AP180" s="352">
        <v>231.5</v>
      </c>
      <c r="AQ180" s="176"/>
      <c r="AR180" s="176"/>
      <c r="AS180" s="176"/>
      <c r="AT180" s="709"/>
      <c r="AU180" s="176"/>
      <c r="AV180" s="176"/>
      <c r="AW180" s="352">
        <v>233.8</v>
      </c>
      <c r="AX180" s="176"/>
      <c r="AY180" s="176"/>
      <c r="AZ180" s="176"/>
      <c r="BA180" s="709"/>
      <c r="BB180" s="176"/>
      <c r="BC180" s="176"/>
      <c r="BD180" s="352">
        <f t="shared" si="701"/>
        <v>233.8</v>
      </c>
      <c r="BE180" s="176"/>
      <c r="BF180" s="176"/>
      <c r="BG180" s="176"/>
      <c r="BH180" s="709"/>
      <c r="BI180" s="176"/>
      <c r="BJ180" s="176"/>
      <c r="BK180" s="352">
        <v>238.5</v>
      </c>
      <c r="BL180" s="176"/>
      <c r="BM180" s="176"/>
      <c r="BN180" s="176"/>
      <c r="BO180" s="709"/>
      <c r="BP180" s="176"/>
      <c r="BQ180" s="176"/>
      <c r="BR180" s="352">
        <f t="shared" ref="BR180:BR183" si="703">BK180*(1+BR$193)</f>
        <v>243.27</v>
      </c>
      <c r="BS180" s="176"/>
      <c r="BT180" s="176"/>
      <c r="BU180" s="176"/>
      <c r="BV180" s="709"/>
      <c r="BW180" s="176"/>
      <c r="BX180" s="176"/>
      <c r="BY180" s="352">
        <f t="shared" si="690"/>
        <v>248.1354</v>
      </c>
      <c r="BZ180" s="176"/>
      <c r="CA180" s="176"/>
      <c r="CB180" s="176"/>
      <c r="CC180" s="709"/>
      <c r="CD180" s="176"/>
      <c r="CE180" s="176"/>
      <c r="CF180" s="352">
        <f t="shared" ref="CF180:CF183" si="704">BY180*(1+CF$193)</f>
        <v>253.098108</v>
      </c>
      <c r="CG180" s="176"/>
      <c r="CH180" s="176"/>
      <c r="CI180" s="176"/>
      <c r="CJ180" s="709"/>
      <c r="CK180" s="176"/>
      <c r="CL180" s="176"/>
      <c r="CM180" s="352">
        <f t="shared" si="692"/>
        <v>258.16007015999998</v>
      </c>
      <c r="CN180" s="176">
        <f t="shared" si="639"/>
        <v>267.19567261559996</v>
      </c>
      <c r="CO180" s="176">
        <f t="shared" si="640"/>
        <v>267.19567261559996</v>
      </c>
      <c r="CP180" s="176">
        <f t="shared" si="641"/>
        <v>267.19567261559996</v>
      </c>
      <c r="CQ180" s="709">
        <f t="shared" si="642"/>
        <v>267.19567261559996</v>
      </c>
      <c r="CR180" s="176">
        <f t="shared" si="643"/>
        <v>267.19567261559996</v>
      </c>
      <c r="CS180" s="176">
        <f t="shared" si="644"/>
        <v>267.19567261559996</v>
      </c>
      <c r="CT180" s="352">
        <f t="shared" si="693"/>
        <v>267.19567261559996</v>
      </c>
      <c r="CU180" s="176">
        <f t="shared" si="645"/>
        <v>273.87556443098993</v>
      </c>
      <c r="CV180" s="176">
        <f t="shared" si="646"/>
        <v>273.87556443098993</v>
      </c>
      <c r="CW180" s="176">
        <f t="shared" si="647"/>
        <v>273.87556443098993</v>
      </c>
      <c r="CX180" s="709">
        <f t="shared" si="648"/>
        <v>273.87556443098993</v>
      </c>
      <c r="CY180" s="176">
        <f t="shared" si="649"/>
        <v>273.87556443098993</v>
      </c>
      <c r="CZ180" s="176">
        <f t="shared" si="650"/>
        <v>273.87556443098993</v>
      </c>
      <c r="DA180" s="352">
        <f t="shared" si="694"/>
        <v>273.87556443098993</v>
      </c>
      <c r="DB180" s="176">
        <f t="shared" si="651"/>
        <v>280.72245354176465</v>
      </c>
      <c r="DC180" s="176">
        <f t="shared" si="652"/>
        <v>280.72245354176465</v>
      </c>
      <c r="DD180" s="176">
        <f t="shared" si="653"/>
        <v>280.72245354176465</v>
      </c>
      <c r="DE180" s="709">
        <f t="shared" si="654"/>
        <v>280.72245354176465</v>
      </c>
      <c r="DF180" s="176">
        <f t="shared" si="655"/>
        <v>280.72245354176465</v>
      </c>
      <c r="DG180" s="176">
        <f t="shared" si="656"/>
        <v>280.72245354176465</v>
      </c>
      <c r="DH180" s="352">
        <f t="shared" si="695"/>
        <v>280.72245354176465</v>
      </c>
      <c r="DI180" s="176">
        <f t="shared" si="657"/>
        <v>287.74051488030875</v>
      </c>
      <c r="DJ180" s="176">
        <f t="shared" si="658"/>
        <v>287.74051488030875</v>
      </c>
      <c r="DK180" s="324">
        <f t="shared" si="659"/>
        <v>287.74051488030875</v>
      </c>
      <c r="DL180" s="445">
        <f t="shared" si="660"/>
        <v>287.74051488030875</v>
      </c>
      <c r="DM180" s="176">
        <f t="shared" si="661"/>
        <v>287.74051488030875</v>
      </c>
      <c r="DN180" s="324">
        <f t="shared" si="662"/>
        <v>287.74051488030875</v>
      </c>
      <c r="DO180" s="389">
        <f t="shared" si="696"/>
        <v>287.74051488030875</v>
      </c>
      <c r="DP180" s="324">
        <f t="shared" si="663"/>
        <v>294.93402775231647</v>
      </c>
      <c r="DQ180" s="324">
        <f t="shared" si="664"/>
        <v>294.93402775231647</v>
      </c>
      <c r="DR180" s="324">
        <f t="shared" si="665"/>
        <v>294.93402775231647</v>
      </c>
      <c r="DS180" s="445">
        <f t="shared" si="666"/>
        <v>294.93402775231647</v>
      </c>
      <c r="DT180" s="324">
        <f t="shared" si="667"/>
        <v>294.93402775231647</v>
      </c>
      <c r="DU180" s="324">
        <f t="shared" si="668"/>
        <v>294.93402775231647</v>
      </c>
      <c r="DV180" s="389">
        <f t="shared" si="697"/>
        <v>294.93402775231647</v>
      </c>
      <c r="DW180" s="324">
        <f t="shared" si="669"/>
        <v>302.30737844612435</v>
      </c>
      <c r="DX180" s="324">
        <f t="shared" si="670"/>
        <v>302.30737844612435</v>
      </c>
      <c r="DY180" s="324">
        <f t="shared" si="671"/>
        <v>302.30737844612435</v>
      </c>
      <c r="DZ180" s="445">
        <f t="shared" si="672"/>
        <v>302.30737844612435</v>
      </c>
      <c r="EA180" s="324">
        <f t="shared" si="673"/>
        <v>302.30737844612435</v>
      </c>
      <c r="EB180" s="324">
        <f t="shared" si="674"/>
        <v>302.30737844612435</v>
      </c>
      <c r="EC180" s="389">
        <f t="shared" si="698"/>
        <v>302.30737844612435</v>
      </c>
      <c r="ED180" s="324">
        <f t="shared" si="675"/>
        <v>309.86506290727743</v>
      </c>
      <c r="EE180" s="324">
        <f t="shared" si="676"/>
        <v>309.86506290727743</v>
      </c>
      <c r="EF180" s="324">
        <f t="shared" si="677"/>
        <v>309.86506290727743</v>
      </c>
      <c r="EG180" s="445">
        <f t="shared" si="678"/>
        <v>309.86506290727743</v>
      </c>
      <c r="EH180" s="324">
        <f t="shared" si="679"/>
        <v>309.86506290727743</v>
      </c>
      <c r="EI180" s="324">
        <f t="shared" si="680"/>
        <v>309.86506290727743</v>
      </c>
      <c r="EJ180" s="389">
        <f t="shared" si="699"/>
        <v>309.86506290727743</v>
      </c>
      <c r="EK180" s="324">
        <f t="shared" si="681"/>
        <v>317.61168947995935</v>
      </c>
      <c r="EL180" s="324">
        <f t="shared" si="682"/>
        <v>317.61168947995935</v>
      </c>
      <c r="EM180" s="324">
        <f t="shared" si="683"/>
        <v>317.61168947995935</v>
      </c>
      <c r="EN180" s="445">
        <f t="shared" si="684"/>
        <v>317.61168947995935</v>
      </c>
      <c r="EO180" s="324">
        <f t="shared" si="685"/>
        <v>317.61168947995935</v>
      </c>
      <c r="EP180" s="324">
        <f t="shared" si="686"/>
        <v>317.61168947995935</v>
      </c>
      <c r="EQ180" s="389">
        <f t="shared" si="700"/>
        <v>317.61168947995935</v>
      </c>
    </row>
    <row r="181" spans="1:147" ht="10.199999999999999" customHeight="1">
      <c r="A181" s="108" t="s">
        <v>199</v>
      </c>
      <c r="B181" s="43"/>
      <c r="C181" s="191">
        <f t="shared" si="687"/>
        <v>143.44754906115378</v>
      </c>
      <c r="D181" s="191">
        <f t="shared" si="687"/>
        <v>145.59926229707108</v>
      </c>
      <c r="E181" s="191">
        <f t="shared" si="687"/>
        <v>147.78325123152712</v>
      </c>
      <c r="F181" s="191">
        <v>150</v>
      </c>
      <c r="G181" s="191">
        <f t="shared" si="688"/>
        <v>152.24999999999997</v>
      </c>
      <c r="H181" s="191">
        <f t="shared" si="688"/>
        <v>154.53374999999997</v>
      </c>
      <c r="I181" s="191">
        <f t="shared" si="688"/>
        <v>156.85175624999997</v>
      </c>
      <c r="J181" s="191">
        <f t="shared" si="688"/>
        <v>159.20453259374995</v>
      </c>
      <c r="K181" s="191">
        <f t="shared" si="702"/>
        <v>161.59260058265619</v>
      </c>
      <c r="L181" s="191">
        <v>212.4</v>
      </c>
      <c r="M181" s="191">
        <v>222.5</v>
      </c>
      <c r="N181" s="176">
        <v>231.1</v>
      </c>
      <c r="O181" s="176"/>
      <c r="P181" s="176"/>
      <c r="Q181" s="176"/>
      <c r="R181" s="709"/>
      <c r="S181" s="176"/>
      <c r="T181" s="176"/>
      <c r="U181" s="352">
        <v>239.4</v>
      </c>
      <c r="V181" s="176"/>
      <c r="W181" s="176"/>
      <c r="X181" s="176"/>
      <c r="Y181" s="709"/>
      <c r="Z181" s="176"/>
      <c r="AA181" s="176"/>
      <c r="AB181" s="352">
        <v>245.6</v>
      </c>
      <c r="AC181" s="176"/>
      <c r="AD181" s="176"/>
      <c r="AE181" s="176"/>
      <c r="AF181" s="709"/>
      <c r="AG181" s="176"/>
      <c r="AH181" s="176"/>
      <c r="AI181" s="352">
        <v>253.7</v>
      </c>
      <c r="AJ181" s="176"/>
      <c r="AK181" s="176"/>
      <c r="AL181" s="176"/>
      <c r="AM181" s="709"/>
      <c r="AN181" s="176"/>
      <c r="AO181" s="176"/>
      <c r="AP181" s="352">
        <v>256.39999999999998</v>
      </c>
      <c r="AQ181" s="176"/>
      <c r="AR181" s="176"/>
      <c r="AS181" s="176"/>
      <c r="AT181" s="709"/>
      <c r="AU181" s="176"/>
      <c r="AV181" s="176"/>
      <c r="AW181" s="352">
        <v>259</v>
      </c>
      <c r="AX181" s="176"/>
      <c r="AY181" s="176"/>
      <c r="AZ181" s="176"/>
      <c r="BA181" s="709"/>
      <c r="BB181" s="176"/>
      <c r="BC181" s="176"/>
      <c r="BD181" s="352">
        <f t="shared" si="701"/>
        <v>259</v>
      </c>
      <c r="BE181" s="176"/>
      <c r="BF181" s="176"/>
      <c r="BG181" s="176"/>
      <c r="BH181" s="709"/>
      <c r="BI181" s="176"/>
      <c r="BJ181" s="176"/>
      <c r="BK181" s="352">
        <v>264.2</v>
      </c>
      <c r="BL181" s="176"/>
      <c r="BM181" s="176"/>
      <c r="BN181" s="176"/>
      <c r="BO181" s="709"/>
      <c r="BP181" s="176"/>
      <c r="BQ181" s="176"/>
      <c r="BR181" s="352">
        <f t="shared" si="703"/>
        <v>269.48399999999998</v>
      </c>
      <c r="BS181" s="176"/>
      <c r="BT181" s="176"/>
      <c r="BU181" s="176"/>
      <c r="BV181" s="709"/>
      <c r="BW181" s="176"/>
      <c r="BX181" s="176"/>
      <c r="BY181" s="352">
        <f t="shared" si="690"/>
        <v>274.87367999999998</v>
      </c>
      <c r="BZ181" s="176"/>
      <c r="CA181" s="176"/>
      <c r="CB181" s="176"/>
      <c r="CC181" s="709"/>
      <c r="CD181" s="176"/>
      <c r="CE181" s="176"/>
      <c r="CF181" s="352">
        <f t="shared" si="704"/>
        <v>280.37115359999996</v>
      </c>
      <c r="CG181" s="176"/>
      <c r="CH181" s="176"/>
      <c r="CI181" s="176"/>
      <c r="CJ181" s="709"/>
      <c r="CK181" s="176"/>
      <c r="CL181" s="176"/>
      <c r="CM181" s="352">
        <f t="shared" si="692"/>
        <v>285.97857667199997</v>
      </c>
      <c r="CN181" s="176">
        <f t="shared" si="639"/>
        <v>295.98782685551993</v>
      </c>
      <c r="CO181" s="176">
        <f t="shared" si="640"/>
        <v>295.98782685551993</v>
      </c>
      <c r="CP181" s="176">
        <f t="shared" si="641"/>
        <v>295.98782685551993</v>
      </c>
      <c r="CQ181" s="709">
        <f t="shared" si="642"/>
        <v>295.98782685551993</v>
      </c>
      <c r="CR181" s="176">
        <f t="shared" si="643"/>
        <v>295.98782685551993</v>
      </c>
      <c r="CS181" s="176">
        <f t="shared" si="644"/>
        <v>295.98782685551993</v>
      </c>
      <c r="CT181" s="352">
        <f t="shared" si="693"/>
        <v>295.98782685551993</v>
      </c>
      <c r="CU181" s="176">
        <f t="shared" si="645"/>
        <v>303.3875225269079</v>
      </c>
      <c r="CV181" s="176">
        <f t="shared" si="646"/>
        <v>303.3875225269079</v>
      </c>
      <c r="CW181" s="176">
        <f t="shared" si="647"/>
        <v>303.3875225269079</v>
      </c>
      <c r="CX181" s="709">
        <f t="shared" si="648"/>
        <v>303.3875225269079</v>
      </c>
      <c r="CY181" s="176">
        <f t="shared" si="649"/>
        <v>303.3875225269079</v>
      </c>
      <c r="CZ181" s="176">
        <f t="shared" si="650"/>
        <v>303.3875225269079</v>
      </c>
      <c r="DA181" s="352">
        <f t="shared" si="694"/>
        <v>303.3875225269079</v>
      </c>
      <c r="DB181" s="176">
        <f t="shared" si="651"/>
        <v>310.97221059008058</v>
      </c>
      <c r="DC181" s="176">
        <f t="shared" si="652"/>
        <v>310.97221059008058</v>
      </c>
      <c r="DD181" s="176">
        <f t="shared" si="653"/>
        <v>310.97221059008058</v>
      </c>
      <c r="DE181" s="709">
        <f t="shared" si="654"/>
        <v>310.97221059008058</v>
      </c>
      <c r="DF181" s="176">
        <f t="shared" si="655"/>
        <v>310.97221059008058</v>
      </c>
      <c r="DG181" s="176">
        <f t="shared" si="656"/>
        <v>310.97221059008058</v>
      </c>
      <c r="DH181" s="352">
        <f t="shared" si="695"/>
        <v>310.97221059008058</v>
      </c>
      <c r="DI181" s="176">
        <f t="shared" si="657"/>
        <v>318.74651585483258</v>
      </c>
      <c r="DJ181" s="176">
        <f t="shared" si="658"/>
        <v>318.74651585483258</v>
      </c>
      <c r="DK181" s="324">
        <f t="shared" si="659"/>
        <v>318.74651585483258</v>
      </c>
      <c r="DL181" s="445">
        <f t="shared" si="660"/>
        <v>318.74651585483258</v>
      </c>
      <c r="DM181" s="176">
        <f t="shared" si="661"/>
        <v>318.74651585483258</v>
      </c>
      <c r="DN181" s="324">
        <f t="shared" si="662"/>
        <v>318.74651585483258</v>
      </c>
      <c r="DO181" s="389">
        <f t="shared" si="696"/>
        <v>318.74651585483258</v>
      </c>
      <c r="DP181" s="324">
        <f t="shared" si="663"/>
        <v>326.71517875120338</v>
      </c>
      <c r="DQ181" s="324">
        <f t="shared" si="664"/>
        <v>326.71517875120338</v>
      </c>
      <c r="DR181" s="324">
        <f t="shared" si="665"/>
        <v>326.71517875120338</v>
      </c>
      <c r="DS181" s="445">
        <f t="shared" si="666"/>
        <v>326.71517875120338</v>
      </c>
      <c r="DT181" s="324">
        <f t="shared" si="667"/>
        <v>326.71517875120338</v>
      </c>
      <c r="DU181" s="324">
        <f t="shared" si="668"/>
        <v>326.71517875120338</v>
      </c>
      <c r="DV181" s="389">
        <f t="shared" si="697"/>
        <v>326.71517875120338</v>
      </c>
      <c r="DW181" s="324">
        <f t="shared" si="669"/>
        <v>334.88305821998341</v>
      </c>
      <c r="DX181" s="324">
        <f t="shared" si="670"/>
        <v>334.88305821998341</v>
      </c>
      <c r="DY181" s="324">
        <f t="shared" si="671"/>
        <v>334.88305821998341</v>
      </c>
      <c r="DZ181" s="445">
        <f t="shared" si="672"/>
        <v>334.88305821998341</v>
      </c>
      <c r="EA181" s="324">
        <f t="shared" si="673"/>
        <v>334.88305821998341</v>
      </c>
      <c r="EB181" s="324">
        <f t="shared" si="674"/>
        <v>334.88305821998341</v>
      </c>
      <c r="EC181" s="389">
        <f t="shared" si="698"/>
        <v>334.88305821998341</v>
      </c>
      <c r="ED181" s="324">
        <f t="shared" si="675"/>
        <v>343.25513467548296</v>
      </c>
      <c r="EE181" s="324">
        <f t="shared" si="676"/>
        <v>343.25513467548296</v>
      </c>
      <c r="EF181" s="324">
        <f t="shared" si="677"/>
        <v>343.25513467548296</v>
      </c>
      <c r="EG181" s="445">
        <f t="shared" si="678"/>
        <v>343.25513467548296</v>
      </c>
      <c r="EH181" s="324">
        <f t="shared" si="679"/>
        <v>343.25513467548296</v>
      </c>
      <c r="EI181" s="324">
        <f t="shared" si="680"/>
        <v>343.25513467548296</v>
      </c>
      <c r="EJ181" s="389">
        <f t="shared" si="699"/>
        <v>343.25513467548296</v>
      </c>
      <c r="EK181" s="324">
        <f t="shared" si="681"/>
        <v>351.83651304237003</v>
      </c>
      <c r="EL181" s="324">
        <f t="shared" si="682"/>
        <v>351.83651304237003</v>
      </c>
      <c r="EM181" s="324">
        <f t="shared" si="683"/>
        <v>351.83651304237003</v>
      </c>
      <c r="EN181" s="445">
        <f t="shared" si="684"/>
        <v>351.83651304237003</v>
      </c>
      <c r="EO181" s="324">
        <f t="shared" si="685"/>
        <v>351.83651304237003</v>
      </c>
      <c r="EP181" s="324">
        <f t="shared" si="686"/>
        <v>351.83651304237003</v>
      </c>
      <c r="EQ181" s="389">
        <f t="shared" si="700"/>
        <v>351.83651304237003</v>
      </c>
    </row>
    <row r="182" spans="1:147" ht="10.199999999999999" customHeight="1">
      <c r="A182" s="108" t="s">
        <v>384</v>
      </c>
      <c r="B182" s="43"/>
      <c r="C182" s="192"/>
      <c r="D182" s="192"/>
      <c r="E182" s="191"/>
      <c r="F182" s="191"/>
      <c r="G182" s="191"/>
      <c r="H182" s="191"/>
      <c r="I182" s="191"/>
      <c r="J182" s="191"/>
      <c r="K182" s="191"/>
      <c r="L182" s="191"/>
      <c r="M182" s="191"/>
      <c r="N182" s="176"/>
      <c r="O182" s="176"/>
      <c r="P182" s="176"/>
      <c r="Q182" s="176"/>
      <c r="R182" s="709"/>
      <c r="S182" s="176"/>
      <c r="T182" s="176"/>
      <c r="U182" s="352"/>
      <c r="V182" s="176"/>
      <c r="W182" s="176"/>
      <c r="X182" s="176"/>
      <c r="Y182" s="709"/>
      <c r="Z182" s="176"/>
      <c r="AA182" s="176"/>
      <c r="AB182" s="352"/>
      <c r="AC182" s="176"/>
      <c r="AD182" s="176"/>
      <c r="AE182" s="176"/>
      <c r="AF182" s="709"/>
      <c r="AG182" s="176"/>
      <c r="AH182" s="176"/>
      <c r="AI182" s="352">
        <v>249.6</v>
      </c>
      <c r="AJ182" s="176"/>
      <c r="AK182" s="176"/>
      <c r="AL182" s="176"/>
      <c r="AM182" s="709"/>
      <c r="AN182" s="176"/>
      <c r="AO182" s="176"/>
      <c r="AP182" s="352">
        <v>252.3</v>
      </c>
      <c r="AQ182" s="176"/>
      <c r="AR182" s="176"/>
      <c r="AS182" s="176"/>
      <c r="AT182" s="709"/>
      <c r="AU182" s="176"/>
      <c r="AV182" s="176"/>
      <c r="AW182" s="352">
        <v>254.8</v>
      </c>
      <c r="AX182" s="176"/>
      <c r="AY182" s="176"/>
      <c r="AZ182" s="176"/>
      <c r="BA182" s="709"/>
      <c r="BB182" s="176"/>
      <c r="BC182" s="176"/>
      <c r="BD182" s="352">
        <f t="shared" si="701"/>
        <v>254.8</v>
      </c>
      <c r="BE182" s="176"/>
      <c r="BF182" s="176"/>
      <c r="BG182" s="176"/>
      <c r="BH182" s="709"/>
      <c r="BI182" s="176"/>
      <c r="BJ182" s="176"/>
      <c r="BK182" s="352">
        <v>259.89999999999998</v>
      </c>
      <c r="BL182" s="176"/>
      <c r="BM182" s="176"/>
      <c r="BN182" s="176"/>
      <c r="BO182" s="709"/>
      <c r="BP182" s="176"/>
      <c r="BQ182" s="176"/>
      <c r="BR182" s="352">
        <f t="shared" si="703"/>
        <v>265.09799999999996</v>
      </c>
      <c r="BS182" s="176"/>
      <c r="BT182" s="176"/>
      <c r="BU182" s="176"/>
      <c r="BV182" s="709"/>
      <c r="BW182" s="176"/>
      <c r="BX182" s="176"/>
      <c r="BY182" s="352">
        <f t="shared" si="690"/>
        <v>270.39995999999996</v>
      </c>
      <c r="BZ182" s="176"/>
      <c r="CA182" s="176"/>
      <c r="CB182" s="176"/>
      <c r="CC182" s="709"/>
      <c r="CD182" s="176"/>
      <c r="CE182" s="176"/>
      <c r="CF182" s="352">
        <f t="shared" si="704"/>
        <v>275.80795919999997</v>
      </c>
      <c r="CG182" s="176"/>
      <c r="CH182" s="176"/>
      <c r="CI182" s="176"/>
      <c r="CJ182" s="709"/>
      <c r="CK182" s="176"/>
      <c r="CL182" s="176"/>
      <c r="CM182" s="352">
        <f t="shared" si="692"/>
        <v>281.32411838399997</v>
      </c>
      <c r="CN182" s="176">
        <f t="shared" si="639"/>
        <v>291.17046252743995</v>
      </c>
      <c r="CO182" s="176">
        <f t="shared" si="640"/>
        <v>291.17046252743995</v>
      </c>
      <c r="CP182" s="176">
        <f t="shared" si="641"/>
        <v>291.17046252743995</v>
      </c>
      <c r="CQ182" s="709">
        <f t="shared" si="642"/>
        <v>291.17046252743995</v>
      </c>
      <c r="CR182" s="176">
        <f t="shared" si="643"/>
        <v>291.17046252743995</v>
      </c>
      <c r="CS182" s="176">
        <f t="shared" si="644"/>
        <v>291.17046252743995</v>
      </c>
      <c r="CT182" s="352">
        <f t="shared" si="693"/>
        <v>291.17046252743995</v>
      </c>
      <c r="CU182" s="176">
        <f t="shared" si="645"/>
        <v>298.44972409062592</v>
      </c>
      <c r="CV182" s="176">
        <f t="shared" si="646"/>
        <v>298.44972409062592</v>
      </c>
      <c r="CW182" s="176">
        <f t="shared" si="647"/>
        <v>298.44972409062592</v>
      </c>
      <c r="CX182" s="709">
        <f t="shared" si="648"/>
        <v>298.44972409062592</v>
      </c>
      <c r="CY182" s="176">
        <f t="shared" si="649"/>
        <v>298.44972409062592</v>
      </c>
      <c r="CZ182" s="176">
        <f t="shared" si="650"/>
        <v>298.44972409062592</v>
      </c>
      <c r="DA182" s="352">
        <f t="shared" si="694"/>
        <v>298.44972409062592</v>
      </c>
      <c r="DB182" s="176">
        <f t="shared" si="651"/>
        <v>305.91096719289152</v>
      </c>
      <c r="DC182" s="176">
        <f t="shared" si="652"/>
        <v>305.91096719289152</v>
      </c>
      <c r="DD182" s="176">
        <f t="shared" si="653"/>
        <v>305.91096719289152</v>
      </c>
      <c r="DE182" s="709">
        <f t="shared" si="654"/>
        <v>305.91096719289152</v>
      </c>
      <c r="DF182" s="176">
        <f t="shared" si="655"/>
        <v>305.91096719289152</v>
      </c>
      <c r="DG182" s="176">
        <f t="shared" si="656"/>
        <v>305.91096719289152</v>
      </c>
      <c r="DH182" s="352">
        <f t="shared" si="695"/>
        <v>305.91096719289152</v>
      </c>
      <c r="DI182" s="176">
        <f t="shared" si="657"/>
        <v>313.55874137271377</v>
      </c>
      <c r="DJ182" s="176">
        <f t="shared" si="658"/>
        <v>313.55874137271377</v>
      </c>
      <c r="DK182" s="324">
        <f t="shared" si="659"/>
        <v>313.55874137271377</v>
      </c>
      <c r="DL182" s="445">
        <f t="shared" si="660"/>
        <v>313.55874137271377</v>
      </c>
      <c r="DM182" s="176">
        <f t="shared" si="661"/>
        <v>313.55874137271377</v>
      </c>
      <c r="DN182" s="324">
        <f t="shared" si="662"/>
        <v>313.55874137271377</v>
      </c>
      <c r="DO182" s="389">
        <f t="shared" si="696"/>
        <v>313.55874137271377</v>
      </c>
      <c r="DP182" s="324">
        <f t="shared" si="663"/>
        <v>321.39770990703158</v>
      </c>
      <c r="DQ182" s="324">
        <f t="shared" si="664"/>
        <v>321.39770990703158</v>
      </c>
      <c r="DR182" s="324">
        <f t="shared" si="665"/>
        <v>321.39770990703158</v>
      </c>
      <c r="DS182" s="445">
        <f t="shared" si="666"/>
        <v>321.39770990703158</v>
      </c>
      <c r="DT182" s="324">
        <f t="shared" si="667"/>
        <v>321.39770990703158</v>
      </c>
      <c r="DU182" s="324">
        <f t="shared" si="668"/>
        <v>321.39770990703158</v>
      </c>
      <c r="DV182" s="389">
        <f t="shared" si="697"/>
        <v>321.39770990703158</v>
      </c>
      <c r="DW182" s="324">
        <f t="shared" si="669"/>
        <v>329.43265265470734</v>
      </c>
      <c r="DX182" s="324">
        <f t="shared" si="670"/>
        <v>329.43265265470734</v>
      </c>
      <c r="DY182" s="324">
        <f t="shared" si="671"/>
        <v>329.43265265470734</v>
      </c>
      <c r="DZ182" s="445">
        <f t="shared" si="672"/>
        <v>329.43265265470734</v>
      </c>
      <c r="EA182" s="324">
        <f t="shared" si="673"/>
        <v>329.43265265470734</v>
      </c>
      <c r="EB182" s="324">
        <f t="shared" si="674"/>
        <v>329.43265265470734</v>
      </c>
      <c r="EC182" s="389">
        <f t="shared" si="698"/>
        <v>329.43265265470734</v>
      </c>
      <c r="ED182" s="324">
        <f t="shared" si="675"/>
        <v>337.66846897107501</v>
      </c>
      <c r="EE182" s="324">
        <f t="shared" si="676"/>
        <v>337.66846897107501</v>
      </c>
      <c r="EF182" s="324">
        <f t="shared" si="677"/>
        <v>337.66846897107501</v>
      </c>
      <c r="EG182" s="445">
        <f t="shared" si="678"/>
        <v>337.66846897107501</v>
      </c>
      <c r="EH182" s="324">
        <f t="shared" si="679"/>
        <v>337.66846897107501</v>
      </c>
      <c r="EI182" s="324">
        <f t="shared" si="680"/>
        <v>337.66846897107501</v>
      </c>
      <c r="EJ182" s="389">
        <f t="shared" si="699"/>
        <v>337.66846897107501</v>
      </c>
      <c r="EK182" s="324">
        <f t="shared" si="681"/>
        <v>346.11018069535186</v>
      </c>
      <c r="EL182" s="324">
        <f t="shared" si="682"/>
        <v>346.11018069535186</v>
      </c>
      <c r="EM182" s="324">
        <f t="shared" si="683"/>
        <v>346.11018069535186</v>
      </c>
      <c r="EN182" s="445">
        <f t="shared" si="684"/>
        <v>346.11018069535186</v>
      </c>
      <c r="EO182" s="324">
        <f t="shared" si="685"/>
        <v>346.11018069535186</v>
      </c>
      <c r="EP182" s="324">
        <f t="shared" si="686"/>
        <v>346.11018069535186</v>
      </c>
      <c r="EQ182" s="389">
        <f t="shared" si="700"/>
        <v>346.11018069535186</v>
      </c>
    </row>
    <row r="183" spans="1:147" ht="10.199999999999999" customHeight="1">
      <c r="A183" s="108" t="s">
        <v>385</v>
      </c>
      <c r="B183" s="43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76"/>
      <c r="O183" s="176"/>
      <c r="P183" s="176"/>
      <c r="Q183" s="176"/>
      <c r="R183" s="709"/>
      <c r="S183" s="176"/>
      <c r="T183" s="176"/>
      <c r="U183" s="352"/>
      <c r="V183" s="176"/>
      <c r="W183" s="176"/>
      <c r="X183" s="176"/>
      <c r="Y183" s="709"/>
      <c r="Z183" s="176"/>
      <c r="AA183" s="176"/>
      <c r="AB183" s="352"/>
      <c r="AC183" s="176"/>
      <c r="AD183" s="176"/>
      <c r="AE183" s="176"/>
      <c r="AF183" s="709"/>
      <c r="AG183" s="176"/>
      <c r="AH183" s="176"/>
      <c r="AI183" s="352">
        <v>284.60000000000002</v>
      </c>
      <c r="AJ183" s="176"/>
      <c r="AK183" s="176"/>
      <c r="AL183" s="176"/>
      <c r="AM183" s="709"/>
      <c r="AN183" s="176"/>
      <c r="AO183" s="176"/>
      <c r="AP183" s="352">
        <v>287.7</v>
      </c>
      <c r="AQ183" s="176"/>
      <c r="AR183" s="176"/>
      <c r="AS183" s="176"/>
      <c r="AT183" s="709"/>
      <c r="AU183" s="176"/>
      <c r="AV183" s="176"/>
      <c r="AW183" s="352">
        <v>290.60000000000002</v>
      </c>
      <c r="AX183" s="176"/>
      <c r="AY183" s="176"/>
      <c r="AZ183" s="176"/>
      <c r="BA183" s="709"/>
      <c r="BB183" s="176"/>
      <c r="BC183" s="176"/>
      <c r="BD183" s="352">
        <f t="shared" si="701"/>
        <v>290.60000000000002</v>
      </c>
      <c r="BE183" s="176"/>
      <c r="BF183" s="176"/>
      <c r="BG183" s="176"/>
      <c r="BH183" s="709"/>
      <c r="BI183" s="176"/>
      <c r="BJ183" s="176"/>
      <c r="BK183" s="352">
        <v>296.39999999999998</v>
      </c>
      <c r="BL183" s="176"/>
      <c r="BM183" s="176"/>
      <c r="BN183" s="176"/>
      <c r="BO183" s="709"/>
      <c r="BP183" s="176"/>
      <c r="BQ183" s="176"/>
      <c r="BR183" s="352">
        <f t="shared" si="703"/>
        <v>302.32799999999997</v>
      </c>
      <c r="BS183" s="176"/>
      <c r="BT183" s="176"/>
      <c r="BU183" s="176"/>
      <c r="BV183" s="709"/>
      <c r="BW183" s="176"/>
      <c r="BX183" s="176"/>
      <c r="BY183" s="352">
        <f t="shared" si="690"/>
        <v>308.37455999999997</v>
      </c>
      <c r="BZ183" s="176"/>
      <c r="CA183" s="176"/>
      <c r="CB183" s="176"/>
      <c r="CC183" s="709"/>
      <c r="CD183" s="176"/>
      <c r="CE183" s="176"/>
      <c r="CF183" s="352">
        <f t="shared" si="704"/>
        <v>314.5420512</v>
      </c>
      <c r="CG183" s="176"/>
      <c r="CH183" s="176"/>
      <c r="CI183" s="176"/>
      <c r="CJ183" s="709"/>
      <c r="CK183" s="176"/>
      <c r="CL183" s="176"/>
      <c r="CM183" s="352">
        <f t="shared" si="692"/>
        <v>320.83289222400003</v>
      </c>
      <c r="CN183" s="176">
        <f t="shared" si="639"/>
        <v>332.06204345184</v>
      </c>
      <c r="CO183" s="176">
        <f t="shared" si="640"/>
        <v>332.06204345184</v>
      </c>
      <c r="CP183" s="176">
        <f t="shared" si="641"/>
        <v>332.06204345184</v>
      </c>
      <c r="CQ183" s="709">
        <f t="shared" si="642"/>
        <v>332.06204345184</v>
      </c>
      <c r="CR183" s="176">
        <f t="shared" si="643"/>
        <v>332.06204345184</v>
      </c>
      <c r="CS183" s="176">
        <f t="shared" si="644"/>
        <v>332.06204345184</v>
      </c>
      <c r="CT183" s="352">
        <f t="shared" si="693"/>
        <v>332.06204345184</v>
      </c>
      <c r="CU183" s="176">
        <f t="shared" si="645"/>
        <v>340.36359453813594</v>
      </c>
      <c r="CV183" s="176">
        <f t="shared" si="646"/>
        <v>340.36359453813594</v>
      </c>
      <c r="CW183" s="176">
        <f t="shared" si="647"/>
        <v>340.36359453813594</v>
      </c>
      <c r="CX183" s="709">
        <f t="shared" si="648"/>
        <v>340.36359453813594</v>
      </c>
      <c r="CY183" s="176">
        <f t="shared" si="649"/>
        <v>340.36359453813594</v>
      </c>
      <c r="CZ183" s="176">
        <f t="shared" si="650"/>
        <v>340.36359453813594</v>
      </c>
      <c r="DA183" s="352">
        <f t="shared" si="694"/>
        <v>340.36359453813594</v>
      </c>
      <c r="DB183" s="176">
        <f t="shared" si="651"/>
        <v>348.87268440158931</v>
      </c>
      <c r="DC183" s="176">
        <f t="shared" si="652"/>
        <v>348.87268440158931</v>
      </c>
      <c r="DD183" s="176">
        <f t="shared" si="653"/>
        <v>348.87268440158931</v>
      </c>
      <c r="DE183" s="709">
        <f t="shared" si="654"/>
        <v>348.87268440158931</v>
      </c>
      <c r="DF183" s="176">
        <f t="shared" si="655"/>
        <v>348.87268440158931</v>
      </c>
      <c r="DG183" s="176">
        <f t="shared" si="656"/>
        <v>348.87268440158931</v>
      </c>
      <c r="DH183" s="352">
        <f t="shared" si="695"/>
        <v>348.87268440158931</v>
      </c>
      <c r="DI183" s="176">
        <f t="shared" si="657"/>
        <v>357.59450151162901</v>
      </c>
      <c r="DJ183" s="176">
        <f t="shared" si="658"/>
        <v>357.59450151162901</v>
      </c>
      <c r="DK183" s="324">
        <f t="shared" si="659"/>
        <v>357.59450151162901</v>
      </c>
      <c r="DL183" s="445">
        <f t="shared" si="660"/>
        <v>357.59450151162901</v>
      </c>
      <c r="DM183" s="176">
        <f t="shared" si="661"/>
        <v>357.59450151162901</v>
      </c>
      <c r="DN183" s="324">
        <f t="shared" si="662"/>
        <v>357.59450151162901</v>
      </c>
      <c r="DO183" s="389">
        <f t="shared" si="696"/>
        <v>357.59450151162901</v>
      </c>
      <c r="DP183" s="324">
        <f t="shared" si="663"/>
        <v>366.53436404941971</v>
      </c>
      <c r="DQ183" s="324">
        <f t="shared" si="664"/>
        <v>366.53436404941971</v>
      </c>
      <c r="DR183" s="324">
        <f t="shared" si="665"/>
        <v>366.53436404941971</v>
      </c>
      <c r="DS183" s="445">
        <f t="shared" si="666"/>
        <v>366.53436404941971</v>
      </c>
      <c r="DT183" s="324">
        <f t="shared" si="667"/>
        <v>366.53436404941971</v>
      </c>
      <c r="DU183" s="324">
        <f t="shared" si="668"/>
        <v>366.53436404941971</v>
      </c>
      <c r="DV183" s="389">
        <f t="shared" si="697"/>
        <v>366.53436404941971</v>
      </c>
      <c r="DW183" s="324">
        <f t="shared" si="669"/>
        <v>375.69772315065518</v>
      </c>
      <c r="DX183" s="324">
        <f t="shared" si="670"/>
        <v>375.69772315065518</v>
      </c>
      <c r="DY183" s="324">
        <f t="shared" si="671"/>
        <v>375.69772315065518</v>
      </c>
      <c r="DZ183" s="445">
        <f t="shared" si="672"/>
        <v>375.69772315065518</v>
      </c>
      <c r="EA183" s="324">
        <f t="shared" si="673"/>
        <v>375.69772315065518</v>
      </c>
      <c r="EB183" s="324">
        <f t="shared" si="674"/>
        <v>375.69772315065518</v>
      </c>
      <c r="EC183" s="389">
        <f t="shared" si="698"/>
        <v>375.69772315065518</v>
      </c>
      <c r="ED183" s="324">
        <f t="shared" si="675"/>
        <v>385.09016622942153</v>
      </c>
      <c r="EE183" s="324">
        <f t="shared" si="676"/>
        <v>385.09016622942153</v>
      </c>
      <c r="EF183" s="324">
        <f t="shared" si="677"/>
        <v>385.09016622942153</v>
      </c>
      <c r="EG183" s="445">
        <f t="shared" si="678"/>
        <v>385.09016622942153</v>
      </c>
      <c r="EH183" s="324">
        <f t="shared" si="679"/>
        <v>385.09016622942153</v>
      </c>
      <c r="EI183" s="324">
        <f t="shared" si="680"/>
        <v>385.09016622942153</v>
      </c>
      <c r="EJ183" s="389">
        <f t="shared" si="699"/>
        <v>385.09016622942153</v>
      </c>
      <c r="EK183" s="324">
        <f t="shared" si="681"/>
        <v>394.71742038515703</v>
      </c>
      <c r="EL183" s="324">
        <f t="shared" si="682"/>
        <v>394.71742038515703</v>
      </c>
      <c r="EM183" s="324">
        <f t="shared" si="683"/>
        <v>394.71742038515703</v>
      </c>
      <c r="EN183" s="445">
        <f t="shared" si="684"/>
        <v>394.71742038515703</v>
      </c>
      <c r="EO183" s="324">
        <f t="shared" si="685"/>
        <v>394.71742038515703</v>
      </c>
      <c r="EP183" s="324">
        <f t="shared" si="686"/>
        <v>394.71742038515703</v>
      </c>
      <c r="EQ183" s="389">
        <f t="shared" si="700"/>
        <v>394.71742038515703</v>
      </c>
    </row>
    <row r="184" spans="1:147" ht="10.199999999999999" hidden="1" customHeight="1" outlineLevel="1">
      <c r="A184" s="43" t="s">
        <v>313</v>
      </c>
      <c r="B184" s="43"/>
      <c r="C184" s="191">
        <f t="shared" ref="C184:E186" si="705">+D184/1.015</f>
        <v>153.01071899856402</v>
      </c>
      <c r="D184" s="191">
        <f t="shared" si="705"/>
        <v>155.30587978354245</v>
      </c>
      <c r="E184" s="191">
        <f t="shared" si="705"/>
        <v>157.63546798029557</v>
      </c>
      <c r="F184" s="191">
        <v>160</v>
      </c>
      <c r="G184" s="191">
        <f t="shared" si="688"/>
        <v>162.39999999999998</v>
      </c>
      <c r="H184" s="191">
        <f t="shared" si="688"/>
        <v>164.83599999999996</v>
      </c>
      <c r="I184" s="191">
        <f t="shared" si="688"/>
        <v>167.30853999999994</v>
      </c>
      <c r="J184" s="191">
        <f t="shared" si="688"/>
        <v>169.81816809999992</v>
      </c>
      <c r="K184" s="191">
        <f t="shared" si="702"/>
        <v>172.36544062149991</v>
      </c>
      <c r="L184" s="191">
        <v>228</v>
      </c>
      <c r="M184" s="191">
        <v>238</v>
      </c>
      <c r="N184" s="176">
        <f>+M184*1.02</f>
        <v>242.76</v>
      </c>
      <c r="O184" s="176"/>
      <c r="P184" s="176"/>
      <c r="Q184" s="176"/>
      <c r="R184" s="709"/>
      <c r="S184" s="176"/>
      <c r="T184" s="176"/>
      <c r="U184" s="352"/>
      <c r="V184" s="176"/>
      <c r="W184" s="176"/>
      <c r="X184" s="176"/>
      <c r="Y184" s="709"/>
      <c r="Z184" s="176"/>
      <c r="AA184" s="176"/>
      <c r="AB184" s="352"/>
      <c r="AC184" s="176"/>
      <c r="AD184" s="176"/>
      <c r="AE184" s="176"/>
      <c r="AF184" s="709"/>
      <c r="AG184" s="176"/>
      <c r="AH184" s="176"/>
      <c r="AI184" s="352"/>
      <c r="AJ184" s="176"/>
      <c r="AK184" s="176"/>
      <c r="AL184" s="176"/>
      <c r="AM184" s="709"/>
      <c r="AN184" s="176"/>
      <c r="AO184" s="176"/>
      <c r="AP184" s="352"/>
      <c r="AQ184" s="176"/>
      <c r="AR184" s="176"/>
      <c r="AS184" s="176"/>
      <c r="AT184" s="709"/>
      <c r="AU184" s="176"/>
      <c r="AV184" s="176"/>
      <c r="AW184" s="352"/>
      <c r="AX184" s="176"/>
      <c r="AY184" s="176"/>
      <c r="AZ184" s="176"/>
      <c r="BA184" s="709"/>
      <c r="BB184" s="176"/>
      <c r="BC184" s="176"/>
      <c r="BD184" s="352"/>
      <c r="BE184" s="176"/>
      <c r="BF184" s="176"/>
      <c r="BG184" s="176"/>
      <c r="BH184" s="709"/>
      <c r="BI184" s="176"/>
      <c r="BJ184" s="176"/>
      <c r="BK184" s="352"/>
      <c r="BL184" s="176"/>
      <c r="BM184" s="176"/>
      <c r="BN184" s="176"/>
      <c r="BO184" s="709"/>
      <c r="BP184" s="176"/>
      <c r="BQ184" s="176"/>
      <c r="BR184" s="352"/>
      <c r="BS184" s="176"/>
      <c r="BT184" s="176"/>
      <c r="BU184" s="176"/>
      <c r="BV184" s="709"/>
      <c r="BW184" s="176"/>
      <c r="BX184" s="176"/>
      <c r="BY184" s="352"/>
      <c r="BZ184" s="176"/>
      <c r="CA184" s="176"/>
      <c r="CB184" s="176"/>
      <c r="CC184" s="709"/>
      <c r="CD184" s="176"/>
      <c r="CE184" s="176"/>
      <c r="CF184" s="352"/>
      <c r="CG184" s="176"/>
      <c r="CH184" s="176"/>
      <c r="CI184" s="176"/>
      <c r="CJ184" s="709"/>
      <c r="CK184" s="176"/>
      <c r="CL184" s="176"/>
      <c r="CM184" s="352"/>
      <c r="CN184" s="176">
        <f t="shared" si="639"/>
        <v>0</v>
      </c>
      <c r="CO184" s="176">
        <f t="shared" si="640"/>
        <v>0</v>
      </c>
      <c r="CP184" s="176">
        <f t="shared" si="641"/>
        <v>0</v>
      </c>
      <c r="CQ184" s="709">
        <f t="shared" si="642"/>
        <v>0</v>
      </c>
      <c r="CR184" s="176">
        <f t="shared" si="643"/>
        <v>0</v>
      </c>
      <c r="CS184" s="176">
        <f t="shared" si="644"/>
        <v>0</v>
      </c>
      <c r="CT184" s="352"/>
      <c r="CU184" s="176">
        <f t="shared" si="645"/>
        <v>0</v>
      </c>
      <c r="CV184" s="176">
        <f t="shared" si="646"/>
        <v>0</v>
      </c>
      <c r="CW184" s="176">
        <f t="shared" si="647"/>
        <v>0</v>
      </c>
      <c r="CX184" s="709">
        <f t="shared" si="648"/>
        <v>0</v>
      </c>
      <c r="CY184" s="176">
        <f t="shared" si="649"/>
        <v>0</v>
      </c>
      <c r="CZ184" s="176">
        <f t="shared" si="650"/>
        <v>0</v>
      </c>
      <c r="DA184" s="389"/>
      <c r="DB184" s="176">
        <f t="shared" si="651"/>
        <v>0</v>
      </c>
      <c r="DC184" s="176">
        <f t="shared" si="652"/>
        <v>0</v>
      </c>
      <c r="DD184" s="176">
        <f t="shared" si="653"/>
        <v>0</v>
      </c>
      <c r="DE184" s="709">
        <f t="shared" si="654"/>
        <v>0</v>
      </c>
      <c r="DF184" s="176">
        <f t="shared" si="655"/>
        <v>0</v>
      </c>
      <c r="DG184" s="176">
        <f t="shared" si="656"/>
        <v>0</v>
      </c>
      <c r="DH184" s="352"/>
      <c r="DI184" s="176">
        <f t="shared" si="657"/>
        <v>0</v>
      </c>
      <c r="DJ184" s="176">
        <f t="shared" si="658"/>
        <v>0</v>
      </c>
      <c r="DK184" s="324">
        <f t="shared" si="659"/>
        <v>0</v>
      </c>
      <c r="DL184" s="445">
        <f t="shared" si="660"/>
        <v>0</v>
      </c>
      <c r="DM184" s="176">
        <f t="shared" si="661"/>
        <v>0</v>
      </c>
      <c r="DN184" s="324">
        <f t="shared" si="662"/>
        <v>0</v>
      </c>
      <c r="DO184" s="389"/>
      <c r="DP184" s="324">
        <f t="shared" si="663"/>
        <v>0</v>
      </c>
      <c r="DQ184" s="324">
        <f t="shared" si="664"/>
        <v>0</v>
      </c>
      <c r="DR184" s="324">
        <f t="shared" si="665"/>
        <v>0</v>
      </c>
      <c r="DS184" s="445">
        <f t="shared" si="666"/>
        <v>0</v>
      </c>
      <c r="DT184" s="324">
        <f t="shared" si="667"/>
        <v>0</v>
      </c>
      <c r="DU184" s="324">
        <f t="shared" si="668"/>
        <v>0</v>
      </c>
      <c r="DV184" s="389"/>
      <c r="DW184" s="324">
        <f t="shared" si="669"/>
        <v>0</v>
      </c>
      <c r="DX184" s="324">
        <f t="shared" si="670"/>
        <v>0</v>
      </c>
      <c r="DY184" s="324">
        <f t="shared" si="671"/>
        <v>0</v>
      </c>
      <c r="DZ184" s="445">
        <f t="shared" si="672"/>
        <v>0</v>
      </c>
      <c r="EA184" s="324">
        <f t="shared" si="673"/>
        <v>0</v>
      </c>
      <c r="EB184" s="324">
        <f t="shared" si="674"/>
        <v>0</v>
      </c>
      <c r="EC184" s="389"/>
      <c r="ED184" s="324">
        <f t="shared" si="675"/>
        <v>0</v>
      </c>
      <c r="EE184" s="324">
        <f t="shared" si="676"/>
        <v>0</v>
      </c>
      <c r="EF184" s="324">
        <f t="shared" si="677"/>
        <v>0</v>
      </c>
      <c r="EG184" s="445">
        <f t="shared" si="678"/>
        <v>0</v>
      </c>
      <c r="EH184" s="324">
        <f t="shared" si="679"/>
        <v>0</v>
      </c>
      <c r="EI184" s="324">
        <f t="shared" si="680"/>
        <v>0</v>
      </c>
      <c r="EJ184" s="389"/>
      <c r="EK184" s="324">
        <f t="shared" si="681"/>
        <v>0</v>
      </c>
      <c r="EL184" s="324">
        <f t="shared" si="682"/>
        <v>0</v>
      </c>
      <c r="EM184" s="324">
        <f t="shared" si="683"/>
        <v>0</v>
      </c>
      <c r="EN184" s="445">
        <f t="shared" si="684"/>
        <v>0</v>
      </c>
      <c r="EO184" s="324">
        <f t="shared" si="685"/>
        <v>0</v>
      </c>
      <c r="EP184" s="324">
        <f t="shared" si="686"/>
        <v>0</v>
      </c>
      <c r="EQ184" s="389"/>
    </row>
    <row r="185" spans="1:147" ht="10.199999999999999" hidden="1" customHeight="1" outlineLevel="1">
      <c r="A185" s="43" t="s">
        <v>314</v>
      </c>
      <c r="B185" s="43"/>
      <c r="C185" s="191">
        <f t="shared" si="705"/>
        <v>172.13705887338452</v>
      </c>
      <c r="D185" s="191">
        <f t="shared" si="705"/>
        <v>174.71911475648528</v>
      </c>
      <c r="E185" s="191">
        <f t="shared" si="705"/>
        <v>177.33990147783254</v>
      </c>
      <c r="F185" s="191">
        <v>180</v>
      </c>
      <c r="G185" s="191">
        <f t="shared" si="688"/>
        <v>182.7</v>
      </c>
      <c r="H185" s="191">
        <f t="shared" si="688"/>
        <v>185.44049999999996</v>
      </c>
      <c r="I185" s="191">
        <f t="shared" si="688"/>
        <v>188.22210749999994</v>
      </c>
      <c r="J185" s="191">
        <f t="shared" si="688"/>
        <v>191.04543911249991</v>
      </c>
      <c r="K185" s="191">
        <f t="shared" si="702"/>
        <v>193.91112069918739</v>
      </c>
      <c r="L185" s="191">
        <v>250.8</v>
      </c>
      <c r="M185" s="191">
        <v>261.8</v>
      </c>
      <c r="N185" s="176">
        <f>+M185*1.02</f>
        <v>267.036</v>
      </c>
      <c r="O185" s="176"/>
      <c r="P185" s="176"/>
      <c r="Q185" s="176"/>
      <c r="R185" s="709"/>
      <c r="S185" s="176"/>
      <c r="T185" s="176"/>
      <c r="U185" s="352"/>
      <c r="V185" s="176"/>
      <c r="W185" s="176"/>
      <c r="X185" s="176"/>
      <c r="Y185" s="709"/>
      <c r="Z185" s="176"/>
      <c r="AA185" s="176"/>
      <c r="AB185" s="352"/>
      <c r="AC185" s="176"/>
      <c r="AD185" s="176"/>
      <c r="AE185" s="176"/>
      <c r="AF185" s="709"/>
      <c r="AG185" s="176"/>
      <c r="AH185" s="176"/>
      <c r="AI185" s="352"/>
      <c r="AJ185" s="176"/>
      <c r="AK185" s="176"/>
      <c r="AL185" s="176"/>
      <c r="AM185" s="709"/>
      <c r="AN185" s="176"/>
      <c r="AO185" s="176"/>
      <c r="AP185" s="352"/>
      <c r="AQ185" s="176"/>
      <c r="AR185" s="176"/>
      <c r="AS185" s="176"/>
      <c r="AT185" s="709"/>
      <c r="AU185" s="176"/>
      <c r="AV185" s="176"/>
      <c r="AW185" s="352"/>
      <c r="AX185" s="176"/>
      <c r="AY185" s="176"/>
      <c r="AZ185" s="176"/>
      <c r="BA185" s="709"/>
      <c r="BB185" s="176"/>
      <c r="BC185" s="176"/>
      <c r="BD185" s="352"/>
      <c r="BE185" s="176"/>
      <c r="BF185" s="176"/>
      <c r="BG185" s="176"/>
      <c r="BH185" s="709"/>
      <c r="BI185" s="176"/>
      <c r="BJ185" s="176"/>
      <c r="BK185" s="352"/>
      <c r="BL185" s="176"/>
      <c r="BM185" s="176"/>
      <c r="BN185" s="176"/>
      <c r="BO185" s="709"/>
      <c r="BP185" s="176"/>
      <c r="BQ185" s="176"/>
      <c r="BR185" s="352"/>
      <c r="BS185" s="176"/>
      <c r="BT185" s="176"/>
      <c r="BU185" s="176"/>
      <c r="BV185" s="709"/>
      <c r="BW185" s="176"/>
      <c r="BX185" s="176"/>
      <c r="BY185" s="352"/>
      <c r="BZ185" s="176"/>
      <c r="CA185" s="176"/>
      <c r="CB185" s="176"/>
      <c r="CC185" s="709"/>
      <c r="CD185" s="176"/>
      <c r="CE185" s="176"/>
      <c r="CF185" s="352"/>
      <c r="CG185" s="176"/>
      <c r="CH185" s="176"/>
      <c r="CI185" s="176"/>
      <c r="CJ185" s="709"/>
      <c r="CK185" s="176"/>
      <c r="CL185" s="176"/>
      <c r="CM185" s="352"/>
      <c r="CN185" s="176">
        <f t="shared" si="639"/>
        <v>0</v>
      </c>
      <c r="CO185" s="176">
        <f t="shared" si="640"/>
        <v>0</v>
      </c>
      <c r="CP185" s="176">
        <f t="shared" si="641"/>
        <v>0</v>
      </c>
      <c r="CQ185" s="709">
        <f t="shared" si="642"/>
        <v>0</v>
      </c>
      <c r="CR185" s="176">
        <f t="shared" si="643"/>
        <v>0</v>
      </c>
      <c r="CS185" s="176">
        <f t="shared" si="644"/>
        <v>0</v>
      </c>
      <c r="CT185" s="352"/>
      <c r="CU185" s="176">
        <f t="shared" si="645"/>
        <v>0</v>
      </c>
      <c r="CV185" s="176">
        <f t="shared" si="646"/>
        <v>0</v>
      </c>
      <c r="CW185" s="176">
        <f t="shared" si="647"/>
        <v>0</v>
      </c>
      <c r="CX185" s="709">
        <f t="shared" si="648"/>
        <v>0</v>
      </c>
      <c r="CY185" s="176">
        <f t="shared" si="649"/>
        <v>0</v>
      </c>
      <c r="CZ185" s="176">
        <f t="shared" si="650"/>
        <v>0</v>
      </c>
      <c r="DA185" s="389"/>
      <c r="DB185" s="176">
        <f t="shared" si="651"/>
        <v>0</v>
      </c>
      <c r="DC185" s="176">
        <f t="shared" si="652"/>
        <v>0</v>
      </c>
      <c r="DD185" s="176">
        <f t="shared" si="653"/>
        <v>0</v>
      </c>
      <c r="DE185" s="709">
        <f t="shared" si="654"/>
        <v>0</v>
      </c>
      <c r="DF185" s="176">
        <f t="shared" si="655"/>
        <v>0</v>
      </c>
      <c r="DG185" s="176">
        <f t="shared" si="656"/>
        <v>0</v>
      </c>
      <c r="DH185" s="352"/>
      <c r="DI185" s="176">
        <f t="shared" si="657"/>
        <v>0</v>
      </c>
      <c r="DJ185" s="176">
        <f t="shared" si="658"/>
        <v>0</v>
      </c>
      <c r="DK185" s="324">
        <f t="shared" si="659"/>
        <v>0</v>
      </c>
      <c r="DL185" s="445">
        <f t="shared" si="660"/>
        <v>0</v>
      </c>
      <c r="DM185" s="176">
        <f t="shared" si="661"/>
        <v>0</v>
      </c>
      <c r="DN185" s="324">
        <f t="shared" si="662"/>
        <v>0</v>
      </c>
      <c r="DO185" s="389"/>
      <c r="DP185" s="324">
        <f t="shared" si="663"/>
        <v>0</v>
      </c>
      <c r="DQ185" s="324">
        <f t="shared" si="664"/>
        <v>0</v>
      </c>
      <c r="DR185" s="324">
        <f t="shared" si="665"/>
        <v>0</v>
      </c>
      <c r="DS185" s="445">
        <f t="shared" si="666"/>
        <v>0</v>
      </c>
      <c r="DT185" s="324">
        <f t="shared" si="667"/>
        <v>0</v>
      </c>
      <c r="DU185" s="324">
        <f t="shared" si="668"/>
        <v>0</v>
      </c>
      <c r="DV185" s="389"/>
      <c r="DW185" s="324">
        <f t="shared" si="669"/>
        <v>0</v>
      </c>
      <c r="DX185" s="324">
        <f t="shared" si="670"/>
        <v>0</v>
      </c>
      <c r="DY185" s="324">
        <f t="shared" si="671"/>
        <v>0</v>
      </c>
      <c r="DZ185" s="445">
        <f t="shared" si="672"/>
        <v>0</v>
      </c>
      <c r="EA185" s="324">
        <f t="shared" si="673"/>
        <v>0</v>
      </c>
      <c r="EB185" s="324">
        <f t="shared" si="674"/>
        <v>0</v>
      </c>
      <c r="EC185" s="389"/>
      <c r="ED185" s="324">
        <f t="shared" si="675"/>
        <v>0</v>
      </c>
      <c r="EE185" s="324">
        <f t="shared" si="676"/>
        <v>0</v>
      </c>
      <c r="EF185" s="324">
        <f t="shared" si="677"/>
        <v>0</v>
      </c>
      <c r="EG185" s="445">
        <f t="shared" si="678"/>
        <v>0</v>
      </c>
      <c r="EH185" s="324">
        <f t="shared" si="679"/>
        <v>0</v>
      </c>
      <c r="EI185" s="324">
        <f t="shared" si="680"/>
        <v>0</v>
      </c>
      <c r="EJ185" s="389"/>
      <c r="EK185" s="324">
        <f t="shared" si="681"/>
        <v>0</v>
      </c>
      <c r="EL185" s="324">
        <f t="shared" si="682"/>
        <v>0</v>
      </c>
      <c r="EM185" s="324">
        <f t="shared" si="683"/>
        <v>0</v>
      </c>
      <c r="EN185" s="445">
        <f t="shared" si="684"/>
        <v>0</v>
      </c>
      <c r="EO185" s="324">
        <f t="shared" si="685"/>
        <v>0</v>
      </c>
      <c r="EP185" s="324">
        <f t="shared" si="686"/>
        <v>0</v>
      </c>
      <c r="EQ185" s="389"/>
    </row>
    <row r="186" spans="1:147" ht="10.199999999999999" hidden="1" customHeight="1" outlineLevel="1">
      <c r="A186" s="43" t="s">
        <v>315</v>
      </c>
      <c r="B186" s="43"/>
      <c r="C186" s="191">
        <f t="shared" si="705"/>
        <v>181.70022881079475</v>
      </c>
      <c r="D186" s="191">
        <f t="shared" si="705"/>
        <v>184.42573224295666</v>
      </c>
      <c r="E186" s="191">
        <f t="shared" si="705"/>
        <v>187.192118226601</v>
      </c>
      <c r="F186" s="191">
        <v>190</v>
      </c>
      <c r="G186" s="191">
        <f t="shared" si="688"/>
        <v>192.85</v>
      </c>
      <c r="H186" s="191">
        <f t="shared" si="688"/>
        <v>195.74274999999997</v>
      </c>
      <c r="I186" s="191">
        <f t="shared" si="688"/>
        <v>198.67889124999996</v>
      </c>
      <c r="J186" s="191">
        <f t="shared" si="688"/>
        <v>201.65907461874994</v>
      </c>
      <c r="K186" s="191">
        <f t="shared" si="702"/>
        <v>204.68396073803117</v>
      </c>
      <c r="L186" s="191">
        <v>263.8</v>
      </c>
      <c r="M186" s="191">
        <v>275.39999999999998</v>
      </c>
      <c r="N186" s="176">
        <f>+M186*1.02</f>
        <v>280.90799999999996</v>
      </c>
      <c r="O186" s="176"/>
      <c r="P186" s="176"/>
      <c r="Q186" s="176"/>
      <c r="R186" s="709"/>
      <c r="S186" s="176"/>
      <c r="T186" s="176"/>
      <c r="U186" s="352"/>
      <c r="V186" s="176"/>
      <c r="W186" s="176"/>
      <c r="X186" s="176"/>
      <c r="Y186" s="709"/>
      <c r="Z186" s="176"/>
      <c r="AA186" s="176"/>
      <c r="AB186" s="352"/>
      <c r="AC186" s="176"/>
      <c r="AD186" s="176"/>
      <c r="AE186" s="176"/>
      <c r="AF186" s="709"/>
      <c r="AG186" s="176"/>
      <c r="AH186" s="176"/>
      <c r="AI186" s="352"/>
      <c r="AJ186" s="176"/>
      <c r="AK186" s="176"/>
      <c r="AL186" s="176"/>
      <c r="AM186" s="709"/>
      <c r="AN186" s="176"/>
      <c r="AO186" s="176"/>
      <c r="AP186" s="352"/>
      <c r="AQ186" s="176"/>
      <c r="AR186" s="176"/>
      <c r="AS186" s="176"/>
      <c r="AT186" s="709"/>
      <c r="AU186" s="176"/>
      <c r="AV186" s="176"/>
      <c r="AW186" s="352"/>
      <c r="AX186" s="176"/>
      <c r="AY186" s="176"/>
      <c r="AZ186" s="176"/>
      <c r="BA186" s="709"/>
      <c r="BB186" s="176"/>
      <c r="BC186" s="176"/>
      <c r="BD186" s="352"/>
      <c r="BE186" s="176"/>
      <c r="BF186" s="176"/>
      <c r="BG186" s="176"/>
      <c r="BH186" s="709"/>
      <c r="BI186" s="176"/>
      <c r="BJ186" s="176"/>
      <c r="BK186" s="352"/>
      <c r="BL186" s="176"/>
      <c r="BM186" s="176"/>
      <c r="BN186" s="176"/>
      <c r="BO186" s="709"/>
      <c r="BP186" s="176"/>
      <c r="BQ186" s="176"/>
      <c r="BR186" s="352"/>
      <c r="BS186" s="176"/>
      <c r="BT186" s="176"/>
      <c r="BU186" s="176"/>
      <c r="BV186" s="709"/>
      <c r="BW186" s="176"/>
      <c r="BX186" s="176"/>
      <c r="BY186" s="352"/>
      <c r="BZ186" s="176"/>
      <c r="CA186" s="176"/>
      <c r="CB186" s="176"/>
      <c r="CC186" s="709"/>
      <c r="CD186" s="176"/>
      <c r="CE186" s="176"/>
      <c r="CF186" s="352"/>
      <c r="CG186" s="176"/>
      <c r="CH186" s="176"/>
      <c r="CI186" s="176"/>
      <c r="CJ186" s="709"/>
      <c r="CK186" s="176"/>
      <c r="CL186" s="176"/>
      <c r="CM186" s="352"/>
      <c r="CN186" s="176">
        <f t="shared" si="639"/>
        <v>0</v>
      </c>
      <c r="CO186" s="176">
        <f t="shared" si="640"/>
        <v>0</v>
      </c>
      <c r="CP186" s="176">
        <f t="shared" si="641"/>
        <v>0</v>
      </c>
      <c r="CQ186" s="709">
        <f t="shared" si="642"/>
        <v>0</v>
      </c>
      <c r="CR186" s="176">
        <f t="shared" si="643"/>
        <v>0</v>
      </c>
      <c r="CS186" s="176">
        <f t="shared" si="644"/>
        <v>0</v>
      </c>
      <c r="CT186" s="352"/>
      <c r="CU186" s="176">
        <f t="shared" si="645"/>
        <v>0</v>
      </c>
      <c r="CV186" s="176">
        <f t="shared" si="646"/>
        <v>0</v>
      </c>
      <c r="CW186" s="176">
        <f t="shared" si="647"/>
        <v>0</v>
      </c>
      <c r="CX186" s="709">
        <f t="shared" si="648"/>
        <v>0</v>
      </c>
      <c r="CY186" s="176">
        <f t="shared" si="649"/>
        <v>0</v>
      </c>
      <c r="CZ186" s="176">
        <f t="shared" si="650"/>
        <v>0</v>
      </c>
      <c r="DA186" s="389"/>
      <c r="DB186" s="176">
        <f t="shared" si="651"/>
        <v>0</v>
      </c>
      <c r="DC186" s="176">
        <f t="shared" si="652"/>
        <v>0</v>
      </c>
      <c r="DD186" s="176">
        <f t="shared" si="653"/>
        <v>0</v>
      </c>
      <c r="DE186" s="709">
        <f t="shared" si="654"/>
        <v>0</v>
      </c>
      <c r="DF186" s="176">
        <f t="shared" si="655"/>
        <v>0</v>
      </c>
      <c r="DG186" s="176">
        <f t="shared" si="656"/>
        <v>0</v>
      </c>
      <c r="DH186" s="352"/>
      <c r="DI186" s="176">
        <f t="shared" si="657"/>
        <v>0</v>
      </c>
      <c r="DJ186" s="176">
        <f t="shared" si="658"/>
        <v>0</v>
      </c>
      <c r="DK186" s="324">
        <f t="shared" si="659"/>
        <v>0</v>
      </c>
      <c r="DL186" s="445">
        <f t="shared" si="660"/>
        <v>0</v>
      </c>
      <c r="DM186" s="176">
        <f t="shared" si="661"/>
        <v>0</v>
      </c>
      <c r="DN186" s="324">
        <f t="shared" si="662"/>
        <v>0</v>
      </c>
      <c r="DO186" s="389"/>
      <c r="DP186" s="324">
        <f t="shared" si="663"/>
        <v>0</v>
      </c>
      <c r="DQ186" s="324">
        <f t="shared" si="664"/>
        <v>0</v>
      </c>
      <c r="DR186" s="324">
        <f t="shared" si="665"/>
        <v>0</v>
      </c>
      <c r="DS186" s="445">
        <f t="shared" si="666"/>
        <v>0</v>
      </c>
      <c r="DT186" s="324">
        <f t="shared" si="667"/>
        <v>0</v>
      </c>
      <c r="DU186" s="324">
        <f t="shared" si="668"/>
        <v>0</v>
      </c>
      <c r="DV186" s="389"/>
      <c r="DW186" s="324">
        <f t="shared" si="669"/>
        <v>0</v>
      </c>
      <c r="DX186" s="324">
        <f t="shared" si="670"/>
        <v>0</v>
      </c>
      <c r="DY186" s="324">
        <f t="shared" si="671"/>
        <v>0</v>
      </c>
      <c r="DZ186" s="445">
        <f t="shared" si="672"/>
        <v>0</v>
      </c>
      <c r="EA186" s="324">
        <f t="shared" si="673"/>
        <v>0</v>
      </c>
      <c r="EB186" s="324">
        <f t="shared" si="674"/>
        <v>0</v>
      </c>
      <c r="EC186" s="389"/>
      <c r="ED186" s="324">
        <f t="shared" si="675"/>
        <v>0</v>
      </c>
      <c r="EE186" s="324">
        <f t="shared" si="676"/>
        <v>0</v>
      </c>
      <c r="EF186" s="324">
        <f t="shared" si="677"/>
        <v>0</v>
      </c>
      <c r="EG186" s="445">
        <f t="shared" si="678"/>
        <v>0</v>
      </c>
      <c r="EH186" s="324">
        <f t="shared" si="679"/>
        <v>0</v>
      </c>
      <c r="EI186" s="324">
        <f t="shared" si="680"/>
        <v>0</v>
      </c>
      <c r="EJ186" s="389"/>
      <c r="EK186" s="324">
        <f t="shared" si="681"/>
        <v>0</v>
      </c>
      <c r="EL186" s="324">
        <f t="shared" si="682"/>
        <v>0</v>
      </c>
      <c r="EM186" s="324">
        <f t="shared" si="683"/>
        <v>0</v>
      </c>
      <c r="EN186" s="445">
        <f t="shared" si="684"/>
        <v>0</v>
      </c>
      <c r="EO186" s="324">
        <f t="shared" si="685"/>
        <v>0</v>
      </c>
      <c r="EP186" s="324">
        <f t="shared" si="686"/>
        <v>0</v>
      </c>
      <c r="EQ186" s="389"/>
    </row>
    <row r="187" spans="1:147" ht="10.199999999999999" hidden="1" customHeight="1" outlineLevel="1">
      <c r="A187" s="43" t="s">
        <v>738</v>
      </c>
      <c r="B187" s="43"/>
      <c r="C187" s="191">
        <f>+((C184*C131)+(C185*C132)+(C186*C133))/C134</f>
        <v>153.01071899856402</v>
      </c>
      <c r="D187" s="191">
        <f>+((D184*D131)+(D185*D132)+(D186*D133))/D134</f>
        <v>169.86580601324954</v>
      </c>
      <c r="E187" s="191">
        <f>+((E184*E131)+(E185*E132)+(E186*E133))/E134</f>
        <v>176.1456933870727</v>
      </c>
      <c r="F187" s="191">
        <f>+((F184*F131)+(F185*F132)+(F186*F133))/F134</f>
        <v>178.21428571428572</v>
      </c>
      <c r="G187" s="191">
        <f t="shared" si="688"/>
        <v>180.88749999999999</v>
      </c>
      <c r="H187" s="191">
        <f t="shared" si="688"/>
        <v>183.60081249999996</v>
      </c>
      <c r="I187" s="191">
        <f t="shared" si="688"/>
        <v>186.35482468749996</v>
      </c>
      <c r="J187" s="191">
        <f t="shared" si="688"/>
        <v>189.15014705781243</v>
      </c>
      <c r="K187" s="191">
        <f t="shared" si="702"/>
        <v>191.98739926367961</v>
      </c>
      <c r="L187" s="191">
        <f>AVERAGE(L184:L186)</f>
        <v>247.53333333333333</v>
      </c>
      <c r="M187" s="191">
        <f>AVERAGE(M184:M186)</f>
        <v>258.40000000000003</v>
      </c>
      <c r="N187" s="176">
        <f>+M187*1.02</f>
        <v>263.56800000000004</v>
      </c>
      <c r="O187" s="176"/>
      <c r="P187" s="176"/>
      <c r="Q187" s="176"/>
      <c r="R187" s="709"/>
      <c r="S187" s="176"/>
      <c r="T187" s="176"/>
      <c r="U187" s="352"/>
      <c r="V187" s="176"/>
      <c r="W187" s="176"/>
      <c r="X187" s="176"/>
      <c r="Y187" s="709"/>
      <c r="Z187" s="176"/>
      <c r="AA187" s="176"/>
      <c r="AB187" s="352"/>
      <c r="AC187" s="176"/>
      <c r="AD187" s="176"/>
      <c r="AE187" s="176"/>
      <c r="AF187" s="709"/>
      <c r="AG187" s="176"/>
      <c r="AH187" s="176"/>
      <c r="AI187" s="352"/>
      <c r="AJ187" s="176"/>
      <c r="AK187" s="176"/>
      <c r="AL187" s="176"/>
      <c r="AM187" s="709"/>
      <c r="AN187" s="176"/>
      <c r="AO187" s="176"/>
      <c r="AP187" s="352"/>
      <c r="AQ187" s="176"/>
      <c r="AR187" s="176"/>
      <c r="AS187" s="176"/>
      <c r="AT187" s="709"/>
      <c r="AU187" s="176"/>
      <c r="AV187" s="176"/>
      <c r="AW187" s="352"/>
      <c r="AX187" s="176"/>
      <c r="AY187" s="176"/>
      <c r="AZ187" s="176"/>
      <c r="BA187" s="709"/>
      <c r="BB187" s="176"/>
      <c r="BC187" s="176"/>
      <c r="BD187" s="352"/>
      <c r="BE187" s="176"/>
      <c r="BF187" s="176"/>
      <c r="BG187" s="176"/>
      <c r="BH187" s="709"/>
      <c r="BI187" s="176"/>
      <c r="BJ187" s="176"/>
      <c r="BK187" s="352"/>
      <c r="BL187" s="176"/>
      <c r="BM187" s="176"/>
      <c r="BN187" s="176"/>
      <c r="BO187" s="709"/>
      <c r="BP187" s="176"/>
      <c r="BQ187" s="176"/>
      <c r="BR187" s="352"/>
      <c r="BS187" s="176"/>
      <c r="BT187" s="176"/>
      <c r="BU187" s="176"/>
      <c r="BV187" s="709"/>
      <c r="BW187" s="176"/>
      <c r="BX187" s="176"/>
      <c r="BY187" s="352"/>
      <c r="BZ187" s="176"/>
      <c r="CA187" s="176"/>
      <c r="CB187" s="176"/>
      <c r="CC187" s="709"/>
      <c r="CD187" s="176"/>
      <c r="CE187" s="176"/>
      <c r="CF187" s="352"/>
      <c r="CG187" s="176"/>
      <c r="CH187" s="176"/>
      <c r="CI187" s="176"/>
      <c r="CJ187" s="709"/>
      <c r="CK187" s="176"/>
      <c r="CL187" s="176"/>
      <c r="CM187" s="352"/>
      <c r="CN187" s="176">
        <f t="shared" si="639"/>
        <v>0</v>
      </c>
      <c r="CO187" s="176">
        <f t="shared" si="640"/>
        <v>0</v>
      </c>
      <c r="CP187" s="176">
        <f t="shared" si="641"/>
        <v>0</v>
      </c>
      <c r="CQ187" s="709">
        <f t="shared" si="642"/>
        <v>0</v>
      </c>
      <c r="CR187" s="176">
        <f t="shared" si="643"/>
        <v>0</v>
      </c>
      <c r="CS187" s="176">
        <f t="shared" si="644"/>
        <v>0</v>
      </c>
      <c r="CT187" s="352"/>
      <c r="CU187" s="176">
        <f t="shared" si="645"/>
        <v>0</v>
      </c>
      <c r="CV187" s="176">
        <f t="shared" si="646"/>
        <v>0</v>
      </c>
      <c r="CW187" s="176">
        <f t="shared" si="647"/>
        <v>0</v>
      </c>
      <c r="CX187" s="709">
        <f t="shared" si="648"/>
        <v>0</v>
      </c>
      <c r="CY187" s="176">
        <f t="shared" si="649"/>
        <v>0</v>
      </c>
      <c r="CZ187" s="176">
        <f t="shared" si="650"/>
        <v>0</v>
      </c>
      <c r="DA187" s="389"/>
      <c r="DB187" s="176">
        <f t="shared" si="651"/>
        <v>0</v>
      </c>
      <c r="DC187" s="176">
        <f t="shared" si="652"/>
        <v>0</v>
      </c>
      <c r="DD187" s="176">
        <f t="shared" si="653"/>
        <v>0</v>
      </c>
      <c r="DE187" s="709">
        <f t="shared" si="654"/>
        <v>0</v>
      </c>
      <c r="DF187" s="176">
        <f t="shared" si="655"/>
        <v>0</v>
      </c>
      <c r="DG187" s="176">
        <f t="shared" si="656"/>
        <v>0</v>
      </c>
      <c r="DH187" s="352"/>
      <c r="DI187" s="176">
        <f t="shared" si="657"/>
        <v>0</v>
      </c>
      <c r="DJ187" s="176">
        <f t="shared" si="658"/>
        <v>0</v>
      </c>
      <c r="DK187" s="324">
        <f t="shared" si="659"/>
        <v>0</v>
      </c>
      <c r="DL187" s="445">
        <f t="shared" si="660"/>
        <v>0</v>
      </c>
      <c r="DM187" s="176">
        <f t="shared" si="661"/>
        <v>0</v>
      </c>
      <c r="DN187" s="324">
        <f t="shared" si="662"/>
        <v>0</v>
      </c>
      <c r="DO187" s="389"/>
      <c r="DP187" s="324">
        <f t="shared" si="663"/>
        <v>0</v>
      </c>
      <c r="DQ187" s="324">
        <f t="shared" si="664"/>
        <v>0</v>
      </c>
      <c r="DR187" s="324">
        <f t="shared" si="665"/>
        <v>0</v>
      </c>
      <c r="DS187" s="445">
        <f t="shared" si="666"/>
        <v>0</v>
      </c>
      <c r="DT187" s="324">
        <f t="shared" si="667"/>
        <v>0</v>
      </c>
      <c r="DU187" s="324">
        <f t="shared" si="668"/>
        <v>0</v>
      </c>
      <c r="DV187" s="389"/>
      <c r="DW187" s="324">
        <f t="shared" si="669"/>
        <v>0</v>
      </c>
      <c r="DX187" s="324">
        <f t="shared" si="670"/>
        <v>0</v>
      </c>
      <c r="DY187" s="324">
        <f t="shared" si="671"/>
        <v>0</v>
      </c>
      <c r="DZ187" s="445">
        <f t="shared" si="672"/>
        <v>0</v>
      </c>
      <c r="EA187" s="324">
        <f t="shared" si="673"/>
        <v>0</v>
      </c>
      <c r="EB187" s="324">
        <f t="shared" si="674"/>
        <v>0</v>
      </c>
      <c r="EC187" s="389"/>
      <c r="ED187" s="324">
        <f t="shared" si="675"/>
        <v>0</v>
      </c>
      <c r="EE187" s="324">
        <f t="shared" si="676"/>
        <v>0</v>
      </c>
      <c r="EF187" s="324">
        <f t="shared" si="677"/>
        <v>0</v>
      </c>
      <c r="EG187" s="445">
        <f t="shared" si="678"/>
        <v>0</v>
      </c>
      <c r="EH187" s="324">
        <f t="shared" si="679"/>
        <v>0</v>
      </c>
      <c r="EI187" s="324">
        <f t="shared" si="680"/>
        <v>0</v>
      </c>
      <c r="EJ187" s="389"/>
      <c r="EK187" s="324">
        <f t="shared" si="681"/>
        <v>0</v>
      </c>
      <c r="EL187" s="324">
        <f t="shared" si="682"/>
        <v>0</v>
      </c>
      <c r="EM187" s="324">
        <f t="shared" si="683"/>
        <v>0</v>
      </c>
      <c r="EN187" s="445">
        <f t="shared" si="684"/>
        <v>0</v>
      </c>
      <c r="EO187" s="324">
        <f t="shared" si="685"/>
        <v>0</v>
      </c>
      <c r="EP187" s="324">
        <f t="shared" si="686"/>
        <v>0</v>
      </c>
      <c r="EQ187" s="389"/>
    </row>
    <row r="188" spans="1:147" ht="10.199999999999999" customHeight="1" collapsed="1">
      <c r="A188" s="108" t="s">
        <v>371</v>
      </c>
      <c r="B188" s="43"/>
      <c r="C188" s="192"/>
      <c r="D188" s="192"/>
      <c r="E188" s="191"/>
      <c r="F188" s="191"/>
      <c r="G188" s="191"/>
      <c r="H188" s="191"/>
      <c r="I188" s="191"/>
      <c r="J188" s="191"/>
      <c r="K188" s="191"/>
      <c r="L188" s="191"/>
      <c r="M188" s="191"/>
      <c r="N188" s="176"/>
      <c r="O188" s="176"/>
      <c r="P188" s="176"/>
      <c r="Q188" s="176"/>
      <c r="R188" s="709"/>
      <c r="S188" s="176"/>
      <c r="T188" s="176"/>
      <c r="U188" s="352">
        <v>254.3</v>
      </c>
      <c r="V188" s="176"/>
      <c r="W188" s="176"/>
      <c r="X188" s="176"/>
      <c r="Y188" s="709"/>
      <c r="Z188" s="176"/>
      <c r="AA188" s="176"/>
      <c r="AB188" s="352">
        <v>260.89999999999998</v>
      </c>
      <c r="AC188" s="176"/>
      <c r="AD188" s="176"/>
      <c r="AE188" s="176"/>
      <c r="AF188" s="709"/>
      <c r="AG188" s="176"/>
      <c r="AH188" s="176"/>
      <c r="AI188" s="352">
        <v>269.5</v>
      </c>
      <c r="AJ188" s="176"/>
      <c r="AK188" s="176"/>
      <c r="AL188" s="176"/>
      <c r="AM188" s="709"/>
      <c r="AN188" s="176"/>
      <c r="AO188" s="176"/>
      <c r="AP188" s="352">
        <v>272.39999999999998</v>
      </c>
      <c r="AQ188" s="176"/>
      <c r="AR188" s="176"/>
      <c r="AS188" s="176"/>
      <c r="AT188" s="709"/>
      <c r="AU188" s="176"/>
      <c r="AV188" s="176"/>
      <c r="AW188" s="352">
        <v>275.10000000000002</v>
      </c>
      <c r="AX188" s="176"/>
      <c r="AY188" s="176"/>
      <c r="AZ188" s="176"/>
      <c r="BA188" s="709"/>
      <c r="BB188" s="176"/>
      <c r="BC188" s="176"/>
      <c r="BD188" s="352">
        <f t="shared" si="701"/>
        <v>275.10000000000002</v>
      </c>
      <c r="BE188" s="176"/>
      <c r="BF188" s="176"/>
      <c r="BG188" s="176"/>
      <c r="BH188" s="709"/>
      <c r="BI188" s="176"/>
      <c r="BJ188" s="176"/>
      <c r="BK188" s="352">
        <v>280.60000000000002</v>
      </c>
      <c r="BL188" s="176"/>
      <c r="BM188" s="176"/>
      <c r="BN188" s="176"/>
      <c r="BO188" s="709"/>
      <c r="BP188" s="176"/>
      <c r="BQ188" s="176"/>
      <c r="BR188" s="352">
        <f t="shared" ref="BR188:BR191" si="706">BK188*(1+BR$193)</f>
        <v>286.21200000000005</v>
      </c>
      <c r="BS188" s="176"/>
      <c r="BT188" s="176"/>
      <c r="BU188" s="176"/>
      <c r="BV188" s="709"/>
      <c r="BW188" s="176"/>
      <c r="BX188" s="176"/>
      <c r="BY188" s="352">
        <f>BR188*(1+BY$193)</f>
        <v>291.93624000000005</v>
      </c>
      <c r="BZ188" s="176"/>
      <c r="CA188" s="176"/>
      <c r="CB188" s="176"/>
      <c r="CC188" s="709"/>
      <c r="CD188" s="176"/>
      <c r="CE188" s="176"/>
      <c r="CF188" s="352">
        <f t="shared" ref="CF188:CF191" si="707">BY188*(1+CF$193)</f>
        <v>297.77496480000008</v>
      </c>
      <c r="CG188" s="176"/>
      <c r="CH188" s="176"/>
      <c r="CI188" s="176"/>
      <c r="CJ188" s="709"/>
      <c r="CK188" s="176"/>
      <c r="CL188" s="176"/>
      <c r="CM188" s="352">
        <f>CF188*(1+CM$193)</f>
        <v>303.73046409600011</v>
      </c>
      <c r="CN188" s="176">
        <f t="shared" si="639"/>
        <v>314.36103033936007</v>
      </c>
      <c r="CO188" s="176">
        <f t="shared" si="640"/>
        <v>314.36103033936007</v>
      </c>
      <c r="CP188" s="176">
        <f t="shared" si="641"/>
        <v>314.36103033936007</v>
      </c>
      <c r="CQ188" s="709">
        <f t="shared" si="642"/>
        <v>314.36103033936007</v>
      </c>
      <c r="CR188" s="176">
        <f t="shared" si="643"/>
        <v>314.36103033936007</v>
      </c>
      <c r="CS188" s="176">
        <f t="shared" si="644"/>
        <v>314.36103033936007</v>
      </c>
      <c r="CT188" s="352">
        <f>CM188*(1+CT$193)</f>
        <v>314.36103033936007</v>
      </c>
      <c r="CU188" s="176">
        <f t="shared" si="645"/>
        <v>322.22005609784406</v>
      </c>
      <c r="CV188" s="176">
        <f t="shared" si="646"/>
        <v>322.22005609784406</v>
      </c>
      <c r="CW188" s="176">
        <f t="shared" si="647"/>
        <v>322.22005609784406</v>
      </c>
      <c r="CX188" s="709">
        <f t="shared" si="648"/>
        <v>322.22005609784406</v>
      </c>
      <c r="CY188" s="176">
        <f t="shared" si="649"/>
        <v>322.22005609784406</v>
      </c>
      <c r="CZ188" s="176">
        <f t="shared" si="650"/>
        <v>322.22005609784406</v>
      </c>
      <c r="DA188" s="352">
        <f>CT188*(1+DA$193)</f>
        <v>322.22005609784406</v>
      </c>
      <c r="DB188" s="176">
        <f t="shared" si="651"/>
        <v>330.27555750029012</v>
      </c>
      <c r="DC188" s="176">
        <f t="shared" si="652"/>
        <v>330.27555750029012</v>
      </c>
      <c r="DD188" s="176">
        <f t="shared" si="653"/>
        <v>330.27555750029012</v>
      </c>
      <c r="DE188" s="709">
        <f t="shared" si="654"/>
        <v>330.27555750029012</v>
      </c>
      <c r="DF188" s="176">
        <f t="shared" si="655"/>
        <v>330.27555750029012</v>
      </c>
      <c r="DG188" s="176">
        <f t="shared" si="656"/>
        <v>330.27555750029012</v>
      </c>
      <c r="DH188" s="352">
        <f>DA188*(1+DH$193)</f>
        <v>330.27555750029012</v>
      </c>
      <c r="DI188" s="176">
        <f t="shared" si="657"/>
        <v>338.53244643779732</v>
      </c>
      <c r="DJ188" s="176">
        <f t="shared" si="658"/>
        <v>338.53244643779732</v>
      </c>
      <c r="DK188" s="324">
        <f t="shared" si="659"/>
        <v>338.53244643779732</v>
      </c>
      <c r="DL188" s="445">
        <f t="shared" si="660"/>
        <v>338.53244643779732</v>
      </c>
      <c r="DM188" s="176">
        <f t="shared" si="661"/>
        <v>338.53244643779732</v>
      </c>
      <c r="DN188" s="324">
        <f t="shared" si="662"/>
        <v>338.53244643779732</v>
      </c>
      <c r="DO188" s="389">
        <f>DH188*(1+DO$193)</f>
        <v>338.53244643779732</v>
      </c>
      <c r="DP188" s="324">
        <f t="shared" si="663"/>
        <v>346.99575759874222</v>
      </c>
      <c r="DQ188" s="324">
        <f t="shared" si="664"/>
        <v>346.99575759874222</v>
      </c>
      <c r="DR188" s="324">
        <f t="shared" si="665"/>
        <v>346.99575759874222</v>
      </c>
      <c r="DS188" s="445">
        <f t="shared" si="666"/>
        <v>346.99575759874222</v>
      </c>
      <c r="DT188" s="324">
        <f t="shared" si="667"/>
        <v>346.99575759874222</v>
      </c>
      <c r="DU188" s="324">
        <f t="shared" si="668"/>
        <v>346.99575759874222</v>
      </c>
      <c r="DV188" s="389">
        <f>DO188*(1+DV$193)</f>
        <v>346.99575759874222</v>
      </c>
      <c r="DW188" s="324">
        <f t="shared" si="669"/>
        <v>355.67065153871073</v>
      </c>
      <c r="DX188" s="324">
        <f t="shared" si="670"/>
        <v>355.67065153871073</v>
      </c>
      <c r="DY188" s="324">
        <f t="shared" si="671"/>
        <v>355.67065153871073</v>
      </c>
      <c r="DZ188" s="445">
        <f t="shared" si="672"/>
        <v>355.67065153871073</v>
      </c>
      <c r="EA188" s="324">
        <f t="shared" si="673"/>
        <v>355.67065153871073</v>
      </c>
      <c r="EB188" s="324">
        <f t="shared" si="674"/>
        <v>355.67065153871073</v>
      </c>
      <c r="EC188" s="389">
        <f>DV188*(1+EC$193)</f>
        <v>355.67065153871073</v>
      </c>
      <c r="ED188" s="324">
        <f t="shared" si="675"/>
        <v>364.56241782717848</v>
      </c>
      <c r="EE188" s="324">
        <f t="shared" si="676"/>
        <v>364.56241782717848</v>
      </c>
      <c r="EF188" s="324">
        <f t="shared" si="677"/>
        <v>364.56241782717848</v>
      </c>
      <c r="EG188" s="445">
        <f t="shared" si="678"/>
        <v>364.56241782717848</v>
      </c>
      <c r="EH188" s="324">
        <f t="shared" si="679"/>
        <v>364.56241782717848</v>
      </c>
      <c r="EI188" s="324">
        <f t="shared" si="680"/>
        <v>364.56241782717848</v>
      </c>
      <c r="EJ188" s="389">
        <f>EC188*(1+EJ$193)</f>
        <v>364.56241782717848</v>
      </c>
      <c r="EK188" s="324">
        <f t="shared" si="681"/>
        <v>373.67647827285793</v>
      </c>
      <c r="EL188" s="324">
        <f t="shared" si="682"/>
        <v>373.67647827285793</v>
      </c>
      <c r="EM188" s="324">
        <f t="shared" si="683"/>
        <v>373.67647827285793</v>
      </c>
      <c r="EN188" s="445">
        <f t="shared" si="684"/>
        <v>373.67647827285793</v>
      </c>
      <c r="EO188" s="324">
        <f t="shared" si="685"/>
        <v>373.67647827285793</v>
      </c>
      <c r="EP188" s="324">
        <f t="shared" si="686"/>
        <v>373.67647827285793</v>
      </c>
      <c r="EQ188" s="389">
        <f>EJ188*(1+EQ$193)</f>
        <v>373.67647827285793</v>
      </c>
    </row>
    <row r="189" spans="1:147" ht="10.199999999999999" customHeight="1">
      <c r="A189" s="108" t="s">
        <v>369</v>
      </c>
      <c r="B189" s="43"/>
      <c r="C189" s="132"/>
      <c r="D189" s="132"/>
      <c r="E189" s="133"/>
      <c r="F189" s="133"/>
      <c r="G189" s="133"/>
      <c r="H189" s="133"/>
      <c r="I189" s="133"/>
      <c r="J189" s="133"/>
      <c r="K189" s="133"/>
      <c r="L189" s="133"/>
      <c r="M189" s="133">
        <v>267.60000000000002</v>
      </c>
      <c r="N189" s="197">
        <v>277.7</v>
      </c>
      <c r="O189" s="176"/>
      <c r="P189" s="176"/>
      <c r="Q189" s="176"/>
      <c r="R189" s="709"/>
      <c r="S189" s="176"/>
      <c r="T189" s="176"/>
      <c r="U189" s="352">
        <v>287.7</v>
      </c>
      <c r="V189" s="176"/>
      <c r="W189" s="176"/>
      <c r="X189" s="176"/>
      <c r="Y189" s="709"/>
      <c r="Z189" s="176"/>
      <c r="AA189" s="176"/>
      <c r="AB189" s="352">
        <v>295.2</v>
      </c>
      <c r="AC189" s="176"/>
      <c r="AD189" s="176"/>
      <c r="AE189" s="176"/>
      <c r="AF189" s="709"/>
      <c r="AG189" s="176"/>
      <c r="AH189" s="176"/>
      <c r="AI189" s="352">
        <v>304.8</v>
      </c>
      <c r="AJ189" s="176"/>
      <c r="AK189" s="176"/>
      <c r="AL189" s="176"/>
      <c r="AM189" s="709"/>
      <c r="AN189" s="176"/>
      <c r="AO189" s="176"/>
      <c r="AP189" s="352">
        <v>308.10000000000002</v>
      </c>
      <c r="AQ189" s="176"/>
      <c r="AR189" s="176"/>
      <c r="AS189" s="176"/>
      <c r="AT189" s="709"/>
      <c r="AU189" s="176"/>
      <c r="AV189" s="176"/>
      <c r="AW189" s="352">
        <v>311.2</v>
      </c>
      <c r="AX189" s="176"/>
      <c r="AY189" s="176"/>
      <c r="AZ189" s="176"/>
      <c r="BA189" s="709"/>
      <c r="BB189" s="176"/>
      <c r="BC189" s="176"/>
      <c r="BD189" s="352">
        <f t="shared" si="701"/>
        <v>311.2</v>
      </c>
      <c r="BE189" s="176"/>
      <c r="BF189" s="176"/>
      <c r="BG189" s="176"/>
      <c r="BH189" s="709"/>
      <c r="BI189" s="176"/>
      <c r="BJ189" s="176"/>
      <c r="BK189" s="352">
        <v>317.39999999999998</v>
      </c>
      <c r="BL189" s="176"/>
      <c r="BM189" s="176"/>
      <c r="BN189" s="176"/>
      <c r="BO189" s="709"/>
      <c r="BP189" s="176"/>
      <c r="BQ189" s="176"/>
      <c r="BR189" s="352">
        <f t="shared" si="706"/>
        <v>323.74799999999999</v>
      </c>
      <c r="BS189" s="176"/>
      <c r="BT189" s="176"/>
      <c r="BU189" s="176"/>
      <c r="BV189" s="709"/>
      <c r="BW189" s="176"/>
      <c r="BX189" s="176"/>
      <c r="BY189" s="352">
        <f>BR189*(1+BY$193)</f>
        <v>330.22296</v>
      </c>
      <c r="BZ189" s="176"/>
      <c r="CA189" s="176"/>
      <c r="CB189" s="176"/>
      <c r="CC189" s="709"/>
      <c r="CD189" s="176"/>
      <c r="CE189" s="176"/>
      <c r="CF189" s="352">
        <f t="shared" si="707"/>
        <v>336.82741920000001</v>
      </c>
      <c r="CG189" s="176"/>
      <c r="CH189" s="176"/>
      <c r="CI189" s="176"/>
      <c r="CJ189" s="709"/>
      <c r="CK189" s="176"/>
      <c r="CL189" s="176"/>
      <c r="CM189" s="352">
        <f>CF189*(1+CM$193)</f>
        <v>343.56396758400001</v>
      </c>
      <c r="CN189" s="176">
        <f t="shared" si="639"/>
        <v>355.58870644944</v>
      </c>
      <c r="CO189" s="176">
        <f t="shared" si="640"/>
        <v>355.58870644944</v>
      </c>
      <c r="CP189" s="176">
        <f t="shared" si="641"/>
        <v>355.58870644944</v>
      </c>
      <c r="CQ189" s="709">
        <f t="shared" si="642"/>
        <v>355.58870644944</v>
      </c>
      <c r="CR189" s="176">
        <f t="shared" si="643"/>
        <v>355.58870644944</v>
      </c>
      <c r="CS189" s="176">
        <f t="shared" si="644"/>
        <v>355.58870644944</v>
      </c>
      <c r="CT189" s="352">
        <f>CM189*(1+CT$193)</f>
        <v>355.58870644944</v>
      </c>
      <c r="CU189" s="176">
        <f t="shared" si="645"/>
        <v>364.47842411067597</v>
      </c>
      <c r="CV189" s="176">
        <f t="shared" si="646"/>
        <v>364.47842411067597</v>
      </c>
      <c r="CW189" s="176">
        <f t="shared" si="647"/>
        <v>364.47842411067597</v>
      </c>
      <c r="CX189" s="709">
        <f t="shared" si="648"/>
        <v>364.47842411067597</v>
      </c>
      <c r="CY189" s="176">
        <f t="shared" si="649"/>
        <v>364.47842411067597</v>
      </c>
      <c r="CZ189" s="176">
        <f t="shared" si="650"/>
        <v>364.47842411067597</v>
      </c>
      <c r="DA189" s="352">
        <f>CT189*(1+DA$193)</f>
        <v>364.47842411067597</v>
      </c>
      <c r="DB189" s="176">
        <f t="shared" si="651"/>
        <v>373.59038471344286</v>
      </c>
      <c r="DC189" s="176">
        <f t="shared" si="652"/>
        <v>373.59038471344286</v>
      </c>
      <c r="DD189" s="176">
        <f t="shared" si="653"/>
        <v>373.59038471344286</v>
      </c>
      <c r="DE189" s="709">
        <f t="shared" si="654"/>
        <v>373.59038471344286</v>
      </c>
      <c r="DF189" s="176">
        <f t="shared" si="655"/>
        <v>373.59038471344286</v>
      </c>
      <c r="DG189" s="176">
        <f t="shared" si="656"/>
        <v>373.59038471344286</v>
      </c>
      <c r="DH189" s="352">
        <f>DA189*(1+DH$193)</f>
        <v>373.59038471344286</v>
      </c>
      <c r="DI189" s="176">
        <f t="shared" si="657"/>
        <v>382.93014433127888</v>
      </c>
      <c r="DJ189" s="176">
        <f t="shared" si="658"/>
        <v>382.93014433127888</v>
      </c>
      <c r="DK189" s="324">
        <f t="shared" si="659"/>
        <v>382.93014433127888</v>
      </c>
      <c r="DL189" s="445">
        <f t="shared" si="660"/>
        <v>382.93014433127888</v>
      </c>
      <c r="DM189" s="176">
        <f t="shared" si="661"/>
        <v>382.93014433127888</v>
      </c>
      <c r="DN189" s="324">
        <f t="shared" si="662"/>
        <v>382.93014433127888</v>
      </c>
      <c r="DO189" s="389">
        <f>DH189*(1+DO$193)</f>
        <v>382.93014433127888</v>
      </c>
      <c r="DP189" s="324">
        <f t="shared" si="663"/>
        <v>392.50339793956084</v>
      </c>
      <c r="DQ189" s="324">
        <f t="shared" si="664"/>
        <v>392.50339793956084</v>
      </c>
      <c r="DR189" s="324">
        <f t="shared" si="665"/>
        <v>392.50339793956084</v>
      </c>
      <c r="DS189" s="445">
        <f t="shared" si="666"/>
        <v>392.50339793956084</v>
      </c>
      <c r="DT189" s="324">
        <f t="shared" si="667"/>
        <v>392.50339793956084</v>
      </c>
      <c r="DU189" s="324">
        <f t="shared" si="668"/>
        <v>392.50339793956084</v>
      </c>
      <c r="DV189" s="389">
        <f>DO189*(1+DV$193)</f>
        <v>392.50339793956084</v>
      </c>
      <c r="DW189" s="324">
        <f t="shared" si="669"/>
        <v>402.3159828880498</v>
      </c>
      <c r="DX189" s="324">
        <f t="shared" si="670"/>
        <v>402.3159828880498</v>
      </c>
      <c r="DY189" s="324">
        <f t="shared" si="671"/>
        <v>402.3159828880498</v>
      </c>
      <c r="DZ189" s="445">
        <f t="shared" si="672"/>
        <v>402.3159828880498</v>
      </c>
      <c r="EA189" s="324">
        <f t="shared" si="673"/>
        <v>402.3159828880498</v>
      </c>
      <c r="EB189" s="324">
        <f t="shared" si="674"/>
        <v>402.3159828880498</v>
      </c>
      <c r="EC189" s="389">
        <f>DV189*(1+EC$193)</f>
        <v>402.3159828880498</v>
      </c>
      <c r="ED189" s="324">
        <f t="shared" si="675"/>
        <v>412.37388246025102</v>
      </c>
      <c r="EE189" s="324">
        <f t="shared" si="676"/>
        <v>412.37388246025102</v>
      </c>
      <c r="EF189" s="324">
        <f t="shared" si="677"/>
        <v>412.37388246025102</v>
      </c>
      <c r="EG189" s="445">
        <f t="shared" si="678"/>
        <v>412.37388246025102</v>
      </c>
      <c r="EH189" s="324">
        <f t="shared" si="679"/>
        <v>412.37388246025102</v>
      </c>
      <c r="EI189" s="324">
        <f t="shared" si="680"/>
        <v>412.37388246025102</v>
      </c>
      <c r="EJ189" s="389">
        <f>EC189*(1+EJ$193)</f>
        <v>412.37388246025102</v>
      </c>
      <c r="EK189" s="324">
        <f t="shared" si="681"/>
        <v>422.68322952175726</v>
      </c>
      <c r="EL189" s="324">
        <f t="shared" si="682"/>
        <v>422.68322952175726</v>
      </c>
      <c r="EM189" s="324">
        <f t="shared" si="683"/>
        <v>422.68322952175726</v>
      </c>
      <c r="EN189" s="445">
        <f t="shared" si="684"/>
        <v>422.68322952175726</v>
      </c>
      <c r="EO189" s="324">
        <f t="shared" si="685"/>
        <v>422.68322952175726</v>
      </c>
      <c r="EP189" s="324">
        <f t="shared" si="686"/>
        <v>422.68322952175726</v>
      </c>
      <c r="EQ189" s="389">
        <f>EJ189*(1+EQ$193)</f>
        <v>422.68322952175726</v>
      </c>
    </row>
    <row r="190" spans="1:147" ht="10.199999999999999" customHeight="1">
      <c r="A190" s="108" t="s">
        <v>370</v>
      </c>
      <c r="B190" s="43"/>
      <c r="C190" s="136"/>
      <c r="D190" s="136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76"/>
      <c r="P190" s="176"/>
      <c r="Q190" s="176"/>
      <c r="R190" s="709"/>
      <c r="S190" s="176"/>
      <c r="T190" s="176"/>
      <c r="U190" s="352">
        <v>332.1</v>
      </c>
      <c r="V190" s="176"/>
      <c r="W190" s="176"/>
      <c r="X190" s="176"/>
      <c r="Y190" s="709"/>
      <c r="Z190" s="176"/>
      <c r="AA190" s="176"/>
      <c r="AB190" s="352">
        <v>340.7</v>
      </c>
      <c r="AC190" s="176"/>
      <c r="AD190" s="176"/>
      <c r="AE190" s="176"/>
      <c r="AF190" s="709"/>
      <c r="AG190" s="176"/>
      <c r="AH190" s="176"/>
      <c r="AI190" s="352">
        <v>351.9</v>
      </c>
      <c r="AJ190" s="176"/>
      <c r="AK190" s="176"/>
      <c r="AL190" s="176"/>
      <c r="AM190" s="709"/>
      <c r="AN190" s="176"/>
      <c r="AO190" s="176"/>
      <c r="AP190" s="352">
        <v>355.7</v>
      </c>
      <c r="AQ190" s="176"/>
      <c r="AR190" s="176"/>
      <c r="AS190" s="176"/>
      <c r="AT190" s="709"/>
      <c r="AU190" s="176"/>
      <c r="AV190" s="176"/>
      <c r="AW190" s="352">
        <v>359.3</v>
      </c>
      <c r="AX190" s="176"/>
      <c r="AY190" s="176"/>
      <c r="AZ190" s="176"/>
      <c r="BA190" s="709"/>
      <c r="BB190" s="176"/>
      <c r="BC190" s="176"/>
      <c r="BD190" s="352">
        <f t="shared" si="701"/>
        <v>359.3</v>
      </c>
      <c r="BE190" s="176"/>
      <c r="BF190" s="176"/>
      <c r="BG190" s="176"/>
      <c r="BH190" s="709"/>
      <c r="BI190" s="176"/>
      <c r="BJ190" s="176"/>
      <c r="BK190" s="352">
        <v>366.5</v>
      </c>
      <c r="BL190" s="176"/>
      <c r="BM190" s="176"/>
      <c r="BN190" s="176"/>
      <c r="BO190" s="709"/>
      <c r="BP190" s="176"/>
      <c r="BQ190" s="176"/>
      <c r="BR190" s="352">
        <f t="shared" si="706"/>
        <v>373.83</v>
      </c>
      <c r="BS190" s="176"/>
      <c r="BT190" s="176"/>
      <c r="BU190" s="176"/>
      <c r="BV190" s="709"/>
      <c r="BW190" s="176"/>
      <c r="BX190" s="176"/>
      <c r="BY190" s="352">
        <f>BR190*(1+BY$193)</f>
        <v>381.3066</v>
      </c>
      <c r="BZ190" s="176"/>
      <c r="CA190" s="176"/>
      <c r="CB190" s="176"/>
      <c r="CC190" s="709"/>
      <c r="CD190" s="176"/>
      <c r="CE190" s="176"/>
      <c r="CF190" s="352">
        <f t="shared" si="707"/>
        <v>388.93273199999999</v>
      </c>
      <c r="CG190" s="176"/>
      <c r="CH190" s="176"/>
      <c r="CI190" s="176"/>
      <c r="CJ190" s="709"/>
      <c r="CK190" s="176"/>
      <c r="CL190" s="176"/>
      <c r="CM190" s="352">
        <f>CF190*(1+CM$193)</f>
        <v>396.71138664</v>
      </c>
      <c r="CN190" s="176">
        <f t="shared" si="639"/>
        <v>410.59628517239997</v>
      </c>
      <c r="CO190" s="176">
        <f t="shared" si="640"/>
        <v>410.59628517239997</v>
      </c>
      <c r="CP190" s="176">
        <f t="shared" si="641"/>
        <v>410.59628517239997</v>
      </c>
      <c r="CQ190" s="709">
        <f t="shared" si="642"/>
        <v>410.59628517239997</v>
      </c>
      <c r="CR190" s="176">
        <f t="shared" si="643"/>
        <v>410.59628517239997</v>
      </c>
      <c r="CS190" s="176">
        <f t="shared" si="644"/>
        <v>410.59628517239997</v>
      </c>
      <c r="CT190" s="352">
        <f>CM190*(1+CT$193)</f>
        <v>410.59628517239997</v>
      </c>
      <c r="CU190" s="176">
        <f t="shared" si="645"/>
        <v>420.86119230170993</v>
      </c>
      <c r="CV190" s="176">
        <f t="shared" si="646"/>
        <v>420.86119230170993</v>
      </c>
      <c r="CW190" s="176">
        <f t="shared" si="647"/>
        <v>420.86119230170993</v>
      </c>
      <c r="CX190" s="709">
        <f t="shared" si="648"/>
        <v>420.86119230170993</v>
      </c>
      <c r="CY190" s="176">
        <f t="shared" si="649"/>
        <v>420.86119230170993</v>
      </c>
      <c r="CZ190" s="176">
        <f t="shared" si="650"/>
        <v>420.86119230170993</v>
      </c>
      <c r="DA190" s="352">
        <f>CT190*(1+DA$193)</f>
        <v>420.86119230170993</v>
      </c>
      <c r="DB190" s="176">
        <f t="shared" si="651"/>
        <v>431.38272210925265</v>
      </c>
      <c r="DC190" s="176">
        <f t="shared" si="652"/>
        <v>431.38272210925265</v>
      </c>
      <c r="DD190" s="176">
        <f t="shared" si="653"/>
        <v>431.38272210925265</v>
      </c>
      <c r="DE190" s="709">
        <f t="shared" si="654"/>
        <v>431.38272210925265</v>
      </c>
      <c r="DF190" s="176">
        <f t="shared" si="655"/>
        <v>431.38272210925265</v>
      </c>
      <c r="DG190" s="176">
        <f t="shared" si="656"/>
        <v>431.38272210925265</v>
      </c>
      <c r="DH190" s="352">
        <f>DA190*(1+DH$193)</f>
        <v>431.38272210925265</v>
      </c>
      <c r="DI190" s="176">
        <f t="shared" si="657"/>
        <v>442.16729016198394</v>
      </c>
      <c r="DJ190" s="176">
        <f t="shared" si="658"/>
        <v>442.16729016198394</v>
      </c>
      <c r="DK190" s="324">
        <f t="shared" si="659"/>
        <v>442.16729016198394</v>
      </c>
      <c r="DL190" s="445">
        <f t="shared" si="660"/>
        <v>442.16729016198394</v>
      </c>
      <c r="DM190" s="176">
        <f t="shared" si="661"/>
        <v>442.16729016198394</v>
      </c>
      <c r="DN190" s="324">
        <f t="shared" si="662"/>
        <v>442.16729016198394</v>
      </c>
      <c r="DO190" s="389">
        <f>DH190*(1+DO$193)</f>
        <v>442.16729016198394</v>
      </c>
      <c r="DP190" s="324">
        <f t="shared" si="663"/>
        <v>453.22147241603352</v>
      </c>
      <c r="DQ190" s="324">
        <f t="shared" si="664"/>
        <v>453.22147241603352</v>
      </c>
      <c r="DR190" s="324">
        <f t="shared" si="665"/>
        <v>453.22147241603352</v>
      </c>
      <c r="DS190" s="445">
        <f t="shared" si="666"/>
        <v>453.22147241603352</v>
      </c>
      <c r="DT190" s="324">
        <f t="shared" si="667"/>
        <v>453.22147241603352</v>
      </c>
      <c r="DU190" s="324">
        <f t="shared" si="668"/>
        <v>453.22147241603352</v>
      </c>
      <c r="DV190" s="389">
        <f>DO190*(1+DV$193)</f>
        <v>453.22147241603352</v>
      </c>
      <c r="DW190" s="324">
        <f t="shared" si="669"/>
        <v>464.55200922643434</v>
      </c>
      <c r="DX190" s="324">
        <f t="shared" si="670"/>
        <v>464.55200922643434</v>
      </c>
      <c r="DY190" s="324">
        <f t="shared" si="671"/>
        <v>464.55200922643434</v>
      </c>
      <c r="DZ190" s="445">
        <f t="shared" si="672"/>
        <v>464.55200922643434</v>
      </c>
      <c r="EA190" s="324">
        <f t="shared" si="673"/>
        <v>464.55200922643434</v>
      </c>
      <c r="EB190" s="324">
        <f t="shared" si="674"/>
        <v>464.55200922643434</v>
      </c>
      <c r="EC190" s="389">
        <f>DV190*(1+EC$193)</f>
        <v>464.55200922643434</v>
      </c>
      <c r="ED190" s="324">
        <f t="shared" si="675"/>
        <v>476.16580945709518</v>
      </c>
      <c r="EE190" s="324">
        <f t="shared" si="676"/>
        <v>476.16580945709518</v>
      </c>
      <c r="EF190" s="324">
        <f t="shared" si="677"/>
        <v>476.16580945709518</v>
      </c>
      <c r="EG190" s="445">
        <f t="shared" si="678"/>
        <v>476.16580945709518</v>
      </c>
      <c r="EH190" s="324">
        <f t="shared" si="679"/>
        <v>476.16580945709518</v>
      </c>
      <c r="EI190" s="324">
        <f t="shared" si="680"/>
        <v>476.16580945709518</v>
      </c>
      <c r="EJ190" s="389">
        <f>EC190*(1+EJ$193)</f>
        <v>476.16580945709518</v>
      </c>
      <c r="EK190" s="324">
        <f t="shared" si="681"/>
        <v>488.0699546935225</v>
      </c>
      <c r="EL190" s="324">
        <f t="shared" si="682"/>
        <v>488.0699546935225</v>
      </c>
      <c r="EM190" s="324">
        <f t="shared" si="683"/>
        <v>488.0699546935225</v>
      </c>
      <c r="EN190" s="445">
        <f t="shared" si="684"/>
        <v>488.0699546935225</v>
      </c>
      <c r="EO190" s="324">
        <f t="shared" si="685"/>
        <v>488.0699546935225</v>
      </c>
      <c r="EP190" s="324">
        <f t="shared" si="686"/>
        <v>488.0699546935225</v>
      </c>
      <c r="EQ190" s="389">
        <f>EJ190*(1+EQ$193)</f>
        <v>488.0699546935225</v>
      </c>
    </row>
    <row r="191" spans="1:147" ht="10.199999999999999" hidden="1" customHeight="1" outlineLevel="1">
      <c r="A191" s="43" t="s">
        <v>133</v>
      </c>
      <c r="B191" s="43"/>
      <c r="C191" s="192"/>
      <c r="D191" s="192"/>
      <c r="E191" s="191"/>
      <c r="F191" s="191"/>
      <c r="G191" s="191"/>
      <c r="H191" s="191"/>
      <c r="I191" s="191">
        <v>280</v>
      </c>
      <c r="J191" s="191">
        <v>320</v>
      </c>
      <c r="K191" s="191">
        <f>+J191*1.015</f>
        <v>324.79999999999995</v>
      </c>
      <c r="L191" s="191">
        <v>346.3</v>
      </c>
      <c r="M191" s="191">
        <v>375.3</v>
      </c>
      <c r="N191" s="176">
        <v>389.9</v>
      </c>
      <c r="O191" s="176"/>
      <c r="P191" s="176"/>
      <c r="Q191" s="176"/>
      <c r="R191" s="709"/>
      <c r="S191" s="176"/>
      <c r="T191" s="176"/>
      <c r="U191" s="352">
        <v>403.9</v>
      </c>
      <c r="V191" s="176"/>
      <c r="W191" s="176"/>
      <c r="X191" s="176"/>
      <c r="Y191" s="709"/>
      <c r="Z191" s="176"/>
      <c r="AA191" s="176"/>
      <c r="AB191" s="352">
        <v>414.4</v>
      </c>
      <c r="AC191" s="176"/>
      <c r="AD191" s="176"/>
      <c r="AE191" s="176"/>
      <c r="AF191" s="709"/>
      <c r="AG191" s="176"/>
      <c r="AH191" s="176"/>
      <c r="AI191" s="352">
        <v>428</v>
      </c>
      <c r="AJ191" s="176"/>
      <c r="AK191" s="176"/>
      <c r="AL191" s="176"/>
      <c r="AM191" s="709"/>
      <c r="AN191" s="176"/>
      <c r="AO191" s="176"/>
      <c r="AP191" s="352">
        <v>432.6</v>
      </c>
      <c r="AQ191" s="176"/>
      <c r="AR191" s="176"/>
      <c r="AS191" s="176"/>
      <c r="AT191" s="709"/>
      <c r="AU191" s="176"/>
      <c r="AV191" s="176"/>
      <c r="AW191" s="352">
        <v>436.9</v>
      </c>
      <c r="AX191" s="176"/>
      <c r="AY191" s="176"/>
      <c r="AZ191" s="176"/>
      <c r="BA191" s="709"/>
      <c r="BB191" s="176"/>
      <c r="BC191" s="176"/>
      <c r="BD191" s="352">
        <f t="shared" si="701"/>
        <v>436.9</v>
      </c>
      <c r="BE191" s="176"/>
      <c r="BF191" s="176"/>
      <c r="BG191" s="176"/>
      <c r="BH191" s="709"/>
      <c r="BI191" s="176"/>
      <c r="BJ191" s="176"/>
      <c r="BK191" s="352">
        <v>445.6</v>
      </c>
      <c r="BL191" s="176"/>
      <c r="BM191" s="176"/>
      <c r="BN191" s="176"/>
      <c r="BO191" s="709"/>
      <c r="BP191" s="176"/>
      <c r="BQ191" s="176"/>
      <c r="BR191" s="352">
        <f t="shared" si="706"/>
        <v>454.51200000000006</v>
      </c>
      <c r="BS191" s="176"/>
      <c r="BT191" s="176"/>
      <c r="BU191" s="176"/>
      <c r="BV191" s="709"/>
      <c r="BW191" s="176"/>
      <c r="BX191" s="176"/>
      <c r="BY191" s="352">
        <f>BR191*(1+BY$193)</f>
        <v>463.60224000000005</v>
      </c>
      <c r="BZ191" s="176"/>
      <c r="CA191" s="176"/>
      <c r="CB191" s="176"/>
      <c r="CC191" s="709"/>
      <c r="CD191" s="176"/>
      <c r="CE191" s="176"/>
      <c r="CF191" s="352">
        <f t="shared" si="707"/>
        <v>472.87428480000005</v>
      </c>
      <c r="CG191" s="176"/>
      <c r="CH191" s="176"/>
      <c r="CI191" s="176"/>
      <c r="CJ191" s="709"/>
      <c r="CK191" s="176"/>
      <c r="CL191" s="176"/>
      <c r="CM191" s="352">
        <f>CF191*(1+CM$193)</f>
        <v>482.33177049600005</v>
      </c>
      <c r="CN191" s="176">
        <f t="shared" si="639"/>
        <v>499.21338246336001</v>
      </c>
      <c r="CO191" s="176">
        <f t="shared" si="640"/>
        <v>499.21338246336001</v>
      </c>
      <c r="CP191" s="176">
        <f t="shared" si="641"/>
        <v>499.21338246336001</v>
      </c>
      <c r="CQ191" s="709">
        <f t="shared" si="642"/>
        <v>499.21338246336001</v>
      </c>
      <c r="CR191" s="176">
        <f t="shared" si="643"/>
        <v>499.21338246336001</v>
      </c>
      <c r="CS191" s="176">
        <f t="shared" si="644"/>
        <v>499.21338246336001</v>
      </c>
      <c r="CT191" s="352">
        <f>CM191*(1+CT$193)</f>
        <v>499.21338246336001</v>
      </c>
      <c r="CU191" s="176">
        <f t="shared" si="645"/>
        <v>511.69371702494396</v>
      </c>
      <c r="CV191" s="176">
        <f t="shared" si="646"/>
        <v>511.69371702494396</v>
      </c>
      <c r="CW191" s="176">
        <f t="shared" si="647"/>
        <v>511.69371702494396</v>
      </c>
      <c r="CX191" s="709">
        <f t="shared" si="648"/>
        <v>511.69371702494396</v>
      </c>
      <c r="CY191" s="176">
        <f t="shared" si="649"/>
        <v>511.69371702494396</v>
      </c>
      <c r="CZ191" s="176">
        <f t="shared" si="650"/>
        <v>511.69371702494396</v>
      </c>
      <c r="DA191" s="352">
        <f>CT191*(1+DA$193)</f>
        <v>511.69371702494396</v>
      </c>
      <c r="DB191" s="176">
        <f t="shared" si="651"/>
        <v>524.48605995056755</v>
      </c>
      <c r="DC191" s="176">
        <f t="shared" si="652"/>
        <v>524.48605995056755</v>
      </c>
      <c r="DD191" s="176">
        <f t="shared" si="653"/>
        <v>524.48605995056755</v>
      </c>
      <c r="DE191" s="445">
        <f t="shared" si="654"/>
        <v>524.48605995056755</v>
      </c>
      <c r="DF191" s="176">
        <f t="shared" si="655"/>
        <v>524.48605995056755</v>
      </c>
      <c r="DG191" s="324">
        <f t="shared" si="656"/>
        <v>524.48605995056755</v>
      </c>
      <c r="DH191" s="389">
        <f>DA191*(1+DH$193)</f>
        <v>524.48605995056755</v>
      </c>
      <c r="DI191" s="324">
        <f t="shared" si="657"/>
        <v>537.59821144933164</v>
      </c>
      <c r="DJ191" s="324">
        <f t="shared" si="658"/>
        <v>537.59821144933164</v>
      </c>
      <c r="DK191" s="324">
        <f t="shared" si="659"/>
        <v>537.59821144933164</v>
      </c>
      <c r="DL191" s="445">
        <f t="shared" si="660"/>
        <v>537.59821144933164</v>
      </c>
      <c r="DM191" s="324">
        <f t="shared" si="661"/>
        <v>537.59821144933164</v>
      </c>
      <c r="DN191" s="324">
        <f t="shared" si="662"/>
        <v>537.59821144933164</v>
      </c>
      <c r="DO191" s="389">
        <f>DH191*(1+DO$193)</f>
        <v>537.59821144933164</v>
      </c>
      <c r="DP191" s="324">
        <f t="shared" si="663"/>
        <v>551.03816673556491</v>
      </c>
      <c r="DQ191" s="324">
        <f t="shared" si="664"/>
        <v>551.03816673556491</v>
      </c>
      <c r="DR191" s="324">
        <f t="shared" si="665"/>
        <v>551.03816673556491</v>
      </c>
      <c r="DS191" s="445">
        <f t="shared" si="666"/>
        <v>551.03816673556491</v>
      </c>
      <c r="DT191" s="324">
        <f t="shared" si="667"/>
        <v>551.03816673556491</v>
      </c>
      <c r="DU191" s="324">
        <f t="shared" si="668"/>
        <v>551.03816673556491</v>
      </c>
      <c r="DV191" s="389">
        <f>DO191*(1+DV$193)</f>
        <v>551.03816673556491</v>
      </c>
      <c r="DW191" s="324">
        <f t="shared" si="669"/>
        <v>564.81412090395395</v>
      </c>
      <c r="DX191" s="324">
        <f t="shared" si="670"/>
        <v>564.81412090395395</v>
      </c>
      <c r="DY191" s="324">
        <f t="shared" si="671"/>
        <v>564.81412090395395</v>
      </c>
      <c r="DZ191" s="445">
        <f t="shared" si="672"/>
        <v>564.81412090395395</v>
      </c>
      <c r="EA191" s="324">
        <f t="shared" si="673"/>
        <v>564.81412090395395</v>
      </c>
      <c r="EB191" s="324">
        <f t="shared" si="674"/>
        <v>564.81412090395395</v>
      </c>
      <c r="EC191" s="389">
        <f>DV191*(1+EC$193)</f>
        <v>564.81412090395395</v>
      </c>
      <c r="ED191" s="324">
        <f t="shared" si="675"/>
        <v>578.93447392655276</v>
      </c>
      <c r="EE191" s="324">
        <f t="shared" si="676"/>
        <v>578.93447392655276</v>
      </c>
      <c r="EF191" s="324">
        <f t="shared" si="677"/>
        <v>578.93447392655276</v>
      </c>
      <c r="EG191" s="445">
        <f t="shared" si="678"/>
        <v>578.93447392655276</v>
      </c>
      <c r="EH191" s="324">
        <f t="shared" si="679"/>
        <v>578.93447392655276</v>
      </c>
      <c r="EI191" s="324">
        <f t="shared" si="680"/>
        <v>578.93447392655276</v>
      </c>
      <c r="EJ191" s="389">
        <f>EC191*(1+EJ$193)</f>
        <v>578.93447392655276</v>
      </c>
      <c r="EK191" s="324">
        <f t="shared" si="681"/>
        <v>593.40783577471655</v>
      </c>
      <c r="EL191" s="324">
        <f t="shared" si="682"/>
        <v>593.40783577471655</v>
      </c>
      <c r="EM191" s="324">
        <f t="shared" si="683"/>
        <v>593.40783577471655</v>
      </c>
      <c r="EN191" s="445">
        <f t="shared" si="684"/>
        <v>593.40783577471655</v>
      </c>
      <c r="EO191" s="324">
        <f t="shared" si="685"/>
        <v>593.40783577471655</v>
      </c>
      <c r="EP191" s="324">
        <f t="shared" si="686"/>
        <v>593.40783577471655</v>
      </c>
      <c r="EQ191" s="389">
        <f>EJ191*(1+EQ$193)</f>
        <v>593.40783577471655</v>
      </c>
    </row>
    <row r="192" spans="1:147" ht="10.199999999999999" customHeight="1" collapsed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327"/>
      <c r="P192" s="327"/>
      <c r="Q192" s="327"/>
      <c r="R192" s="453"/>
      <c r="S192" s="327"/>
      <c r="T192" s="327"/>
      <c r="U192" s="353"/>
      <c r="V192" s="327"/>
      <c r="W192" s="327"/>
      <c r="X192" s="327"/>
      <c r="Y192" s="453"/>
      <c r="Z192" s="327"/>
      <c r="AA192" s="327"/>
      <c r="AB192" s="353"/>
      <c r="AC192" s="327"/>
      <c r="AD192" s="327"/>
      <c r="AE192" s="327"/>
      <c r="AF192" s="453"/>
      <c r="AG192" s="327"/>
      <c r="AH192" s="327"/>
      <c r="AI192" s="353"/>
      <c r="AJ192" s="327"/>
      <c r="AK192" s="327"/>
      <c r="AL192" s="327"/>
      <c r="AM192" s="453"/>
      <c r="AN192" s="327"/>
      <c r="AO192" s="327"/>
      <c r="AP192" s="353"/>
      <c r="AQ192" s="327"/>
      <c r="AR192" s="327"/>
      <c r="AS192" s="327"/>
      <c r="AT192" s="453"/>
      <c r="AU192" s="327"/>
      <c r="AV192" s="327"/>
      <c r="AW192" s="353"/>
      <c r="AX192" s="327"/>
      <c r="AY192" s="327"/>
      <c r="AZ192" s="327"/>
      <c r="BA192" s="453"/>
      <c r="BB192" s="327"/>
      <c r="BC192" s="327"/>
      <c r="BD192" s="353"/>
      <c r="BE192" s="327"/>
      <c r="BF192" s="327"/>
      <c r="BG192" s="327"/>
      <c r="BH192" s="453"/>
      <c r="BI192" s="327"/>
      <c r="BJ192" s="327"/>
      <c r="BK192" s="353"/>
      <c r="BL192" s="327"/>
      <c r="BM192" s="327"/>
      <c r="BN192" s="327"/>
      <c r="BO192" s="453"/>
      <c r="BP192" s="327"/>
      <c r="BQ192" s="327"/>
      <c r="BR192" s="353"/>
      <c r="BS192" s="327"/>
      <c r="BT192" s="327"/>
      <c r="BU192" s="327"/>
      <c r="BV192" s="453"/>
      <c r="BW192" s="327"/>
      <c r="BX192" s="327"/>
      <c r="BY192" s="353"/>
      <c r="BZ192" s="327"/>
      <c r="CA192" s="327"/>
      <c r="CB192" s="327"/>
      <c r="CC192" s="453"/>
      <c r="CD192" s="327"/>
      <c r="CE192" s="327"/>
      <c r="CF192" s="353"/>
      <c r="CG192" s="327"/>
      <c r="CH192" s="327"/>
      <c r="CI192" s="327"/>
      <c r="CJ192" s="453"/>
      <c r="CK192" s="327"/>
      <c r="CL192" s="327"/>
      <c r="CM192" s="353"/>
      <c r="CN192" s="327"/>
      <c r="CO192" s="327"/>
      <c r="CP192" s="327"/>
      <c r="CQ192" s="453"/>
      <c r="CR192" s="327"/>
      <c r="CS192" s="327"/>
      <c r="CT192" s="353"/>
      <c r="CU192" s="327"/>
      <c r="CV192" s="327"/>
      <c r="CW192" s="327"/>
      <c r="CX192" s="453"/>
      <c r="CY192" s="327"/>
      <c r="CZ192" s="327"/>
      <c r="DA192" s="353"/>
      <c r="DB192" s="327"/>
      <c r="DC192" s="327"/>
      <c r="DD192" s="158"/>
      <c r="DE192" s="453"/>
      <c r="DF192" s="327"/>
      <c r="DG192" s="327"/>
      <c r="DH192" s="353"/>
      <c r="DI192" s="327"/>
      <c r="DJ192" s="327"/>
      <c r="DK192" s="327"/>
      <c r="DL192" s="453"/>
      <c r="DM192" s="327"/>
      <c r="DN192" s="327"/>
      <c r="DO192" s="353"/>
      <c r="DP192" s="327"/>
      <c r="DQ192" s="327"/>
      <c r="DR192" s="327"/>
      <c r="DS192" s="453"/>
      <c r="DT192" s="327"/>
      <c r="DU192" s="327"/>
      <c r="DV192" s="353"/>
      <c r="DW192" s="327"/>
      <c r="DX192" s="327"/>
      <c r="DY192" s="327"/>
      <c r="DZ192" s="453"/>
      <c r="EA192" s="327"/>
      <c r="EB192" s="327"/>
      <c r="EC192" s="353"/>
      <c r="ED192" s="327"/>
      <c r="EE192" s="327"/>
      <c r="EF192" s="327"/>
      <c r="EG192" s="453"/>
      <c r="EH192" s="327"/>
      <c r="EI192" s="327"/>
      <c r="EJ192" s="353"/>
      <c r="EK192" s="327"/>
      <c r="EL192" s="327"/>
      <c r="EM192" s="327"/>
      <c r="EN192" s="453"/>
      <c r="EO192" s="327"/>
      <c r="EP192" s="327"/>
      <c r="EQ192" s="353"/>
    </row>
    <row r="193" spans="1:147" ht="10.199999999999999" customHeight="1">
      <c r="A193" s="594" t="s">
        <v>735</v>
      </c>
      <c r="B193" s="594"/>
      <c r="C193" s="594"/>
      <c r="D193" s="594"/>
      <c r="E193" s="594"/>
      <c r="F193" s="594"/>
      <c r="G193" s="594"/>
      <c r="H193" s="594"/>
      <c r="I193" s="594"/>
      <c r="J193" s="594"/>
      <c r="K193" s="594"/>
      <c r="L193" s="594"/>
      <c r="M193" s="594"/>
      <c r="N193" s="594">
        <f>(N173+N174+N175+N176+N180+N181+N189+N191)/(M173+M174+M175+M176+M180+M181+M189+M191)-1</f>
        <v>3.9639833548571923E-2</v>
      </c>
      <c r="O193" s="595"/>
      <c r="P193" s="595"/>
      <c r="Q193" s="595"/>
      <c r="R193" s="596"/>
      <c r="S193" s="595"/>
      <c r="T193" s="595"/>
      <c r="U193" s="1393">
        <f>(U173+U174+U175+U176+U180+U181+U189+U191)/(N173+N174+N175+N176+N180+N181+N189+N191)-1</f>
        <v>3.5920085573306837E-2</v>
      </c>
      <c r="V193" s="595"/>
      <c r="W193" s="595"/>
      <c r="X193" s="595"/>
      <c r="Y193" s="596"/>
      <c r="Z193" s="595"/>
      <c r="AA193" s="595"/>
      <c r="AB193" s="1393">
        <f>(SUM(AB173:AB181)+SUM(AB188:AB191))/(SUM(U173:U181)+SUM(U188:U191))-1</f>
        <v>2.6010596136998743E-2</v>
      </c>
      <c r="AC193" s="595"/>
      <c r="AD193" s="595"/>
      <c r="AE193" s="595"/>
      <c r="AF193" s="596"/>
      <c r="AG193" s="595"/>
      <c r="AH193" s="595"/>
      <c r="AI193" s="1393">
        <f>(SUM(AI173:AI181)+SUM(AI188:AI191))/(SUM(AB173:AB181)+SUM(AB188:AB191))-1</f>
        <v>3.2181991908760033E-2</v>
      </c>
      <c r="AJ193" s="595"/>
      <c r="AK193" s="595"/>
      <c r="AL193" s="595"/>
      <c r="AM193" s="596"/>
      <c r="AN193" s="595"/>
      <c r="AO193" s="595"/>
      <c r="AP193" s="1393">
        <f>SUM(AP173:AP191)/SUM(AI173:AI191)-1</f>
        <v>1.0739390783649938E-2</v>
      </c>
      <c r="AQ193" s="595"/>
      <c r="AR193" s="595"/>
      <c r="AS193" s="595"/>
      <c r="AT193" s="596"/>
      <c r="AU193" s="595"/>
      <c r="AV193" s="595"/>
      <c r="AW193" s="1393">
        <f>SUM(AW173:AW191)/SUM(AP173:AP191)-1</f>
        <v>1.0045720909266587E-2</v>
      </c>
      <c r="AX193" s="595"/>
      <c r="AY193" s="595"/>
      <c r="AZ193" s="595"/>
      <c r="BA193" s="596"/>
      <c r="BB193" s="595"/>
      <c r="BC193" s="595"/>
      <c r="BD193" s="1393">
        <f>AW193</f>
        <v>1.0045720909266587E-2</v>
      </c>
      <c r="BE193" s="595"/>
      <c r="BF193" s="595"/>
      <c r="BG193" s="595"/>
      <c r="BH193" s="596"/>
      <c r="BI193" s="595"/>
      <c r="BJ193" s="595"/>
      <c r="BK193" s="1393">
        <f>SUM(BK173:BK191)/SUM(BD173:BD191)-1</f>
        <v>1.9987248963978299E-2</v>
      </c>
      <c r="BL193" s="595"/>
      <c r="BM193" s="595"/>
      <c r="BN193" s="595"/>
      <c r="BO193" s="596"/>
      <c r="BP193" s="595"/>
      <c r="BQ193" s="595"/>
      <c r="BR193" s="1393">
        <v>0.02</v>
      </c>
      <c r="BS193" s="595"/>
      <c r="BT193" s="595"/>
      <c r="BU193" s="595"/>
      <c r="BV193" s="596"/>
      <c r="BW193" s="595"/>
      <c r="BX193" s="595"/>
      <c r="BY193" s="1393">
        <v>0.02</v>
      </c>
      <c r="BZ193" s="595"/>
      <c r="CA193" s="595"/>
      <c r="CB193" s="595"/>
      <c r="CC193" s="596"/>
      <c r="CD193" s="595"/>
      <c r="CE193" s="595"/>
      <c r="CF193" s="1393">
        <v>0.02</v>
      </c>
      <c r="CG193" s="595"/>
      <c r="CH193" s="595"/>
      <c r="CI193" s="595"/>
      <c r="CJ193" s="596"/>
      <c r="CK193" s="595"/>
      <c r="CL193" s="595"/>
      <c r="CM193" s="1393">
        <v>0.02</v>
      </c>
      <c r="CN193" s="595"/>
      <c r="CO193" s="595"/>
      <c r="CP193" s="595"/>
      <c r="CQ193" s="596"/>
      <c r="CR193" s="595"/>
      <c r="CS193" s="595"/>
      <c r="CT193" s="1393">
        <v>3.5000000000000003E-2</v>
      </c>
      <c r="CU193" s="595"/>
      <c r="CV193" s="595"/>
      <c r="CW193" s="595"/>
      <c r="CX193" s="596"/>
      <c r="CY193" s="595"/>
      <c r="CZ193" s="595"/>
      <c r="DA193" s="1811">
        <v>2.5000000000000001E-2</v>
      </c>
      <c r="DB193" s="595"/>
      <c r="DC193" s="595"/>
      <c r="DD193" s="595"/>
      <c r="DE193" s="596"/>
      <c r="DF193" s="595"/>
      <c r="DG193" s="595"/>
      <c r="DH193" s="1930">
        <v>2.5000000000000001E-2</v>
      </c>
      <c r="DI193" s="595"/>
      <c r="DJ193" s="595"/>
      <c r="DK193" s="595"/>
      <c r="DL193" s="596"/>
      <c r="DM193" s="595"/>
      <c r="DN193" s="595"/>
      <c r="DO193" s="597">
        <v>2.5000000000000001E-2</v>
      </c>
      <c r="DP193" s="595"/>
      <c r="DQ193" s="595"/>
      <c r="DR193" s="595"/>
      <c r="DS193" s="596"/>
      <c r="DT193" s="595"/>
      <c r="DU193" s="595"/>
      <c r="DV193" s="597">
        <v>2.5000000000000001E-2</v>
      </c>
      <c r="DW193" s="595"/>
      <c r="DX193" s="595"/>
      <c r="DY193" s="595"/>
      <c r="DZ193" s="596"/>
      <c r="EA193" s="595"/>
      <c r="EB193" s="595"/>
      <c r="EC193" s="597">
        <v>2.5000000000000001E-2</v>
      </c>
      <c r="ED193" s="595"/>
      <c r="EE193" s="595"/>
      <c r="EF193" s="595"/>
      <c r="EG193" s="596"/>
      <c r="EH193" s="595"/>
      <c r="EI193" s="595"/>
      <c r="EJ193" s="597">
        <v>2.5000000000000001E-2</v>
      </c>
      <c r="EK193" s="595"/>
      <c r="EL193" s="595"/>
      <c r="EM193" s="595"/>
      <c r="EN193" s="596"/>
      <c r="EO193" s="595"/>
      <c r="EP193" s="595"/>
      <c r="EQ193" s="597">
        <v>2.5000000000000001E-2</v>
      </c>
    </row>
    <row r="194" spans="1:147" ht="10.199999999999999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327"/>
      <c r="P194" s="327"/>
      <c r="Q194" s="327"/>
      <c r="R194" s="453"/>
      <c r="S194" s="327"/>
      <c r="T194" s="327"/>
      <c r="U194" s="353"/>
      <c r="V194" s="327"/>
      <c r="W194" s="327"/>
      <c r="X194" s="327"/>
      <c r="Y194" s="453"/>
      <c r="Z194" s="327"/>
      <c r="AA194" s="327"/>
      <c r="AB194" s="353"/>
      <c r="AC194" s="327"/>
      <c r="AD194" s="327"/>
      <c r="AE194" s="327"/>
      <c r="AF194" s="453"/>
      <c r="AG194" s="327"/>
      <c r="AH194" s="327"/>
      <c r="AI194" s="353"/>
      <c r="AJ194" s="327"/>
      <c r="AK194" s="327"/>
      <c r="AL194" s="327"/>
      <c r="AM194" s="453"/>
      <c r="AN194" s="327"/>
      <c r="AO194" s="327"/>
      <c r="AP194" s="353"/>
      <c r="AQ194" s="327"/>
      <c r="AR194" s="327"/>
      <c r="AS194" s="327"/>
      <c r="AT194" s="453"/>
      <c r="AU194" s="327"/>
      <c r="AV194" s="327"/>
      <c r="AW194" s="353"/>
      <c r="AX194" s="327"/>
      <c r="AY194" s="327"/>
      <c r="AZ194" s="327"/>
      <c r="BA194" s="453"/>
      <c r="BB194" s="327"/>
      <c r="BC194" s="327"/>
      <c r="BD194" s="353"/>
      <c r="BE194" s="327"/>
      <c r="BF194" s="327"/>
      <c r="BG194" s="327"/>
      <c r="BH194" s="453"/>
      <c r="BI194" s="327"/>
      <c r="BJ194" s="327"/>
      <c r="BK194" s="353"/>
      <c r="BL194" s="327"/>
      <c r="BM194" s="327"/>
      <c r="BN194" s="327"/>
      <c r="BO194" s="453"/>
      <c r="BP194" s="327"/>
      <c r="BQ194" s="327"/>
      <c r="BR194" s="353"/>
      <c r="BS194" s="327"/>
      <c r="BT194" s="327"/>
      <c r="BU194" s="327"/>
      <c r="BV194" s="453"/>
      <c r="BW194" s="327"/>
      <c r="BX194" s="327"/>
      <c r="BY194" s="353"/>
      <c r="BZ194" s="327"/>
      <c r="CA194" s="327"/>
      <c r="CB194" s="327"/>
      <c r="CC194" s="453"/>
      <c r="CD194" s="327"/>
      <c r="CE194" s="327"/>
      <c r="CF194" s="353"/>
      <c r="CG194" s="327"/>
      <c r="CH194" s="327"/>
      <c r="CI194" s="327"/>
      <c r="CJ194" s="453"/>
      <c r="CK194" s="327"/>
      <c r="CL194" s="327"/>
      <c r="CM194" s="353"/>
      <c r="CN194" s="327"/>
      <c r="CO194" s="327"/>
      <c r="CP194" s="327"/>
      <c r="CQ194" s="453"/>
      <c r="CR194" s="327"/>
      <c r="CS194" s="327"/>
      <c r="CT194" s="353"/>
      <c r="CU194" s="327"/>
      <c r="CV194" s="327"/>
      <c r="CW194" s="327"/>
      <c r="CX194" s="453"/>
      <c r="CY194" s="327"/>
      <c r="CZ194" s="327"/>
      <c r="DA194" s="353"/>
      <c r="DB194" s="327"/>
      <c r="DC194" s="327"/>
      <c r="DD194" s="327"/>
      <c r="DE194" s="453"/>
      <c r="DF194" s="327"/>
      <c r="DG194" s="327"/>
      <c r="DH194" s="353"/>
      <c r="DI194" s="327"/>
      <c r="DJ194" s="327"/>
      <c r="DK194" s="327"/>
      <c r="DL194" s="453"/>
      <c r="DM194" s="327"/>
      <c r="DN194" s="327"/>
      <c r="DO194" s="353"/>
      <c r="DP194" s="327"/>
      <c r="DQ194" s="327"/>
      <c r="DR194" s="327"/>
      <c r="DS194" s="453"/>
      <c r="DT194" s="327"/>
      <c r="DU194" s="327"/>
      <c r="DV194" s="353"/>
      <c r="DW194" s="327"/>
      <c r="DX194" s="327"/>
      <c r="DY194" s="327"/>
      <c r="DZ194" s="453"/>
      <c r="EA194" s="327"/>
      <c r="EB194" s="327"/>
      <c r="EC194" s="353"/>
      <c r="ED194" s="327"/>
      <c r="EE194" s="327"/>
      <c r="EF194" s="327"/>
      <c r="EG194" s="453"/>
      <c r="EH194" s="327"/>
      <c r="EI194" s="327"/>
      <c r="EJ194" s="353"/>
      <c r="EK194" s="327"/>
      <c r="EL194" s="327"/>
      <c r="EM194" s="327"/>
      <c r="EN194" s="453"/>
      <c r="EO194" s="327"/>
      <c r="EP194" s="327"/>
      <c r="EQ194" s="353"/>
    </row>
    <row r="195" spans="1:147" ht="10.199999999999999" customHeight="1">
      <c r="A195" s="48" t="s">
        <v>743</v>
      </c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101"/>
      <c r="O195" s="617"/>
      <c r="P195" s="456"/>
      <c r="Q195" s="456"/>
      <c r="R195" s="457"/>
      <c r="S195" s="617"/>
      <c r="T195" s="456"/>
      <c r="U195" s="353"/>
      <c r="V195" s="617"/>
      <c r="W195" s="456"/>
      <c r="X195" s="456"/>
      <c r="Y195" s="457"/>
      <c r="Z195" s="617"/>
      <c r="AA195" s="456"/>
      <c r="AB195" s="353"/>
      <c r="AC195" s="617"/>
      <c r="AD195" s="456"/>
      <c r="AE195" s="456"/>
      <c r="AF195" s="457"/>
      <c r="AG195" s="617"/>
      <c r="AH195" s="456"/>
      <c r="AI195" s="353"/>
      <c r="AJ195" s="617"/>
      <c r="AK195" s="456"/>
      <c r="AL195" s="456"/>
      <c r="AM195" s="457"/>
      <c r="AN195" s="617"/>
      <c r="AO195" s="456"/>
      <c r="AP195" s="353"/>
      <c r="AQ195" s="617"/>
      <c r="AR195" s="456"/>
      <c r="AS195" s="456"/>
      <c r="AT195" s="457"/>
      <c r="AU195" s="617"/>
      <c r="AV195" s="456"/>
      <c r="AW195" s="353"/>
      <c r="AX195" s="617"/>
      <c r="AY195" s="456"/>
      <c r="AZ195" s="456"/>
      <c r="BA195" s="457"/>
      <c r="BB195" s="617"/>
      <c r="BC195" s="456"/>
      <c r="BD195" s="353"/>
      <c r="BE195" s="617"/>
      <c r="BF195" s="456"/>
      <c r="BG195" s="456"/>
      <c r="BH195" s="457"/>
      <c r="BI195" s="617"/>
      <c r="BJ195" s="456"/>
      <c r="BK195" s="353"/>
      <c r="BL195" s="617"/>
      <c r="BM195" s="456"/>
      <c r="BN195" s="456"/>
      <c r="BO195" s="457"/>
      <c r="BP195" s="617"/>
      <c r="BQ195" s="456"/>
      <c r="BR195" s="353"/>
      <c r="BS195" s="617"/>
      <c r="BT195" s="456"/>
      <c r="BU195" s="456"/>
      <c r="BV195" s="457"/>
      <c r="BW195" s="617"/>
      <c r="BX195" s="456"/>
      <c r="BY195" s="353"/>
      <c r="BZ195" s="617"/>
      <c r="CA195" s="456"/>
      <c r="CB195" s="456"/>
      <c r="CC195" s="457"/>
      <c r="CD195" s="617"/>
      <c r="CE195" s="456"/>
      <c r="CF195" s="353"/>
      <c r="CG195" s="617"/>
      <c r="CH195" s="456"/>
      <c r="CI195" s="456"/>
      <c r="CJ195" s="457"/>
      <c r="CK195" s="617"/>
      <c r="CL195" s="456"/>
      <c r="CM195" s="353"/>
      <c r="CN195" s="617"/>
      <c r="CO195" s="456"/>
      <c r="CP195" s="456"/>
      <c r="CQ195" s="457"/>
      <c r="CR195" s="617"/>
      <c r="CS195" s="456"/>
      <c r="CT195" s="353"/>
      <c r="CU195" s="456"/>
      <c r="CV195" s="456"/>
      <c r="CW195" s="327"/>
      <c r="CX195" s="457"/>
      <c r="CY195" s="456"/>
      <c r="CZ195" s="456"/>
      <c r="DA195" s="353"/>
      <c r="DB195" s="456"/>
      <c r="DC195" s="456"/>
      <c r="DD195" s="108"/>
      <c r="DE195" s="457"/>
      <c r="DF195" s="456"/>
      <c r="DG195" s="456"/>
      <c r="DH195" s="353"/>
      <c r="DI195" s="456"/>
      <c r="DJ195" s="108"/>
      <c r="DK195" s="456"/>
      <c r="DL195" s="457"/>
      <c r="DM195" s="456"/>
      <c r="DN195" s="456"/>
      <c r="DO195" s="353"/>
      <c r="DP195" s="456"/>
      <c r="DQ195" s="456"/>
      <c r="DR195" s="456"/>
      <c r="DS195" s="457"/>
      <c r="DT195" s="456"/>
      <c r="DU195" s="456"/>
      <c r="DV195" s="353"/>
      <c r="DW195" s="456"/>
      <c r="DX195" s="456"/>
      <c r="DY195" s="456"/>
      <c r="DZ195" s="457"/>
      <c r="EA195" s="456"/>
      <c r="EB195" s="456"/>
      <c r="EC195" s="353"/>
      <c r="ED195" s="456"/>
      <c r="EE195" s="456"/>
      <c r="EF195" s="456"/>
      <c r="EG195" s="457"/>
      <c r="EH195" s="456"/>
      <c r="EI195" s="456"/>
      <c r="EJ195" s="353"/>
      <c r="EK195" s="456"/>
      <c r="EL195" s="456"/>
      <c r="EM195" s="456"/>
      <c r="EN195" s="457"/>
      <c r="EO195" s="456"/>
      <c r="EP195" s="456"/>
      <c r="EQ195" s="353"/>
    </row>
    <row r="196" spans="1:147" ht="10.199999999999999" customHeight="1">
      <c r="A196" s="193" t="str">
        <f t="shared" ref="A196:A212" si="708">A170</f>
        <v>A220-100</v>
      </c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93"/>
      <c r="P196" s="193"/>
      <c r="Q196" s="193"/>
      <c r="R196" s="712"/>
      <c r="S196" s="193"/>
      <c r="T196" s="193"/>
      <c r="U196" s="1305"/>
      <c r="V196" s="193"/>
      <c r="W196" s="193"/>
      <c r="X196" s="193"/>
      <c r="Y196" s="712"/>
      <c r="Z196" s="193"/>
      <c r="AA196" s="193"/>
      <c r="AB196" s="1305"/>
      <c r="AC196" s="193"/>
      <c r="AD196" s="193"/>
      <c r="AE196" s="193"/>
      <c r="AF196" s="712"/>
      <c r="AG196" s="193"/>
      <c r="AH196" s="193"/>
      <c r="AI196" s="1305"/>
      <c r="AJ196" s="193"/>
      <c r="AK196" s="193"/>
      <c r="AL196" s="193"/>
      <c r="AM196" s="712"/>
      <c r="AN196" s="193"/>
      <c r="AO196" s="193"/>
      <c r="AP196" s="1305"/>
      <c r="AQ196" s="193"/>
      <c r="AR196" s="193"/>
      <c r="AS196" s="193"/>
      <c r="AT196" s="712"/>
      <c r="AU196" s="193"/>
      <c r="AV196" s="193"/>
      <c r="AW196" s="1305"/>
      <c r="AX196" s="193"/>
      <c r="AY196" s="193"/>
      <c r="AZ196" s="193"/>
      <c r="BA196" s="712"/>
      <c r="BB196" s="193"/>
      <c r="BC196" s="193"/>
      <c r="BD196" s="1305"/>
      <c r="BE196" s="193"/>
      <c r="BF196" s="193"/>
      <c r="BG196" s="193"/>
      <c r="BH196" s="712"/>
      <c r="BI196" s="193"/>
      <c r="BJ196" s="193"/>
      <c r="BK196" s="1305">
        <f>BK197</f>
        <v>0.5</v>
      </c>
      <c r="BL196" s="193"/>
      <c r="BM196" s="193"/>
      <c r="BN196" s="193"/>
      <c r="BO196" s="712"/>
      <c r="BP196" s="193"/>
      <c r="BQ196" s="193"/>
      <c r="BR196" s="1305">
        <f>BR197</f>
        <v>0.5</v>
      </c>
      <c r="BS196" s="193"/>
      <c r="BT196" s="193"/>
      <c r="BU196" s="193"/>
      <c r="BV196" s="712"/>
      <c r="BW196" s="193"/>
      <c r="BX196" s="193"/>
      <c r="BY196" s="1305">
        <f>BY197</f>
        <v>0.5</v>
      </c>
      <c r="BZ196" s="193"/>
      <c r="CA196" s="193"/>
      <c r="CB196" s="193"/>
      <c r="CC196" s="712"/>
      <c r="CD196" s="193"/>
      <c r="CE196" s="193"/>
      <c r="CF196" s="1305">
        <f>CF197</f>
        <v>0.6</v>
      </c>
      <c r="CG196" s="193"/>
      <c r="CH196" s="193"/>
      <c r="CI196" s="193"/>
      <c r="CJ196" s="712"/>
      <c r="CK196" s="193"/>
      <c r="CL196" s="193"/>
      <c r="CM196" s="1305">
        <f>CM197</f>
        <v>0.6</v>
      </c>
      <c r="CN196" s="193">
        <v>0.6</v>
      </c>
      <c r="CO196" s="193">
        <f>(CO170-CO219)/CO170</f>
        <v>0.6</v>
      </c>
      <c r="CP196" s="193">
        <v>0.6</v>
      </c>
      <c r="CQ196" s="712">
        <f>(CQ170-CQ219)/CQ170</f>
        <v>0.6</v>
      </c>
      <c r="CR196" s="193">
        <v>0.6</v>
      </c>
      <c r="CS196" s="193">
        <f>(CS170-CS219)/CS170</f>
        <v>0.6</v>
      </c>
      <c r="CT196" s="1305">
        <v>0.6</v>
      </c>
      <c r="CU196" s="193">
        <f>DA196</f>
        <v>0.6</v>
      </c>
      <c r="CV196" s="193">
        <f>(CV170-CV219)/CV170</f>
        <v>0.6</v>
      </c>
      <c r="CW196" s="193">
        <f>DA196</f>
        <v>0.6</v>
      </c>
      <c r="CX196" s="712">
        <f>(CX170-CX219)/CX170</f>
        <v>0.6</v>
      </c>
      <c r="CY196" s="193">
        <f>DA196</f>
        <v>0.6</v>
      </c>
      <c r="CZ196" s="193">
        <f>(CZ170-CZ219)/CZ170</f>
        <v>0.6</v>
      </c>
      <c r="DA196" s="1305">
        <v>0.6</v>
      </c>
      <c r="DB196" s="193">
        <f>DH196</f>
        <v>0.6</v>
      </c>
      <c r="DC196" s="193">
        <f>(DC170-DC219)/DC170</f>
        <v>0.6</v>
      </c>
      <c r="DD196" s="193">
        <f>DH196</f>
        <v>0.6</v>
      </c>
      <c r="DE196" s="712">
        <f>(DE170-DE219)/DE170</f>
        <v>0.6</v>
      </c>
      <c r="DF196" s="193">
        <f>DH196</f>
        <v>0.6</v>
      </c>
      <c r="DG196" s="193">
        <f>(DG170-DG219)/DG170</f>
        <v>0.6</v>
      </c>
      <c r="DH196" s="1305">
        <v>0.6</v>
      </c>
      <c r="DI196" s="193">
        <f>DO196</f>
        <v>0.6</v>
      </c>
      <c r="DJ196" s="193">
        <f>(DJ170-DJ219)/DJ170</f>
        <v>0.6</v>
      </c>
      <c r="DK196" s="599">
        <f>DO196</f>
        <v>0.6</v>
      </c>
      <c r="DL196" s="600">
        <f>(DL170-DL219)/DL170</f>
        <v>0.6</v>
      </c>
      <c r="DM196" s="193">
        <f>DO196</f>
        <v>0.6</v>
      </c>
      <c r="DN196" s="599">
        <f>(DN170-DN219)/DN170</f>
        <v>0.6</v>
      </c>
      <c r="DO196" s="754">
        <f>DH196</f>
        <v>0.6</v>
      </c>
      <c r="DP196" s="599">
        <f>DV196</f>
        <v>0.6</v>
      </c>
      <c r="DQ196" s="599">
        <f>DV196</f>
        <v>0.6</v>
      </c>
      <c r="DR196" s="599">
        <f>DV196</f>
        <v>0.6</v>
      </c>
      <c r="DS196" s="600">
        <f>DV196</f>
        <v>0.6</v>
      </c>
      <c r="DT196" s="599">
        <f>DV196</f>
        <v>0.6</v>
      </c>
      <c r="DU196" s="599">
        <f>DV196</f>
        <v>0.6</v>
      </c>
      <c r="DV196" s="754">
        <f>DO196</f>
        <v>0.6</v>
      </c>
      <c r="DW196" s="599">
        <f>EC196</f>
        <v>0.6</v>
      </c>
      <c r="DX196" s="599">
        <f>EC196</f>
        <v>0.6</v>
      </c>
      <c r="DY196" s="599">
        <f>EC196</f>
        <v>0.6</v>
      </c>
      <c r="DZ196" s="600">
        <f>EC196</f>
        <v>0.6</v>
      </c>
      <c r="EA196" s="599">
        <f>EC196</f>
        <v>0.6</v>
      </c>
      <c r="EB196" s="599">
        <f>EC196</f>
        <v>0.6</v>
      </c>
      <c r="EC196" s="754">
        <f>DV196</f>
        <v>0.6</v>
      </c>
      <c r="ED196" s="599">
        <f>EJ196</f>
        <v>0.6</v>
      </c>
      <c r="EE196" s="599">
        <f>EJ196</f>
        <v>0.6</v>
      </c>
      <c r="EF196" s="599">
        <f>EJ196</f>
        <v>0.6</v>
      </c>
      <c r="EG196" s="600">
        <f>EJ196</f>
        <v>0.6</v>
      </c>
      <c r="EH196" s="599">
        <f>EJ196</f>
        <v>0.6</v>
      </c>
      <c r="EI196" s="599">
        <f>EJ196</f>
        <v>0.6</v>
      </c>
      <c r="EJ196" s="754">
        <f>EC196</f>
        <v>0.6</v>
      </c>
      <c r="EK196" s="599">
        <f>EQ196</f>
        <v>0.6</v>
      </c>
      <c r="EL196" s="599">
        <f>EQ196</f>
        <v>0.6</v>
      </c>
      <c r="EM196" s="599">
        <f>EQ196</f>
        <v>0.6</v>
      </c>
      <c r="EN196" s="600">
        <f>EQ196</f>
        <v>0.6</v>
      </c>
      <c r="EO196" s="599">
        <f>EQ196</f>
        <v>0.6</v>
      </c>
      <c r="EP196" s="599">
        <f>EQ196</f>
        <v>0.6</v>
      </c>
      <c r="EQ196" s="754">
        <f>EJ196</f>
        <v>0.6</v>
      </c>
    </row>
    <row r="197" spans="1:147" ht="10.199999999999999" customHeight="1">
      <c r="A197" s="193" t="str">
        <f t="shared" si="708"/>
        <v>A220-300</v>
      </c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93"/>
      <c r="P197" s="193"/>
      <c r="Q197" s="193"/>
      <c r="R197" s="712"/>
      <c r="S197" s="193"/>
      <c r="T197" s="193"/>
      <c r="U197" s="1305"/>
      <c r="V197" s="193"/>
      <c r="W197" s="193"/>
      <c r="X197" s="193"/>
      <c r="Y197" s="712"/>
      <c r="Z197" s="193"/>
      <c r="AA197" s="193"/>
      <c r="AB197" s="1305"/>
      <c r="AC197" s="193"/>
      <c r="AD197" s="193"/>
      <c r="AE197" s="193"/>
      <c r="AF197" s="712"/>
      <c r="AG197" s="193"/>
      <c r="AH197" s="193"/>
      <c r="AI197" s="1305"/>
      <c r="AJ197" s="193"/>
      <c r="AK197" s="193"/>
      <c r="AL197" s="193"/>
      <c r="AM197" s="712"/>
      <c r="AN197" s="193"/>
      <c r="AO197" s="193"/>
      <c r="AP197" s="1305"/>
      <c r="AQ197" s="193"/>
      <c r="AR197" s="193"/>
      <c r="AS197" s="193"/>
      <c r="AT197" s="712"/>
      <c r="AU197" s="193"/>
      <c r="AV197" s="193"/>
      <c r="AW197" s="1305"/>
      <c r="AX197" s="193"/>
      <c r="AY197" s="193"/>
      <c r="AZ197" s="193"/>
      <c r="BA197" s="712"/>
      <c r="BB197" s="193"/>
      <c r="BC197" s="193"/>
      <c r="BD197" s="1305"/>
      <c r="BE197" s="193"/>
      <c r="BF197" s="193"/>
      <c r="BG197" s="193"/>
      <c r="BH197" s="712"/>
      <c r="BI197" s="193"/>
      <c r="BJ197" s="193"/>
      <c r="BK197" s="1305">
        <v>0.5</v>
      </c>
      <c r="BL197" s="193"/>
      <c r="BM197" s="193"/>
      <c r="BN197" s="193"/>
      <c r="BO197" s="712"/>
      <c r="BP197" s="193"/>
      <c r="BQ197" s="193"/>
      <c r="BR197" s="1305">
        <v>0.5</v>
      </c>
      <c r="BS197" s="193"/>
      <c r="BT197" s="193"/>
      <c r="BU197" s="193"/>
      <c r="BV197" s="712"/>
      <c r="BW197" s="193"/>
      <c r="BX197" s="193"/>
      <c r="BY197" s="1305">
        <v>0.5</v>
      </c>
      <c r="BZ197" s="193"/>
      <c r="CA197" s="193"/>
      <c r="CB197" s="193"/>
      <c r="CC197" s="712"/>
      <c r="CD197" s="193"/>
      <c r="CE197" s="193"/>
      <c r="CF197" s="1305">
        <v>0.6</v>
      </c>
      <c r="CG197" s="193"/>
      <c r="CH197" s="193"/>
      <c r="CI197" s="193"/>
      <c r="CJ197" s="712"/>
      <c r="CK197" s="193"/>
      <c r="CL197" s="193"/>
      <c r="CM197" s="1305">
        <v>0.6</v>
      </c>
      <c r="CN197" s="193">
        <v>0.6</v>
      </c>
      <c r="CO197" s="193">
        <f>(CO171-CO220)/CO171</f>
        <v>0.6</v>
      </c>
      <c r="CP197" s="193">
        <v>0.6</v>
      </c>
      <c r="CQ197" s="712">
        <f>(CQ171-CQ220)/CQ171</f>
        <v>0.6</v>
      </c>
      <c r="CR197" s="193">
        <v>0.6</v>
      </c>
      <c r="CS197" s="193">
        <f>(CS171-CS220)/CS171</f>
        <v>0.6</v>
      </c>
      <c r="CT197" s="1305">
        <v>0.6</v>
      </c>
      <c r="CU197" s="193">
        <f>DA197</f>
        <v>0.6</v>
      </c>
      <c r="CV197" s="193">
        <f>(CV171-CV220)/CV171</f>
        <v>0.6</v>
      </c>
      <c r="CW197" s="193">
        <f>DA197</f>
        <v>0.6</v>
      </c>
      <c r="CX197" s="712">
        <f>(CX171-CX220)/CX171</f>
        <v>0.6</v>
      </c>
      <c r="CY197" s="193">
        <f>DA197</f>
        <v>0.6</v>
      </c>
      <c r="CZ197" s="193">
        <f>(CZ171-CZ220)/CZ171</f>
        <v>0.6</v>
      </c>
      <c r="DA197" s="1305">
        <v>0.6</v>
      </c>
      <c r="DB197" s="193">
        <f>DH197</f>
        <v>0.6</v>
      </c>
      <c r="DC197" s="193">
        <f>(DC171-DC220)/DC171</f>
        <v>0.6</v>
      </c>
      <c r="DD197" s="193">
        <f>DH197</f>
        <v>0.6</v>
      </c>
      <c r="DE197" s="712">
        <f>(DE171-DE220)/DE171</f>
        <v>0.6</v>
      </c>
      <c r="DF197" s="193">
        <f>DH197</f>
        <v>0.6</v>
      </c>
      <c r="DG197" s="193">
        <f>(DG171-DG220)/DG171</f>
        <v>0.6</v>
      </c>
      <c r="DH197" s="1305">
        <v>0.6</v>
      </c>
      <c r="DI197" s="193">
        <f>DO197</f>
        <v>0.6</v>
      </c>
      <c r="DJ197" s="193">
        <f>(DJ171-DJ220)/DJ171</f>
        <v>0.6</v>
      </c>
      <c r="DK197" s="599">
        <f>DO197</f>
        <v>0.6</v>
      </c>
      <c r="DL197" s="600">
        <f>(DL171-DL220)/DL171</f>
        <v>0.6</v>
      </c>
      <c r="DM197" s="193">
        <f>DO197</f>
        <v>0.6</v>
      </c>
      <c r="DN197" s="599">
        <f>(DN171-DN220)/DN171</f>
        <v>0.6</v>
      </c>
      <c r="DO197" s="754">
        <f>DH197</f>
        <v>0.6</v>
      </c>
      <c r="DP197" s="599">
        <f>DV197</f>
        <v>0.6</v>
      </c>
      <c r="DQ197" s="599">
        <f>DV197</f>
        <v>0.6</v>
      </c>
      <c r="DR197" s="599">
        <f>DV197</f>
        <v>0.6</v>
      </c>
      <c r="DS197" s="600">
        <f>DV197</f>
        <v>0.6</v>
      </c>
      <c r="DT197" s="599">
        <f>DV197</f>
        <v>0.6</v>
      </c>
      <c r="DU197" s="599">
        <f>DV197</f>
        <v>0.6</v>
      </c>
      <c r="DV197" s="754">
        <f>DO197</f>
        <v>0.6</v>
      </c>
      <c r="DW197" s="599">
        <f>EC197</f>
        <v>0.6</v>
      </c>
      <c r="DX197" s="599">
        <f>EC197</f>
        <v>0.6</v>
      </c>
      <c r="DY197" s="599">
        <f>EC197</f>
        <v>0.6</v>
      </c>
      <c r="DZ197" s="600">
        <f>EC197</f>
        <v>0.6</v>
      </c>
      <c r="EA197" s="599">
        <f>EC197</f>
        <v>0.6</v>
      </c>
      <c r="EB197" s="599">
        <f>EC197</f>
        <v>0.6</v>
      </c>
      <c r="EC197" s="754">
        <f>DV197</f>
        <v>0.6</v>
      </c>
      <c r="ED197" s="599">
        <f>EJ197</f>
        <v>0.6</v>
      </c>
      <c r="EE197" s="599">
        <f>EJ197</f>
        <v>0.6</v>
      </c>
      <c r="EF197" s="599">
        <f>EJ197</f>
        <v>0.6</v>
      </c>
      <c r="EG197" s="600">
        <f>EJ197</f>
        <v>0.6</v>
      </c>
      <c r="EH197" s="599">
        <f>EJ197</f>
        <v>0.6</v>
      </c>
      <c r="EI197" s="599">
        <f>EJ197</f>
        <v>0.6</v>
      </c>
      <c r="EJ197" s="754">
        <f>EC197</f>
        <v>0.6</v>
      </c>
      <c r="EK197" s="599">
        <f>EQ197</f>
        <v>0.6</v>
      </c>
      <c r="EL197" s="599">
        <f>EQ197</f>
        <v>0.6</v>
      </c>
      <c r="EM197" s="599">
        <f>EQ197</f>
        <v>0.6</v>
      </c>
      <c r="EN197" s="600">
        <f>EQ197</f>
        <v>0.6</v>
      </c>
      <c r="EO197" s="599">
        <f>EQ197</f>
        <v>0.6</v>
      </c>
      <c r="EP197" s="599">
        <f>EQ197</f>
        <v>0.6</v>
      </c>
      <c r="EQ197" s="754">
        <f>EJ197</f>
        <v>0.6</v>
      </c>
    </row>
    <row r="198" spans="1:147" ht="10.199999999999999" hidden="1" customHeight="1" outlineLevel="1">
      <c r="A198" s="193" t="str">
        <f t="shared" si="708"/>
        <v>A300</v>
      </c>
      <c r="B198" s="152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712"/>
      <c r="S198" s="193"/>
      <c r="T198" s="193"/>
      <c r="U198" s="602"/>
      <c r="V198" s="193"/>
      <c r="W198" s="193"/>
      <c r="X198" s="193"/>
      <c r="Y198" s="712"/>
      <c r="Z198" s="193"/>
      <c r="AA198" s="193"/>
      <c r="AB198" s="602"/>
      <c r="AC198" s="193"/>
      <c r="AD198" s="193"/>
      <c r="AE198" s="193"/>
      <c r="AF198" s="712"/>
      <c r="AG198" s="193"/>
      <c r="AH198" s="193"/>
      <c r="AI198" s="602"/>
      <c r="AJ198" s="193"/>
      <c r="AK198" s="193"/>
      <c r="AL198" s="193"/>
      <c r="AM198" s="712"/>
      <c r="AN198" s="193"/>
      <c r="AO198" s="193"/>
      <c r="AP198" s="602"/>
      <c r="AQ198" s="193"/>
      <c r="AR198" s="193"/>
      <c r="AS198" s="193"/>
      <c r="AT198" s="712"/>
      <c r="AU198" s="193"/>
      <c r="AV198" s="193"/>
      <c r="AW198" s="602"/>
      <c r="AX198" s="193"/>
      <c r="AY198" s="193"/>
      <c r="AZ198" s="193"/>
      <c r="BA198" s="712"/>
      <c r="BB198" s="193"/>
      <c r="BC198" s="193"/>
      <c r="BD198" s="602"/>
      <c r="BE198" s="193"/>
      <c r="BF198" s="193"/>
      <c r="BG198" s="193"/>
      <c r="BH198" s="712"/>
      <c r="BI198" s="193"/>
      <c r="BJ198" s="193"/>
      <c r="BK198" s="602"/>
      <c r="BL198" s="193"/>
      <c r="BM198" s="193"/>
      <c r="BN198" s="193"/>
      <c r="BO198" s="712"/>
      <c r="BP198" s="193"/>
      <c r="BQ198" s="193"/>
      <c r="BR198" s="602"/>
      <c r="BS198" s="193"/>
      <c r="BT198" s="193"/>
      <c r="BU198" s="193"/>
      <c r="BV198" s="712"/>
      <c r="BW198" s="193"/>
      <c r="BX198" s="193"/>
      <c r="BY198" s="602"/>
      <c r="BZ198" s="193"/>
      <c r="CA198" s="193"/>
      <c r="CB198" s="193"/>
      <c r="CC198" s="712"/>
      <c r="CD198" s="193"/>
      <c r="CE198" s="193"/>
      <c r="CF198" s="602"/>
      <c r="CG198" s="193"/>
      <c r="CH198" s="193"/>
      <c r="CI198" s="193"/>
      <c r="CJ198" s="712"/>
      <c r="CK198" s="193"/>
      <c r="CL198" s="193"/>
      <c r="CM198" s="602"/>
      <c r="CN198" s="193">
        <f>CT198</f>
        <v>0</v>
      </c>
      <c r="CO198" s="193">
        <f>CT198</f>
        <v>0</v>
      </c>
      <c r="CP198" s="193">
        <v>0</v>
      </c>
      <c r="CQ198" s="712">
        <f>CT198</f>
        <v>0</v>
      </c>
      <c r="CR198" s="193"/>
      <c r="CS198" s="193">
        <f>CT198</f>
        <v>0</v>
      </c>
      <c r="CT198" s="602"/>
      <c r="CU198" s="193">
        <f>DA198</f>
        <v>0</v>
      </c>
      <c r="CV198" s="193">
        <f>DA198</f>
        <v>0</v>
      </c>
      <c r="CW198" s="193">
        <f>DA198</f>
        <v>0</v>
      </c>
      <c r="CX198" s="712">
        <f>DA198</f>
        <v>0</v>
      </c>
      <c r="CY198" s="193">
        <f>DA198</f>
        <v>0</v>
      </c>
      <c r="CZ198" s="193">
        <f>DA198</f>
        <v>0</v>
      </c>
      <c r="DA198" s="1402"/>
      <c r="DB198" s="193">
        <f>DH198</f>
        <v>0</v>
      </c>
      <c r="DC198" s="193">
        <f>DH198</f>
        <v>0</v>
      </c>
      <c r="DD198" s="193">
        <f>DH198</f>
        <v>0</v>
      </c>
      <c r="DE198" s="712">
        <f>DH198</f>
        <v>0</v>
      </c>
      <c r="DF198" s="193">
        <f>DH198</f>
        <v>0</v>
      </c>
      <c r="DG198" s="193">
        <f>DH198</f>
        <v>0</v>
      </c>
      <c r="DH198" s="1931"/>
      <c r="DI198" s="193">
        <f t="shared" ref="DI198:DI203" si="709">DO198</f>
        <v>0</v>
      </c>
      <c r="DJ198" s="193">
        <f>DO198</f>
        <v>0</v>
      </c>
      <c r="DK198" s="599">
        <f t="shared" ref="DK198:DK203" si="710">DO198</f>
        <v>0</v>
      </c>
      <c r="DL198" s="600">
        <f>DO198</f>
        <v>0</v>
      </c>
      <c r="DM198" s="193">
        <f t="shared" ref="DM198:DM203" si="711">DO198</f>
        <v>0</v>
      </c>
      <c r="DN198" s="599">
        <f>DO198</f>
        <v>0</v>
      </c>
      <c r="DO198" s="754">
        <f t="shared" ref="DO198:DO203" si="712">DH198</f>
        <v>0</v>
      </c>
      <c r="DP198" s="599">
        <f t="shared" ref="DP198:DP203" si="713">DV198</f>
        <v>0</v>
      </c>
      <c r="DQ198" s="599">
        <f t="shared" ref="DQ198:DQ203" si="714">DV198</f>
        <v>0</v>
      </c>
      <c r="DR198" s="599">
        <f t="shared" ref="DR198:DR203" si="715">DV198</f>
        <v>0</v>
      </c>
      <c r="DS198" s="600">
        <f t="shared" ref="DS198:DS203" si="716">DV198</f>
        <v>0</v>
      </c>
      <c r="DT198" s="599">
        <f t="shared" ref="DT198:DT203" si="717">DV198</f>
        <v>0</v>
      </c>
      <c r="DU198" s="599">
        <f t="shared" ref="DU198:DU203" si="718">DV198</f>
        <v>0</v>
      </c>
      <c r="DV198" s="754">
        <f t="shared" ref="DV198:DV203" si="719">DO198</f>
        <v>0</v>
      </c>
      <c r="DW198" s="599">
        <f t="shared" ref="DW198:DW203" si="720">EC198</f>
        <v>0</v>
      </c>
      <c r="DX198" s="599">
        <f t="shared" ref="DX198:DX203" si="721">EC198</f>
        <v>0</v>
      </c>
      <c r="DY198" s="599">
        <f t="shared" ref="DY198:DY203" si="722">EC198</f>
        <v>0</v>
      </c>
      <c r="DZ198" s="600">
        <f t="shared" ref="DZ198:DZ203" si="723">EC198</f>
        <v>0</v>
      </c>
      <c r="EA198" s="599">
        <f t="shared" ref="EA198:EA203" si="724">EC198</f>
        <v>0</v>
      </c>
      <c r="EB198" s="599">
        <f t="shared" ref="EB198:EB203" si="725">EC198</f>
        <v>0</v>
      </c>
      <c r="EC198" s="754">
        <f t="shared" ref="EC198:EC203" si="726">DV198</f>
        <v>0</v>
      </c>
      <c r="ED198" s="599">
        <f t="shared" ref="ED198:ED203" si="727">EJ198</f>
        <v>0</v>
      </c>
      <c r="EE198" s="599">
        <f t="shared" ref="EE198:EE203" si="728">EJ198</f>
        <v>0</v>
      </c>
      <c r="EF198" s="599">
        <f t="shared" ref="EF198:EF203" si="729">EJ198</f>
        <v>0</v>
      </c>
      <c r="EG198" s="600">
        <f t="shared" ref="EG198:EG203" si="730">EJ198</f>
        <v>0</v>
      </c>
      <c r="EH198" s="599">
        <f t="shared" ref="EH198:EH203" si="731">EJ198</f>
        <v>0</v>
      </c>
      <c r="EI198" s="599">
        <f t="shared" ref="EI198:EI203" si="732">EJ198</f>
        <v>0</v>
      </c>
      <c r="EJ198" s="754">
        <f t="shared" ref="EJ198:EJ203" si="733">EC198</f>
        <v>0</v>
      </c>
      <c r="EK198" s="599">
        <f t="shared" ref="EK198:EK203" si="734">EQ198</f>
        <v>0</v>
      </c>
      <c r="EL198" s="599">
        <f t="shared" ref="EL198:EL203" si="735">EQ198</f>
        <v>0</v>
      </c>
      <c r="EM198" s="599">
        <f t="shared" ref="EM198:EM203" si="736">EQ198</f>
        <v>0</v>
      </c>
      <c r="EN198" s="600">
        <f t="shared" ref="EN198:EN203" si="737">EQ198</f>
        <v>0</v>
      </c>
      <c r="EO198" s="599">
        <f t="shared" ref="EO198:EO203" si="738">EQ198</f>
        <v>0</v>
      </c>
      <c r="EP198" s="599">
        <f t="shared" ref="EP198:EP203" si="739">EQ198</f>
        <v>0</v>
      </c>
      <c r="EQ198" s="754">
        <f t="shared" ref="EQ198:EQ203" si="740">EJ198</f>
        <v>0</v>
      </c>
    </row>
    <row r="199" spans="1:147" ht="10.199999999999999" hidden="1" customHeight="1" outlineLevel="1" collapsed="1">
      <c r="A199" s="193" t="str">
        <f t="shared" si="708"/>
        <v>A318ceo</v>
      </c>
      <c r="B199" s="152"/>
      <c r="C199" s="152">
        <f t="shared" ref="C199:CM199" si="741">C201</f>
        <v>0.22</v>
      </c>
      <c r="D199" s="152">
        <f t="shared" si="741"/>
        <v>0.21</v>
      </c>
      <c r="E199" s="152">
        <f t="shared" si="741"/>
        <v>0.22</v>
      </c>
      <c r="F199" s="152">
        <f t="shared" si="741"/>
        <v>0.24875</v>
      </c>
      <c r="G199" s="152">
        <f t="shared" si="741"/>
        <v>0.24374999999999999</v>
      </c>
      <c r="H199" s="152">
        <f t="shared" si="741"/>
        <v>0.23949999999999999</v>
      </c>
      <c r="I199" s="152">
        <f t="shared" si="741"/>
        <v>0.22</v>
      </c>
      <c r="J199" s="152">
        <f t="shared" si="741"/>
        <v>0.22</v>
      </c>
      <c r="K199" s="152">
        <f t="shared" si="741"/>
        <v>0.23</v>
      </c>
      <c r="L199" s="152">
        <f t="shared" si="741"/>
        <v>0.35</v>
      </c>
      <c r="M199" s="152">
        <f t="shared" si="741"/>
        <v>0.36</v>
      </c>
      <c r="N199" s="152">
        <f t="shared" si="741"/>
        <v>0.52500000000000002</v>
      </c>
      <c r="O199" s="193"/>
      <c r="P199" s="599"/>
      <c r="Q199" s="734"/>
      <c r="R199" s="600"/>
      <c r="S199" s="599"/>
      <c r="T199" s="599"/>
      <c r="U199" s="646">
        <f t="shared" si="741"/>
        <v>0.53500000000000003</v>
      </c>
      <c r="V199" s="193"/>
      <c r="W199" s="599"/>
      <c r="X199" s="734"/>
      <c r="Y199" s="600"/>
      <c r="Z199" s="599"/>
      <c r="AA199" s="599"/>
      <c r="AB199" s="646">
        <f t="shared" si="741"/>
        <v>0.36483780955702816</v>
      </c>
      <c r="AC199" s="193"/>
      <c r="AD199" s="599"/>
      <c r="AE199" s="734"/>
      <c r="AF199" s="600"/>
      <c r="AG199" s="599"/>
      <c r="AH199" s="599"/>
      <c r="AI199" s="646">
        <f t="shared" si="741"/>
        <v>0.40169355022454578</v>
      </c>
      <c r="AJ199" s="193"/>
      <c r="AK199" s="599"/>
      <c r="AL199" s="734"/>
      <c r="AM199" s="600"/>
      <c r="AN199" s="599"/>
      <c r="AO199" s="599"/>
      <c r="AP199" s="646">
        <f t="shared" si="741"/>
        <v>0.43376224086752219</v>
      </c>
      <c r="AQ199" s="193"/>
      <c r="AR199" s="599"/>
      <c r="AS199" s="734"/>
      <c r="AT199" s="600"/>
      <c r="AU199" s="599"/>
      <c r="AV199" s="599"/>
      <c r="AW199" s="646">
        <f t="shared" si="741"/>
        <v>0.43406170070716033</v>
      </c>
      <c r="AX199" s="193"/>
      <c r="AY199" s="599"/>
      <c r="AZ199" s="734"/>
      <c r="BA199" s="600"/>
      <c r="BB199" s="599"/>
      <c r="BC199" s="599"/>
      <c r="BD199" s="646">
        <f t="shared" si="741"/>
        <v>0.56035174613968075</v>
      </c>
      <c r="BE199" s="193"/>
      <c r="BF199" s="599"/>
      <c r="BG199" s="734"/>
      <c r="BH199" s="600"/>
      <c r="BI199" s="599"/>
      <c r="BJ199" s="599"/>
      <c r="BK199" s="646">
        <f t="shared" si="741"/>
        <v>0.55000000000000004</v>
      </c>
      <c r="BL199" s="193"/>
      <c r="BM199" s="599"/>
      <c r="BN199" s="734"/>
      <c r="BO199" s="600"/>
      <c r="BP199" s="599"/>
      <c r="BQ199" s="599"/>
      <c r="BR199" s="646">
        <f t="shared" si="741"/>
        <v>0.55000000000000004</v>
      </c>
      <c r="BS199" s="193"/>
      <c r="BT199" s="599"/>
      <c r="BU199" s="734"/>
      <c r="BV199" s="600"/>
      <c r="BW199" s="599"/>
      <c r="BX199" s="599"/>
      <c r="BY199" s="646">
        <f t="shared" si="741"/>
        <v>0.6</v>
      </c>
      <c r="BZ199" s="193"/>
      <c r="CA199" s="599"/>
      <c r="CB199" s="734"/>
      <c r="CC199" s="600"/>
      <c r="CD199" s="599"/>
      <c r="CE199" s="599"/>
      <c r="CF199" s="646">
        <f t="shared" si="741"/>
        <v>0.6</v>
      </c>
      <c r="CG199" s="193"/>
      <c r="CH199" s="599"/>
      <c r="CI199" s="734"/>
      <c r="CJ199" s="600"/>
      <c r="CK199" s="599"/>
      <c r="CL199" s="599"/>
      <c r="CM199" s="646">
        <f t="shared" si="741"/>
        <v>0.65</v>
      </c>
      <c r="CN199" s="193"/>
      <c r="CO199" s="599"/>
      <c r="CP199" s="734"/>
      <c r="CQ199" s="600"/>
      <c r="CR199" s="599"/>
      <c r="CS199" s="599"/>
      <c r="CT199" s="646"/>
      <c r="CU199" s="193"/>
      <c r="CV199" s="599"/>
      <c r="CW199" s="599"/>
      <c r="CX199" s="600"/>
      <c r="CY199" s="599"/>
      <c r="CZ199" s="599"/>
      <c r="DA199" s="1402"/>
      <c r="DB199" s="193"/>
      <c r="DC199" s="599"/>
      <c r="DD199" s="193"/>
      <c r="DE199" s="712"/>
      <c r="DF199" s="193"/>
      <c r="DG199" s="193"/>
      <c r="DH199" s="1305"/>
      <c r="DI199" s="193">
        <f t="shared" si="709"/>
        <v>0</v>
      </c>
      <c r="DJ199" s="193"/>
      <c r="DK199" s="599">
        <f t="shared" si="710"/>
        <v>0</v>
      </c>
      <c r="DL199" s="600"/>
      <c r="DM199" s="193">
        <f t="shared" si="711"/>
        <v>0</v>
      </c>
      <c r="DN199" s="599"/>
      <c r="DO199" s="754">
        <f t="shared" si="712"/>
        <v>0</v>
      </c>
      <c r="DP199" s="599">
        <f t="shared" si="713"/>
        <v>0</v>
      </c>
      <c r="DQ199" s="599">
        <f t="shared" si="714"/>
        <v>0</v>
      </c>
      <c r="DR199" s="599">
        <f t="shared" si="715"/>
        <v>0</v>
      </c>
      <c r="DS199" s="600">
        <f t="shared" si="716"/>
        <v>0</v>
      </c>
      <c r="DT199" s="599">
        <f t="shared" si="717"/>
        <v>0</v>
      </c>
      <c r="DU199" s="599">
        <f t="shared" si="718"/>
        <v>0</v>
      </c>
      <c r="DV199" s="754">
        <f t="shared" si="719"/>
        <v>0</v>
      </c>
      <c r="DW199" s="599">
        <f t="shared" si="720"/>
        <v>0</v>
      </c>
      <c r="DX199" s="599">
        <f t="shared" si="721"/>
        <v>0</v>
      </c>
      <c r="DY199" s="599">
        <f t="shared" si="722"/>
        <v>0</v>
      </c>
      <c r="DZ199" s="600">
        <f t="shared" si="723"/>
        <v>0</v>
      </c>
      <c r="EA199" s="599">
        <f t="shared" si="724"/>
        <v>0</v>
      </c>
      <c r="EB199" s="599">
        <f t="shared" si="725"/>
        <v>0</v>
      </c>
      <c r="EC199" s="754">
        <f t="shared" si="726"/>
        <v>0</v>
      </c>
      <c r="ED199" s="599">
        <f t="shared" si="727"/>
        <v>0</v>
      </c>
      <c r="EE199" s="599">
        <f t="shared" si="728"/>
        <v>0</v>
      </c>
      <c r="EF199" s="599">
        <f t="shared" si="729"/>
        <v>0</v>
      </c>
      <c r="EG199" s="600">
        <f t="shared" si="730"/>
        <v>0</v>
      </c>
      <c r="EH199" s="599">
        <f t="shared" si="731"/>
        <v>0</v>
      </c>
      <c r="EI199" s="599">
        <f t="shared" si="732"/>
        <v>0</v>
      </c>
      <c r="EJ199" s="754">
        <f t="shared" si="733"/>
        <v>0</v>
      </c>
      <c r="EK199" s="599">
        <f t="shared" si="734"/>
        <v>0</v>
      </c>
      <c r="EL199" s="599">
        <f t="shared" si="735"/>
        <v>0</v>
      </c>
      <c r="EM199" s="599">
        <f t="shared" si="736"/>
        <v>0</v>
      </c>
      <c r="EN199" s="600">
        <f t="shared" si="737"/>
        <v>0</v>
      </c>
      <c r="EO199" s="599">
        <f t="shared" si="738"/>
        <v>0</v>
      </c>
      <c r="EP199" s="599">
        <f t="shared" si="739"/>
        <v>0</v>
      </c>
      <c r="EQ199" s="754">
        <f t="shared" si="740"/>
        <v>0</v>
      </c>
    </row>
    <row r="200" spans="1:147" ht="10.199999999999999" hidden="1" customHeight="1" outlineLevel="1">
      <c r="A200" s="193" t="str">
        <f t="shared" si="708"/>
        <v>A319ceo</v>
      </c>
      <c r="B200" s="152"/>
      <c r="C200" s="152">
        <f t="shared" ref="C200:CM200" si="742">C201</f>
        <v>0.22</v>
      </c>
      <c r="D200" s="152">
        <f t="shared" si="742"/>
        <v>0.21</v>
      </c>
      <c r="E200" s="152">
        <f t="shared" si="742"/>
        <v>0.22</v>
      </c>
      <c r="F200" s="152">
        <f t="shared" si="742"/>
        <v>0.24875</v>
      </c>
      <c r="G200" s="152">
        <f t="shared" si="742"/>
        <v>0.24374999999999999</v>
      </c>
      <c r="H200" s="152">
        <f t="shared" si="742"/>
        <v>0.23949999999999999</v>
      </c>
      <c r="I200" s="152">
        <f t="shared" si="742"/>
        <v>0.22</v>
      </c>
      <c r="J200" s="152">
        <f t="shared" si="742"/>
        <v>0.22</v>
      </c>
      <c r="K200" s="152">
        <f t="shared" si="742"/>
        <v>0.23</v>
      </c>
      <c r="L200" s="152">
        <f t="shared" si="742"/>
        <v>0.35</v>
      </c>
      <c r="M200" s="152">
        <f t="shared" si="742"/>
        <v>0.36</v>
      </c>
      <c r="N200" s="152">
        <f t="shared" si="742"/>
        <v>0.52500000000000002</v>
      </c>
      <c r="O200" s="193"/>
      <c r="P200" s="599"/>
      <c r="Q200" s="734"/>
      <c r="R200" s="600"/>
      <c r="S200" s="599"/>
      <c r="T200" s="599"/>
      <c r="U200" s="646">
        <f t="shared" si="742"/>
        <v>0.53500000000000003</v>
      </c>
      <c r="V200" s="193"/>
      <c r="W200" s="599"/>
      <c r="X200" s="734"/>
      <c r="Y200" s="600"/>
      <c r="Z200" s="599"/>
      <c r="AA200" s="599"/>
      <c r="AB200" s="646">
        <f t="shared" si="742"/>
        <v>0.36483780955702816</v>
      </c>
      <c r="AC200" s="193"/>
      <c r="AD200" s="599"/>
      <c r="AE200" s="734"/>
      <c r="AF200" s="600"/>
      <c r="AG200" s="599"/>
      <c r="AH200" s="599"/>
      <c r="AI200" s="646">
        <f t="shared" si="742"/>
        <v>0.40169355022454578</v>
      </c>
      <c r="AJ200" s="193"/>
      <c r="AK200" s="599"/>
      <c r="AL200" s="734"/>
      <c r="AM200" s="600"/>
      <c r="AN200" s="599"/>
      <c r="AO200" s="599"/>
      <c r="AP200" s="646">
        <f t="shared" si="742"/>
        <v>0.43376224086752219</v>
      </c>
      <c r="AQ200" s="193"/>
      <c r="AR200" s="599"/>
      <c r="AS200" s="734"/>
      <c r="AT200" s="600"/>
      <c r="AU200" s="599"/>
      <c r="AV200" s="599"/>
      <c r="AW200" s="646">
        <f t="shared" si="742"/>
        <v>0.43406170070716033</v>
      </c>
      <c r="AX200" s="193"/>
      <c r="AY200" s="599"/>
      <c r="AZ200" s="734"/>
      <c r="BA200" s="600"/>
      <c r="BB200" s="599"/>
      <c r="BC200" s="599"/>
      <c r="BD200" s="646">
        <f t="shared" si="742"/>
        <v>0.56035174613968075</v>
      </c>
      <c r="BE200" s="193"/>
      <c r="BF200" s="599"/>
      <c r="BG200" s="734"/>
      <c r="BH200" s="600"/>
      <c r="BI200" s="599"/>
      <c r="BJ200" s="599"/>
      <c r="BK200" s="646">
        <f t="shared" si="742"/>
        <v>0.55000000000000004</v>
      </c>
      <c r="BL200" s="193"/>
      <c r="BM200" s="599"/>
      <c r="BN200" s="734"/>
      <c r="BO200" s="600"/>
      <c r="BP200" s="599"/>
      <c r="BQ200" s="599"/>
      <c r="BR200" s="646">
        <f t="shared" si="742"/>
        <v>0.55000000000000004</v>
      </c>
      <c r="BS200" s="193"/>
      <c r="BT200" s="599"/>
      <c r="BU200" s="734"/>
      <c r="BV200" s="600"/>
      <c r="BW200" s="599"/>
      <c r="BX200" s="599"/>
      <c r="BY200" s="646">
        <f t="shared" si="742"/>
        <v>0.6</v>
      </c>
      <c r="BZ200" s="193"/>
      <c r="CA200" s="599"/>
      <c r="CB200" s="734"/>
      <c r="CC200" s="600"/>
      <c r="CD200" s="599"/>
      <c r="CE200" s="599"/>
      <c r="CF200" s="646">
        <f t="shared" si="742"/>
        <v>0.6</v>
      </c>
      <c r="CG200" s="193"/>
      <c r="CH200" s="599"/>
      <c r="CI200" s="734"/>
      <c r="CJ200" s="600"/>
      <c r="CK200" s="599"/>
      <c r="CL200" s="599"/>
      <c r="CM200" s="646">
        <f t="shared" si="742"/>
        <v>0.65</v>
      </c>
      <c r="CN200" s="193"/>
      <c r="CO200" s="599"/>
      <c r="CP200" s="734"/>
      <c r="CQ200" s="600"/>
      <c r="CR200" s="599"/>
      <c r="CS200" s="599"/>
      <c r="CT200" s="646"/>
      <c r="CU200" s="193"/>
      <c r="CV200" s="599"/>
      <c r="CW200" s="599"/>
      <c r="CX200" s="600"/>
      <c r="CY200" s="599"/>
      <c r="CZ200" s="599"/>
      <c r="DA200" s="1402"/>
      <c r="DB200" s="193"/>
      <c r="DC200" s="599"/>
      <c r="DD200" s="193"/>
      <c r="DE200" s="712"/>
      <c r="DF200" s="193"/>
      <c r="DG200" s="193"/>
      <c r="DH200" s="1305"/>
      <c r="DI200" s="193">
        <f t="shared" si="709"/>
        <v>0</v>
      </c>
      <c r="DJ200" s="193"/>
      <c r="DK200" s="599">
        <f t="shared" si="710"/>
        <v>0</v>
      </c>
      <c r="DL200" s="600"/>
      <c r="DM200" s="193">
        <f t="shared" si="711"/>
        <v>0</v>
      </c>
      <c r="DN200" s="599"/>
      <c r="DO200" s="754">
        <f t="shared" si="712"/>
        <v>0</v>
      </c>
      <c r="DP200" s="599">
        <f t="shared" si="713"/>
        <v>0</v>
      </c>
      <c r="DQ200" s="599">
        <f t="shared" si="714"/>
        <v>0</v>
      </c>
      <c r="DR200" s="599">
        <f t="shared" si="715"/>
        <v>0</v>
      </c>
      <c r="DS200" s="600">
        <f t="shared" si="716"/>
        <v>0</v>
      </c>
      <c r="DT200" s="599">
        <f t="shared" si="717"/>
        <v>0</v>
      </c>
      <c r="DU200" s="599">
        <f t="shared" si="718"/>
        <v>0</v>
      </c>
      <c r="DV200" s="754">
        <f t="shared" si="719"/>
        <v>0</v>
      </c>
      <c r="DW200" s="599">
        <f t="shared" si="720"/>
        <v>0</v>
      </c>
      <c r="DX200" s="599">
        <f t="shared" si="721"/>
        <v>0</v>
      </c>
      <c r="DY200" s="599">
        <f t="shared" si="722"/>
        <v>0</v>
      </c>
      <c r="DZ200" s="600">
        <f t="shared" si="723"/>
        <v>0</v>
      </c>
      <c r="EA200" s="599">
        <f t="shared" si="724"/>
        <v>0</v>
      </c>
      <c r="EB200" s="599">
        <f t="shared" si="725"/>
        <v>0</v>
      </c>
      <c r="EC200" s="754">
        <f t="shared" si="726"/>
        <v>0</v>
      </c>
      <c r="ED200" s="599">
        <f t="shared" si="727"/>
        <v>0</v>
      </c>
      <c r="EE200" s="599">
        <f t="shared" si="728"/>
        <v>0</v>
      </c>
      <c r="EF200" s="599">
        <f t="shared" si="729"/>
        <v>0</v>
      </c>
      <c r="EG200" s="600">
        <f t="shared" si="730"/>
        <v>0</v>
      </c>
      <c r="EH200" s="599">
        <f t="shared" si="731"/>
        <v>0</v>
      </c>
      <c r="EI200" s="599">
        <f t="shared" si="732"/>
        <v>0</v>
      </c>
      <c r="EJ200" s="754">
        <f t="shared" si="733"/>
        <v>0</v>
      </c>
      <c r="EK200" s="599">
        <f t="shared" si="734"/>
        <v>0</v>
      </c>
      <c r="EL200" s="599">
        <f t="shared" si="735"/>
        <v>0</v>
      </c>
      <c r="EM200" s="599">
        <f t="shared" si="736"/>
        <v>0</v>
      </c>
      <c r="EN200" s="600">
        <f t="shared" si="737"/>
        <v>0</v>
      </c>
      <c r="EO200" s="599">
        <f t="shared" si="738"/>
        <v>0</v>
      </c>
      <c r="EP200" s="599">
        <f t="shared" si="739"/>
        <v>0</v>
      </c>
      <c r="EQ200" s="754">
        <f t="shared" si="740"/>
        <v>0</v>
      </c>
    </row>
    <row r="201" spans="1:147" ht="10.199999999999999" hidden="1" customHeight="1" outlineLevel="1">
      <c r="A201" s="193" t="str">
        <f t="shared" si="708"/>
        <v>A320ceo</v>
      </c>
      <c r="B201" s="152"/>
      <c r="C201" s="628">
        <v>0.22</v>
      </c>
      <c r="D201" s="628">
        <v>0.21</v>
      </c>
      <c r="E201" s="628">
        <v>0.22</v>
      </c>
      <c r="F201" s="628">
        <v>0.24875</v>
      </c>
      <c r="G201" s="628">
        <v>0.24374999999999999</v>
      </c>
      <c r="H201" s="628">
        <v>0.23949999999999999</v>
      </c>
      <c r="I201" s="628">
        <v>0.22</v>
      </c>
      <c r="J201" s="628">
        <v>0.22</v>
      </c>
      <c r="K201" s="628">
        <v>0.23</v>
      </c>
      <c r="L201" s="628">
        <v>0.35</v>
      </c>
      <c r="M201" s="628">
        <v>0.36</v>
      </c>
      <c r="N201" s="628">
        <v>0.52500000000000002</v>
      </c>
      <c r="O201" s="251"/>
      <c r="P201" s="449"/>
      <c r="Q201" s="1261"/>
      <c r="R201" s="450"/>
      <c r="S201" s="449"/>
      <c r="T201" s="449"/>
      <c r="U201" s="647">
        <v>0.53500000000000003</v>
      </c>
      <c r="V201" s="251"/>
      <c r="W201" s="449"/>
      <c r="X201" s="1261"/>
      <c r="Y201" s="450"/>
      <c r="Z201" s="449"/>
      <c r="AA201" s="449"/>
      <c r="AB201" s="647">
        <v>0.36483780955702816</v>
      </c>
      <c r="AC201" s="251"/>
      <c r="AD201" s="449"/>
      <c r="AE201" s="1261"/>
      <c r="AF201" s="450"/>
      <c r="AG201" s="449"/>
      <c r="AH201" s="449"/>
      <c r="AI201" s="647">
        <v>0.40169355022454578</v>
      </c>
      <c r="AJ201" s="251"/>
      <c r="AK201" s="449"/>
      <c r="AL201" s="1261"/>
      <c r="AM201" s="450"/>
      <c r="AN201" s="449"/>
      <c r="AO201" s="449"/>
      <c r="AP201" s="647">
        <v>0.43376224086752219</v>
      </c>
      <c r="AQ201" s="251"/>
      <c r="AR201" s="449"/>
      <c r="AS201" s="1261"/>
      <c r="AT201" s="450"/>
      <c r="AU201" s="449"/>
      <c r="AV201" s="449"/>
      <c r="AW201" s="647">
        <v>0.43406170070716033</v>
      </c>
      <c r="AX201" s="251"/>
      <c r="AY201" s="449"/>
      <c r="AZ201" s="1261"/>
      <c r="BA201" s="450"/>
      <c r="BB201" s="449"/>
      <c r="BC201" s="449"/>
      <c r="BD201" s="647">
        <v>0.56035174613968075</v>
      </c>
      <c r="BE201" s="251"/>
      <c r="BF201" s="449"/>
      <c r="BG201" s="1261"/>
      <c r="BH201" s="450"/>
      <c r="BI201" s="449"/>
      <c r="BJ201" s="449"/>
      <c r="BK201" s="647">
        <v>0.55000000000000004</v>
      </c>
      <c r="BL201" s="251"/>
      <c r="BM201" s="449"/>
      <c r="BN201" s="1261"/>
      <c r="BO201" s="450"/>
      <c r="BP201" s="449"/>
      <c r="BQ201" s="449"/>
      <c r="BR201" s="647">
        <v>0.55000000000000004</v>
      </c>
      <c r="BS201" s="251"/>
      <c r="BT201" s="449"/>
      <c r="BU201" s="1261"/>
      <c r="BV201" s="450"/>
      <c r="BW201" s="449"/>
      <c r="BX201" s="449"/>
      <c r="BY201" s="647">
        <v>0.6</v>
      </c>
      <c r="BZ201" s="251"/>
      <c r="CA201" s="449"/>
      <c r="CB201" s="1261"/>
      <c r="CC201" s="450"/>
      <c r="CD201" s="449"/>
      <c r="CE201" s="449"/>
      <c r="CF201" s="647">
        <v>0.6</v>
      </c>
      <c r="CG201" s="251"/>
      <c r="CH201" s="449"/>
      <c r="CI201" s="1261"/>
      <c r="CJ201" s="450"/>
      <c r="CK201" s="449"/>
      <c r="CL201" s="449"/>
      <c r="CM201" s="647">
        <v>0.65</v>
      </c>
      <c r="CN201" s="251"/>
      <c r="CO201" s="449"/>
      <c r="CP201" s="1261"/>
      <c r="CQ201" s="450"/>
      <c r="CR201" s="449"/>
      <c r="CS201" s="449"/>
      <c r="CT201" s="647"/>
      <c r="CU201" s="251"/>
      <c r="CV201" s="449"/>
      <c r="CW201" s="449"/>
      <c r="CX201" s="450"/>
      <c r="CY201" s="449"/>
      <c r="CZ201" s="449"/>
      <c r="DA201" s="648"/>
      <c r="DB201" s="251"/>
      <c r="DC201" s="449"/>
      <c r="DD201" s="251"/>
      <c r="DE201" s="1277"/>
      <c r="DF201" s="251"/>
      <c r="DG201" s="251"/>
      <c r="DH201" s="1275"/>
      <c r="DI201" s="193">
        <f t="shared" si="709"/>
        <v>0</v>
      </c>
      <c r="DJ201" s="193"/>
      <c r="DK201" s="599">
        <f t="shared" si="710"/>
        <v>0</v>
      </c>
      <c r="DL201" s="600"/>
      <c r="DM201" s="251">
        <f t="shared" si="711"/>
        <v>0</v>
      </c>
      <c r="DN201" s="599"/>
      <c r="DO201" s="754">
        <f t="shared" si="712"/>
        <v>0</v>
      </c>
      <c r="DP201" s="599">
        <f t="shared" si="713"/>
        <v>0</v>
      </c>
      <c r="DQ201" s="599">
        <f t="shared" si="714"/>
        <v>0</v>
      </c>
      <c r="DR201" s="599">
        <f t="shared" si="715"/>
        <v>0</v>
      </c>
      <c r="DS201" s="600">
        <f t="shared" si="716"/>
        <v>0</v>
      </c>
      <c r="DT201" s="599">
        <f t="shared" si="717"/>
        <v>0</v>
      </c>
      <c r="DU201" s="599">
        <f t="shared" si="718"/>
        <v>0</v>
      </c>
      <c r="DV201" s="754">
        <f t="shared" si="719"/>
        <v>0</v>
      </c>
      <c r="DW201" s="599">
        <f t="shared" si="720"/>
        <v>0</v>
      </c>
      <c r="DX201" s="599">
        <f t="shared" si="721"/>
        <v>0</v>
      </c>
      <c r="DY201" s="599">
        <f t="shared" si="722"/>
        <v>0</v>
      </c>
      <c r="DZ201" s="600">
        <f t="shared" si="723"/>
        <v>0</v>
      </c>
      <c r="EA201" s="599">
        <f t="shared" si="724"/>
        <v>0</v>
      </c>
      <c r="EB201" s="599">
        <f t="shared" si="725"/>
        <v>0</v>
      </c>
      <c r="EC201" s="754">
        <f t="shared" si="726"/>
        <v>0</v>
      </c>
      <c r="ED201" s="599">
        <f t="shared" si="727"/>
        <v>0</v>
      </c>
      <c r="EE201" s="599">
        <f t="shared" si="728"/>
        <v>0</v>
      </c>
      <c r="EF201" s="599">
        <f t="shared" si="729"/>
        <v>0</v>
      </c>
      <c r="EG201" s="600">
        <f t="shared" si="730"/>
        <v>0</v>
      </c>
      <c r="EH201" s="599">
        <f t="shared" si="731"/>
        <v>0</v>
      </c>
      <c r="EI201" s="599">
        <f t="shared" si="732"/>
        <v>0</v>
      </c>
      <c r="EJ201" s="754">
        <f t="shared" si="733"/>
        <v>0</v>
      </c>
      <c r="EK201" s="599">
        <f t="shared" si="734"/>
        <v>0</v>
      </c>
      <c r="EL201" s="599">
        <f t="shared" si="735"/>
        <v>0</v>
      </c>
      <c r="EM201" s="599">
        <f t="shared" si="736"/>
        <v>0</v>
      </c>
      <c r="EN201" s="600">
        <f t="shared" si="737"/>
        <v>0</v>
      </c>
      <c r="EO201" s="599">
        <f t="shared" si="738"/>
        <v>0</v>
      </c>
      <c r="EP201" s="599">
        <f t="shared" si="739"/>
        <v>0</v>
      </c>
      <c r="EQ201" s="754">
        <f t="shared" si="740"/>
        <v>0</v>
      </c>
    </row>
    <row r="202" spans="1:147" ht="10.199999999999999" hidden="1" customHeight="1" outlineLevel="1">
      <c r="A202" s="193" t="str">
        <f t="shared" si="708"/>
        <v>A321ceo</v>
      </c>
      <c r="B202" s="152"/>
      <c r="C202" s="74">
        <f t="shared" ref="C202:CM202" si="743">C201</f>
        <v>0.22</v>
      </c>
      <c r="D202" s="74">
        <f t="shared" si="743"/>
        <v>0.21</v>
      </c>
      <c r="E202" s="74">
        <f t="shared" si="743"/>
        <v>0.22</v>
      </c>
      <c r="F202" s="74">
        <f t="shared" si="743"/>
        <v>0.24875</v>
      </c>
      <c r="G202" s="74">
        <f t="shared" si="743"/>
        <v>0.24374999999999999</v>
      </c>
      <c r="H202" s="74">
        <f t="shared" si="743"/>
        <v>0.23949999999999999</v>
      </c>
      <c r="I202" s="74">
        <f t="shared" si="743"/>
        <v>0.22</v>
      </c>
      <c r="J202" s="74">
        <f t="shared" si="743"/>
        <v>0.22</v>
      </c>
      <c r="K202" s="74">
        <f t="shared" si="743"/>
        <v>0.23</v>
      </c>
      <c r="L202" s="74">
        <f t="shared" si="743"/>
        <v>0.35</v>
      </c>
      <c r="M202" s="74">
        <f t="shared" si="743"/>
        <v>0.36</v>
      </c>
      <c r="N202" s="74">
        <f t="shared" si="743"/>
        <v>0.52500000000000002</v>
      </c>
      <c r="O202" s="251"/>
      <c r="P202" s="449"/>
      <c r="Q202" s="1261"/>
      <c r="R202" s="450"/>
      <c r="S202" s="449"/>
      <c r="T202" s="449"/>
      <c r="U202" s="1275">
        <f t="shared" si="743"/>
        <v>0.53500000000000003</v>
      </c>
      <c r="V202" s="251"/>
      <c r="W202" s="449"/>
      <c r="X202" s="1261"/>
      <c r="Y202" s="450"/>
      <c r="Z202" s="449"/>
      <c r="AA202" s="449"/>
      <c r="AB202" s="1275">
        <f t="shared" si="743"/>
        <v>0.36483780955702816</v>
      </c>
      <c r="AC202" s="251"/>
      <c r="AD202" s="449"/>
      <c r="AE202" s="1261"/>
      <c r="AF202" s="450"/>
      <c r="AG202" s="449"/>
      <c r="AH202" s="449"/>
      <c r="AI202" s="1275">
        <f t="shared" si="743"/>
        <v>0.40169355022454578</v>
      </c>
      <c r="AJ202" s="251"/>
      <c r="AK202" s="449"/>
      <c r="AL202" s="1261"/>
      <c r="AM202" s="450"/>
      <c r="AN202" s="449"/>
      <c r="AO202" s="449"/>
      <c r="AP202" s="1275">
        <f t="shared" si="743"/>
        <v>0.43376224086752219</v>
      </c>
      <c r="AQ202" s="251"/>
      <c r="AR202" s="449"/>
      <c r="AS202" s="1261"/>
      <c r="AT202" s="450"/>
      <c r="AU202" s="449"/>
      <c r="AV202" s="449"/>
      <c r="AW202" s="1275">
        <f t="shared" si="743"/>
        <v>0.43406170070716033</v>
      </c>
      <c r="AX202" s="251"/>
      <c r="AY202" s="449"/>
      <c r="AZ202" s="1261"/>
      <c r="BA202" s="450"/>
      <c r="BB202" s="449"/>
      <c r="BC202" s="449"/>
      <c r="BD202" s="1275">
        <f t="shared" si="743"/>
        <v>0.56035174613968075</v>
      </c>
      <c r="BE202" s="251"/>
      <c r="BF202" s="449"/>
      <c r="BG202" s="1261"/>
      <c r="BH202" s="450"/>
      <c r="BI202" s="449"/>
      <c r="BJ202" s="449"/>
      <c r="BK202" s="1275">
        <f t="shared" si="743"/>
        <v>0.55000000000000004</v>
      </c>
      <c r="BL202" s="251"/>
      <c r="BM202" s="449"/>
      <c r="BN202" s="1261"/>
      <c r="BO202" s="450"/>
      <c r="BP202" s="449"/>
      <c r="BQ202" s="449"/>
      <c r="BR202" s="1275">
        <f t="shared" si="743"/>
        <v>0.55000000000000004</v>
      </c>
      <c r="BS202" s="251"/>
      <c r="BT202" s="449"/>
      <c r="BU202" s="1261"/>
      <c r="BV202" s="450"/>
      <c r="BW202" s="449"/>
      <c r="BX202" s="449"/>
      <c r="BY202" s="1275">
        <f t="shared" si="743"/>
        <v>0.6</v>
      </c>
      <c r="BZ202" s="251"/>
      <c r="CA202" s="449"/>
      <c r="CB202" s="1261"/>
      <c r="CC202" s="450"/>
      <c r="CD202" s="449"/>
      <c r="CE202" s="449"/>
      <c r="CF202" s="1275">
        <f t="shared" si="743"/>
        <v>0.6</v>
      </c>
      <c r="CG202" s="251"/>
      <c r="CH202" s="449"/>
      <c r="CI202" s="1261"/>
      <c r="CJ202" s="450"/>
      <c r="CK202" s="449"/>
      <c r="CL202" s="449"/>
      <c r="CM202" s="1275">
        <f t="shared" si="743"/>
        <v>0.65</v>
      </c>
      <c r="CN202" s="251"/>
      <c r="CO202" s="449"/>
      <c r="CP202" s="1261"/>
      <c r="CQ202" s="450"/>
      <c r="CR202" s="449"/>
      <c r="CS202" s="449"/>
      <c r="CT202" s="1275"/>
      <c r="CU202" s="251"/>
      <c r="CV202" s="449"/>
      <c r="CW202" s="449"/>
      <c r="CX202" s="450"/>
      <c r="CY202" s="449"/>
      <c r="CZ202" s="449"/>
      <c r="DA202" s="648"/>
      <c r="DB202" s="251"/>
      <c r="DC202" s="449"/>
      <c r="DD202" s="251"/>
      <c r="DE202" s="1277"/>
      <c r="DF202" s="251"/>
      <c r="DG202" s="251"/>
      <c r="DH202" s="1275"/>
      <c r="DI202" s="193">
        <f t="shared" si="709"/>
        <v>0</v>
      </c>
      <c r="DJ202" s="193"/>
      <c r="DK202" s="599">
        <f t="shared" si="710"/>
        <v>0</v>
      </c>
      <c r="DL202" s="600"/>
      <c r="DM202" s="251">
        <f t="shared" si="711"/>
        <v>0</v>
      </c>
      <c r="DN202" s="599"/>
      <c r="DO202" s="754">
        <f t="shared" si="712"/>
        <v>0</v>
      </c>
      <c r="DP202" s="599">
        <f t="shared" si="713"/>
        <v>0</v>
      </c>
      <c r="DQ202" s="599">
        <f t="shared" si="714"/>
        <v>0</v>
      </c>
      <c r="DR202" s="599">
        <f t="shared" si="715"/>
        <v>0</v>
      </c>
      <c r="DS202" s="600">
        <f t="shared" si="716"/>
        <v>0</v>
      </c>
      <c r="DT202" s="599">
        <f t="shared" si="717"/>
        <v>0</v>
      </c>
      <c r="DU202" s="599">
        <f t="shared" si="718"/>
        <v>0</v>
      </c>
      <c r="DV202" s="754">
        <f t="shared" si="719"/>
        <v>0</v>
      </c>
      <c r="DW202" s="599">
        <f t="shared" si="720"/>
        <v>0</v>
      </c>
      <c r="DX202" s="599">
        <f t="shared" si="721"/>
        <v>0</v>
      </c>
      <c r="DY202" s="599">
        <f t="shared" si="722"/>
        <v>0</v>
      </c>
      <c r="DZ202" s="600">
        <f t="shared" si="723"/>
        <v>0</v>
      </c>
      <c r="EA202" s="599">
        <f t="shared" si="724"/>
        <v>0</v>
      </c>
      <c r="EB202" s="599">
        <f t="shared" si="725"/>
        <v>0</v>
      </c>
      <c r="EC202" s="754">
        <f t="shared" si="726"/>
        <v>0</v>
      </c>
      <c r="ED202" s="599">
        <f t="shared" si="727"/>
        <v>0</v>
      </c>
      <c r="EE202" s="599">
        <f t="shared" si="728"/>
        <v>0</v>
      </c>
      <c r="EF202" s="599">
        <f t="shared" si="729"/>
        <v>0</v>
      </c>
      <c r="EG202" s="600">
        <f t="shared" si="730"/>
        <v>0</v>
      </c>
      <c r="EH202" s="599">
        <f t="shared" si="731"/>
        <v>0</v>
      </c>
      <c r="EI202" s="599">
        <f t="shared" si="732"/>
        <v>0</v>
      </c>
      <c r="EJ202" s="754">
        <f t="shared" si="733"/>
        <v>0</v>
      </c>
      <c r="EK202" s="599">
        <f t="shared" si="734"/>
        <v>0</v>
      </c>
      <c r="EL202" s="599">
        <f t="shared" si="735"/>
        <v>0</v>
      </c>
      <c r="EM202" s="599">
        <f t="shared" si="736"/>
        <v>0</v>
      </c>
      <c r="EN202" s="600">
        <f t="shared" si="737"/>
        <v>0</v>
      </c>
      <c r="EO202" s="599">
        <f t="shared" si="738"/>
        <v>0</v>
      </c>
      <c r="EP202" s="599">
        <f t="shared" si="739"/>
        <v>0</v>
      </c>
      <c r="EQ202" s="754">
        <f t="shared" si="740"/>
        <v>0</v>
      </c>
    </row>
    <row r="203" spans="1:147" ht="10.199999999999999" customHeight="1" collapsed="1">
      <c r="A203" s="193" t="str">
        <f t="shared" si="708"/>
        <v>A319neo</v>
      </c>
      <c r="B203" s="152"/>
      <c r="C203" s="74">
        <f t="shared" ref="C203:BD203" si="744">C204</f>
        <v>0.19</v>
      </c>
      <c r="D203" s="74">
        <f t="shared" si="744"/>
        <v>0.19</v>
      </c>
      <c r="E203" s="74">
        <f t="shared" si="744"/>
        <v>0.2</v>
      </c>
      <c r="F203" s="74">
        <f t="shared" si="744"/>
        <v>0.20250000000000001</v>
      </c>
      <c r="G203" s="74">
        <f t="shared" si="744"/>
        <v>0.20333333333333334</v>
      </c>
      <c r="H203" s="74">
        <f t="shared" si="744"/>
        <v>0.2</v>
      </c>
      <c r="I203" s="74">
        <f t="shared" si="744"/>
        <v>0.2</v>
      </c>
      <c r="J203" s="74">
        <f t="shared" si="744"/>
        <v>0.2</v>
      </c>
      <c r="K203" s="74">
        <f t="shared" si="744"/>
        <v>0.2</v>
      </c>
      <c r="L203" s="74">
        <f t="shared" si="744"/>
        <v>0.25</v>
      </c>
      <c r="M203" s="74">
        <f t="shared" si="744"/>
        <v>0.25</v>
      </c>
      <c r="N203" s="74">
        <f t="shared" si="744"/>
        <v>0.25</v>
      </c>
      <c r="O203" s="193"/>
      <c r="P203" s="193"/>
      <c r="Q203" s="193"/>
      <c r="R203" s="712"/>
      <c r="S203" s="193"/>
      <c r="T203" s="193"/>
      <c r="U203" s="1275">
        <f t="shared" si="744"/>
        <v>0.25</v>
      </c>
      <c r="V203" s="193"/>
      <c r="W203" s="193"/>
      <c r="X203" s="193"/>
      <c r="Y203" s="712"/>
      <c r="Z203" s="193"/>
      <c r="AA203" s="193"/>
      <c r="AB203" s="1275">
        <f t="shared" si="744"/>
        <v>0.45</v>
      </c>
      <c r="AC203" s="193"/>
      <c r="AD203" s="193"/>
      <c r="AE203" s="193"/>
      <c r="AF203" s="712"/>
      <c r="AG203" s="193"/>
      <c r="AH203" s="193"/>
      <c r="AI203" s="1275">
        <f t="shared" si="744"/>
        <v>0.45</v>
      </c>
      <c r="AJ203" s="193"/>
      <c r="AK203" s="193"/>
      <c r="AL203" s="193"/>
      <c r="AM203" s="712"/>
      <c r="AN203" s="193"/>
      <c r="AO203" s="193"/>
      <c r="AP203" s="1275">
        <f t="shared" si="744"/>
        <v>0.45</v>
      </c>
      <c r="AQ203" s="193"/>
      <c r="AR203" s="193"/>
      <c r="AS203" s="193"/>
      <c r="AT203" s="712"/>
      <c r="AU203" s="193"/>
      <c r="AV203" s="193"/>
      <c r="AW203" s="1275">
        <f t="shared" si="744"/>
        <v>0.45</v>
      </c>
      <c r="AX203" s="193"/>
      <c r="AY203" s="193"/>
      <c r="AZ203" s="193"/>
      <c r="BA203" s="712"/>
      <c r="BB203" s="193"/>
      <c r="BC203" s="193"/>
      <c r="BD203" s="1275">
        <f t="shared" si="744"/>
        <v>0.5</v>
      </c>
      <c r="BE203" s="193"/>
      <c r="BF203" s="193"/>
      <c r="BG203" s="193"/>
      <c r="BH203" s="712"/>
      <c r="BI203" s="193"/>
      <c r="BJ203" s="193"/>
      <c r="BK203" s="1275">
        <f>BK204</f>
        <v>0.54732996682326707</v>
      </c>
      <c r="BL203" s="193"/>
      <c r="BM203" s="193"/>
      <c r="BN203" s="193"/>
      <c r="BO203" s="712"/>
      <c r="BP203" s="193"/>
      <c r="BQ203" s="193"/>
      <c r="BR203" s="1275">
        <f>BR204</f>
        <v>0.52760264269048485</v>
      </c>
      <c r="BS203" s="193"/>
      <c r="BT203" s="193"/>
      <c r="BU203" s="193"/>
      <c r="BV203" s="712"/>
      <c r="BW203" s="193"/>
      <c r="BX203" s="193"/>
      <c r="BY203" s="1275">
        <f>BY204</f>
        <v>0.56698825410073483</v>
      </c>
      <c r="BZ203" s="193"/>
      <c r="CA203" s="193"/>
      <c r="CB203" s="193"/>
      <c r="CC203" s="712"/>
      <c r="CD203" s="193"/>
      <c r="CE203" s="193"/>
      <c r="CF203" s="1275">
        <f>CF204</f>
        <v>0.55187564734719496</v>
      </c>
      <c r="CG203" s="193"/>
      <c r="CH203" s="193"/>
      <c r="CI203" s="193"/>
      <c r="CJ203" s="712"/>
      <c r="CK203" s="193"/>
      <c r="CL203" s="193"/>
      <c r="CM203" s="1275">
        <f>CM204</f>
        <v>0.5703273488996129</v>
      </c>
      <c r="CN203" s="193">
        <v>0.6</v>
      </c>
      <c r="CO203" s="193">
        <f t="shared" ref="CO203:CO209" si="745">(CO177-CO226)/CO177</f>
        <v>0.60000000000000009</v>
      </c>
      <c r="CP203" s="193">
        <v>0.6</v>
      </c>
      <c r="CQ203" s="712">
        <f t="shared" ref="CQ203:CQ209" si="746">(CQ177-CQ226)/CQ177</f>
        <v>0.60000000000000009</v>
      </c>
      <c r="CR203" s="193">
        <v>0.6</v>
      </c>
      <c r="CS203" s="193">
        <f t="shared" ref="CS203:CS209" si="747">(CS177-CS226)/CS177</f>
        <v>0.60000000000000009</v>
      </c>
      <c r="CT203" s="1275">
        <v>0.6</v>
      </c>
      <c r="CU203" s="193">
        <f t="shared" ref="CU203:CU209" si="748">DA203</f>
        <v>0.6</v>
      </c>
      <c r="CV203" s="193">
        <f t="shared" ref="CV203:CV209" si="749">(CV177-CV226)/CV177</f>
        <v>0.60000000000000009</v>
      </c>
      <c r="CW203" s="193">
        <f t="shared" ref="CW203:CW209" si="750">DA203</f>
        <v>0.6</v>
      </c>
      <c r="CX203" s="712">
        <f t="shared" ref="CX203:CX209" si="751">(CX177-CX226)/CX177</f>
        <v>0.60000000000000009</v>
      </c>
      <c r="CY203" s="193">
        <f t="shared" ref="CY203:CY209" si="752">DA203</f>
        <v>0.6</v>
      </c>
      <c r="CZ203" s="193">
        <f t="shared" ref="CZ203:CZ209" si="753">(CZ177-CZ226)/CZ177</f>
        <v>0.60000000000000009</v>
      </c>
      <c r="DA203" s="1275">
        <v>0.6</v>
      </c>
      <c r="DB203" s="193">
        <f>DH203</f>
        <v>0.6</v>
      </c>
      <c r="DC203" s="193">
        <f t="shared" ref="DC203:DC209" si="754">(DC177-DC226)/DC177</f>
        <v>0.59999999999999987</v>
      </c>
      <c r="DD203" s="193">
        <f>DH203</f>
        <v>0.6</v>
      </c>
      <c r="DE203" s="712">
        <f t="shared" ref="DE203:DE209" si="755">(DE177-DE226)/DE177</f>
        <v>0.59999999999999987</v>
      </c>
      <c r="DF203" s="193">
        <f>DH203</f>
        <v>0.6</v>
      </c>
      <c r="DG203" s="193">
        <f t="shared" ref="DG203:DG209" si="756">(DG177-DG226)/DG177</f>
        <v>0.59999999999999987</v>
      </c>
      <c r="DH203" s="1305">
        <v>0.6</v>
      </c>
      <c r="DI203" s="193">
        <f t="shared" si="709"/>
        <v>0.6</v>
      </c>
      <c r="DJ203" s="193">
        <f t="shared" ref="DJ203:DJ209" si="757">(DJ177-DJ226)/DJ177</f>
        <v>0.60000000000000009</v>
      </c>
      <c r="DK203" s="599">
        <f t="shared" si="710"/>
        <v>0.6</v>
      </c>
      <c r="DL203" s="600">
        <f t="shared" ref="DL203:DL209" si="758">(DL177-DL226)/DL177</f>
        <v>0.60000000000000009</v>
      </c>
      <c r="DM203" s="193">
        <f t="shared" si="711"/>
        <v>0.6</v>
      </c>
      <c r="DN203" s="599">
        <f t="shared" ref="DN203:DN209" si="759">(DN177-DN226)/DN177</f>
        <v>0.60000000000000009</v>
      </c>
      <c r="DO203" s="754">
        <f t="shared" si="712"/>
        <v>0.6</v>
      </c>
      <c r="DP203" s="599">
        <f t="shared" si="713"/>
        <v>0.6</v>
      </c>
      <c r="DQ203" s="599">
        <f t="shared" si="714"/>
        <v>0.6</v>
      </c>
      <c r="DR203" s="599">
        <f t="shared" si="715"/>
        <v>0.6</v>
      </c>
      <c r="DS203" s="600">
        <f t="shared" si="716"/>
        <v>0.6</v>
      </c>
      <c r="DT203" s="599">
        <f t="shared" si="717"/>
        <v>0.6</v>
      </c>
      <c r="DU203" s="599">
        <f t="shared" si="718"/>
        <v>0.6</v>
      </c>
      <c r="DV203" s="754">
        <f t="shared" si="719"/>
        <v>0.6</v>
      </c>
      <c r="DW203" s="599">
        <f t="shared" si="720"/>
        <v>0.6</v>
      </c>
      <c r="DX203" s="599">
        <f t="shared" si="721"/>
        <v>0.6</v>
      </c>
      <c r="DY203" s="599">
        <f t="shared" si="722"/>
        <v>0.6</v>
      </c>
      <c r="DZ203" s="600">
        <f t="shared" si="723"/>
        <v>0.6</v>
      </c>
      <c r="EA203" s="599">
        <f t="shared" si="724"/>
        <v>0.6</v>
      </c>
      <c r="EB203" s="599">
        <f t="shared" si="725"/>
        <v>0.6</v>
      </c>
      <c r="EC203" s="754">
        <f t="shared" si="726"/>
        <v>0.6</v>
      </c>
      <c r="ED203" s="599">
        <f t="shared" si="727"/>
        <v>0.6</v>
      </c>
      <c r="EE203" s="599">
        <f t="shared" si="728"/>
        <v>0.6</v>
      </c>
      <c r="EF203" s="599">
        <f t="shared" si="729"/>
        <v>0.6</v>
      </c>
      <c r="EG203" s="600">
        <f t="shared" si="730"/>
        <v>0.6</v>
      </c>
      <c r="EH203" s="599">
        <f t="shared" si="731"/>
        <v>0.6</v>
      </c>
      <c r="EI203" s="599">
        <f t="shared" si="732"/>
        <v>0.6</v>
      </c>
      <c r="EJ203" s="754">
        <f t="shared" si="733"/>
        <v>0.6</v>
      </c>
      <c r="EK203" s="599">
        <f t="shared" si="734"/>
        <v>0.6</v>
      </c>
      <c r="EL203" s="599">
        <f t="shared" si="735"/>
        <v>0.6</v>
      </c>
      <c r="EM203" s="599">
        <f t="shared" si="736"/>
        <v>0.6</v>
      </c>
      <c r="EN203" s="600">
        <f t="shared" si="737"/>
        <v>0.6</v>
      </c>
      <c r="EO203" s="599">
        <f t="shared" si="738"/>
        <v>0.6</v>
      </c>
      <c r="EP203" s="599">
        <f t="shared" si="739"/>
        <v>0.6</v>
      </c>
      <c r="EQ203" s="754">
        <f t="shared" si="740"/>
        <v>0.6</v>
      </c>
    </row>
    <row r="204" spans="1:147" ht="10.199999999999999" customHeight="1">
      <c r="A204" s="193" t="str">
        <f t="shared" si="708"/>
        <v>A320neo</v>
      </c>
      <c r="B204" s="152"/>
      <c r="C204" s="601">
        <v>0.19</v>
      </c>
      <c r="D204" s="601">
        <v>0.19</v>
      </c>
      <c r="E204" s="601">
        <v>0.2</v>
      </c>
      <c r="F204" s="601">
        <v>0.20250000000000001</v>
      </c>
      <c r="G204" s="601">
        <v>0.20333333333333334</v>
      </c>
      <c r="H204" s="601">
        <v>0.2</v>
      </c>
      <c r="I204" s="601">
        <v>0.2</v>
      </c>
      <c r="J204" s="601">
        <v>0.2</v>
      </c>
      <c r="K204" s="601">
        <v>0.2</v>
      </c>
      <c r="L204" s="601">
        <v>0.25</v>
      </c>
      <c r="M204" s="601">
        <v>0.25</v>
      </c>
      <c r="N204" s="601">
        <v>0.25</v>
      </c>
      <c r="O204" s="1260"/>
      <c r="P204" s="1260"/>
      <c r="Q204" s="1260"/>
      <c r="R204" s="1386"/>
      <c r="S204" s="1260"/>
      <c r="T204" s="1260"/>
      <c r="U204" s="1323">
        <v>0.25</v>
      </c>
      <c r="V204" s="1260"/>
      <c r="W204" s="1260"/>
      <c r="X204" s="1260"/>
      <c r="Y204" s="1386"/>
      <c r="Z204" s="1260"/>
      <c r="AA204" s="1260"/>
      <c r="AB204" s="1323">
        <v>0.45</v>
      </c>
      <c r="AC204" s="1260"/>
      <c r="AD204" s="1260"/>
      <c r="AE204" s="1260"/>
      <c r="AF204" s="1386"/>
      <c r="AG204" s="1260"/>
      <c r="AH204" s="1260"/>
      <c r="AI204" s="1323">
        <v>0.45</v>
      </c>
      <c r="AJ204" s="1260"/>
      <c r="AK204" s="1260"/>
      <c r="AL204" s="1260"/>
      <c r="AM204" s="1386"/>
      <c r="AN204" s="1260"/>
      <c r="AO204" s="1260"/>
      <c r="AP204" s="1323">
        <v>0.45</v>
      </c>
      <c r="AQ204" s="1260"/>
      <c r="AR204" s="1260"/>
      <c r="AS204" s="1260"/>
      <c r="AT204" s="1386"/>
      <c r="AU204" s="1260"/>
      <c r="AV204" s="1260"/>
      <c r="AW204" s="1323">
        <v>0.45</v>
      </c>
      <c r="AX204" s="1260"/>
      <c r="AY204" s="1260"/>
      <c r="AZ204" s="1260"/>
      <c r="BA204" s="1386"/>
      <c r="BB204" s="1260"/>
      <c r="BC204" s="1260"/>
      <c r="BD204" s="1323">
        <v>0.5</v>
      </c>
      <c r="BE204" s="1260"/>
      <c r="BF204" s="1260"/>
      <c r="BG204" s="1260"/>
      <c r="BH204" s="1386"/>
      <c r="BI204" s="1260"/>
      <c r="BJ204" s="1260"/>
      <c r="BK204" s="1323">
        <v>0.54732996682326707</v>
      </c>
      <c r="BL204" s="1260"/>
      <c r="BM204" s="1260"/>
      <c r="BN204" s="1260"/>
      <c r="BO204" s="1386"/>
      <c r="BP204" s="1260"/>
      <c r="BQ204" s="1260"/>
      <c r="BR204" s="1323">
        <v>0.52760264269048485</v>
      </c>
      <c r="BS204" s="1260"/>
      <c r="BT204" s="1260"/>
      <c r="BU204" s="1260"/>
      <c r="BV204" s="1386"/>
      <c r="BW204" s="1260"/>
      <c r="BX204" s="1260"/>
      <c r="BY204" s="1323">
        <v>0.56698825410073483</v>
      </c>
      <c r="BZ204" s="1260"/>
      <c r="CA204" s="1260"/>
      <c r="CB204" s="1260"/>
      <c r="CC204" s="1386"/>
      <c r="CD204" s="1260"/>
      <c r="CE204" s="1260"/>
      <c r="CF204" s="1323">
        <v>0.55187564734719496</v>
      </c>
      <c r="CG204" s="1260"/>
      <c r="CH204" s="1260"/>
      <c r="CI204" s="1260"/>
      <c r="CJ204" s="1386"/>
      <c r="CK204" s="1260"/>
      <c r="CL204" s="1260"/>
      <c r="CM204" s="1323">
        <v>0.5703273488996129</v>
      </c>
      <c r="CN204" s="1260">
        <v>0.56212856024011171</v>
      </c>
      <c r="CO204" s="1260">
        <f t="shared" si="745"/>
        <v>0.60706320237088274</v>
      </c>
      <c r="CP204" s="1260">
        <v>0.62326587654005516</v>
      </c>
      <c r="CQ204" s="1386">
        <f>(CQ178-CQ227)/CQ178</f>
        <v>0.52536436332548764</v>
      </c>
      <c r="CR204" s="1260">
        <v>0.58459588130549722</v>
      </c>
      <c r="CS204" s="1260">
        <f t="shared" si="747"/>
        <v>0.5743151199327714</v>
      </c>
      <c r="CT204" s="1323">
        <v>0.57945550061913431</v>
      </c>
      <c r="CU204" s="1260">
        <v>0.59788944519313936</v>
      </c>
      <c r="CV204" s="1260">
        <f t="shared" si="749"/>
        <v>0.59584475002334858</v>
      </c>
      <c r="CW204" s="1260">
        <v>0.59506570169703499</v>
      </c>
      <c r="CX204" s="1386">
        <f>(CX178-CX227)/CX178</f>
        <v>0.60097564132656522</v>
      </c>
      <c r="CY204" s="1260">
        <v>0.59686709760824397</v>
      </c>
      <c r="CZ204" s="1260">
        <f t="shared" si="753"/>
        <v>0.59802067151180016</v>
      </c>
      <c r="DA204" s="1323">
        <v>0.59744388456002206</v>
      </c>
      <c r="DB204" s="1260">
        <v>0.60318590559364904</v>
      </c>
      <c r="DC204" s="1260">
        <f t="shared" si="754"/>
        <v>0.61681409440635093</v>
      </c>
      <c r="DD204" s="1260">
        <v>0.6</v>
      </c>
      <c r="DE204" s="1386">
        <f>(DE178-DE227)/DE178</f>
        <v>0.57999999999999996</v>
      </c>
      <c r="DF204" s="1812">
        <v>0.61</v>
      </c>
      <c r="DG204" s="1260">
        <f t="shared" si="756"/>
        <v>0.59</v>
      </c>
      <c r="DH204" s="1439">
        <v>0.6</v>
      </c>
      <c r="DI204" s="1260">
        <v>0.57999999999999996</v>
      </c>
      <c r="DJ204" s="1260">
        <f t="shared" si="757"/>
        <v>0.58000000000000007</v>
      </c>
      <c r="DK204" s="734">
        <v>0.62</v>
      </c>
      <c r="DL204" s="600">
        <f>(DL178-DL227)/DL178</f>
        <v>0.61999999999999988</v>
      </c>
      <c r="DM204" s="1260">
        <v>0.57999999999999996</v>
      </c>
      <c r="DN204" s="599">
        <f t="shared" si="759"/>
        <v>0.61999999999999988</v>
      </c>
      <c r="DO204" s="648">
        <v>0.6</v>
      </c>
      <c r="DP204" s="599">
        <f>DV204</f>
        <v>0.6</v>
      </c>
      <c r="DQ204" s="599">
        <f>DV204</f>
        <v>0.6</v>
      </c>
      <c r="DR204" s="599">
        <f>DV204</f>
        <v>0.6</v>
      </c>
      <c r="DS204" s="600">
        <f>DV204</f>
        <v>0.6</v>
      </c>
      <c r="DT204" s="599">
        <f>DV204</f>
        <v>0.6</v>
      </c>
      <c r="DU204" s="599">
        <f>DV204</f>
        <v>0.6</v>
      </c>
      <c r="DV204" s="755">
        <f>DO204</f>
        <v>0.6</v>
      </c>
      <c r="DW204" s="599">
        <f>EC204</f>
        <v>0.6</v>
      </c>
      <c r="DX204" s="599">
        <f>EC204</f>
        <v>0.6</v>
      </c>
      <c r="DY204" s="599">
        <f>EC204</f>
        <v>0.6</v>
      </c>
      <c r="DZ204" s="600">
        <f>EC204</f>
        <v>0.6</v>
      </c>
      <c r="EA204" s="599">
        <f>EC204</f>
        <v>0.6</v>
      </c>
      <c r="EB204" s="599">
        <f>EC204</f>
        <v>0.6</v>
      </c>
      <c r="EC204" s="755">
        <f>DV204</f>
        <v>0.6</v>
      </c>
      <c r="ED204" s="599">
        <f>EJ204</f>
        <v>0.6</v>
      </c>
      <c r="EE204" s="599">
        <f>EJ204</f>
        <v>0.6</v>
      </c>
      <c r="EF204" s="599">
        <f>EJ204</f>
        <v>0.6</v>
      </c>
      <c r="EG204" s="600">
        <f>EJ204</f>
        <v>0.6</v>
      </c>
      <c r="EH204" s="599">
        <f>EJ204</f>
        <v>0.6</v>
      </c>
      <c r="EI204" s="599">
        <f>EJ204</f>
        <v>0.6</v>
      </c>
      <c r="EJ204" s="755">
        <f>EC204</f>
        <v>0.6</v>
      </c>
      <c r="EK204" s="599">
        <f>EQ204</f>
        <v>0.6</v>
      </c>
      <c r="EL204" s="599">
        <f>EQ204</f>
        <v>0.6</v>
      </c>
      <c r="EM204" s="599">
        <f>EQ204</f>
        <v>0.6</v>
      </c>
      <c r="EN204" s="600">
        <f>EQ204</f>
        <v>0.6</v>
      </c>
      <c r="EO204" s="599">
        <f>EQ204</f>
        <v>0.6</v>
      </c>
      <c r="EP204" s="599">
        <f>EQ204</f>
        <v>0.6</v>
      </c>
      <c r="EQ204" s="755">
        <f>EJ204</f>
        <v>0.6</v>
      </c>
    </row>
    <row r="205" spans="1:147" ht="10.199999999999999" customHeight="1">
      <c r="A205" s="193" t="str">
        <f t="shared" si="708"/>
        <v>A321neo</v>
      </c>
      <c r="B205" s="152"/>
      <c r="C205" s="629">
        <f t="shared" ref="C205:BY205" si="760">C204</f>
        <v>0.19</v>
      </c>
      <c r="D205" s="629">
        <f t="shared" si="760"/>
        <v>0.19</v>
      </c>
      <c r="E205" s="629">
        <f t="shared" si="760"/>
        <v>0.2</v>
      </c>
      <c r="F205" s="629">
        <f t="shared" si="760"/>
        <v>0.20250000000000001</v>
      </c>
      <c r="G205" s="629">
        <f t="shared" si="760"/>
        <v>0.20333333333333334</v>
      </c>
      <c r="H205" s="629">
        <f t="shared" si="760"/>
        <v>0.2</v>
      </c>
      <c r="I205" s="629">
        <f t="shared" si="760"/>
        <v>0.2</v>
      </c>
      <c r="J205" s="629">
        <f t="shared" si="760"/>
        <v>0.2</v>
      </c>
      <c r="K205" s="629">
        <f t="shared" si="760"/>
        <v>0.2</v>
      </c>
      <c r="L205" s="629">
        <f t="shared" si="760"/>
        <v>0.25</v>
      </c>
      <c r="M205" s="629">
        <f t="shared" si="760"/>
        <v>0.25</v>
      </c>
      <c r="N205" s="629">
        <f t="shared" si="760"/>
        <v>0.25</v>
      </c>
      <c r="O205" s="1260"/>
      <c r="P205" s="1260"/>
      <c r="Q205" s="1260"/>
      <c r="R205" s="1386"/>
      <c r="S205" s="1260"/>
      <c r="T205" s="1260"/>
      <c r="U205" s="1439">
        <f t="shared" si="760"/>
        <v>0.25</v>
      </c>
      <c r="V205" s="1260"/>
      <c r="W205" s="1260"/>
      <c r="X205" s="1260"/>
      <c r="Y205" s="1386"/>
      <c r="Z205" s="1260"/>
      <c r="AA205" s="1260"/>
      <c r="AB205" s="1439">
        <f t="shared" si="760"/>
        <v>0.45</v>
      </c>
      <c r="AC205" s="1260"/>
      <c r="AD205" s="1260"/>
      <c r="AE205" s="1260"/>
      <c r="AF205" s="1386"/>
      <c r="AG205" s="1260"/>
      <c r="AH205" s="1260"/>
      <c r="AI205" s="1439">
        <f t="shared" si="760"/>
        <v>0.45</v>
      </c>
      <c r="AJ205" s="1260"/>
      <c r="AK205" s="1260"/>
      <c r="AL205" s="1260"/>
      <c r="AM205" s="1386"/>
      <c r="AN205" s="1260"/>
      <c r="AO205" s="1260"/>
      <c r="AP205" s="1439">
        <f t="shared" si="760"/>
        <v>0.45</v>
      </c>
      <c r="AQ205" s="1260"/>
      <c r="AR205" s="1260"/>
      <c r="AS205" s="1260"/>
      <c r="AT205" s="1386"/>
      <c r="AU205" s="1260"/>
      <c r="AV205" s="1260"/>
      <c r="AW205" s="1439">
        <f t="shared" si="760"/>
        <v>0.45</v>
      </c>
      <c r="AX205" s="1260"/>
      <c r="AY205" s="1260"/>
      <c r="AZ205" s="1260"/>
      <c r="BA205" s="1386"/>
      <c r="BB205" s="1260"/>
      <c r="BC205" s="1260"/>
      <c r="BD205" s="1439">
        <f t="shared" si="760"/>
        <v>0.5</v>
      </c>
      <c r="BE205" s="1260"/>
      <c r="BF205" s="1260"/>
      <c r="BG205" s="1260"/>
      <c r="BH205" s="1386"/>
      <c r="BI205" s="1260"/>
      <c r="BJ205" s="1260"/>
      <c r="BK205" s="1439">
        <f t="shared" si="760"/>
        <v>0.54732996682326707</v>
      </c>
      <c r="BL205" s="1260"/>
      <c r="BM205" s="1260"/>
      <c r="BN205" s="1260"/>
      <c r="BO205" s="1386"/>
      <c r="BP205" s="1260"/>
      <c r="BQ205" s="1260"/>
      <c r="BR205" s="1439">
        <f t="shared" si="760"/>
        <v>0.52760264269048485</v>
      </c>
      <c r="BS205" s="1260"/>
      <c r="BT205" s="1260"/>
      <c r="BU205" s="1260"/>
      <c r="BV205" s="1386"/>
      <c r="BW205" s="1260"/>
      <c r="BX205" s="1260"/>
      <c r="BY205" s="1439">
        <f t="shared" si="760"/>
        <v>0.56698825410073483</v>
      </c>
      <c r="BZ205" s="1260"/>
      <c r="CA205" s="1260"/>
      <c r="CB205" s="1260"/>
      <c r="CC205" s="1386"/>
      <c r="CD205" s="1260"/>
      <c r="CE205" s="1260"/>
      <c r="CF205" s="1439">
        <f>CF204</f>
        <v>0.55187564734719496</v>
      </c>
      <c r="CG205" s="1260"/>
      <c r="CH205" s="1260"/>
      <c r="CI205" s="1260"/>
      <c r="CJ205" s="1386"/>
      <c r="CK205" s="1260"/>
      <c r="CL205" s="1260"/>
      <c r="CM205" s="1439">
        <f>CM204</f>
        <v>0.5703273488996129</v>
      </c>
      <c r="CN205" s="1260">
        <v>0.57499999999999996</v>
      </c>
      <c r="CO205" s="1260">
        <f t="shared" si="745"/>
        <v>0.57499999999999996</v>
      </c>
      <c r="CP205" s="1260">
        <v>0.57499999999999996</v>
      </c>
      <c r="CQ205" s="1386">
        <f t="shared" si="746"/>
        <v>0.59499999999999997</v>
      </c>
      <c r="CR205" s="1260">
        <v>0.57499999999999996</v>
      </c>
      <c r="CS205" s="1260">
        <f t="shared" si="747"/>
        <v>0.58499999999999996</v>
      </c>
      <c r="CT205" s="1439">
        <v>0.57999999999999996</v>
      </c>
      <c r="CU205" s="1260">
        <v>0.57999999999999996</v>
      </c>
      <c r="CV205" s="1260">
        <f t="shared" si="749"/>
        <v>0.54999999999999982</v>
      </c>
      <c r="CW205" s="1260">
        <v>0.57999999999999996</v>
      </c>
      <c r="CX205" s="1386">
        <f t="shared" si="751"/>
        <v>0.56999999999999995</v>
      </c>
      <c r="CY205" s="1260">
        <v>0.56499999999999995</v>
      </c>
      <c r="CZ205" s="1260">
        <f t="shared" si="753"/>
        <v>0.57499999999999996</v>
      </c>
      <c r="DA205" s="1439">
        <v>0.56999999999999995</v>
      </c>
      <c r="DB205" s="1260">
        <v>0.57999999999999996</v>
      </c>
      <c r="DC205" s="1260">
        <f t="shared" si="754"/>
        <v>0.59585463060541566</v>
      </c>
      <c r="DD205" s="1260">
        <v>0.58953250193640439</v>
      </c>
      <c r="DE205" s="1386">
        <f t="shared" si="755"/>
        <v>0.58442834397295751</v>
      </c>
      <c r="DF205" s="1812">
        <v>0.58792731530270781</v>
      </c>
      <c r="DG205" s="1260">
        <f t="shared" si="756"/>
        <v>0.586980422954681</v>
      </c>
      <c r="DH205" s="1439">
        <v>0.58745386912869435</v>
      </c>
      <c r="DI205" s="1260">
        <v>0.56673742169789665</v>
      </c>
      <c r="DJ205" s="1260">
        <f t="shared" si="757"/>
        <v>0.58147651126493982</v>
      </c>
      <c r="DK205" s="734">
        <v>0.6</v>
      </c>
      <c r="DL205" s="600">
        <f t="shared" si="758"/>
        <v>0.61178606703716343</v>
      </c>
      <c r="DM205" s="1260">
        <v>0.57410696648141823</v>
      </c>
      <c r="DN205" s="599">
        <f t="shared" si="759"/>
        <v>0.6058930335185817</v>
      </c>
      <c r="DO205" s="648">
        <v>0.59</v>
      </c>
      <c r="DP205" s="599">
        <f>DV205</f>
        <v>0.59</v>
      </c>
      <c r="DQ205" s="599">
        <f>DV205</f>
        <v>0.59</v>
      </c>
      <c r="DR205" s="599">
        <f>DV205</f>
        <v>0.59</v>
      </c>
      <c r="DS205" s="600">
        <f>DV205</f>
        <v>0.59</v>
      </c>
      <c r="DT205" s="599">
        <f>DV205</f>
        <v>0.59</v>
      </c>
      <c r="DU205" s="599">
        <f>DV205</f>
        <v>0.59</v>
      </c>
      <c r="DV205" s="755">
        <f>DO205</f>
        <v>0.59</v>
      </c>
      <c r="DW205" s="599">
        <f>EC205</f>
        <v>0.59</v>
      </c>
      <c r="DX205" s="599">
        <f>EC205</f>
        <v>0.59</v>
      </c>
      <c r="DY205" s="599">
        <f>EC205</f>
        <v>0.59</v>
      </c>
      <c r="DZ205" s="600">
        <f>EC205</f>
        <v>0.59</v>
      </c>
      <c r="EA205" s="599">
        <f>EC205</f>
        <v>0.59</v>
      </c>
      <c r="EB205" s="599">
        <f>EC205</f>
        <v>0.59</v>
      </c>
      <c r="EC205" s="755">
        <f>DV205</f>
        <v>0.59</v>
      </c>
      <c r="ED205" s="599">
        <f>EJ205</f>
        <v>0.59</v>
      </c>
      <c r="EE205" s="599">
        <f>EJ205</f>
        <v>0.59</v>
      </c>
      <c r="EF205" s="599">
        <f>EJ205</f>
        <v>0.59</v>
      </c>
      <c r="EG205" s="600">
        <f>EJ205</f>
        <v>0.59</v>
      </c>
      <c r="EH205" s="599">
        <f>EJ205</f>
        <v>0.59</v>
      </c>
      <c r="EI205" s="599">
        <f>EJ205</f>
        <v>0.59</v>
      </c>
      <c r="EJ205" s="755">
        <f>EC205</f>
        <v>0.59</v>
      </c>
      <c r="EK205" s="599">
        <f>EQ205</f>
        <v>0.59</v>
      </c>
      <c r="EL205" s="599">
        <f>EQ205</f>
        <v>0.59</v>
      </c>
      <c r="EM205" s="599">
        <f>EQ205</f>
        <v>0.59</v>
      </c>
      <c r="EN205" s="600">
        <f>EQ205</f>
        <v>0.59</v>
      </c>
      <c r="EO205" s="599">
        <f>EQ205</f>
        <v>0.59</v>
      </c>
      <c r="EP205" s="599">
        <f>EQ205</f>
        <v>0.59</v>
      </c>
      <c r="EQ205" s="755">
        <f>EJ205</f>
        <v>0.59</v>
      </c>
    </row>
    <row r="206" spans="1:147" ht="10.199999999999999" customHeight="1">
      <c r="A206" s="193" t="str">
        <f t="shared" si="708"/>
        <v>A330-200</v>
      </c>
      <c r="B206" s="43"/>
      <c r="C206" s="628">
        <v>0.25</v>
      </c>
      <c r="D206" s="628">
        <v>0.22</v>
      </c>
      <c r="E206" s="628">
        <v>0.25</v>
      </c>
      <c r="F206" s="628">
        <v>0.255</v>
      </c>
      <c r="G206" s="628">
        <v>0.24</v>
      </c>
      <c r="H206" s="628">
        <v>0.24374999999999999</v>
      </c>
      <c r="I206" s="628">
        <v>0.30125000000000002</v>
      </c>
      <c r="J206" s="628">
        <v>0.31874999999999998</v>
      </c>
      <c r="K206" s="628">
        <v>0.32</v>
      </c>
      <c r="L206" s="628">
        <v>0.35</v>
      </c>
      <c r="M206" s="628">
        <v>0.35</v>
      </c>
      <c r="N206" s="628">
        <v>0.52500000000000002</v>
      </c>
      <c r="O206" s="193"/>
      <c r="P206" s="193"/>
      <c r="Q206" s="193"/>
      <c r="R206" s="712"/>
      <c r="S206" s="193"/>
      <c r="T206" s="193"/>
      <c r="U206" s="1275">
        <v>0.53500000000000003</v>
      </c>
      <c r="V206" s="193"/>
      <c r="W206" s="193"/>
      <c r="X206" s="193"/>
      <c r="Y206" s="712"/>
      <c r="Z206" s="193"/>
      <c r="AA206" s="193"/>
      <c r="AB206" s="1275">
        <v>0.37529330540622652</v>
      </c>
      <c r="AC206" s="193"/>
      <c r="AD206" s="193"/>
      <c r="AE206" s="193"/>
      <c r="AF206" s="712"/>
      <c r="AG206" s="193"/>
      <c r="AH206" s="193"/>
      <c r="AI206" s="1275">
        <v>0.45</v>
      </c>
      <c r="AJ206" s="193"/>
      <c r="AK206" s="193"/>
      <c r="AL206" s="193"/>
      <c r="AM206" s="712"/>
      <c r="AN206" s="193"/>
      <c r="AO206" s="193"/>
      <c r="AP206" s="1275">
        <v>0.45</v>
      </c>
      <c r="AQ206" s="193"/>
      <c r="AR206" s="193"/>
      <c r="AS206" s="193"/>
      <c r="AT206" s="712"/>
      <c r="AU206" s="193"/>
      <c r="AV206" s="193"/>
      <c r="AW206" s="1275">
        <v>0.5</v>
      </c>
      <c r="AX206" s="193"/>
      <c r="AY206" s="193"/>
      <c r="AZ206" s="193"/>
      <c r="BA206" s="712"/>
      <c r="BB206" s="193"/>
      <c r="BC206" s="193"/>
      <c r="BD206" s="1275">
        <v>0.55000000000000004</v>
      </c>
      <c r="BE206" s="193"/>
      <c r="BF206" s="193"/>
      <c r="BG206" s="193"/>
      <c r="BH206" s="712"/>
      <c r="BI206" s="193"/>
      <c r="BJ206" s="193"/>
      <c r="BK206" s="1275">
        <v>0.55000000000000004</v>
      </c>
      <c r="BL206" s="193"/>
      <c r="BM206" s="193"/>
      <c r="BN206" s="193"/>
      <c r="BO206" s="712"/>
      <c r="BP206" s="193"/>
      <c r="BQ206" s="193"/>
      <c r="BR206" s="1275">
        <v>0.55000000000000004</v>
      </c>
      <c r="BS206" s="193"/>
      <c r="BT206" s="193"/>
      <c r="BU206" s="193"/>
      <c r="BV206" s="712"/>
      <c r="BW206" s="193"/>
      <c r="BX206" s="193"/>
      <c r="BY206" s="1275">
        <v>0.6</v>
      </c>
      <c r="BZ206" s="193"/>
      <c r="CA206" s="193"/>
      <c r="CB206" s="193"/>
      <c r="CC206" s="712"/>
      <c r="CD206" s="193"/>
      <c r="CE206" s="193"/>
      <c r="CF206" s="1275">
        <v>0.6</v>
      </c>
      <c r="CG206" s="193"/>
      <c r="CH206" s="193"/>
      <c r="CI206" s="193"/>
      <c r="CJ206" s="712"/>
      <c r="CK206" s="193"/>
      <c r="CL206" s="193"/>
      <c r="CM206" s="1275">
        <v>0.65</v>
      </c>
      <c r="CN206" s="193">
        <v>0.65</v>
      </c>
      <c r="CO206" s="193">
        <f t="shared" si="745"/>
        <v>0.65000000000000013</v>
      </c>
      <c r="CP206" s="193">
        <v>0.65</v>
      </c>
      <c r="CQ206" s="712">
        <f t="shared" si="746"/>
        <v>0.65000000000000013</v>
      </c>
      <c r="CR206" s="193">
        <v>0.65</v>
      </c>
      <c r="CS206" s="193">
        <f t="shared" si="747"/>
        <v>0.65000000000000013</v>
      </c>
      <c r="CT206" s="1275">
        <v>0.65</v>
      </c>
      <c r="CU206" s="193">
        <f t="shared" si="748"/>
        <v>0.65</v>
      </c>
      <c r="CV206" s="193">
        <f t="shared" si="749"/>
        <v>0.65</v>
      </c>
      <c r="CW206" s="193">
        <f t="shared" si="750"/>
        <v>0.65</v>
      </c>
      <c r="CX206" s="712">
        <f t="shared" si="751"/>
        <v>0.65</v>
      </c>
      <c r="CY206" s="193">
        <f t="shared" si="752"/>
        <v>0.65</v>
      </c>
      <c r="CZ206" s="193">
        <f t="shared" si="753"/>
        <v>0.65</v>
      </c>
      <c r="DA206" s="1275">
        <v>0.65</v>
      </c>
      <c r="DB206" s="193">
        <f>DH206</f>
        <v>0.65</v>
      </c>
      <c r="DC206" s="193">
        <f t="shared" si="754"/>
        <v>0.65</v>
      </c>
      <c r="DD206" s="193">
        <f>DH206</f>
        <v>0.65</v>
      </c>
      <c r="DE206" s="712">
        <f t="shared" si="755"/>
        <v>0.65</v>
      </c>
      <c r="DF206" s="193">
        <f>DH206</f>
        <v>0.65</v>
      </c>
      <c r="DG206" s="193">
        <f t="shared" si="756"/>
        <v>0.65</v>
      </c>
      <c r="DH206" s="1275">
        <v>0.65</v>
      </c>
      <c r="DI206" s="193">
        <f>DO206</f>
        <v>0.65</v>
      </c>
      <c r="DJ206" s="193">
        <f t="shared" si="757"/>
        <v>0.65</v>
      </c>
      <c r="DK206" s="599">
        <f>DO206</f>
        <v>0.65</v>
      </c>
      <c r="DL206" s="600">
        <f t="shared" si="758"/>
        <v>0.65</v>
      </c>
      <c r="DM206" s="193">
        <f>DO206</f>
        <v>0.65</v>
      </c>
      <c r="DN206" s="599">
        <f t="shared" si="759"/>
        <v>0.65</v>
      </c>
      <c r="DO206" s="755">
        <f>DH206</f>
        <v>0.65</v>
      </c>
      <c r="DP206" s="599">
        <f>DV206</f>
        <v>0.65</v>
      </c>
      <c r="DQ206" s="599">
        <f>DV206</f>
        <v>0.65</v>
      </c>
      <c r="DR206" s="599">
        <f>DV206</f>
        <v>0.65</v>
      </c>
      <c r="DS206" s="600">
        <f>DV206</f>
        <v>0.65</v>
      </c>
      <c r="DT206" s="599">
        <f>DV206</f>
        <v>0.65</v>
      </c>
      <c r="DU206" s="599">
        <f>DV206</f>
        <v>0.65</v>
      </c>
      <c r="DV206" s="755">
        <f>DO206</f>
        <v>0.65</v>
      </c>
      <c r="DW206" s="599">
        <f>EC206</f>
        <v>0.65</v>
      </c>
      <c r="DX206" s="599">
        <f>EC206</f>
        <v>0.65</v>
      </c>
      <c r="DY206" s="599">
        <f>EC206</f>
        <v>0.65</v>
      </c>
      <c r="DZ206" s="600">
        <f>EC206</f>
        <v>0.65</v>
      </c>
      <c r="EA206" s="599">
        <f>EC206</f>
        <v>0.65</v>
      </c>
      <c r="EB206" s="599">
        <f>EC206</f>
        <v>0.65</v>
      </c>
      <c r="EC206" s="755">
        <f>DV206</f>
        <v>0.65</v>
      </c>
      <c r="ED206" s="599">
        <f>EJ206</f>
        <v>0.65</v>
      </c>
      <c r="EE206" s="599">
        <f>EJ206</f>
        <v>0.65</v>
      </c>
      <c r="EF206" s="599">
        <f>EJ206</f>
        <v>0.65</v>
      </c>
      <c r="EG206" s="600">
        <f>EJ206</f>
        <v>0.65</v>
      </c>
      <c r="EH206" s="599">
        <f>EJ206</f>
        <v>0.65</v>
      </c>
      <c r="EI206" s="599">
        <f>EJ206</f>
        <v>0.65</v>
      </c>
      <c r="EJ206" s="755">
        <f>EC206</f>
        <v>0.65</v>
      </c>
      <c r="EK206" s="599">
        <f>EQ206</f>
        <v>0.65</v>
      </c>
      <c r="EL206" s="599">
        <f>EQ206</f>
        <v>0.65</v>
      </c>
      <c r="EM206" s="599">
        <f>EQ206</f>
        <v>0.65</v>
      </c>
      <c r="EN206" s="600">
        <f>EQ206</f>
        <v>0.65</v>
      </c>
      <c r="EO206" s="599">
        <f>EQ206</f>
        <v>0.65</v>
      </c>
      <c r="EP206" s="599">
        <f>EQ206</f>
        <v>0.65</v>
      </c>
      <c r="EQ206" s="755">
        <f>EJ206</f>
        <v>0.65</v>
      </c>
    </row>
    <row r="207" spans="1:147" ht="10.199999999999999" customHeight="1">
      <c r="A207" s="193" t="str">
        <f t="shared" si="708"/>
        <v>A330-300</v>
      </c>
      <c r="B207" s="152"/>
      <c r="C207" s="193">
        <f>C206</f>
        <v>0.25</v>
      </c>
      <c r="D207" s="193">
        <f t="shared" ref="D207:CM207" si="761">D206</f>
        <v>0.22</v>
      </c>
      <c r="E207" s="193">
        <f t="shared" si="761"/>
        <v>0.25</v>
      </c>
      <c r="F207" s="193">
        <f t="shared" si="761"/>
        <v>0.255</v>
      </c>
      <c r="G207" s="193">
        <f t="shared" si="761"/>
        <v>0.24</v>
      </c>
      <c r="H207" s="193">
        <f t="shared" si="761"/>
        <v>0.24374999999999999</v>
      </c>
      <c r="I207" s="193">
        <f t="shared" si="761"/>
        <v>0.30125000000000002</v>
      </c>
      <c r="J207" s="193">
        <f t="shared" si="761"/>
        <v>0.31874999999999998</v>
      </c>
      <c r="K207" s="193">
        <f t="shared" si="761"/>
        <v>0.32</v>
      </c>
      <c r="L207" s="193">
        <f t="shared" si="761"/>
        <v>0.35</v>
      </c>
      <c r="M207" s="193">
        <f t="shared" si="761"/>
        <v>0.35</v>
      </c>
      <c r="N207" s="193">
        <f t="shared" si="761"/>
        <v>0.52500000000000002</v>
      </c>
      <c r="O207" s="193"/>
      <c r="P207" s="193"/>
      <c r="Q207" s="193"/>
      <c r="R207" s="712"/>
      <c r="S207" s="193"/>
      <c r="T207" s="193"/>
      <c r="U207" s="1275">
        <f t="shared" si="761"/>
        <v>0.53500000000000003</v>
      </c>
      <c r="V207" s="193"/>
      <c r="W207" s="193"/>
      <c r="X207" s="193"/>
      <c r="Y207" s="712"/>
      <c r="Z207" s="193"/>
      <c r="AA207" s="193"/>
      <c r="AB207" s="1275">
        <f t="shared" si="761"/>
        <v>0.37529330540622652</v>
      </c>
      <c r="AC207" s="193"/>
      <c r="AD207" s="193"/>
      <c r="AE207" s="193"/>
      <c r="AF207" s="712"/>
      <c r="AG207" s="193"/>
      <c r="AH207" s="193"/>
      <c r="AI207" s="1275">
        <f t="shared" si="761"/>
        <v>0.45</v>
      </c>
      <c r="AJ207" s="193"/>
      <c r="AK207" s="193"/>
      <c r="AL207" s="193"/>
      <c r="AM207" s="712"/>
      <c r="AN207" s="193"/>
      <c r="AO207" s="193"/>
      <c r="AP207" s="1275">
        <f t="shared" si="761"/>
        <v>0.45</v>
      </c>
      <c r="AQ207" s="193"/>
      <c r="AR207" s="193"/>
      <c r="AS207" s="193"/>
      <c r="AT207" s="712"/>
      <c r="AU207" s="193"/>
      <c r="AV207" s="193"/>
      <c r="AW207" s="1275">
        <f t="shared" si="761"/>
        <v>0.5</v>
      </c>
      <c r="AX207" s="193"/>
      <c r="AY207" s="193"/>
      <c r="AZ207" s="193"/>
      <c r="BA207" s="712"/>
      <c r="BB207" s="193"/>
      <c r="BC207" s="193"/>
      <c r="BD207" s="1275">
        <f t="shared" si="761"/>
        <v>0.55000000000000004</v>
      </c>
      <c r="BE207" s="193"/>
      <c r="BF207" s="193"/>
      <c r="BG207" s="193"/>
      <c r="BH207" s="712"/>
      <c r="BI207" s="193"/>
      <c r="BJ207" s="193"/>
      <c r="BK207" s="1275">
        <f t="shared" si="761"/>
        <v>0.55000000000000004</v>
      </c>
      <c r="BL207" s="193"/>
      <c r="BM207" s="193"/>
      <c r="BN207" s="193"/>
      <c r="BO207" s="712"/>
      <c r="BP207" s="193"/>
      <c r="BQ207" s="193"/>
      <c r="BR207" s="1275">
        <f t="shared" si="761"/>
        <v>0.55000000000000004</v>
      </c>
      <c r="BS207" s="193"/>
      <c r="BT207" s="193"/>
      <c r="BU207" s="193"/>
      <c r="BV207" s="712"/>
      <c r="BW207" s="193"/>
      <c r="BX207" s="193"/>
      <c r="BY207" s="1275">
        <f t="shared" si="761"/>
        <v>0.6</v>
      </c>
      <c r="BZ207" s="193"/>
      <c r="CA207" s="193"/>
      <c r="CB207" s="193"/>
      <c r="CC207" s="712"/>
      <c r="CD207" s="193"/>
      <c r="CE207" s="193"/>
      <c r="CF207" s="1275">
        <f t="shared" si="761"/>
        <v>0.6</v>
      </c>
      <c r="CG207" s="193"/>
      <c r="CH207" s="193"/>
      <c r="CI207" s="193"/>
      <c r="CJ207" s="712"/>
      <c r="CK207" s="193"/>
      <c r="CL207" s="193"/>
      <c r="CM207" s="1275">
        <f t="shared" si="761"/>
        <v>0.65</v>
      </c>
      <c r="CN207" s="193">
        <v>0.65</v>
      </c>
      <c r="CO207" s="193">
        <f t="shared" si="745"/>
        <v>0.65</v>
      </c>
      <c r="CP207" s="193">
        <v>0.65</v>
      </c>
      <c r="CQ207" s="712">
        <f t="shared" si="746"/>
        <v>0.65</v>
      </c>
      <c r="CR207" s="193">
        <v>0.65</v>
      </c>
      <c r="CS207" s="193">
        <f t="shared" si="747"/>
        <v>0.65</v>
      </c>
      <c r="CT207" s="1275">
        <v>0.65</v>
      </c>
      <c r="CU207" s="193">
        <f t="shared" si="748"/>
        <v>0.65</v>
      </c>
      <c r="CV207" s="193">
        <f t="shared" si="749"/>
        <v>0.65</v>
      </c>
      <c r="CW207" s="193">
        <f t="shared" si="750"/>
        <v>0.65</v>
      </c>
      <c r="CX207" s="712">
        <f t="shared" si="751"/>
        <v>0.65</v>
      </c>
      <c r="CY207" s="193">
        <f t="shared" si="752"/>
        <v>0.65</v>
      </c>
      <c r="CZ207" s="193">
        <f t="shared" si="753"/>
        <v>0.65</v>
      </c>
      <c r="DA207" s="1275">
        <v>0.65</v>
      </c>
      <c r="DB207" s="193">
        <f t="shared" ref="DB207:DB215" si="762">DH207</f>
        <v>0.65</v>
      </c>
      <c r="DC207" s="193">
        <f t="shared" si="754"/>
        <v>0.65</v>
      </c>
      <c r="DD207" s="193">
        <f t="shared" ref="DD207:DD215" si="763">DH207</f>
        <v>0.65</v>
      </c>
      <c r="DE207" s="712">
        <f t="shared" si="755"/>
        <v>0.65</v>
      </c>
      <c r="DF207" s="193">
        <f t="shared" ref="DF207:DF215" si="764">DH207</f>
        <v>0.65</v>
      </c>
      <c r="DG207" s="193">
        <f t="shared" si="756"/>
        <v>0.65</v>
      </c>
      <c r="DH207" s="1275">
        <v>0.65</v>
      </c>
      <c r="DI207" s="193">
        <f t="shared" ref="DI207:DI215" si="765">DO207</f>
        <v>0.65</v>
      </c>
      <c r="DJ207" s="193">
        <f t="shared" si="757"/>
        <v>0.65</v>
      </c>
      <c r="DK207" s="599">
        <f t="shared" ref="DK207:DK215" si="766">DO207</f>
        <v>0.65</v>
      </c>
      <c r="DL207" s="600">
        <f t="shared" si="758"/>
        <v>0.65</v>
      </c>
      <c r="DM207" s="193">
        <f t="shared" ref="DM207:DM215" si="767">DO207</f>
        <v>0.65</v>
      </c>
      <c r="DN207" s="599">
        <f t="shared" si="759"/>
        <v>0.65</v>
      </c>
      <c r="DO207" s="755">
        <f t="shared" ref="DO207:DO215" si="768">DH207</f>
        <v>0.65</v>
      </c>
      <c r="DP207" s="599">
        <f t="shared" ref="DP207:DP215" si="769">DV207</f>
        <v>0.65</v>
      </c>
      <c r="DQ207" s="599">
        <f t="shared" ref="DQ207:DQ215" si="770">DV207</f>
        <v>0.65</v>
      </c>
      <c r="DR207" s="599">
        <f t="shared" ref="DR207:DR215" si="771">DV207</f>
        <v>0.65</v>
      </c>
      <c r="DS207" s="600">
        <f t="shared" ref="DS207:DS215" si="772">DV207</f>
        <v>0.65</v>
      </c>
      <c r="DT207" s="599">
        <f t="shared" ref="DT207:DT215" si="773">DV207</f>
        <v>0.65</v>
      </c>
      <c r="DU207" s="599">
        <f t="shared" ref="DU207:DU215" si="774">DV207</f>
        <v>0.65</v>
      </c>
      <c r="DV207" s="755">
        <f t="shared" ref="DV207:DV215" si="775">DO207</f>
        <v>0.65</v>
      </c>
      <c r="DW207" s="599">
        <f t="shared" ref="DW207:DW215" si="776">EC207</f>
        <v>0.65</v>
      </c>
      <c r="DX207" s="599">
        <f t="shared" ref="DX207:DX215" si="777">EC207</f>
        <v>0.65</v>
      </c>
      <c r="DY207" s="599">
        <f t="shared" ref="DY207:DY215" si="778">EC207</f>
        <v>0.65</v>
      </c>
      <c r="DZ207" s="600">
        <f t="shared" ref="DZ207:DZ215" si="779">EC207</f>
        <v>0.65</v>
      </c>
      <c r="EA207" s="599">
        <f t="shared" ref="EA207:EA215" si="780">EC207</f>
        <v>0.65</v>
      </c>
      <c r="EB207" s="599">
        <f t="shared" ref="EB207:EB215" si="781">EC207</f>
        <v>0.65</v>
      </c>
      <c r="EC207" s="755">
        <f t="shared" ref="EC207:EC215" si="782">DV207</f>
        <v>0.65</v>
      </c>
      <c r="ED207" s="599">
        <f t="shared" ref="ED207:ED215" si="783">EJ207</f>
        <v>0.65</v>
      </c>
      <c r="EE207" s="599">
        <f t="shared" ref="EE207:EE215" si="784">EJ207</f>
        <v>0.65</v>
      </c>
      <c r="EF207" s="599">
        <f t="shared" ref="EF207:EF215" si="785">EJ207</f>
        <v>0.65</v>
      </c>
      <c r="EG207" s="600">
        <f t="shared" ref="EG207:EG215" si="786">EJ207</f>
        <v>0.65</v>
      </c>
      <c r="EH207" s="599">
        <f t="shared" ref="EH207:EH215" si="787">EJ207</f>
        <v>0.65</v>
      </c>
      <c r="EI207" s="599">
        <f t="shared" ref="EI207:EI215" si="788">EJ207</f>
        <v>0.65</v>
      </c>
      <c r="EJ207" s="755">
        <f t="shared" ref="EJ207:EJ215" si="789">EC207</f>
        <v>0.65</v>
      </c>
      <c r="EK207" s="599">
        <f t="shared" ref="EK207:EK215" si="790">EQ207</f>
        <v>0.65</v>
      </c>
      <c r="EL207" s="599">
        <f t="shared" ref="EL207:EL215" si="791">EQ207</f>
        <v>0.65</v>
      </c>
      <c r="EM207" s="599">
        <f t="shared" ref="EM207:EM215" si="792">EQ207</f>
        <v>0.65</v>
      </c>
      <c r="EN207" s="600">
        <f t="shared" ref="EN207:EN215" si="793">EQ207</f>
        <v>0.65</v>
      </c>
      <c r="EO207" s="599">
        <f t="shared" ref="EO207:EO215" si="794">EQ207</f>
        <v>0.65</v>
      </c>
      <c r="EP207" s="599">
        <f t="shared" ref="EP207:EP215" si="795">EQ207</f>
        <v>0.65</v>
      </c>
      <c r="EQ207" s="755">
        <f t="shared" ref="EQ207:EQ215" si="796">EJ207</f>
        <v>0.65</v>
      </c>
    </row>
    <row r="208" spans="1:147" ht="10.199999999999999" customHeight="1">
      <c r="A208" s="193" t="str">
        <f t="shared" si="708"/>
        <v>A330-800neo</v>
      </c>
      <c r="B208" s="4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712"/>
      <c r="S208" s="193"/>
      <c r="T208" s="193"/>
      <c r="U208" s="1275"/>
      <c r="V208" s="193"/>
      <c r="W208" s="193"/>
      <c r="X208" s="193"/>
      <c r="Y208" s="712"/>
      <c r="Z208" s="193"/>
      <c r="AA208" s="193"/>
      <c r="AB208" s="1275">
        <v>0.55000000000000004</v>
      </c>
      <c r="AC208" s="193"/>
      <c r="AD208" s="193"/>
      <c r="AE208" s="193"/>
      <c r="AF208" s="712"/>
      <c r="AG208" s="193"/>
      <c r="AH208" s="193"/>
      <c r="AI208" s="1275">
        <v>0.55000000000000004</v>
      </c>
      <c r="AJ208" s="193"/>
      <c r="AK208" s="193"/>
      <c r="AL208" s="193"/>
      <c r="AM208" s="712"/>
      <c r="AN208" s="193"/>
      <c r="AO208" s="193"/>
      <c r="AP208" s="1275">
        <v>0.55000000000000004</v>
      </c>
      <c r="AQ208" s="193"/>
      <c r="AR208" s="193"/>
      <c r="AS208" s="193"/>
      <c r="AT208" s="712"/>
      <c r="AU208" s="193"/>
      <c r="AV208" s="193"/>
      <c r="AW208" s="1275">
        <v>0.55000000000000004</v>
      </c>
      <c r="AX208" s="193"/>
      <c r="AY208" s="193"/>
      <c r="AZ208" s="193"/>
      <c r="BA208" s="712"/>
      <c r="BB208" s="193"/>
      <c r="BC208" s="193"/>
      <c r="BD208" s="1275">
        <v>0.6</v>
      </c>
      <c r="BE208" s="193"/>
      <c r="BF208" s="193"/>
      <c r="BG208" s="193"/>
      <c r="BH208" s="712"/>
      <c r="BI208" s="193"/>
      <c r="BJ208" s="193"/>
      <c r="BK208" s="1275">
        <v>0.6</v>
      </c>
      <c r="BL208" s="193"/>
      <c r="BM208" s="193"/>
      <c r="BN208" s="193"/>
      <c r="BO208" s="712"/>
      <c r="BP208" s="193"/>
      <c r="BQ208" s="193"/>
      <c r="BR208" s="1275">
        <v>0.6</v>
      </c>
      <c r="BS208" s="193"/>
      <c r="BT208" s="193"/>
      <c r="BU208" s="193"/>
      <c r="BV208" s="712"/>
      <c r="BW208" s="193"/>
      <c r="BX208" s="193"/>
      <c r="BY208" s="1275">
        <v>0.6</v>
      </c>
      <c r="BZ208" s="193"/>
      <c r="CA208" s="193"/>
      <c r="CB208" s="193"/>
      <c r="CC208" s="712"/>
      <c r="CD208" s="193"/>
      <c r="CE208" s="193"/>
      <c r="CF208" s="1275">
        <v>0.6</v>
      </c>
      <c r="CG208" s="193"/>
      <c r="CH208" s="193"/>
      <c r="CI208" s="193"/>
      <c r="CJ208" s="712"/>
      <c r="CK208" s="193"/>
      <c r="CL208" s="193"/>
      <c r="CM208" s="1275">
        <v>0.6</v>
      </c>
      <c r="CN208" s="193">
        <v>0.6</v>
      </c>
      <c r="CO208" s="193">
        <f t="shared" si="745"/>
        <v>0.6</v>
      </c>
      <c r="CP208" s="193">
        <v>0.6</v>
      </c>
      <c r="CQ208" s="712">
        <f t="shared" si="746"/>
        <v>0.6</v>
      </c>
      <c r="CR208" s="193">
        <v>0.6</v>
      </c>
      <c r="CS208" s="193">
        <f t="shared" si="747"/>
        <v>0.6</v>
      </c>
      <c r="CT208" s="1275">
        <v>0.6</v>
      </c>
      <c r="CU208" s="193">
        <f t="shared" si="748"/>
        <v>0.6</v>
      </c>
      <c r="CV208" s="193">
        <f t="shared" si="749"/>
        <v>0.6</v>
      </c>
      <c r="CW208" s="193">
        <f t="shared" si="750"/>
        <v>0.6</v>
      </c>
      <c r="CX208" s="712">
        <f t="shared" si="751"/>
        <v>0.6</v>
      </c>
      <c r="CY208" s="193">
        <f t="shared" si="752"/>
        <v>0.6</v>
      </c>
      <c r="CZ208" s="193">
        <f t="shared" si="753"/>
        <v>0.6</v>
      </c>
      <c r="DA208" s="1275">
        <v>0.6</v>
      </c>
      <c r="DB208" s="193">
        <f t="shared" si="762"/>
        <v>0.6</v>
      </c>
      <c r="DC208" s="193">
        <f t="shared" si="754"/>
        <v>0.6</v>
      </c>
      <c r="DD208" s="193">
        <f t="shared" si="763"/>
        <v>0.6</v>
      </c>
      <c r="DE208" s="712">
        <f t="shared" si="755"/>
        <v>0.6</v>
      </c>
      <c r="DF208" s="193">
        <f t="shared" si="764"/>
        <v>0.6</v>
      </c>
      <c r="DG208" s="193">
        <f t="shared" si="756"/>
        <v>0.6</v>
      </c>
      <c r="DH208" s="1275">
        <v>0.6</v>
      </c>
      <c r="DI208" s="193">
        <f t="shared" si="765"/>
        <v>0.6</v>
      </c>
      <c r="DJ208" s="193">
        <f t="shared" si="757"/>
        <v>0.6</v>
      </c>
      <c r="DK208" s="599">
        <f t="shared" si="766"/>
        <v>0.6</v>
      </c>
      <c r="DL208" s="600">
        <f t="shared" si="758"/>
        <v>0.6</v>
      </c>
      <c r="DM208" s="193">
        <f t="shared" si="767"/>
        <v>0.6</v>
      </c>
      <c r="DN208" s="599">
        <f t="shared" si="759"/>
        <v>0.6</v>
      </c>
      <c r="DO208" s="755">
        <f t="shared" si="768"/>
        <v>0.6</v>
      </c>
      <c r="DP208" s="599">
        <f t="shared" si="769"/>
        <v>0.6</v>
      </c>
      <c r="DQ208" s="599">
        <f t="shared" si="770"/>
        <v>0.6</v>
      </c>
      <c r="DR208" s="599">
        <f t="shared" si="771"/>
        <v>0.6</v>
      </c>
      <c r="DS208" s="600">
        <f t="shared" si="772"/>
        <v>0.6</v>
      </c>
      <c r="DT208" s="599">
        <f t="shared" si="773"/>
        <v>0.6</v>
      </c>
      <c r="DU208" s="599">
        <f t="shared" si="774"/>
        <v>0.6</v>
      </c>
      <c r="DV208" s="755">
        <f t="shared" si="775"/>
        <v>0.6</v>
      </c>
      <c r="DW208" s="599">
        <f t="shared" si="776"/>
        <v>0.6</v>
      </c>
      <c r="DX208" s="599">
        <f t="shared" si="777"/>
        <v>0.6</v>
      </c>
      <c r="DY208" s="599">
        <f t="shared" si="778"/>
        <v>0.6</v>
      </c>
      <c r="DZ208" s="600">
        <f t="shared" si="779"/>
        <v>0.6</v>
      </c>
      <c r="EA208" s="599">
        <f t="shared" si="780"/>
        <v>0.6</v>
      </c>
      <c r="EB208" s="599">
        <f t="shared" si="781"/>
        <v>0.6</v>
      </c>
      <c r="EC208" s="755">
        <f t="shared" si="782"/>
        <v>0.6</v>
      </c>
      <c r="ED208" s="599">
        <f t="shared" si="783"/>
        <v>0.6</v>
      </c>
      <c r="EE208" s="599">
        <f t="shared" si="784"/>
        <v>0.6</v>
      </c>
      <c r="EF208" s="599">
        <f t="shared" si="785"/>
        <v>0.6</v>
      </c>
      <c r="EG208" s="600">
        <f t="shared" si="786"/>
        <v>0.6</v>
      </c>
      <c r="EH208" s="599">
        <f t="shared" si="787"/>
        <v>0.6</v>
      </c>
      <c r="EI208" s="599">
        <f t="shared" si="788"/>
        <v>0.6</v>
      </c>
      <c r="EJ208" s="755">
        <f t="shared" si="789"/>
        <v>0.6</v>
      </c>
      <c r="EK208" s="599">
        <f t="shared" si="790"/>
        <v>0.6</v>
      </c>
      <c r="EL208" s="599">
        <f t="shared" si="791"/>
        <v>0.6</v>
      </c>
      <c r="EM208" s="599">
        <f t="shared" si="792"/>
        <v>0.6</v>
      </c>
      <c r="EN208" s="600">
        <f t="shared" si="793"/>
        <v>0.6</v>
      </c>
      <c r="EO208" s="599">
        <f t="shared" si="794"/>
        <v>0.6</v>
      </c>
      <c r="EP208" s="599">
        <f t="shared" si="795"/>
        <v>0.6</v>
      </c>
      <c r="EQ208" s="755">
        <f t="shared" si="796"/>
        <v>0.6</v>
      </c>
    </row>
    <row r="209" spans="1:147" ht="10.199999999999999" customHeight="1">
      <c r="A209" s="193" t="str">
        <f t="shared" si="708"/>
        <v>A330-900neo</v>
      </c>
      <c r="B209" s="152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712"/>
      <c r="S209" s="193"/>
      <c r="T209" s="193"/>
      <c r="U209" s="1275"/>
      <c r="V209" s="193"/>
      <c r="W209" s="193"/>
      <c r="X209" s="193"/>
      <c r="Y209" s="712"/>
      <c r="Z209" s="193"/>
      <c r="AA209" s="193"/>
      <c r="AB209" s="1275">
        <f>AB208</f>
        <v>0.55000000000000004</v>
      </c>
      <c r="AC209" s="193"/>
      <c r="AD209" s="193"/>
      <c r="AE209" s="193"/>
      <c r="AF209" s="712"/>
      <c r="AG209" s="193"/>
      <c r="AH209" s="193"/>
      <c r="AI209" s="1275">
        <f>AI208</f>
        <v>0.55000000000000004</v>
      </c>
      <c r="AJ209" s="193"/>
      <c r="AK209" s="193"/>
      <c r="AL209" s="193"/>
      <c r="AM209" s="712"/>
      <c r="AN209" s="193"/>
      <c r="AO209" s="193"/>
      <c r="AP209" s="1275">
        <f>AP208</f>
        <v>0.55000000000000004</v>
      </c>
      <c r="AQ209" s="193"/>
      <c r="AR209" s="193"/>
      <c r="AS209" s="193"/>
      <c r="AT209" s="712"/>
      <c r="AU209" s="193"/>
      <c r="AV209" s="193"/>
      <c r="AW209" s="1275">
        <f>AW208</f>
        <v>0.55000000000000004</v>
      </c>
      <c r="AX209" s="193"/>
      <c r="AY209" s="193"/>
      <c r="AZ209" s="193"/>
      <c r="BA209" s="712"/>
      <c r="BB209" s="193"/>
      <c r="BC209" s="193"/>
      <c r="BD209" s="1275">
        <f t="shared" ref="BD209:CM209" si="797">BD208</f>
        <v>0.6</v>
      </c>
      <c r="BE209" s="193"/>
      <c r="BF209" s="193"/>
      <c r="BG209" s="193"/>
      <c r="BH209" s="712"/>
      <c r="BI209" s="193"/>
      <c r="BJ209" s="193"/>
      <c r="BK209" s="1275">
        <f t="shared" si="797"/>
        <v>0.6</v>
      </c>
      <c r="BL209" s="193"/>
      <c r="BM209" s="193"/>
      <c r="BN209" s="193"/>
      <c r="BO209" s="712"/>
      <c r="BP209" s="193"/>
      <c r="BQ209" s="193"/>
      <c r="BR209" s="1275">
        <f t="shared" si="797"/>
        <v>0.6</v>
      </c>
      <c r="BS209" s="193"/>
      <c r="BT209" s="193"/>
      <c r="BU209" s="193"/>
      <c r="BV209" s="712"/>
      <c r="BW209" s="193"/>
      <c r="BX209" s="193"/>
      <c r="BY209" s="1275">
        <f t="shared" si="797"/>
        <v>0.6</v>
      </c>
      <c r="BZ209" s="193"/>
      <c r="CA209" s="193"/>
      <c r="CB209" s="193"/>
      <c r="CC209" s="712"/>
      <c r="CD209" s="193"/>
      <c r="CE209" s="193"/>
      <c r="CF209" s="1275">
        <f t="shared" si="797"/>
        <v>0.6</v>
      </c>
      <c r="CG209" s="193"/>
      <c r="CH209" s="193"/>
      <c r="CI209" s="193"/>
      <c r="CJ209" s="712"/>
      <c r="CK209" s="193"/>
      <c r="CL209" s="193"/>
      <c r="CM209" s="1275">
        <f t="shared" si="797"/>
        <v>0.6</v>
      </c>
      <c r="CN209" s="193">
        <v>0.6</v>
      </c>
      <c r="CO209" s="193">
        <f t="shared" si="745"/>
        <v>0.6</v>
      </c>
      <c r="CP209" s="193">
        <v>0.6</v>
      </c>
      <c r="CQ209" s="712">
        <f t="shared" si="746"/>
        <v>0.6</v>
      </c>
      <c r="CR209" s="193">
        <v>0.6</v>
      </c>
      <c r="CS209" s="193">
        <f t="shared" si="747"/>
        <v>0.6</v>
      </c>
      <c r="CT209" s="1275">
        <v>0.6</v>
      </c>
      <c r="CU209" s="193">
        <f t="shared" si="748"/>
        <v>0.6</v>
      </c>
      <c r="CV209" s="193">
        <f t="shared" si="749"/>
        <v>0.6</v>
      </c>
      <c r="CW209" s="193">
        <f t="shared" si="750"/>
        <v>0.6</v>
      </c>
      <c r="CX209" s="712">
        <f t="shared" si="751"/>
        <v>0.6</v>
      </c>
      <c r="CY209" s="193">
        <f t="shared" si="752"/>
        <v>0.6</v>
      </c>
      <c r="CZ209" s="193">
        <f t="shared" si="753"/>
        <v>0.6</v>
      </c>
      <c r="DA209" s="1275">
        <v>0.6</v>
      </c>
      <c r="DB209" s="193">
        <f t="shared" si="762"/>
        <v>0.6</v>
      </c>
      <c r="DC209" s="193">
        <f t="shared" si="754"/>
        <v>0.6</v>
      </c>
      <c r="DD209" s="193">
        <f t="shared" si="763"/>
        <v>0.6</v>
      </c>
      <c r="DE209" s="712">
        <f t="shared" si="755"/>
        <v>0.6</v>
      </c>
      <c r="DF209" s="193">
        <f t="shared" si="764"/>
        <v>0.6</v>
      </c>
      <c r="DG209" s="193">
        <f t="shared" si="756"/>
        <v>0.6</v>
      </c>
      <c r="DH209" s="1275">
        <v>0.6</v>
      </c>
      <c r="DI209" s="193">
        <f t="shared" si="765"/>
        <v>0.6</v>
      </c>
      <c r="DJ209" s="193">
        <f t="shared" si="757"/>
        <v>0.6</v>
      </c>
      <c r="DK209" s="599">
        <f t="shared" si="766"/>
        <v>0.6</v>
      </c>
      <c r="DL209" s="600">
        <f t="shared" si="758"/>
        <v>0.6</v>
      </c>
      <c r="DM209" s="193">
        <f t="shared" si="767"/>
        <v>0.6</v>
      </c>
      <c r="DN209" s="599">
        <f t="shared" si="759"/>
        <v>0.6</v>
      </c>
      <c r="DO209" s="755">
        <f t="shared" si="768"/>
        <v>0.6</v>
      </c>
      <c r="DP209" s="599">
        <f t="shared" si="769"/>
        <v>0.6</v>
      </c>
      <c r="DQ209" s="599">
        <f t="shared" si="770"/>
        <v>0.6</v>
      </c>
      <c r="DR209" s="599">
        <f t="shared" si="771"/>
        <v>0.6</v>
      </c>
      <c r="DS209" s="600">
        <f t="shared" si="772"/>
        <v>0.6</v>
      </c>
      <c r="DT209" s="599">
        <f t="shared" si="773"/>
        <v>0.6</v>
      </c>
      <c r="DU209" s="599">
        <f t="shared" si="774"/>
        <v>0.6</v>
      </c>
      <c r="DV209" s="755">
        <f t="shared" si="775"/>
        <v>0.6</v>
      </c>
      <c r="DW209" s="599">
        <f t="shared" si="776"/>
        <v>0.6</v>
      </c>
      <c r="DX209" s="599">
        <f t="shared" si="777"/>
        <v>0.6</v>
      </c>
      <c r="DY209" s="599">
        <f t="shared" si="778"/>
        <v>0.6</v>
      </c>
      <c r="DZ209" s="600">
        <f t="shared" si="779"/>
        <v>0.6</v>
      </c>
      <c r="EA209" s="599">
        <f t="shared" si="780"/>
        <v>0.6</v>
      </c>
      <c r="EB209" s="599">
        <f t="shared" si="781"/>
        <v>0.6</v>
      </c>
      <c r="EC209" s="755">
        <f t="shared" si="782"/>
        <v>0.6</v>
      </c>
      <c r="ED209" s="599">
        <f t="shared" si="783"/>
        <v>0.6</v>
      </c>
      <c r="EE209" s="599">
        <f t="shared" si="784"/>
        <v>0.6</v>
      </c>
      <c r="EF209" s="599">
        <f t="shared" si="785"/>
        <v>0.6</v>
      </c>
      <c r="EG209" s="600">
        <f t="shared" si="786"/>
        <v>0.6</v>
      </c>
      <c r="EH209" s="599">
        <f t="shared" si="787"/>
        <v>0.6</v>
      </c>
      <c r="EI209" s="599">
        <f t="shared" si="788"/>
        <v>0.6</v>
      </c>
      <c r="EJ209" s="755">
        <f t="shared" si="789"/>
        <v>0.6</v>
      </c>
      <c r="EK209" s="599">
        <f t="shared" si="790"/>
        <v>0.6</v>
      </c>
      <c r="EL209" s="599">
        <f t="shared" si="791"/>
        <v>0.6</v>
      </c>
      <c r="EM209" s="599">
        <f t="shared" si="792"/>
        <v>0.6</v>
      </c>
      <c r="EN209" s="600">
        <f t="shared" si="793"/>
        <v>0.6</v>
      </c>
      <c r="EO209" s="599">
        <f t="shared" si="794"/>
        <v>0.6</v>
      </c>
      <c r="EP209" s="599">
        <f t="shared" si="795"/>
        <v>0.6</v>
      </c>
      <c r="EQ209" s="755">
        <f t="shared" si="796"/>
        <v>0.6</v>
      </c>
    </row>
    <row r="210" spans="1:147" ht="10.199999999999999" hidden="1" customHeight="1" outlineLevel="1">
      <c r="A210" s="193" t="str">
        <f t="shared" si="708"/>
        <v>A340-300</v>
      </c>
      <c r="B210" s="152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449"/>
      <c r="P210" s="449"/>
      <c r="Q210" s="1261"/>
      <c r="R210" s="450"/>
      <c r="S210" s="449"/>
      <c r="T210" s="449"/>
      <c r="U210" s="647"/>
      <c r="V210" s="449"/>
      <c r="W210" s="449"/>
      <c r="X210" s="1261"/>
      <c r="Y210" s="450"/>
      <c r="Z210" s="449"/>
      <c r="AA210" s="449"/>
      <c r="AB210" s="647"/>
      <c r="AC210" s="449"/>
      <c r="AD210" s="449"/>
      <c r="AE210" s="1261"/>
      <c r="AF210" s="450"/>
      <c r="AG210" s="449"/>
      <c r="AH210" s="449"/>
      <c r="AI210" s="647"/>
      <c r="AJ210" s="449"/>
      <c r="AK210" s="449"/>
      <c r="AL210" s="1261"/>
      <c r="AM210" s="450"/>
      <c r="AN210" s="449"/>
      <c r="AO210" s="449"/>
      <c r="AP210" s="647"/>
      <c r="AQ210" s="449"/>
      <c r="AR210" s="449"/>
      <c r="AS210" s="1261"/>
      <c r="AT210" s="450"/>
      <c r="AU210" s="449"/>
      <c r="AV210" s="449"/>
      <c r="AW210" s="647"/>
      <c r="AX210" s="449"/>
      <c r="AY210" s="449"/>
      <c r="AZ210" s="1261"/>
      <c r="BA210" s="450"/>
      <c r="BB210" s="449"/>
      <c r="BC210" s="449"/>
      <c r="BD210" s="647"/>
      <c r="BE210" s="449"/>
      <c r="BF210" s="449"/>
      <c r="BG210" s="1261"/>
      <c r="BH210" s="450"/>
      <c r="BI210" s="449"/>
      <c r="BJ210" s="449"/>
      <c r="BK210" s="647"/>
      <c r="BL210" s="449"/>
      <c r="BM210" s="449"/>
      <c r="BN210" s="1261"/>
      <c r="BO210" s="450"/>
      <c r="BP210" s="449"/>
      <c r="BQ210" s="449"/>
      <c r="BR210" s="647"/>
      <c r="BS210" s="449"/>
      <c r="BT210" s="449"/>
      <c r="BU210" s="1261"/>
      <c r="BV210" s="450"/>
      <c r="BW210" s="449"/>
      <c r="BX210" s="449"/>
      <c r="BY210" s="647"/>
      <c r="BZ210" s="449"/>
      <c r="CA210" s="449"/>
      <c r="CB210" s="1261"/>
      <c r="CC210" s="450"/>
      <c r="CD210" s="449"/>
      <c r="CE210" s="449"/>
      <c r="CF210" s="647"/>
      <c r="CG210" s="449"/>
      <c r="CH210" s="449"/>
      <c r="CI210" s="1261"/>
      <c r="CJ210" s="450"/>
      <c r="CK210" s="449"/>
      <c r="CL210" s="449"/>
      <c r="CM210" s="647"/>
      <c r="CN210" s="449"/>
      <c r="CO210" s="449"/>
      <c r="CP210" s="1261"/>
      <c r="CQ210" s="450"/>
      <c r="CR210" s="449"/>
      <c r="CS210" s="449"/>
      <c r="CT210" s="647"/>
      <c r="CU210" s="449"/>
      <c r="CV210" s="449"/>
      <c r="CW210" s="449"/>
      <c r="CX210" s="450"/>
      <c r="CY210" s="449"/>
      <c r="CZ210" s="449"/>
      <c r="DA210" s="647">
        <f t="shared" ref="DA210:DA212" si="798">CT210</f>
        <v>0</v>
      </c>
      <c r="DB210" s="449">
        <f t="shared" si="762"/>
        <v>0</v>
      </c>
      <c r="DC210" s="449"/>
      <c r="DD210" s="193">
        <f t="shared" si="763"/>
        <v>0</v>
      </c>
      <c r="DE210" s="1277"/>
      <c r="DF210" s="251">
        <f t="shared" si="764"/>
        <v>0</v>
      </c>
      <c r="DG210" s="251"/>
      <c r="DH210" s="1275">
        <f t="shared" ref="DH210:DH212" si="799">DA210</f>
        <v>0</v>
      </c>
      <c r="DI210" s="193">
        <f t="shared" si="765"/>
        <v>0</v>
      </c>
      <c r="DJ210" s="193"/>
      <c r="DK210" s="599">
        <f t="shared" si="766"/>
        <v>0</v>
      </c>
      <c r="DL210" s="600"/>
      <c r="DM210" s="251">
        <f t="shared" si="767"/>
        <v>0</v>
      </c>
      <c r="DN210" s="599"/>
      <c r="DO210" s="755">
        <f t="shared" si="768"/>
        <v>0</v>
      </c>
      <c r="DP210" s="599">
        <f t="shared" si="769"/>
        <v>0</v>
      </c>
      <c r="DQ210" s="599">
        <f t="shared" si="770"/>
        <v>0</v>
      </c>
      <c r="DR210" s="599">
        <f t="shared" si="771"/>
        <v>0</v>
      </c>
      <c r="DS210" s="600">
        <f t="shared" si="772"/>
        <v>0</v>
      </c>
      <c r="DT210" s="599">
        <f t="shared" si="773"/>
        <v>0</v>
      </c>
      <c r="DU210" s="599">
        <f t="shared" si="774"/>
        <v>0</v>
      </c>
      <c r="DV210" s="755">
        <f t="shared" si="775"/>
        <v>0</v>
      </c>
      <c r="DW210" s="599">
        <f t="shared" si="776"/>
        <v>0</v>
      </c>
      <c r="DX210" s="599">
        <f t="shared" si="777"/>
        <v>0</v>
      </c>
      <c r="DY210" s="599">
        <f t="shared" si="778"/>
        <v>0</v>
      </c>
      <c r="DZ210" s="600">
        <f t="shared" si="779"/>
        <v>0</v>
      </c>
      <c r="EA210" s="599">
        <f t="shared" si="780"/>
        <v>0</v>
      </c>
      <c r="EB210" s="599">
        <f t="shared" si="781"/>
        <v>0</v>
      </c>
      <c r="EC210" s="755">
        <f t="shared" si="782"/>
        <v>0</v>
      </c>
      <c r="ED210" s="599">
        <f t="shared" si="783"/>
        <v>0</v>
      </c>
      <c r="EE210" s="599">
        <f t="shared" si="784"/>
        <v>0</v>
      </c>
      <c r="EF210" s="599">
        <f t="shared" si="785"/>
        <v>0</v>
      </c>
      <c r="EG210" s="600">
        <f t="shared" si="786"/>
        <v>0</v>
      </c>
      <c r="EH210" s="599">
        <f t="shared" si="787"/>
        <v>0</v>
      </c>
      <c r="EI210" s="599">
        <f t="shared" si="788"/>
        <v>0</v>
      </c>
      <c r="EJ210" s="755">
        <f t="shared" si="789"/>
        <v>0</v>
      </c>
      <c r="EK210" s="599">
        <f t="shared" si="790"/>
        <v>0</v>
      </c>
      <c r="EL210" s="599">
        <f t="shared" si="791"/>
        <v>0</v>
      </c>
      <c r="EM210" s="599">
        <f t="shared" si="792"/>
        <v>0</v>
      </c>
      <c r="EN210" s="600">
        <f t="shared" si="793"/>
        <v>0</v>
      </c>
      <c r="EO210" s="599">
        <f t="shared" si="794"/>
        <v>0</v>
      </c>
      <c r="EP210" s="599">
        <f t="shared" si="795"/>
        <v>0</v>
      </c>
      <c r="EQ210" s="755">
        <f t="shared" si="796"/>
        <v>0</v>
      </c>
    </row>
    <row r="211" spans="1:147" ht="10.199999999999999" hidden="1" customHeight="1" outlineLevel="1">
      <c r="A211" s="193" t="str">
        <f t="shared" si="708"/>
        <v>A340-500</v>
      </c>
      <c r="B211" s="152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449"/>
      <c r="P211" s="449"/>
      <c r="Q211" s="1261"/>
      <c r="R211" s="450"/>
      <c r="S211" s="449"/>
      <c r="T211" s="449"/>
      <c r="U211" s="647"/>
      <c r="V211" s="449"/>
      <c r="W211" s="449"/>
      <c r="X211" s="1261"/>
      <c r="Y211" s="450"/>
      <c r="Z211" s="449"/>
      <c r="AA211" s="449"/>
      <c r="AB211" s="647"/>
      <c r="AC211" s="449"/>
      <c r="AD211" s="449"/>
      <c r="AE211" s="1261"/>
      <c r="AF211" s="450"/>
      <c r="AG211" s="449"/>
      <c r="AH211" s="449"/>
      <c r="AI211" s="647"/>
      <c r="AJ211" s="449"/>
      <c r="AK211" s="449"/>
      <c r="AL211" s="1261"/>
      <c r="AM211" s="450"/>
      <c r="AN211" s="449"/>
      <c r="AO211" s="449"/>
      <c r="AP211" s="647"/>
      <c r="AQ211" s="449"/>
      <c r="AR211" s="449"/>
      <c r="AS211" s="1261"/>
      <c r="AT211" s="450"/>
      <c r="AU211" s="449"/>
      <c r="AV211" s="449"/>
      <c r="AW211" s="647"/>
      <c r="AX211" s="449"/>
      <c r="AY211" s="449"/>
      <c r="AZ211" s="1261"/>
      <c r="BA211" s="450"/>
      <c r="BB211" s="449"/>
      <c r="BC211" s="449"/>
      <c r="BD211" s="647"/>
      <c r="BE211" s="449"/>
      <c r="BF211" s="449"/>
      <c r="BG211" s="1261"/>
      <c r="BH211" s="450"/>
      <c r="BI211" s="449"/>
      <c r="BJ211" s="449"/>
      <c r="BK211" s="647"/>
      <c r="BL211" s="449"/>
      <c r="BM211" s="449"/>
      <c r="BN211" s="1261"/>
      <c r="BO211" s="450"/>
      <c r="BP211" s="449"/>
      <c r="BQ211" s="449"/>
      <c r="BR211" s="647"/>
      <c r="BS211" s="449"/>
      <c r="BT211" s="449"/>
      <c r="BU211" s="1261"/>
      <c r="BV211" s="450"/>
      <c r="BW211" s="449"/>
      <c r="BX211" s="449"/>
      <c r="BY211" s="647"/>
      <c r="BZ211" s="449"/>
      <c r="CA211" s="449"/>
      <c r="CB211" s="1261"/>
      <c r="CC211" s="450"/>
      <c r="CD211" s="449"/>
      <c r="CE211" s="449"/>
      <c r="CF211" s="647"/>
      <c r="CG211" s="449"/>
      <c r="CH211" s="449"/>
      <c r="CI211" s="1261"/>
      <c r="CJ211" s="450"/>
      <c r="CK211" s="449"/>
      <c r="CL211" s="449"/>
      <c r="CM211" s="647"/>
      <c r="CN211" s="449"/>
      <c r="CO211" s="449"/>
      <c r="CP211" s="1261"/>
      <c r="CQ211" s="450"/>
      <c r="CR211" s="449"/>
      <c r="CS211" s="449"/>
      <c r="CT211" s="647"/>
      <c r="CU211" s="449"/>
      <c r="CV211" s="449"/>
      <c r="CW211" s="449"/>
      <c r="CX211" s="450"/>
      <c r="CY211" s="449"/>
      <c r="CZ211" s="449"/>
      <c r="DA211" s="647">
        <f t="shared" si="798"/>
        <v>0</v>
      </c>
      <c r="DB211" s="449">
        <f t="shared" si="762"/>
        <v>0</v>
      </c>
      <c r="DC211" s="449"/>
      <c r="DD211" s="193">
        <f t="shared" si="763"/>
        <v>0</v>
      </c>
      <c r="DE211" s="1277"/>
      <c r="DF211" s="251">
        <f t="shared" si="764"/>
        <v>0</v>
      </c>
      <c r="DG211" s="251"/>
      <c r="DH211" s="1275">
        <f t="shared" si="799"/>
        <v>0</v>
      </c>
      <c r="DI211" s="193">
        <f t="shared" si="765"/>
        <v>0</v>
      </c>
      <c r="DJ211" s="193"/>
      <c r="DK211" s="599">
        <f t="shared" si="766"/>
        <v>0</v>
      </c>
      <c r="DL211" s="600"/>
      <c r="DM211" s="251">
        <f t="shared" si="767"/>
        <v>0</v>
      </c>
      <c r="DN211" s="599"/>
      <c r="DO211" s="755">
        <f t="shared" si="768"/>
        <v>0</v>
      </c>
      <c r="DP211" s="599">
        <f t="shared" si="769"/>
        <v>0</v>
      </c>
      <c r="DQ211" s="599">
        <f t="shared" si="770"/>
        <v>0</v>
      </c>
      <c r="DR211" s="599">
        <f t="shared" si="771"/>
        <v>0</v>
      </c>
      <c r="DS211" s="600">
        <f t="shared" si="772"/>
        <v>0</v>
      </c>
      <c r="DT211" s="599">
        <f t="shared" si="773"/>
        <v>0</v>
      </c>
      <c r="DU211" s="599">
        <f t="shared" si="774"/>
        <v>0</v>
      </c>
      <c r="DV211" s="755">
        <f t="shared" si="775"/>
        <v>0</v>
      </c>
      <c r="DW211" s="599">
        <f t="shared" si="776"/>
        <v>0</v>
      </c>
      <c r="DX211" s="599">
        <f t="shared" si="777"/>
        <v>0</v>
      </c>
      <c r="DY211" s="599">
        <f t="shared" si="778"/>
        <v>0</v>
      </c>
      <c r="DZ211" s="600">
        <f t="shared" si="779"/>
        <v>0</v>
      </c>
      <c r="EA211" s="599">
        <f t="shared" si="780"/>
        <v>0</v>
      </c>
      <c r="EB211" s="599">
        <f t="shared" si="781"/>
        <v>0</v>
      </c>
      <c r="EC211" s="755">
        <f t="shared" si="782"/>
        <v>0</v>
      </c>
      <c r="ED211" s="599">
        <f t="shared" si="783"/>
        <v>0</v>
      </c>
      <c r="EE211" s="599">
        <f t="shared" si="784"/>
        <v>0</v>
      </c>
      <c r="EF211" s="599">
        <f t="shared" si="785"/>
        <v>0</v>
      </c>
      <c r="EG211" s="600">
        <f t="shared" si="786"/>
        <v>0</v>
      </c>
      <c r="EH211" s="599">
        <f t="shared" si="787"/>
        <v>0</v>
      </c>
      <c r="EI211" s="599">
        <f t="shared" si="788"/>
        <v>0</v>
      </c>
      <c r="EJ211" s="755">
        <f t="shared" si="789"/>
        <v>0</v>
      </c>
      <c r="EK211" s="599">
        <f t="shared" si="790"/>
        <v>0</v>
      </c>
      <c r="EL211" s="599">
        <f t="shared" si="791"/>
        <v>0</v>
      </c>
      <c r="EM211" s="599">
        <f t="shared" si="792"/>
        <v>0</v>
      </c>
      <c r="EN211" s="600">
        <f t="shared" si="793"/>
        <v>0</v>
      </c>
      <c r="EO211" s="599">
        <f t="shared" si="794"/>
        <v>0</v>
      </c>
      <c r="EP211" s="599">
        <f t="shared" si="795"/>
        <v>0</v>
      </c>
      <c r="EQ211" s="755">
        <f t="shared" si="796"/>
        <v>0</v>
      </c>
    </row>
    <row r="212" spans="1:147" ht="10.199999999999999" hidden="1" customHeight="1" outlineLevel="1">
      <c r="A212" s="193" t="str">
        <f t="shared" si="708"/>
        <v>A340-600</v>
      </c>
      <c r="B212" s="152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449"/>
      <c r="P212" s="449"/>
      <c r="Q212" s="1261"/>
      <c r="R212" s="450"/>
      <c r="S212" s="449"/>
      <c r="T212" s="449"/>
      <c r="U212" s="647"/>
      <c r="V212" s="449"/>
      <c r="W212" s="449"/>
      <c r="X212" s="1261"/>
      <c r="Y212" s="450"/>
      <c r="Z212" s="449"/>
      <c r="AA212" s="449"/>
      <c r="AB212" s="647"/>
      <c r="AC212" s="449"/>
      <c r="AD212" s="449"/>
      <c r="AE212" s="1261"/>
      <c r="AF212" s="450"/>
      <c r="AG212" s="449"/>
      <c r="AH212" s="449"/>
      <c r="AI212" s="647"/>
      <c r="AJ212" s="449"/>
      <c r="AK212" s="449"/>
      <c r="AL212" s="1261"/>
      <c r="AM212" s="450"/>
      <c r="AN212" s="449"/>
      <c r="AO212" s="449"/>
      <c r="AP212" s="647"/>
      <c r="AQ212" s="449"/>
      <c r="AR212" s="449"/>
      <c r="AS212" s="1261"/>
      <c r="AT212" s="450"/>
      <c r="AU212" s="449"/>
      <c r="AV212" s="449"/>
      <c r="AW212" s="647"/>
      <c r="AX212" s="449"/>
      <c r="AY212" s="449"/>
      <c r="AZ212" s="1261"/>
      <c r="BA212" s="450"/>
      <c r="BB212" s="449"/>
      <c r="BC212" s="449"/>
      <c r="BD212" s="647"/>
      <c r="BE212" s="449"/>
      <c r="BF212" s="449"/>
      <c r="BG212" s="1261"/>
      <c r="BH212" s="450"/>
      <c r="BI212" s="449"/>
      <c r="BJ212" s="449"/>
      <c r="BK212" s="647"/>
      <c r="BL212" s="449"/>
      <c r="BM212" s="449"/>
      <c r="BN212" s="1261"/>
      <c r="BO212" s="450"/>
      <c r="BP212" s="449"/>
      <c r="BQ212" s="449"/>
      <c r="BR212" s="647"/>
      <c r="BS212" s="449"/>
      <c r="BT212" s="449"/>
      <c r="BU212" s="1261"/>
      <c r="BV212" s="450"/>
      <c r="BW212" s="449"/>
      <c r="BX212" s="449"/>
      <c r="BY212" s="647"/>
      <c r="BZ212" s="449"/>
      <c r="CA212" s="449"/>
      <c r="CB212" s="1261"/>
      <c r="CC212" s="450"/>
      <c r="CD212" s="449"/>
      <c r="CE212" s="449"/>
      <c r="CF212" s="647"/>
      <c r="CG212" s="449"/>
      <c r="CH212" s="449"/>
      <c r="CI212" s="1261"/>
      <c r="CJ212" s="450"/>
      <c r="CK212" s="449"/>
      <c r="CL212" s="449"/>
      <c r="CM212" s="647"/>
      <c r="CN212" s="449"/>
      <c r="CO212" s="449"/>
      <c r="CP212" s="1261"/>
      <c r="CQ212" s="450"/>
      <c r="CR212" s="449"/>
      <c r="CS212" s="449"/>
      <c r="CT212" s="647"/>
      <c r="CU212" s="449"/>
      <c r="CV212" s="449"/>
      <c r="CW212" s="449"/>
      <c r="CX212" s="450"/>
      <c r="CY212" s="449"/>
      <c r="CZ212" s="449"/>
      <c r="DA212" s="647">
        <f t="shared" si="798"/>
        <v>0</v>
      </c>
      <c r="DB212" s="449">
        <f t="shared" si="762"/>
        <v>0</v>
      </c>
      <c r="DC212" s="449"/>
      <c r="DD212" s="193">
        <f t="shared" si="763"/>
        <v>0</v>
      </c>
      <c r="DE212" s="1277"/>
      <c r="DF212" s="251">
        <f t="shared" si="764"/>
        <v>0</v>
      </c>
      <c r="DG212" s="251"/>
      <c r="DH212" s="1275">
        <f t="shared" si="799"/>
        <v>0</v>
      </c>
      <c r="DI212" s="193">
        <f t="shared" si="765"/>
        <v>0</v>
      </c>
      <c r="DJ212" s="193"/>
      <c r="DK212" s="599">
        <f t="shared" si="766"/>
        <v>0</v>
      </c>
      <c r="DL212" s="600"/>
      <c r="DM212" s="251">
        <f t="shared" si="767"/>
        <v>0</v>
      </c>
      <c r="DN212" s="599"/>
      <c r="DO212" s="755">
        <f t="shared" si="768"/>
        <v>0</v>
      </c>
      <c r="DP212" s="599">
        <f t="shared" si="769"/>
        <v>0</v>
      </c>
      <c r="DQ212" s="599">
        <f t="shared" si="770"/>
        <v>0</v>
      </c>
      <c r="DR212" s="599">
        <f t="shared" si="771"/>
        <v>0</v>
      </c>
      <c r="DS212" s="600">
        <f t="shared" si="772"/>
        <v>0</v>
      </c>
      <c r="DT212" s="599">
        <f t="shared" si="773"/>
        <v>0</v>
      </c>
      <c r="DU212" s="599">
        <f t="shared" si="774"/>
        <v>0</v>
      </c>
      <c r="DV212" s="755">
        <f t="shared" si="775"/>
        <v>0</v>
      </c>
      <c r="DW212" s="599">
        <f t="shared" si="776"/>
        <v>0</v>
      </c>
      <c r="DX212" s="599">
        <f t="shared" si="777"/>
        <v>0</v>
      </c>
      <c r="DY212" s="599">
        <f t="shared" si="778"/>
        <v>0</v>
      </c>
      <c r="DZ212" s="600">
        <f t="shared" si="779"/>
        <v>0</v>
      </c>
      <c r="EA212" s="599">
        <f t="shared" si="780"/>
        <v>0</v>
      </c>
      <c r="EB212" s="599">
        <f t="shared" si="781"/>
        <v>0</v>
      </c>
      <c r="EC212" s="755">
        <f t="shared" si="782"/>
        <v>0</v>
      </c>
      <c r="ED212" s="599">
        <f t="shared" si="783"/>
        <v>0</v>
      </c>
      <c r="EE212" s="599">
        <f t="shared" si="784"/>
        <v>0</v>
      </c>
      <c r="EF212" s="599">
        <f t="shared" si="785"/>
        <v>0</v>
      </c>
      <c r="EG212" s="600">
        <f t="shared" si="786"/>
        <v>0</v>
      </c>
      <c r="EH212" s="599">
        <f t="shared" si="787"/>
        <v>0</v>
      </c>
      <c r="EI212" s="599">
        <f t="shared" si="788"/>
        <v>0</v>
      </c>
      <c r="EJ212" s="755">
        <f t="shared" si="789"/>
        <v>0</v>
      </c>
      <c r="EK212" s="599">
        <f t="shared" si="790"/>
        <v>0</v>
      </c>
      <c r="EL212" s="599">
        <f t="shared" si="791"/>
        <v>0</v>
      </c>
      <c r="EM212" s="599">
        <f t="shared" si="792"/>
        <v>0</v>
      </c>
      <c r="EN212" s="600">
        <f t="shared" si="793"/>
        <v>0</v>
      </c>
      <c r="EO212" s="599">
        <f t="shared" si="794"/>
        <v>0</v>
      </c>
      <c r="EP212" s="599">
        <f t="shared" si="795"/>
        <v>0</v>
      </c>
      <c r="EQ212" s="755">
        <f t="shared" si="796"/>
        <v>0</v>
      </c>
    </row>
    <row r="213" spans="1:147" ht="10.199999999999999" customHeight="1" collapsed="1">
      <c r="A213" s="193" t="str">
        <f>A188</f>
        <v>A350-800</v>
      </c>
      <c r="B213" s="43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76"/>
      <c r="O213" s="193"/>
      <c r="P213" s="193"/>
      <c r="Q213" s="193"/>
      <c r="R213" s="712"/>
      <c r="S213" s="193"/>
      <c r="T213" s="193"/>
      <c r="U213" s="1275"/>
      <c r="V213" s="193"/>
      <c r="W213" s="193"/>
      <c r="X213" s="193"/>
      <c r="Y213" s="712"/>
      <c r="Z213" s="193"/>
      <c r="AA213" s="193"/>
      <c r="AB213" s="1275">
        <v>0.5</v>
      </c>
      <c r="AC213" s="193"/>
      <c r="AD213" s="193"/>
      <c r="AE213" s="193"/>
      <c r="AF213" s="712"/>
      <c r="AG213" s="193"/>
      <c r="AH213" s="193"/>
      <c r="AI213" s="1275">
        <v>0.5</v>
      </c>
      <c r="AJ213" s="193"/>
      <c r="AK213" s="193"/>
      <c r="AL213" s="193"/>
      <c r="AM213" s="712"/>
      <c r="AN213" s="193"/>
      <c r="AO213" s="193"/>
      <c r="AP213" s="1275">
        <v>0.5</v>
      </c>
      <c r="AQ213" s="193"/>
      <c r="AR213" s="193"/>
      <c r="AS213" s="193"/>
      <c r="AT213" s="712"/>
      <c r="AU213" s="193"/>
      <c r="AV213" s="193"/>
      <c r="AW213" s="1275">
        <v>0.5</v>
      </c>
      <c r="AX213" s="193"/>
      <c r="AY213" s="193"/>
      <c r="AZ213" s="193"/>
      <c r="BA213" s="712"/>
      <c r="BB213" s="193"/>
      <c r="BC213" s="193"/>
      <c r="BD213" s="1275">
        <v>0.55000000000000004</v>
      </c>
      <c r="BE213" s="193"/>
      <c r="BF213" s="193"/>
      <c r="BG213" s="193"/>
      <c r="BH213" s="712"/>
      <c r="BI213" s="193"/>
      <c r="BJ213" s="193"/>
      <c r="BK213" s="1275">
        <v>0.55000000000000004</v>
      </c>
      <c r="BL213" s="193"/>
      <c r="BM213" s="193"/>
      <c r="BN213" s="193"/>
      <c r="BO213" s="712"/>
      <c r="BP213" s="193"/>
      <c r="BQ213" s="193"/>
      <c r="BR213" s="1275">
        <v>0.55000000000000004</v>
      </c>
      <c r="BS213" s="193"/>
      <c r="BT213" s="193"/>
      <c r="BU213" s="193"/>
      <c r="BV213" s="712"/>
      <c r="BW213" s="193"/>
      <c r="BX213" s="193"/>
      <c r="BY213" s="1275">
        <v>0.55000000000000004</v>
      </c>
      <c r="BZ213" s="193"/>
      <c r="CA213" s="193"/>
      <c r="CB213" s="193"/>
      <c r="CC213" s="712"/>
      <c r="CD213" s="193"/>
      <c r="CE213" s="193"/>
      <c r="CF213" s="1275">
        <v>0.55000000000000004</v>
      </c>
      <c r="CG213" s="193"/>
      <c r="CH213" s="193"/>
      <c r="CI213" s="193"/>
      <c r="CJ213" s="712"/>
      <c r="CK213" s="193"/>
      <c r="CL213" s="193"/>
      <c r="CM213" s="1275">
        <v>0.57499999999999996</v>
      </c>
      <c r="CN213" s="193">
        <v>0.55000000000000004</v>
      </c>
      <c r="CO213" s="193">
        <f>(CO188-CO236)/CO188</f>
        <v>0.55000000000000004</v>
      </c>
      <c r="CP213" s="193">
        <v>0.55000000000000004</v>
      </c>
      <c r="CQ213" s="712">
        <f>(CQ188-CQ236)/CQ188</f>
        <v>0.64999999999999958</v>
      </c>
      <c r="CR213" s="193">
        <v>0.55000000000000004</v>
      </c>
      <c r="CS213" s="193">
        <f>(CS188-CS236)/CS188</f>
        <v>0.59999999999999987</v>
      </c>
      <c r="CT213" s="1275">
        <v>0.57499999999999996</v>
      </c>
      <c r="CU213" s="193">
        <f>DA213</f>
        <v>0.57499999999999996</v>
      </c>
      <c r="CV213" s="193">
        <f>(CV188-CV236)/CV188</f>
        <v>0.57499999999999996</v>
      </c>
      <c r="CW213" s="193">
        <f>DA213</f>
        <v>0.57499999999999996</v>
      </c>
      <c r="CX213" s="712">
        <f>(CX188-CX236)/CX188</f>
        <v>0.57499999999999996</v>
      </c>
      <c r="CY213" s="193">
        <f>DA213</f>
        <v>0.57499999999999996</v>
      </c>
      <c r="CZ213" s="193">
        <f>(CZ188-CZ236)/CZ188</f>
        <v>0.57499999999999996</v>
      </c>
      <c r="DA213" s="1275">
        <v>0.57499999999999996</v>
      </c>
      <c r="DB213" s="193">
        <f t="shared" si="762"/>
        <v>0.57499999999999996</v>
      </c>
      <c r="DC213" s="193">
        <f>(DC188-DC236)/DC188</f>
        <v>0.57499999999999996</v>
      </c>
      <c r="DD213" s="193">
        <f t="shared" si="763"/>
        <v>0.57499999999999996</v>
      </c>
      <c r="DE213" s="712">
        <f>(DE188-DE236)/DE188</f>
        <v>0.57499999999999996</v>
      </c>
      <c r="DF213" s="193">
        <f t="shared" si="764"/>
        <v>0.57499999999999996</v>
      </c>
      <c r="DG213" s="193">
        <f>(DG188-DG236)/DG188</f>
        <v>0.57499999999999996</v>
      </c>
      <c r="DH213" s="1275">
        <v>0.57499999999999996</v>
      </c>
      <c r="DI213" s="193">
        <f t="shared" si="765"/>
        <v>0.57499999999999996</v>
      </c>
      <c r="DJ213" s="193">
        <f>(DJ188-DJ236)/DJ188</f>
        <v>0.57499999999999996</v>
      </c>
      <c r="DK213" s="599">
        <f t="shared" si="766"/>
        <v>0.57499999999999996</v>
      </c>
      <c r="DL213" s="600">
        <f>(DL188-DL236)/DL188</f>
        <v>0.57499999999999996</v>
      </c>
      <c r="DM213" s="193">
        <f t="shared" si="767"/>
        <v>0.57499999999999996</v>
      </c>
      <c r="DN213" s="599">
        <f>(DN188-DN236)/DN188</f>
        <v>0.57499999999999996</v>
      </c>
      <c r="DO213" s="755">
        <f t="shared" si="768"/>
        <v>0.57499999999999996</v>
      </c>
      <c r="DP213" s="599">
        <f t="shared" si="769"/>
        <v>0.57499999999999996</v>
      </c>
      <c r="DQ213" s="599">
        <f t="shared" si="770"/>
        <v>0.57499999999999996</v>
      </c>
      <c r="DR213" s="599">
        <f t="shared" si="771"/>
        <v>0.57499999999999996</v>
      </c>
      <c r="DS213" s="600">
        <f t="shared" si="772"/>
        <v>0.57499999999999996</v>
      </c>
      <c r="DT213" s="599">
        <f t="shared" si="773"/>
        <v>0.57499999999999996</v>
      </c>
      <c r="DU213" s="599">
        <f t="shared" si="774"/>
        <v>0.57499999999999996</v>
      </c>
      <c r="DV213" s="755">
        <f t="shared" si="775"/>
        <v>0.57499999999999996</v>
      </c>
      <c r="DW213" s="599">
        <f t="shared" si="776"/>
        <v>0.57499999999999996</v>
      </c>
      <c r="DX213" s="599">
        <f t="shared" si="777"/>
        <v>0.57499999999999996</v>
      </c>
      <c r="DY213" s="599">
        <f t="shared" si="778"/>
        <v>0.57499999999999996</v>
      </c>
      <c r="DZ213" s="600">
        <f t="shared" si="779"/>
        <v>0.57499999999999996</v>
      </c>
      <c r="EA213" s="599">
        <f t="shared" si="780"/>
        <v>0.57499999999999996</v>
      </c>
      <c r="EB213" s="599">
        <f t="shared" si="781"/>
        <v>0.57499999999999996</v>
      </c>
      <c r="EC213" s="755">
        <f t="shared" si="782"/>
        <v>0.57499999999999996</v>
      </c>
      <c r="ED213" s="599">
        <f t="shared" si="783"/>
        <v>0.57499999999999996</v>
      </c>
      <c r="EE213" s="599">
        <f t="shared" si="784"/>
        <v>0.57499999999999996</v>
      </c>
      <c r="EF213" s="599">
        <f t="shared" si="785"/>
        <v>0.57499999999999996</v>
      </c>
      <c r="EG213" s="600">
        <f t="shared" si="786"/>
        <v>0.57499999999999996</v>
      </c>
      <c r="EH213" s="599">
        <f t="shared" si="787"/>
        <v>0.57499999999999996</v>
      </c>
      <c r="EI213" s="599">
        <f t="shared" si="788"/>
        <v>0.57499999999999996</v>
      </c>
      <c r="EJ213" s="755">
        <f t="shared" si="789"/>
        <v>0.57499999999999996</v>
      </c>
      <c r="EK213" s="599">
        <f t="shared" si="790"/>
        <v>0.57499999999999996</v>
      </c>
      <c r="EL213" s="599">
        <f t="shared" si="791"/>
        <v>0.57499999999999996</v>
      </c>
      <c r="EM213" s="599">
        <f t="shared" si="792"/>
        <v>0.57499999999999996</v>
      </c>
      <c r="EN213" s="600">
        <f t="shared" si="793"/>
        <v>0.57499999999999996</v>
      </c>
      <c r="EO213" s="599">
        <f t="shared" si="794"/>
        <v>0.57499999999999996</v>
      </c>
      <c r="EP213" s="599">
        <f t="shared" si="795"/>
        <v>0.57499999999999996</v>
      </c>
      <c r="EQ213" s="755">
        <f t="shared" si="796"/>
        <v>0.57499999999999996</v>
      </c>
    </row>
    <row r="214" spans="1:147" ht="10.199999999999999" customHeight="1">
      <c r="A214" s="193" t="str">
        <f>A189</f>
        <v>A350-900</v>
      </c>
      <c r="B214" s="152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712"/>
      <c r="S214" s="193"/>
      <c r="T214" s="193"/>
      <c r="U214" s="1275"/>
      <c r="V214" s="193"/>
      <c r="W214" s="193"/>
      <c r="X214" s="193"/>
      <c r="Y214" s="712"/>
      <c r="Z214" s="193"/>
      <c r="AA214" s="193"/>
      <c r="AB214" s="1275">
        <f>AB213</f>
        <v>0.5</v>
      </c>
      <c r="AC214" s="193"/>
      <c r="AD214" s="193"/>
      <c r="AE214" s="193"/>
      <c r="AF214" s="712"/>
      <c r="AG214" s="193"/>
      <c r="AH214" s="193"/>
      <c r="AI214" s="1275">
        <f t="shared" ref="AI214:CM214" si="800">AI213</f>
        <v>0.5</v>
      </c>
      <c r="AJ214" s="193"/>
      <c r="AK214" s="193"/>
      <c r="AL214" s="193"/>
      <c r="AM214" s="712"/>
      <c r="AN214" s="193"/>
      <c r="AO214" s="193"/>
      <c r="AP214" s="1275">
        <f t="shared" si="800"/>
        <v>0.5</v>
      </c>
      <c r="AQ214" s="193"/>
      <c r="AR214" s="193"/>
      <c r="AS214" s="193"/>
      <c r="AT214" s="712"/>
      <c r="AU214" s="193"/>
      <c r="AV214" s="193"/>
      <c r="AW214" s="1275">
        <f t="shared" si="800"/>
        <v>0.5</v>
      </c>
      <c r="AX214" s="193"/>
      <c r="AY214" s="193"/>
      <c r="AZ214" s="193"/>
      <c r="BA214" s="712"/>
      <c r="BB214" s="193"/>
      <c r="BC214" s="193"/>
      <c r="BD214" s="1275">
        <f t="shared" si="800"/>
        <v>0.55000000000000004</v>
      </c>
      <c r="BE214" s="193"/>
      <c r="BF214" s="193"/>
      <c r="BG214" s="193"/>
      <c r="BH214" s="712"/>
      <c r="BI214" s="193"/>
      <c r="BJ214" s="193"/>
      <c r="BK214" s="1275">
        <f t="shared" si="800"/>
        <v>0.55000000000000004</v>
      </c>
      <c r="BL214" s="193"/>
      <c r="BM214" s="193"/>
      <c r="BN214" s="193"/>
      <c r="BO214" s="712"/>
      <c r="BP214" s="193"/>
      <c r="BQ214" s="193"/>
      <c r="BR214" s="1275">
        <f t="shared" si="800"/>
        <v>0.55000000000000004</v>
      </c>
      <c r="BS214" s="193"/>
      <c r="BT214" s="193"/>
      <c r="BU214" s="193"/>
      <c r="BV214" s="712"/>
      <c r="BW214" s="193"/>
      <c r="BX214" s="193"/>
      <c r="BY214" s="1275">
        <f t="shared" si="800"/>
        <v>0.55000000000000004</v>
      </c>
      <c r="BZ214" s="193"/>
      <c r="CA214" s="193"/>
      <c r="CB214" s="193"/>
      <c r="CC214" s="712"/>
      <c r="CD214" s="193"/>
      <c r="CE214" s="193"/>
      <c r="CF214" s="1275">
        <f t="shared" si="800"/>
        <v>0.55000000000000004</v>
      </c>
      <c r="CG214" s="193"/>
      <c r="CH214" s="193"/>
      <c r="CI214" s="193"/>
      <c r="CJ214" s="712"/>
      <c r="CK214" s="193"/>
      <c r="CL214" s="193"/>
      <c r="CM214" s="1275">
        <f t="shared" si="800"/>
        <v>0.57499999999999996</v>
      </c>
      <c r="CN214" s="193">
        <v>0.55000000000000004</v>
      </c>
      <c r="CO214" s="193">
        <f>(CO189-CO237)/CO189</f>
        <v>0.55000000000000004</v>
      </c>
      <c r="CP214" s="193">
        <v>0.55000000000000004</v>
      </c>
      <c r="CQ214" s="712">
        <f>(CQ189-CQ237)/CQ189</f>
        <v>0.6499999999999998</v>
      </c>
      <c r="CR214" s="193">
        <v>0.55000000000000004</v>
      </c>
      <c r="CS214" s="193">
        <f>(CS189-CS237)/CS189</f>
        <v>0.59999999999999987</v>
      </c>
      <c r="CT214" s="1275">
        <v>0.57499999999999996</v>
      </c>
      <c r="CU214" s="193">
        <f>DA214</f>
        <v>0.57499999999999996</v>
      </c>
      <c r="CV214" s="193">
        <f>(CV189-CV237)/CV189</f>
        <v>0.57499999999999996</v>
      </c>
      <c r="CW214" s="193">
        <f>DA214</f>
        <v>0.57499999999999996</v>
      </c>
      <c r="CX214" s="712">
        <f>(CX189-CX237)/CX189</f>
        <v>0.57499999999999996</v>
      </c>
      <c r="CY214" s="193">
        <f>DA214</f>
        <v>0.57499999999999996</v>
      </c>
      <c r="CZ214" s="193">
        <f>(CZ189-CZ237)/CZ189</f>
        <v>0.57499999999999996</v>
      </c>
      <c r="DA214" s="1275">
        <v>0.57499999999999996</v>
      </c>
      <c r="DB214" s="193">
        <f t="shared" si="762"/>
        <v>0.57499999999999996</v>
      </c>
      <c r="DC214" s="193">
        <f>(DC189-DC237)/DC189</f>
        <v>0.57499999999999996</v>
      </c>
      <c r="DD214" s="193">
        <f t="shared" si="763"/>
        <v>0.57499999999999996</v>
      </c>
      <c r="DE214" s="712">
        <f>(DE189-DE237)/DE189</f>
        <v>0.57499999999999996</v>
      </c>
      <c r="DF214" s="193">
        <f t="shared" si="764"/>
        <v>0.57499999999999996</v>
      </c>
      <c r="DG214" s="193">
        <f>(DG189-DG237)/DG189</f>
        <v>0.57499999999999996</v>
      </c>
      <c r="DH214" s="1275">
        <v>0.57499999999999996</v>
      </c>
      <c r="DI214" s="193">
        <f t="shared" si="765"/>
        <v>0.57499999999999996</v>
      </c>
      <c r="DJ214" s="193">
        <f>(DJ189-DJ237)/DJ189</f>
        <v>0.57499999999999996</v>
      </c>
      <c r="DK214" s="599">
        <f t="shared" si="766"/>
        <v>0.57499999999999996</v>
      </c>
      <c r="DL214" s="600">
        <f>(DL189-DL237)/DL189</f>
        <v>0.57499999999999996</v>
      </c>
      <c r="DM214" s="193">
        <f t="shared" si="767"/>
        <v>0.57499999999999996</v>
      </c>
      <c r="DN214" s="599">
        <f>(DN189-DN237)/DN189</f>
        <v>0.57499999999999996</v>
      </c>
      <c r="DO214" s="755">
        <f t="shared" si="768"/>
        <v>0.57499999999999996</v>
      </c>
      <c r="DP214" s="599">
        <f t="shared" si="769"/>
        <v>0.57499999999999996</v>
      </c>
      <c r="DQ214" s="599">
        <f t="shared" si="770"/>
        <v>0.57499999999999996</v>
      </c>
      <c r="DR214" s="599">
        <f t="shared" si="771"/>
        <v>0.57499999999999996</v>
      </c>
      <c r="DS214" s="600">
        <f t="shared" si="772"/>
        <v>0.57499999999999996</v>
      </c>
      <c r="DT214" s="599">
        <f t="shared" si="773"/>
        <v>0.57499999999999996</v>
      </c>
      <c r="DU214" s="599">
        <f t="shared" si="774"/>
        <v>0.57499999999999996</v>
      </c>
      <c r="DV214" s="755">
        <f t="shared" si="775"/>
        <v>0.57499999999999996</v>
      </c>
      <c r="DW214" s="599">
        <f t="shared" si="776"/>
        <v>0.57499999999999996</v>
      </c>
      <c r="DX214" s="599">
        <f t="shared" si="777"/>
        <v>0.57499999999999996</v>
      </c>
      <c r="DY214" s="599">
        <f t="shared" si="778"/>
        <v>0.57499999999999996</v>
      </c>
      <c r="DZ214" s="600">
        <f t="shared" si="779"/>
        <v>0.57499999999999996</v>
      </c>
      <c r="EA214" s="599">
        <f t="shared" si="780"/>
        <v>0.57499999999999996</v>
      </c>
      <c r="EB214" s="599">
        <f t="shared" si="781"/>
        <v>0.57499999999999996</v>
      </c>
      <c r="EC214" s="755">
        <f t="shared" si="782"/>
        <v>0.57499999999999996</v>
      </c>
      <c r="ED214" s="599">
        <f t="shared" si="783"/>
        <v>0.57499999999999996</v>
      </c>
      <c r="EE214" s="599">
        <f t="shared" si="784"/>
        <v>0.57499999999999996</v>
      </c>
      <c r="EF214" s="599">
        <f t="shared" si="785"/>
        <v>0.57499999999999996</v>
      </c>
      <c r="EG214" s="600">
        <f t="shared" si="786"/>
        <v>0.57499999999999996</v>
      </c>
      <c r="EH214" s="599">
        <f t="shared" si="787"/>
        <v>0.57499999999999996</v>
      </c>
      <c r="EI214" s="599">
        <f t="shared" si="788"/>
        <v>0.57499999999999996</v>
      </c>
      <c r="EJ214" s="755">
        <f t="shared" si="789"/>
        <v>0.57499999999999996</v>
      </c>
      <c r="EK214" s="599">
        <f t="shared" si="790"/>
        <v>0.57499999999999996</v>
      </c>
      <c r="EL214" s="599">
        <f t="shared" si="791"/>
        <v>0.57499999999999996</v>
      </c>
      <c r="EM214" s="599">
        <f t="shared" si="792"/>
        <v>0.57499999999999996</v>
      </c>
      <c r="EN214" s="600">
        <f t="shared" si="793"/>
        <v>0.57499999999999996</v>
      </c>
      <c r="EO214" s="599">
        <f t="shared" si="794"/>
        <v>0.57499999999999996</v>
      </c>
      <c r="EP214" s="599">
        <f t="shared" si="795"/>
        <v>0.57499999999999996</v>
      </c>
      <c r="EQ214" s="755">
        <f t="shared" si="796"/>
        <v>0.57499999999999996</v>
      </c>
    </row>
    <row r="215" spans="1:147" ht="10.199999999999999" customHeight="1">
      <c r="A215" s="193" t="str">
        <f>A190</f>
        <v>A350-1000</v>
      </c>
      <c r="B215" s="152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712"/>
      <c r="S215" s="193"/>
      <c r="T215" s="193"/>
      <c r="U215" s="1275"/>
      <c r="V215" s="193"/>
      <c r="W215" s="193"/>
      <c r="X215" s="193"/>
      <c r="Y215" s="712"/>
      <c r="Z215" s="193"/>
      <c r="AA215" s="193"/>
      <c r="AB215" s="1275">
        <f>AB213</f>
        <v>0.5</v>
      </c>
      <c r="AC215" s="193"/>
      <c r="AD215" s="193"/>
      <c r="AE215" s="193"/>
      <c r="AF215" s="712"/>
      <c r="AG215" s="193"/>
      <c r="AH215" s="193"/>
      <c r="AI215" s="1275">
        <f t="shared" ref="AI215:CM215" si="801">AI213</f>
        <v>0.5</v>
      </c>
      <c r="AJ215" s="193"/>
      <c r="AK215" s="193"/>
      <c r="AL215" s="193"/>
      <c r="AM215" s="712"/>
      <c r="AN215" s="193"/>
      <c r="AO215" s="193"/>
      <c r="AP215" s="1275">
        <f t="shared" si="801"/>
        <v>0.5</v>
      </c>
      <c r="AQ215" s="193"/>
      <c r="AR215" s="193"/>
      <c r="AS215" s="193"/>
      <c r="AT215" s="712"/>
      <c r="AU215" s="193"/>
      <c r="AV215" s="193"/>
      <c r="AW215" s="1275">
        <f t="shared" si="801"/>
        <v>0.5</v>
      </c>
      <c r="AX215" s="193"/>
      <c r="AY215" s="193"/>
      <c r="AZ215" s="193"/>
      <c r="BA215" s="712"/>
      <c r="BB215" s="193"/>
      <c r="BC215" s="193"/>
      <c r="BD215" s="1275">
        <f t="shared" si="801"/>
        <v>0.55000000000000004</v>
      </c>
      <c r="BE215" s="193"/>
      <c r="BF215" s="193"/>
      <c r="BG215" s="193"/>
      <c r="BH215" s="712"/>
      <c r="BI215" s="193"/>
      <c r="BJ215" s="193"/>
      <c r="BK215" s="1275">
        <f t="shared" si="801"/>
        <v>0.55000000000000004</v>
      </c>
      <c r="BL215" s="193"/>
      <c r="BM215" s="193"/>
      <c r="BN215" s="193"/>
      <c r="BO215" s="712"/>
      <c r="BP215" s="193"/>
      <c r="BQ215" s="193"/>
      <c r="BR215" s="1275">
        <f t="shared" si="801"/>
        <v>0.55000000000000004</v>
      </c>
      <c r="BS215" s="193"/>
      <c r="BT215" s="193"/>
      <c r="BU215" s="193"/>
      <c r="BV215" s="712"/>
      <c r="BW215" s="193"/>
      <c r="BX215" s="193"/>
      <c r="BY215" s="1275">
        <f t="shared" si="801"/>
        <v>0.55000000000000004</v>
      </c>
      <c r="BZ215" s="193"/>
      <c r="CA215" s="193"/>
      <c r="CB215" s="193"/>
      <c r="CC215" s="712"/>
      <c r="CD215" s="193"/>
      <c r="CE215" s="193"/>
      <c r="CF215" s="1275">
        <f t="shared" si="801"/>
        <v>0.55000000000000004</v>
      </c>
      <c r="CG215" s="193"/>
      <c r="CH215" s="193"/>
      <c r="CI215" s="193"/>
      <c r="CJ215" s="712"/>
      <c r="CK215" s="193"/>
      <c r="CL215" s="193"/>
      <c r="CM215" s="1275">
        <f t="shared" si="801"/>
        <v>0.57499999999999996</v>
      </c>
      <c r="CN215" s="193">
        <v>0.55000000000000004</v>
      </c>
      <c r="CO215" s="193">
        <f>(CO190-CO238)/CO190</f>
        <v>0.55000000000000004</v>
      </c>
      <c r="CP215" s="193">
        <v>0.55000000000000004</v>
      </c>
      <c r="CQ215" s="712">
        <f>(CQ190-CQ238)/CQ190</f>
        <v>0.64999999999999969</v>
      </c>
      <c r="CR215" s="193">
        <v>0.55000000000000004</v>
      </c>
      <c r="CS215" s="193">
        <f>(CS190-CS238)/CS190</f>
        <v>0.59999999999999987</v>
      </c>
      <c r="CT215" s="1275">
        <v>0.57499999999999996</v>
      </c>
      <c r="CU215" s="193">
        <f>DA215</f>
        <v>0.57499999999999996</v>
      </c>
      <c r="CV215" s="193">
        <f>(CV190-CV238)/CV190</f>
        <v>0.57499999999999996</v>
      </c>
      <c r="CW215" s="193">
        <f>DA215</f>
        <v>0.57499999999999996</v>
      </c>
      <c r="CX215" s="712">
        <f>(CX190-CX238)/CX190</f>
        <v>0.57499999999999996</v>
      </c>
      <c r="CY215" s="193">
        <f>DA215</f>
        <v>0.57499999999999996</v>
      </c>
      <c r="CZ215" s="193">
        <f>(CZ190-CZ238)/CZ190</f>
        <v>0.57499999999999996</v>
      </c>
      <c r="DA215" s="1275">
        <v>0.57499999999999996</v>
      </c>
      <c r="DB215" s="193">
        <f t="shared" si="762"/>
        <v>0.57499999999999996</v>
      </c>
      <c r="DC215" s="193">
        <f>(DC190-DC238)/DC190</f>
        <v>0.57499999999999996</v>
      </c>
      <c r="DD215" s="193">
        <f t="shared" si="763"/>
        <v>0.57499999999999996</v>
      </c>
      <c r="DE215" s="712">
        <f>(DE190-DE238)/DE190</f>
        <v>0.57499999999999996</v>
      </c>
      <c r="DF215" s="193">
        <f t="shared" si="764"/>
        <v>0.57499999999999996</v>
      </c>
      <c r="DG215" s="193">
        <f>(DG190-DG238)/DG190</f>
        <v>0.57499999999999996</v>
      </c>
      <c r="DH215" s="1275">
        <v>0.57499999999999996</v>
      </c>
      <c r="DI215" s="193">
        <f t="shared" si="765"/>
        <v>0.57499999999999996</v>
      </c>
      <c r="DJ215" s="193">
        <f>(DJ190-DJ238)/DJ190</f>
        <v>0.57499999999999996</v>
      </c>
      <c r="DK215" s="599">
        <f t="shared" si="766"/>
        <v>0.57499999999999996</v>
      </c>
      <c r="DL215" s="600">
        <f>(DL190-DL238)/DL190</f>
        <v>0.57499999999999996</v>
      </c>
      <c r="DM215" s="193">
        <f t="shared" si="767"/>
        <v>0.57499999999999996</v>
      </c>
      <c r="DN215" s="599">
        <f>(DN190-DN238)/DN190</f>
        <v>0.57499999999999996</v>
      </c>
      <c r="DO215" s="755">
        <f t="shared" si="768"/>
        <v>0.57499999999999996</v>
      </c>
      <c r="DP215" s="599">
        <f t="shared" si="769"/>
        <v>0.57499999999999996</v>
      </c>
      <c r="DQ215" s="599">
        <f t="shared" si="770"/>
        <v>0.57499999999999996</v>
      </c>
      <c r="DR215" s="599">
        <f t="shared" si="771"/>
        <v>0.57499999999999996</v>
      </c>
      <c r="DS215" s="600">
        <f t="shared" si="772"/>
        <v>0.57499999999999996</v>
      </c>
      <c r="DT215" s="599">
        <f t="shared" si="773"/>
        <v>0.57499999999999996</v>
      </c>
      <c r="DU215" s="599">
        <f t="shared" si="774"/>
        <v>0.57499999999999996</v>
      </c>
      <c r="DV215" s="755">
        <f t="shared" si="775"/>
        <v>0.57499999999999996</v>
      </c>
      <c r="DW215" s="599">
        <f t="shared" si="776"/>
        <v>0.57499999999999996</v>
      </c>
      <c r="DX215" s="599">
        <f t="shared" si="777"/>
        <v>0.57499999999999996</v>
      </c>
      <c r="DY215" s="599">
        <f t="shared" si="778"/>
        <v>0.57499999999999996</v>
      </c>
      <c r="DZ215" s="600">
        <f t="shared" si="779"/>
        <v>0.57499999999999996</v>
      </c>
      <c r="EA215" s="599">
        <f t="shared" si="780"/>
        <v>0.57499999999999996</v>
      </c>
      <c r="EB215" s="599">
        <f t="shared" si="781"/>
        <v>0.57499999999999996</v>
      </c>
      <c r="EC215" s="755">
        <f t="shared" si="782"/>
        <v>0.57499999999999996</v>
      </c>
      <c r="ED215" s="599">
        <f t="shared" si="783"/>
        <v>0.57499999999999996</v>
      </c>
      <c r="EE215" s="599">
        <f t="shared" si="784"/>
        <v>0.57499999999999996</v>
      </c>
      <c r="EF215" s="599">
        <f t="shared" si="785"/>
        <v>0.57499999999999996</v>
      </c>
      <c r="EG215" s="600">
        <f t="shared" si="786"/>
        <v>0.57499999999999996</v>
      </c>
      <c r="EH215" s="599">
        <f t="shared" si="787"/>
        <v>0.57499999999999996</v>
      </c>
      <c r="EI215" s="599">
        <f t="shared" si="788"/>
        <v>0.57499999999999996</v>
      </c>
      <c r="EJ215" s="755">
        <f t="shared" si="789"/>
        <v>0.57499999999999996</v>
      </c>
      <c r="EK215" s="599">
        <f t="shared" si="790"/>
        <v>0.57499999999999996</v>
      </c>
      <c r="EL215" s="599">
        <f t="shared" si="791"/>
        <v>0.57499999999999996</v>
      </c>
      <c r="EM215" s="599">
        <f t="shared" si="792"/>
        <v>0.57499999999999996</v>
      </c>
      <c r="EN215" s="600">
        <f t="shared" si="793"/>
        <v>0.57499999999999996</v>
      </c>
      <c r="EO215" s="599">
        <f t="shared" si="794"/>
        <v>0.57499999999999996</v>
      </c>
      <c r="EP215" s="599">
        <f t="shared" si="795"/>
        <v>0.57499999999999996</v>
      </c>
      <c r="EQ215" s="755">
        <f t="shared" si="796"/>
        <v>0.57499999999999996</v>
      </c>
    </row>
    <row r="216" spans="1:147" ht="10.199999999999999" hidden="1" customHeight="1" outlineLevel="1">
      <c r="A216" s="193" t="str">
        <f>A191</f>
        <v>A380</v>
      </c>
      <c r="B216" s="43"/>
      <c r="C216" s="193"/>
      <c r="D216" s="193"/>
      <c r="E216" s="193"/>
      <c r="F216" s="193"/>
      <c r="G216" s="628">
        <v>0.45</v>
      </c>
      <c r="H216" s="628">
        <v>0.45</v>
      </c>
      <c r="I216" s="628">
        <f>50%</f>
        <v>0.5</v>
      </c>
      <c r="J216" s="628">
        <v>0.5</v>
      </c>
      <c r="K216" s="628">
        <v>0.5</v>
      </c>
      <c r="L216" s="628">
        <v>0.5</v>
      </c>
      <c r="M216" s="628">
        <v>0.46</v>
      </c>
      <c r="N216" s="628">
        <v>0.42499999999999999</v>
      </c>
      <c r="O216" s="251"/>
      <c r="P216" s="449"/>
      <c r="Q216" s="449"/>
      <c r="R216" s="450"/>
      <c r="S216" s="449"/>
      <c r="T216" s="449"/>
      <c r="U216" s="647">
        <v>0.38</v>
      </c>
      <c r="V216" s="251"/>
      <c r="W216" s="449"/>
      <c r="X216" s="449"/>
      <c r="Y216" s="450"/>
      <c r="Z216" s="449"/>
      <c r="AA216" s="449"/>
      <c r="AB216" s="647">
        <v>0.4</v>
      </c>
      <c r="AC216" s="251"/>
      <c r="AD216" s="449"/>
      <c r="AE216" s="449"/>
      <c r="AF216" s="450"/>
      <c r="AG216" s="449"/>
      <c r="AH216" s="449"/>
      <c r="AI216" s="647">
        <v>0.4</v>
      </c>
      <c r="AJ216" s="251"/>
      <c r="AK216" s="449"/>
      <c r="AL216" s="449"/>
      <c r="AM216" s="450"/>
      <c r="AN216" s="449"/>
      <c r="AO216" s="449"/>
      <c r="AP216" s="647">
        <v>0.42499999999999999</v>
      </c>
      <c r="AQ216" s="251"/>
      <c r="AR216" s="449"/>
      <c r="AS216" s="449"/>
      <c r="AT216" s="450"/>
      <c r="AU216" s="449"/>
      <c r="AV216" s="449"/>
      <c r="AW216" s="647">
        <v>0.45</v>
      </c>
      <c r="AX216" s="251"/>
      <c r="AY216" s="449"/>
      <c r="AZ216" s="449"/>
      <c r="BA216" s="450"/>
      <c r="BB216" s="449"/>
      <c r="BC216" s="449"/>
      <c r="BD216" s="647">
        <v>0.5</v>
      </c>
      <c r="BE216" s="251"/>
      <c r="BF216" s="449"/>
      <c r="BG216" s="449"/>
      <c r="BH216" s="450"/>
      <c r="BI216" s="449"/>
      <c r="BJ216" s="449"/>
      <c r="BK216" s="647">
        <v>0.5</v>
      </c>
      <c r="BL216" s="251"/>
      <c r="BM216" s="449"/>
      <c r="BN216" s="449"/>
      <c r="BO216" s="450"/>
      <c r="BP216" s="449"/>
      <c r="BQ216" s="449"/>
      <c r="BR216" s="647">
        <v>0.55000000000000004</v>
      </c>
      <c r="BS216" s="251"/>
      <c r="BT216" s="449"/>
      <c r="BU216" s="449"/>
      <c r="BV216" s="450"/>
      <c r="BW216" s="449"/>
      <c r="BX216" s="449"/>
      <c r="BY216" s="647">
        <v>0.6</v>
      </c>
      <c r="BZ216" s="251"/>
      <c r="CA216" s="449"/>
      <c r="CB216" s="449"/>
      <c r="CC216" s="450"/>
      <c r="CD216" s="449"/>
      <c r="CE216" s="449"/>
      <c r="CF216" s="647">
        <v>0.6</v>
      </c>
      <c r="CG216" s="251"/>
      <c r="CH216" s="449"/>
      <c r="CI216" s="449"/>
      <c r="CJ216" s="450"/>
      <c r="CK216" s="449"/>
      <c r="CL216" s="449"/>
      <c r="CM216" s="647">
        <v>0.6</v>
      </c>
      <c r="CN216" s="251"/>
      <c r="CO216" s="449"/>
      <c r="CP216" s="449"/>
      <c r="CQ216" s="450"/>
      <c r="CR216" s="449"/>
      <c r="CS216" s="449"/>
      <c r="CT216" s="647"/>
      <c r="CU216" s="449"/>
      <c r="CV216" s="449"/>
      <c r="CW216" s="449"/>
      <c r="CX216" s="450"/>
      <c r="CY216" s="449"/>
      <c r="CZ216" s="449"/>
      <c r="DA216" s="647"/>
      <c r="DB216" s="449"/>
      <c r="DC216" s="449"/>
      <c r="DD216" s="449"/>
      <c r="DE216" s="450"/>
      <c r="DF216" s="449"/>
      <c r="DG216" s="449"/>
      <c r="DH216" s="647"/>
      <c r="DI216" s="449"/>
      <c r="DJ216" s="449"/>
      <c r="DK216" s="449"/>
      <c r="DL216" s="450"/>
      <c r="DM216" s="449"/>
      <c r="DN216" s="449"/>
      <c r="DO216" s="647"/>
      <c r="DP216" s="449"/>
      <c r="DQ216" s="449"/>
      <c r="DR216" s="449"/>
      <c r="DS216" s="450"/>
      <c r="DT216" s="449"/>
      <c r="DU216" s="449"/>
      <c r="DV216" s="647"/>
      <c r="DW216" s="449"/>
      <c r="DX216" s="449"/>
      <c r="DY216" s="449"/>
      <c r="DZ216" s="450"/>
      <c r="EA216" s="449"/>
      <c r="EB216" s="449"/>
      <c r="EC216" s="647"/>
      <c r="ED216" s="449"/>
      <c r="EE216" s="449"/>
      <c r="EF216" s="449"/>
      <c r="EG216" s="450"/>
      <c r="EH216" s="449"/>
      <c r="EI216" s="449"/>
      <c r="EJ216" s="647"/>
      <c r="EK216" s="449"/>
      <c r="EL216" s="449"/>
      <c r="EM216" s="449"/>
      <c r="EN216" s="450"/>
      <c r="EO216" s="449"/>
      <c r="EP216" s="449"/>
      <c r="EQ216" s="647"/>
    </row>
    <row r="217" spans="1:147" ht="10.199999999999999" customHeight="1" collapsed="1">
      <c r="A217" s="108"/>
      <c r="B217" s="4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767"/>
      <c r="P217" s="767"/>
      <c r="Q217" s="767"/>
      <c r="R217" s="1394"/>
      <c r="S217" s="767"/>
      <c r="T217" s="767"/>
      <c r="U217" s="748"/>
      <c r="V217" s="767"/>
      <c r="W217" s="767"/>
      <c r="X217" s="767"/>
      <c r="Y217" s="1394"/>
      <c r="Z217" s="767"/>
      <c r="AA217" s="767"/>
      <c r="AB217" s="748">
        <f t="shared" ref="AB217:EO217" si="802">AB309</f>
        <v>0</v>
      </c>
      <c r="AC217" s="767"/>
      <c r="AD217" s="767"/>
      <c r="AE217" s="767"/>
      <c r="AF217" s="1394"/>
      <c r="AG217" s="767"/>
      <c r="AH217" s="767"/>
      <c r="AI217" s="748">
        <f t="shared" si="802"/>
        <v>0</v>
      </c>
      <c r="AJ217" s="767"/>
      <c r="AK217" s="767"/>
      <c r="AL217" s="767"/>
      <c r="AM217" s="1394"/>
      <c r="AN217" s="767"/>
      <c r="AO217" s="767"/>
      <c r="AP217" s="748">
        <f t="shared" si="802"/>
        <v>0</v>
      </c>
      <c r="AQ217" s="767"/>
      <c r="AR217" s="767"/>
      <c r="AS217" s="767"/>
      <c r="AT217" s="1394"/>
      <c r="AU217" s="767"/>
      <c r="AV217" s="767"/>
      <c r="AW217" s="748">
        <f t="shared" si="802"/>
        <v>0</v>
      </c>
      <c r="AX217" s="767"/>
      <c r="AY217" s="767"/>
      <c r="AZ217" s="767"/>
      <c r="BA217" s="1394"/>
      <c r="BB217" s="767"/>
      <c r="BC217" s="767"/>
      <c r="BD217" s="748">
        <f t="shared" si="802"/>
        <v>0</v>
      </c>
      <c r="BE217" s="767"/>
      <c r="BF217" s="767"/>
      <c r="BG217" s="767"/>
      <c r="BH217" s="1394"/>
      <c r="BI217" s="767"/>
      <c r="BJ217" s="767"/>
      <c r="BK217" s="748">
        <f t="shared" si="802"/>
        <v>0</v>
      </c>
      <c r="BL217" s="767"/>
      <c r="BM217" s="767"/>
      <c r="BN217" s="767"/>
      <c r="BO217" s="1394"/>
      <c r="BP217" s="767"/>
      <c r="BQ217" s="767"/>
      <c r="BR217" s="748">
        <f t="shared" si="802"/>
        <v>0</v>
      </c>
      <c r="BS217" s="767"/>
      <c r="BT217" s="767"/>
      <c r="BU217" s="767"/>
      <c r="BV217" s="1394"/>
      <c r="BW217" s="767"/>
      <c r="BX217" s="767"/>
      <c r="BY217" s="748">
        <f t="shared" si="802"/>
        <v>0</v>
      </c>
      <c r="BZ217" s="767"/>
      <c r="CA217" s="767"/>
      <c r="CB217" s="767"/>
      <c r="CC217" s="1394"/>
      <c r="CD217" s="767"/>
      <c r="CE217" s="767"/>
      <c r="CF217" s="748">
        <f t="shared" si="802"/>
        <v>0</v>
      </c>
      <c r="CG217" s="767"/>
      <c r="CH217" s="767"/>
      <c r="CI217" s="767"/>
      <c r="CJ217" s="1394"/>
      <c r="CK217" s="767"/>
      <c r="CL217" s="767"/>
      <c r="CM217" s="748">
        <f t="shared" si="802"/>
        <v>0</v>
      </c>
      <c r="CN217" s="767">
        <f t="shared" si="802"/>
        <v>0</v>
      </c>
      <c r="CO217" s="767">
        <f t="shared" si="802"/>
        <v>0</v>
      </c>
      <c r="CP217" s="767">
        <f t="shared" si="802"/>
        <v>0</v>
      </c>
      <c r="CQ217" s="1394">
        <f t="shared" si="802"/>
        <v>-1.4551915228366852E-11</v>
      </c>
      <c r="CR217" s="767">
        <f t="shared" si="802"/>
        <v>0</v>
      </c>
      <c r="CS217" s="767">
        <f t="shared" si="802"/>
        <v>0</v>
      </c>
      <c r="CT217" s="748">
        <f>CT309</f>
        <v>0</v>
      </c>
      <c r="CU217" s="767">
        <f t="shared" si="802"/>
        <v>0</v>
      </c>
      <c r="CV217" s="767">
        <f t="shared" si="802"/>
        <v>0</v>
      </c>
      <c r="CW217" s="767">
        <f t="shared" si="802"/>
        <v>0</v>
      </c>
      <c r="CX217" s="1394">
        <f t="shared" si="802"/>
        <v>0</v>
      </c>
      <c r="CY217" s="767">
        <f t="shared" si="802"/>
        <v>0</v>
      </c>
      <c r="CZ217" s="767">
        <f t="shared" si="802"/>
        <v>0</v>
      </c>
      <c r="DA217" s="748">
        <f>DA309</f>
        <v>0</v>
      </c>
      <c r="DB217" s="767">
        <f t="shared" si="802"/>
        <v>0</v>
      </c>
      <c r="DC217" s="767">
        <f t="shared" si="802"/>
        <v>0</v>
      </c>
      <c r="DD217" s="767">
        <f t="shared" si="802"/>
        <v>0</v>
      </c>
      <c r="DE217" s="1394">
        <f t="shared" si="802"/>
        <v>-2.3437281924998388E-5</v>
      </c>
      <c r="DF217" s="767">
        <f t="shared" si="802"/>
        <v>0</v>
      </c>
      <c r="DG217" s="767">
        <f t="shared" si="802"/>
        <v>-2.3437281924998388E-5</v>
      </c>
      <c r="DH217" s="748">
        <f>DH309</f>
        <v>-2.3437278287019581E-5</v>
      </c>
      <c r="DI217" s="767">
        <f t="shared" si="802"/>
        <v>-1.1058438758482225E-5</v>
      </c>
      <c r="DJ217" s="654">
        <f t="shared" si="802"/>
        <v>1.1058442396461032E-5</v>
      </c>
      <c r="DK217" s="767">
        <f t="shared" si="802"/>
        <v>0</v>
      </c>
      <c r="DL217" s="1394">
        <f t="shared" si="802"/>
        <v>0</v>
      </c>
      <c r="DM217" s="2038">
        <f>DM309</f>
        <v>0</v>
      </c>
      <c r="DN217" s="767">
        <f t="shared" si="802"/>
        <v>0</v>
      </c>
      <c r="DO217" s="748">
        <f>DO309</f>
        <v>0</v>
      </c>
      <c r="DP217" s="767">
        <f t="shared" si="802"/>
        <v>0</v>
      </c>
      <c r="DQ217" s="767">
        <f t="shared" si="802"/>
        <v>0</v>
      </c>
      <c r="DR217" s="767">
        <f t="shared" si="802"/>
        <v>0</v>
      </c>
      <c r="DS217" s="1394">
        <f t="shared" si="802"/>
        <v>0</v>
      </c>
      <c r="DT217" s="767">
        <f t="shared" si="802"/>
        <v>0</v>
      </c>
      <c r="DU217" s="767">
        <f t="shared" si="802"/>
        <v>0</v>
      </c>
      <c r="DV217" s="748">
        <f>DV309</f>
        <v>0</v>
      </c>
      <c r="DW217" s="767">
        <f t="shared" si="802"/>
        <v>0</v>
      </c>
      <c r="DX217" s="767">
        <f t="shared" si="802"/>
        <v>0</v>
      </c>
      <c r="DY217" s="767">
        <f t="shared" si="802"/>
        <v>0</v>
      </c>
      <c r="DZ217" s="1394">
        <f t="shared" si="802"/>
        <v>0</v>
      </c>
      <c r="EA217" s="767">
        <f t="shared" si="802"/>
        <v>0</v>
      </c>
      <c r="EB217" s="767">
        <f t="shared" si="802"/>
        <v>0</v>
      </c>
      <c r="EC217" s="748">
        <f>EC309</f>
        <v>0</v>
      </c>
      <c r="ED217" s="767">
        <f t="shared" si="802"/>
        <v>0</v>
      </c>
      <c r="EE217" s="767">
        <f t="shared" si="802"/>
        <v>0</v>
      </c>
      <c r="EF217" s="767">
        <f t="shared" si="802"/>
        <v>0</v>
      </c>
      <c r="EG217" s="1394">
        <f t="shared" si="802"/>
        <v>0</v>
      </c>
      <c r="EH217" s="767">
        <f t="shared" si="802"/>
        <v>0</v>
      </c>
      <c r="EI217" s="767">
        <f t="shared" si="802"/>
        <v>0</v>
      </c>
      <c r="EJ217" s="748">
        <f>EJ309</f>
        <v>0</v>
      </c>
      <c r="EK217" s="767">
        <f t="shared" si="802"/>
        <v>0</v>
      </c>
      <c r="EL217" s="767">
        <f t="shared" si="802"/>
        <v>0</v>
      </c>
      <c r="EM217" s="767">
        <f t="shared" si="802"/>
        <v>0</v>
      </c>
      <c r="EN217" s="1394">
        <f t="shared" si="802"/>
        <v>0</v>
      </c>
      <c r="EO217" s="767">
        <f t="shared" si="802"/>
        <v>0</v>
      </c>
      <c r="EP217" s="767">
        <f t="shared" ref="EP217" si="803">EP309</f>
        <v>0</v>
      </c>
      <c r="EQ217" s="748">
        <f>EQ309</f>
        <v>0</v>
      </c>
    </row>
    <row r="218" spans="1:147" ht="10.199999999999999" customHeight="1">
      <c r="A218" s="48" t="s">
        <v>737</v>
      </c>
      <c r="B218" s="4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449"/>
      <c r="P218" s="449"/>
      <c r="Q218" s="449"/>
      <c r="R218" s="450"/>
      <c r="S218" s="449"/>
      <c r="T218" s="449"/>
      <c r="U218" s="346"/>
      <c r="V218" s="449"/>
      <c r="W218" s="449"/>
      <c r="X218" s="449"/>
      <c r="Y218" s="450"/>
      <c r="Z218" s="449"/>
      <c r="AA218" s="449"/>
      <c r="AB218" s="346"/>
      <c r="AC218" s="449"/>
      <c r="AD218" s="449"/>
      <c r="AE218" s="449"/>
      <c r="AF218" s="450"/>
      <c r="AG218" s="449"/>
      <c r="AH218" s="449"/>
      <c r="AI218" s="346"/>
      <c r="AJ218" s="449"/>
      <c r="AK218" s="449"/>
      <c r="AL218" s="449"/>
      <c r="AM218" s="450"/>
      <c r="AN218" s="449"/>
      <c r="AO218" s="449"/>
      <c r="AP218" s="346"/>
      <c r="AQ218" s="449"/>
      <c r="AR218" s="449"/>
      <c r="AS218" s="449"/>
      <c r="AT218" s="450"/>
      <c r="AU218" s="449"/>
      <c r="AV218" s="449"/>
      <c r="AW218" s="346"/>
      <c r="AX218" s="449"/>
      <c r="AY218" s="449"/>
      <c r="AZ218" s="449"/>
      <c r="BA218" s="450"/>
      <c r="BB218" s="449"/>
      <c r="BC218" s="449"/>
      <c r="BD218" s="346"/>
      <c r="BE218" s="449"/>
      <c r="BF218" s="449"/>
      <c r="BG218" s="449"/>
      <c r="BH218" s="450"/>
      <c r="BI218" s="449"/>
      <c r="BJ218" s="449"/>
      <c r="BK218" s="346"/>
      <c r="BL218" s="449"/>
      <c r="BM218" s="449"/>
      <c r="BN218" s="449"/>
      <c r="BO218" s="450"/>
      <c r="BP218" s="449"/>
      <c r="BQ218" s="449"/>
      <c r="BR218" s="346"/>
      <c r="BS218" s="449"/>
      <c r="BT218" s="449"/>
      <c r="BU218" s="449"/>
      <c r="BV218" s="450"/>
      <c r="BW218" s="449"/>
      <c r="BX218" s="449"/>
      <c r="BY218" s="346"/>
      <c r="BZ218" s="449"/>
      <c r="CA218" s="449"/>
      <c r="CB218" s="449"/>
      <c r="CC218" s="450"/>
      <c r="CD218" s="449"/>
      <c r="CE218" s="449"/>
      <c r="CF218" s="346"/>
      <c r="CG218" s="449"/>
      <c r="CH218" s="449"/>
      <c r="CI218" s="449"/>
      <c r="CJ218" s="450"/>
      <c r="CK218" s="449"/>
      <c r="CL218" s="449"/>
      <c r="CM218" s="346"/>
      <c r="CN218" s="449"/>
      <c r="CO218" s="449"/>
      <c r="CP218" s="449"/>
      <c r="CQ218" s="450"/>
      <c r="CR218" s="449"/>
      <c r="CS218" s="449"/>
      <c r="CT218" s="346"/>
      <c r="CU218" s="449"/>
      <c r="CV218" s="449"/>
      <c r="CW218" s="449"/>
      <c r="CX218" s="450"/>
      <c r="CY218" s="449"/>
      <c r="CZ218" s="449"/>
      <c r="DA218" s="346"/>
      <c r="DB218" s="449"/>
      <c r="DC218" s="449"/>
      <c r="DD218" s="449"/>
      <c r="DE218" s="450"/>
      <c r="DF218" s="449"/>
      <c r="DG218" s="449"/>
      <c r="DH218" s="346"/>
      <c r="DI218" s="449"/>
      <c r="DJ218" s="449"/>
      <c r="DK218" s="449"/>
      <c r="DL218" s="450"/>
      <c r="DM218" s="449"/>
      <c r="DN218" s="449"/>
      <c r="DO218" s="346"/>
      <c r="DP218" s="449"/>
      <c r="DQ218" s="449"/>
      <c r="DR218" s="449"/>
      <c r="DS218" s="450"/>
      <c r="DT218" s="449"/>
      <c r="DU218" s="449"/>
      <c r="DV218" s="346"/>
      <c r="DW218" s="449"/>
      <c r="DX218" s="449"/>
      <c r="DY218" s="449"/>
      <c r="DZ218" s="450"/>
      <c r="EA218" s="449"/>
      <c r="EB218" s="449"/>
      <c r="EC218" s="346"/>
      <c r="ED218" s="449"/>
      <c r="EE218" s="449"/>
      <c r="EF218" s="449"/>
      <c r="EG218" s="450"/>
      <c r="EH218" s="449"/>
      <c r="EI218" s="449"/>
      <c r="EJ218" s="346"/>
      <c r="EK218" s="449"/>
      <c r="EL218" s="449"/>
      <c r="EM218" s="449"/>
      <c r="EN218" s="450"/>
      <c r="EO218" s="449"/>
      <c r="EP218" s="449"/>
      <c r="EQ218" s="346"/>
    </row>
    <row r="219" spans="1:147" ht="10.199999999999999" customHeight="1">
      <c r="A219" s="607" t="str">
        <f t="shared" ref="A219:A239" si="804">A196</f>
        <v>A220-100</v>
      </c>
      <c r="B219" s="608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1215"/>
      <c r="P219" s="1215"/>
      <c r="Q219" s="1215"/>
      <c r="R219" s="1306"/>
      <c r="S219" s="1215"/>
      <c r="T219" s="1215"/>
      <c r="U219" s="1307"/>
      <c r="V219" s="1215"/>
      <c r="W219" s="1215"/>
      <c r="X219" s="1215"/>
      <c r="Y219" s="1306"/>
      <c r="Z219" s="1215"/>
      <c r="AA219" s="1215"/>
      <c r="AB219" s="1307"/>
      <c r="AC219" s="1215"/>
      <c r="AD219" s="1215"/>
      <c r="AE219" s="1215"/>
      <c r="AF219" s="1306"/>
      <c r="AG219" s="1215"/>
      <c r="AH219" s="1215"/>
      <c r="AI219" s="1307"/>
      <c r="AJ219" s="1215"/>
      <c r="AK219" s="1215"/>
      <c r="AL219" s="1215"/>
      <c r="AM219" s="1306"/>
      <c r="AN219" s="1215"/>
      <c r="AO219" s="1215"/>
      <c r="AP219" s="1307"/>
      <c r="AQ219" s="1215"/>
      <c r="AR219" s="1215"/>
      <c r="AS219" s="1215"/>
      <c r="AT219" s="1306"/>
      <c r="AU219" s="1215"/>
      <c r="AV219" s="1215"/>
      <c r="AW219" s="1307"/>
      <c r="AX219" s="1215"/>
      <c r="AY219" s="1215"/>
      <c r="AZ219" s="1215"/>
      <c r="BA219" s="1306"/>
      <c r="BB219" s="1215"/>
      <c r="BC219" s="1215"/>
      <c r="BD219" s="1307"/>
      <c r="BE219" s="1215"/>
      <c r="BF219" s="1215"/>
      <c r="BG219" s="1215"/>
      <c r="BH219" s="1306"/>
      <c r="BI219" s="1215"/>
      <c r="BJ219" s="1215"/>
      <c r="BK219" s="1307">
        <f t="shared" ref="BK219:CR220" si="805">BK170*(1-BK196)</f>
        <v>40.5</v>
      </c>
      <c r="BL219" s="1215"/>
      <c r="BM219" s="1215"/>
      <c r="BN219" s="1215"/>
      <c r="BO219" s="1306"/>
      <c r="BP219" s="1215"/>
      <c r="BQ219" s="1215"/>
      <c r="BR219" s="1307">
        <f t="shared" si="805"/>
        <v>41.31</v>
      </c>
      <c r="BS219" s="1215"/>
      <c r="BT219" s="1215"/>
      <c r="BU219" s="1215"/>
      <c r="BV219" s="1306"/>
      <c r="BW219" s="1215"/>
      <c r="BX219" s="1215"/>
      <c r="BY219" s="1307">
        <f t="shared" si="805"/>
        <v>42.136200000000002</v>
      </c>
      <c r="BZ219" s="1215"/>
      <c r="CA219" s="1215"/>
      <c r="CB219" s="1215"/>
      <c r="CC219" s="1306"/>
      <c r="CD219" s="1215"/>
      <c r="CE219" s="1215"/>
      <c r="CF219" s="1307">
        <f t="shared" si="805"/>
        <v>34.383139200000009</v>
      </c>
      <c r="CG219" s="1215"/>
      <c r="CH219" s="1215"/>
      <c r="CI219" s="1215"/>
      <c r="CJ219" s="1306"/>
      <c r="CK219" s="1215"/>
      <c r="CL219" s="1215"/>
      <c r="CM219" s="1307">
        <f t="shared" si="805"/>
        <v>35.070801984000006</v>
      </c>
      <c r="CN219" s="1215">
        <f t="shared" si="805"/>
        <v>36.298280053440003</v>
      </c>
      <c r="CO219" s="1215">
        <f>(CR219*2)-CN219</f>
        <v>36.298280053440003</v>
      </c>
      <c r="CP219" s="1215">
        <f t="shared" ref="CP219" si="806">CP170*(1-CP196)</f>
        <v>36.298280053440003</v>
      </c>
      <c r="CQ219" s="1306">
        <f>(CS219*2)-CP219</f>
        <v>36.298280053440003</v>
      </c>
      <c r="CR219" s="1215">
        <f t="shared" si="805"/>
        <v>36.298280053440003</v>
      </c>
      <c r="CS219" s="1215">
        <f>(CT219*2)-CR219</f>
        <v>36.298280053440003</v>
      </c>
      <c r="CT219" s="1307">
        <f>CT170*(1-CT196)</f>
        <v>36.298280053440003</v>
      </c>
      <c r="CU219" s="1215">
        <f t="shared" ref="CU219:CW219" si="807">CU170*(1-CU196)</f>
        <v>37.205737054776002</v>
      </c>
      <c r="CV219" s="1215">
        <f>(CY219*2)-CU219</f>
        <v>37.205737054776002</v>
      </c>
      <c r="CW219" s="1215">
        <f t="shared" si="807"/>
        <v>37.205737054776002</v>
      </c>
      <c r="CX219" s="1306">
        <f>(CZ219*2)-CW219</f>
        <v>37.205737054776002</v>
      </c>
      <c r="CY219" s="1215">
        <f t="shared" ref="CY219" si="808">CY170*(1-CY196)</f>
        <v>37.205737054776002</v>
      </c>
      <c r="CZ219" s="1215">
        <f>(DA219*2)-CY219</f>
        <v>37.205737054776002</v>
      </c>
      <c r="DA219" s="1307">
        <f>DA170*(1-DA196)</f>
        <v>37.205737054776002</v>
      </c>
      <c r="DB219" s="1215">
        <f t="shared" ref="DB219:DD219" si="809">DB170*(1-DB196)</f>
        <v>38.135880481145399</v>
      </c>
      <c r="DC219" s="1215">
        <f>(DF219*2)-DB219</f>
        <v>38.135880481145399</v>
      </c>
      <c r="DD219" s="1215">
        <f t="shared" si="809"/>
        <v>38.135880481145399</v>
      </c>
      <c r="DE219" s="1306">
        <f>(DG219*2)-DD219</f>
        <v>38.135880481145399</v>
      </c>
      <c r="DF219" s="1215">
        <f t="shared" ref="DF219:DF220" si="810">DF170*(1-DF196)</f>
        <v>38.135880481145399</v>
      </c>
      <c r="DG219" s="1215">
        <f>(DH219*2)-DF219</f>
        <v>38.135880481145399</v>
      </c>
      <c r="DH219" s="1307">
        <f>DH170*(1-DH196)</f>
        <v>38.135880481145399</v>
      </c>
      <c r="DI219" s="1215">
        <f t="shared" ref="DI219:DM219" si="811">DI170*(1-DI196)</f>
        <v>39.089277493174031</v>
      </c>
      <c r="DJ219" s="1215">
        <f>(DM219*2)-DI219</f>
        <v>39.089277493174031</v>
      </c>
      <c r="DK219" s="610">
        <f t="shared" si="811"/>
        <v>39.089277493174031</v>
      </c>
      <c r="DL219" s="611">
        <f>(DN219*2)-DK219</f>
        <v>39.089277493174031</v>
      </c>
      <c r="DM219" s="1215">
        <f t="shared" si="811"/>
        <v>39.089277493174031</v>
      </c>
      <c r="DN219" s="610">
        <f>(DO219*2)-DM219</f>
        <v>39.089277493174031</v>
      </c>
      <c r="DO219" s="662">
        <f>DO170*(1-DO196)</f>
        <v>39.089277493174031</v>
      </c>
      <c r="DP219" s="610">
        <f t="shared" ref="DP219:DU219" si="812">DP170*(1-DP196)</f>
        <v>40.06650943050338</v>
      </c>
      <c r="DQ219" s="610">
        <f t="shared" si="812"/>
        <v>40.06650943050338</v>
      </c>
      <c r="DR219" s="610">
        <f t="shared" si="812"/>
        <v>40.06650943050338</v>
      </c>
      <c r="DS219" s="611">
        <f t="shared" si="812"/>
        <v>40.06650943050338</v>
      </c>
      <c r="DT219" s="610">
        <f t="shared" si="812"/>
        <v>40.06650943050338</v>
      </c>
      <c r="DU219" s="610">
        <f t="shared" si="812"/>
        <v>40.06650943050338</v>
      </c>
      <c r="DV219" s="662">
        <f>DV170*(1-DV196)</f>
        <v>40.06650943050338</v>
      </c>
      <c r="DW219" s="610">
        <f t="shared" ref="DW219:EB219" si="813">DW170*(1-DW196)</f>
        <v>41.06817216626596</v>
      </c>
      <c r="DX219" s="610">
        <f t="shared" si="813"/>
        <v>41.06817216626596</v>
      </c>
      <c r="DY219" s="610">
        <f t="shared" si="813"/>
        <v>41.06817216626596</v>
      </c>
      <c r="DZ219" s="611">
        <f t="shared" si="813"/>
        <v>41.06817216626596</v>
      </c>
      <c r="EA219" s="610">
        <f t="shared" si="813"/>
        <v>41.06817216626596</v>
      </c>
      <c r="EB219" s="610">
        <f t="shared" si="813"/>
        <v>41.06817216626596</v>
      </c>
      <c r="EC219" s="662">
        <f>EC170*(1-EC196)</f>
        <v>41.06817216626596</v>
      </c>
      <c r="ED219" s="610">
        <f t="shared" ref="ED219:EI219" si="814">ED170*(1-ED196)</f>
        <v>42.094876470422605</v>
      </c>
      <c r="EE219" s="610">
        <f t="shared" si="814"/>
        <v>42.094876470422605</v>
      </c>
      <c r="EF219" s="610">
        <f t="shared" si="814"/>
        <v>42.094876470422605</v>
      </c>
      <c r="EG219" s="611">
        <f t="shared" si="814"/>
        <v>42.094876470422605</v>
      </c>
      <c r="EH219" s="610">
        <f t="shared" si="814"/>
        <v>42.094876470422605</v>
      </c>
      <c r="EI219" s="610">
        <f t="shared" si="814"/>
        <v>42.094876470422605</v>
      </c>
      <c r="EJ219" s="662">
        <f>EJ170*(1-EJ196)</f>
        <v>42.094876470422605</v>
      </c>
      <c r="EK219" s="610">
        <f t="shared" ref="EK219:EP219" si="815">EK170*(1-EK196)</f>
        <v>43.147248382183164</v>
      </c>
      <c r="EL219" s="610">
        <f t="shared" si="815"/>
        <v>43.147248382183164</v>
      </c>
      <c r="EM219" s="610">
        <f t="shared" si="815"/>
        <v>43.147248382183164</v>
      </c>
      <c r="EN219" s="611">
        <f t="shared" si="815"/>
        <v>43.147248382183164</v>
      </c>
      <c r="EO219" s="610">
        <f t="shared" si="815"/>
        <v>43.147248382183164</v>
      </c>
      <c r="EP219" s="610">
        <f t="shared" si="815"/>
        <v>43.147248382183164</v>
      </c>
      <c r="EQ219" s="662">
        <f>EQ170*(1-EQ196)</f>
        <v>43.147248382183164</v>
      </c>
    </row>
    <row r="220" spans="1:147" ht="10.199999999999999" customHeight="1">
      <c r="A220" s="607" t="str">
        <f t="shared" si="804"/>
        <v>A220-300</v>
      </c>
      <c r="B220" s="608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1215"/>
      <c r="P220" s="1215"/>
      <c r="Q220" s="1215"/>
      <c r="R220" s="1306"/>
      <c r="S220" s="1215"/>
      <c r="T220" s="1215"/>
      <c r="U220" s="1307"/>
      <c r="V220" s="1215"/>
      <c r="W220" s="1215"/>
      <c r="X220" s="1215"/>
      <c r="Y220" s="1306"/>
      <c r="Z220" s="1215"/>
      <c r="AA220" s="1215"/>
      <c r="AB220" s="1307"/>
      <c r="AC220" s="1215"/>
      <c r="AD220" s="1215"/>
      <c r="AE220" s="1215"/>
      <c r="AF220" s="1306"/>
      <c r="AG220" s="1215"/>
      <c r="AH220" s="1215"/>
      <c r="AI220" s="1307"/>
      <c r="AJ220" s="1215"/>
      <c r="AK220" s="1215"/>
      <c r="AL220" s="1215"/>
      <c r="AM220" s="1306"/>
      <c r="AN220" s="1215"/>
      <c r="AO220" s="1215"/>
      <c r="AP220" s="1307"/>
      <c r="AQ220" s="1215"/>
      <c r="AR220" s="1215"/>
      <c r="AS220" s="1215"/>
      <c r="AT220" s="1306"/>
      <c r="AU220" s="1215"/>
      <c r="AV220" s="1215"/>
      <c r="AW220" s="1307"/>
      <c r="AX220" s="1215"/>
      <c r="AY220" s="1215"/>
      <c r="AZ220" s="1215"/>
      <c r="BA220" s="1306"/>
      <c r="BB220" s="1215"/>
      <c r="BC220" s="1215"/>
      <c r="BD220" s="1307"/>
      <c r="BE220" s="1215"/>
      <c r="BF220" s="1215"/>
      <c r="BG220" s="1215"/>
      <c r="BH220" s="1306"/>
      <c r="BI220" s="1215"/>
      <c r="BJ220" s="1215"/>
      <c r="BK220" s="1307">
        <f t="shared" si="805"/>
        <v>45.75</v>
      </c>
      <c r="BL220" s="1215"/>
      <c r="BM220" s="1215"/>
      <c r="BN220" s="1215"/>
      <c r="BO220" s="1306"/>
      <c r="BP220" s="1215"/>
      <c r="BQ220" s="1215"/>
      <c r="BR220" s="1307">
        <f t="shared" si="805"/>
        <v>46.664999999999999</v>
      </c>
      <c r="BS220" s="1215"/>
      <c r="BT220" s="1215"/>
      <c r="BU220" s="1215"/>
      <c r="BV220" s="1306"/>
      <c r="BW220" s="1215"/>
      <c r="BX220" s="1215"/>
      <c r="BY220" s="1307">
        <f t="shared" si="805"/>
        <v>47.598300000000002</v>
      </c>
      <c r="BZ220" s="1215"/>
      <c r="CA220" s="1215"/>
      <c r="CB220" s="1215"/>
      <c r="CC220" s="1306"/>
      <c r="CD220" s="1215"/>
      <c r="CE220" s="1215"/>
      <c r="CF220" s="1307">
        <f t="shared" si="805"/>
        <v>38.840212800000003</v>
      </c>
      <c r="CG220" s="1215"/>
      <c r="CH220" s="1215"/>
      <c r="CI220" s="1215"/>
      <c r="CJ220" s="1306"/>
      <c r="CK220" s="1215"/>
      <c r="CL220" s="1215"/>
      <c r="CM220" s="1307">
        <f t="shared" si="805"/>
        <v>39.617017056000009</v>
      </c>
      <c r="CN220" s="1215">
        <f t="shared" si="805"/>
        <v>41.003612652960001</v>
      </c>
      <c r="CO220" s="1215">
        <f t="shared" ref="CO220:CO238" si="816">(CR220*2)-CN220</f>
        <v>41.003612652960001</v>
      </c>
      <c r="CP220" s="1215">
        <f t="shared" ref="CP220" si="817">CP171*(1-CP197)</f>
        <v>41.003612652960001</v>
      </c>
      <c r="CQ220" s="1306">
        <f t="shared" ref="CQ220:CQ238" si="818">(CS220*2)-CP220</f>
        <v>41.003612652960001</v>
      </c>
      <c r="CR220" s="1215">
        <f t="shared" si="805"/>
        <v>41.003612652960001</v>
      </c>
      <c r="CS220" s="1215">
        <f t="shared" ref="CS220:CS238" si="819">(CT220*2)-CR220</f>
        <v>41.003612652960001</v>
      </c>
      <c r="CT220" s="1307">
        <f t="shared" ref="CT220:CW220" si="820">CT171*(1-CT197)</f>
        <v>41.003612652960001</v>
      </c>
      <c r="CU220" s="1215">
        <f t="shared" si="820"/>
        <v>42.028702969283998</v>
      </c>
      <c r="CV220" s="1215">
        <f t="shared" ref="CV220:CV238" si="821">(CY220*2)-CU220</f>
        <v>42.028702969283998</v>
      </c>
      <c r="CW220" s="1215">
        <f t="shared" si="820"/>
        <v>42.028702969283998</v>
      </c>
      <c r="CX220" s="1306">
        <f t="shared" ref="CX220:CX238" si="822">(CZ220*2)-CW220</f>
        <v>42.028702969283998</v>
      </c>
      <c r="CY220" s="1215">
        <f t="shared" ref="CY220" si="823">CY171*(1-CY197)</f>
        <v>42.028702969283998</v>
      </c>
      <c r="CZ220" s="1215">
        <f t="shared" ref="CZ220:CZ238" si="824">(DA220*2)-CY220</f>
        <v>42.028702969283998</v>
      </c>
      <c r="DA220" s="1307">
        <f t="shared" ref="DA220:EQ220" si="825">DA171*(1-DA197)</f>
        <v>42.028702969283998</v>
      </c>
      <c r="DB220" s="1215">
        <f t="shared" si="825"/>
        <v>43.079420543516093</v>
      </c>
      <c r="DC220" s="1215">
        <f t="shared" ref="DC220:DC238" si="826">(DF220*2)-DB220</f>
        <v>43.079420543516093</v>
      </c>
      <c r="DD220" s="1215">
        <f t="shared" si="825"/>
        <v>43.079420543516093</v>
      </c>
      <c r="DE220" s="1306">
        <f t="shared" ref="DE220:DE238" si="827">(DG220*2)-DD220</f>
        <v>43.079420543516093</v>
      </c>
      <c r="DF220" s="1215">
        <f t="shared" si="810"/>
        <v>43.079420543516093</v>
      </c>
      <c r="DG220" s="1215">
        <f t="shared" ref="DG220:DG238" si="828">(DH220*2)-DF220</f>
        <v>43.079420543516093</v>
      </c>
      <c r="DH220" s="1307">
        <f t="shared" si="825"/>
        <v>43.079420543516093</v>
      </c>
      <c r="DI220" s="1215">
        <f t="shared" si="825"/>
        <v>44.156406057103993</v>
      </c>
      <c r="DJ220" s="1215">
        <f t="shared" ref="DJ220:DJ238" si="829">(DM220*2)-DI220</f>
        <v>44.156406057103993</v>
      </c>
      <c r="DK220" s="610">
        <f t="shared" si="825"/>
        <v>44.156406057103993</v>
      </c>
      <c r="DL220" s="611">
        <f t="shared" ref="DL220:DL238" si="830">(DN220*2)-DK220</f>
        <v>44.156406057103993</v>
      </c>
      <c r="DM220" s="1215">
        <f t="shared" si="825"/>
        <v>44.156406057103993</v>
      </c>
      <c r="DN220" s="610">
        <f t="shared" ref="DN220:DN238" si="831">(DO220*2)-DM220</f>
        <v>44.156406057103993</v>
      </c>
      <c r="DO220" s="662">
        <f t="shared" si="825"/>
        <v>44.156406057103993</v>
      </c>
      <c r="DP220" s="610">
        <f t="shared" si="825"/>
        <v>45.260316208531584</v>
      </c>
      <c r="DQ220" s="610">
        <f t="shared" si="825"/>
        <v>45.260316208531584</v>
      </c>
      <c r="DR220" s="610">
        <f t="shared" si="825"/>
        <v>45.260316208531584</v>
      </c>
      <c r="DS220" s="611">
        <f t="shared" si="825"/>
        <v>45.260316208531584</v>
      </c>
      <c r="DT220" s="610">
        <f t="shared" si="825"/>
        <v>45.260316208531584</v>
      </c>
      <c r="DU220" s="610">
        <f t="shared" si="825"/>
        <v>45.260316208531584</v>
      </c>
      <c r="DV220" s="662">
        <f t="shared" si="825"/>
        <v>45.260316208531584</v>
      </c>
      <c r="DW220" s="610">
        <f t="shared" si="825"/>
        <v>46.391824113744867</v>
      </c>
      <c r="DX220" s="610">
        <f t="shared" si="825"/>
        <v>46.391824113744867</v>
      </c>
      <c r="DY220" s="610">
        <f t="shared" si="825"/>
        <v>46.391824113744867</v>
      </c>
      <c r="DZ220" s="611">
        <f t="shared" si="825"/>
        <v>46.391824113744867</v>
      </c>
      <c r="EA220" s="610">
        <f t="shared" si="825"/>
        <v>46.391824113744867</v>
      </c>
      <c r="EB220" s="610">
        <f t="shared" si="825"/>
        <v>46.391824113744867</v>
      </c>
      <c r="EC220" s="662">
        <f t="shared" si="825"/>
        <v>46.391824113744867</v>
      </c>
      <c r="ED220" s="610">
        <f t="shared" si="825"/>
        <v>47.551619716588483</v>
      </c>
      <c r="EE220" s="610">
        <f t="shared" si="825"/>
        <v>47.551619716588483</v>
      </c>
      <c r="EF220" s="610">
        <f t="shared" si="825"/>
        <v>47.551619716588483</v>
      </c>
      <c r="EG220" s="611">
        <f t="shared" si="825"/>
        <v>47.551619716588483</v>
      </c>
      <c r="EH220" s="610">
        <f t="shared" si="825"/>
        <v>47.551619716588483</v>
      </c>
      <c r="EI220" s="610">
        <f t="shared" si="825"/>
        <v>47.551619716588483</v>
      </c>
      <c r="EJ220" s="662">
        <f t="shared" si="825"/>
        <v>47.551619716588483</v>
      </c>
      <c r="EK220" s="610">
        <f t="shared" si="825"/>
        <v>48.740410209503189</v>
      </c>
      <c r="EL220" s="610">
        <f t="shared" si="825"/>
        <v>48.740410209503189</v>
      </c>
      <c r="EM220" s="610">
        <f t="shared" si="825"/>
        <v>48.740410209503189</v>
      </c>
      <c r="EN220" s="611">
        <f t="shared" si="825"/>
        <v>48.740410209503189</v>
      </c>
      <c r="EO220" s="610">
        <f t="shared" si="825"/>
        <v>48.740410209503189</v>
      </c>
      <c r="EP220" s="610">
        <f t="shared" si="825"/>
        <v>48.740410209503189</v>
      </c>
      <c r="EQ220" s="662">
        <f t="shared" si="825"/>
        <v>48.740410209503189</v>
      </c>
    </row>
    <row r="221" spans="1:147" ht="10.199999999999999" hidden="1" customHeight="1" outlineLevel="1">
      <c r="A221" s="607" t="str">
        <f t="shared" si="804"/>
        <v>A300</v>
      </c>
      <c r="B221" s="608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1215"/>
      <c r="P221" s="610"/>
      <c r="Q221" s="1215"/>
      <c r="R221" s="1306"/>
      <c r="S221" s="1215"/>
      <c r="T221" s="1215"/>
      <c r="U221" s="1307"/>
      <c r="V221" s="1215"/>
      <c r="W221" s="610"/>
      <c r="X221" s="1215"/>
      <c r="Y221" s="1306"/>
      <c r="Z221" s="1215"/>
      <c r="AA221" s="1215"/>
      <c r="AB221" s="1307"/>
      <c r="AC221" s="1215"/>
      <c r="AD221" s="610"/>
      <c r="AE221" s="1215"/>
      <c r="AF221" s="1306"/>
      <c r="AG221" s="1215"/>
      <c r="AH221" s="1215"/>
      <c r="AI221" s="1307"/>
      <c r="AJ221" s="1215"/>
      <c r="AK221" s="610"/>
      <c r="AL221" s="1215"/>
      <c r="AM221" s="1306"/>
      <c r="AN221" s="1215"/>
      <c r="AO221" s="1215"/>
      <c r="AP221" s="1307"/>
      <c r="AQ221" s="1215"/>
      <c r="AR221" s="610"/>
      <c r="AS221" s="1215"/>
      <c r="AT221" s="1306"/>
      <c r="AU221" s="1215"/>
      <c r="AV221" s="1215"/>
      <c r="AW221" s="1307"/>
      <c r="AX221" s="1215"/>
      <c r="AY221" s="610"/>
      <c r="AZ221" s="1215"/>
      <c r="BA221" s="1306"/>
      <c r="BB221" s="1215"/>
      <c r="BC221" s="1215"/>
      <c r="BD221" s="1307"/>
      <c r="BE221" s="1215"/>
      <c r="BF221" s="610"/>
      <c r="BG221" s="1215"/>
      <c r="BH221" s="1306"/>
      <c r="BI221" s="1215"/>
      <c r="BJ221" s="1215"/>
      <c r="BK221" s="1307"/>
      <c r="BL221" s="1215"/>
      <c r="BM221" s="610"/>
      <c r="BN221" s="1215"/>
      <c r="BO221" s="1306"/>
      <c r="BP221" s="1215"/>
      <c r="BQ221" s="1215"/>
      <c r="BR221" s="1307"/>
      <c r="BS221" s="1215"/>
      <c r="BT221" s="610"/>
      <c r="BU221" s="1215"/>
      <c r="BV221" s="1306"/>
      <c r="BW221" s="1215"/>
      <c r="BX221" s="1215"/>
      <c r="BY221" s="1307"/>
      <c r="BZ221" s="1215"/>
      <c r="CA221" s="610"/>
      <c r="CB221" s="1215"/>
      <c r="CC221" s="1306"/>
      <c r="CD221" s="1215"/>
      <c r="CE221" s="1215"/>
      <c r="CF221" s="1307"/>
      <c r="CG221" s="1215"/>
      <c r="CH221" s="610"/>
      <c r="CI221" s="1215"/>
      <c r="CJ221" s="1306"/>
      <c r="CK221" s="1215"/>
      <c r="CL221" s="1215"/>
      <c r="CM221" s="1307"/>
      <c r="CN221" s="1215"/>
      <c r="CO221" s="610">
        <f t="shared" si="816"/>
        <v>0</v>
      </c>
      <c r="CP221" s="1215"/>
      <c r="CQ221" s="1306">
        <f t="shared" si="818"/>
        <v>0</v>
      </c>
      <c r="CR221" s="1215"/>
      <c r="CS221" s="1215">
        <f t="shared" si="819"/>
        <v>0</v>
      </c>
      <c r="CT221" s="1307"/>
      <c r="CU221" s="1215"/>
      <c r="CV221" s="1215"/>
      <c r="CW221" s="1215"/>
      <c r="CX221" s="1306">
        <f t="shared" si="822"/>
        <v>0</v>
      </c>
      <c r="CY221" s="1215"/>
      <c r="CZ221" s="1215">
        <f t="shared" si="824"/>
        <v>0</v>
      </c>
      <c r="DA221" s="1307"/>
      <c r="DB221" s="1215"/>
      <c r="DC221" s="1215"/>
      <c r="DD221" s="1215"/>
      <c r="DE221" s="1306">
        <f t="shared" si="827"/>
        <v>0</v>
      </c>
      <c r="DF221" s="1215"/>
      <c r="DG221" s="1215">
        <f t="shared" si="828"/>
        <v>0</v>
      </c>
      <c r="DH221" s="1307"/>
      <c r="DI221" s="1215"/>
      <c r="DJ221" s="1215"/>
      <c r="DK221" s="610"/>
      <c r="DL221" s="611">
        <f t="shared" si="830"/>
        <v>0</v>
      </c>
      <c r="DM221" s="1215"/>
      <c r="DN221" s="610">
        <f t="shared" si="831"/>
        <v>0</v>
      </c>
      <c r="DO221" s="662"/>
      <c r="DP221" s="610"/>
      <c r="DQ221" s="610"/>
      <c r="DR221" s="610"/>
      <c r="DS221" s="611"/>
      <c r="DT221" s="610"/>
      <c r="DU221" s="610"/>
      <c r="DV221" s="662"/>
      <c r="DW221" s="610"/>
      <c r="DX221" s="610"/>
      <c r="DY221" s="610"/>
      <c r="DZ221" s="611"/>
      <c r="EA221" s="610"/>
      <c r="EB221" s="610"/>
      <c r="EC221" s="662"/>
      <c r="ED221" s="610"/>
      <c r="EE221" s="610"/>
      <c r="EF221" s="610"/>
      <c r="EG221" s="611"/>
      <c r="EH221" s="610"/>
      <c r="EI221" s="610"/>
      <c r="EJ221" s="662"/>
      <c r="EK221" s="610"/>
      <c r="EL221" s="610"/>
      <c r="EM221" s="610"/>
      <c r="EN221" s="611"/>
      <c r="EO221" s="610"/>
      <c r="EP221" s="610"/>
      <c r="EQ221" s="662"/>
    </row>
    <row r="222" spans="1:147" ht="10.199999999999999" hidden="1" customHeight="1" outlineLevel="1" collapsed="1">
      <c r="A222" s="607" t="str">
        <f t="shared" si="804"/>
        <v>A318ceo</v>
      </c>
      <c r="B222" s="608"/>
      <c r="C222" s="609">
        <f t="shared" ref="C222:BD222" si="832">C173*(1-C199)</f>
        <v>33.566726480309981</v>
      </c>
      <c r="D222" s="609">
        <f t="shared" si="832"/>
        <v>34.507025164405846</v>
      </c>
      <c r="E222" s="609">
        <f t="shared" si="832"/>
        <v>34.581280788177345</v>
      </c>
      <c r="F222" s="609">
        <f t="shared" si="832"/>
        <v>33.806249999999999</v>
      </c>
      <c r="G222" s="609">
        <f t="shared" si="832"/>
        <v>34.541718749999994</v>
      </c>
      <c r="H222" s="609">
        <f t="shared" si="832"/>
        <v>35.256875062499986</v>
      </c>
      <c r="I222" s="609">
        <f t="shared" si="832"/>
        <v>36.703310962499991</v>
      </c>
      <c r="J222" s="609">
        <f t="shared" si="832"/>
        <v>37.253860626937481</v>
      </c>
      <c r="K222" s="609">
        <f t="shared" si="832"/>
        <v>37.327890734593574</v>
      </c>
      <c r="L222" s="609">
        <f t="shared" si="832"/>
        <v>40.625</v>
      </c>
      <c r="M222" s="609">
        <f t="shared" si="832"/>
        <v>41.728000000000002</v>
      </c>
      <c r="N222" s="609">
        <f t="shared" si="832"/>
        <v>32.157499999999999</v>
      </c>
      <c r="O222" s="1215"/>
      <c r="P222" s="1215"/>
      <c r="Q222" s="1215"/>
      <c r="R222" s="1306"/>
      <c r="S222" s="1215"/>
      <c r="T222" s="1215"/>
      <c r="U222" s="1307">
        <f t="shared" si="832"/>
        <v>32.596499999999992</v>
      </c>
      <c r="V222" s="1215"/>
      <c r="W222" s="1215"/>
      <c r="X222" s="1215"/>
      <c r="Y222" s="1306"/>
      <c r="Z222" s="1215"/>
      <c r="AA222" s="1215"/>
      <c r="AB222" s="1307">
        <f t="shared" si="832"/>
        <v>45.668161492849677</v>
      </c>
      <c r="AC222" s="1215"/>
      <c r="AD222" s="1215"/>
      <c r="AE222" s="1215"/>
      <c r="AF222" s="1306"/>
      <c r="AG222" s="1215"/>
      <c r="AH222" s="1215"/>
      <c r="AI222" s="1307">
        <f t="shared" si="832"/>
        <v>44.454169218316245</v>
      </c>
      <c r="AJ222" s="1215"/>
      <c r="AK222" s="1215"/>
      <c r="AL222" s="1215"/>
      <c r="AM222" s="1306"/>
      <c r="AN222" s="1215"/>
      <c r="AO222" s="1215"/>
      <c r="AP222" s="1307">
        <f t="shared" si="832"/>
        <v>42.524455710849082</v>
      </c>
      <c r="AQ222" s="1215"/>
      <c r="AR222" s="1215"/>
      <c r="AS222" s="1215"/>
      <c r="AT222" s="1306"/>
      <c r="AU222" s="1215"/>
      <c r="AV222" s="1215"/>
      <c r="AW222" s="1307">
        <f t="shared" si="832"/>
        <v>42.954716916326532</v>
      </c>
      <c r="AX222" s="1215"/>
      <c r="AY222" s="1215"/>
      <c r="AZ222" s="1215"/>
      <c r="BA222" s="1306"/>
      <c r="BB222" s="1215"/>
      <c r="BC222" s="1215"/>
      <c r="BD222" s="1307">
        <f t="shared" si="832"/>
        <v>33.369302467998232</v>
      </c>
      <c r="BE222" s="1215"/>
      <c r="BF222" s="1215"/>
      <c r="BG222" s="1215"/>
      <c r="BH222" s="1306"/>
      <c r="BI222" s="1215"/>
      <c r="BJ222" s="1215"/>
      <c r="BK222" s="1307">
        <f t="shared" ref="BK222:CR232" si="833">BK173*(1-BK199)</f>
        <v>34.83</v>
      </c>
      <c r="BL222" s="1215"/>
      <c r="BM222" s="1215"/>
      <c r="BN222" s="1215"/>
      <c r="BO222" s="1306"/>
      <c r="BP222" s="1215"/>
      <c r="BQ222" s="1215"/>
      <c r="BR222" s="1307">
        <f t="shared" si="833"/>
        <v>35.526600000000002</v>
      </c>
      <c r="BS222" s="1215"/>
      <c r="BT222" s="1215"/>
      <c r="BU222" s="1215"/>
      <c r="BV222" s="1306"/>
      <c r="BW222" s="1215"/>
      <c r="BX222" s="1215"/>
      <c r="BY222" s="1307">
        <f t="shared" si="833"/>
        <v>32.210784000000004</v>
      </c>
      <c r="BZ222" s="1215"/>
      <c r="CA222" s="1215"/>
      <c r="CB222" s="1215"/>
      <c r="CC222" s="1306"/>
      <c r="CD222" s="1215"/>
      <c r="CE222" s="1215"/>
      <c r="CF222" s="1307">
        <f t="shared" si="833"/>
        <v>32.854999680000006</v>
      </c>
      <c r="CG222" s="1215"/>
      <c r="CH222" s="1215"/>
      <c r="CI222" s="1215"/>
      <c r="CJ222" s="1306"/>
      <c r="CK222" s="1215"/>
      <c r="CL222" s="1215"/>
      <c r="CM222" s="1307">
        <f t="shared" si="833"/>
        <v>29.323087214400001</v>
      </c>
      <c r="CN222" s="1215">
        <f t="shared" si="833"/>
        <v>86.712557905440008</v>
      </c>
      <c r="CO222" s="1215">
        <f t="shared" si="816"/>
        <v>86.712557905440008</v>
      </c>
      <c r="CP222" s="1215">
        <f t="shared" ref="CP222" si="834">CP173*(1-CP199)</f>
        <v>86.712557905440008</v>
      </c>
      <c r="CQ222" s="1306">
        <f t="shared" si="818"/>
        <v>86.712557905440008</v>
      </c>
      <c r="CR222" s="1215">
        <f t="shared" si="833"/>
        <v>86.712557905440008</v>
      </c>
      <c r="CS222" s="1215">
        <f t="shared" si="819"/>
        <v>86.712557905440008</v>
      </c>
      <c r="CT222" s="1307">
        <f t="shared" ref="CT222:CW222" si="835">CT173*(1-CT199)</f>
        <v>86.712557905440008</v>
      </c>
      <c r="CU222" s="1215">
        <f t="shared" si="835"/>
        <v>88.880371853075999</v>
      </c>
      <c r="CV222" s="1215">
        <f t="shared" si="821"/>
        <v>88.880371853075999</v>
      </c>
      <c r="CW222" s="1215">
        <f t="shared" si="835"/>
        <v>88.880371853075999</v>
      </c>
      <c r="CX222" s="1306">
        <f t="shared" si="822"/>
        <v>88.880371853075999</v>
      </c>
      <c r="CY222" s="1215">
        <f t="shared" ref="CY222" si="836">CY173*(1-CY199)</f>
        <v>88.880371853075999</v>
      </c>
      <c r="CZ222" s="1215">
        <f t="shared" si="824"/>
        <v>88.880371853075999</v>
      </c>
      <c r="DA222" s="1307">
        <f t="shared" ref="DA222:EQ222" si="837">DA173*(1-DA199)</f>
        <v>88.880371853075999</v>
      </c>
      <c r="DB222" s="1215">
        <f t="shared" si="837"/>
        <v>91.102381149402888</v>
      </c>
      <c r="DC222" s="1215">
        <f t="shared" si="826"/>
        <v>91.102381149402888</v>
      </c>
      <c r="DD222" s="1215">
        <f t="shared" si="837"/>
        <v>91.102381149402888</v>
      </c>
      <c r="DE222" s="1306">
        <f t="shared" si="827"/>
        <v>91.102381149402888</v>
      </c>
      <c r="DF222" s="1215">
        <f t="shared" ref="DF222:DF226" si="838">DF173*(1-DF199)</f>
        <v>91.102381149402888</v>
      </c>
      <c r="DG222" s="1215">
        <f t="shared" si="828"/>
        <v>91.102381149402888</v>
      </c>
      <c r="DH222" s="1307">
        <f t="shared" si="837"/>
        <v>91.102381149402888</v>
      </c>
      <c r="DI222" s="1215">
        <f t="shared" si="837"/>
        <v>93.379940678137956</v>
      </c>
      <c r="DJ222" s="1215">
        <f t="shared" si="829"/>
        <v>93.379940678137956</v>
      </c>
      <c r="DK222" s="610">
        <f t="shared" si="837"/>
        <v>93.379940678137956</v>
      </c>
      <c r="DL222" s="611">
        <f t="shared" si="830"/>
        <v>93.379940678137956</v>
      </c>
      <c r="DM222" s="1215">
        <f t="shared" si="837"/>
        <v>93.379940678137956</v>
      </c>
      <c r="DN222" s="610">
        <f t="shared" si="831"/>
        <v>93.379940678137956</v>
      </c>
      <c r="DO222" s="662">
        <f t="shared" si="837"/>
        <v>93.379940678137956</v>
      </c>
      <c r="DP222" s="610">
        <f t="shared" si="837"/>
        <v>95.714439195091401</v>
      </c>
      <c r="DQ222" s="610">
        <f t="shared" si="837"/>
        <v>95.714439195091401</v>
      </c>
      <c r="DR222" s="610">
        <f t="shared" si="837"/>
        <v>95.714439195091401</v>
      </c>
      <c r="DS222" s="611">
        <f t="shared" si="837"/>
        <v>95.714439195091401</v>
      </c>
      <c r="DT222" s="610">
        <f t="shared" si="837"/>
        <v>95.714439195091401</v>
      </c>
      <c r="DU222" s="610">
        <f t="shared" si="837"/>
        <v>95.714439195091401</v>
      </c>
      <c r="DV222" s="662">
        <f t="shared" si="837"/>
        <v>95.714439195091401</v>
      </c>
      <c r="DW222" s="610">
        <f t="shared" si="837"/>
        <v>98.107300174968671</v>
      </c>
      <c r="DX222" s="610">
        <f t="shared" si="837"/>
        <v>98.107300174968671</v>
      </c>
      <c r="DY222" s="610">
        <f t="shared" si="837"/>
        <v>98.107300174968671</v>
      </c>
      <c r="DZ222" s="611">
        <f t="shared" si="837"/>
        <v>98.107300174968671</v>
      </c>
      <c r="EA222" s="610">
        <f t="shared" si="837"/>
        <v>98.107300174968671</v>
      </c>
      <c r="EB222" s="610">
        <f t="shared" si="837"/>
        <v>98.107300174968671</v>
      </c>
      <c r="EC222" s="662">
        <f t="shared" si="837"/>
        <v>98.107300174968671</v>
      </c>
      <c r="ED222" s="610">
        <f t="shared" si="837"/>
        <v>100.55998267934288</v>
      </c>
      <c r="EE222" s="610">
        <f t="shared" si="837"/>
        <v>100.55998267934288</v>
      </c>
      <c r="EF222" s="610">
        <f t="shared" si="837"/>
        <v>100.55998267934288</v>
      </c>
      <c r="EG222" s="611">
        <f t="shared" si="837"/>
        <v>100.55998267934288</v>
      </c>
      <c r="EH222" s="610">
        <f t="shared" si="837"/>
        <v>100.55998267934288</v>
      </c>
      <c r="EI222" s="610">
        <f t="shared" si="837"/>
        <v>100.55998267934288</v>
      </c>
      <c r="EJ222" s="662">
        <f t="shared" si="837"/>
        <v>100.55998267934288</v>
      </c>
      <c r="EK222" s="610">
        <f t="shared" si="837"/>
        <v>103.07398224632644</v>
      </c>
      <c r="EL222" s="610">
        <f t="shared" si="837"/>
        <v>103.07398224632644</v>
      </c>
      <c r="EM222" s="610">
        <f t="shared" si="837"/>
        <v>103.07398224632644</v>
      </c>
      <c r="EN222" s="611">
        <f t="shared" si="837"/>
        <v>103.07398224632644</v>
      </c>
      <c r="EO222" s="610">
        <f t="shared" si="837"/>
        <v>103.07398224632644</v>
      </c>
      <c r="EP222" s="610">
        <f t="shared" si="837"/>
        <v>103.07398224632644</v>
      </c>
      <c r="EQ222" s="662">
        <f t="shared" si="837"/>
        <v>103.07398224632644</v>
      </c>
    </row>
    <row r="223" spans="1:147" ht="10.199999999999999" hidden="1" customHeight="1" outlineLevel="1">
      <c r="A223" s="607" t="str">
        <f t="shared" si="804"/>
        <v>A319ceo</v>
      </c>
      <c r="B223" s="608"/>
      <c r="C223" s="609">
        <f t="shared" ref="C223:BD223" si="839">C174*(1-C200)</f>
        <v>37.296362755899978</v>
      </c>
      <c r="D223" s="609">
        <f t="shared" si="839"/>
        <v>38.341139071562047</v>
      </c>
      <c r="E223" s="609">
        <f t="shared" si="839"/>
        <v>38.423645320197053</v>
      </c>
      <c r="F223" s="609">
        <f t="shared" si="839"/>
        <v>37.5625</v>
      </c>
      <c r="G223" s="609">
        <f t="shared" si="839"/>
        <v>38.379687499999996</v>
      </c>
      <c r="H223" s="609">
        <f t="shared" si="839"/>
        <v>39.174305624999988</v>
      </c>
      <c r="I223" s="609">
        <f t="shared" si="839"/>
        <v>40.78145662499999</v>
      </c>
      <c r="J223" s="609">
        <f t="shared" si="839"/>
        <v>41.393178474374984</v>
      </c>
      <c r="K223" s="609">
        <f t="shared" si="839"/>
        <v>41.47543414954842</v>
      </c>
      <c r="L223" s="609">
        <f t="shared" si="839"/>
        <v>48.360000000000007</v>
      </c>
      <c r="M223" s="609">
        <f t="shared" si="839"/>
        <v>49.728000000000002</v>
      </c>
      <c r="N223" s="609">
        <f t="shared" si="839"/>
        <v>38.332499999999996</v>
      </c>
      <c r="O223" s="1215"/>
      <c r="P223" s="1215"/>
      <c r="Q223" s="1215"/>
      <c r="R223" s="1306"/>
      <c r="S223" s="1215"/>
      <c r="T223" s="1215"/>
      <c r="U223" s="1307">
        <f t="shared" si="839"/>
        <v>38.873999999999995</v>
      </c>
      <c r="V223" s="1215"/>
      <c r="W223" s="1215"/>
      <c r="X223" s="1215"/>
      <c r="Y223" s="1306"/>
      <c r="Z223" s="1215"/>
      <c r="AA223" s="1215"/>
      <c r="AB223" s="1307">
        <f t="shared" si="839"/>
        <v>54.496915940006986</v>
      </c>
      <c r="AC223" s="1215"/>
      <c r="AD223" s="1215"/>
      <c r="AE223" s="1215"/>
      <c r="AF223" s="1306"/>
      <c r="AG223" s="1215"/>
      <c r="AH223" s="1215"/>
      <c r="AI223" s="1307">
        <f t="shared" si="839"/>
        <v>53.009951450105241</v>
      </c>
      <c r="AJ223" s="1215"/>
      <c r="AK223" s="1215"/>
      <c r="AL223" s="1215"/>
      <c r="AM223" s="1306"/>
      <c r="AN223" s="1215"/>
      <c r="AO223" s="1215"/>
      <c r="AP223" s="1307">
        <f t="shared" si="839"/>
        <v>50.734903218270013</v>
      </c>
      <c r="AQ223" s="1215"/>
      <c r="AR223" s="1215"/>
      <c r="AS223" s="1215"/>
      <c r="AT223" s="1306"/>
      <c r="AU223" s="1215"/>
      <c r="AV223" s="1215"/>
      <c r="AW223" s="1307">
        <f t="shared" si="839"/>
        <v>51.21741608600199</v>
      </c>
      <c r="AX223" s="1215"/>
      <c r="AY223" s="1215"/>
      <c r="AZ223" s="1215"/>
      <c r="BA223" s="1306"/>
      <c r="BB223" s="1215"/>
      <c r="BC223" s="1215"/>
      <c r="BD223" s="1307">
        <f t="shared" si="839"/>
        <v>39.788166974358894</v>
      </c>
      <c r="BE223" s="1215"/>
      <c r="BF223" s="1215"/>
      <c r="BG223" s="1215"/>
      <c r="BH223" s="1306"/>
      <c r="BI223" s="1215"/>
      <c r="BJ223" s="1215"/>
      <c r="BK223" s="1307">
        <f t="shared" si="833"/>
        <v>41.534999999999997</v>
      </c>
      <c r="BL223" s="1215"/>
      <c r="BM223" s="1215"/>
      <c r="BN223" s="1215"/>
      <c r="BO223" s="1306"/>
      <c r="BP223" s="1215"/>
      <c r="BQ223" s="1215"/>
      <c r="BR223" s="1307">
        <f t="shared" si="833"/>
        <v>42.365699999999997</v>
      </c>
      <c r="BS223" s="1215"/>
      <c r="BT223" s="1215"/>
      <c r="BU223" s="1215"/>
      <c r="BV223" s="1306"/>
      <c r="BW223" s="1215"/>
      <c r="BX223" s="1215"/>
      <c r="BY223" s="1307">
        <f t="shared" si="833"/>
        <v>38.411568000000003</v>
      </c>
      <c r="BZ223" s="1215"/>
      <c r="CA223" s="1215"/>
      <c r="CB223" s="1215"/>
      <c r="CC223" s="1306"/>
      <c r="CD223" s="1215"/>
      <c r="CE223" s="1215"/>
      <c r="CF223" s="1307">
        <f t="shared" si="833"/>
        <v>39.179799360000004</v>
      </c>
      <c r="CG223" s="1215"/>
      <c r="CH223" s="1215"/>
      <c r="CI223" s="1215"/>
      <c r="CJ223" s="1306"/>
      <c r="CK223" s="1215"/>
      <c r="CL223" s="1215"/>
      <c r="CM223" s="1307">
        <f t="shared" si="833"/>
        <v>34.967970928799993</v>
      </c>
      <c r="CN223" s="1215">
        <f t="shared" si="833"/>
        <v>103.40528546087998</v>
      </c>
      <c r="CO223" s="1215">
        <f t="shared" si="816"/>
        <v>103.40528546087998</v>
      </c>
      <c r="CP223" s="1215">
        <f t="shared" ref="CP223" si="840">CP174*(1-CP200)</f>
        <v>103.40528546087998</v>
      </c>
      <c r="CQ223" s="1306">
        <f t="shared" si="818"/>
        <v>103.40528546087998</v>
      </c>
      <c r="CR223" s="1215">
        <f t="shared" si="833"/>
        <v>103.40528546087998</v>
      </c>
      <c r="CS223" s="1215">
        <f t="shared" si="819"/>
        <v>103.40528546087998</v>
      </c>
      <c r="CT223" s="1307">
        <f t="shared" ref="CT223:CW223" si="841">CT174*(1-CT200)</f>
        <v>103.40528546087998</v>
      </c>
      <c r="CU223" s="1215">
        <f t="shared" si="841"/>
        <v>105.99041759740197</v>
      </c>
      <c r="CV223" s="1215">
        <f t="shared" si="821"/>
        <v>105.99041759740197</v>
      </c>
      <c r="CW223" s="1215">
        <f t="shared" si="841"/>
        <v>105.99041759740197</v>
      </c>
      <c r="CX223" s="1306">
        <f t="shared" si="822"/>
        <v>105.99041759740197</v>
      </c>
      <c r="CY223" s="1215">
        <f t="shared" ref="CY223" si="842">CY174*(1-CY200)</f>
        <v>105.99041759740197</v>
      </c>
      <c r="CZ223" s="1215">
        <f t="shared" si="824"/>
        <v>105.99041759740197</v>
      </c>
      <c r="DA223" s="1307">
        <f t="shared" ref="DA223:EQ223" si="843">DA174*(1-DA200)</f>
        <v>105.99041759740197</v>
      </c>
      <c r="DB223" s="1215">
        <f t="shared" si="843"/>
        <v>108.64017803733701</v>
      </c>
      <c r="DC223" s="1215">
        <f t="shared" si="826"/>
        <v>108.64017803733701</v>
      </c>
      <c r="DD223" s="1215">
        <f t="shared" si="843"/>
        <v>108.64017803733701</v>
      </c>
      <c r="DE223" s="1306">
        <f t="shared" si="827"/>
        <v>108.64017803733701</v>
      </c>
      <c r="DF223" s="1215">
        <f t="shared" si="838"/>
        <v>108.64017803733701</v>
      </c>
      <c r="DG223" s="1215">
        <f t="shared" si="828"/>
        <v>108.64017803733701</v>
      </c>
      <c r="DH223" s="1307">
        <f t="shared" si="843"/>
        <v>108.64017803733701</v>
      </c>
      <c r="DI223" s="1215">
        <f t="shared" si="843"/>
        <v>111.35618248827042</v>
      </c>
      <c r="DJ223" s="1215">
        <f t="shared" si="829"/>
        <v>111.35618248827042</v>
      </c>
      <c r="DK223" s="610">
        <f t="shared" si="843"/>
        <v>111.35618248827042</v>
      </c>
      <c r="DL223" s="611">
        <f t="shared" si="830"/>
        <v>111.35618248827042</v>
      </c>
      <c r="DM223" s="1215">
        <f t="shared" si="843"/>
        <v>111.35618248827042</v>
      </c>
      <c r="DN223" s="610">
        <f t="shared" si="831"/>
        <v>111.35618248827042</v>
      </c>
      <c r="DO223" s="662">
        <f t="shared" si="843"/>
        <v>111.35618248827042</v>
      </c>
      <c r="DP223" s="610">
        <f t="shared" si="843"/>
        <v>114.14008705047718</v>
      </c>
      <c r="DQ223" s="610">
        <f t="shared" si="843"/>
        <v>114.14008705047718</v>
      </c>
      <c r="DR223" s="610">
        <f t="shared" si="843"/>
        <v>114.14008705047718</v>
      </c>
      <c r="DS223" s="611">
        <f t="shared" si="843"/>
        <v>114.14008705047718</v>
      </c>
      <c r="DT223" s="610">
        <f t="shared" si="843"/>
        <v>114.14008705047718</v>
      </c>
      <c r="DU223" s="610">
        <f t="shared" si="843"/>
        <v>114.14008705047718</v>
      </c>
      <c r="DV223" s="662">
        <f t="shared" si="843"/>
        <v>114.14008705047718</v>
      </c>
      <c r="DW223" s="610">
        <f t="shared" si="843"/>
        <v>116.99358922673909</v>
      </c>
      <c r="DX223" s="610">
        <f t="shared" si="843"/>
        <v>116.99358922673909</v>
      </c>
      <c r="DY223" s="610">
        <f t="shared" si="843"/>
        <v>116.99358922673909</v>
      </c>
      <c r="DZ223" s="611">
        <f t="shared" si="843"/>
        <v>116.99358922673909</v>
      </c>
      <c r="EA223" s="610">
        <f t="shared" si="843"/>
        <v>116.99358922673909</v>
      </c>
      <c r="EB223" s="610">
        <f t="shared" si="843"/>
        <v>116.99358922673909</v>
      </c>
      <c r="EC223" s="662">
        <f t="shared" si="843"/>
        <v>116.99358922673909</v>
      </c>
      <c r="ED223" s="610">
        <f t="shared" si="843"/>
        <v>119.91842895740756</v>
      </c>
      <c r="EE223" s="610">
        <f t="shared" si="843"/>
        <v>119.91842895740756</v>
      </c>
      <c r="EF223" s="610">
        <f t="shared" si="843"/>
        <v>119.91842895740756</v>
      </c>
      <c r="EG223" s="611">
        <f t="shared" si="843"/>
        <v>119.91842895740756</v>
      </c>
      <c r="EH223" s="610">
        <f t="shared" si="843"/>
        <v>119.91842895740756</v>
      </c>
      <c r="EI223" s="610">
        <f t="shared" si="843"/>
        <v>119.91842895740756</v>
      </c>
      <c r="EJ223" s="662">
        <f t="shared" si="843"/>
        <v>119.91842895740756</v>
      </c>
      <c r="EK223" s="610">
        <f t="shared" si="843"/>
        <v>122.91638968134274</v>
      </c>
      <c r="EL223" s="610">
        <f t="shared" si="843"/>
        <v>122.91638968134274</v>
      </c>
      <c r="EM223" s="610">
        <f t="shared" si="843"/>
        <v>122.91638968134274</v>
      </c>
      <c r="EN223" s="611">
        <f t="shared" si="843"/>
        <v>122.91638968134274</v>
      </c>
      <c r="EO223" s="610">
        <f t="shared" si="843"/>
        <v>122.91638968134274</v>
      </c>
      <c r="EP223" s="610">
        <f t="shared" si="843"/>
        <v>122.91638968134274</v>
      </c>
      <c r="EQ223" s="662">
        <f t="shared" si="843"/>
        <v>122.91638968134274</v>
      </c>
    </row>
    <row r="224" spans="1:147" ht="10.199999999999999" hidden="1" customHeight="1" outlineLevel="1">
      <c r="A224" s="607" t="str">
        <f t="shared" si="804"/>
        <v>A320ceo</v>
      </c>
      <c r="B224" s="608"/>
      <c r="C224" s="609">
        <f t="shared" ref="C224:BD224" si="844">C175*(1-C201)</f>
        <v>42.517853541725977</v>
      </c>
      <c r="D224" s="609">
        <f t="shared" si="844"/>
        <v>43.70889854158073</v>
      </c>
      <c r="E224" s="609">
        <f t="shared" si="844"/>
        <v>43.802955665024633</v>
      </c>
      <c r="F224" s="609">
        <f t="shared" si="844"/>
        <v>42.821249999999999</v>
      </c>
      <c r="G224" s="609">
        <f t="shared" si="844"/>
        <v>43.752843749999997</v>
      </c>
      <c r="H224" s="609">
        <f t="shared" si="844"/>
        <v>44.65870841249999</v>
      </c>
      <c r="I224" s="609">
        <f t="shared" si="844"/>
        <v>46.490860552499989</v>
      </c>
      <c r="J224" s="609">
        <f t="shared" si="844"/>
        <v>47.188223460787491</v>
      </c>
      <c r="K224" s="609">
        <f t="shared" si="844"/>
        <v>47.281994930485205</v>
      </c>
      <c r="L224" s="609">
        <f t="shared" si="844"/>
        <v>52.910000000000004</v>
      </c>
      <c r="M224" s="609">
        <f t="shared" si="844"/>
        <v>54.4</v>
      </c>
      <c r="N224" s="609">
        <f t="shared" si="844"/>
        <v>41.942499999999995</v>
      </c>
      <c r="O224" s="1215"/>
      <c r="P224" s="1215"/>
      <c r="Q224" s="1215"/>
      <c r="R224" s="1306"/>
      <c r="S224" s="1215"/>
      <c r="T224" s="1215"/>
      <c r="U224" s="1307">
        <f t="shared" si="844"/>
        <v>42.547499999999999</v>
      </c>
      <c r="V224" s="1215"/>
      <c r="W224" s="1215"/>
      <c r="X224" s="1215"/>
      <c r="Y224" s="1306"/>
      <c r="Z224" s="1215"/>
      <c r="AA224" s="1215"/>
      <c r="AB224" s="1307">
        <f t="shared" si="844"/>
        <v>59.641729682595063</v>
      </c>
      <c r="AC224" s="1215"/>
      <c r="AD224" s="1215"/>
      <c r="AE224" s="1215"/>
      <c r="AF224" s="1306"/>
      <c r="AG224" s="1215"/>
      <c r="AH224" s="1215"/>
      <c r="AI224" s="1307">
        <f t="shared" si="844"/>
        <v>58.035725628219062</v>
      </c>
      <c r="AJ224" s="1215"/>
      <c r="AK224" s="1215"/>
      <c r="AL224" s="1215"/>
      <c r="AM224" s="1306"/>
      <c r="AN224" s="1215"/>
      <c r="AO224" s="1215"/>
      <c r="AP224" s="1307">
        <f t="shared" si="844"/>
        <v>55.491300394982829</v>
      </c>
      <c r="AQ224" s="1215"/>
      <c r="AR224" s="1215"/>
      <c r="AS224" s="1215"/>
      <c r="AT224" s="1306"/>
      <c r="AU224" s="1215"/>
      <c r="AV224" s="1215"/>
      <c r="AW224" s="1307">
        <f t="shared" si="844"/>
        <v>56.027891629991124</v>
      </c>
      <c r="AX224" s="1215"/>
      <c r="AY224" s="1215"/>
      <c r="AZ224" s="1215"/>
      <c r="BA224" s="1306"/>
      <c r="BB224" s="1215"/>
      <c r="BC224" s="1215"/>
      <c r="BD224" s="1307">
        <f t="shared" si="844"/>
        <v>43.525177132171606</v>
      </c>
      <c r="BE224" s="1215"/>
      <c r="BF224" s="1215"/>
      <c r="BG224" s="1215"/>
      <c r="BH224" s="1306"/>
      <c r="BI224" s="1215"/>
      <c r="BJ224" s="1215"/>
      <c r="BK224" s="1307">
        <f t="shared" si="833"/>
        <v>45.449999999999996</v>
      </c>
      <c r="BL224" s="1215"/>
      <c r="BM224" s="1215"/>
      <c r="BN224" s="1215"/>
      <c r="BO224" s="1306"/>
      <c r="BP224" s="1215"/>
      <c r="BQ224" s="1215"/>
      <c r="BR224" s="1307">
        <f t="shared" si="833"/>
        <v>46.358999999999995</v>
      </c>
      <c r="BS224" s="1215"/>
      <c r="BT224" s="1215"/>
      <c r="BU224" s="1215"/>
      <c r="BV224" s="1306"/>
      <c r="BW224" s="1215"/>
      <c r="BX224" s="1215"/>
      <c r="BY224" s="1307">
        <f t="shared" si="833"/>
        <v>42.032160000000005</v>
      </c>
      <c r="BZ224" s="1215"/>
      <c r="CA224" s="1215"/>
      <c r="CB224" s="1215"/>
      <c r="CC224" s="1306"/>
      <c r="CD224" s="1215"/>
      <c r="CE224" s="1215"/>
      <c r="CF224" s="1307">
        <f t="shared" si="833"/>
        <v>42.8728032</v>
      </c>
      <c r="CG224" s="1215"/>
      <c r="CH224" s="1215"/>
      <c r="CI224" s="1215"/>
      <c r="CJ224" s="1306"/>
      <c r="CK224" s="1215"/>
      <c r="CL224" s="1215"/>
      <c r="CM224" s="1307">
        <f t="shared" si="833"/>
        <v>38.263976855999999</v>
      </c>
      <c r="CN224" s="1215">
        <f t="shared" si="833"/>
        <v>113.15204584559999</v>
      </c>
      <c r="CO224" s="1215">
        <f t="shared" si="816"/>
        <v>113.15204584559999</v>
      </c>
      <c r="CP224" s="1215">
        <f t="shared" ref="CP224" si="845">CP175*(1-CP201)</f>
        <v>113.15204584559999</v>
      </c>
      <c r="CQ224" s="1306">
        <f t="shared" si="818"/>
        <v>113.15204584559999</v>
      </c>
      <c r="CR224" s="1215">
        <f t="shared" si="833"/>
        <v>113.15204584559999</v>
      </c>
      <c r="CS224" s="1215">
        <f t="shared" si="819"/>
        <v>113.15204584559999</v>
      </c>
      <c r="CT224" s="1307">
        <f t="shared" ref="CT224:CW224" si="846">CT175*(1-CT201)</f>
        <v>113.15204584559999</v>
      </c>
      <c r="CU224" s="1215">
        <f t="shared" si="846"/>
        <v>115.98084699173998</v>
      </c>
      <c r="CV224" s="1215">
        <f t="shared" si="821"/>
        <v>115.98084699173998</v>
      </c>
      <c r="CW224" s="1215">
        <f t="shared" si="846"/>
        <v>115.98084699173998</v>
      </c>
      <c r="CX224" s="1306">
        <f t="shared" si="822"/>
        <v>115.98084699173998</v>
      </c>
      <c r="CY224" s="1215">
        <f t="shared" ref="CY224" si="847">CY175*(1-CY201)</f>
        <v>115.98084699173998</v>
      </c>
      <c r="CZ224" s="1215">
        <f t="shared" si="824"/>
        <v>115.98084699173998</v>
      </c>
      <c r="DA224" s="1307">
        <f t="shared" ref="DA224:EQ224" si="848">DA175*(1-DA201)</f>
        <v>115.98084699173998</v>
      </c>
      <c r="DB224" s="1215">
        <f t="shared" si="848"/>
        <v>118.88036816653347</v>
      </c>
      <c r="DC224" s="1215">
        <f t="shared" si="826"/>
        <v>118.88036816653347</v>
      </c>
      <c r="DD224" s="1215">
        <f t="shared" si="848"/>
        <v>118.88036816653347</v>
      </c>
      <c r="DE224" s="1306">
        <f t="shared" si="827"/>
        <v>118.88036816653347</v>
      </c>
      <c r="DF224" s="1215">
        <f t="shared" si="838"/>
        <v>118.88036816653347</v>
      </c>
      <c r="DG224" s="1215">
        <f t="shared" si="828"/>
        <v>118.88036816653347</v>
      </c>
      <c r="DH224" s="1307">
        <f t="shared" si="848"/>
        <v>118.88036816653347</v>
      </c>
      <c r="DI224" s="1215">
        <f t="shared" si="848"/>
        <v>121.8523773706968</v>
      </c>
      <c r="DJ224" s="1215">
        <f t="shared" si="829"/>
        <v>121.8523773706968</v>
      </c>
      <c r="DK224" s="610">
        <f t="shared" si="848"/>
        <v>121.8523773706968</v>
      </c>
      <c r="DL224" s="611">
        <f t="shared" si="830"/>
        <v>121.8523773706968</v>
      </c>
      <c r="DM224" s="1215">
        <f t="shared" si="848"/>
        <v>121.8523773706968</v>
      </c>
      <c r="DN224" s="610">
        <f t="shared" si="831"/>
        <v>121.8523773706968</v>
      </c>
      <c r="DO224" s="662">
        <f t="shared" si="848"/>
        <v>121.8523773706968</v>
      </c>
      <c r="DP224" s="610">
        <f t="shared" si="848"/>
        <v>124.89868680496421</v>
      </c>
      <c r="DQ224" s="610">
        <f t="shared" si="848"/>
        <v>124.89868680496421</v>
      </c>
      <c r="DR224" s="610">
        <f t="shared" si="848"/>
        <v>124.89868680496421</v>
      </c>
      <c r="DS224" s="611">
        <f t="shared" si="848"/>
        <v>124.89868680496421</v>
      </c>
      <c r="DT224" s="610">
        <f t="shared" si="848"/>
        <v>124.89868680496421</v>
      </c>
      <c r="DU224" s="610">
        <f t="shared" si="848"/>
        <v>124.89868680496421</v>
      </c>
      <c r="DV224" s="662">
        <f t="shared" si="848"/>
        <v>124.89868680496421</v>
      </c>
      <c r="DW224" s="610">
        <f t="shared" si="848"/>
        <v>128.02115397508831</v>
      </c>
      <c r="DX224" s="610">
        <f t="shared" si="848"/>
        <v>128.02115397508831</v>
      </c>
      <c r="DY224" s="610">
        <f t="shared" si="848"/>
        <v>128.02115397508831</v>
      </c>
      <c r="DZ224" s="611">
        <f t="shared" si="848"/>
        <v>128.02115397508831</v>
      </c>
      <c r="EA224" s="610">
        <f t="shared" si="848"/>
        <v>128.02115397508831</v>
      </c>
      <c r="EB224" s="610">
        <f t="shared" si="848"/>
        <v>128.02115397508831</v>
      </c>
      <c r="EC224" s="662">
        <f t="shared" si="848"/>
        <v>128.02115397508831</v>
      </c>
      <c r="ED224" s="610">
        <f t="shared" si="848"/>
        <v>131.22168282446552</v>
      </c>
      <c r="EE224" s="610">
        <f t="shared" si="848"/>
        <v>131.22168282446552</v>
      </c>
      <c r="EF224" s="610">
        <f t="shared" si="848"/>
        <v>131.22168282446552</v>
      </c>
      <c r="EG224" s="611">
        <f t="shared" si="848"/>
        <v>131.22168282446552</v>
      </c>
      <c r="EH224" s="610">
        <f t="shared" si="848"/>
        <v>131.22168282446552</v>
      </c>
      <c r="EI224" s="610">
        <f t="shared" si="848"/>
        <v>131.22168282446552</v>
      </c>
      <c r="EJ224" s="662">
        <f t="shared" si="848"/>
        <v>131.22168282446552</v>
      </c>
      <c r="EK224" s="610">
        <f t="shared" si="848"/>
        <v>134.50222489507715</v>
      </c>
      <c r="EL224" s="610">
        <f t="shared" si="848"/>
        <v>134.50222489507715</v>
      </c>
      <c r="EM224" s="610">
        <f t="shared" si="848"/>
        <v>134.50222489507715</v>
      </c>
      <c r="EN224" s="611">
        <f t="shared" si="848"/>
        <v>134.50222489507715</v>
      </c>
      <c r="EO224" s="610">
        <f t="shared" si="848"/>
        <v>134.50222489507715</v>
      </c>
      <c r="EP224" s="610">
        <f t="shared" si="848"/>
        <v>134.50222489507715</v>
      </c>
      <c r="EQ224" s="662">
        <f t="shared" si="848"/>
        <v>134.50222489507715</v>
      </c>
    </row>
    <row r="225" spans="1:147" ht="10.199999999999999" hidden="1" customHeight="1" outlineLevel="1">
      <c r="A225" s="607" t="str">
        <f t="shared" si="804"/>
        <v>A321ceo</v>
      </c>
      <c r="B225" s="608"/>
      <c r="C225" s="609">
        <f t="shared" ref="C225:BD225" si="849">C176*(1-C202)</f>
        <v>52.21490785825997</v>
      </c>
      <c r="D225" s="609">
        <f t="shared" si="849"/>
        <v>53.677594700186866</v>
      </c>
      <c r="E225" s="609">
        <f t="shared" si="849"/>
        <v>53.793103448275872</v>
      </c>
      <c r="F225" s="609">
        <f t="shared" si="849"/>
        <v>52.587499999999999</v>
      </c>
      <c r="G225" s="609">
        <f t="shared" si="849"/>
        <v>53.731562499999995</v>
      </c>
      <c r="H225" s="609">
        <f t="shared" si="849"/>
        <v>54.844027874999988</v>
      </c>
      <c r="I225" s="609">
        <f t="shared" si="849"/>
        <v>57.094039274999986</v>
      </c>
      <c r="J225" s="609">
        <f t="shared" si="849"/>
        <v>57.950449864124977</v>
      </c>
      <c r="K225" s="609">
        <f t="shared" si="849"/>
        <v>58.065607809367791</v>
      </c>
      <c r="L225" s="609">
        <f t="shared" si="849"/>
        <v>62.075000000000003</v>
      </c>
      <c r="M225" s="609">
        <f t="shared" si="849"/>
        <v>63.808</v>
      </c>
      <c r="N225" s="609">
        <f t="shared" si="849"/>
        <v>49.209999999999994</v>
      </c>
      <c r="O225" s="1215"/>
      <c r="P225" s="1215"/>
      <c r="Q225" s="1215"/>
      <c r="R225" s="1306"/>
      <c r="S225" s="1215"/>
      <c r="T225" s="1215"/>
      <c r="U225" s="1307">
        <f t="shared" si="849"/>
        <v>49.894499999999994</v>
      </c>
      <c r="V225" s="1215"/>
      <c r="W225" s="1215"/>
      <c r="X225" s="1215"/>
      <c r="Y225" s="1306"/>
      <c r="Z225" s="1215"/>
      <c r="AA225" s="1215"/>
      <c r="AB225" s="1307">
        <f t="shared" si="849"/>
        <v>69.931357167771196</v>
      </c>
      <c r="AC225" s="1215"/>
      <c r="AD225" s="1215"/>
      <c r="AE225" s="1215"/>
      <c r="AF225" s="1306"/>
      <c r="AG225" s="1215"/>
      <c r="AH225" s="1215"/>
      <c r="AI225" s="1307">
        <f t="shared" si="849"/>
        <v>68.027443339469144</v>
      </c>
      <c r="AJ225" s="1215"/>
      <c r="AK225" s="1215"/>
      <c r="AL225" s="1215"/>
      <c r="AM225" s="1306"/>
      <c r="AN225" s="1215"/>
      <c r="AO225" s="1215"/>
      <c r="AP225" s="1307">
        <f t="shared" si="849"/>
        <v>65.060718524321715</v>
      </c>
      <c r="AQ225" s="1215"/>
      <c r="AR225" s="1215"/>
      <c r="AS225" s="1215"/>
      <c r="AT225" s="1306"/>
      <c r="AU225" s="1215"/>
      <c r="AV225" s="1215"/>
      <c r="AW225" s="1307">
        <f t="shared" si="849"/>
        <v>65.648842717969401</v>
      </c>
      <c r="AX225" s="1215"/>
      <c r="AY225" s="1215"/>
      <c r="AZ225" s="1215"/>
      <c r="BA225" s="1306"/>
      <c r="BB225" s="1215"/>
      <c r="BC225" s="1215"/>
      <c r="BD225" s="1307">
        <f t="shared" si="849"/>
        <v>50.99919744779703</v>
      </c>
      <c r="BE225" s="1215"/>
      <c r="BF225" s="1215"/>
      <c r="BG225" s="1215"/>
      <c r="BH225" s="1306"/>
      <c r="BI225" s="1215"/>
      <c r="BJ225" s="1215"/>
      <c r="BK225" s="1307">
        <f t="shared" si="833"/>
        <v>53.234999999999992</v>
      </c>
      <c r="BL225" s="1215"/>
      <c r="BM225" s="1215"/>
      <c r="BN225" s="1215"/>
      <c r="BO225" s="1306"/>
      <c r="BP225" s="1215"/>
      <c r="BQ225" s="1215"/>
      <c r="BR225" s="1307">
        <f t="shared" si="833"/>
        <v>54.299699999999994</v>
      </c>
      <c r="BS225" s="1215"/>
      <c r="BT225" s="1215"/>
      <c r="BU225" s="1215"/>
      <c r="BV225" s="1306"/>
      <c r="BW225" s="1215"/>
      <c r="BX225" s="1215"/>
      <c r="BY225" s="1307">
        <f t="shared" si="833"/>
        <v>49.231728000000004</v>
      </c>
      <c r="BZ225" s="1215"/>
      <c r="CA225" s="1215"/>
      <c r="CB225" s="1215"/>
      <c r="CC225" s="1306"/>
      <c r="CD225" s="1215"/>
      <c r="CE225" s="1215"/>
      <c r="CF225" s="1307">
        <f t="shared" si="833"/>
        <v>50.21636256</v>
      </c>
      <c r="CG225" s="1215"/>
      <c r="CH225" s="1215"/>
      <c r="CI225" s="1215"/>
      <c r="CJ225" s="1306"/>
      <c r="CK225" s="1215"/>
      <c r="CL225" s="1215"/>
      <c r="CM225" s="1307">
        <f t="shared" si="833"/>
        <v>44.818103584799992</v>
      </c>
      <c r="CN225" s="1215">
        <f t="shared" si="833"/>
        <v>132.53353488647997</v>
      </c>
      <c r="CO225" s="1215">
        <f t="shared" si="816"/>
        <v>132.53353488647997</v>
      </c>
      <c r="CP225" s="1215">
        <f t="shared" ref="CP225" si="850">CP176*(1-CP202)</f>
        <v>132.53353488647997</v>
      </c>
      <c r="CQ225" s="1306">
        <f t="shared" si="818"/>
        <v>132.53353488647997</v>
      </c>
      <c r="CR225" s="1215">
        <f t="shared" si="833"/>
        <v>132.53353488647997</v>
      </c>
      <c r="CS225" s="1215">
        <f t="shared" si="819"/>
        <v>132.53353488647997</v>
      </c>
      <c r="CT225" s="1307">
        <f t="shared" ref="CT225:CW225" si="851">CT176*(1-CT202)</f>
        <v>132.53353488647997</v>
      </c>
      <c r="CU225" s="1215">
        <f t="shared" si="851"/>
        <v>135.84687325864195</v>
      </c>
      <c r="CV225" s="1215">
        <f t="shared" si="821"/>
        <v>135.84687325864195</v>
      </c>
      <c r="CW225" s="1215">
        <f t="shared" si="851"/>
        <v>135.84687325864195</v>
      </c>
      <c r="CX225" s="1306">
        <f t="shared" si="822"/>
        <v>135.84687325864195</v>
      </c>
      <c r="CY225" s="1215">
        <f t="shared" ref="CY225" si="852">CY176*(1-CY202)</f>
        <v>135.84687325864195</v>
      </c>
      <c r="CZ225" s="1215">
        <f t="shared" si="824"/>
        <v>135.84687325864195</v>
      </c>
      <c r="DA225" s="1307">
        <f t="shared" ref="DA225:EQ225" si="853">DA176*(1-DA202)</f>
        <v>135.84687325864195</v>
      </c>
      <c r="DB225" s="1215">
        <f t="shared" si="853"/>
        <v>139.24304509010798</v>
      </c>
      <c r="DC225" s="1215">
        <f t="shared" si="826"/>
        <v>139.24304509010798</v>
      </c>
      <c r="DD225" s="1215">
        <f t="shared" si="853"/>
        <v>139.24304509010798</v>
      </c>
      <c r="DE225" s="1306">
        <f t="shared" si="827"/>
        <v>139.24304509010798</v>
      </c>
      <c r="DF225" s="1215">
        <f t="shared" si="838"/>
        <v>139.24304509010798</v>
      </c>
      <c r="DG225" s="1215">
        <f t="shared" si="828"/>
        <v>139.24304509010798</v>
      </c>
      <c r="DH225" s="1307">
        <f t="shared" si="853"/>
        <v>139.24304509010798</v>
      </c>
      <c r="DI225" s="1215">
        <f t="shared" si="853"/>
        <v>142.72412121736068</v>
      </c>
      <c r="DJ225" s="1215">
        <f t="shared" si="829"/>
        <v>142.72412121736068</v>
      </c>
      <c r="DK225" s="610">
        <f t="shared" si="853"/>
        <v>142.72412121736068</v>
      </c>
      <c r="DL225" s="611">
        <f t="shared" si="830"/>
        <v>142.72412121736068</v>
      </c>
      <c r="DM225" s="1215">
        <f t="shared" si="853"/>
        <v>142.72412121736068</v>
      </c>
      <c r="DN225" s="610">
        <f t="shared" si="831"/>
        <v>142.72412121736068</v>
      </c>
      <c r="DO225" s="662">
        <f t="shared" si="853"/>
        <v>142.72412121736068</v>
      </c>
      <c r="DP225" s="610">
        <f t="shared" si="853"/>
        <v>146.29222424779468</v>
      </c>
      <c r="DQ225" s="610">
        <f t="shared" si="853"/>
        <v>146.29222424779468</v>
      </c>
      <c r="DR225" s="610">
        <f t="shared" si="853"/>
        <v>146.29222424779468</v>
      </c>
      <c r="DS225" s="611">
        <f t="shared" si="853"/>
        <v>146.29222424779468</v>
      </c>
      <c r="DT225" s="610">
        <f t="shared" si="853"/>
        <v>146.29222424779468</v>
      </c>
      <c r="DU225" s="610">
        <f t="shared" si="853"/>
        <v>146.29222424779468</v>
      </c>
      <c r="DV225" s="662">
        <f t="shared" si="853"/>
        <v>146.29222424779468</v>
      </c>
      <c r="DW225" s="610">
        <f t="shared" si="853"/>
        <v>149.94952985398953</v>
      </c>
      <c r="DX225" s="610">
        <f t="shared" si="853"/>
        <v>149.94952985398953</v>
      </c>
      <c r="DY225" s="610">
        <f t="shared" si="853"/>
        <v>149.94952985398953</v>
      </c>
      <c r="DZ225" s="611">
        <f t="shared" si="853"/>
        <v>149.94952985398953</v>
      </c>
      <c r="EA225" s="610">
        <f t="shared" si="853"/>
        <v>149.94952985398953</v>
      </c>
      <c r="EB225" s="610">
        <f t="shared" si="853"/>
        <v>149.94952985398953</v>
      </c>
      <c r="EC225" s="662">
        <f t="shared" si="853"/>
        <v>149.94952985398953</v>
      </c>
      <c r="ED225" s="610">
        <f t="shared" si="853"/>
        <v>153.69826810033925</v>
      </c>
      <c r="EE225" s="610">
        <f t="shared" si="853"/>
        <v>153.69826810033925</v>
      </c>
      <c r="EF225" s="610">
        <f t="shared" si="853"/>
        <v>153.69826810033925</v>
      </c>
      <c r="EG225" s="611">
        <f t="shared" si="853"/>
        <v>153.69826810033925</v>
      </c>
      <c r="EH225" s="610">
        <f t="shared" si="853"/>
        <v>153.69826810033925</v>
      </c>
      <c r="EI225" s="610">
        <f t="shared" si="853"/>
        <v>153.69826810033925</v>
      </c>
      <c r="EJ225" s="662">
        <f t="shared" si="853"/>
        <v>153.69826810033925</v>
      </c>
      <c r="EK225" s="610">
        <f t="shared" si="853"/>
        <v>157.54072480284771</v>
      </c>
      <c r="EL225" s="610">
        <f t="shared" si="853"/>
        <v>157.54072480284771</v>
      </c>
      <c r="EM225" s="610">
        <f t="shared" si="853"/>
        <v>157.54072480284771</v>
      </c>
      <c r="EN225" s="611">
        <f t="shared" si="853"/>
        <v>157.54072480284771</v>
      </c>
      <c r="EO225" s="610">
        <f t="shared" si="853"/>
        <v>157.54072480284771</v>
      </c>
      <c r="EP225" s="610">
        <f t="shared" si="853"/>
        <v>157.54072480284771</v>
      </c>
      <c r="EQ225" s="662">
        <f t="shared" si="853"/>
        <v>157.54072480284771</v>
      </c>
    </row>
    <row r="226" spans="1:147" ht="10.199999999999999" customHeight="1" collapsed="1">
      <c r="A226" s="607" t="str">
        <f t="shared" si="804"/>
        <v>A319neo</v>
      </c>
      <c r="B226" s="608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1215"/>
      <c r="P226" s="1215"/>
      <c r="Q226" s="1215"/>
      <c r="R226" s="1306"/>
      <c r="S226" s="1215"/>
      <c r="T226" s="1215"/>
      <c r="U226" s="1307">
        <f t="shared" ref="U226:BD226" si="854">U177*(1-U203)</f>
        <v>69</v>
      </c>
      <c r="V226" s="1215"/>
      <c r="W226" s="1215"/>
      <c r="X226" s="1215"/>
      <c r="Y226" s="1306"/>
      <c r="Z226" s="1215"/>
      <c r="AA226" s="1215"/>
      <c r="AB226" s="1307">
        <f t="shared" si="854"/>
        <v>51.920000000000009</v>
      </c>
      <c r="AC226" s="1215"/>
      <c r="AD226" s="1215"/>
      <c r="AE226" s="1215"/>
      <c r="AF226" s="1306"/>
      <c r="AG226" s="1215"/>
      <c r="AH226" s="1215"/>
      <c r="AI226" s="1307">
        <f t="shared" si="854"/>
        <v>53.625000000000007</v>
      </c>
      <c r="AJ226" s="1215"/>
      <c r="AK226" s="1215"/>
      <c r="AL226" s="1215"/>
      <c r="AM226" s="1306"/>
      <c r="AN226" s="1215"/>
      <c r="AO226" s="1215"/>
      <c r="AP226" s="1307">
        <f t="shared" si="854"/>
        <v>54.175000000000004</v>
      </c>
      <c r="AQ226" s="1215"/>
      <c r="AR226" s="1215"/>
      <c r="AS226" s="1215"/>
      <c r="AT226" s="1306"/>
      <c r="AU226" s="1215"/>
      <c r="AV226" s="1215"/>
      <c r="AW226" s="1307">
        <f t="shared" si="854"/>
        <v>54.725000000000001</v>
      </c>
      <c r="AX226" s="1215"/>
      <c r="AY226" s="1215"/>
      <c r="AZ226" s="1215"/>
      <c r="BA226" s="1306"/>
      <c r="BB226" s="1215"/>
      <c r="BC226" s="1215"/>
      <c r="BD226" s="1307">
        <f t="shared" si="854"/>
        <v>49.75</v>
      </c>
      <c r="BE226" s="1215"/>
      <c r="BF226" s="1215"/>
      <c r="BG226" s="1215"/>
      <c r="BH226" s="1306"/>
      <c r="BI226" s="1215"/>
      <c r="BJ226" s="1215"/>
      <c r="BK226" s="1307">
        <f t="shared" si="833"/>
        <v>45.946008367438395</v>
      </c>
      <c r="BL226" s="1215"/>
      <c r="BM226" s="1215"/>
      <c r="BN226" s="1215"/>
      <c r="BO226" s="1306"/>
      <c r="BP226" s="1215"/>
      <c r="BQ226" s="1215"/>
      <c r="BR226" s="1307">
        <f t="shared" si="833"/>
        <v>48.907298402254106</v>
      </c>
      <c r="BS226" s="1215"/>
      <c r="BT226" s="1215"/>
      <c r="BU226" s="1215"/>
      <c r="BV226" s="1306"/>
      <c r="BW226" s="1215"/>
      <c r="BX226" s="1215"/>
      <c r="BY226" s="1307">
        <f t="shared" si="833"/>
        <v>45.726300174009943</v>
      </c>
      <c r="BZ226" s="1215"/>
      <c r="CA226" s="1215"/>
      <c r="CB226" s="1215"/>
      <c r="CC226" s="1306"/>
      <c r="CD226" s="1215"/>
      <c r="CE226" s="1215"/>
      <c r="CF226" s="1307">
        <f t="shared" si="833"/>
        <v>48.26864452504276</v>
      </c>
      <c r="CG226" s="1215"/>
      <c r="CH226" s="1215"/>
      <c r="CI226" s="1215"/>
      <c r="CJ226" s="1306"/>
      <c r="CK226" s="1215"/>
      <c r="CL226" s="1215"/>
      <c r="CM226" s="1307">
        <f t="shared" si="833"/>
        <v>47.206786826087125</v>
      </c>
      <c r="CN226" s="1215">
        <f t="shared" si="833"/>
        <v>45.484881795360003</v>
      </c>
      <c r="CO226" s="1215">
        <f t="shared" si="816"/>
        <v>45.484881795360003</v>
      </c>
      <c r="CP226" s="1215">
        <f t="shared" ref="CP226" si="855">CP177*(1-CP203)</f>
        <v>45.484881795360003</v>
      </c>
      <c r="CQ226" s="1306">
        <f t="shared" si="818"/>
        <v>45.484881795360003</v>
      </c>
      <c r="CR226" s="1215">
        <f t="shared" si="833"/>
        <v>45.484881795360003</v>
      </c>
      <c r="CS226" s="1215">
        <f t="shared" si="819"/>
        <v>45.484881795360003</v>
      </c>
      <c r="CT226" s="1307">
        <f t="shared" ref="CT226:CW226" si="856">CT177*(1-CT203)</f>
        <v>45.484881795360003</v>
      </c>
      <c r="CU226" s="1215">
        <f t="shared" si="856"/>
        <v>46.622003840243998</v>
      </c>
      <c r="CV226" s="1215">
        <f t="shared" si="821"/>
        <v>46.622003840243998</v>
      </c>
      <c r="CW226" s="1215">
        <f t="shared" si="856"/>
        <v>46.622003840243998</v>
      </c>
      <c r="CX226" s="1306">
        <f t="shared" si="822"/>
        <v>46.622003840243998</v>
      </c>
      <c r="CY226" s="1215">
        <f t="shared" ref="CY226" si="857">CY177*(1-CY203)</f>
        <v>46.622003840243998</v>
      </c>
      <c r="CZ226" s="1215">
        <f t="shared" si="824"/>
        <v>46.622003840243998</v>
      </c>
      <c r="DA226" s="1307">
        <f t="shared" ref="DA226:EQ226" si="858">DA177*(1-DA203)</f>
        <v>46.622003840243998</v>
      </c>
      <c r="DB226" s="1215">
        <f t="shared" si="858"/>
        <v>47.787553936250099</v>
      </c>
      <c r="DC226" s="1215">
        <f t="shared" si="826"/>
        <v>47.787553936250099</v>
      </c>
      <c r="DD226" s="1215">
        <f t="shared" si="858"/>
        <v>47.787553936250099</v>
      </c>
      <c r="DE226" s="1306">
        <f t="shared" si="827"/>
        <v>47.787553936250099</v>
      </c>
      <c r="DF226" s="1215">
        <f t="shared" si="838"/>
        <v>47.787553936250099</v>
      </c>
      <c r="DG226" s="1215">
        <f t="shared" si="828"/>
        <v>47.787553936250099</v>
      </c>
      <c r="DH226" s="1307">
        <f t="shared" si="858"/>
        <v>47.787553936250099</v>
      </c>
      <c r="DI226" s="1215">
        <f t="shared" si="858"/>
        <v>48.982242784656343</v>
      </c>
      <c r="DJ226" s="1215">
        <f t="shared" si="829"/>
        <v>48.982242784656343</v>
      </c>
      <c r="DK226" s="610">
        <f t="shared" si="858"/>
        <v>48.982242784656343</v>
      </c>
      <c r="DL226" s="611">
        <f t="shared" si="830"/>
        <v>48.982242784656343</v>
      </c>
      <c r="DM226" s="1215">
        <f t="shared" si="858"/>
        <v>48.982242784656343</v>
      </c>
      <c r="DN226" s="610">
        <f t="shared" si="831"/>
        <v>48.982242784656343</v>
      </c>
      <c r="DO226" s="662">
        <f t="shared" si="858"/>
        <v>48.982242784656343</v>
      </c>
      <c r="DP226" s="610">
        <f t="shared" si="858"/>
        <v>50.206798854272748</v>
      </c>
      <c r="DQ226" s="610">
        <f t="shared" si="858"/>
        <v>50.206798854272748</v>
      </c>
      <c r="DR226" s="610">
        <f t="shared" si="858"/>
        <v>50.206798854272748</v>
      </c>
      <c r="DS226" s="611">
        <f t="shared" si="858"/>
        <v>50.206798854272748</v>
      </c>
      <c r="DT226" s="610">
        <f t="shared" si="858"/>
        <v>50.206798854272748</v>
      </c>
      <c r="DU226" s="610">
        <f t="shared" si="858"/>
        <v>50.206798854272748</v>
      </c>
      <c r="DV226" s="662">
        <f t="shared" si="858"/>
        <v>50.206798854272748</v>
      </c>
      <c r="DW226" s="610">
        <f t="shared" si="858"/>
        <v>51.461968825629562</v>
      </c>
      <c r="DX226" s="610">
        <f t="shared" si="858"/>
        <v>51.461968825629562</v>
      </c>
      <c r="DY226" s="610">
        <f t="shared" si="858"/>
        <v>51.461968825629562</v>
      </c>
      <c r="DZ226" s="611">
        <f t="shared" si="858"/>
        <v>51.461968825629562</v>
      </c>
      <c r="EA226" s="610">
        <f t="shared" si="858"/>
        <v>51.461968825629562</v>
      </c>
      <c r="EB226" s="610">
        <f t="shared" si="858"/>
        <v>51.461968825629562</v>
      </c>
      <c r="EC226" s="662">
        <f t="shared" si="858"/>
        <v>51.461968825629562</v>
      </c>
      <c r="ED226" s="610">
        <f t="shared" si="858"/>
        <v>52.748518046270298</v>
      </c>
      <c r="EE226" s="610">
        <f t="shared" si="858"/>
        <v>52.748518046270298</v>
      </c>
      <c r="EF226" s="610">
        <f t="shared" si="858"/>
        <v>52.748518046270298</v>
      </c>
      <c r="EG226" s="611">
        <f t="shared" si="858"/>
        <v>52.748518046270298</v>
      </c>
      <c r="EH226" s="610">
        <f t="shared" si="858"/>
        <v>52.748518046270298</v>
      </c>
      <c r="EI226" s="610">
        <f t="shared" si="858"/>
        <v>52.748518046270298</v>
      </c>
      <c r="EJ226" s="662">
        <f t="shared" si="858"/>
        <v>52.748518046270298</v>
      </c>
      <c r="EK226" s="610">
        <f t="shared" si="858"/>
        <v>54.067230997427046</v>
      </c>
      <c r="EL226" s="610">
        <f t="shared" si="858"/>
        <v>54.067230997427046</v>
      </c>
      <c r="EM226" s="610">
        <f t="shared" si="858"/>
        <v>54.067230997427046</v>
      </c>
      <c r="EN226" s="611">
        <f t="shared" si="858"/>
        <v>54.067230997427046</v>
      </c>
      <c r="EO226" s="610">
        <f t="shared" si="858"/>
        <v>54.067230997427046</v>
      </c>
      <c r="EP226" s="610">
        <f t="shared" si="858"/>
        <v>54.067230997427046</v>
      </c>
      <c r="EQ226" s="662">
        <f t="shared" si="858"/>
        <v>54.067230997427046</v>
      </c>
    </row>
    <row r="227" spans="1:147" ht="10.199999999999999" customHeight="1">
      <c r="A227" s="607" t="str">
        <f t="shared" si="804"/>
        <v>A320neo</v>
      </c>
      <c r="B227" s="608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1215"/>
      <c r="P227" s="1215"/>
      <c r="Q227" s="1215"/>
      <c r="R227" s="1306"/>
      <c r="S227" s="1215"/>
      <c r="T227" s="1215"/>
      <c r="U227" s="1307">
        <f t="shared" ref="U227:BD227" si="859">U178*(1-U204)</f>
        <v>75.150000000000006</v>
      </c>
      <c r="V227" s="1215"/>
      <c r="W227" s="1215"/>
      <c r="X227" s="1215"/>
      <c r="Y227" s="1306"/>
      <c r="Z227" s="1215"/>
      <c r="AA227" s="1215"/>
      <c r="AB227" s="1307">
        <f t="shared" si="859"/>
        <v>56.540000000000006</v>
      </c>
      <c r="AC227" s="1215"/>
      <c r="AD227" s="1215"/>
      <c r="AE227" s="1215"/>
      <c r="AF227" s="1306"/>
      <c r="AG227" s="1215"/>
      <c r="AH227" s="1215"/>
      <c r="AI227" s="1307">
        <f t="shared" si="859"/>
        <v>58.410000000000004</v>
      </c>
      <c r="AJ227" s="1215"/>
      <c r="AK227" s="1215"/>
      <c r="AL227" s="1215"/>
      <c r="AM227" s="1306"/>
      <c r="AN227" s="1215"/>
      <c r="AO227" s="1215"/>
      <c r="AP227" s="1307">
        <f t="shared" si="859"/>
        <v>59.015000000000001</v>
      </c>
      <c r="AQ227" s="1215"/>
      <c r="AR227" s="1215"/>
      <c r="AS227" s="1215"/>
      <c r="AT227" s="1306"/>
      <c r="AU227" s="1215"/>
      <c r="AV227" s="1215"/>
      <c r="AW227" s="1307">
        <f t="shared" si="859"/>
        <v>59.620000000000005</v>
      </c>
      <c r="AX227" s="1215"/>
      <c r="AY227" s="1215"/>
      <c r="AZ227" s="1215"/>
      <c r="BA227" s="1306"/>
      <c r="BB227" s="1215"/>
      <c r="BC227" s="1215"/>
      <c r="BD227" s="1307">
        <f t="shared" si="859"/>
        <v>54.2</v>
      </c>
      <c r="BE227" s="1215"/>
      <c r="BF227" s="1215"/>
      <c r="BG227" s="1215"/>
      <c r="BH227" s="1306"/>
      <c r="BI227" s="1215"/>
      <c r="BJ227" s="1215"/>
      <c r="BK227" s="1307">
        <f t="shared" si="833"/>
        <v>50.065305669346657</v>
      </c>
      <c r="BL227" s="1215"/>
      <c r="BM227" s="1215"/>
      <c r="BN227" s="1215"/>
      <c r="BO227" s="1306"/>
      <c r="BP227" s="1215"/>
      <c r="BQ227" s="1215"/>
      <c r="BR227" s="1307">
        <f t="shared" si="833"/>
        <v>53.292090672801024</v>
      </c>
      <c r="BS227" s="1215"/>
      <c r="BT227" s="1215"/>
      <c r="BU227" s="1215"/>
      <c r="BV227" s="1306"/>
      <c r="BW227" s="1215"/>
      <c r="BX227" s="1215"/>
      <c r="BY227" s="1307">
        <f t="shared" si="833"/>
        <v>49.825899499955661</v>
      </c>
      <c r="BZ227" s="1215"/>
      <c r="CA227" s="1215"/>
      <c r="CB227" s="1215"/>
      <c r="CC227" s="1306"/>
      <c r="CD227" s="1215"/>
      <c r="CE227" s="1215"/>
      <c r="CF227" s="1307">
        <f t="shared" si="833"/>
        <v>52.596178172115557</v>
      </c>
      <c r="CG227" s="1215"/>
      <c r="CH227" s="1215"/>
      <c r="CI227" s="1215"/>
      <c r="CJ227" s="1306"/>
      <c r="CK227" s="1215"/>
      <c r="CL227" s="1215"/>
      <c r="CM227" s="1307">
        <f t="shared" si="833"/>
        <v>51.439119438081136</v>
      </c>
      <c r="CN227" s="1215">
        <f t="shared" si="833"/>
        <v>54.255376677391958</v>
      </c>
      <c r="CO227" s="1215">
        <f t="shared" si="816"/>
        <v>48.687655850462328</v>
      </c>
      <c r="CP227" s="1215">
        <f t="shared" ref="CP227" si="860">CP178*(1-CP204)</f>
        <v>46.680029614981997</v>
      </c>
      <c r="CQ227" s="1306">
        <f t="shared" si="818"/>
        <v>58.810721398980867</v>
      </c>
      <c r="CR227" s="1215">
        <f>CR178*(1-CR204)</f>
        <v>51.471516263927143</v>
      </c>
      <c r="CS227" s="1215">
        <f t="shared" si="819"/>
        <v>52.745375506981432</v>
      </c>
      <c r="CT227" s="1307">
        <f t="shared" ref="CT227:CW227" si="861">CT178*(1-CT204)</f>
        <v>52.108445885454287</v>
      </c>
      <c r="CU227" s="1215">
        <f t="shared" si="861"/>
        <v>51.069958158697929</v>
      </c>
      <c r="CV227" s="1215">
        <f t="shared" si="821"/>
        <v>51.329644196580375</v>
      </c>
      <c r="CW227" s="1215">
        <f t="shared" si="861"/>
        <v>51.428587049367593</v>
      </c>
      <c r="CX227" s="1306">
        <f t="shared" si="822"/>
        <v>50.677996531430281</v>
      </c>
      <c r="CY227" s="1215">
        <f>CY178*(1-CY204)</f>
        <v>51.199801177639152</v>
      </c>
      <c r="CZ227" s="1215">
        <f t="shared" si="824"/>
        <v>51.053291790398937</v>
      </c>
      <c r="DA227" s="1307">
        <f t="shared" ref="DA227:EP227" si="862">DA178*(1-DA204)</f>
        <v>51.126546484019045</v>
      </c>
      <c r="DB227" s="1215">
        <f t="shared" si="862"/>
        <v>51.65721448929348</v>
      </c>
      <c r="DC227" s="1215">
        <f t="shared" si="826"/>
        <v>49.883098391800686</v>
      </c>
      <c r="DD227" s="1215">
        <f t="shared" si="862"/>
        <v>52.071955323638036</v>
      </c>
      <c r="DE227" s="1306">
        <f t="shared" si="827"/>
        <v>54.675553089819942</v>
      </c>
      <c r="DF227" s="1215">
        <f>DF178*(1-DF204)</f>
        <v>50.770156440547083</v>
      </c>
      <c r="DG227" s="1215">
        <f t="shared" si="828"/>
        <v>53.373754206728989</v>
      </c>
      <c r="DH227" s="1307">
        <f t="shared" si="862"/>
        <v>52.071955323638036</v>
      </c>
      <c r="DI227" s="1215">
        <f t="shared" si="862"/>
        <v>56.042441917065425</v>
      </c>
      <c r="DJ227" s="1215">
        <f t="shared" si="829"/>
        <v>56.042441917065425</v>
      </c>
      <c r="DK227" s="610">
        <f t="shared" si="862"/>
        <v>50.705066496392526</v>
      </c>
      <c r="DL227" s="611">
        <f t="shared" si="830"/>
        <v>50.705066496392526</v>
      </c>
      <c r="DM227" s="1215">
        <f t="shared" si="862"/>
        <v>56.042441917065425</v>
      </c>
      <c r="DN227" s="610">
        <f t="shared" si="831"/>
        <v>50.705066496392526</v>
      </c>
      <c r="DO227" s="662">
        <f t="shared" si="862"/>
        <v>53.373754206728975</v>
      </c>
      <c r="DP227" s="610">
        <f t="shared" si="862"/>
        <v>54.708098061897196</v>
      </c>
      <c r="DQ227" s="610">
        <f t="shared" si="862"/>
        <v>54.708098061897196</v>
      </c>
      <c r="DR227" s="610">
        <f t="shared" si="862"/>
        <v>54.708098061897196</v>
      </c>
      <c r="DS227" s="611">
        <f t="shared" si="862"/>
        <v>54.708098061897196</v>
      </c>
      <c r="DT227" s="610">
        <f t="shared" si="862"/>
        <v>54.708098061897196</v>
      </c>
      <c r="DU227" s="610">
        <f t="shared" si="862"/>
        <v>54.708098061897196</v>
      </c>
      <c r="DV227" s="662">
        <f t="shared" si="862"/>
        <v>54.708098061897196</v>
      </c>
      <c r="DW227" s="610">
        <f t="shared" si="862"/>
        <v>56.075800513444619</v>
      </c>
      <c r="DX227" s="610">
        <f t="shared" si="862"/>
        <v>56.075800513444619</v>
      </c>
      <c r="DY227" s="610">
        <f t="shared" si="862"/>
        <v>56.075800513444619</v>
      </c>
      <c r="DZ227" s="611">
        <f t="shared" si="862"/>
        <v>56.075800513444619</v>
      </c>
      <c r="EA227" s="610">
        <f t="shared" si="862"/>
        <v>56.075800513444619</v>
      </c>
      <c r="EB227" s="610">
        <f t="shared" si="862"/>
        <v>56.075800513444619</v>
      </c>
      <c r="EC227" s="662">
        <f t="shared" si="862"/>
        <v>56.075800513444619</v>
      </c>
      <c r="ED227" s="610">
        <f t="shared" si="862"/>
        <v>57.477695526280733</v>
      </c>
      <c r="EE227" s="610">
        <f t="shared" si="862"/>
        <v>57.477695526280733</v>
      </c>
      <c r="EF227" s="610">
        <f t="shared" si="862"/>
        <v>57.477695526280733</v>
      </c>
      <c r="EG227" s="611">
        <f t="shared" si="862"/>
        <v>57.477695526280733</v>
      </c>
      <c r="EH227" s="610">
        <f t="shared" si="862"/>
        <v>57.477695526280733</v>
      </c>
      <c r="EI227" s="610">
        <f t="shared" si="862"/>
        <v>57.477695526280733</v>
      </c>
      <c r="EJ227" s="662">
        <f t="shared" si="862"/>
        <v>57.477695526280733</v>
      </c>
      <c r="EK227" s="610">
        <f t="shared" si="862"/>
        <v>58.914637914437748</v>
      </c>
      <c r="EL227" s="610">
        <f t="shared" si="862"/>
        <v>58.914637914437748</v>
      </c>
      <c r="EM227" s="610">
        <f t="shared" si="862"/>
        <v>58.914637914437748</v>
      </c>
      <c r="EN227" s="611">
        <f t="shared" si="862"/>
        <v>58.914637914437748</v>
      </c>
      <c r="EO227" s="610">
        <f t="shared" si="862"/>
        <v>58.914637914437748</v>
      </c>
      <c r="EP227" s="610">
        <f t="shared" si="862"/>
        <v>58.914637914437748</v>
      </c>
      <c r="EQ227" s="662">
        <f>EQ178*(1-EQ204)</f>
        <v>58.914637914437748</v>
      </c>
    </row>
    <row r="228" spans="1:147" ht="10.199999999999999" customHeight="1">
      <c r="A228" s="607" t="str">
        <f t="shared" si="804"/>
        <v>A321neo</v>
      </c>
      <c r="B228" s="608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1215"/>
      <c r="P228" s="1215"/>
      <c r="Q228" s="1215"/>
      <c r="R228" s="1306"/>
      <c r="S228" s="1215"/>
      <c r="T228" s="1215"/>
      <c r="U228" s="1307">
        <f t="shared" ref="U228:BD228" si="863">U179*(1-U205)</f>
        <v>88.050000000000011</v>
      </c>
      <c r="V228" s="1215"/>
      <c r="W228" s="1215"/>
      <c r="X228" s="1215"/>
      <c r="Y228" s="1306"/>
      <c r="Z228" s="1215"/>
      <c r="AA228" s="1215"/>
      <c r="AB228" s="1307">
        <f t="shared" si="863"/>
        <v>66.275000000000006</v>
      </c>
      <c r="AC228" s="1215"/>
      <c r="AD228" s="1215"/>
      <c r="AE228" s="1215"/>
      <c r="AF228" s="1306"/>
      <c r="AG228" s="1215"/>
      <c r="AH228" s="1215"/>
      <c r="AI228" s="1307">
        <f t="shared" si="863"/>
        <v>68.42</v>
      </c>
      <c r="AJ228" s="1215"/>
      <c r="AK228" s="1215"/>
      <c r="AL228" s="1215"/>
      <c r="AM228" s="1306"/>
      <c r="AN228" s="1215"/>
      <c r="AO228" s="1215"/>
      <c r="AP228" s="1307">
        <f t="shared" si="863"/>
        <v>69.135000000000005</v>
      </c>
      <c r="AQ228" s="1215"/>
      <c r="AR228" s="1215"/>
      <c r="AS228" s="1215"/>
      <c r="AT228" s="1306"/>
      <c r="AU228" s="1215"/>
      <c r="AV228" s="1215"/>
      <c r="AW228" s="1307">
        <f t="shared" si="863"/>
        <v>69.850000000000009</v>
      </c>
      <c r="AX228" s="1215"/>
      <c r="AY228" s="1215"/>
      <c r="AZ228" s="1215"/>
      <c r="BA228" s="1306"/>
      <c r="BB228" s="1215"/>
      <c r="BC228" s="1215"/>
      <c r="BD228" s="1307">
        <f t="shared" si="863"/>
        <v>63.5</v>
      </c>
      <c r="BE228" s="1215"/>
      <c r="BF228" s="1215"/>
      <c r="BG228" s="1215"/>
      <c r="BH228" s="1306"/>
      <c r="BI228" s="1215"/>
      <c r="BJ228" s="1215"/>
      <c r="BK228" s="1307">
        <f t="shared" si="833"/>
        <v>58.620769296386918</v>
      </c>
      <c r="BL228" s="1215"/>
      <c r="BM228" s="1215"/>
      <c r="BN228" s="1215"/>
      <c r="BO228" s="1306"/>
      <c r="BP228" s="1215"/>
      <c r="BQ228" s="1215"/>
      <c r="BR228" s="1307">
        <f t="shared" si="833"/>
        <v>62.398966927013859</v>
      </c>
      <c r="BS228" s="1215"/>
      <c r="BT228" s="1215"/>
      <c r="BU228" s="1215"/>
      <c r="BV228" s="1306"/>
      <c r="BW228" s="1215"/>
      <c r="BX228" s="1215"/>
      <c r="BY228" s="1307">
        <f t="shared" si="833"/>
        <v>58.340451946150608</v>
      </c>
      <c r="BZ228" s="1215"/>
      <c r="CA228" s="1215"/>
      <c r="CB228" s="1215"/>
      <c r="CC228" s="1306"/>
      <c r="CD228" s="1215"/>
      <c r="CE228" s="1215"/>
      <c r="CF228" s="1307">
        <f t="shared" si="833"/>
        <v>61.584132669882138</v>
      </c>
      <c r="CG228" s="1215"/>
      <c r="CH228" s="1215"/>
      <c r="CI228" s="1215"/>
      <c r="CJ228" s="1306"/>
      <c r="CK228" s="1215"/>
      <c r="CL228" s="1215"/>
      <c r="CM228" s="1307">
        <f t="shared" si="833"/>
        <v>60.229348709145626</v>
      </c>
      <c r="CN228" s="1215">
        <f t="shared" si="833"/>
        <v>61.659462606209999</v>
      </c>
      <c r="CO228" s="1215">
        <f t="shared" si="816"/>
        <v>61.659462606209999</v>
      </c>
      <c r="CP228" s="1215">
        <f t="shared" ref="CP228" si="864">CP179*(1-CP205)</f>
        <v>61.659462606209999</v>
      </c>
      <c r="CQ228" s="1306">
        <f t="shared" si="818"/>
        <v>58.757840836505991</v>
      </c>
      <c r="CR228" s="1215">
        <f t="shared" si="833"/>
        <v>61.659462606209999</v>
      </c>
      <c r="CS228" s="1215">
        <f t="shared" si="819"/>
        <v>60.208651721357995</v>
      </c>
      <c r="CT228" s="1307">
        <f t="shared" ref="CT228:CW228" si="865">CT179*(1-CT205)</f>
        <v>60.934057163783997</v>
      </c>
      <c r="CU228" s="1215">
        <f t="shared" si="865"/>
        <v>62.457408592878586</v>
      </c>
      <c r="CV228" s="1215">
        <f t="shared" si="821"/>
        <v>66.918652063798504</v>
      </c>
      <c r="CW228" s="1215">
        <f t="shared" si="865"/>
        <v>62.457408592878586</v>
      </c>
      <c r="CX228" s="1306">
        <f t="shared" si="822"/>
        <v>63.94448974985189</v>
      </c>
      <c r="CY228" s="1215">
        <f t="shared" ref="CY228" si="866">CY179*(1-CY205)</f>
        <v>64.688030328338542</v>
      </c>
      <c r="CZ228" s="1215">
        <f t="shared" si="824"/>
        <v>63.200949171365238</v>
      </c>
      <c r="DA228" s="1307">
        <f t="shared" ref="DA228:EQ228" si="867">DA179*(1-DA205)</f>
        <v>63.94448974985189</v>
      </c>
      <c r="DB228" s="1215">
        <f t="shared" si="867"/>
        <v>64.018843807700549</v>
      </c>
      <c r="DC228" s="1215">
        <f t="shared" si="826"/>
        <v>61.602188759231751</v>
      </c>
      <c r="DD228" s="1215">
        <f t="shared" si="867"/>
        <v>62.565844396835601</v>
      </c>
      <c r="DE228" s="1306">
        <f t="shared" si="827"/>
        <v>63.343849852625453</v>
      </c>
      <c r="DF228" s="1215">
        <f t="shared" ref="DF228:DF232" si="868">DF179*(1-DF205)</f>
        <v>62.81051628346615</v>
      </c>
      <c r="DG228" s="1215">
        <f t="shared" si="828"/>
        <v>62.954847124730527</v>
      </c>
      <c r="DH228" s="1307">
        <f t="shared" si="867"/>
        <v>62.882681704098339</v>
      </c>
      <c r="DI228" s="1215">
        <f t="shared" si="867"/>
        <v>67.691413241059706</v>
      </c>
      <c r="DJ228" s="1215">
        <f t="shared" si="829"/>
        <v>65.388630003722199</v>
      </c>
      <c r="DK228" s="610">
        <f t="shared" si="867"/>
        <v>62.494585621802905</v>
      </c>
      <c r="DL228" s="611">
        <f t="shared" si="830"/>
        <v>60.653172182807118</v>
      </c>
      <c r="DM228" s="1215">
        <f t="shared" si="867"/>
        <v>66.540021622390952</v>
      </c>
      <c r="DN228" s="610">
        <f t="shared" si="831"/>
        <v>61.573878902305012</v>
      </c>
      <c r="DO228" s="662">
        <f t="shared" si="867"/>
        <v>64.056950262347982</v>
      </c>
      <c r="DP228" s="610">
        <f t="shared" si="867"/>
        <v>65.65837401890667</v>
      </c>
      <c r="DQ228" s="610">
        <f t="shared" si="867"/>
        <v>65.65837401890667</v>
      </c>
      <c r="DR228" s="610">
        <f t="shared" si="867"/>
        <v>65.65837401890667</v>
      </c>
      <c r="DS228" s="611">
        <f t="shared" si="867"/>
        <v>65.65837401890667</v>
      </c>
      <c r="DT228" s="610">
        <f t="shared" si="867"/>
        <v>65.65837401890667</v>
      </c>
      <c r="DU228" s="610">
        <f t="shared" si="867"/>
        <v>65.65837401890667</v>
      </c>
      <c r="DV228" s="662">
        <f t="shared" si="867"/>
        <v>65.65837401890667</v>
      </c>
      <c r="DW228" s="610">
        <f t="shared" si="867"/>
        <v>67.299833369379328</v>
      </c>
      <c r="DX228" s="610">
        <f t="shared" si="867"/>
        <v>67.299833369379328</v>
      </c>
      <c r="DY228" s="610">
        <f t="shared" si="867"/>
        <v>67.299833369379328</v>
      </c>
      <c r="DZ228" s="611">
        <f t="shared" si="867"/>
        <v>67.299833369379328</v>
      </c>
      <c r="EA228" s="610">
        <f t="shared" si="867"/>
        <v>67.299833369379328</v>
      </c>
      <c r="EB228" s="610">
        <f t="shared" si="867"/>
        <v>67.299833369379328</v>
      </c>
      <c r="EC228" s="662">
        <f t="shared" si="867"/>
        <v>67.299833369379328</v>
      </c>
      <c r="ED228" s="610">
        <f t="shared" si="867"/>
        <v>68.982329203613801</v>
      </c>
      <c r="EE228" s="610">
        <f t="shared" si="867"/>
        <v>68.982329203613801</v>
      </c>
      <c r="EF228" s="610">
        <f t="shared" si="867"/>
        <v>68.982329203613801</v>
      </c>
      <c r="EG228" s="611">
        <f t="shared" si="867"/>
        <v>68.982329203613801</v>
      </c>
      <c r="EH228" s="610">
        <f t="shared" si="867"/>
        <v>68.982329203613801</v>
      </c>
      <c r="EI228" s="610">
        <f t="shared" si="867"/>
        <v>68.982329203613801</v>
      </c>
      <c r="EJ228" s="662">
        <f t="shared" si="867"/>
        <v>68.982329203613801</v>
      </c>
      <c r="EK228" s="610">
        <f t="shared" si="867"/>
        <v>70.706887433704139</v>
      </c>
      <c r="EL228" s="610">
        <f t="shared" si="867"/>
        <v>70.706887433704139</v>
      </c>
      <c r="EM228" s="610">
        <f t="shared" si="867"/>
        <v>70.706887433704139</v>
      </c>
      <c r="EN228" s="611">
        <f t="shared" si="867"/>
        <v>70.706887433704139</v>
      </c>
      <c r="EO228" s="610">
        <f t="shared" si="867"/>
        <v>70.706887433704139</v>
      </c>
      <c r="EP228" s="610">
        <f t="shared" si="867"/>
        <v>70.706887433704139</v>
      </c>
      <c r="EQ228" s="662">
        <f t="shared" si="867"/>
        <v>70.706887433704139</v>
      </c>
    </row>
    <row r="229" spans="1:147" ht="10.199999999999999" customHeight="1">
      <c r="A229" s="607" t="str">
        <f t="shared" si="804"/>
        <v>A330-200</v>
      </c>
      <c r="B229" s="608"/>
      <c r="C229" s="609">
        <f t="shared" ref="C229:BD229" si="869">C180*(1-C206)</f>
        <v>96.827095616278797</v>
      </c>
      <c r="D229" s="609">
        <f t="shared" si="869"/>
        <v>102.21068213254389</v>
      </c>
      <c r="E229" s="609">
        <f t="shared" si="869"/>
        <v>99.753694581280797</v>
      </c>
      <c r="F229" s="609">
        <f t="shared" si="869"/>
        <v>100.575</v>
      </c>
      <c r="G229" s="609">
        <f t="shared" si="869"/>
        <v>104.13899999999998</v>
      </c>
      <c r="H229" s="609">
        <f t="shared" si="869"/>
        <v>105.17953359374998</v>
      </c>
      <c r="I229" s="609">
        <f t="shared" si="869"/>
        <v>98.640148211718724</v>
      </c>
      <c r="J229" s="609">
        <f t="shared" si="869"/>
        <v>97.612279046542938</v>
      </c>
      <c r="K229" s="609">
        <f t="shared" si="869"/>
        <v>98.894671556585564</v>
      </c>
      <c r="L229" s="609">
        <f t="shared" si="869"/>
        <v>124.41000000000001</v>
      </c>
      <c r="M229" s="609">
        <f t="shared" si="869"/>
        <v>130.52000000000001</v>
      </c>
      <c r="N229" s="609">
        <f t="shared" si="869"/>
        <v>99.773750000000007</v>
      </c>
      <c r="O229" s="1215"/>
      <c r="P229" s="1215"/>
      <c r="Q229" s="1215"/>
      <c r="R229" s="1306"/>
      <c r="S229" s="1215"/>
      <c r="T229" s="1215"/>
      <c r="U229" s="1307">
        <f t="shared" si="869"/>
        <v>101.184</v>
      </c>
      <c r="V229" s="1215"/>
      <c r="W229" s="1215"/>
      <c r="X229" s="1215"/>
      <c r="Y229" s="1306"/>
      <c r="Z229" s="1215"/>
      <c r="AA229" s="1215"/>
      <c r="AB229" s="1307">
        <f t="shared" si="869"/>
        <v>139.46576956805993</v>
      </c>
      <c r="AC229" s="1215"/>
      <c r="AD229" s="1215"/>
      <c r="AE229" s="1215"/>
      <c r="AF229" s="1306"/>
      <c r="AG229" s="1215"/>
      <c r="AH229" s="1215"/>
      <c r="AI229" s="1307">
        <f t="shared" si="869"/>
        <v>125.95000000000002</v>
      </c>
      <c r="AJ229" s="1215"/>
      <c r="AK229" s="1215"/>
      <c r="AL229" s="1215"/>
      <c r="AM229" s="1306"/>
      <c r="AN229" s="1215"/>
      <c r="AO229" s="1215"/>
      <c r="AP229" s="1307">
        <f t="shared" si="869"/>
        <v>127.32500000000002</v>
      </c>
      <c r="AQ229" s="1215"/>
      <c r="AR229" s="1215"/>
      <c r="AS229" s="1215"/>
      <c r="AT229" s="1306"/>
      <c r="AU229" s="1215"/>
      <c r="AV229" s="1215"/>
      <c r="AW229" s="1307">
        <f t="shared" si="869"/>
        <v>116.9</v>
      </c>
      <c r="AX229" s="1215"/>
      <c r="AY229" s="1215"/>
      <c r="AZ229" s="1215"/>
      <c r="BA229" s="1306"/>
      <c r="BB229" s="1215"/>
      <c r="BC229" s="1215"/>
      <c r="BD229" s="1307">
        <f t="shared" si="869"/>
        <v>105.21</v>
      </c>
      <c r="BE229" s="1215"/>
      <c r="BF229" s="1215"/>
      <c r="BG229" s="1215"/>
      <c r="BH229" s="1306"/>
      <c r="BI229" s="1215"/>
      <c r="BJ229" s="1215"/>
      <c r="BK229" s="1307">
        <f t="shared" si="833"/>
        <v>107.32499999999999</v>
      </c>
      <c r="BL229" s="1215"/>
      <c r="BM229" s="1215"/>
      <c r="BN229" s="1215"/>
      <c r="BO229" s="1306"/>
      <c r="BP229" s="1215"/>
      <c r="BQ229" s="1215"/>
      <c r="BR229" s="1307">
        <f t="shared" si="833"/>
        <v>109.47149999999999</v>
      </c>
      <c r="BS229" s="1215"/>
      <c r="BT229" s="1215"/>
      <c r="BU229" s="1215"/>
      <c r="BV229" s="1306"/>
      <c r="BW229" s="1215"/>
      <c r="BX229" s="1215"/>
      <c r="BY229" s="1307">
        <f t="shared" si="833"/>
        <v>99.254160000000013</v>
      </c>
      <c r="BZ229" s="1215"/>
      <c r="CA229" s="1215"/>
      <c r="CB229" s="1215"/>
      <c r="CC229" s="1306"/>
      <c r="CD229" s="1215"/>
      <c r="CE229" s="1215"/>
      <c r="CF229" s="1307">
        <f t="shared" si="833"/>
        <v>101.2392432</v>
      </c>
      <c r="CG229" s="1215"/>
      <c r="CH229" s="1215"/>
      <c r="CI229" s="1215"/>
      <c r="CJ229" s="1306"/>
      <c r="CK229" s="1215"/>
      <c r="CL229" s="1215"/>
      <c r="CM229" s="1307">
        <f t="shared" si="833"/>
        <v>90.35602455599998</v>
      </c>
      <c r="CN229" s="1215">
        <f t="shared" si="833"/>
        <v>93.518485415459978</v>
      </c>
      <c r="CO229" s="1215">
        <f t="shared" si="816"/>
        <v>93.518485415459978</v>
      </c>
      <c r="CP229" s="1215">
        <f t="shared" ref="CP229" si="870">CP180*(1-CP206)</f>
        <v>93.518485415459978</v>
      </c>
      <c r="CQ229" s="1306">
        <f t="shared" si="818"/>
        <v>93.518485415459978</v>
      </c>
      <c r="CR229" s="1215">
        <f t="shared" si="833"/>
        <v>93.518485415459978</v>
      </c>
      <c r="CS229" s="1215">
        <f t="shared" si="819"/>
        <v>93.518485415459978</v>
      </c>
      <c r="CT229" s="1307">
        <f t="shared" ref="CT229:CW229" si="871">CT180*(1-CT206)</f>
        <v>93.518485415459978</v>
      </c>
      <c r="CU229" s="1215">
        <f t="shared" si="871"/>
        <v>95.856447550846468</v>
      </c>
      <c r="CV229" s="1215">
        <f t="shared" si="821"/>
        <v>95.856447550846468</v>
      </c>
      <c r="CW229" s="1215">
        <f t="shared" si="871"/>
        <v>95.856447550846468</v>
      </c>
      <c r="CX229" s="1306">
        <f t="shared" si="822"/>
        <v>95.856447550846468</v>
      </c>
      <c r="CY229" s="1215">
        <f t="shared" ref="CY229" si="872">CY180*(1-CY206)</f>
        <v>95.856447550846468</v>
      </c>
      <c r="CZ229" s="1215">
        <f t="shared" si="824"/>
        <v>95.856447550846468</v>
      </c>
      <c r="DA229" s="1307">
        <f t="shared" ref="DA229:EQ229" si="873">DA180*(1-DA206)</f>
        <v>95.856447550846468</v>
      </c>
      <c r="DB229" s="1215">
        <f t="shared" si="873"/>
        <v>98.252858739617622</v>
      </c>
      <c r="DC229" s="1215">
        <f t="shared" si="826"/>
        <v>98.252858739617622</v>
      </c>
      <c r="DD229" s="1215">
        <f t="shared" si="873"/>
        <v>98.252858739617622</v>
      </c>
      <c r="DE229" s="1306">
        <f t="shared" si="827"/>
        <v>98.252858739617622</v>
      </c>
      <c r="DF229" s="1215">
        <f t="shared" si="868"/>
        <v>98.252858739617622</v>
      </c>
      <c r="DG229" s="1215">
        <f t="shared" si="828"/>
        <v>98.252858739617622</v>
      </c>
      <c r="DH229" s="1307">
        <f t="shared" si="873"/>
        <v>98.252858739617622</v>
      </c>
      <c r="DI229" s="1215">
        <f t="shared" si="873"/>
        <v>100.70918020810805</v>
      </c>
      <c r="DJ229" s="1215">
        <f t="shared" si="829"/>
        <v>100.70918020810805</v>
      </c>
      <c r="DK229" s="610">
        <f t="shared" si="873"/>
        <v>100.70918020810805</v>
      </c>
      <c r="DL229" s="611">
        <f t="shared" si="830"/>
        <v>100.70918020810805</v>
      </c>
      <c r="DM229" s="1215">
        <f t="shared" si="873"/>
        <v>100.70918020810805</v>
      </c>
      <c r="DN229" s="610">
        <f t="shared" si="831"/>
        <v>100.70918020810805</v>
      </c>
      <c r="DO229" s="662">
        <f t="shared" si="873"/>
        <v>100.70918020810805</v>
      </c>
      <c r="DP229" s="610">
        <f t="shared" si="873"/>
        <v>103.22690971331076</v>
      </c>
      <c r="DQ229" s="610">
        <f t="shared" si="873"/>
        <v>103.22690971331076</v>
      </c>
      <c r="DR229" s="610">
        <f t="shared" si="873"/>
        <v>103.22690971331076</v>
      </c>
      <c r="DS229" s="611">
        <f t="shared" si="873"/>
        <v>103.22690971331076</v>
      </c>
      <c r="DT229" s="610">
        <f t="shared" si="873"/>
        <v>103.22690971331076</v>
      </c>
      <c r="DU229" s="610">
        <f t="shared" si="873"/>
        <v>103.22690971331076</v>
      </c>
      <c r="DV229" s="662">
        <f t="shared" si="873"/>
        <v>103.22690971331076</v>
      </c>
      <c r="DW229" s="610">
        <f t="shared" si="873"/>
        <v>105.80758245614352</v>
      </c>
      <c r="DX229" s="610">
        <f t="shared" si="873"/>
        <v>105.80758245614352</v>
      </c>
      <c r="DY229" s="610">
        <f t="shared" si="873"/>
        <v>105.80758245614352</v>
      </c>
      <c r="DZ229" s="611">
        <f t="shared" si="873"/>
        <v>105.80758245614352</v>
      </c>
      <c r="EA229" s="610">
        <f t="shared" si="873"/>
        <v>105.80758245614352</v>
      </c>
      <c r="EB229" s="610">
        <f t="shared" si="873"/>
        <v>105.80758245614352</v>
      </c>
      <c r="EC229" s="662">
        <f t="shared" si="873"/>
        <v>105.80758245614352</v>
      </c>
      <c r="ED229" s="610">
        <f t="shared" si="873"/>
        <v>108.45277201754709</v>
      </c>
      <c r="EE229" s="610">
        <f t="shared" si="873"/>
        <v>108.45277201754709</v>
      </c>
      <c r="EF229" s="610">
        <f t="shared" si="873"/>
        <v>108.45277201754709</v>
      </c>
      <c r="EG229" s="611">
        <f t="shared" si="873"/>
        <v>108.45277201754709</v>
      </c>
      <c r="EH229" s="610">
        <f t="shared" si="873"/>
        <v>108.45277201754709</v>
      </c>
      <c r="EI229" s="610">
        <f t="shared" si="873"/>
        <v>108.45277201754709</v>
      </c>
      <c r="EJ229" s="662">
        <f t="shared" si="873"/>
        <v>108.45277201754709</v>
      </c>
      <c r="EK229" s="610">
        <f t="shared" si="873"/>
        <v>111.16409131798576</v>
      </c>
      <c r="EL229" s="610">
        <f t="shared" si="873"/>
        <v>111.16409131798576</v>
      </c>
      <c r="EM229" s="610">
        <f t="shared" si="873"/>
        <v>111.16409131798576</v>
      </c>
      <c r="EN229" s="611">
        <f t="shared" si="873"/>
        <v>111.16409131798576</v>
      </c>
      <c r="EO229" s="610">
        <f t="shared" si="873"/>
        <v>111.16409131798576</v>
      </c>
      <c r="EP229" s="610">
        <f t="shared" si="873"/>
        <v>111.16409131798576</v>
      </c>
      <c r="EQ229" s="662">
        <f t="shared" si="873"/>
        <v>111.16409131798576</v>
      </c>
    </row>
    <row r="230" spans="1:147" ht="10.199999999999999" customHeight="1">
      <c r="A230" s="607" t="str">
        <f t="shared" si="804"/>
        <v>A330-300</v>
      </c>
      <c r="B230" s="608"/>
      <c r="C230" s="609">
        <f t="shared" ref="C230:BD230" si="874">C181*(1-C207)</f>
        <v>107.58566179586533</v>
      </c>
      <c r="D230" s="609">
        <f t="shared" si="874"/>
        <v>113.56742459171545</v>
      </c>
      <c r="E230" s="609">
        <f t="shared" si="874"/>
        <v>110.83743842364534</v>
      </c>
      <c r="F230" s="609">
        <f t="shared" si="874"/>
        <v>111.75</v>
      </c>
      <c r="G230" s="609">
        <f t="shared" si="874"/>
        <v>115.70999999999998</v>
      </c>
      <c r="H230" s="609">
        <f t="shared" si="874"/>
        <v>116.86614843749997</v>
      </c>
      <c r="I230" s="609">
        <f t="shared" si="874"/>
        <v>109.60016467968747</v>
      </c>
      <c r="J230" s="609">
        <f t="shared" si="874"/>
        <v>108.45808782949216</v>
      </c>
      <c r="K230" s="609">
        <f t="shared" si="874"/>
        <v>109.88296839620619</v>
      </c>
      <c r="L230" s="609">
        <f t="shared" si="874"/>
        <v>138.06</v>
      </c>
      <c r="M230" s="609">
        <f t="shared" si="874"/>
        <v>144.625</v>
      </c>
      <c r="N230" s="609">
        <f t="shared" si="874"/>
        <v>109.77249999999999</v>
      </c>
      <c r="O230" s="1215"/>
      <c r="P230" s="1215"/>
      <c r="Q230" s="1215"/>
      <c r="R230" s="1306"/>
      <c r="S230" s="1215"/>
      <c r="T230" s="1215"/>
      <c r="U230" s="1307">
        <f t="shared" si="874"/>
        <v>111.321</v>
      </c>
      <c r="V230" s="1215"/>
      <c r="W230" s="1215"/>
      <c r="X230" s="1215"/>
      <c r="Y230" s="1306"/>
      <c r="Z230" s="1215"/>
      <c r="AA230" s="1215"/>
      <c r="AB230" s="1307">
        <f t="shared" si="874"/>
        <v>153.42796419223077</v>
      </c>
      <c r="AC230" s="1215"/>
      <c r="AD230" s="1215"/>
      <c r="AE230" s="1215"/>
      <c r="AF230" s="1306"/>
      <c r="AG230" s="1215"/>
      <c r="AH230" s="1215"/>
      <c r="AI230" s="1307">
        <f t="shared" si="874"/>
        <v>139.535</v>
      </c>
      <c r="AJ230" s="1215"/>
      <c r="AK230" s="1215"/>
      <c r="AL230" s="1215"/>
      <c r="AM230" s="1306"/>
      <c r="AN230" s="1215"/>
      <c r="AO230" s="1215"/>
      <c r="AP230" s="1307">
        <f t="shared" si="874"/>
        <v>141.02000000000001</v>
      </c>
      <c r="AQ230" s="1215"/>
      <c r="AR230" s="1215"/>
      <c r="AS230" s="1215"/>
      <c r="AT230" s="1306"/>
      <c r="AU230" s="1215"/>
      <c r="AV230" s="1215"/>
      <c r="AW230" s="1307">
        <f t="shared" si="874"/>
        <v>129.5</v>
      </c>
      <c r="AX230" s="1215"/>
      <c r="AY230" s="1215"/>
      <c r="AZ230" s="1215"/>
      <c r="BA230" s="1306"/>
      <c r="BB230" s="1215"/>
      <c r="BC230" s="1215"/>
      <c r="BD230" s="1307">
        <f t="shared" si="874"/>
        <v>116.54999999999998</v>
      </c>
      <c r="BE230" s="1215"/>
      <c r="BF230" s="1215"/>
      <c r="BG230" s="1215"/>
      <c r="BH230" s="1306"/>
      <c r="BI230" s="1215"/>
      <c r="BJ230" s="1215"/>
      <c r="BK230" s="1307">
        <f t="shared" si="833"/>
        <v>118.88999999999999</v>
      </c>
      <c r="BL230" s="1215"/>
      <c r="BM230" s="1215"/>
      <c r="BN230" s="1215"/>
      <c r="BO230" s="1306"/>
      <c r="BP230" s="1215"/>
      <c r="BQ230" s="1215"/>
      <c r="BR230" s="1307">
        <f t="shared" si="833"/>
        <v>121.26779999999998</v>
      </c>
      <c r="BS230" s="1215"/>
      <c r="BT230" s="1215"/>
      <c r="BU230" s="1215"/>
      <c r="BV230" s="1306"/>
      <c r="BW230" s="1215"/>
      <c r="BX230" s="1215"/>
      <c r="BY230" s="1307">
        <f t="shared" si="833"/>
        <v>109.949472</v>
      </c>
      <c r="BZ230" s="1215"/>
      <c r="CA230" s="1215"/>
      <c r="CB230" s="1215"/>
      <c r="CC230" s="1306"/>
      <c r="CD230" s="1215"/>
      <c r="CE230" s="1215"/>
      <c r="CF230" s="1307">
        <f t="shared" si="833"/>
        <v>112.14846143999999</v>
      </c>
      <c r="CG230" s="1215"/>
      <c r="CH230" s="1215"/>
      <c r="CI230" s="1215"/>
      <c r="CJ230" s="1306"/>
      <c r="CK230" s="1215"/>
      <c r="CL230" s="1215"/>
      <c r="CM230" s="1307">
        <f t="shared" si="833"/>
        <v>100.09250183519998</v>
      </c>
      <c r="CN230" s="1215">
        <f t="shared" si="833"/>
        <v>103.59573939943196</v>
      </c>
      <c r="CO230" s="1215">
        <f t="shared" si="816"/>
        <v>103.59573939943196</v>
      </c>
      <c r="CP230" s="1215">
        <f t="shared" ref="CP230" si="875">CP181*(1-CP207)</f>
        <v>103.59573939943196</v>
      </c>
      <c r="CQ230" s="1306">
        <f t="shared" si="818"/>
        <v>103.59573939943196</v>
      </c>
      <c r="CR230" s="1215">
        <f t="shared" si="833"/>
        <v>103.59573939943196</v>
      </c>
      <c r="CS230" s="1215">
        <f t="shared" si="819"/>
        <v>103.59573939943196</v>
      </c>
      <c r="CT230" s="1307">
        <f t="shared" ref="CT230:CW230" si="876">CT181*(1-CT207)</f>
        <v>103.59573939943196</v>
      </c>
      <c r="CU230" s="1215">
        <f t="shared" si="876"/>
        <v>106.18563288441776</v>
      </c>
      <c r="CV230" s="1215">
        <f t="shared" si="821"/>
        <v>106.18563288441776</v>
      </c>
      <c r="CW230" s="1215">
        <f t="shared" si="876"/>
        <v>106.18563288441776</v>
      </c>
      <c r="CX230" s="1306">
        <f t="shared" si="822"/>
        <v>106.18563288441776</v>
      </c>
      <c r="CY230" s="1215">
        <f t="shared" ref="CY230" si="877">CY181*(1-CY207)</f>
        <v>106.18563288441776</v>
      </c>
      <c r="CZ230" s="1215">
        <f t="shared" si="824"/>
        <v>106.18563288441776</v>
      </c>
      <c r="DA230" s="1307">
        <f t="shared" ref="DA230:EQ230" si="878">DA181*(1-DA207)</f>
        <v>106.18563288441776</v>
      </c>
      <c r="DB230" s="1215">
        <f t="shared" si="878"/>
        <v>108.84027370652819</v>
      </c>
      <c r="DC230" s="1215">
        <f t="shared" si="826"/>
        <v>108.84027370652819</v>
      </c>
      <c r="DD230" s="1215">
        <f t="shared" si="878"/>
        <v>108.84027370652819</v>
      </c>
      <c r="DE230" s="1306">
        <f t="shared" si="827"/>
        <v>108.84027370652819</v>
      </c>
      <c r="DF230" s="1215">
        <f t="shared" si="868"/>
        <v>108.84027370652819</v>
      </c>
      <c r="DG230" s="1215">
        <f t="shared" si="828"/>
        <v>108.84027370652819</v>
      </c>
      <c r="DH230" s="1307">
        <f t="shared" si="878"/>
        <v>108.84027370652819</v>
      </c>
      <c r="DI230" s="1215">
        <f t="shared" si="878"/>
        <v>111.56128054919139</v>
      </c>
      <c r="DJ230" s="1215">
        <f t="shared" si="829"/>
        <v>111.56128054919139</v>
      </c>
      <c r="DK230" s="610">
        <f t="shared" si="878"/>
        <v>111.56128054919139</v>
      </c>
      <c r="DL230" s="611">
        <f t="shared" si="830"/>
        <v>111.56128054919139</v>
      </c>
      <c r="DM230" s="1215">
        <f t="shared" si="878"/>
        <v>111.56128054919139</v>
      </c>
      <c r="DN230" s="610">
        <f t="shared" si="831"/>
        <v>111.56128054919139</v>
      </c>
      <c r="DO230" s="662">
        <f t="shared" si="878"/>
        <v>111.56128054919139</v>
      </c>
      <c r="DP230" s="610">
        <f t="shared" si="878"/>
        <v>114.35031256292118</v>
      </c>
      <c r="DQ230" s="610">
        <f t="shared" si="878"/>
        <v>114.35031256292118</v>
      </c>
      <c r="DR230" s="610">
        <f t="shared" si="878"/>
        <v>114.35031256292118</v>
      </c>
      <c r="DS230" s="611">
        <f t="shared" si="878"/>
        <v>114.35031256292118</v>
      </c>
      <c r="DT230" s="610">
        <f t="shared" si="878"/>
        <v>114.35031256292118</v>
      </c>
      <c r="DU230" s="610">
        <f t="shared" si="878"/>
        <v>114.35031256292118</v>
      </c>
      <c r="DV230" s="662">
        <f t="shared" si="878"/>
        <v>114.35031256292118</v>
      </c>
      <c r="DW230" s="610">
        <f t="shared" si="878"/>
        <v>117.20907037699419</v>
      </c>
      <c r="DX230" s="610">
        <f t="shared" si="878"/>
        <v>117.20907037699419</v>
      </c>
      <c r="DY230" s="610">
        <f t="shared" si="878"/>
        <v>117.20907037699419</v>
      </c>
      <c r="DZ230" s="611">
        <f t="shared" si="878"/>
        <v>117.20907037699419</v>
      </c>
      <c r="EA230" s="610">
        <f t="shared" si="878"/>
        <v>117.20907037699419</v>
      </c>
      <c r="EB230" s="610">
        <f t="shared" si="878"/>
        <v>117.20907037699419</v>
      </c>
      <c r="EC230" s="662">
        <f t="shared" si="878"/>
        <v>117.20907037699419</v>
      </c>
      <c r="ED230" s="610">
        <f t="shared" si="878"/>
        <v>120.13929713641903</v>
      </c>
      <c r="EE230" s="610">
        <f t="shared" si="878"/>
        <v>120.13929713641903</v>
      </c>
      <c r="EF230" s="610">
        <f t="shared" si="878"/>
        <v>120.13929713641903</v>
      </c>
      <c r="EG230" s="611">
        <f t="shared" si="878"/>
        <v>120.13929713641903</v>
      </c>
      <c r="EH230" s="610">
        <f t="shared" si="878"/>
        <v>120.13929713641903</v>
      </c>
      <c r="EI230" s="610">
        <f t="shared" si="878"/>
        <v>120.13929713641903</v>
      </c>
      <c r="EJ230" s="662">
        <f t="shared" si="878"/>
        <v>120.13929713641903</v>
      </c>
      <c r="EK230" s="610">
        <f t="shared" si="878"/>
        <v>123.1427795648295</v>
      </c>
      <c r="EL230" s="610">
        <f t="shared" si="878"/>
        <v>123.1427795648295</v>
      </c>
      <c r="EM230" s="610">
        <f t="shared" si="878"/>
        <v>123.1427795648295</v>
      </c>
      <c r="EN230" s="611">
        <f t="shared" si="878"/>
        <v>123.1427795648295</v>
      </c>
      <c r="EO230" s="610">
        <f t="shared" si="878"/>
        <v>123.1427795648295</v>
      </c>
      <c r="EP230" s="610">
        <f t="shared" si="878"/>
        <v>123.1427795648295</v>
      </c>
      <c r="EQ230" s="662">
        <f t="shared" si="878"/>
        <v>123.1427795648295</v>
      </c>
    </row>
    <row r="231" spans="1:147" ht="10.199999999999999" customHeight="1">
      <c r="A231" s="607" t="str">
        <f t="shared" si="804"/>
        <v>A330-800neo</v>
      </c>
      <c r="B231" s="608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1215"/>
      <c r="P231" s="1215"/>
      <c r="Q231" s="1215"/>
      <c r="R231" s="1306"/>
      <c r="S231" s="1215"/>
      <c r="T231" s="1215"/>
      <c r="U231" s="1307"/>
      <c r="V231" s="1215"/>
      <c r="W231" s="1215"/>
      <c r="X231" s="1215"/>
      <c r="Y231" s="1306"/>
      <c r="Z231" s="1215"/>
      <c r="AA231" s="1215"/>
      <c r="AB231" s="1307"/>
      <c r="AC231" s="1215"/>
      <c r="AD231" s="1215"/>
      <c r="AE231" s="1215"/>
      <c r="AF231" s="1306"/>
      <c r="AG231" s="1215"/>
      <c r="AH231" s="1215"/>
      <c r="AI231" s="1307"/>
      <c r="AJ231" s="1215"/>
      <c r="AK231" s="1215"/>
      <c r="AL231" s="1215"/>
      <c r="AM231" s="1306"/>
      <c r="AN231" s="1215"/>
      <c r="AO231" s="1215"/>
      <c r="AP231" s="1307"/>
      <c r="AQ231" s="1215"/>
      <c r="AR231" s="1215"/>
      <c r="AS231" s="1215"/>
      <c r="AT231" s="1306"/>
      <c r="AU231" s="1215"/>
      <c r="AV231" s="1215"/>
      <c r="AW231" s="1307">
        <f>AW182*(1-AW208)</f>
        <v>114.66</v>
      </c>
      <c r="AX231" s="1215"/>
      <c r="AY231" s="1215"/>
      <c r="AZ231" s="1215"/>
      <c r="BA231" s="1306"/>
      <c r="BB231" s="1215"/>
      <c r="BC231" s="1215"/>
      <c r="BD231" s="1307">
        <f>BD182*(1-BD208)</f>
        <v>101.92000000000002</v>
      </c>
      <c r="BE231" s="1215"/>
      <c r="BF231" s="1215"/>
      <c r="BG231" s="1215"/>
      <c r="BH231" s="1306"/>
      <c r="BI231" s="1215"/>
      <c r="BJ231" s="1215"/>
      <c r="BK231" s="1307">
        <f t="shared" si="833"/>
        <v>103.96</v>
      </c>
      <c r="BL231" s="1215"/>
      <c r="BM231" s="1215"/>
      <c r="BN231" s="1215"/>
      <c r="BO231" s="1306"/>
      <c r="BP231" s="1215"/>
      <c r="BQ231" s="1215"/>
      <c r="BR231" s="1307">
        <f t="shared" si="833"/>
        <v>106.03919999999999</v>
      </c>
      <c r="BS231" s="1215"/>
      <c r="BT231" s="1215"/>
      <c r="BU231" s="1215"/>
      <c r="BV231" s="1306"/>
      <c r="BW231" s="1215"/>
      <c r="BX231" s="1215"/>
      <c r="BY231" s="1307">
        <f t="shared" si="833"/>
        <v>108.15998399999999</v>
      </c>
      <c r="BZ231" s="1215"/>
      <c r="CA231" s="1215"/>
      <c r="CB231" s="1215"/>
      <c r="CC231" s="1306"/>
      <c r="CD231" s="1215"/>
      <c r="CE231" s="1215"/>
      <c r="CF231" s="1307">
        <f t="shared" si="833"/>
        <v>110.32318368</v>
      </c>
      <c r="CG231" s="1215"/>
      <c r="CH231" s="1215"/>
      <c r="CI231" s="1215"/>
      <c r="CJ231" s="1306"/>
      <c r="CK231" s="1215"/>
      <c r="CL231" s="1215"/>
      <c r="CM231" s="1307">
        <f t="shared" si="833"/>
        <v>112.5296473536</v>
      </c>
      <c r="CN231" s="1215">
        <f t="shared" si="833"/>
        <v>116.46818501097599</v>
      </c>
      <c r="CO231" s="1215">
        <f t="shared" si="816"/>
        <v>116.46818501097599</v>
      </c>
      <c r="CP231" s="1215">
        <f t="shared" ref="CP231" si="879">CP182*(1-CP208)</f>
        <v>116.46818501097599</v>
      </c>
      <c r="CQ231" s="1306">
        <f t="shared" si="818"/>
        <v>116.46818501097599</v>
      </c>
      <c r="CR231" s="1215">
        <f t="shared" si="833"/>
        <v>116.46818501097599</v>
      </c>
      <c r="CS231" s="1215">
        <f t="shared" si="819"/>
        <v>116.46818501097599</v>
      </c>
      <c r="CT231" s="1307">
        <f t="shared" ref="CT231:CW231" si="880">CT182*(1-CT208)</f>
        <v>116.46818501097599</v>
      </c>
      <c r="CU231" s="1215">
        <f t="shared" si="880"/>
        <v>119.37988963625037</v>
      </c>
      <c r="CV231" s="1215">
        <f t="shared" si="821"/>
        <v>119.37988963625037</v>
      </c>
      <c r="CW231" s="1215">
        <f t="shared" si="880"/>
        <v>119.37988963625037</v>
      </c>
      <c r="CX231" s="1306">
        <f t="shared" si="822"/>
        <v>119.37988963625037</v>
      </c>
      <c r="CY231" s="1215">
        <f t="shared" ref="CY231" si="881">CY182*(1-CY208)</f>
        <v>119.37988963625037</v>
      </c>
      <c r="CZ231" s="1215">
        <f t="shared" si="824"/>
        <v>119.37988963625037</v>
      </c>
      <c r="DA231" s="1307">
        <f t="shared" ref="DA231:EQ231" si="882">DA182*(1-DA208)</f>
        <v>119.37988963625037</v>
      </c>
      <c r="DB231" s="1215">
        <f t="shared" si="882"/>
        <v>122.36438687715662</v>
      </c>
      <c r="DC231" s="1215">
        <f t="shared" si="826"/>
        <v>122.36438687715662</v>
      </c>
      <c r="DD231" s="1215">
        <f t="shared" si="882"/>
        <v>122.36438687715662</v>
      </c>
      <c r="DE231" s="1306">
        <f t="shared" si="827"/>
        <v>122.36438687715662</v>
      </c>
      <c r="DF231" s="1215">
        <f t="shared" si="868"/>
        <v>122.36438687715662</v>
      </c>
      <c r="DG231" s="1215">
        <f t="shared" si="828"/>
        <v>122.36438687715662</v>
      </c>
      <c r="DH231" s="1307">
        <f t="shared" si="882"/>
        <v>122.36438687715662</v>
      </c>
      <c r="DI231" s="1215">
        <f t="shared" si="882"/>
        <v>125.42349654908551</v>
      </c>
      <c r="DJ231" s="1215">
        <f t="shared" si="829"/>
        <v>125.42349654908551</v>
      </c>
      <c r="DK231" s="610">
        <f t="shared" si="882"/>
        <v>125.42349654908551</v>
      </c>
      <c r="DL231" s="611">
        <f t="shared" si="830"/>
        <v>125.42349654908551</v>
      </c>
      <c r="DM231" s="1215">
        <f t="shared" si="882"/>
        <v>125.42349654908551</v>
      </c>
      <c r="DN231" s="610">
        <f t="shared" si="831"/>
        <v>125.42349654908551</v>
      </c>
      <c r="DO231" s="662">
        <f t="shared" si="882"/>
        <v>125.42349654908551</v>
      </c>
      <c r="DP231" s="610">
        <f t="shared" si="882"/>
        <v>128.55908396281265</v>
      </c>
      <c r="DQ231" s="610">
        <f t="shared" si="882"/>
        <v>128.55908396281265</v>
      </c>
      <c r="DR231" s="610">
        <f t="shared" si="882"/>
        <v>128.55908396281265</v>
      </c>
      <c r="DS231" s="611">
        <f t="shared" si="882"/>
        <v>128.55908396281265</v>
      </c>
      <c r="DT231" s="610">
        <f t="shared" si="882"/>
        <v>128.55908396281265</v>
      </c>
      <c r="DU231" s="610">
        <f t="shared" si="882"/>
        <v>128.55908396281265</v>
      </c>
      <c r="DV231" s="662">
        <f t="shared" si="882"/>
        <v>128.55908396281265</v>
      </c>
      <c r="DW231" s="610">
        <f t="shared" si="882"/>
        <v>131.77306106188294</v>
      </c>
      <c r="DX231" s="610">
        <f t="shared" si="882"/>
        <v>131.77306106188294</v>
      </c>
      <c r="DY231" s="610">
        <f t="shared" si="882"/>
        <v>131.77306106188294</v>
      </c>
      <c r="DZ231" s="611">
        <f t="shared" si="882"/>
        <v>131.77306106188294</v>
      </c>
      <c r="EA231" s="610">
        <f t="shared" si="882"/>
        <v>131.77306106188294</v>
      </c>
      <c r="EB231" s="610">
        <f t="shared" si="882"/>
        <v>131.77306106188294</v>
      </c>
      <c r="EC231" s="662">
        <f t="shared" si="882"/>
        <v>131.77306106188294</v>
      </c>
      <c r="ED231" s="610">
        <f t="shared" si="882"/>
        <v>135.06738758843002</v>
      </c>
      <c r="EE231" s="610">
        <f t="shared" si="882"/>
        <v>135.06738758843002</v>
      </c>
      <c r="EF231" s="610">
        <f t="shared" si="882"/>
        <v>135.06738758843002</v>
      </c>
      <c r="EG231" s="611">
        <f t="shared" si="882"/>
        <v>135.06738758843002</v>
      </c>
      <c r="EH231" s="610">
        <f t="shared" si="882"/>
        <v>135.06738758843002</v>
      </c>
      <c r="EI231" s="610">
        <f t="shared" si="882"/>
        <v>135.06738758843002</v>
      </c>
      <c r="EJ231" s="662">
        <f t="shared" si="882"/>
        <v>135.06738758843002</v>
      </c>
      <c r="EK231" s="610">
        <f t="shared" si="882"/>
        <v>138.44407227814074</v>
      </c>
      <c r="EL231" s="610">
        <f t="shared" si="882"/>
        <v>138.44407227814074</v>
      </c>
      <c r="EM231" s="610">
        <f t="shared" si="882"/>
        <v>138.44407227814074</v>
      </c>
      <c r="EN231" s="611">
        <f t="shared" si="882"/>
        <v>138.44407227814074</v>
      </c>
      <c r="EO231" s="610">
        <f t="shared" si="882"/>
        <v>138.44407227814074</v>
      </c>
      <c r="EP231" s="610">
        <f t="shared" si="882"/>
        <v>138.44407227814074</v>
      </c>
      <c r="EQ231" s="662">
        <f t="shared" si="882"/>
        <v>138.44407227814074</v>
      </c>
    </row>
    <row r="232" spans="1:147" ht="10.199999999999999" customHeight="1">
      <c r="A232" s="607" t="str">
        <f t="shared" si="804"/>
        <v>A330-900neo</v>
      </c>
      <c r="B232" s="608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1215"/>
      <c r="P232" s="1215"/>
      <c r="Q232" s="1215"/>
      <c r="R232" s="1306"/>
      <c r="S232" s="1215"/>
      <c r="T232" s="1215"/>
      <c r="U232" s="1307"/>
      <c r="V232" s="1215"/>
      <c r="W232" s="1215"/>
      <c r="X232" s="1215"/>
      <c r="Y232" s="1306"/>
      <c r="Z232" s="1215"/>
      <c r="AA232" s="1215"/>
      <c r="AB232" s="1307"/>
      <c r="AC232" s="1215"/>
      <c r="AD232" s="1215"/>
      <c r="AE232" s="1215"/>
      <c r="AF232" s="1306"/>
      <c r="AG232" s="1215"/>
      <c r="AH232" s="1215"/>
      <c r="AI232" s="1307"/>
      <c r="AJ232" s="1215"/>
      <c r="AK232" s="1215"/>
      <c r="AL232" s="1215"/>
      <c r="AM232" s="1306"/>
      <c r="AN232" s="1215"/>
      <c r="AO232" s="1215"/>
      <c r="AP232" s="1307"/>
      <c r="AQ232" s="1215"/>
      <c r="AR232" s="1215"/>
      <c r="AS232" s="1215"/>
      <c r="AT232" s="1306"/>
      <c r="AU232" s="1215"/>
      <c r="AV232" s="1215"/>
      <c r="AW232" s="1307">
        <f>AW183*(1-AW209)</f>
        <v>130.77000000000001</v>
      </c>
      <c r="AX232" s="1215"/>
      <c r="AY232" s="1215"/>
      <c r="AZ232" s="1215"/>
      <c r="BA232" s="1306"/>
      <c r="BB232" s="1215"/>
      <c r="BC232" s="1215"/>
      <c r="BD232" s="1307">
        <f>BD183*(1-BD209)</f>
        <v>116.24000000000001</v>
      </c>
      <c r="BE232" s="1215"/>
      <c r="BF232" s="1215"/>
      <c r="BG232" s="1215"/>
      <c r="BH232" s="1306"/>
      <c r="BI232" s="1215"/>
      <c r="BJ232" s="1215"/>
      <c r="BK232" s="1307">
        <f t="shared" si="833"/>
        <v>118.56</v>
      </c>
      <c r="BL232" s="1215"/>
      <c r="BM232" s="1215"/>
      <c r="BN232" s="1215"/>
      <c r="BO232" s="1306"/>
      <c r="BP232" s="1215"/>
      <c r="BQ232" s="1215"/>
      <c r="BR232" s="1307">
        <f t="shared" si="833"/>
        <v>120.93119999999999</v>
      </c>
      <c r="BS232" s="1215"/>
      <c r="BT232" s="1215"/>
      <c r="BU232" s="1215"/>
      <c r="BV232" s="1306"/>
      <c r="BW232" s="1215"/>
      <c r="BX232" s="1215"/>
      <c r="BY232" s="1307">
        <f t="shared" si="833"/>
        <v>123.349824</v>
      </c>
      <c r="BZ232" s="1215"/>
      <c r="CA232" s="1215"/>
      <c r="CB232" s="1215"/>
      <c r="CC232" s="1306"/>
      <c r="CD232" s="1215"/>
      <c r="CE232" s="1215"/>
      <c r="CF232" s="1307">
        <f t="shared" si="833"/>
        <v>125.81682048</v>
      </c>
      <c r="CG232" s="1215"/>
      <c r="CH232" s="1215"/>
      <c r="CI232" s="1215"/>
      <c r="CJ232" s="1306"/>
      <c r="CK232" s="1215"/>
      <c r="CL232" s="1215"/>
      <c r="CM232" s="1307">
        <f t="shared" si="833"/>
        <v>128.33315688960002</v>
      </c>
      <c r="CN232" s="1215">
        <f t="shared" si="833"/>
        <v>132.82481738073599</v>
      </c>
      <c r="CO232" s="1215">
        <f t="shared" si="816"/>
        <v>132.82481738073599</v>
      </c>
      <c r="CP232" s="1215">
        <f t="shared" ref="CP232" si="883">CP183*(1-CP209)</f>
        <v>132.82481738073599</v>
      </c>
      <c r="CQ232" s="1306">
        <f t="shared" si="818"/>
        <v>132.82481738073599</v>
      </c>
      <c r="CR232" s="1215">
        <f t="shared" si="833"/>
        <v>132.82481738073599</v>
      </c>
      <c r="CS232" s="1215">
        <f t="shared" si="819"/>
        <v>132.82481738073599</v>
      </c>
      <c r="CT232" s="1307">
        <f t="shared" ref="CT232:CW232" si="884">CT183*(1-CT209)</f>
        <v>132.82481738073599</v>
      </c>
      <c r="CU232" s="1215">
        <f t="shared" si="884"/>
        <v>136.14543781525438</v>
      </c>
      <c r="CV232" s="1215">
        <f t="shared" si="821"/>
        <v>136.14543781525438</v>
      </c>
      <c r="CW232" s="1215">
        <f t="shared" si="884"/>
        <v>136.14543781525438</v>
      </c>
      <c r="CX232" s="1306">
        <f t="shared" si="822"/>
        <v>136.14543781525438</v>
      </c>
      <c r="CY232" s="1215">
        <f t="shared" ref="CY232" si="885">CY183*(1-CY209)</f>
        <v>136.14543781525438</v>
      </c>
      <c r="CZ232" s="1215">
        <f t="shared" si="824"/>
        <v>136.14543781525438</v>
      </c>
      <c r="DA232" s="1307">
        <f t="shared" ref="DA232:EQ232" si="886">DA183*(1-DA209)</f>
        <v>136.14543781525438</v>
      </c>
      <c r="DB232" s="1215">
        <f t="shared" si="886"/>
        <v>139.54907376063574</v>
      </c>
      <c r="DC232" s="1215">
        <f t="shared" si="826"/>
        <v>139.54907376063574</v>
      </c>
      <c r="DD232" s="1215">
        <f t="shared" si="886"/>
        <v>139.54907376063574</v>
      </c>
      <c r="DE232" s="1306">
        <f t="shared" si="827"/>
        <v>139.54907376063574</v>
      </c>
      <c r="DF232" s="1215">
        <f t="shared" si="868"/>
        <v>139.54907376063574</v>
      </c>
      <c r="DG232" s="1215">
        <f t="shared" si="828"/>
        <v>139.54907376063574</v>
      </c>
      <c r="DH232" s="1307">
        <f t="shared" si="886"/>
        <v>139.54907376063574</v>
      </c>
      <c r="DI232" s="1215">
        <f t="shared" si="886"/>
        <v>143.03780060465161</v>
      </c>
      <c r="DJ232" s="1215">
        <f t="shared" si="829"/>
        <v>143.03780060465161</v>
      </c>
      <c r="DK232" s="610">
        <f t="shared" si="886"/>
        <v>143.03780060465161</v>
      </c>
      <c r="DL232" s="611">
        <f t="shared" si="830"/>
        <v>143.03780060465161</v>
      </c>
      <c r="DM232" s="1215">
        <f t="shared" si="886"/>
        <v>143.03780060465161</v>
      </c>
      <c r="DN232" s="610">
        <f t="shared" si="831"/>
        <v>143.03780060465161</v>
      </c>
      <c r="DO232" s="662">
        <f t="shared" si="886"/>
        <v>143.03780060465161</v>
      </c>
      <c r="DP232" s="610">
        <f t="shared" si="886"/>
        <v>146.61374561976788</v>
      </c>
      <c r="DQ232" s="610">
        <f t="shared" si="886"/>
        <v>146.61374561976788</v>
      </c>
      <c r="DR232" s="610">
        <f t="shared" si="886"/>
        <v>146.61374561976788</v>
      </c>
      <c r="DS232" s="611">
        <f t="shared" si="886"/>
        <v>146.61374561976788</v>
      </c>
      <c r="DT232" s="610">
        <f t="shared" si="886"/>
        <v>146.61374561976788</v>
      </c>
      <c r="DU232" s="610">
        <f t="shared" si="886"/>
        <v>146.61374561976788</v>
      </c>
      <c r="DV232" s="662">
        <f t="shared" si="886"/>
        <v>146.61374561976788</v>
      </c>
      <c r="DW232" s="610">
        <f t="shared" si="886"/>
        <v>150.27908926026208</v>
      </c>
      <c r="DX232" s="610">
        <f t="shared" si="886"/>
        <v>150.27908926026208</v>
      </c>
      <c r="DY232" s="610">
        <f t="shared" si="886"/>
        <v>150.27908926026208</v>
      </c>
      <c r="DZ232" s="611">
        <f t="shared" si="886"/>
        <v>150.27908926026208</v>
      </c>
      <c r="EA232" s="610">
        <f t="shared" si="886"/>
        <v>150.27908926026208</v>
      </c>
      <c r="EB232" s="610">
        <f t="shared" si="886"/>
        <v>150.27908926026208</v>
      </c>
      <c r="EC232" s="662">
        <f t="shared" si="886"/>
        <v>150.27908926026208</v>
      </c>
      <c r="ED232" s="610">
        <f t="shared" si="886"/>
        <v>154.03606649176862</v>
      </c>
      <c r="EE232" s="610">
        <f t="shared" si="886"/>
        <v>154.03606649176862</v>
      </c>
      <c r="EF232" s="610">
        <f t="shared" si="886"/>
        <v>154.03606649176862</v>
      </c>
      <c r="EG232" s="611">
        <f t="shared" si="886"/>
        <v>154.03606649176862</v>
      </c>
      <c r="EH232" s="610">
        <f t="shared" si="886"/>
        <v>154.03606649176862</v>
      </c>
      <c r="EI232" s="610">
        <f t="shared" si="886"/>
        <v>154.03606649176862</v>
      </c>
      <c r="EJ232" s="662">
        <f t="shared" si="886"/>
        <v>154.03606649176862</v>
      </c>
      <c r="EK232" s="610">
        <f t="shared" si="886"/>
        <v>157.88696815406283</v>
      </c>
      <c r="EL232" s="610">
        <f t="shared" si="886"/>
        <v>157.88696815406283</v>
      </c>
      <c r="EM232" s="610">
        <f t="shared" si="886"/>
        <v>157.88696815406283</v>
      </c>
      <c r="EN232" s="611">
        <f t="shared" si="886"/>
        <v>157.88696815406283</v>
      </c>
      <c r="EO232" s="610">
        <f t="shared" si="886"/>
        <v>157.88696815406283</v>
      </c>
      <c r="EP232" s="610">
        <f t="shared" si="886"/>
        <v>157.88696815406283</v>
      </c>
      <c r="EQ232" s="662">
        <f t="shared" si="886"/>
        <v>157.88696815406283</v>
      </c>
    </row>
    <row r="233" spans="1:147" ht="10.199999999999999" hidden="1" customHeight="1" outlineLevel="1">
      <c r="A233" s="607" t="str">
        <f t="shared" si="804"/>
        <v>A340-300</v>
      </c>
      <c r="B233" s="608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1215"/>
      <c r="P233" s="1215"/>
      <c r="Q233" s="1215"/>
      <c r="R233" s="1306"/>
      <c r="S233" s="1215"/>
      <c r="T233" s="1215"/>
      <c r="U233" s="1307"/>
      <c r="V233" s="1215"/>
      <c r="W233" s="1215"/>
      <c r="X233" s="1215"/>
      <c r="Y233" s="1306"/>
      <c r="Z233" s="1215"/>
      <c r="AA233" s="1215"/>
      <c r="AB233" s="1307"/>
      <c r="AC233" s="1215"/>
      <c r="AD233" s="1215"/>
      <c r="AE233" s="1215"/>
      <c r="AF233" s="1306"/>
      <c r="AG233" s="1215"/>
      <c r="AH233" s="1215"/>
      <c r="AI233" s="1307"/>
      <c r="AJ233" s="1215"/>
      <c r="AK233" s="1215"/>
      <c r="AL233" s="1215"/>
      <c r="AM233" s="1306"/>
      <c r="AN233" s="1215"/>
      <c r="AO233" s="1215"/>
      <c r="AP233" s="1307"/>
      <c r="AQ233" s="1215"/>
      <c r="AR233" s="1215"/>
      <c r="AS233" s="1215"/>
      <c r="AT233" s="1306"/>
      <c r="AU233" s="1215"/>
      <c r="AV233" s="1215"/>
      <c r="AW233" s="1307"/>
      <c r="AX233" s="1215"/>
      <c r="AY233" s="1215"/>
      <c r="AZ233" s="1215"/>
      <c r="BA233" s="1306"/>
      <c r="BB233" s="1215"/>
      <c r="BC233" s="1215"/>
      <c r="BD233" s="1307"/>
      <c r="BE233" s="1215"/>
      <c r="BF233" s="1215"/>
      <c r="BG233" s="1215"/>
      <c r="BH233" s="1306"/>
      <c r="BI233" s="1215"/>
      <c r="BJ233" s="1215"/>
      <c r="BK233" s="1307"/>
      <c r="BL233" s="1215"/>
      <c r="BM233" s="1215"/>
      <c r="BN233" s="1215"/>
      <c r="BO233" s="1306"/>
      <c r="BP233" s="1215"/>
      <c r="BQ233" s="1215"/>
      <c r="BR233" s="1307"/>
      <c r="BS233" s="1215"/>
      <c r="BT233" s="1215"/>
      <c r="BU233" s="1215"/>
      <c r="BV233" s="1306"/>
      <c r="BW233" s="1215"/>
      <c r="BX233" s="1215"/>
      <c r="BY233" s="1307"/>
      <c r="BZ233" s="1215"/>
      <c r="CA233" s="1215"/>
      <c r="CB233" s="1215"/>
      <c r="CC233" s="1306"/>
      <c r="CD233" s="1215"/>
      <c r="CE233" s="1215"/>
      <c r="CF233" s="1307"/>
      <c r="CG233" s="1215"/>
      <c r="CH233" s="1215"/>
      <c r="CI233" s="1215"/>
      <c r="CJ233" s="1306"/>
      <c r="CK233" s="1215"/>
      <c r="CL233" s="1215"/>
      <c r="CM233" s="1307"/>
      <c r="CN233" s="1215"/>
      <c r="CO233" s="1215">
        <f t="shared" si="816"/>
        <v>0</v>
      </c>
      <c r="CP233" s="1215"/>
      <c r="CQ233" s="1306">
        <f t="shared" si="818"/>
        <v>0</v>
      </c>
      <c r="CR233" s="1215"/>
      <c r="CS233" s="1215">
        <f t="shared" si="819"/>
        <v>0</v>
      </c>
      <c r="CT233" s="1307"/>
      <c r="CU233" s="1215"/>
      <c r="CV233" s="1215"/>
      <c r="CW233" s="1215"/>
      <c r="CX233" s="1306">
        <f t="shared" si="822"/>
        <v>0</v>
      </c>
      <c r="CY233" s="1215"/>
      <c r="CZ233" s="1215">
        <f t="shared" si="824"/>
        <v>0</v>
      </c>
      <c r="DA233" s="1307"/>
      <c r="DB233" s="1215"/>
      <c r="DC233" s="1215"/>
      <c r="DD233" s="1215"/>
      <c r="DE233" s="1306">
        <f t="shared" si="827"/>
        <v>0</v>
      </c>
      <c r="DF233" s="1215"/>
      <c r="DG233" s="1215">
        <f t="shared" si="828"/>
        <v>0</v>
      </c>
      <c r="DH233" s="1307"/>
      <c r="DI233" s="1215"/>
      <c r="DJ233" s="1215"/>
      <c r="DK233" s="610"/>
      <c r="DL233" s="611">
        <f t="shared" si="830"/>
        <v>0</v>
      </c>
      <c r="DM233" s="1215"/>
      <c r="DN233" s="610">
        <f t="shared" si="831"/>
        <v>0</v>
      </c>
      <c r="DO233" s="612"/>
      <c r="DP233" s="610"/>
      <c r="DQ233" s="610"/>
      <c r="DR233" s="610"/>
      <c r="DS233" s="611"/>
      <c r="DT233" s="610"/>
      <c r="DU233" s="610"/>
      <c r="DV233" s="612"/>
      <c r="DW233" s="610"/>
      <c r="DX233" s="610"/>
      <c r="DY233" s="610"/>
      <c r="DZ233" s="611"/>
      <c r="EA233" s="610"/>
      <c r="EB233" s="610"/>
      <c r="EC233" s="612"/>
      <c r="ED233" s="610"/>
      <c r="EE233" s="610"/>
      <c r="EF233" s="610"/>
      <c r="EG233" s="611"/>
      <c r="EH233" s="610"/>
      <c r="EI233" s="610"/>
      <c r="EJ233" s="612"/>
      <c r="EK233" s="610"/>
      <c r="EL233" s="610"/>
      <c r="EM233" s="610"/>
      <c r="EN233" s="611"/>
      <c r="EO233" s="610"/>
      <c r="EP233" s="610"/>
      <c r="EQ233" s="612"/>
    </row>
    <row r="234" spans="1:147" ht="10.199999999999999" hidden="1" customHeight="1" outlineLevel="1">
      <c r="A234" s="607" t="str">
        <f t="shared" si="804"/>
        <v>A340-500</v>
      </c>
      <c r="B234" s="608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1215"/>
      <c r="P234" s="1215"/>
      <c r="Q234" s="1215"/>
      <c r="R234" s="1306"/>
      <c r="S234" s="1215"/>
      <c r="T234" s="1215"/>
      <c r="U234" s="1307"/>
      <c r="V234" s="1215"/>
      <c r="W234" s="1215"/>
      <c r="X234" s="1215"/>
      <c r="Y234" s="1306"/>
      <c r="Z234" s="1215"/>
      <c r="AA234" s="1215"/>
      <c r="AB234" s="1307"/>
      <c r="AC234" s="1215"/>
      <c r="AD234" s="1215"/>
      <c r="AE234" s="1215"/>
      <c r="AF234" s="1306"/>
      <c r="AG234" s="1215"/>
      <c r="AH234" s="1215"/>
      <c r="AI234" s="1307"/>
      <c r="AJ234" s="1215"/>
      <c r="AK234" s="1215"/>
      <c r="AL234" s="1215"/>
      <c r="AM234" s="1306"/>
      <c r="AN234" s="1215"/>
      <c r="AO234" s="1215"/>
      <c r="AP234" s="1307"/>
      <c r="AQ234" s="1215"/>
      <c r="AR234" s="1215"/>
      <c r="AS234" s="1215"/>
      <c r="AT234" s="1306"/>
      <c r="AU234" s="1215"/>
      <c r="AV234" s="1215"/>
      <c r="AW234" s="1307"/>
      <c r="AX234" s="1215"/>
      <c r="AY234" s="1215"/>
      <c r="AZ234" s="1215"/>
      <c r="BA234" s="1306"/>
      <c r="BB234" s="1215"/>
      <c r="BC234" s="1215"/>
      <c r="BD234" s="1307"/>
      <c r="BE234" s="1215"/>
      <c r="BF234" s="1215"/>
      <c r="BG234" s="1215"/>
      <c r="BH234" s="1306"/>
      <c r="BI234" s="1215"/>
      <c r="BJ234" s="1215"/>
      <c r="BK234" s="1307"/>
      <c r="BL234" s="1215"/>
      <c r="BM234" s="1215"/>
      <c r="BN234" s="1215"/>
      <c r="BO234" s="1306"/>
      <c r="BP234" s="1215"/>
      <c r="BQ234" s="1215"/>
      <c r="BR234" s="1307"/>
      <c r="BS234" s="1215"/>
      <c r="BT234" s="1215"/>
      <c r="BU234" s="1215"/>
      <c r="BV234" s="1306"/>
      <c r="BW234" s="1215"/>
      <c r="BX234" s="1215"/>
      <c r="BY234" s="1307"/>
      <c r="BZ234" s="1215"/>
      <c r="CA234" s="1215"/>
      <c r="CB234" s="1215"/>
      <c r="CC234" s="1306"/>
      <c r="CD234" s="1215"/>
      <c r="CE234" s="1215"/>
      <c r="CF234" s="1307"/>
      <c r="CG234" s="1215"/>
      <c r="CH234" s="1215"/>
      <c r="CI234" s="1215"/>
      <c r="CJ234" s="1306"/>
      <c r="CK234" s="1215"/>
      <c r="CL234" s="1215"/>
      <c r="CM234" s="1307"/>
      <c r="CN234" s="1215"/>
      <c r="CO234" s="1215">
        <f t="shared" si="816"/>
        <v>0</v>
      </c>
      <c r="CP234" s="1215"/>
      <c r="CQ234" s="1306">
        <f t="shared" si="818"/>
        <v>0</v>
      </c>
      <c r="CR234" s="1215"/>
      <c r="CS234" s="1215">
        <f t="shared" si="819"/>
        <v>0</v>
      </c>
      <c r="CT234" s="1307"/>
      <c r="CU234" s="1215"/>
      <c r="CV234" s="1215"/>
      <c r="CW234" s="1215"/>
      <c r="CX234" s="1306">
        <f t="shared" si="822"/>
        <v>0</v>
      </c>
      <c r="CY234" s="1215"/>
      <c r="CZ234" s="1215">
        <f t="shared" si="824"/>
        <v>0</v>
      </c>
      <c r="DA234" s="1307"/>
      <c r="DB234" s="1215"/>
      <c r="DC234" s="1215"/>
      <c r="DD234" s="1215"/>
      <c r="DE234" s="1306">
        <f t="shared" si="827"/>
        <v>0</v>
      </c>
      <c r="DF234" s="1215"/>
      <c r="DG234" s="1215">
        <f t="shared" si="828"/>
        <v>0</v>
      </c>
      <c r="DH234" s="1307"/>
      <c r="DI234" s="1215"/>
      <c r="DJ234" s="1215"/>
      <c r="DK234" s="610"/>
      <c r="DL234" s="611">
        <f t="shared" si="830"/>
        <v>0</v>
      </c>
      <c r="DM234" s="1215"/>
      <c r="DN234" s="610">
        <f t="shared" si="831"/>
        <v>0</v>
      </c>
      <c r="DO234" s="612"/>
      <c r="DP234" s="610"/>
      <c r="DQ234" s="610"/>
      <c r="DR234" s="610"/>
      <c r="DS234" s="611"/>
      <c r="DT234" s="610"/>
      <c r="DU234" s="610"/>
      <c r="DV234" s="612"/>
      <c r="DW234" s="610"/>
      <c r="DX234" s="610"/>
      <c r="DY234" s="610"/>
      <c r="DZ234" s="611"/>
      <c r="EA234" s="610"/>
      <c r="EB234" s="610"/>
      <c r="EC234" s="612"/>
      <c r="ED234" s="610"/>
      <c r="EE234" s="610"/>
      <c r="EF234" s="610"/>
      <c r="EG234" s="611"/>
      <c r="EH234" s="610"/>
      <c r="EI234" s="610"/>
      <c r="EJ234" s="612"/>
      <c r="EK234" s="610"/>
      <c r="EL234" s="610"/>
      <c r="EM234" s="610"/>
      <c r="EN234" s="611"/>
      <c r="EO234" s="610"/>
      <c r="EP234" s="610"/>
      <c r="EQ234" s="612"/>
    </row>
    <row r="235" spans="1:147" ht="10.199999999999999" hidden="1" customHeight="1" outlineLevel="1">
      <c r="A235" s="607" t="str">
        <f t="shared" si="804"/>
        <v>A340-600</v>
      </c>
      <c r="B235" s="608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1215"/>
      <c r="P235" s="1215"/>
      <c r="Q235" s="1215"/>
      <c r="R235" s="1306"/>
      <c r="S235" s="1215"/>
      <c r="T235" s="1215"/>
      <c r="U235" s="1307"/>
      <c r="V235" s="1215"/>
      <c r="W235" s="1215"/>
      <c r="X235" s="1215"/>
      <c r="Y235" s="1306"/>
      <c r="Z235" s="1215"/>
      <c r="AA235" s="1215"/>
      <c r="AB235" s="1307"/>
      <c r="AC235" s="1215"/>
      <c r="AD235" s="1215"/>
      <c r="AE235" s="1215"/>
      <c r="AF235" s="1306"/>
      <c r="AG235" s="1215"/>
      <c r="AH235" s="1215"/>
      <c r="AI235" s="1307"/>
      <c r="AJ235" s="1215"/>
      <c r="AK235" s="1215"/>
      <c r="AL235" s="1215"/>
      <c r="AM235" s="1306"/>
      <c r="AN235" s="1215"/>
      <c r="AO235" s="1215"/>
      <c r="AP235" s="1307"/>
      <c r="AQ235" s="1215"/>
      <c r="AR235" s="1215"/>
      <c r="AS235" s="1215"/>
      <c r="AT235" s="1306"/>
      <c r="AU235" s="1215"/>
      <c r="AV235" s="1215"/>
      <c r="AW235" s="1307"/>
      <c r="AX235" s="1215"/>
      <c r="AY235" s="1215"/>
      <c r="AZ235" s="1215"/>
      <c r="BA235" s="1306"/>
      <c r="BB235" s="1215"/>
      <c r="BC235" s="1215"/>
      <c r="BD235" s="1307"/>
      <c r="BE235" s="1215"/>
      <c r="BF235" s="1215"/>
      <c r="BG235" s="1215"/>
      <c r="BH235" s="1306"/>
      <c r="BI235" s="1215"/>
      <c r="BJ235" s="1215"/>
      <c r="BK235" s="1307"/>
      <c r="BL235" s="1215"/>
      <c r="BM235" s="1215"/>
      <c r="BN235" s="1215"/>
      <c r="BO235" s="1306"/>
      <c r="BP235" s="1215"/>
      <c r="BQ235" s="1215"/>
      <c r="BR235" s="1307"/>
      <c r="BS235" s="1215"/>
      <c r="BT235" s="1215"/>
      <c r="BU235" s="1215"/>
      <c r="BV235" s="1306"/>
      <c r="BW235" s="1215"/>
      <c r="BX235" s="1215"/>
      <c r="BY235" s="1307"/>
      <c r="BZ235" s="1215"/>
      <c r="CA235" s="1215"/>
      <c r="CB235" s="1215"/>
      <c r="CC235" s="1306"/>
      <c r="CD235" s="1215"/>
      <c r="CE235" s="1215"/>
      <c r="CF235" s="1307"/>
      <c r="CG235" s="1215"/>
      <c r="CH235" s="1215"/>
      <c r="CI235" s="1215"/>
      <c r="CJ235" s="1306"/>
      <c r="CK235" s="1215"/>
      <c r="CL235" s="1215"/>
      <c r="CM235" s="1307"/>
      <c r="CN235" s="1215"/>
      <c r="CO235" s="1215">
        <f t="shared" si="816"/>
        <v>0</v>
      </c>
      <c r="CP235" s="1215"/>
      <c r="CQ235" s="1306">
        <f t="shared" si="818"/>
        <v>0</v>
      </c>
      <c r="CR235" s="1215"/>
      <c r="CS235" s="1215">
        <f t="shared" si="819"/>
        <v>0</v>
      </c>
      <c r="CT235" s="1307"/>
      <c r="CU235" s="1215"/>
      <c r="CV235" s="1215"/>
      <c r="CW235" s="1215"/>
      <c r="CX235" s="1306">
        <f t="shared" si="822"/>
        <v>0</v>
      </c>
      <c r="CY235" s="1215"/>
      <c r="CZ235" s="1215">
        <f t="shared" si="824"/>
        <v>0</v>
      </c>
      <c r="DA235" s="1307"/>
      <c r="DB235" s="1215"/>
      <c r="DC235" s="1215"/>
      <c r="DD235" s="1215"/>
      <c r="DE235" s="1306">
        <f t="shared" si="827"/>
        <v>0</v>
      </c>
      <c r="DF235" s="1215"/>
      <c r="DG235" s="1215">
        <f t="shared" si="828"/>
        <v>0</v>
      </c>
      <c r="DH235" s="1307"/>
      <c r="DI235" s="1215"/>
      <c r="DJ235" s="1215"/>
      <c r="DK235" s="610"/>
      <c r="DL235" s="611">
        <f t="shared" si="830"/>
        <v>0</v>
      </c>
      <c r="DM235" s="1215"/>
      <c r="DN235" s="610">
        <f t="shared" si="831"/>
        <v>0</v>
      </c>
      <c r="DO235" s="612"/>
      <c r="DP235" s="610"/>
      <c r="DQ235" s="610"/>
      <c r="DR235" s="610"/>
      <c r="DS235" s="611"/>
      <c r="DT235" s="610"/>
      <c r="DU235" s="610"/>
      <c r="DV235" s="612"/>
      <c r="DW235" s="610"/>
      <c r="DX235" s="610"/>
      <c r="DY235" s="610"/>
      <c r="DZ235" s="611"/>
      <c r="EA235" s="610"/>
      <c r="EB235" s="610"/>
      <c r="EC235" s="612"/>
      <c r="ED235" s="610"/>
      <c r="EE235" s="610"/>
      <c r="EF235" s="610"/>
      <c r="EG235" s="611"/>
      <c r="EH235" s="610"/>
      <c r="EI235" s="610"/>
      <c r="EJ235" s="612"/>
      <c r="EK235" s="610"/>
      <c r="EL235" s="610"/>
      <c r="EM235" s="610"/>
      <c r="EN235" s="611"/>
      <c r="EO235" s="610"/>
      <c r="EP235" s="610"/>
      <c r="EQ235" s="612"/>
    </row>
    <row r="236" spans="1:147" ht="10.199999999999999" customHeight="1" collapsed="1">
      <c r="A236" s="607" t="str">
        <f t="shared" si="804"/>
        <v>A350-800</v>
      </c>
      <c r="B236" s="608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1215"/>
      <c r="P236" s="1215"/>
      <c r="Q236" s="1215"/>
      <c r="R236" s="1306"/>
      <c r="S236" s="1215"/>
      <c r="T236" s="1215"/>
      <c r="U236" s="1307"/>
      <c r="V236" s="1215"/>
      <c r="W236" s="1215"/>
      <c r="X236" s="1215"/>
      <c r="Y236" s="1306"/>
      <c r="Z236" s="1215"/>
      <c r="AA236" s="1215"/>
      <c r="AB236" s="1307">
        <f t="shared" ref="AB236:BD238" si="887">AB188*(1-AB213)</f>
        <v>130.44999999999999</v>
      </c>
      <c r="AC236" s="1215"/>
      <c r="AD236" s="1215"/>
      <c r="AE236" s="1215"/>
      <c r="AF236" s="1306"/>
      <c r="AG236" s="1215"/>
      <c r="AH236" s="1215"/>
      <c r="AI236" s="1307">
        <f t="shared" si="887"/>
        <v>134.75</v>
      </c>
      <c r="AJ236" s="1215"/>
      <c r="AK236" s="1215"/>
      <c r="AL236" s="1215"/>
      <c r="AM236" s="1306"/>
      <c r="AN236" s="1215"/>
      <c r="AO236" s="1215"/>
      <c r="AP236" s="1307">
        <f t="shared" si="887"/>
        <v>136.19999999999999</v>
      </c>
      <c r="AQ236" s="1215"/>
      <c r="AR236" s="1215"/>
      <c r="AS236" s="1215"/>
      <c r="AT236" s="1306"/>
      <c r="AU236" s="1215"/>
      <c r="AV236" s="1215"/>
      <c r="AW236" s="1307">
        <f t="shared" si="887"/>
        <v>137.55000000000001</v>
      </c>
      <c r="AX236" s="1215"/>
      <c r="AY236" s="1215"/>
      <c r="AZ236" s="1215"/>
      <c r="BA236" s="1306"/>
      <c r="BB236" s="1215"/>
      <c r="BC236" s="1215"/>
      <c r="BD236" s="1307">
        <f t="shared" si="887"/>
        <v>123.795</v>
      </c>
      <c r="BE236" s="1215"/>
      <c r="BF236" s="1215"/>
      <c r="BG236" s="1215"/>
      <c r="BH236" s="1306"/>
      <c r="BI236" s="1215"/>
      <c r="BJ236" s="1215"/>
      <c r="BK236" s="1307">
        <f t="shared" ref="BK236:CR239" si="888">BK188*(1-BK213)</f>
        <v>126.27</v>
      </c>
      <c r="BL236" s="1215"/>
      <c r="BM236" s="1215"/>
      <c r="BN236" s="1215"/>
      <c r="BO236" s="1306"/>
      <c r="BP236" s="1215"/>
      <c r="BQ236" s="1215"/>
      <c r="BR236" s="1307">
        <f t="shared" si="888"/>
        <v>128.7954</v>
      </c>
      <c r="BS236" s="1215"/>
      <c r="BT236" s="1215"/>
      <c r="BU236" s="1215"/>
      <c r="BV236" s="1306"/>
      <c r="BW236" s="1215"/>
      <c r="BX236" s="1215"/>
      <c r="BY236" s="1307">
        <f t="shared" si="888"/>
        <v>131.371308</v>
      </c>
      <c r="BZ236" s="1215"/>
      <c r="CA236" s="1215"/>
      <c r="CB236" s="1215"/>
      <c r="CC236" s="1306"/>
      <c r="CD236" s="1215"/>
      <c r="CE236" s="1215"/>
      <c r="CF236" s="1307">
        <f t="shared" si="888"/>
        <v>133.99873416000003</v>
      </c>
      <c r="CG236" s="1215"/>
      <c r="CH236" s="1215"/>
      <c r="CI236" s="1215"/>
      <c r="CJ236" s="1306"/>
      <c r="CK236" s="1215"/>
      <c r="CL236" s="1215"/>
      <c r="CM236" s="1307">
        <f t="shared" si="888"/>
        <v>129.08544724080005</v>
      </c>
      <c r="CN236" s="1215">
        <f t="shared" si="888"/>
        <v>141.46246365271202</v>
      </c>
      <c r="CO236" s="1215">
        <f t="shared" si="816"/>
        <v>141.46246365271202</v>
      </c>
      <c r="CP236" s="1215">
        <f t="shared" ref="CP236" si="889">CP188*(1-CP213)</f>
        <v>141.46246365271202</v>
      </c>
      <c r="CQ236" s="1306">
        <f t="shared" si="818"/>
        <v>110.02636061877615</v>
      </c>
      <c r="CR236" s="1215">
        <f t="shared" si="888"/>
        <v>141.46246365271202</v>
      </c>
      <c r="CS236" s="1215">
        <f t="shared" si="819"/>
        <v>125.74441213574408</v>
      </c>
      <c r="CT236" s="1307">
        <f>CT188*(1-CT213)</f>
        <v>133.60343789422805</v>
      </c>
      <c r="CU236" s="1215">
        <f t="shared" ref="CU236:CW236" si="890">CU188*(1-CU213)</f>
        <v>136.94352384158375</v>
      </c>
      <c r="CV236" s="1215">
        <f t="shared" si="821"/>
        <v>136.94352384158375</v>
      </c>
      <c r="CW236" s="1215">
        <f t="shared" si="890"/>
        <v>136.94352384158375</v>
      </c>
      <c r="CX236" s="1306">
        <f t="shared" si="822"/>
        <v>136.94352384158375</v>
      </c>
      <c r="CY236" s="1215">
        <f t="shared" ref="CY236" si="891">CY188*(1-CY213)</f>
        <v>136.94352384158375</v>
      </c>
      <c r="CZ236" s="1215">
        <f t="shared" si="824"/>
        <v>136.94352384158375</v>
      </c>
      <c r="DA236" s="1307">
        <f>DA188*(1-DA213)</f>
        <v>136.94352384158375</v>
      </c>
      <c r="DB236" s="1215">
        <f t="shared" ref="DB236:DD236" si="892">DB188*(1-DB213)</f>
        <v>140.36711193762332</v>
      </c>
      <c r="DC236" s="1215">
        <f t="shared" si="826"/>
        <v>140.36711193762332</v>
      </c>
      <c r="DD236" s="1215">
        <f t="shared" si="892"/>
        <v>140.36711193762332</v>
      </c>
      <c r="DE236" s="1306">
        <f t="shared" si="827"/>
        <v>140.36711193762332</v>
      </c>
      <c r="DF236" s="1215">
        <f t="shared" ref="DF236:DF238" si="893">DF188*(1-DF213)</f>
        <v>140.36711193762332</v>
      </c>
      <c r="DG236" s="1215">
        <f t="shared" si="828"/>
        <v>140.36711193762332</v>
      </c>
      <c r="DH236" s="1307">
        <f>DH188*(1-DH213)</f>
        <v>140.36711193762332</v>
      </c>
      <c r="DI236" s="1215">
        <f t="shared" ref="DI236:DM236" si="894">DI188*(1-DI213)</f>
        <v>143.87628973606388</v>
      </c>
      <c r="DJ236" s="1215">
        <f t="shared" si="829"/>
        <v>143.87628973606388</v>
      </c>
      <c r="DK236" s="610">
        <f t="shared" si="894"/>
        <v>143.87628973606388</v>
      </c>
      <c r="DL236" s="611">
        <f t="shared" si="830"/>
        <v>143.87628973606388</v>
      </c>
      <c r="DM236" s="1215">
        <f t="shared" si="894"/>
        <v>143.87628973606388</v>
      </c>
      <c r="DN236" s="610">
        <f t="shared" si="831"/>
        <v>143.87628973606388</v>
      </c>
      <c r="DO236" s="662">
        <f>DO188*(1-DO213)</f>
        <v>143.87628973606388</v>
      </c>
      <c r="DP236" s="610">
        <f t="shared" ref="DP236:DU236" si="895">DP188*(1-DP213)</f>
        <v>147.47319697946546</v>
      </c>
      <c r="DQ236" s="610">
        <f t="shared" si="895"/>
        <v>147.47319697946546</v>
      </c>
      <c r="DR236" s="610">
        <f t="shared" si="895"/>
        <v>147.47319697946546</v>
      </c>
      <c r="DS236" s="611">
        <f t="shared" si="895"/>
        <v>147.47319697946546</v>
      </c>
      <c r="DT236" s="610">
        <f t="shared" si="895"/>
        <v>147.47319697946546</v>
      </c>
      <c r="DU236" s="610">
        <f t="shared" si="895"/>
        <v>147.47319697946546</v>
      </c>
      <c r="DV236" s="662">
        <f>DV188*(1-DV213)</f>
        <v>147.47319697946546</v>
      </c>
      <c r="DW236" s="610">
        <f t="shared" ref="DW236:EB236" si="896">DW188*(1-DW213)</f>
        <v>151.16002690395209</v>
      </c>
      <c r="DX236" s="610">
        <f t="shared" si="896"/>
        <v>151.16002690395209</v>
      </c>
      <c r="DY236" s="610">
        <f t="shared" si="896"/>
        <v>151.16002690395209</v>
      </c>
      <c r="DZ236" s="611">
        <f t="shared" si="896"/>
        <v>151.16002690395209</v>
      </c>
      <c r="EA236" s="610">
        <f t="shared" si="896"/>
        <v>151.16002690395209</v>
      </c>
      <c r="EB236" s="610">
        <f t="shared" si="896"/>
        <v>151.16002690395209</v>
      </c>
      <c r="EC236" s="662">
        <f>EC188*(1-EC213)</f>
        <v>151.16002690395209</v>
      </c>
      <c r="ED236" s="610">
        <f t="shared" ref="ED236:EI236" si="897">ED188*(1-ED213)</f>
        <v>154.93902757655087</v>
      </c>
      <c r="EE236" s="610">
        <f t="shared" si="897"/>
        <v>154.93902757655087</v>
      </c>
      <c r="EF236" s="610">
        <f t="shared" si="897"/>
        <v>154.93902757655087</v>
      </c>
      <c r="EG236" s="611">
        <f t="shared" si="897"/>
        <v>154.93902757655087</v>
      </c>
      <c r="EH236" s="610">
        <f t="shared" si="897"/>
        <v>154.93902757655087</v>
      </c>
      <c r="EI236" s="610">
        <f t="shared" si="897"/>
        <v>154.93902757655087</v>
      </c>
      <c r="EJ236" s="662">
        <f>EJ188*(1-EJ213)</f>
        <v>154.93902757655087</v>
      </c>
      <c r="EK236" s="610">
        <f t="shared" ref="EK236:EP236" si="898">EK188*(1-EK213)</f>
        <v>158.81250326596464</v>
      </c>
      <c r="EL236" s="610">
        <f t="shared" si="898"/>
        <v>158.81250326596464</v>
      </c>
      <c r="EM236" s="610">
        <f t="shared" si="898"/>
        <v>158.81250326596464</v>
      </c>
      <c r="EN236" s="611">
        <f t="shared" si="898"/>
        <v>158.81250326596464</v>
      </c>
      <c r="EO236" s="610">
        <f t="shared" si="898"/>
        <v>158.81250326596464</v>
      </c>
      <c r="EP236" s="610">
        <f t="shared" si="898"/>
        <v>158.81250326596464</v>
      </c>
      <c r="EQ236" s="662">
        <f>EQ188*(1-EQ213)</f>
        <v>158.81250326596464</v>
      </c>
    </row>
    <row r="237" spans="1:147" ht="10.199999999999999" customHeight="1">
      <c r="A237" s="607" t="str">
        <f t="shared" si="804"/>
        <v>A350-900</v>
      </c>
      <c r="B237" s="608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1215"/>
      <c r="P237" s="1215"/>
      <c r="Q237" s="1215"/>
      <c r="R237" s="1306"/>
      <c r="S237" s="1215"/>
      <c r="T237" s="1215"/>
      <c r="U237" s="1307"/>
      <c r="V237" s="1215"/>
      <c r="W237" s="1215"/>
      <c r="X237" s="1215"/>
      <c r="Y237" s="1306"/>
      <c r="Z237" s="1215"/>
      <c r="AA237" s="1215"/>
      <c r="AB237" s="1307">
        <f t="shared" si="887"/>
        <v>147.6</v>
      </c>
      <c r="AC237" s="1215"/>
      <c r="AD237" s="1215"/>
      <c r="AE237" s="1215"/>
      <c r="AF237" s="1306"/>
      <c r="AG237" s="1215"/>
      <c r="AH237" s="1215"/>
      <c r="AI237" s="1307">
        <f t="shared" si="887"/>
        <v>152.4</v>
      </c>
      <c r="AJ237" s="1215"/>
      <c r="AK237" s="1215"/>
      <c r="AL237" s="1215"/>
      <c r="AM237" s="1306"/>
      <c r="AN237" s="1215"/>
      <c r="AO237" s="1215"/>
      <c r="AP237" s="1307">
        <f t="shared" si="887"/>
        <v>154.05000000000001</v>
      </c>
      <c r="AQ237" s="1215"/>
      <c r="AR237" s="1215"/>
      <c r="AS237" s="1215"/>
      <c r="AT237" s="1306"/>
      <c r="AU237" s="1215"/>
      <c r="AV237" s="1215"/>
      <c r="AW237" s="1307">
        <f t="shared" si="887"/>
        <v>155.6</v>
      </c>
      <c r="AX237" s="1215"/>
      <c r="AY237" s="1215"/>
      <c r="AZ237" s="1215"/>
      <c r="BA237" s="1306"/>
      <c r="BB237" s="1215"/>
      <c r="BC237" s="1215"/>
      <c r="BD237" s="1307">
        <f t="shared" si="887"/>
        <v>140.04</v>
      </c>
      <c r="BE237" s="1215"/>
      <c r="BF237" s="1215"/>
      <c r="BG237" s="1215"/>
      <c r="BH237" s="1306"/>
      <c r="BI237" s="1215"/>
      <c r="BJ237" s="1215"/>
      <c r="BK237" s="1307">
        <f t="shared" si="888"/>
        <v>142.82999999999998</v>
      </c>
      <c r="BL237" s="1215"/>
      <c r="BM237" s="1215"/>
      <c r="BN237" s="1215"/>
      <c r="BO237" s="1306"/>
      <c r="BP237" s="1215"/>
      <c r="BQ237" s="1215"/>
      <c r="BR237" s="1307">
        <f t="shared" si="888"/>
        <v>145.68659999999997</v>
      </c>
      <c r="BS237" s="1215"/>
      <c r="BT237" s="1215"/>
      <c r="BU237" s="1215"/>
      <c r="BV237" s="1306"/>
      <c r="BW237" s="1215"/>
      <c r="BX237" s="1215"/>
      <c r="BY237" s="1307">
        <f t="shared" si="888"/>
        <v>148.60033199999998</v>
      </c>
      <c r="BZ237" s="1215"/>
      <c r="CA237" s="1215"/>
      <c r="CB237" s="1215"/>
      <c r="CC237" s="1306"/>
      <c r="CD237" s="1215"/>
      <c r="CE237" s="1215"/>
      <c r="CF237" s="1307">
        <f t="shared" si="888"/>
        <v>151.57233864</v>
      </c>
      <c r="CG237" s="1215"/>
      <c r="CH237" s="1215"/>
      <c r="CI237" s="1215"/>
      <c r="CJ237" s="1306"/>
      <c r="CK237" s="1215"/>
      <c r="CL237" s="1215"/>
      <c r="CM237" s="1307">
        <f t="shared" si="888"/>
        <v>146.01468622320002</v>
      </c>
      <c r="CN237" s="1215">
        <f t="shared" ref="CN237:CT237" si="899">CN189*(1-CN214)</f>
        <v>160.01491790224799</v>
      </c>
      <c r="CO237" s="1215">
        <f t="shared" si="816"/>
        <v>160.01491790224799</v>
      </c>
      <c r="CP237" s="1215">
        <f t="shared" ref="CP237" si="900">CP189*(1-CP214)</f>
        <v>160.01491790224799</v>
      </c>
      <c r="CQ237" s="1306">
        <f t="shared" si="818"/>
        <v>124.45604725730408</v>
      </c>
      <c r="CR237" s="1215">
        <f t="shared" si="899"/>
        <v>160.01491790224799</v>
      </c>
      <c r="CS237" s="1215">
        <f t="shared" si="819"/>
        <v>142.23548257977603</v>
      </c>
      <c r="CT237" s="1307">
        <f t="shared" si="899"/>
        <v>151.12520024101201</v>
      </c>
      <c r="CU237" s="1215">
        <f t="shared" ref="CU237:EC237" si="901">CU189*(1-CU214)</f>
        <v>154.9033302470373</v>
      </c>
      <c r="CV237" s="1215">
        <f t="shared" si="821"/>
        <v>154.9033302470373</v>
      </c>
      <c r="CW237" s="1215">
        <f t="shared" si="901"/>
        <v>154.9033302470373</v>
      </c>
      <c r="CX237" s="1306">
        <f t="shared" si="822"/>
        <v>154.9033302470373</v>
      </c>
      <c r="CY237" s="1215">
        <f t="shared" ref="CY237" si="902">CY189*(1-CY214)</f>
        <v>154.9033302470373</v>
      </c>
      <c r="CZ237" s="1215">
        <f t="shared" si="824"/>
        <v>154.9033302470373</v>
      </c>
      <c r="DA237" s="1307">
        <f t="shared" si="901"/>
        <v>154.9033302470373</v>
      </c>
      <c r="DB237" s="1215">
        <f t="shared" si="901"/>
        <v>158.77591350321322</v>
      </c>
      <c r="DC237" s="1215">
        <f t="shared" si="826"/>
        <v>158.77591350321322</v>
      </c>
      <c r="DD237" s="1215">
        <f t="shared" si="901"/>
        <v>158.77591350321322</v>
      </c>
      <c r="DE237" s="1306">
        <f t="shared" si="827"/>
        <v>158.77591350321322</v>
      </c>
      <c r="DF237" s="1215">
        <f t="shared" si="893"/>
        <v>158.77591350321322</v>
      </c>
      <c r="DG237" s="1215">
        <f t="shared" si="828"/>
        <v>158.77591350321322</v>
      </c>
      <c r="DH237" s="1307">
        <f t="shared" si="901"/>
        <v>158.77591350321322</v>
      </c>
      <c r="DI237" s="1215">
        <f t="shared" si="901"/>
        <v>162.74531134079353</v>
      </c>
      <c r="DJ237" s="1215">
        <f t="shared" si="829"/>
        <v>162.74531134079353</v>
      </c>
      <c r="DK237" s="610">
        <f t="shared" si="901"/>
        <v>162.74531134079353</v>
      </c>
      <c r="DL237" s="611">
        <f t="shared" si="830"/>
        <v>162.74531134079353</v>
      </c>
      <c r="DM237" s="1215">
        <f t="shared" si="901"/>
        <v>162.74531134079353</v>
      </c>
      <c r="DN237" s="610">
        <f t="shared" si="831"/>
        <v>162.74531134079353</v>
      </c>
      <c r="DO237" s="662">
        <f t="shared" si="901"/>
        <v>162.74531134079353</v>
      </c>
      <c r="DP237" s="610">
        <f t="shared" si="901"/>
        <v>166.81394412431337</v>
      </c>
      <c r="DQ237" s="610">
        <f t="shared" si="901"/>
        <v>166.81394412431337</v>
      </c>
      <c r="DR237" s="610">
        <f t="shared" si="901"/>
        <v>166.81394412431337</v>
      </c>
      <c r="DS237" s="611">
        <f t="shared" si="901"/>
        <v>166.81394412431337</v>
      </c>
      <c r="DT237" s="610">
        <f t="shared" si="901"/>
        <v>166.81394412431337</v>
      </c>
      <c r="DU237" s="610">
        <f t="shared" si="901"/>
        <v>166.81394412431337</v>
      </c>
      <c r="DV237" s="662">
        <f t="shared" si="901"/>
        <v>166.81394412431337</v>
      </c>
      <c r="DW237" s="610">
        <f t="shared" si="901"/>
        <v>170.98429272742118</v>
      </c>
      <c r="DX237" s="610">
        <f t="shared" si="901"/>
        <v>170.98429272742118</v>
      </c>
      <c r="DY237" s="610">
        <f t="shared" si="901"/>
        <v>170.98429272742118</v>
      </c>
      <c r="DZ237" s="611">
        <f t="shared" si="901"/>
        <v>170.98429272742118</v>
      </c>
      <c r="EA237" s="610">
        <f t="shared" si="901"/>
        <v>170.98429272742118</v>
      </c>
      <c r="EB237" s="610">
        <f t="shared" si="901"/>
        <v>170.98429272742118</v>
      </c>
      <c r="EC237" s="662">
        <f t="shared" si="901"/>
        <v>170.98429272742118</v>
      </c>
      <c r="ED237" s="610">
        <f t="shared" ref="ED237:EQ237" si="903">ED189*(1-ED214)</f>
        <v>175.25890004560671</v>
      </c>
      <c r="EE237" s="610">
        <f t="shared" si="903"/>
        <v>175.25890004560671</v>
      </c>
      <c r="EF237" s="610">
        <f t="shared" si="903"/>
        <v>175.25890004560671</v>
      </c>
      <c r="EG237" s="611">
        <f t="shared" si="903"/>
        <v>175.25890004560671</v>
      </c>
      <c r="EH237" s="610">
        <f t="shared" si="903"/>
        <v>175.25890004560671</v>
      </c>
      <c r="EI237" s="610">
        <f t="shared" si="903"/>
        <v>175.25890004560671</v>
      </c>
      <c r="EJ237" s="662">
        <f t="shared" si="903"/>
        <v>175.25890004560671</v>
      </c>
      <c r="EK237" s="610">
        <f t="shared" si="903"/>
        <v>179.64037254674685</v>
      </c>
      <c r="EL237" s="610">
        <f t="shared" si="903"/>
        <v>179.64037254674685</v>
      </c>
      <c r="EM237" s="610">
        <f t="shared" si="903"/>
        <v>179.64037254674685</v>
      </c>
      <c r="EN237" s="611">
        <f t="shared" si="903"/>
        <v>179.64037254674685</v>
      </c>
      <c r="EO237" s="610">
        <f t="shared" si="903"/>
        <v>179.64037254674685</v>
      </c>
      <c r="EP237" s="610">
        <f t="shared" si="903"/>
        <v>179.64037254674685</v>
      </c>
      <c r="EQ237" s="662">
        <f t="shared" si="903"/>
        <v>179.64037254674685</v>
      </c>
    </row>
    <row r="238" spans="1:147" ht="10.199999999999999" customHeight="1">
      <c r="A238" s="607" t="str">
        <f t="shared" si="804"/>
        <v>A350-1000</v>
      </c>
      <c r="B238" s="608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1215"/>
      <c r="P238" s="1215"/>
      <c r="Q238" s="1215"/>
      <c r="R238" s="1306"/>
      <c r="S238" s="1215"/>
      <c r="T238" s="1215"/>
      <c r="U238" s="1307"/>
      <c r="V238" s="1215"/>
      <c r="W238" s="1215"/>
      <c r="X238" s="1215"/>
      <c r="Y238" s="1306"/>
      <c r="Z238" s="1215"/>
      <c r="AA238" s="1215"/>
      <c r="AB238" s="1307">
        <f t="shared" si="887"/>
        <v>170.35</v>
      </c>
      <c r="AC238" s="1215"/>
      <c r="AD238" s="1215"/>
      <c r="AE238" s="1215"/>
      <c r="AF238" s="1306"/>
      <c r="AG238" s="1215"/>
      <c r="AH238" s="1215"/>
      <c r="AI238" s="1307">
        <f t="shared" si="887"/>
        <v>175.95</v>
      </c>
      <c r="AJ238" s="1215"/>
      <c r="AK238" s="1215"/>
      <c r="AL238" s="1215"/>
      <c r="AM238" s="1306"/>
      <c r="AN238" s="1215"/>
      <c r="AO238" s="1215"/>
      <c r="AP238" s="1307">
        <f t="shared" si="887"/>
        <v>177.85</v>
      </c>
      <c r="AQ238" s="1215"/>
      <c r="AR238" s="1215"/>
      <c r="AS238" s="1215"/>
      <c r="AT238" s="1306"/>
      <c r="AU238" s="1215"/>
      <c r="AV238" s="1215"/>
      <c r="AW238" s="1307">
        <f t="shared" si="887"/>
        <v>179.65</v>
      </c>
      <c r="AX238" s="1215"/>
      <c r="AY238" s="1215"/>
      <c r="AZ238" s="1215"/>
      <c r="BA238" s="1306"/>
      <c r="BB238" s="1215"/>
      <c r="BC238" s="1215"/>
      <c r="BD238" s="1307">
        <f t="shared" si="887"/>
        <v>161.685</v>
      </c>
      <c r="BE238" s="1215"/>
      <c r="BF238" s="1215"/>
      <c r="BG238" s="1215"/>
      <c r="BH238" s="1306"/>
      <c r="BI238" s="1215"/>
      <c r="BJ238" s="1215"/>
      <c r="BK238" s="1307">
        <f t="shared" si="888"/>
        <v>164.92499999999998</v>
      </c>
      <c r="BL238" s="1215"/>
      <c r="BM238" s="1215"/>
      <c r="BN238" s="1215"/>
      <c r="BO238" s="1306"/>
      <c r="BP238" s="1215"/>
      <c r="BQ238" s="1215"/>
      <c r="BR238" s="1307">
        <f t="shared" si="888"/>
        <v>168.22349999999997</v>
      </c>
      <c r="BS238" s="1215"/>
      <c r="BT238" s="1215"/>
      <c r="BU238" s="1215"/>
      <c r="BV238" s="1306"/>
      <c r="BW238" s="1215"/>
      <c r="BX238" s="1215"/>
      <c r="BY238" s="1307">
        <f t="shared" si="888"/>
        <v>171.58796999999998</v>
      </c>
      <c r="BZ238" s="1215"/>
      <c r="CA238" s="1215"/>
      <c r="CB238" s="1215"/>
      <c r="CC238" s="1306"/>
      <c r="CD238" s="1215"/>
      <c r="CE238" s="1215"/>
      <c r="CF238" s="1307">
        <f t="shared" si="888"/>
        <v>175.01972939999999</v>
      </c>
      <c r="CG238" s="1215"/>
      <c r="CH238" s="1215"/>
      <c r="CI238" s="1215"/>
      <c r="CJ238" s="1306"/>
      <c r="CK238" s="1215"/>
      <c r="CL238" s="1215"/>
      <c r="CM238" s="1307">
        <f t="shared" si="888"/>
        <v>168.60233932200001</v>
      </c>
      <c r="CN238" s="1215">
        <f t="shared" ref="CN238:CT238" si="904">CN190*(1-CN215)</f>
        <v>184.76832832757998</v>
      </c>
      <c r="CO238" s="1215">
        <f t="shared" si="816"/>
        <v>184.76832832757998</v>
      </c>
      <c r="CP238" s="1215">
        <f t="shared" ref="CP238" si="905">CP190*(1-CP215)</f>
        <v>184.76832832757998</v>
      </c>
      <c r="CQ238" s="1306">
        <f t="shared" si="818"/>
        <v>143.70869981034014</v>
      </c>
      <c r="CR238" s="1215">
        <f t="shared" si="904"/>
        <v>184.76832832757998</v>
      </c>
      <c r="CS238" s="1215">
        <f t="shared" si="819"/>
        <v>164.23851406896006</v>
      </c>
      <c r="CT238" s="1307">
        <f t="shared" si="904"/>
        <v>174.50342119827002</v>
      </c>
      <c r="CU238" s="1215">
        <f t="shared" ref="CU238:EC238" si="906">CU190*(1-CU215)</f>
        <v>178.86600672822675</v>
      </c>
      <c r="CV238" s="1215">
        <f t="shared" si="821"/>
        <v>178.86600672822675</v>
      </c>
      <c r="CW238" s="1215">
        <f t="shared" si="906"/>
        <v>178.86600672822675</v>
      </c>
      <c r="CX238" s="1306">
        <f t="shared" si="822"/>
        <v>178.86600672822675</v>
      </c>
      <c r="CY238" s="1215">
        <f t="shared" ref="CY238" si="907">CY190*(1-CY215)</f>
        <v>178.86600672822675</v>
      </c>
      <c r="CZ238" s="1215">
        <f t="shared" si="824"/>
        <v>178.86600672822675</v>
      </c>
      <c r="DA238" s="1307">
        <f t="shared" si="906"/>
        <v>178.86600672822675</v>
      </c>
      <c r="DB238" s="1215">
        <f t="shared" si="906"/>
        <v>183.33765689643241</v>
      </c>
      <c r="DC238" s="1215">
        <f t="shared" si="826"/>
        <v>183.33765689643241</v>
      </c>
      <c r="DD238" s="1215">
        <f t="shared" si="906"/>
        <v>183.33765689643241</v>
      </c>
      <c r="DE238" s="1306">
        <f t="shared" si="827"/>
        <v>183.33765689643241</v>
      </c>
      <c r="DF238" s="1215">
        <f t="shared" si="893"/>
        <v>183.33765689643241</v>
      </c>
      <c r="DG238" s="1215">
        <f t="shared" si="828"/>
        <v>183.33765689643241</v>
      </c>
      <c r="DH238" s="1307">
        <f t="shared" si="906"/>
        <v>183.33765689643241</v>
      </c>
      <c r="DI238" s="1215">
        <f t="shared" si="906"/>
        <v>187.92109831884321</v>
      </c>
      <c r="DJ238" s="1215">
        <f t="shared" si="829"/>
        <v>187.92109831884321</v>
      </c>
      <c r="DK238" s="610">
        <f t="shared" si="906"/>
        <v>187.92109831884321</v>
      </c>
      <c r="DL238" s="611">
        <f t="shared" si="830"/>
        <v>187.92109831884321</v>
      </c>
      <c r="DM238" s="1215">
        <f t="shared" si="906"/>
        <v>187.92109831884321</v>
      </c>
      <c r="DN238" s="610">
        <f t="shared" si="831"/>
        <v>187.92109831884321</v>
      </c>
      <c r="DO238" s="662">
        <f t="shared" si="906"/>
        <v>187.92109831884321</v>
      </c>
      <c r="DP238" s="610">
        <f t="shared" si="906"/>
        <v>192.61912577681426</v>
      </c>
      <c r="DQ238" s="610">
        <f t="shared" si="906"/>
        <v>192.61912577681426</v>
      </c>
      <c r="DR238" s="610">
        <f t="shared" si="906"/>
        <v>192.61912577681426</v>
      </c>
      <c r="DS238" s="611">
        <f t="shared" si="906"/>
        <v>192.61912577681426</v>
      </c>
      <c r="DT238" s="610">
        <f t="shared" si="906"/>
        <v>192.61912577681426</v>
      </c>
      <c r="DU238" s="610">
        <f t="shared" si="906"/>
        <v>192.61912577681426</v>
      </c>
      <c r="DV238" s="662">
        <f t="shared" si="906"/>
        <v>192.61912577681426</v>
      </c>
      <c r="DW238" s="610">
        <f t="shared" si="906"/>
        <v>197.43460392123461</v>
      </c>
      <c r="DX238" s="610">
        <f t="shared" si="906"/>
        <v>197.43460392123461</v>
      </c>
      <c r="DY238" s="610">
        <f t="shared" si="906"/>
        <v>197.43460392123461</v>
      </c>
      <c r="DZ238" s="611">
        <f t="shared" si="906"/>
        <v>197.43460392123461</v>
      </c>
      <c r="EA238" s="610">
        <f t="shared" si="906"/>
        <v>197.43460392123461</v>
      </c>
      <c r="EB238" s="610">
        <f t="shared" si="906"/>
        <v>197.43460392123461</v>
      </c>
      <c r="EC238" s="662">
        <f t="shared" si="906"/>
        <v>197.43460392123461</v>
      </c>
      <c r="ED238" s="610">
        <f t="shared" ref="ED238:EQ238" si="908">ED190*(1-ED215)</f>
        <v>202.37046901926547</v>
      </c>
      <c r="EE238" s="610">
        <f t="shared" si="908"/>
        <v>202.37046901926547</v>
      </c>
      <c r="EF238" s="610">
        <f t="shared" si="908"/>
        <v>202.37046901926547</v>
      </c>
      <c r="EG238" s="611">
        <f t="shared" si="908"/>
        <v>202.37046901926547</v>
      </c>
      <c r="EH238" s="610">
        <f t="shared" si="908"/>
        <v>202.37046901926547</v>
      </c>
      <c r="EI238" s="610">
        <f t="shared" si="908"/>
        <v>202.37046901926547</v>
      </c>
      <c r="EJ238" s="662">
        <f t="shared" si="908"/>
        <v>202.37046901926547</v>
      </c>
      <c r="EK238" s="610">
        <f t="shared" si="908"/>
        <v>207.42973074474708</v>
      </c>
      <c r="EL238" s="610">
        <f t="shared" si="908"/>
        <v>207.42973074474708</v>
      </c>
      <c r="EM238" s="610">
        <f t="shared" si="908"/>
        <v>207.42973074474708</v>
      </c>
      <c r="EN238" s="611">
        <f t="shared" si="908"/>
        <v>207.42973074474708</v>
      </c>
      <c r="EO238" s="610">
        <f t="shared" si="908"/>
        <v>207.42973074474708</v>
      </c>
      <c r="EP238" s="610">
        <f t="shared" si="908"/>
        <v>207.42973074474708</v>
      </c>
      <c r="EQ238" s="662">
        <f t="shared" si="908"/>
        <v>207.42973074474708</v>
      </c>
    </row>
    <row r="239" spans="1:147" ht="10.199999999999999" hidden="1" customHeight="1" outlineLevel="1">
      <c r="A239" s="607" t="str">
        <f t="shared" si="804"/>
        <v>A380</v>
      </c>
      <c r="B239" s="608"/>
      <c r="C239" s="608"/>
      <c r="D239" s="608"/>
      <c r="E239" s="608"/>
      <c r="F239" s="608"/>
      <c r="G239" s="608"/>
      <c r="H239" s="608"/>
      <c r="I239" s="608">
        <f t="shared" ref="I239:BD239" si="909">I191*(1-I216)</f>
        <v>140</v>
      </c>
      <c r="J239" s="608">
        <f t="shared" si="909"/>
        <v>160</v>
      </c>
      <c r="K239" s="608">
        <f t="shared" si="909"/>
        <v>162.39999999999998</v>
      </c>
      <c r="L239" s="608">
        <f t="shared" si="909"/>
        <v>173.15</v>
      </c>
      <c r="M239" s="608">
        <f t="shared" si="909"/>
        <v>202.66200000000001</v>
      </c>
      <c r="N239" s="608">
        <f t="shared" si="909"/>
        <v>224.19249999999997</v>
      </c>
      <c r="O239" s="610"/>
      <c r="P239" s="610"/>
      <c r="Q239" s="610"/>
      <c r="R239" s="611"/>
      <c r="S239" s="610"/>
      <c r="T239" s="610"/>
      <c r="U239" s="662">
        <f t="shared" si="909"/>
        <v>250.41799999999998</v>
      </c>
      <c r="V239" s="610"/>
      <c r="W239" s="610"/>
      <c r="X239" s="610"/>
      <c r="Y239" s="611"/>
      <c r="Z239" s="610"/>
      <c r="AA239" s="610"/>
      <c r="AB239" s="662">
        <f t="shared" si="909"/>
        <v>248.64</v>
      </c>
      <c r="AC239" s="610"/>
      <c r="AD239" s="610"/>
      <c r="AE239" s="610"/>
      <c r="AF239" s="611"/>
      <c r="AG239" s="610"/>
      <c r="AH239" s="610"/>
      <c r="AI239" s="662">
        <f t="shared" si="909"/>
        <v>256.8</v>
      </c>
      <c r="AJ239" s="610"/>
      <c r="AK239" s="610"/>
      <c r="AL239" s="610"/>
      <c r="AM239" s="611"/>
      <c r="AN239" s="610"/>
      <c r="AO239" s="610"/>
      <c r="AP239" s="662">
        <f t="shared" si="909"/>
        <v>248.745</v>
      </c>
      <c r="AQ239" s="610"/>
      <c r="AR239" s="610"/>
      <c r="AS239" s="610"/>
      <c r="AT239" s="611"/>
      <c r="AU239" s="610"/>
      <c r="AV239" s="610"/>
      <c r="AW239" s="662">
        <f t="shared" si="909"/>
        <v>240.29500000000002</v>
      </c>
      <c r="AX239" s="610"/>
      <c r="AY239" s="610"/>
      <c r="AZ239" s="610"/>
      <c r="BA239" s="611"/>
      <c r="BB239" s="610"/>
      <c r="BC239" s="610"/>
      <c r="BD239" s="662">
        <f t="shared" si="909"/>
        <v>218.45</v>
      </c>
      <c r="BE239" s="610"/>
      <c r="BF239" s="610"/>
      <c r="BG239" s="610"/>
      <c r="BH239" s="611"/>
      <c r="BI239" s="610"/>
      <c r="BJ239" s="610"/>
      <c r="BK239" s="662">
        <f t="shared" si="888"/>
        <v>222.8</v>
      </c>
      <c r="BL239" s="610"/>
      <c r="BM239" s="610"/>
      <c r="BN239" s="610"/>
      <c r="BO239" s="611"/>
      <c r="BP239" s="610"/>
      <c r="BQ239" s="610"/>
      <c r="BR239" s="662">
        <f t="shared" si="888"/>
        <v>204.53040000000001</v>
      </c>
      <c r="BS239" s="610"/>
      <c r="BT239" s="610"/>
      <c r="BU239" s="610"/>
      <c r="BV239" s="611"/>
      <c r="BW239" s="610"/>
      <c r="BX239" s="610"/>
      <c r="BY239" s="662">
        <f t="shared" si="888"/>
        <v>185.44089600000004</v>
      </c>
      <c r="BZ239" s="610"/>
      <c r="CA239" s="610"/>
      <c r="CB239" s="610"/>
      <c r="CC239" s="611"/>
      <c r="CD239" s="610"/>
      <c r="CE239" s="610"/>
      <c r="CF239" s="662">
        <f t="shared" si="888"/>
        <v>189.14971392000004</v>
      </c>
      <c r="CG239" s="610"/>
      <c r="CH239" s="610"/>
      <c r="CI239" s="610"/>
      <c r="CJ239" s="611"/>
      <c r="CK239" s="610"/>
      <c r="CL239" s="610"/>
      <c r="CM239" s="662">
        <f t="shared" si="888"/>
        <v>192.93270819840004</v>
      </c>
      <c r="CN239" s="610"/>
      <c r="CO239" s="610"/>
      <c r="CP239" s="610"/>
      <c r="CQ239" s="611"/>
      <c r="CR239" s="610"/>
      <c r="CS239" s="610"/>
      <c r="CT239" s="662"/>
      <c r="CU239" s="610"/>
      <c r="CV239" s="610"/>
      <c r="CW239" s="610"/>
      <c r="CX239" s="611"/>
      <c r="CY239" s="610"/>
      <c r="CZ239" s="610"/>
      <c r="DA239" s="662"/>
      <c r="DB239" s="610"/>
      <c r="DC239" s="613"/>
      <c r="DD239" s="613"/>
      <c r="DE239" s="1932"/>
      <c r="DF239" s="1933"/>
      <c r="DG239" s="1933"/>
      <c r="DH239" s="1934"/>
      <c r="DI239" s="613"/>
      <c r="DJ239" s="613"/>
      <c r="DK239" s="613"/>
      <c r="DL239" s="614"/>
      <c r="DM239" s="613"/>
      <c r="DN239" s="613"/>
      <c r="DO239" s="615"/>
      <c r="DP239" s="613"/>
      <c r="DQ239" s="613"/>
      <c r="DR239" s="613"/>
      <c r="DS239" s="614"/>
      <c r="DT239" s="613"/>
      <c r="DU239" s="613"/>
      <c r="DV239" s="615"/>
      <c r="DW239" s="613"/>
      <c r="DX239" s="613"/>
      <c r="DY239" s="613"/>
      <c r="DZ239" s="614"/>
      <c r="EA239" s="613"/>
      <c r="EB239" s="613"/>
      <c r="EC239" s="615"/>
      <c r="ED239" s="613"/>
      <c r="EE239" s="613"/>
      <c r="EF239" s="613"/>
      <c r="EG239" s="614"/>
      <c r="EH239" s="613"/>
      <c r="EI239" s="613"/>
      <c r="EJ239" s="615"/>
      <c r="EK239" s="613"/>
      <c r="EL239" s="613"/>
      <c r="EM239" s="613"/>
      <c r="EN239" s="614"/>
      <c r="EO239" s="613"/>
      <c r="EP239" s="613"/>
      <c r="EQ239" s="615"/>
    </row>
    <row r="240" spans="1:147" ht="10.199999999999999" customHeight="1" collapsed="1">
      <c r="A240" s="43"/>
      <c r="B240" s="88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80"/>
      <c r="O240" s="399"/>
      <c r="P240" s="399"/>
      <c r="Q240" s="399"/>
      <c r="R240" s="425"/>
      <c r="S240" s="399"/>
      <c r="T240" s="399"/>
      <c r="U240" s="338"/>
      <c r="V240" s="399"/>
      <c r="W240" s="399"/>
      <c r="X240" s="399"/>
      <c r="Y240" s="425"/>
      <c r="Z240" s="399"/>
      <c r="AA240" s="399"/>
      <c r="AB240" s="338"/>
      <c r="AC240" s="399"/>
      <c r="AD240" s="399"/>
      <c r="AE240" s="399"/>
      <c r="AF240" s="425"/>
      <c r="AG240" s="399"/>
      <c r="AH240" s="399"/>
      <c r="AI240" s="338"/>
      <c r="AJ240" s="399"/>
      <c r="AK240" s="399"/>
      <c r="AL240" s="399"/>
      <c r="AM240" s="425"/>
      <c r="AN240" s="399"/>
      <c r="AO240" s="399"/>
      <c r="AP240" s="338"/>
      <c r="AQ240" s="399"/>
      <c r="AR240" s="399"/>
      <c r="AS240" s="399"/>
      <c r="AT240" s="425"/>
      <c r="AU240" s="399"/>
      <c r="AV240" s="399"/>
      <c r="AW240" s="338"/>
      <c r="AX240" s="399"/>
      <c r="AY240" s="399"/>
      <c r="AZ240" s="399"/>
      <c r="BA240" s="425"/>
      <c r="BB240" s="399"/>
      <c r="BC240" s="399"/>
      <c r="BD240" s="338"/>
      <c r="BE240" s="399"/>
      <c r="BF240" s="399"/>
      <c r="BG240" s="399"/>
      <c r="BH240" s="425"/>
      <c r="BI240" s="399"/>
      <c r="BJ240" s="399"/>
      <c r="BK240" s="338"/>
      <c r="BL240" s="399"/>
      <c r="BM240" s="399"/>
      <c r="BN240" s="399"/>
      <c r="BO240" s="425"/>
      <c r="BP240" s="399"/>
      <c r="BQ240" s="399"/>
      <c r="BR240" s="338"/>
      <c r="BS240" s="399"/>
      <c r="BT240" s="399"/>
      <c r="BU240" s="399"/>
      <c r="BV240" s="425"/>
      <c r="BW240" s="399"/>
      <c r="BX240" s="399"/>
      <c r="BY240" s="338"/>
      <c r="BZ240" s="399"/>
      <c r="CA240" s="399"/>
      <c r="CB240" s="399"/>
      <c r="CC240" s="425"/>
      <c r="CD240" s="399"/>
      <c r="CE240" s="399"/>
      <c r="CF240" s="338"/>
      <c r="CG240" s="399"/>
      <c r="CH240" s="399"/>
      <c r="CI240" s="399"/>
      <c r="CJ240" s="425"/>
      <c r="CK240" s="399"/>
      <c r="CL240" s="399"/>
      <c r="CM240" s="338"/>
      <c r="CN240" s="399"/>
      <c r="CO240" s="399"/>
      <c r="CP240" s="399"/>
      <c r="CQ240" s="425"/>
      <c r="CR240" s="399"/>
      <c r="CS240" s="399"/>
      <c r="CT240" s="338"/>
      <c r="CU240" s="399"/>
      <c r="CV240" s="399"/>
      <c r="CW240" s="399"/>
      <c r="CX240" s="425"/>
      <c r="CY240" s="399"/>
      <c r="CZ240" s="399"/>
      <c r="DA240" s="338"/>
      <c r="DB240" s="399"/>
      <c r="DC240" s="399"/>
      <c r="DD240" s="399"/>
      <c r="DE240" s="1935"/>
      <c r="DF240" s="299"/>
      <c r="DG240" s="299"/>
      <c r="DH240" s="627"/>
      <c r="DI240" s="399"/>
      <c r="DJ240" s="399"/>
      <c r="DK240" s="399"/>
      <c r="DL240" s="425"/>
      <c r="DM240" s="399"/>
      <c r="DN240" s="399"/>
      <c r="DO240" s="338"/>
      <c r="DP240" s="399"/>
      <c r="DQ240" s="399"/>
      <c r="DR240" s="399"/>
      <c r="DS240" s="425"/>
      <c r="DT240" s="399"/>
      <c r="DU240" s="399"/>
      <c r="DV240" s="338"/>
      <c r="DW240" s="399"/>
      <c r="DX240" s="399"/>
      <c r="DY240" s="399"/>
      <c r="DZ240" s="425"/>
      <c r="EA240" s="399"/>
      <c r="EB240" s="399"/>
      <c r="EC240" s="338"/>
      <c r="ED240" s="399"/>
      <c r="EE240" s="399"/>
      <c r="EF240" s="399"/>
      <c r="EG240" s="425"/>
      <c r="EH240" s="399"/>
      <c r="EI240" s="399"/>
      <c r="EJ240" s="338"/>
      <c r="EK240" s="399"/>
      <c r="EL240" s="399"/>
      <c r="EM240" s="399"/>
      <c r="EN240" s="425"/>
      <c r="EO240" s="399"/>
      <c r="EP240" s="399"/>
      <c r="EQ240" s="338"/>
    </row>
    <row r="241" spans="1:147" ht="10.199999999999999" customHeight="1">
      <c r="A241" s="48" t="s">
        <v>740</v>
      </c>
      <c r="B241" s="88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80"/>
      <c r="O241" s="436"/>
      <c r="P241" s="299"/>
      <c r="Q241" s="399"/>
      <c r="R241" s="425"/>
      <c r="S241" s="399"/>
      <c r="T241" s="399"/>
      <c r="U241" s="338"/>
      <c r="V241" s="436"/>
      <c r="W241" s="299"/>
      <c r="X241" s="399"/>
      <c r="Y241" s="425"/>
      <c r="Z241" s="399"/>
      <c r="AA241" s="399"/>
      <c r="AB241" s="338"/>
      <c r="AC241" s="436"/>
      <c r="AD241" s="299"/>
      <c r="AE241" s="399"/>
      <c r="AF241" s="425"/>
      <c r="AG241" s="399"/>
      <c r="AH241" s="399"/>
      <c r="AI241" s="338"/>
      <c r="AJ241" s="436"/>
      <c r="AK241" s="299"/>
      <c r="AL241" s="399"/>
      <c r="AM241" s="425"/>
      <c r="AN241" s="399"/>
      <c r="AO241" s="399"/>
      <c r="AP241" s="338"/>
      <c r="AQ241" s="436"/>
      <c r="AR241" s="299"/>
      <c r="AS241" s="399"/>
      <c r="AT241" s="425"/>
      <c r="AU241" s="399"/>
      <c r="AV241" s="399"/>
      <c r="AW241" s="338"/>
      <c r="AX241" s="436"/>
      <c r="AY241" s="299"/>
      <c r="AZ241" s="399"/>
      <c r="BA241" s="425"/>
      <c r="BB241" s="399"/>
      <c r="BC241" s="399"/>
      <c r="BD241" s="338"/>
      <c r="BE241" s="436"/>
      <c r="BF241" s="299"/>
      <c r="BG241" s="399"/>
      <c r="BH241" s="425"/>
      <c r="BI241" s="399"/>
      <c r="BJ241" s="399"/>
      <c r="BK241" s="338"/>
      <c r="BL241" s="436"/>
      <c r="BM241" s="299"/>
      <c r="BN241" s="399"/>
      <c r="BO241" s="425"/>
      <c r="BP241" s="399"/>
      <c r="BQ241" s="399"/>
      <c r="BR241" s="338"/>
      <c r="BS241" s="436"/>
      <c r="BT241" s="299"/>
      <c r="BU241" s="399"/>
      <c r="BV241" s="425"/>
      <c r="BW241" s="399"/>
      <c r="BX241" s="399"/>
      <c r="BY241" s="338"/>
      <c r="BZ241" s="436"/>
      <c r="CA241" s="299"/>
      <c r="CB241" s="399"/>
      <c r="CC241" s="425"/>
      <c r="CD241" s="399"/>
      <c r="CE241" s="399"/>
      <c r="CF241" s="338"/>
      <c r="CG241" s="436"/>
      <c r="CH241" s="299"/>
      <c r="CI241" s="399"/>
      <c r="CJ241" s="425"/>
      <c r="CK241" s="399"/>
      <c r="CL241" s="399"/>
      <c r="CM241" s="338"/>
      <c r="CN241" s="436"/>
      <c r="CO241" s="299"/>
      <c r="CP241" s="399"/>
      <c r="CQ241" s="425"/>
      <c r="CR241" s="399"/>
      <c r="CS241" s="399"/>
      <c r="CT241" s="338"/>
      <c r="CU241" s="436"/>
      <c r="CV241" s="399"/>
      <c r="CW241" s="399"/>
      <c r="CX241" s="425"/>
      <c r="CY241" s="399"/>
      <c r="CZ241" s="399"/>
      <c r="DA241" s="338"/>
      <c r="DB241" s="436"/>
      <c r="DC241" s="399"/>
      <c r="DD241" s="399"/>
      <c r="DE241" s="1935"/>
      <c r="DF241" s="299"/>
      <c r="DG241" s="299"/>
      <c r="DH241" s="627"/>
      <c r="DI241" s="436"/>
      <c r="DJ241" s="399"/>
      <c r="DK241" s="399"/>
      <c r="DL241" s="425"/>
      <c r="DM241" s="399"/>
      <c r="DN241" s="399"/>
      <c r="DO241" s="338"/>
      <c r="DP241" s="436"/>
      <c r="DQ241" s="399"/>
      <c r="DR241" s="399"/>
      <c r="DS241" s="425"/>
      <c r="DT241" s="399"/>
      <c r="DU241" s="399"/>
      <c r="DV241" s="338"/>
      <c r="DW241" s="436"/>
      <c r="DX241" s="399"/>
      <c r="DY241" s="399"/>
      <c r="DZ241" s="425"/>
      <c r="EA241" s="399"/>
      <c r="EB241" s="399"/>
      <c r="EC241" s="338"/>
      <c r="ED241" s="436"/>
      <c r="EE241" s="399"/>
      <c r="EF241" s="399"/>
      <c r="EG241" s="425"/>
      <c r="EH241" s="399"/>
      <c r="EI241" s="399"/>
      <c r="EJ241" s="338"/>
      <c r="EK241" s="436"/>
      <c r="EL241" s="399"/>
      <c r="EM241" s="399"/>
      <c r="EN241" s="425"/>
      <c r="EO241" s="399"/>
      <c r="EP241" s="399"/>
      <c r="EQ241" s="338"/>
    </row>
    <row r="242" spans="1:147" ht="10.199999999999999" customHeight="1">
      <c r="A242" s="130" t="str">
        <f>A219</f>
        <v>A220-100</v>
      </c>
      <c r="B242" s="130"/>
      <c r="C242" s="605"/>
      <c r="D242" s="605"/>
      <c r="E242" s="605"/>
      <c r="F242" s="605"/>
      <c r="G242" s="605"/>
      <c r="H242" s="605"/>
      <c r="I242" s="605"/>
      <c r="J242" s="605"/>
      <c r="K242" s="605"/>
      <c r="L242" s="605"/>
      <c r="M242" s="605"/>
      <c r="N242" s="606"/>
      <c r="O242" s="317"/>
      <c r="P242" s="130"/>
      <c r="Q242" s="317"/>
      <c r="R242" s="698"/>
      <c r="S242" s="317"/>
      <c r="T242" s="130"/>
      <c r="U242" s="619"/>
      <c r="V242" s="317"/>
      <c r="W242" s="130"/>
      <c r="X242" s="317"/>
      <c r="Y242" s="698"/>
      <c r="Z242" s="317"/>
      <c r="AA242" s="130"/>
      <c r="AB242" s="619"/>
      <c r="AC242" s="317"/>
      <c r="AD242" s="130"/>
      <c r="AE242" s="317"/>
      <c r="AF242" s="698"/>
      <c r="AG242" s="317"/>
      <c r="AH242" s="130"/>
      <c r="AI242" s="619"/>
      <c r="AJ242" s="317"/>
      <c r="AK242" s="130"/>
      <c r="AL242" s="317"/>
      <c r="AM242" s="698"/>
      <c r="AN242" s="317"/>
      <c r="AO242" s="130"/>
      <c r="AP242" s="619"/>
      <c r="AQ242" s="317"/>
      <c r="AR242" s="130"/>
      <c r="AS242" s="317"/>
      <c r="AT242" s="698"/>
      <c r="AU242" s="317"/>
      <c r="AV242" s="130"/>
      <c r="AW242" s="619"/>
      <c r="AX242" s="317"/>
      <c r="AY242" s="130"/>
      <c r="AZ242" s="317"/>
      <c r="BA242" s="698"/>
      <c r="BB242" s="317"/>
      <c r="BC242" s="130"/>
      <c r="BD242" s="619"/>
      <c r="BE242" s="317"/>
      <c r="BF242" s="130"/>
      <c r="BG242" s="317"/>
      <c r="BH242" s="698"/>
      <c r="BI242" s="317"/>
      <c r="BJ242" s="130"/>
      <c r="BK242" s="619">
        <f>BK102*BK219</f>
        <v>162</v>
      </c>
      <c r="BL242" s="317"/>
      <c r="BM242" s="130"/>
      <c r="BN242" s="317"/>
      <c r="BO242" s="698"/>
      <c r="BP242" s="317"/>
      <c r="BQ242" s="130"/>
      <c r="BR242" s="619">
        <f>BR102*BR219</f>
        <v>1032.75</v>
      </c>
      <c r="BS242" s="317"/>
      <c r="BT242" s="130"/>
      <c r="BU242" s="317"/>
      <c r="BV242" s="698"/>
      <c r="BW242" s="317"/>
      <c r="BX242" s="130"/>
      <c r="BY242" s="619">
        <f>BY102*BY219</f>
        <v>421.36200000000002</v>
      </c>
      <c r="BZ242" s="317"/>
      <c r="CA242" s="130"/>
      <c r="CB242" s="317"/>
      <c r="CC242" s="698"/>
      <c r="CD242" s="317"/>
      <c r="CE242" s="130"/>
      <c r="CF242" s="619">
        <f>CF102*CF219</f>
        <v>103.14941760000002</v>
      </c>
      <c r="CG242" s="317"/>
      <c r="CH242" s="130"/>
      <c r="CI242" s="317"/>
      <c r="CJ242" s="698"/>
      <c r="CK242" s="317"/>
      <c r="CL242" s="130"/>
      <c r="CM242" s="619">
        <f t="shared" ref="CM242:DR242" si="910">CM102*CM219</f>
        <v>210.42481190400002</v>
      </c>
      <c r="CN242" s="317">
        <f t="shared" si="910"/>
        <v>0</v>
      </c>
      <c r="CO242" s="130">
        <f t="shared" si="910"/>
        <v>0</v>
      </c>
      <c r="CP242" s="317">
        <f t="shared" si="910"/>
        <v>0</v>
      </c>
      <c r="CQ242" s="698">
        <f t="shared" si="910"/>
        <v>108.89484016032</v>
      </c>
      <c r="CR242" s="317">
        <f t="shared" si="910"/>
        <v>0</v>
      </c>
      <c r="CS242" s="130">
        <f t="shared" si="910"/>
        <v>108.89484016032</v>
      </c>
      <c r="CT242" s="619">
        <f t="shared" si="910"/>
        <v>108.89484016032</v>
      </c>
      <c r="CU242" s="317">
        <f t="shared" si="910"/>
        <v>37.205737054776002</v>
      </c>
      <c r="CV242" s="130">
        <f t="shared" si="910"/>
        <v>111.61721116432801</v>
      </c>
      <c r="CW242" s="317">
        <f t="shared" si="910"/>
        <v>74.411474109552003</v>
      </c>
      <c r="CX242" s="698">
        <f t="shared" ref="CX242" si="911">CX102*CX219</f>
        <v>148.82294821910401</v>
      </c>
      <c r="CY242" s="317">
        <f t="shared" si="910"/>
        <v>148.82294821910401</v>
      </c>
      <c r="CZ242" s="130">
        <f t="shared" ref="CZ242" si="912">CZ102*CZ219</f>
        <v>223.23442232865602</v>
      </c>
      <c r="DA242" s="619">
        <f t="shared" ref="DA242:DC242" si="913">DA102*DA219</f>
        <v>372.05737054776</v>
      </c>
      <c r="DB242" s="317">
        <f t="shared" si="913"/>
        <v>38.135880481145399</v>
      </c>
      <c r="DC242" s="130">
        <f t="shared" si="913"/>
        <v>76.271760962290799</v>
      </c>
      <c r="DD242" s="130">
        <f t="shared" si="910"/>
        <v>38.135880481145399</v>
      </c>
      <c r="DE242" s="698">
        <f t="shared" si="910"/>
        <v>38.135880481145399</v>
      </c>
      <c r="DF242" s="317">
        <f t="shared" ref="DF242" si="914">DF102*DF219</f>
        <v>114.40764144343621</v>
      </c>
      <c r="DG242" s="130">
        <f t="shared" si="910"/>
        <v>76.271760962290799</v>
      </c>
      <c r="DH242" s="619">
        <f t="shared" si="910"/>
        <v>190.67940240572699</v>
      </c>
      <c r="DI242" s="317">
        <f t="shared" si="910"/>
        <v>39.089277493174031</v>
      </c>
      <c r="DJ242" s="130">
        <f t="shared" si="910"/>
        <v>0</v>
      </c>
      <c r="DK242" s="617">
        <f t="shared" si="910"/>
        <v>97.723193732935073</v>
      </c>
      <c r="DL242" s="618">
        <f t="shared" si="910"/>
        <v>289.26065344948785</v>
      </c>
      <c r="DM242" s="130">
        <f t="shared" si="910"/>
        <v>39.089277493174031</v>
      </c>
      <c r="DN242" s="617">
        <f t="shared" si="910"/>
        <v>386.98384718242289</v>
      </c>
      <c r="DO242" s="651">
        <f t="shared" si="910"/>
        <v>426.07312467559694</v>
      </c>
      <c r="DP242" s="624">
        <f t="shared" si="910"/>
        <v>126.71033607396694</v>
      </c>
      <c r="DQ242" s="617">
        <f t="shared" si="910"/>
        <v>115.19121461269724</v>
      </c>
      <c r="DR242" s="617">
        <f t="shared" si="910"/>
        <v>115.19121461269722</v>
      </c>
      <c r="DS242" s="618">
        <f t="shared" ref="DS242:EQ242" si="915">DS102*DS219</f>
        <v>115.19121461269725</v>
      </c>
      <c r="DT242" s="617">
        <f t="shared" si="915"/>
        <v>241.90155068666419</v>
      </c>
      <c r="DU242" s="617">
        <f t="shared" si="915"/>
        <v>230.38242922539447</v>
      </c>
      <c r="DV242" s="651">
        <f t="shared" si="915"/>
        <v>472.28397991205867</v>
      </c>
      <c r="DW242" s="624">
        <f t="shared" si="915"/>
        <v>118.07099497801464</v>
      </c>
      <c r="DX242" s="617">
        <f t="shared" si="915"/>
        <v>118.07099497801464</v>
      </c>
      <c r="DY242" s="617">
        <f t="shared" si="915"/>
        <v>118.07099497801464</v>
      </c>
      <c r="DZ242" s="618">
        <f t="shared" si="915"/>
        <v>118.07099497801464</v>
      </c>
      <c r="EA242" s="617">
        <f t="shared" si="915"/>
        <v>236.14198995602928</v>
      </c>
      <c r="EB242" s="617">
        <f t="shared" si="915"/>
        <v>236.14198995602928</v>
      </c>
      <c r="EC242" s="651">
        <f t="shared" si="915"/>
        <v>472.28397991205856</v>
      </c>
      <c r="ED242" s="624">
        <f t="shared" si="915"/>
        <v>121.02276985246499</v>
      </c>
      <c r="EE242" s="617">
        <f t="shared" si="915"/>
        <v>121.02276985246499</v>
      </c>
      <c r="EF242" s="617">
        <f t="shared" si="915"/>
        <v>121.02276985246499</v>
      </c>
      <c r="EG242" s="618">
        <f t="shared" si="915"/>
        <v>121.02276985246499</v>
      </c>
      <c r="EH242" s="617">
        <f t="shared" si="915"/>
        <v>242.04553970492998</v>
      </c>
      <c r="EI242" s="617">
        <f t="shared" si="915"/>
        <v>242.04553970492998</v>
      </c>
      <c r="EJ242" s="651">
        <f t="shared" si="915"/>
        <v>484.09107940985996</v>
      </c>
      <c r="EK242" s="624">
        <f t="shared" si="915"/>
        <v>124.04833909877659</v>
      </c>
      <c r="EL242" s="617">
        <f t="shared" si="915"/>
        <v>124.04833909877659</v>
      </c>
      <c r="EM242" s="617">
        <f t="shared" si="915"/>
        <v>124.04833909877659</v>
      </c>
      <c r="EN242" s="618">
        <f t="shared" si="915"/>
        <v>124.04833909877659</v>
      </c>
      <c r="EO242" s="617">
        <f t="shared" si="915"/>
        <v>248.09667819755319</v>
      </c>
      <c r="EP242" s="617">
        <f t="shared" si="915"/>
        <v>248.09667819755319</v>
      </c>
      <c r="EQ242" s="651">
        <f t="shared" si="915"/>
        <v>496.19335639510638</v>
      </c>
    </row>
    <row r="243" spans="1:147" ht="10.199999999999999" customHeight="1">
      <c r="A243" s="130" t="str">
        <f>A220</f>
        <v>A220-300</v>
      </c>
      <c r="B243" s="130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6"/>
      <c r="O243" s="317"/>
      <c r="P243" s="130"/>
      <c r="Q243" s="317"/>
      <c r="R243" s="698"/>
      <c r="S243" s="317"/>
      <c r="T243" s="130"/>
      <c r="U243" s="619"/>
      <c r="V243" s="317"/>
      <c r="W243" s="130"/>
      <c r="X243" s="317"/>
      <c r="Y243" s="698"/>
      <c r="Z243" s="317"/>
      <c r="AA243" s="130"/>
      <c r="AB243" s="619"/>
      <c r="AC243" s="317"/>
      <c r="AD243" s="130"/>
      <c r="AE243" s="317"/>
      <c r="AF243" s="698"/>
      <c r="AG243" s="317"/>
      <c r="AH243" s="130"/>
      <c r="AI243" s="619"/>
      <c r="AJ243" s="317"/>
      <c r="AK243" s="130"/>
      <c r="AL243" s="317"/>
      <c r="AM243" s="698"/>
      <c r="AN243" s="317"/>
      <c r="AO243" s="130"/>
      <c r="AP243" s="619"/>
      <c r="AQ243" s="317"/>
      <c r="AR243" s="130"/>
      <c r="AS243" s="317"/>
      <c r="AT243" s="698"/>
      <c r="AU243" s="317"/>
      <c r="AV243" s="130"/>
      <c r="AW243" s="619"/>
      <c r="AX243" s="317"/>
      <c r="AY243" s="130"/>
      <c r="AZ243" s="317"/>
      <c r="BA243" s="698"/>
      <c r="BB243" s="317"/>
      <c r="BC243" s="130"/>
      <c r="BD243" s="619"/>
      <c r="BE243" s="317"/>
      <c r="BF243" s="130"/>
      <c r="BG243" s="317"/>
      <c r="BH243" s="698"/>
      <c r="BI243" s="317"/>
      <c r="BJ243" s="130"/>
      <c r="BK243" s="619">
        <f>BK103*BK220</f>
        <v>732</v>
      </c>
      <c r="BL243" s="317"/>
      <c r="BM243" s="130"/>
      <c r="BN243" s="317"/>
      <c r="BO243" s="698"/>
      <c r="BP243" s="317"/>
      <c r="BQ243" s="130"/>
      <c r="BR243" s="619">
        <f>BR103*BR220</f>
        <v>1073.2950000000001</v>
      </c>
      <c r="BS243" s="317"/>
      <c r="BT243" s="130"/>
      <c r="BU243" s="317"/>
      <c r="BV243" s="698"/>
      <c r="BW243" s="317"/>
      <c r="BX243" s="130"/>
      <c r="BY243" s="619">
        <f>BY103*BY220</f>
        <v>1332.7524000000001</v>
      </c>
      <c r="BZ243" s="317"/>
      <c r="CA243" s="130"/>
      <c r="CB243" s="317"/>
      <c r="CC243" s="698"/>
      <c r="CD243" s="317"/>
      <c r="CE243" s="130"/>
      <c r="CF243" s="619">
        <f>CF103*CF220</f>
        <v>1825.4900016000001</v>
      </c>
      <c r="CG243" s="317"/>
      <c r="CH243" s="130"/>
      <c r="CI243" s="317"/>
      <c r="CJ243" s="698"/>
      <c r="CK243" s="317"/>
      <c r="CL243" s="130"/>
      <c r="CM243" s="619">
        <f t="shared" ref="CM243:DR243" si="916">CM103*CM220</f>
        <v>1861.9998016320005</v>
      </c>
      <c r="CN243" s="317">
        <f t="shared" si="916"/>
        <v>410.03612652959998</v>
      </c>
      <c r="CO243" s="130">
        <f t="shared" si="916"/>
        <v>615.05418979440003</v>
      </c>
      <c r="CP243" s="317">
        <f t="shared" si="916"/>
        <v>656.05780244736002</v>
      </c>
      <c r="CQ243" s="698">
        <f t="shared" si="916"/>
        <v>984.08670367104003</v>
      </c>
      <c r="CR243" s="317">
        <f t="shared" si="916"/>
        <v>1025.090316324</v>
      </c>
      <c r="CS243" s="130">
        <f t="shared" si="916"/>
        <v>1640.1445061183999</v>
      </c>
      <c r="CT243" s="619">
        <f t="shared" si="916"/>
        <v>2665.2348224423999</v>
      </c>
      <c r="CU243" s="317">
        <f t="shared" si="916"/>
        <v>462.31573266212399</v>
      </c>
      <c r="CV243" s="130">
        <f t="shared" si="916"/>
        <v>546.37313860069196</v>
      </c>
      <c r="CW243" s="317">
        <f t="shared" si="916"/>
        <v>630.43054453925993</v>
      </c>
      <c r="CX243" s="698">
        <f t="shared" ref="CX243" si="917">CX103*CX220</f>
        <v>1092.7462772013839</v>
      </c>
      <c r="CY243" s="317">
        <f t="shared" si="916"/>
        <v>1008.688871262816</v>
      </c>
      <c r="CZ243" s="130">
        <f t="shared" ref="CZ243" si="918">CZ103*CZ220</f>
        <v>1723.1768217406438</v>
      </c>
      <c r="DA243" s="619">
        <f t="shared" ref="DA243:DC243" si="919">DA103*DA220</f>
        <v>2731.8656930034599</v>
      </c>
      <c r="DB243" s="317">
        <f t="shared" si="919"/>
        <v>689.27072869625749</v>
      </c>
      <c r="DC243" s="130">
        <f t="shared" si="919"/>
        <v>947.74725195735402</v>
      </c>
      <c r="DD243" s="130">
        <f t="shared" si="916"/>
        <v>861.58841087032192</v>
      </c>
      <c r="DE243" s="698">
        <f t="shared" si="916"/>
        <v>1292.3826163054828</v>
      </c>
      <c r="DF243" s="317">
        <f t="shared" ref="DF243" si="920">DF103*DF220</f>
        <v>1637.0179806536116</v>
      </c>
      <c r="DG243" s="130">
        <f t="shared" si="916"/>
        <v>2153.9710271758045</v>
      </c>
      <c r="DH243" s="619">
        <f t="shared" si="916"/>
        <v>3790.9890078294161</v>
      </c>
      <c r="DI243" s="317">
        <f t="shared" si="916"/>
        <v>794.81530902787188</v>
      </c>
      <c r="DJ243" s="130">
        <f t="shared" si="916"/>
        <v>1103.9101514275999</v>
      </c>
      <c r="DK243" s="617">
        <f t="shared" si="916"/>
        <v>993.51913628483987</v>
      </c>
      <c r="DL243" s="618">
        <f t="shared" si="916"/>
        <v>1439.49883746159</v>
      </c>
      <c r="DM243" s="130">
        <f t="shared" si="916"/>
        <v>1898.7254604554716</v>
      </c>
      <c r="DN243" s="617">
        <f t="shared" si="916"/>
        <v>2433.0179737464296</v>
      </c>
      <c r="DO243" s="651">
        <f t="shared" si="916"/>
        <v>4331.7434342019014</v>
      </c>
      <c r="DP243" s="624">
        <f t="shared" si="916"/>
        <v>1288.2217500853301</v>
      </c>
      <c r="DQ243" s="617">
        <f t="shared" si="916"/>
        <v>1171.1106818957549</v>
      </c>
      <c r="DR243" s="617">
        <f t="shared" si="916"/>
        <v>1171.1106818957549</v>
      </c>
      <c r="DS243" s="618">
        <f t="shared" ref="DS243:EQ243" si="921">DS103*DS220</f>
        <v>1171.1106818957551</v>
      </c>
      <c r="DT243" s="617">
        <f t="shared" si="921"/>
        <v>2459.3324319810849</v>
      </c>
      <c r="DU243" s="617">
        <f t="shared" si="921"/>
        <v>2342.2213637915097</v>
      </c>
      <c r="DV243" s="651">
        <f t="shared" si="921"/>
        <v>4801.5537957725946</v>
      </c>
      <c r="DW243" s="624">
        <f t="shared" si="921"/>
        <v>1200.3884489431484</v>
      </c>
      <c r="DX243" s="617">
        <f t="shared" si="921"/>
        <v>1200.3884489431484</v>
      </c>
      <c r="DY243" s="617">
        <f t="shared" si="921"/>
        <v>1200.3884489431484</v>
      </c>
      <c r="DZ243" s="618">
        <f t="shared" si="921"/>
        <v>1200.3884489431484</v>
      </c>
      <c r="EA243" s="617">
        <f t="shared" si="921"/>
        <v>2400.7768978862969</v>
      </c>
      <c r="EB243" s="617">
        <f t="shared" si="921"/>
        <v>2400.7768978862969</v>
      </c>
      <c r="EC243" s="651">
        <f t="shared" si="921"/>
        <v>4801.5537957725937</v>
      </c>
      <c r="ED243" s="624">
        <f t="shared" si="921"/>
        <v>1230.3981601667269</v>
      </c>
      <c r="EE243" s="617">
        <f t="shared" si="921"/>
        <v>1230.3981601667269</v>
      </c>
      <c r="EF243" s="617">
        <f t="shared" si="921"/>
        <v>1230.3981601667269</v>
      </c>
      <c r="EG243" s="618">
        <f t="shared" si="921"/>
        <v>1230.3981601667269</v>
      </c>
      <c r="EH243" s="617">
        <f t="shared" si="921"/>
        <v>2460.7963203334539</v>
      </c>
      <c r="EI243" s="617">
        <f t="shared" si="921"/>
        <v>2460.7963203334539</v>
      </c>
      <c r="EJ243" s="651">
        <f t="shared" si="921"/>
        <v>4921.5926406669078</v>
      </c>
      <c r="EK243" s="624">
        <f t="shared" si="921"/>
        <v>1261.158114170895</v>
      </c>
      <c r="EL243" s="617">
        <f t="shared" si="921"/>
        <v>1261.158114170895</v>
      </c>
      <c r="EM243" s="617">
        <f t="shared" si="921"/>
        <v>1261.158114170895</v>
      </c>
      <c r="EN243" s="618">
        <f t="shared" si="921"/>
        <v>1261.158114170895</v>
      </c>
      <c r="EO243" s="617">
        <f t="shared" si="921"/>
        <v>2522.3162283417901</v>
      </c>
      <c r="EP243" s="617">
        <f t="shared" si="921"/>
        <v>2522.3162283417901</v>
      </c>
      <c r="EQ243" s="651">
        <f t="shared" si="921"/>
        <v>5044.6324566835801</v>
      </c>
    </row>
    <row r="244" spans="1:147" ht="10.199999999999999" customHeight="1">
      <c r="A244" s="92" t="s">
        <v>644</v>
      </c>
      <c r="B244" s="92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1"/>
      <c r="O244" s="319"/>
      <c r="P244" s="92"/>
      <c r="Q244" s="319"/>
      <c r="R244" s="699"/>
      <c r="S244" s="319"/>
      <c r="T244" s="92"/>
      <c r="U244" s="1289"/>
      <c r="V244" s="319"/>
      <c r="W244" s="92"/>
      <c r="X244" s="319"/>
      <c r="Y244" s="699"/>
      <c r="Z244" s="319"/>
      <c r="AA244" s="92"/>
      <c r="AB244" s="1289"/>
      <c r="AC244" s="319"/>
      <c r="AD244" s="92"/>
      <c r="AE244" s="319"/>
      <c r="AF244" s="699"/>
      <c r="AG244" s="319"/>
      <c r="AH244" s="92"/>
      <c r="AI244" s="1289"/>
      <c r="AJ244" s="319"/>
      <c r="AK244" s="92"/>
      <c r="AL244" s="319"/>
      <c r="AM244" s="699"/>
      <c r="AN244" s="319"/>
      <c r="AO244" s="92"/>
      <c r="AP244" s="1289"/>
      <c r="AQ244" s="319"/>
      <c r="AR244" s="92"/>
      <c r="AS244" s="319"/>
      <c r="AT244" s="699"/>
      <c r="AU244" s="319"/>
      <c r="AV244" s="92"/>
      <c r="AW244" s="1289"/>
      <c r="AX244" s="319"/>
      <c r="AY244" s="92"/>
      <c r="AZ244" s="319"/>
      <c r="BA244" s="699"/>
      <c r="BB244" s="319"/>
      <c r="BC244" s="92"/>
      <c r="BD244" s="1289"/>
      <c r="BE244" s="319"/>
      <c r="BF244" s="92"/>
      <c r="BG244" s="319"/>
      <c r="BH244" s="699"/>
      <c r="BI244" s="319"/>
      <c r="BJ244" s="92"/>
      <c r="BK244" s="1289">
        <f t="shared" ref="BK244:CN244" si="922">BK242+BK243</f>
        <v>894</v>
      </c>
      <c r="BL244" s="319"/>
      <c r="BM244" s="92"/>
      <c r="BN244" s="319"/>
      <c r="BO244" s="699"/>
      <c r="BP244" s="319"/>
      <c r="BQ244" s="92"/>
      <c r="BR244" s="1289">
        <f t="shared" si="922"/>
        <v>2106.0450000000001</v>
      </c>
      <c r="BS244" s="319"/>
      <c r="BT244" s="92"/>
      <c r="BU244" s="319"/>
      <c r="BV244" s="699"/>
      <c r="BW244" s="319"/>
      <c r="BX244" s="92"/>
      <c r="BY244" s="1289">
        <f t="shared" si="922"/>
        <v>1754.1144000000002</v>
      </c>
      <c r="BZ244" s="319"/>
      <c r="CA244" s="92"/>
      <c r="CB244" s="319"/>
      <c r="CC244" s="699"/>
      <c r="CD244" s="319"/>
      <c r="CE244" s="92"/>
      <c r="CF244" s="1289">
        <f t="shared" si="922"/>
        <v>1928.6394192000002</v>
      </c>
      <c r="CG244" s="319"/>
      <c r="CH244" s="92"/>
      <c r="CI244" s="319"/>
      <c r="CJ244" s="699"/>
      <c r="CK244" s="319"/>
      <c r="CL244" s="92"/>
      <c r="CM244" s="1289">
        <f t="shared" si="922"/>
        <v>2072.4246135360004</v>
      </c>
      <c r="CN244" s="319">
        <f t="shared" si="922"/>
        <v>410.03612652959998</v>
      </c>
      <c r="CO244" s="92">
        <f t="shared" ref="CO244:CT244" si="923">CO242+CO243</f>
        <v>615.05418979440003</v>
      </c>
      <c r="CP244" s="319">
        <f t="shared" si="923"/>
        <v>656.05780244736002</v>
      </c>
      <c r="CQ244" s="699">
        <f t="shared" si="923"/>
        <v>1092.9815438313601</v>
      </c>
      <c r="CR244" s="319">
        <f t="shared" si="923"/>
        <v>1025.090316324</v>
      </c>
      <c r="CS244" s="92">
        <f t="shared" si="923"/>
        <v>1749.0393462787199</v>
      </c>
      <c r="CT244" s="1289">
        <f t="shared" si="923"/>
        <v>2774.1296626027201</v>
      </c>
      <c r="CU244" s="319">
        <f t="shared" ref="CU244:DA244" si="924">CU242+CU243</f>
        <v>499.52146971690001</v>
      </c>
      <c r="CV244" s="92">
        <f t="shared" si="924"/>
        <v>657.99034976502003</v>
      </c>
      <c r="CW244" s="319">
        <f t="shared" si="924"/>
        <v>704.84201864881197</v>
      </c>
      <c r="CX244" s="699">
        <f t="shared" si="924"/>
        <v>1241.569225420488</v>
      </c>
      <c r="CY244" s="319">
        <f t="shared" si="924"/>
        <v>1157.5118194819199</v>
      </c>
      <c r="CZ244" s="92">
        <f t="shared" si="924"/>
        <v>1946.4112440692998</v>
      </c>
      <c r="DA244" s="1289">
        <f t="shared" si="924"/>
        <v>3103.9230635512199</v>
      </c>
      <c r="DB244" s="319">
        <f t="shared" ref="DB244:DC244" si="925">DB242+DB243</f>
        <v>727.40660917740286</v>
      </c>
      <c r="DC244" s="92">
        <f t="shared" si="925"/>
        <v>1024.0190129196449</v>
      </c>
      <c r="DD244" s="92">
        <f t="shared" ref="DD244:EQ244" si="926">DD242+DD243</f>
        <v>899.72429135146729</v>
      </c>
      <c r="DE244" s="699">
        <f t="shared" si="926"/>
        <v>1330.5184967866282</v>
      </c>
      <c r="DF244" s="319">
        <f t="shared" si="926"/>
        <v>1751.4256220970478</v>
      </c>
      <c r="DG244" s="92">
        <f t="shared" si="926"/>
        <v>2230.2427881380954</v>
      </c>
      <c r="DH244" s="1289">
        <f t="shared" si="926"/>
        <v>3981.6684102351433</v>
      </c>
      <c r="DI244" s="319">
        <f t="shared" si="926"/>
        <v>833.90458652104587</v>
      </c>
      <c r="DJ244" s="92">
        <f t="shared" si="926"/>
        <v>1103.9101514275999</v>
      </c>
      <c r="DK244" s="622">
        <f t="shared" si="926"/>
        <v>1091.242330017775</v>
      </c>
      <c r="DL244" s="623">
        <f t="shared" si="926"/>
        <v>1728.7594909110778</v>
      </c>
      <c r="DM244" s="92">
        <f t="shared" si="926"/>
        <v>1937.8147379486456</v>
      </c>
      <c r="DN244" s="622">
        <f t="shared" si="926"/>
        <v>2820.0018209288523</v>
      </c>
      <c r="DO244" s="652">
        <f t="shared" si="926"/>
        <v>4757.8165588774982</v>
      </c>
      <c r="DP244" s="625">
        <f t="shared" si="926"/>
        <v>1414.9320861592971</v>
      </c>
      <c r="DQ244" s="622">
        <f t="shared" si="926"/>
        <v>1286.301896508452</v>
      </c>
      <c r="DR244" s="622">
        <f t="shared" si="926"/>
        <v>1286.301896508452</v>
      </c>
      <c r="DS244" s="623">
        <f t="shared" si="926"/>
        <v>1286.3018965084523</v>
      </c>
      <c r="DT244" s="622">
        <f t="shared" si="926"/>
        <v>2701.2339826677489</v>
      </c>
      <c r="DU244" s="622">
        <f t="shared" si="926"/>
        <v>2572.6037930169041</v>
      </c>
      <c r="DV244" s="652">
        <f t="shared" si="926"/>
        <v>5273.837775684653</v>
      </c>
      <c r="DW244" s="625">
        <f t="shared" si="926"/>
        <v>1318.459443921163</v>
      </c>
      <c r="DX244" s="622">
        <f t="shared" si="926"/>
        <v>1318.459443921163</v>
      </c>
      <c r="DY244" s="622">
        <f t="shared" si="926"/>
        <v>1318.459443921163</v>
      </c>
      <c r="DZ244" s="623">
        <f t="shared" si="926"/>
        <v>1318.459443921163</v>
      </c>
      <c r="EA244" s="622">
        <f t="shared" si="926"/>
        <v>2636.9188878423261</v>
      </c>
      <c r="EB244" s="622">
        <f t="shared" si="926"/>
        <v>2636.9188878423261</v>
      </c>
      <c r="EC244" s="652">
        <f t="shared" si="926"/>
        <v>5273.8377756846521</v>
      </c>
      <c r="ED244" s="625">
        <f t="shared" si="926"/>
        <v>1351.4209300191919</v>
      </c>
      <c r="EE244" s="622">
        <f t="shared" si="926"/>
        <v>1351.4209300191919</v>
      </c>
      <c r="EF244" s="622">
        <f t="shared" si="926"/>
        <v>1351.4209300191919</v>
      </c>
      <c r="EG244" s="623">
        <f t="shared" si="926"/>
        <v>1351.4209300191919</v>
      </c>
      <c r="EH244" s="622">
        <f t="shared" si="926"/>
        <v>2702.8418600383839</v>
      </c>
      <c r="EI244" s="622">
        <f t="shared" si="926"/>
        <v>2702.8418600383839</v>
      </c>
      <c r="EJ244" s="652">
        <f t="shared" si="926"/>
        <v>5405.6837200767677</v>
      </c>
      <c r="EK244" s="625">
        <f t="shared" si="926"/>
        <v>1385.2064532696716</v>
      </c>
      <c r="EL244" s="622">
        <f t="shared" si="926"/>
        <v>1385.2064532696716</v>
      </c>
      <c r="EM244" s="622">
        <f t="shared" si="926"/>
        <v>1385.2064532696716</v>
      </c>
      <c r="EN244" s="623">
        <f t="shared" si="926"/>
        <v>1385.2064532696716</v>
      </c>
      <c r="EO244" s="622">
        <f t="shared" si="926"/>
        <v>2770.4129065393431</v>
      </c>
      <c r="EP244" s="622">
        <f t="shared" si="926"/>
        <v>2770.4129065393431</v>
      </c>
      <c r="EQ244" s="652">
        <f t="shared" si="926"/>
        <v>5540.8258130786862</v>
      </c>
    </row>
    <row r="245" spans="1:147" ht="10.199999999999999" hidden="1" customHeight="1" outlineLevel="1">
      <c r="A245" s="626" t="str">
        <f>A221</f>
        <v>A300</v>
      </c>
      <c r="B245" s="630"/>
      <c r="C245" s="422">
        <f t="shared" ref="C245:N245" si="927">C106*C221</f>
        <v>0</v>
      </c>
      <c r="D245" s="422">
        <f t="shared" si="927"/>
        <v>0</v>
      </c>
      <c r="E245" s="422">
        <f t="shared" si="927"/>
        <v>0</v>
      </c>
      <c r="F245" s="422">
        <f t="shared" si="927"/>
        <v>0</v>
      </c>
      <c r="G245" s="422">
        <f t="shared" si="927"/>
        <v>0</v>
      </c>
      <c r="H245" s="422">
        <f t="shared" si="927"/>
        <v>0</v>
      </c>
      <c r="I245" s="422">
        <f t="shared" si="927"/>
        <v>0</v>
      </c>
      <c r="J245" s="422">
        <f t="shared" si="927"/>
        <v>0</v>
      </c>
      <c r="K245" s="422">
        <f t="shared" si="927"/>
        <v>0</v>
      </c>
      <c r="L245" s="422">
        <f t="shared" si="927"/>
        <v>0</v>
      </c>
      <c r="M245" s="422">
        <f t="shared" si="927"/>
        <v>0</v>
      </c>
      <c r="N245" s="532">
        <f t="shared" si="927"/>
        <v>0</v>
      </c>
      <c r="O245" s="549"/>
      <c r="P245" s="549"/>
      <c r="Q245" s="549"/>
      <c r="R245" s="1099"/>
      <c r="S245" s="549"/>
      <c r="T245" s="549"/>
      <c r="U245" s="1273">
        <f>U106*U221</f>
        <v>0</v>
      </c>
      <c r="V245" s="549"/>
      <c r="W245" s="549"/>
      <c r="X245" s="549"/>
      <c r="Y245" s="1099"/>
      <c r="Z245" s="549"/>
      <c r="AA245" s="549"/>
      <c r="AB245" s="1273">
        <f>AB106*AB221</f>
        <v>0</v>
      </c>
      <c r="AC245" s="549"/>
      <c r="AD245" s="549"/>
      <c r="AE245" s="549"/>
      <c r="AF245" s="1099"/>
      <c r="AG245" s="549"/>
      <c r="AH245" s="549"/>
      <c r="AI245" s="1273">
        <f>AI106*AI221</f>
        <v>0</v>
      </c>
      <c r="AJ245" s="549"/>
      <c r="AK245" s="549"/>
      <c r="AL245" s="549"/>
      <c r="AM245" s="1099"/>
      <c r="AN245" s="549"/>
      <c r="AO245" s="549"/>
      <c r="AP245" s="1273">
        <f>AP106*AP221</f>
        <v>0</v>
      </c>
      <c r="AQ245" s="549"/>
      <c r="AR245" s="549"/>
      <c r="AS245" s="549"/>
      <c r="AT245" s="1099"/>
      <c r="AU245" s="549"/>
      <c r="AV245" s="549"/>
      <c r="AW245" s="1273">
        <f>AW106*AW221</f>
        <v>0</v>
      </c>
      <c r="AX245" s="549"/>
      <c r="AY245" s="549"/>
      <c r="AZ245" s="549"/>
      <c r="BA245" s="1099"/>
      <c r="BB245" s="549"/>
      <c r="BC245" s="549"/>
      <c r="BD245" s="1273">
        <f>BD106*BD221</f>
        <v>0</v>
      </c>
      <c r="BE245" s="549"/>
      <c r="BF245" s="549"/>
      <c r="BG245" s="549"/>
      <c r="BH245" s="1099"/>
      <c r="BI245" s="549"/>
      <c r="BJ245" s="549"/>
      <c r="BK245" s="1273">
        <f>BK106*BK221</f>
        <v>0</v>
      </c>
      <c r="BL245" s="549"/>
      <c r="BM245" s="549"/>
      <c r="BN245" s="549"/>
      <c r="BO245" s="1099"/>
      <c r="BP245" s="549"/>
      <c r="BQ245" s="549"/>
      <c r="BR245" s="1273">
        <f>BR106*BR221</f>
        <v>0</v>
      </c>
      <c r="BS245" s="549"/>
      <c r="BT245" s="549"/>
      <c r="BU245" s="549"/>
      <c r="BV245" s="1099"/>
      <c r="BW245" s="549"/>
      <c r="BX245" s="549"/>
      <c r="BY245" s="1273">
        <f>BY106*BY221</f>
        <v>0</v>
      </c>
      <c r="BZ245" s="549"/>
      <c r="CA245" s="549"/>
      <c r="CB245" s="549"/>
      <c r="CC245" s="1099"/>
      <c r="CD245" s="549"/>
      <c r="CE245" s="549"/>
      <c r="CF245" s="1273">
        <f>CF106*CF221</f>
        <v>0</v>
      </c>
      <c r="CG245" s="549"/>
      <c r="CH245" s="549"/>
      <c r="CI245" s="549"/>
      <c r="CJ245" s="1099"/>
      <c r="CK245" s="549"/>
      <c r="CL245" s="549"/>
      <c r="CM245" s="1273">
        <f t="shared" ref="CM245:DR245" si="928">CM106*CM221</f>
        <v>0</v>
      </c>
      <c r="CN245" s="549">
        <f t="shared" si="928"/>
        <v>0</v>
      </c>
      <c r="CO245" s="549">
        <f t="shared" si="928"/>
        <v>0</v>
      </c>
      <c r="CP245" s="549">
        <f t="shared" si="928"/>
        <v>0</v>
      </c>
      <c r="CQ245" s="1099">
        <f t="shared" si="928"/>
        <v>0</v>
      </c>
      <c r="CR245" s="549">
        <f t="shared" si="928"/>
        <v>0</v>
      </c>
      <c r="CS245" s="549">
        <f t="shared" si="928"/>
        <v>0</v>
      </c>
      <c r="CT245" s="1273">
        <f t="shared" si="928"/>
        <v>0</v>
      </c>
      <c r="CU245" s="549">
        <f t="shared" si="928"/>
        <v>0</v>
      </c>
      <c r="CV245" s="549">
        <f t="shared" si="928"/>
        <v>0</v>
      </c>
      <c r="CW245" s="549">
        <f t="shared" si="928"/>
        <v>0</v>
      </c>
      <c r="CX245" s="1099">
        <f t="shared" ref="CX245" si="929">CX106*CX221</f>
        <v>0</v>
      </c>
      <c r="CY245" s="549">
        <f t="shared" si="928"/>
        <v>0</v>
      </c>
      <c r="CZ245" s="549">
        <f t="shared" ref="CZ245" si="930">CZ106*CZ221</f>
        <v>0</v>
      </c>
      <c r="DA245" s="1273">
        <f t="shared" ref="DA245:DC245" si="931">DA106*DA221</f>
        <v>0</v>
      </c>
      <c r="DB245" s="549">
        <f t="shared" si="931"/>
        <v>0</v>
      </c>
      <c r="DC245" s="549">
        <f t="shared" si="931"/>
        <v>0</v>
      </c>
      <c r="DD245" s="549">
        <f t="shared" si="928"/>
        <v>0</v>
      </c>
      <c r="DE245" s="1099">
        <f t="shared" si="928"/>
        <v>0</v>
      </c>
      <c r="DF245" s="549">
        <f t="shared" ref="DF245" si="932">DF106*DF221</f>
        <v>0</v>
      </c>
      <c r="DG245" s="549">
        <f t="shared" si="928"/>
        <v>0</v>
      </c>
      <c r="DH245" s="1273">
        <f t="shared" si="928"/>
        <v>0</v>
      </c>
      <c r="DI245" s="549">
        <f t="shared" si="928"/>
        <v>0</v>
      </c>
      <c r="DJ245" s="549">
        <f t="shared" si="928"/>
        <v>0</v>
      </c>
      <c r="DK245" s="551">
        <f t="shared" si="928"/>
        <v>0</v>
      </c>
      <c r="DL245" s="552">
        <f t="shared" si="928"/>
        <v>0</v>
      </c>
      <c r="DM245" s="549">
        <f t="shared" si="928"/>
        <v>0</v>
      </c>
      <c r="DN245" s="551">
        <f t="shared" si="928"/>
        <v>0</v>
      </c>
      <c r="DO245" s="664">
        <f t="shared" si="928"/>
        <v>0</v>
      </c>
      <c r="DP245" s="551">
        <f t="shared" si="928"/>
        <v>0</v>
      </c>
      <c r="DQ245" s="551">
        <f t="shared" si="928"/>
        <v>0</v>
      </c>
      <c r="DR245" s="551">
        <f t="shared" si="928"/>
        <v>0</v>
      </c>
      <c r="DS245" s="552">
        <f t="shared" ref="DS245:EQ245" si="933">DS106*DS221</f>
        <v>0</v>
      </c>
      <c r="DT245" s="551">
        <f t="shared" si="933"/>
        <v>0</v>
      </c>
      <c r="DU245" s="551">
        <f t="shared" si="933"/>
        <v>0</v>
      </c>
      <c r="DV245" s="664">
        <f t="shared" si="933"/>
        <v>0</v>
      </c>
      <c r="DW245" s="551">
        <f t="shared" si="933"/>
        <v>0</v>
      </c>
      <c r="DX245" s="551">
        <f t="shared" si="933"/>
        <v>0</v>
      </c>
      <c r="DY245" s="551">
        <f t="shared" si="933"/>
        <v>0</v>
      </c>
      <c r="DZ245" s="552">
        <f t="shared" si="933"/>
        <v>0</v>
      </c>
      <c r="EA245" s="551">
        <f t="shared" si="933"/>
        <v>0</v>
      </c>
      <c r="EB245" s="551">
        <f t="shared" si="933"/>
        <v>0</v>
      </c>
      <c r="EC245" s="664">
        <f t="shared" si="933"/>
        <v>0</v>
      </c>
      <c r="ED245" s="551">
        <f t="shared" si="933"/>
        <v>0</v>
      </c>
      <c r="EE245" s="551">
        <f t="shared" si="933"/>
        <v>0</v>
      </c>
      <c r="EF245" s="551">
        <f t="shared" si="933"/>
        <v>0</v>
      </c>
      <c r="EG245" s="552">
        <f t="shared" si="933"/>
        <v>0</v>
      </c>
      <c r="EH245" s="551">
        <f t="shared" si="933"/>
        <v>0</v>
      </c>
      <c r="EI245" s="551">
        <f t="shared" si="933"/>
        <v>0</v>
      </c>
      <c r="EJ245" s="664">
        <f t="shared" si="933"/>
        <v>0</v>
      </c>
      <c r="EK245" s="551">
        <f t="shared" si="933"/>
        <v>0</v>
      </c>
      <c r="EL245" s="551">
        <f t="shared" si="933"/>
        <v>0</v>
      </c>
      <c r="EM245" s="551">
        <f t="shared" si="933"/>
        <v>0</v>
      </c>
      <c r="EN245" s="552">
        <f t="shared" si="933"/>
        <v>0</v>
      </c>
      <c r="EO245" s="551">
        <f t="shared" si="933"/>
        <v>0</v>
      </c>
      <c r="EP245" s="551">
        <f t="shared" si="933"/>
        <v>0</v>
      </c>
      <c r="EQ245" s="664">
        <f t="shared" si="933"/>
        <v>0</v>
      </c>
    </row>
    <row r="246" spans="1:147" ht="10.199999999999999" hidden="1" customHeight="1" outlineLevel="1">
      <c r="A246" s="608" t="str">
        <f>A222</f>
        <v>A318ceo</v>
      </c>
      <c r="B246" s="110"/>
      <c r="C246" s="110">
        <f t="shared" ref="C246:N246" si="934">C222*C108</f>
        <v>0</v>
      </c>
      <c r="D246" s="110">
        <f t="shared" si="934"/>
        <v>0</v>
      </c>
      <c r="E246" s="110">
        <f t="shared" si="934"/>
        <v>311.23152709359613</v>
      </c>
      <c r="F246" s="110">
        <f t="shared" si="934"/>
        <v>338.0625</v>
      </c>
      <c r="G246" s="110">
        <f t="shared" si="934"/>
        <v>310.87546874999992</v>
      </c>
      <c r="H246" s="110">
        <f t="shared" si="934"/>
        <v>282.05500049999989</v>
      </c>
      <c r="I246" s="110">
        <f t="shared" si="934"/>
        <v>623.9562863624999</v>
      </c>
      <c r="J246" s="110">
        <f t="shared" si="934"/>
        <v>484.30018815018724</v>
      </c>
      <c r="K246" s="110">
        <f t="shared" si="934"/>
        <v>223.96734440756143</v>
      </c>
      <c r="L246" s="110">
        <f t="shared" si="934"/>
        <v>81.25</v>
      </c>
      <c r="M246" s="110">
        <f t="shared" si="934"/>
        <v>83.456000000000003</v>
      </c>
      <c r="N246" s="67">
        <f t="shared" si="934"/>
        <v>64.314999999999998</v>
      </c>
      <c r="O246" s="530"/>
      <c r="P246" s="197"/>
      <c r="Q246" s="530"/>
      <c r="R246" s="688"/>
      <c r="S246" s="530"/>
      <c r="T246" s="197"/>
      <c r="U246" s="339">
        <f>U222*U108</f>
        <v>32.596499999999992</v>
      </c>
      <c r="V246" s="530"/>
      <c r="W246" s="197"/>
      <c r="X246" s="530"/>
      <c r="Y246" s="688"/>
      <c r="Z246" s="530"/>
      <c r="AA246" s="197"/>
      <c r="AB246" s="339">
        <f>AB222*AB108</f>
        <v>0</v>
      </c>
      <c r="AC246" s="530"/>
      <c r="AD246" s="197"/>
      <c r="AE246" s="530"/>
      <c r="AF246" s="688"/>
      <c r="AG246" s="530"/>
      <c r="AH246" s="197"/>
      <c r="AI246" s="339">
        <f>AI222*AI108</f>
        <v>44.454169218316245</v>
      </c>
      <c r="AJ246" s="530"/>
      <c r="AK246" s="197"/>
      <c r="AL246" s="530"/>
      <c r="AM246" s="688"/>
      <c r="AN246" s="530"/>
      <c r="AO246" s="197"/>
      <c r="AP246" s="339">
        <f>AP222*AP108</f>
        <v>0</v>
      </c>
      <c r="AQ246" s="530"/>
      <c r="AR246" s="197"/>
      <c r="AS246" s="530"/>
      <c r="AT246" s="688"/>
      <c r="AU246" s="530"/>
      <c r="AV246" s="197"/>
      <c r="AW246" s="339">
        <f>AW222*AW108</f>
        <v>0</v>
      </c>
      <c r="AX246" s="530"/>
      <c r="AY246" s="197"/>
      <c r="AZ246" s="530"/>
      <c r="BA246" s="688"/>
      <c r="BB246" s="530"/>
      <c r="BC246" s="197"/>
      <c r="BD246" s="339">
        <f>BD222*BD108</f>
        <v>0</v>
      </c>
      <c r="BE246" s="530"/>
      <c r="BF246" s="197"/>
      <c r="BG246" s="530"/>
      <c r="BH246" s="688"/>
      <c r="BI246" s="530"/>
      <c r="BJ246" s="197"/>
      <c r="BK246" s="339">
        <f>BK222*BK108</f>
        <v>0</v>
      </c>
      <c r="BL246" s="530"/>
      <c r="BM246" s="197"/>
      <c r="BN246" s="530"/>
      <c r="BO246" s="688"/>
      <c r="BP246" s="530"/>
      <c r="BQ246" s="197"/>
      <c r="BR246" s="339">
        <f>BR222*BR108</f>
        <v>0</v>
      </c>
      <c r="BS246" s="530"/>
      <c r="BT246" s="197"/>
      <c r="BU246" s="530"/>
      <c r="BV246" s="688"/>
      <c r="BW246" s="530"/>
      <c r="BX246" s="197"/>
      <c r="BY246" s="339">
        <f>BY222*BY108</f>
        <v>0</v>
      </c>
      <c r="BZ246" s="530"/>
      <c r="CA246" s="197"/>
      <c r="CB246" s="530"/>
      <c r="CC246" s="688"/>
      <c r="CD246" s="530"/>
      <c r="CE246" s="197"/>
      <c r="CF246" s="339">
        <f>CF222*CF108</f>
        <v>0</v>
      </c>
      <c r="CG246" s="530"/>
      <c r="CH246" s="197"/>
      <c r="CI246" s="530"/>
      <c r="CJ246" s="688"/>
      <c r="CK246" s="530"/>
      <c r="CL246" s="197"/>
      <c r="CM246" s="339">
        <f t="shared" ref="CM246:DR246" si="935">CM222*CM108</f>
        <v>0</v>
      </c>
      <c r="CN246" s="530">
        <f t="shared" si="935"/>
        <v>0</v>
      </c>
      <c r="CO246" s="197">
        <f t="shared" si="935"/>
        <v>0</v>
      </c>
      <c r="CP246" s="530">
        <f t="shared" si="935"/>
        <v>0</v>
      </c>
      <c r="CQ246" s="688">
        <f t="shared" si="935"/>
        <v>0</v>
      </c>
      <c r="CR246" s="530">
        <f t="shared" si="935"/>
        <v>0</v>
      </c>
      <c r="CS246" s="197">
        <f t="shared" si="935"/>
        <v>0</v>
      </c>
      <c r="CT246" s="339">
        <f t="shared" si="935"/>
        <v>0</v>
      </c>
      <c r="CU246" s="530">
        <f t="shared" si="935"/>
        <v>0</v>
      </c>
      <c r="CV246" s="197">
        <f t="shared" si="935"/>
        <v>0</v>
      </c>
      <c r="CW246" s="530">
        <f t="shared" si="935"/>
        <v>0</v>
      </c>
      <c r="CX246" s="688">
        <f t="shared" ref="CX246" si="936">CX222*CX108</f>
        <v>0</v>
      </c>
      <c r="CY246" s="530">
        <f t="shared" si="935"/>
        <v>0</v>
      </c>
      <c r="CZ246" s="197">
        <f t="shared" ref="CZ246" si="937">CZ222*CZ108</f>
        <v>0</v>
      </c>
      <c r="DA246" s="339">
        <f t="shared" ref="DA246:DC246" si="938">DA222*DA108</f>
        <v>0</v>
      </c>
      <c r="DB246" s="530">
        <f t="shared" si="938"/>
        <v>0</v>
      </c>
      <c r="DC246" s="197">
        <f t="shared" si="938"/>
        <v>0</v>
      </c>
      <c r="DD246" s="197">
        <f t="shared" si="935"/>
        <v>0</v>
      </c>
      <c r="DE246" s="688">
        <f t="shared" si="935"/>
        <v>0</v>
      </c>
      <c r="DF246" s="530">
        <f t="shared" ref="DF246" si="939">DF222*DF108</f>
        <v>0</v>
      </c>
      <c r="DG246" s="197">
        <f t="shared" si="935"/>
        <v>0</v>
      </c>
      <c r="DH246" s="339">
        <f t="shared" si="935"/>
        <v>0</v>
      </c>
      <c r="DI246" s="197">
        <f t="shared" si="935"/>
        <v>0</v>
      </c>
      <c r="DJ246" s="197">
        <f t="shared" si="935"/>
        <v>0</v>
      </c>
      <c r="DK246" s="322">
        <f t="shared" si="935"/>
        <v>0</v>
      </c>
      <c r="DL246" s="430">
        <f t="shared" si="935"/>
        <v>0</v>
      </c>
      <c r="DM246" s="197">
        <f t="shared" si="935"/>
        <v>0</v>
      </c>
      <c r="DN246" s="322">
        <f t="shared" si="935"/>
        <v>0</v>
      </c>
      <c r="DO246" s="339">
        <f t="shared" si="935"/>
        <v>0</v>
      </c>
      <c r="DP246" s="322">
        <f t="shared" si="935"/>
        <v>0</v>
      </c>
      <c r="DQ246" s="322">
        <f t="shared" si="935"/>
        <v>0</v>
      </c>
      <c r="DR246" s="322">
        <f t="shared" si="935"/>
        <v>0</v>
      </c>
      <c r="DS246" s="430">
        <f t="shared" ref="DS246:EQ246" si="940">DS222*DS108</f>
        <v>0</v>
      </c>
      <c r="DT246" s="322">
        <f t="shared" si="940"/>
        <v>0</v>
      </c>
      <c r="DU246" s="322">
        <f t="shared" si="940"/>
        <v>0</v>
      </c>
      <c r="DV246" s="339">
        <f t="shared" si="940"/>
        <v>0</v>
      </c>
      <c r="DW246" s="322">
        <f t="shared" si="940"/>
        <v>0</v>
      </c>
      <c r="DX246" s="322">
        <f t="shared" si="940"/>
        <v>0</v>
      </c>
      <c r="DY246" s="322">
        <f t="shared" si="940"/>
        <v>0</v>
      </c>
      <c r="DZ246" s="430">
        <f t="shared" si="940"/>
        <v>0</v>
      </c>
      <c r="EA246" s="322">
        <f t="shared" si="940"/>
        <v>0</v>
      </c>
      <c r="EB246" s="322">
        <f t="shared" si="940"/>
        <v>0</v>
      </c>
      <c r="EC246" s="339">
        <f t="shared" si="940"/>
        <v>0</v>
      </c>
      <c r="ED246" s="322">
        <f t="shared" si="940"/>
        <v>0</v>
      </c>
      <c r="EE246" s="322">
        <f t="shared" si="940"/>
        <v>0</v>
      </c>
      <c r="EF246" s="322">
        <f t="shared" si="940"/>
        <v>0</v>
      </c>
      <c r="EG246" s="430">
        <f t="shared" si="940"/>
        <v>0</v>
      </c>
      <c r="EH246" s="322">
        <f t="shared" si="940"/>
        <v>0</v>
      </c>
      <c r="EI246" s="322">
        <f t="shared" si="940"/>
        <v>0</v>
      </c>
      <c r="EJ246" s="339">
        <f t="shared" si="940"/>
        <v>0</v>
      </c>
      <c r="EK246" s="322">
        <f t="shared" si="940"/>
        <v>0</v>
      </c>
      <c r="EL246" s="322">
        <f t="shared" si="940"/>
        <v>0</v>
      </c>
      <c r="EM246" s="322">
        <f t="shared" si="940"/>
        <v>0</v>
      </c>
      <c r="EN246" s="430">
        <f t="shared" si="940"/>
        <v>0</v>
      </c>
      <c r="EO246" s="322">
        <f t="shared" si="940"/>
        <v>0</v>
      </c>
      <c r="EP246" s="322">
        <f t="shared" si="940"/>
        <v>0</v>
      </c>
      <c r="EQ246" s="339">
        <f t="shared" si="940"/>
        <v>0</v>
      </c>
    </row>
    <row r="247" spans="1:147" ht="10.199999999999999" hidden="1" customHeight="1" outlineLevel="1">
      <c r="A247" s="608" t="str">
        <f>A223</f>
        <v>A319ceo</v>
      </c>
      <c r="B247" s="110"/>
      <c r="C247" s="110">
        <f t="shared" ref="C247:N247" si="941">C223*C109</f>
        <v>3319.3762852750979</v>
      </c>
      <c r="D247" s="110">
        <f t="shared" si="941"/>
        <v>3258.9968210827742</v>
      </c>
      <c r="E247" s="110">
        <f t="shared" si="941"/>
        <v>2766.502463054188</v>
      </c>
      <c r="F247" s="110">
        <f t="shared" si="941"/>
        <v>3267.9375</v>
      </c>
      <c r="G247" s="110">
        <f t="shared" si="941"/>
        <v>5449.9156249999996</v>
      </c>
      <c r="H247" s="110">
        <f t="shared" si="941"/>
        <v>5366.8798706249981</v>
      </c>
      <c r="I247" s="110">
        <f t="shared" si="941"/>
        <v>4282.0529456249988</v>
      </c>
      <c r="J247" s="110">
        <f t="shared" si="941"/>
        <v>4056.5314904887487</v>
      </c>
      <c r="K247" s="110">
        <f t="shared" si="941"/>
        <v>3649.8382051602612</v>
      </c>
      <c r="L247" s="110">
        <f t="shared" si="941"/>
        <v>2466.36</v>
      </c>
      <c r="M247" s="110">
        <f t="shared" si="941"/>
        <v>2337.2159999999999</v>
      </c>
      <c r="N247" s="67">
        <f t="shared" si="941"/>
        <v>1456.6349999999998</v>
      </c>
      <c r="O247" s="530"/>
      <c r="P247" s="197"/>
      <c r="Q247" s="530"/>
      <c r="R247" s="688"/>
      <c r="S247" s="530"/>
      <c r="T247" s="197"/>
      <c r="U247" s="339">
        <f>U223*U109</f>
        <v>1477.2119999999998</v>
      </c>
      <c r="V247" s="530"/>
      <c r="W247" s="197"/>
      <c r="X247" s="530"/>
      <c r="Y247" s="688"/>
      <c r="Z247" s="530"/>
      <c r="AA247" s="197"/>
      <c r="AB247" s="339">
        <f>AB223*AB109</f>
        <v>1852.8951419602374</v>
      </c>
      <c r="AC247" s="530"/>
      <c r="AD247" s="197"/>
      <c r="AE247" s="530"/>
      <c r="AF247" s="688"/>
      <c r="AG247" s="530"/>
      <c r="AH247" s="197"/>
      <c r="AI247" s="339">
        <f>AI223*AI109</f>
        <v>1272.2388348025258</v>
      </c>
      <c r="AJ247" s="530"/>
      <c r="AK247" s="197"/>
      <c r="AL247" s="530"/>
      <c r="AM247" s="688"/>
      <c r="AN247" s="530"/>
      <c r="AO247" s="197"/>
      <c r="AP247" s="339">
        <f>AP223*AP109</f>
        <v>202.93961287308005</v>
      </c>
      <c r="AQ247" s="530"/>
      <c r="AR247" s="197"/>
      <c r="AS247" s="530"/>
      <c r="AT247" s="688"/>
      <c r="AU247" s="530"/>
      <c r="AV247" s="197"/>
      <c r="AW247" s="339">
        <f>AW223*AW109</f>
        <v>512.17416086001992</v>
      </c>
      <c r="AX247" s="530"/>
      <c r="AY247" s="197"/>
      <c r="AZ247" s="530"/>
      <c r="BA247" s="688"/>
      <c r="BB247" s="530"/>
      <c r="BC247" s="197"/>
      <c r="BD247" s="339">
        <f>BD223*BD109</f>
        <v>397.88166974358893</v>
      </c>
      <c r="BE247" s="530"/>
      <c r="BF247" s="197"/>
      <c r="BG247" s="530"/>
      <c r="BH247" s="688"/>
      <c r="BI247" s="530"/>
      <c r="BJ247" s="197"/>
      <c r="BK247" s="339">
        <f>BK223*BK109</f>
        <v>332.28</v>
      </c>
      <c r="BL247" s="530"/>
      <c r="BM247" s="197"/>
      <c r="BN247" s="530"/>
      <c r="BO247" s="688"/>
      <c r="BP247" s="530"/>
      <c r="BQ247" s="197"/>
      <c r="BR247" s="339">
        <f>BR223*BR109</f>
        <v>169.46279999999999</v>
      </c>
      <c r="BS247" s="530"/>
      <c r="BT247" s="197"/>
      <c r="BU247" s="530"/>
      <c r="BV247" s="688"/>
      <c r="BW247" s="530"/>
      <c r="BX247" s="197"/>
      <c r="BY247" s="339">
        <f>BY223*BY109</f>
        <v>115.23470400000001</v>
      </c>
      <c r="BZ247" s="530"/>
      <c r="CA247" s="197"/>
      <c r="CB247" s="530"/>
      <c r="CC247" s="688"/>
      <c r="CD247" s="530"/>
      <c r="CE247" s="197"/>
      <c r="CF247" s="339">
        <f>CF223*CF109</f>
        <v>78.359598720000008</v>
      </c>
      <c r="CG247" s="530"/>
      <c r="CH247" s="197"/>
      <c r="CI247" s="530"/>
      <c r="CJ247" s="688"/>
      <c r="CK247" s="530"/>
      <c r="CL247" s="197"/>
      <c r="CM247" s="339">
        <f t="shared" ref="CM247:DR247" si="942">CM223*CM109</f>
        <v>0</v>
      </c>
      <c r="CN247" s="530">
        <f t="shared" si="942"/>
        <v>0</v>
      </c>
      <c r="CO247" s="197">
        <f t="shared" si="942"/>
        <v>0</v>
      </c>
      <c r="CP247" s="530">
        <f t="shared" si="942"/>
        <v>0</v>
      </c>
      <c r="CQ247" s="688">
        <f t="shared" si="942"/>
        <v>0</v>
      </c>
      <c r="CR247" s="530">
        <f t="shared" si="942"/>
        <v>0</v>
      </c>
      <c r="CS247" s="197">
        <f t="shared" si="942"/>
        <v>0</v>
      </c>
      <c r="CT247" s="339">
        <f t="shared" si="942"/>
        <v>0</v>
      </c>
      <c r="CU247" s="530">
        <f t="shared" si="942"/>
        <v>0</v>
      </c>
      <c r="CV247" s="197">
        <f t="shared" si="942"/>
        <v>0</v>
      </c>
      <c r="CW247" s="530">
        <f t="shared" si="942"/>
        <v>0</v>
      </c>
      <c r="CX247" s="688">
        <f t="shared" ref="CX247" si="943">CX223*CX109</f>
        <v>0</v>
      </c>
      <c r="CY247" s="530">
        <f t="shared" si="942"/>
        <v>0</v>
      </c>
      <c r="CZ247" s="197">
        <f t="shared" ref="CZ247" si="944">CZ223*CZ109</f>
        <v>0</v>
      </c>
      <c r="DA247" s="339">
        <f t="shared" ref="DA247:DC247" si="945">DA223*DA109</f>
        <v>0</v>
      </c>
      <c r="DB247" s="530">
        <f t="shared" si="945"/>
        <v>0</v>
      </c>
      <c r="DC247" s="197">
        <f t="shared" si="945"/>
        <v>0</v>
      </c>
      <c r="DD247" s="197">
        <f t="shared" si="942"/>
        <v>0</v>
      </c>
      <c r="DE247" s="688">
        <f t="shared" si="942"/>
        <v>0</v>
      </c>
      <c r="DF247" s="530">
        <f t="shared" ref="DF247" si="946">DF223*DF109</f>
        <v>0</v>
      </c>
      <c r="DG247" s="197">
        <f t="shared" si="942"/>
        <v>0</v>
      </c>
      <c r="DH247" s="339">
        <f t="shared" si="942"/>
        <v>0</v>
      </c>
      <c r="DI247" s="197">
        <f t="shared" si="942"/>
        <v>0</v>
      </c>
      <c r="DJ247" s="197">
        <f t="shared" si="942"/>
        <v>0</v>
      </c>
      <c r="DK247" s="322">
        <f t="shared" si="942"/>
        <v>0</v>
      </c>
      <c r="DL247" s="430">
        <f t="shared" si="942"/>
        <v>0</v>
      </c>
      <c r="DM247" s="197">
        <f t="shared" si="942"/>
        <v>0</v>
      </c>
      <c r="DN247" s="322">
        <f t="shared" si="942"/>
        <v>0</v>
      </c>
      <c r="DO247" s="339">
        <f t="shared" si="942"/>
        <v>0</v>
      </c>
      <c r="DP247" s="322">
        <f t="shared" si="942"/>
        <v>0</v>
      </c>
      <c r="DQ247" s="322">
        <f t="shared" si="942"/>
        <v>0</v>
      </c>
      <c r="DR247" s="322">
        <f t="shared" si="942"/>
        <v>0</v>
      </c>
      <c r="DS247" s="430">
        <f t="shared" ref="DS247:EQ247" si="947">DS223*DS109</f>
        <v>0</v>
      </c>
      <c r="DT247" s="322">
        <f t="shared" si="947"/>
        <v>0</v>
      </c>
      <c r="DU247" s="322">
        <f t="shared" si="947"/>
        <v>0</v>
      </c>
      <c r="DV247" s="339">
        <f t="shared" si="947"/>
        <v>0</v>
      </c>
      <c r="DW247" s="322">
        <f t="shared" si="947"/>
        <v>0</v>
      </c>
      <c r="DX247" s="322">
        <f t="shared" si="947"/>
        <v>0</v>
      </c>
      <c r="DY247" s="322">
        <f t="shared" si="947"/>
        <v>0</v>
      </c>
      <c r="DZ247" s="430">
        <f t="shared" si="947"/>
        <v>0</v>
      </c>
      <c r="EA247" s="322">
        <f t="shared" si="947"/>
        <v>0</v>
      </c>
      <c r="EB247" s="322">
        <f t="shared" si="947"/>
        <v>0</v>
      </c>
      <c r="EC247" s="339">
        <f t="shared" si="947"/>
        <v>0</v>
      </c>
      <c r="ED247" s="322">
        <f t="shared" si="947"/>
        <v>0</v>
      </c>
      <c r="EE247" s="322">
        <f t="shared" si="947"/>
        <v>0</v>
      </c>
      <c r="EF247" s="322">
        <f t="shared" si="947"/>
        <v>0</v>
      </c>
      <c r="EG247" s="430">
        <f t="shared" si="947"/>
        <v>0</v>
      </c>
      <c r="EH247" s="322">
        <f t="shared" si="947"/>
        <v>0</v>
      </c>
      <c r="EI247" s="322">
        <f t="shared" si="947"/>
        <v>0</v>
      </c>
      <c r="EJ247" s="339">
        <f t="shared" si="947"/>
        <v>0</v>
      </c>
      <c r="EK247" s="322">
        <f t="shared" si="947"/>
        <v>0</v>
      </c>
      <c r="EL247" s="322">
        <f t="shared" si="947"/>
        <v>0</v>
      </c>
      <c r="EM247" s="322">
        <f t="shared" si="947"/>
        <v>0</v>
      </c>
      <c r="EN247" s="430">
        <f t="shared" si="947"/>
        <v>0</v>
      </c>
      <c r="EO247" s="322">
        <f t="shared" si="947"/>
        <v>0</v>
      </c>
      <c r="EP247" s="322">
        <f t="shared" si="947"/>
        <v>0</v>
      </c>
      <c r="EQ247" s="339">
        <f t="shared" si="947"/>
        <v>0</v>
      </c>
    </row>
    <row r="248" spans="1:147" ht="10.199999999999999" hidden="1" customHeight="1" outlineLevel="1">
      <c r="A248" s="608" t="str">
        <f>A224</f>
        <v>A320ceo</v>
      </c>
      <c r="B248" s="110"/>
      <c r="C248" s="110">
        <f t="shared" ref="C248:N248" si="948">C224*C110</f>
        <v>5059.6245714653915</v>
      </c>
      <c r="D248" s="110">
        <f t="shared" si="948"/>
        <v>5070.2322308233643</v>
      </c>
      <c r="E248" s="110">
        <f t="shared" si="948"/>
        <v>5212.5517241379312</v>
      </c>
      <c r="F248" s="110">
        <f t="shared" si="948"/>
        <v>4324.94625</v>
      </c>
      <c r="G248" s="110">
        <f t="shared" si="948"/>
        <v>5294.09409375</v>
      </c>
      <c r="H248" s="110">
        <f t="shared" si="948"/>
        <v>7324.0281796499985</v>
      </c>
      <c r="I248" s="110">
        <f t="shared" si="948"/>
        <v>9019.2269471849977</v>
      </c>
      <c r="J248" s="110">
        <f t="shared" si="948"/>
        <v>9862.3387033045856</v>
      </c>
      <c r="K248" s="110">
        <f t="shared" si="948"/>
        <v>10449.320879637231</v>
      </c>
      <c r="L248" s="110">
        <f t="shared" si="948"/>
        <v>15714.27</v>
      </c>
      <c r="M248" s="110">
        <f t="shared" si="948"/>
        <v>16646.399999999998</v>
      </c>
      <c r="N248" s="67">
        <f t="shared" si="948"/>
        <v>13924.909999999998</v>
      </c>
      <c r="O248" s="530"/>
      <c r="P248" s="197"/>
      <c r="Q248" s="530"/>
      <c r="R248" s="688"/>
      <c r="S248" s="530"/>
      <c r="T248" s="197"/>
      <c r="U248" s="339">
        <f>U224*U110</f>
        <v>14976.72</v>
      </c>
      <c r="V248" s="530"/>
      <c r="W248" s="197"/>
      <c r="X248" s="530"/>
      <c r="Y248" s="688"/>
      <c r="Z248" s="530"/>
      <c r="AA248" s="197"/>
      <c r="AB248" s="339">
        <f>AB224*AB110</f>
        <v>18250.36928287409</v>
      </c>
      <c r="AC248" s="530"/>
      <c r="AD248" s="197"/>
      <c r="AE248" s="530"/>
      <c r="AF248" s="688"/>
      <c r="AG248" s="530"/>
      <c r="AH248" s="197"/>
      <c r="AI248" s="339">
        <f>AI224*AI110</f>
        <v>16366.074627157775</v>
      </c>
      <c r="AJ248" s="530"/>
      <c r="AK248" s="197"/>
      <c r="AL248" s="530"/>
      <c r="AM248" s="688"/>
      <c r="AN248" s="530"/>
      <c r="AO248" s="197"/>
      <c r="AP248" s="339">
        <f>AP224*AP110</f>
        <v>14150.281600720622</v>
      </c>
      <c r="AQ248" s="530"/>
      <c r="AR248" s="197"/>
      <c r="AS248" s="530"/>
      <c r="AT248" s="688"/>
      <c r="AU248" s="530"/>
      <c r="AV248" s="197"/>
      <c r="AW248" s="339">
        <f>AW224*AW110</f>
        <v>10309.132059918367</v>
      </c>
      <c r="AX248" s="530"/>
      <c r="AY248" s="197"/>
      <c r="AZ248" s="530"/>
      <c r="BA248" s="688"/>
      <c r="BB248" s="530"/>
      <c r="BC248" s="197"/>
      <c r="BD248" s="339">
        <f>BD224*BD110</f>
        <v>8008.6325923195755</v>
      </c>
      <c r="BE248" s="530"/>
      <c r="BF248" s="197"/>
      <c r="BG248" s="530"/>
      <c r="BH248" s="688"/>
      <c r="BI248" s="530"/>
      <c r="BJ248" s="197"/>
      <c r="BK248" s="339">
        <f>BK224*BK110</f>
        <v>6044.8499999999995</v>
      </c>
      <c r="BL248" s="530"/>
      <c r="BM248" s="197"/>
      <c r="BN248" s="530"/>
      <c r="BO248" s="688"/>
      <c r="BP248" s="530"/>
      <c r="BQ248" s="197"/>
      <c r="BR248" s="339">
        <f>BR224*BR110</f>
        <v>2271.5909999999999</v>
      </c>
      <c r="BS248" s="530"/>
      <c r="BT248" s="197"/>
      <c r="BU248" s="530"/>
      <c r="BV248" s="688"/>
      <c r="BW248" s="530"/>
      <c r="BX248" s="197"/>
      <c r="BY248" s="339">
        <f>BY224*BY110</f>
        <v>126.09648000000001</v>
      </c>
      <c r="BZ248" s="530"/>
      <c r="CA248" s="197"/>
      <c r="CB248" s="530"/>
      <c r="CC248" s="688"/>
      <c r="CD248" s="530"/>
      <c r="CE248" s="197"/>
      <c r="CF248" s="339">
        <f>CF224*CF110</f>
        <v>0</v>
      </c>
      <c r="CG248" s="530"/>
      <c r="CH248" s="197"/>
      <c r="CI248" s="530"/>
      <c r="CJ248" s="688"/>
      <c r="CK248" s="530"/>
      <c r="CL248" s="197"/>
      <c r="CM248" s="339">
        <f t="shared" ref="CM248:DR248" si="949">CM224*CM110</f>
        <v>0</v>
      </c>
      <c r="CN248" s="530">
        <f t="shared" si="949"/>
        <v>0</v>
      </c>
      <c r="CO248" s="197">
        <f t="shared" si="949"/>
        <v>0</v>
      </c>
      <c r="CP248" s="530">
        <f t="shared" si="949"/>
        <v>0</v>
      </c>
      <c r="CQ248" s="688">
        <f t="shared" si="949"/>
        <v>0</v>
      </c>
      <c r="CR248" s="530">
        <f t="shared" si="949"/>
        <v>0</v>
      </c>
      <c r="CS248" s="197">
        <f t="shared" si="949"/>
        <v>0</v>
      </c>
      <c r="CT248" s="339">
        <f t="shared" si="949"/>
        <v>0</v>
      </c>
      <c r="CU248" s="530">
        <f t="shared" si="949"/>
        <v>0</v>
      </c>
      <c r="CV248" s="197">
        <f t="shared" si="949"/>
        <v>0</v>
      </c>
      <c r="CW248" s="530">
        <f t="shared" si="949"/>
        <v>0</v>
      </c>
      <c r="CX248" s="688">
        <f t="shared" ref="CX248" si="950">CX224*CX110</f>
        <v>0</v>
      </c>
      <c r="CY248" s="530">
        <f t="shared" si="949"/>
        <v>0</v>
      </c>
      <c r="CZ248" s="197">
        <f t="shared" ref="CZ248" si="951">CZ224*CZ110</f>
        <v>0</v>
      </c>
      <c r="DA248" s="339">
        <f t="shared" ref="DA248:DC248" si="952">DA224*DA110</f>
        <v>0</v>
      </c>
      <c r="DB248" s="530">
        <f t="shared" si="952"/>
        <v>0</v>
      </c>
      <c r="DC248" s="197">
        <f t="shared" si="952"/>
        <v>0</v>
      </c>
      <c r="DD248" s="197">
        <f t="shared" si="949"/>
        <v>0</v>
      </c>
      <c r="DE248" s="688">
        <f t="shared" si="949"/>
        <v>0</v>
      </c>
      <c r="DF248" s="530">
        <f t="shared" ref="DF248" si="953">DF224*DF110</f>
        <v>0</v>
      </c>
      <c r="DG248" s="197">
        <f t="shared" si="949"/>
        <v>0</v>
      </c>
      <c r="DH248" s="339">
        <f t="shared" si="949"/>
        <v>0</v>
      </c>
      <c r="DI248" s="197">
        <f t="shared" si="949"/>
        <v>0</v>
      </c>
      <c r="DJ248" s="197">
        <f t="shared" si="949"/>
        <v>0</v>
      </c>
      <c r="DK248" s="322">
        <f t="shared" si="949"/>
        <v>0</v>
      </c>
      <c r="DL248" s="430">
        <f t="shared" si="949"/>
        <v>0</v>
      </c>
      <c r="DM248" s="197">
        <f t="shared" si="949"/>
        <v>0</v>
      </c>
      <c r="DN248" s="322">
        <f t="shared" si="949"/>
        <v>0</v>
      </c>
      <c r="DO248" s="339">
        <f t="shared" si="949"/>
        <v>0</v>
      </c>
      <c r="DP248" s="322">
        <f t="shared" si="949"/>
        <v>0</v>
      </c>
      <c r="DQ248" s="322">
        <f t="shared" si="949"/>
        <v>0</v>
      </c>
      <c r="DR248" s="322">
        <f t="shared" si="949"/>
        <v>0</v>
      </c>
      <c r="DS248" s="430">
        <f t="shared" ref="DS248:EQ248" si="954">DS224*DS110</f>
        <v>0</v>
      </c>
      <c r="DT248" s="322">
        <f t="shared" si="954"/>
        <v>0</v>
      </c>
      <c r="DU248" s="322">
        <f t="shared" si="954"/>
        <v>0</v>
      </c>
      <c r="DV248" s="339">
        <f t="shared" si="954"/>
        <v>0</v>
      </c>
      <c r="DW248" s="322">
        <f t="shared" si="954"/>
        <v>0</v>
      </c>
      <c r="DX248" s="322">
        <f t="shared" si="954"/>
        <v>0</v>
      </c>
      <c r="DY248" s="322">
        <f t="shared" si="954"/>
        <v>0</v>
      </c>
      <c r="DZ248" s="430">
        <f t="shared" si="954"/>
        <v>0</v>
      </c>
      <c r="EA248" s="322">
        <f t="shared" si="954"/>
        <v>0</v>
      </c>
      <c r="EB248" s="322">
        <f t="shared" si="954"/>
        <v>0</v>
      </c>
      <c r="EC248" s="339">
        <f t="shared" si="954"/>
        <v>0</v>
      </c>
      <c r="ED248" s="322">
        <f t="shared" si="954"/>
        <v>0</v>
      </c>
      <c r="EE248" s="322">
        <f t="shared" si="954"/>
        <v>0</v>
      </c>
      <c r="EF248" s="322">
        <f t="shared" si="954"/>
        <v>0</v>
      </c>
      <c r="EG248" s="430">
        <f t="shared" si="954"/>
        <v>0</v>
      </c>
      <c r="EH248" s="322">
        <f t="shared" si="954"/>
        <v>0</v>
      </c>
      <c r="EI248" s="322">
        <f t="shared" si="954"/>
        <v>0</v>
      </c>
      <c r="EJ248" s="339">
        <f t="shared" si="954"/>
        <v>0</v>
      </c>
      <c r="EK248" s="322">
        <f t="shared" si="954"/>
        <v>0</v>
      </c>
      <c r="EL248" s="322">
        <f t="shared" si="954"/>
        <v>0</v>
      </c>
      <c r="EM248" s="322">
        <f t="shared" si="954"/>
        <v>0</v>
      </c>
      <c r="EN248" s="430">
        <f t="shared" si="954"/>
        <v>0</v>
      </c>
      <c r="EO248" s="322">
        <f t="shared" si="954"/>
        <v>0</v>
      </c>
      <c r="EP248" s="322">
        <f t="shared" si="954"/>
        <v>0</v>
      </c>
      <c r="EQ248" s="339">
        <f t="shared" si="954"/>
        <v>0</v>
      </c>
    </row>
    <row r="249" spans="1:147" ht="10.199999999999999" hidden="1" customHeight="1" outlineLevel="1">
      <c r="A249" s="608" t="str">
        <f>A225</f>
        <v>A321ceo</v>
      </c>
      <c r="B249" s="110"/>
      <c r="C249" s="110">
        <f t="shared" ref="C249:N249" si="955">C225*C111</f>
        <v>2558.5304850547386</v>
      </c>
      <c r="D249" s="110">
        <f t="shared" si="955"/>
        <v>1878.7158145065403</v>
      </c>
      <c r="E249" s="110">
        <f t="shared" si="955"/>
        <v>1775.1724137931037</v>
      </c>
      <c r="F249" s="110">
        <f t="shared" si="955"/>
        <v>1840.5625</v>
      </c>
      <c r="G249" s="110">
        <f t="shared" si="955"/>
        <v>913.43656249999992</v>
      </c>
      <c r="H249" s="110">
        <f t="shared" si="955"/>
        <v>1645.3208362499997</v>
      </c>
      <c r="I249" s="110">
        <f t="shared" si="955"/>
        <v>2911.7960030249992</v>
      </c>
      <c r="J249" s="110">
        <f t="shared" si="955"/>
        <v>3824.7296910322484</v>
      </c>
      <c r="K249" s="110">
        <f t="shared" si="955"/>
        <v>5051.7078794149975</v>
      </c>
      <c r="L249" s="110">
        <f t="shared" si="955"/>
        <v>3165.8250000000003</v>
      </c>
      <c r="M249" s="110">
        <f t="shared" si="955"/>
        <v>4211.3280000000004</v>
      </c>
      <c r="N249" s="67">
        <f t="shared" si="955"/>
        <v>4084.4299999999994</v>
      </c>
      <c r="O249" s="530"/>
      <c r="P249" s="197"/>
      <c r="Q249" s="530"/>
      <c r="R249" s="688"/>
      <c r="S249" s="530"/>
      <c r="T249" s="197"/>
      <c r="U249" s="339">
        <f>U225*U111</f>
        <v>5089.2389999999996</v>
      </c>
      <c r="V249" s="530"/>
      <c r="W249" s="197"/>
      <c r="X249" s="530"/>
      <c r="Y249" s="688"/>
      <c r="Z249" s="530"/>
      <c r="AA249" s="197"/>
      <c r="AB249" s="339">
        <f>AB225*AB111</f>
        <v>10489.703575165679</v>
      </c>
      <c r="AC249" s="530"/>
      <c r="AD249" s="197"/>
      <c r="AE249" s="530"/>
      <c r="AF249" s="688"/>
      <c r="AG249" s="530"/>
      <c r="AH249" s="197"/>
      <c r="AI249" s="339">
        <f>AI225*AI111</f>
        <v>12517.049574462322</v>
      </c>
      <c r="AJ249" s="530"/>
      <c r="AK249" s="197"/>
      <c r="AL249" s="530"/>
      <c r="AM249" s="688"/>
      <c r="AN249" s="530"/>
      <c r="AO249" s="197"/>
      <c r="AP249" s="339">
        <f>AP225*AP111</f>
        <v>14183.236638302134</v>
      </c>
      <c r="AQ249" s="530"/>
      <c r="AR249" s="197"/>
      <c r="AS249" s="530"/>
      <c r="AT249" s="688"/>
      <c r="AU249" s="530"/>
      <c r="AV249" s="197"/>
      <c r="AW249" s="339">
        <f>AW225*AW111</f>
        <v>12013.7382173884</v>
      </c>
      <c r="AX249" s="530"/>
      <c r="AY249" s="197"/>
      <c r="AZ249" s="530"/>
      <c r="BA249" s="688"/>
      <c r="BB249" s="530"/>
      <c r="BC249" s="197"/>
      <c r="BD249" s="339">
        <f>BD225*BD111</f>
        <v>9332.8531329468569</v>
      </c>
      <c r="BE249" s="530"/>
      <c r="BF249" s="197"/>
      <c r="BG249" s="530"/>
      <c r="BH249" s="688"/>
      <c r="BI249" s="530"/>
      <c r="BJ249" s="197"/>
      <c r="BK249" s="339">
        <f>BK225*BK111</f>
        <v>5270.2649999999994</v>
      </c>
      <c r="BL249" s="530"/>
      <c r="BM249" s="197"/>
      <c r="BN249" s="530"/>
      <c r="BO249" s="688"/>
      <c r="BP249" s="530"/>
      <c r="BQ249" s="197"/>
      <c r="BR249" s="339">
        <f>BR225*BR111</f>
        <v>2063.3885999999998</v>
      </c>
      <c r="BS249" s="530"/>
      <c r="BT249" s="197"/>
      <c r="BU249" s="530"/>
      <c r="BV249" s="688"/>
      <c r="BW249" s="530"/>
      <c r="BX249" s="197"/>
      <c r="BY249" s="339">
        <f>BY225*BY111</f>
        <v>443.08555200000001</v>
      </c>
      <c r="BZ249" s="530"/>
      <c r="CA249" s="197"/>
      <c r="CB249" s="530"/>
      <c r="CC249" s="688"/>
      <c r="CD249" s="530"/>
      <c r="CE249" s="197"/>
      <c r="CF249" s="339">
        <f>CF225*CF111</f>
        <v>1104.7599763200001</v>
      </c>
      <c r="CG249" s="530"/>
      <c r="CH249" s="197"/>
      <c r="CI249" s="530"/>
      <c r="CJ249" s="688"/>
      <c r="CK249" s="530"/>
      <c r="CL249" s="197"/>
      <c r="CM249" s="339">
        <f t="shared" ref="CM249:DR249" si="956">CM225*CM111</f>
        <v>0</v>
      </c>
      <c r="CN249" s="530">
        <f t="shared" si="956"/>
        <v>0</v>
      </c>
      <c r="CO249" s="197">
        <f t="shared" si="956"/>
        <v>0</v>
      </c>
      <c r="CP249" s="530">
        <f t="shared" si="956"/>
        <v>0</v>
      </c>
      <c r="CQ249" s="688">
        <f t="shared" si="956"/>
        <v>0</v>
      </c>
      <c r="CR249" s="530">
        <f t="shared" si="956"/>
        <v>0</v>
      </c>
      <c r="CS249" s="197">
        <f t="shared" si="956"/>
        <v>0</v>
      </c>
      <c r="CT249" s="339">
        <f t="shared" si="956"/>
        <v>0</v>
      </c>
      <c r="CU249" s="530">
        <f t="shared" si="956"/>
        <v>0</v>
      </c>
      <c r="CV249" s="197">
        <f t="shared" si="956"/>
        <v>0</v>
      </c>
      <c r="CW249" s="530">
        <f t="shared" si="956"/>
        <v>0</v>
      </c>
      <c r="CX249" s="688">
        <f t="shared" ref="CX249" si="957">CX225*CX111</f>
        <v>0</v>
      </c>
      <c r="CY249" s="530">
        <f t="shared" si="956"/>
        <v>0</v>
      </c>
      <c r="CZ249" s="197">
        <f t="shared" ref="CZ249" si="958">CZ225*CZ111</f>
        <v>0</v>
      </c>
      <c r="DA249" s="339">
        <f t="shared" ref="DA249:DC249" si="959">DA225*DA111</f>
        <v>0</v>
      </c>
      <c r="DB249" s="530">
        <f t="shared" si="959"/>
        <v>0</v>
      </c>
      <c r="DC249" s="197">
        <f t="shared" si="959"/>
        <v>0</v>
      </c>
      <c r="DD249" s="197">
        <f t="shared" si="956"/>
        <v>0</v>
      </c>
      <c r="DE249" s="688">
        <f t="shared" si="956"/>
        <v>0</v>
      </c>
      <c r="DF249" s="530">
        <f t="shared" ref="DF249" si="960">DF225*DF111</f>
        <v>0</v>
      </c>
      <c r="DG249" s="197">
        <f t="shared" si="956"/>
        <v>0</v>
      </c>
      <c r="DH249" s="339">
        <f t="shared" si="956"/>
        <v>0</v>
      </c>
      <c r="DI249" s="197">
        <f t="shared" si="956"/>
        <v>0</v>
      </c>
      <c r="DJ249" s="197">
        <f t="shared" si="956"/>
        <v>0</v>
      </c>
      <c r="DK249" s="322">
        <f t="shared" si="956"/>
        <v>0</v>
      </c>
      <c r="DL249" s="430">
        <f t="shared" si="956"/>
        <v>0</v>
      </c>
      <c r="DM249" s="197">
        <f t="shared" si="956"/>
        <v>0</v>
      </c>
      <c r="DN249" s="322">
        <f t="shared" si="956"/>
        <v>0</v>
      </c>
      <c r="DO249" s="339">
        <f t="shared" si="956"/>
        <v>0</v>
      </c>
      <c r="DP249" s="322">
        <f t="shared" si="956"/>
        <v>0</v>
      </c>
      <c r="DQ249" s="322">
        <f t="shared" si="956"/>
        <v>0</v>
      </c>
      <c r="DR249" s="322">
        <f t="shared" si="956"/>
        <v>0</v>
      </c>
      <c r="DS249" s="430">
        <f t="shared" ref="DS249:EQ249" si="961">DS225*DS111</f>
        <v>0</v>
      </c>
      <c r="DT249" s="322">
        <f t="shared" si="961"/>
        <v>0</v>
      </c>
      <c r="DU249" s="322">
        <f t="shared" si="961"/>
        <v>0</v>
      </c>
      <c r="DV249" s="339">
        <f t="shared" si="961"/>
        <v>0</v>
      </c>
      <c r="DW249" s="322">
        <f t="shared" si="961"/>
        <v>0</v>
      </c>
      <c r="DX249" s="322">
        <f t="shared" si="961"/>
        <v>0</v>
      </c>
      <c r="DY249" s="322">
        <f t="shared" si="961"/>
        <v>0</v>
      </c>
      <c r="DZ249" s="430">
        <f t="shared" si="961"/>
        <v>0</v>
      </c>
      <c r="EA249" s="322">
        <f t="shared" si="961"/>
        <v>0</v>
      </c>
      <c r="EB249" s="322">
        <f t="shared" si="961"/>
        <v>0</v>
      </c>
      <c r="EC249" s="339">
        <f t="shared" si="961"/>
        <v>0</v>
      </c>
      <c r="ED249" s="322">
        <f t="shared" si="961"/>
        <v>0</v>
      </c>
      <c r="EE249" s="322">
        <f t="shared" si="961"/>
        <v>0</v>
      </c>
      <c r="EF249" s="322">
        <f t="shared" si="961"/>
        <v>0</v>
      </c>
      <c r="EG249" s="430">
        <f t="shared" si="961"/>
        <v>0</v>
      </c>
      <c r="EH249" s="322">
        <f t="shared" si="961"/>
        <v>0</v>
      </c>
      <c r="EI249" s="322">
        <f t="shared" si="961"/>
        <v>0</v>
      </c>
      <c r="EJ249" s="339">
        <f t="shared" si="961"/>
        <v>0</v>
      </c>
      <c r="EK249" s="322">
        <f t="shared" si="961"/>
        <v>0</v>
      </c>
      <c r="EL249" s="322">
        <f t="shared" si="961"/>
        <v>0</v>
      </c>
      <c r="EM249" s="322">
        <f t="shared" si="961"/>
        <v>0</v>
      </c>
      <c r="EN249" s="430">
        <f t="shared" si="961"/>
        <v>0</v>
      </c>
      <c r="EO249" s="322">
        <f t="shared" si="961"/>
        <v>0</v>
      </c>
      <c r="EP249" s="322">
        <f t="shared" si="961"/>
        <v>0</v>
      </c>
      <c r="EQ249" s="339">
        <f t="shared" si="961"/>
        <v>0</v>
      </c>
    </row>
    <row r="250" spans="1:147" ht="10.199999999999999" hidden="1" customHeight="1" outlineLevel="1">
      <c r="A250" s="48" t="s">
        <v>377</v>
      </c>
      <c r="B250" s="110"/>
      <c r="C250" s="113">
        <f t="shared" ref="C250:CF250" si="962">C246+C247+C248+C249</f>
        <v>10937.531341795227</v>
      </c>
      <c r="D250" s="113">
        <f t="shared" si="962"/>
        <v>10207.944866412679</v>
      </c>
      <c r="E250" s="113">
        <f t="shared" si="962"/>
        <v>10065.458128078819</v>
      </c>
      <c r="F250" s="113">
        <f t="shared" si="962"/>
        <v>9771.5087500000009</v>
      </c>
      <c r="G250" s="113">
        <f t="shared" si="962"/>
        <v>11968.321749999999</v>
      </c>
      <c r="H250" s="113">
        <f t="shared" si="962"/>
        <v>14618.283887024996</v>
      </c>
      <c r="I250" s="113">
        <f t="shared" si="962"/>
        <v>16837.032182197494</v>
      </c>
      <c r="J250" s="113">
        <f t="shared" si="962"/>
        <v>18227.900072975768</v>
      </c>
      <c r="K250" s="113">
        <f t="shared" si="962"/>
        <v>19374.834308620051</v>
      </c>
      <c r="L250" s="113">
        <f t="shared" si="962"/>
        <v>21427.705000000002</v>
      </c>
      <c r="M250" s="113">
        <f t="shared" si="962"/>
        <v>23278.399999999998</v>
      </c>
      <c r="N250" s="111">
        <f t="shared" si="962"/>
        <v>19530.289999999997</v>
      </c>
      <c r="O250" s="549"/>
      <c r="P250" s="111"/>
      <c r="Q250" s="549"/>
      <c r="R250" s="682"/>
      <c r="S250" s="549"/>
      <c r="T250" s="111"/>
      <c r="U250" s="340">
        <f t="shared" si="962"/>
        <v>21575.767500000002</v>
      </c>
      <c r="V250" s="549"/>
      <c r="W250" s="111"/>
      <c r="X250" s="549"/>
      <c r="Y250" s="682"/>
      <c r="Z250" s="549"/>
      <c r="AA250" s="111"/>
      <c r="AB250" s="340">
        <f t="shared" si="962"/>
        <v>30592.968000000008</v>
      </c>
      <c r="AC250" s="549"/>
      <c r="AD250" s="111"/>
      <c r="AE250" s="549"/>
      <c r="AF250" s="682"/>
      <c r="AG250" s="549"/>
      <c r="AH250" s="111"/>
      <c r="AI250" s="340">
        <f t="shared" si="962"/>
        <v>30199.817205640938</v>
      </c>
      <c r="AJ250" s="549"/>
      <c r="AK250" s="111"/>
      <c r="AL250" s="549"/>
      <c r="AM250" s="682"/>
      <c r="AN250" s="549"/>
      <c r="AO250" s="111"/>
      <c r="AP250" s="340">
        <f t="shared" si="962"/>
        <v>28536.457851895837</v>
      </c>
      <c r="AQ250" s="549"/>
      <c r="AR250" s="111"/>
      <c r="AS250" s="549"/>
      <c r="AT250" s="682"/>
      <c r="AU250" s="549"/>
      <c r="AV250" s="111"/>
      <c r="AW250" s="340">
        <f t="shared" si="962"/>
        <v>22835.044438166788</v>
      </c>
      <c r="AX250" s="549"/>
      <c r="AY250" s="111"/>
      <c r="AZ250" s="549"/>
      <c r="BA250" s="682"/>
      <c r="BB250" s="549"/>
      <c r="BC250" s="111"/>
      <c r="BD250" s="340">
        <f t="shared" si="962"/>
        <v>17739.36739501002</v>
      </c>
      <c r="BE250" s="549"/>
      <c r="BF250" s="111"/>
      <c r="BG250" s="549"/>
      <c r="BH250" s="682"/>
      <c r="BI250" s="549"/>
      <c r="BJ250" s="111"/>
      <c r="BK250" s="340">
        <f t="shared" si="962"/>
        <v>11647.394999999999</v>
      </c>
      <c r="BL250" s="549"/>
      <c r="BM250" s="111"/>
      <c r="BN250" s="549"/>
      <c r="BO250" s="682"/>
      <c r="BP250" s="549"/>
      <c r="BQ250" s="111"/>
      <c r="BR250" s="340">
        <f t="shared" si="962"/>
        <v>4504.4423999999999</v>
      </c>
      <c r="BS250" s="549"/>
      <c r="BT250" s="111"/>
      <c r="BU250" s="549"/>
      <c r="BV250" s="682"/>
      <c r="BW250" s="549"/>
      <c r="BX250" s="111"/>
      <c r="BY250" s="340">
        <f t="shared" si="962"/>
        <v>684.41673600000001</v>
      </c>
      <c r="BZ250" s="549"/>
      <c r="CA250" s="111"/>
      <c r="CB250" s="549"/>
      <c r="CC250" s="682"/>
      <c r="CD250" s="549"/>
      <c r="CE250" s="111"/>
      <c r="CF250" s="340">
        <f t="shared" si="962"/>
        <v>1183.1195750400002</v>
      </c>
      <c r="CG250" s="549"/>
      <c r="CH250" s="111"/>
      <c r="CI250" s="549"/>
      <c r="CJ250" s="682"/>
      <c r="CK250" s="549"/>
      <c r="CL250" s="111"/>
      <c r="CM250" s="340">
        <f>CM246+CM247+CM248+CM249</f>
        <v>0</v>
      </c>
      <c r="CN250" s="549">
        <f>CN246+CN247+CN248+CN249</f>
        <v>0</v>
      </c>
      <c r="CO250" s="111">
        <f t="shared" ref="CO250:CT250" si="963">CO246+CO247+CO248+CO249</f>
        <v>0</v>
      </c>
      <c r="CP250" s="549">
        <f>CP246+CP247+CP248+CP249</f>
        <v>0</v>
      </c>
      <c r="CQ250" s="682">
        <f t="shared" si="963"/>
        <v>0</v>
      </c>
      <c r="CR250" s="549">
        <f>CR246+CR247+CR248+CR249</f>
        <v>0</v>
      </c>
      <c r="CS250" s="111">
        <f t="shared" si="963"/>
        <v>0</v>
      </c>
      <c r="CT250" s="340">
        <f t="shared" si="963"/>
        <v>0</v>
      </c>
      <c r="CU250" s="549">
        <f t="shared" ref="CU250:DA250" si="964">CU246+CU247+CU248+CU249</f>
        <v>0</v>
      </c>
      <c r="CV250" s="111">
        <f t="shared" si="964"/>
        <v>0</v>
      </c>
      <c r="CW250" s="549">
        <f t="shared" si="964"/>
        <v>0</v>
      </c>
      <c r="CX250" s="682">
        <f t="shared" si="964"/>
        <v>0</v>
      </c>
      <c r="CY250" s="549">
        <f>CY246+CY247+CY248+CY249</f>
        <v>0</v>
      </c>
      <c r="CZ250" s="111">
        <f t="shared" ref="CZ250" si="965">CZ246+CZ247+CZ248+CZ249</f>
        <v>0</v>
      </c>
      <c r="DA250" s="340">
        <f t="shared" si="964"/>
        <v>0</v>
      </c>
      <c r="DB250" s="549">
        <f t="shared" ref="DB250:DC250" si="966">DB246+DB247+DB248+DB249</f>
        <v>0</v>
      </c>
      <c r="DC250" s="111">
        <f t="shared" si="966"/>
        <v>0</v>
      </c>
      <c r="DD250" s="111">
        <f t="shared" ref="DD250:EQ250" si="967">DD246+DD247+DD248+DD249</f>
        <v>0</v>
      </c>
      <c r="DE250" s="682">
        <f t="shared" si="967"/>
        <v>0</v>
      </c>
      <c r="DF250" s="549">
        <f>DF246+DF247+DF248+DF249</f>
        <v>0</v>
      </c>
      <c r="DG250" s="111">
        <f t="shared" si="967"/>
        <v>0</v>
      </c>
      <c r="DH250" s="340">
        <f t="shared" si="967"/>
        <v>0</v>
      </c>
      <c r="DI250" s="111">
        <f t="shared" si="967"/>
        <v>0</v>
      </c>
      <c r="DJ250" s="111">
        <f t="shared" si="967"/>
        <v>0</v>
      </c>
      <c r="DK250" s="401">
        <f t="shared" si="967"/>
        <v>0</v>
      </c>
      <c r="DL250" s="431">
        <f t="shared" si="967"/>
        <v>0</v>
      </c>
      <c r="DM250" s="111">
        <f t="shared" si="967"/>
        <v>0</v>
      </c>
      <c r="DN250" s="401">
        <f t="shared" si="967"/>
        <v>0</v>
      </c>
      <c r="DO250" s="340">
        <f t="shared" si="967"/>
        <v>0</v>
      </c>
      <c r="DP250" s="401">
        <f t="shared" si="967"/>
        <v>0</v>
      </c>
      <c r="DQ250" s="401">
        <f t="shared" si="967"/>
        <v>0</v>
      </c>
      <c r="DR250" s="401">
        <f t="shared" si="967"/>
        <v>0</v>
      </c>
      <c r="DS250" s="431">
        <f t="shared" si="967"/>
        <v>0</v>
      </c>
      <c r="DT250" s="401">
        <f t="shared" si="967"/>
        <v>0</v>
      </c>
      <c r="DU250" s="401">
        <f t="shared" si="967"/>
        <v>0</v>
      </c>
      <c r="DV250" s="340">
        <f t="shared" si="967"/>
        <v>0</v>
      </c>
      <c r="DW250" s="401">
        <f t="shared" si="967"/>
        <v>0</v>
      </c>
      <c r="DX250" s="401">
        <f t="shared" si="967"/>
        <v>0</v>
      </c>
      <c r="DY250" s="401">
        <f t="shared" si="967"/>
        <v>0</v>
      </c>
      <c r="DZ250" s="431">
        <f t="shared" si="967"/>
        <v>0</v>
      </c>
      <c r="EA250" s="401">
        <f t="shared" si="967"/>
        <v>0</v>
      </c>
      <c r="EB250" s="401">
        <f t="shared" si="967"/>
        <v>0</v>
      </c>
      <c r="EC250" s="340">
        <f t="shared" si="967"/>
        <v>0</v>
      </c>
      <c r="ED250" s="401">
        <f t="shared" si="967"/>
        <v>0</v>
      </c>
      <c r="EE250" s="401">
        <f t="shared" si="967"/>
        <v>0</v>
      </c>
      <c r="EF250" s="401">
        <f t="shared" si="967"/>
        <v>0</v>
      </c>
      <c r="EG250" s="431">
        <f t="shared" si="967"/>
        <v>0</v>
      </c>
      <c r="EH250" s="401">
        <f t="shared" si="967"/>
        <v>0</v>
      </c>
      <c r="EI250" s="401">
        <f t="shared" si="967"/>
        <v>0</v>
      </c>
      <c r="EJ250" s="340">
        <f t="shared" si="967"/>
        <v>0</v>
      </c>
      <c r="EK250" s="401">
        <f t="shared" si="967"/>
        <v>0</v>
      </c>
      <c r="EL250" s="401">
        <f t="shared" si="967"/>
        <v>0</v>
      </c>
      <c r="EM250" s="401">
        <f t="shared" si="967"/>
        <v>0</v>
      </c>
      <c r="EN250" s="431">
        <f t="shared" si="967"/>
        <v>0</v>
      </c>
      <c r="EO250" s="401">
        <f t="shared" si="967"/>
        <v>0</v>
      </c>
      <c r="EP250" s="401">
        <f t="shared" si="967"/>
        <v>0</v>
      </c>
      <c r="EQ250" s="340">
        <f t="shared" si="967"/>
        <v>0</v>
      </c>
    </row>
    <row r="251" spans="1:147" ht="10.199999999999999" customHeight="1" collapsed="1">
      <c r="A251" s="607" t="str">
        <f>A226</f>
        <v>A319neo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67"/>
      <c r="O251" s="530"/>
      <c r="P251" s="197"/>
      <c r="Q251" s="530"/>
      <c r="R251" s="688"/>
      <c r="S251" s="530"/>
      <c r="T251" s="197"/>
      <c r="U251" s="339">
        <f>U226*U114</f>
        <v>0</v>
      </c>
      <c r="V251" s="530"/>
      <c r="W251" s="197"/>
      <c r="X251" s="530"/>
      <c r="Y251" s="688"/>
      <c r="Z251" s="530"/>
      <c r="AA251" s="197"/>
      <c r="AB251" s="339">
        <f>AB226*AB114</f>
        <v>0</v>
      </c>
      <c r="AC251" s="530"/>
      <c r="AD251" s="197"/>
      <c r="AE251" s="530"/>
      <c r="AF251" s="688"/>
      <c r="AG251" s="530"/>
      <c r="AH251" s="197"/>
      <c r="AI251" s="339">
        <f>AI226*AI114</f>
        <v>0</v>
      </c>
      <c r="AJ251" s="530"/>
      <c r="AK251" s="197"/>
      <c r="AL251" s="530"/>
      <c r="AM251" s="688"/>
      <c r="AN251" s="530"/>
      <c r="AO251" s="197"/>
      <c r="AP251" s="339">
        <f>AP226*AP114</f>
        <v>0</v>
      </c>
      <c r="AQ251" s="530"/>
      <c r="AR251" s="197"/>
      <c r="AS251" s="530"/>
      <c r="AT251" s="688"/>
      <c r="AU251" s="530"/>
      <c r="AV251" s="197"/>
      <c r="AW251" s="339">
        <f>AW226*AW114</f>
        <v>0</v>
      </c>
      <c r="AX251" s="530"/>
      <c r="AY251" s="197"/>
      <c r="AZ251" s="530"/>
      <c r="BA251" s="688"/>
      <c r="BB251" s="530"/>
      <c r="BC251" s="197"/>
      <c r="BD251" s="339">
        <f>BD226*BD114</f>
        <v>0</v>
      </c>
      <c r="BE251" s="530"/>
      <c r="BF251" s="197"/>
      <c r="BG251" s="530"/>
      <c r="BH251" s="688"/>
      <c r="BI251" s="530"/>
      <c r="BJ251" s="197"/>
      <c r="BK251" s="339">
        <f>BK226*BK114</f>
        <v>0</v>
      </c>
      <c r="BL251" s="530"/>
      <c r="BM251" s="197"/>
      <c r="BN251" s="530"/>
      <c r="BO251" s="688"/>
      <c r="BP251" s="530"/>
      <c r="BQ251" s="197"/>
      <c r="BR251" s="339">
        <f>BR226*BR114</f>
        <v>97.814596804508213</v>
      </c>
      <c r="BS251" s="530"/>
      <c r="BT251" s="197"/>
      <c r="BU251" s="530"/>
      <c r="BV251" s="688"/>
      <c r="BW251" s="530"/>
      <c r="BX251" s="197"/>
      <c r="BY251" s="339">
        <f>BY226*BY114</f>
        <v>0</v>
      </c>
      <c r="BZ251" s="530"/>
      <c r="CA251" s="197"/>
      <c r="CB251" s="530"/>
      <c r="CC251" s="688"/>
      <c r="CD251" s="530"/>
      <c r="CE251" s="197"/>
      <c r="CF251" s="339">
        <f>CF226*CF114</f>
        <v>96.537289050085519</v>
      </c>
      <c r="CG251" s="530"/>
      <c r="CH251" s="197"/>
      <c r="CI251" s="530"/>
      <c r="CJ251" s="688"/>
      <c r="CK251" s="530"/>
      <c r="CL251" s="197"/>
      <c r="CM251" s="339">
        <f t="shared" ref="CM251:DR251" si="968">CM226*CM114</f>
        <v>283.24072095652275</v>
      </c>
      <c r="CN251" s="530">
        <f t="shared" si="968"/>
        <v>90.969763590720007</v>
      </c>
      <c r="CO251" s="197">
        <f t="shared" si="968"/>
        <v>45.484881795360003</v>
      </c>
      <c r="CP251" s="530">
        <f t="shared" si="968"/>
        <v>136.45464538608002</v>
      </c>
      <c r="CQ251" s="688">
        <f t="shared" si="968"/>
        <v>45.484881795360003</v>
      </c>
      <c r="CR251" s="530">
        <f t="shared" si="968"/>
        <v>136.45464538608002</v>
      </c>
      <c r="CS251" s="197">
        <f t="shared" si="968"/>
        <v>181.93952718144001</v>
      </c>
      <c r="CT251" s="339">
        <f t="shared" si="968"/>
        <v>318.39417256752</v>
      </c>
      <c r="CU251" s="530">
        <f t="shared" si="968"/>
        <v>0</v>
      </c>
      <c r="CV251" s="197">
        <f t="shared" si="968"/>
        <v>0</v>
      </c>
      <c r="CW251" s="530">
        <f t="shared" si="968"/>
        <v>139.866011520732</v>
      </c>
      <c r="CX251" s="688">
        <f t="shared" ref="CX251" si="969">CX226*CX114</f>
        <v>279.732023041464</v>
      </c>
      <c r="CY251" s="530">
        <f t="shared" si="968"/>
        <v>0</v>
      </c>
      <c r="CZ251" s="197">
        <f t="shared" ref="CZ251" si="970">CZ226*CZ114</f>
        <v>419.59803456219601</v>
      </c>
      <c r="DA251" s="339">
        <f t="shared" ref="DA251:DC251" si="971">DA226*DA114</f>
        <v>419.59803456219601</v>
      </c>
      <c r="DB251" s="530">
        <f t="shared" si="971"/>
        <v>191.15021574500039</v>
      </c>
      <c r="DC251" s="197">
        <f t="shared" si="971"/>
        <v>95.575107872500197</v>
      </c>
      <c r="DD251" s="197">
        <f t="shared" si="968"/>
        <v>191.15021574500039</v>
      </c>
      <c r="DE251" s="688">
        <f t="shared" si="968"/>
        <v>238.9377696812505</v>
      </c>
      <c r="DF251" s="530">
        <f t="shared" ref="DF251" si="972">DF226*DF114</f>
        <v>286.72532361750058</v>
      </c>
      <c r="DG251" s="197">
        <f t="shared" si="968"/>
        <v>430.0879854262509</v>
      </c>
      <c r="DH251" s="339">
        <f t="shared" si="968"/>
        <v>716.81330904375147</v>
      </c>
      <c r="DI251" s="197">
        <f t="shared" si="968"/>
        <v>0</v>
      </c>
      <c r="DJ251" s="197">
        <f>DJ226*DJ114</f>
        <v>97.964485569312686</v>
      </c>
      <c r="DK251" s="322">
        <f t="shared" si="968"/>
        <v>48.982242784656343</v>
      </c>
      <c r="DL251" s="430">
        <f t="shared" si="968"/>
        <v>97.964485569312686</v>
      </c>
      <c r="DM251" s="197">
        <f t="shared" si="968"/>
        <v>97.964485569312686</v>
      </c>
      <c r="DN251" s="322">
        <f t="shared" si="968"/>
        <v>146.94672835396904</v>
      </c>
      <c r="DO251" s="385">
        <f t="shared" si="968"/>
        <v>244.91121392328171</v>
      </c>
      <c r="DP251" s="322">
        <f t="shared" si="968"/>
        <v>50.206798854272748</v>
      </c>
      <c r="DQ251" s="322">
        <f t="shared" si="968"/>
        <v>100.4135977085455</v>
      </c>
      <c r="DR251" s="322">
        <f t="shared" si="968"/>
        <v>50.206798854272748</v>
      </c>
      <c r="DS251" s="430">
        <f t="shared" ref="DS251:EQ251" si="973">DS226*DS114</f>
        <v>50.206798854272748</v>
      </c>
      <c r="DT251" s="322">
        <f t="shared" si="973"/>
        <v>150.62039656281826</v>
      </c>
      <c r="DU251" s="322">
        <f t="shared" si="973"/>
        <v>100.4135977085455</v>
      </c>
      <c r="DV251" s="385">
        <f t="shared" si="973"/>
        <v>251.03399427136372</v>
      </c>
      <c r="DW251" s="322">
        <f t="shared" si="973"/>
        <v>51.461968825629562</v>
      </c>
      <c r="DX251" s="322">
        <f t="shared" si="973"/>
        <v>102.92393765125912</v>
      </c>
      <c r="DY251" s="322">
        <f t="shared" si="973"/>
        <v>51.461968825629562</v>
      </c>
      <c r="DZ251" s="430">
        <f t="shared" si="973"/>
        <v>51.461968825629562</v>
      </c>
      <c r="EA251" s="322">
        <f t="shared" si="973"/>
        <v>154.38590647688869</v>
      </c>
      <c r="EB251" s="322">
        <f t="shared" si="973"/>
        <v>102.92393765125912</v>
      </c>
      <c r="EC251" s="385">
        <f t="shared" si="973"/>
        <v>257.3098441281478</v>
      </c>
      <c r="ED251" s="322">
        <f t="shared" si="973"/>
        <v>52.748518046270298</v>
      </c>
      <c r="EE251" s="322">
        <f t="shared" si="973"/>
        <v>105.4970360925406</v>
      </c>
      <c r="EF251" s="322">
        <f t="shared" si="973"/>
        <v>52.748518046270298</v>
      </c>
      <c r="EG251" s="430">
        <f t="shared" si="973"/>
        <v>52.748518046270298</v>
      </c>
      <c r="EH251" s="322">
        <f t="shared" si="973"/>
        <v>158.24555413881089</v>
      </c>
      <c r="EI251" s="322">
        <f t="shared" si="973"/>
        <v>105.4970360925406</v>
      </c>
      <c r="EJ251" s="385">
        <f t="shared" si="973"/>
        <v>263.74259023135147</v>
      </c>
      <c r="EK251" s="322">
        <f t="shared" si="973"/>
        <v>54.067230997427046</v>
      </c>
      <c r="EL251" s="322">
        <f t="shared" si="973"/>
        <v>108.13446199485409</v>
      </c>
      <c r="EM251" s="322">
        <f t="shared" si="973"/>
        <v>54.067230997427046</v>
      </c>
      <c r="EN251" s="430">
        <f t="shared" si="973"/>
        <v>54.067230997427046</v>
      </c>
      <c r="EO251" s="322">
        <f t="shared" si="973"/>
        <v>162.20169299228115</v>
      </c>
      <c r="EP251" s="322">
        <f t="shared" si="973"/>
        <v>108.13446199485409</v>
      </c>
      <c r="EQ251" s="385">
        <f t="shared" si="973"/>
        <v>270.33615498713522</v>
      </c>
    </row>
    <row r="252" spans="1:147" ht="10.199999999999999" customHeight="1">
      <c r="A252" s="607" t="str">
        <f>A227</f>
        <v>A320neo</v>
      </c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67"/>
      <c r="O252" s="530"/>
      <c r="P252" s="197"/>
      <c r="Q252" s="530"/>
      <c r="R252" s="688"/>
      <c r="S252" s="530"/>
      <c r="T252" s="197"/>
      <c r="U252" s="339">
        <f>U227*U115</f>
        <v>0</v>
      </c>
      <c r="V252" s="530"/>
      <c r="W252" s="197"/>
      <c r="X252" s="530"/>
      <c r="Y252" s="688"/>
      <c r="Z252" s="530"/>
      <c r="AA252" s="197"/>
      <c r="AB252" s="339">
        <f>AB227*AB115</f>
        <v>0</v>
      </c>
      <c r="AC252" s="530"/>
      <c r="AD252" s="197"/>
      <c r="AE252" s="530"/>
      <c r="AF252" s="688"/>
      <c r="AG252" s="530"/>
      <c r="AH252" s="197"/>
      <c r="AI252" s="339">
        <f>AI227*AI115</f>
        <v>0</v>
      </c>
      <c r="AJ252" s="530"/>
      <c r="AK252" s="197"/>
      <c r="AL252" s="530"/>
      <c r="AM252" s="688"/>
      <c r="AN252" s="530"/>
      <c r="AO252" s="197"/>
      <c r="AP252" s="339">
        <f>AP227*AP115</f>
        <v>4013.02</v>
      </c>
      <c r="AQ252" s="530"/>
      <c r="AR252" s="197"/>
      <c r="AS252" s="530"/>
      <c r="AT252" s="688"/>
      <c r="AU252" s="530"/>
      <c r="AV252" s="197"/>
      <c r="AW252" s="339">
        <f>AW227*AW115</f>
        <v>9598.8200000000015</v>
      </c>
      <c r="AX252" s="530"/>
      <c r="AY252" s="197"/>
      <c r="AZ252" s="530"/>
      <c r="BA252" s="688"/>
      <c r="BB252" s="530"/>
      <c r="BC252" s="197"/>
      <c r="BD252" s="339">
        <f>BD227*BD115</f>
        <v>8726.2000000000007</v>
      </c>
      <c r="BE252" s="530"/>
      <c r="BF252" s="197"/>
      <c r="BG252" s="530"/>
      <c r="BH252" s="688"/>
      <c r="BI252" s="530"/>
      <c r="BJ252" s="197"/>
      <c r="BK252" s="339">
        <f>BK227*BK115</f>
        <v>14218.546810094451</v>
      </c>
      <c r="BL252" s="530"/>
      <c r="BM252" s="197"/>
      <c r="BN252" s="530"/>
      <c r="BO252" s="688"/>
      <c r="BP252" s="530"/>
      <c r="BQ252" s="197"/>
      <c r="BR252" s="339">
        <f>BR227*BR115</f>
        <v>20304.286546337189</v>
      </c>
      <c r="BS252" s="530"/>
      <c r="BT252" s="197"/>
      <c r="BU252" s="530"/>
      <c r="BV252" s="688"/>
      <c r="BW252" s="530"/>
      <c r="BX252" s="197"/>
      <c r="BY252" s="339">
        <f>BY227*BY115</f>
        <v>12605.952573488783</v>
      </c>
      <c r="BZ252" s="530"/>
      <c r="CA252" s="197"/>
      <c r="CB252" s="530"/>
      <c r="CC252" s="688"/>
      <c r="CD252" s="530"/>
      <c r="CE252" s="197"/>
      <c r="CF252" s="339">
        <f>CF227*CF115</f>
        <v>13569.813968405813</v>
      </c>
      <c r="CG252" s="530"/>
      <c r="CH252" s="197"/>
      <c r="CI252" s="530"/>
      <c r="CJ252" s="688"/>
      <c r="CK252" s="530"/>
      <c r="CL252" s="197"/>
      <c r="CM252" s="339">
        <f t="shared" ref="CM252:DR252" si="974">CM227*CM115</f>
        <v>12654.02338176796</v>
      </c>
      <c r="CN252" s="530">
        <f t="shared" si="974"/>
        <v>2441.491950482638</v>
      </c>
      <c r="CO252" s="197">
        <f t="shared" si="974"/>
        <v>2969.947006878202</v>
      </c>
      <c r="CP252" s="530">
        <f t="shared" si="974"/>
        <v>2660.761688053974</v>
      </c>
      <c r="CQ252" s="688">
        <f t="shared" si="974"/>
        <v>4940.1005975143926</v>
      </c>
      <c r="CR252" s="530">
        <f t="shared" si="974"/>
        <v>5455.9807239762767</v>
      </c>
      <c r="CS252" s="197">
        <f t="shared" si="974"/>
        <v>7437.0979464843822</v>
      </c>
      <c r="CT252" s="339">
        <f t="shared" si="974"/>
        <v>12870.786133707208</v>
      </c>
      <c r="CU252" s="530">
        <f t="shared" si="974"/>
        <v>2757.7777405696884</v>
      </c>
      <c r="CV252" s="197">
        <f t="shared" si="974"/>
        <v>3079.7786517948225</v>
      </c>
      <c r="CW252" s="530">
        <f t="shared" si="974"/>
        <v>2468.5721783696445</v>
      </c>
      <c r="CX252" s="688">
        <f t="shared" ref="CX252" si="975">CX227*CX115</f>
        <v>3547.4597572001198</v>
      </c>
      <c r="CY252" s="530">
        <f t="shared" si="974"/>
        <v>5836.7773342508635</v>
      </c>
      <c r="CZ252" s="197">
        <f t="shared" ref="CZ252" si="976">CZ227*CZ115</f>
        <v>6024.2884312670749</v>
      </c>
      <c r="DA252" s="339">
        <f t="shared" ref="DA252:DC252" si="977">DA227*DA115</f>
        <v>11861.358784292419</v>
      </c>
      <c r="DB252" s="530">
        <f t="shared" si="977"/>
        <v>1911.3169361038588</v>
      </c>
      <c r="DC252" s="197">
        <f t="shared" si="977"/>
        <v>2294.6225260228316</v>
      </c>
      <c r="DD252" s="197">
        <f t="shared" si="974"/>
        <v>2551.5258108582639</v>
      </c>
      <c r="DE252" s="688">
        <f t="shared" si="974"/>
        <v>3991.315375556856</v>
      </c>
      <c r="DF252" s="530">
        <f t="shared" ref="DF252" si="978">DF227*DF115</f>
        <v>4213.9229845654081</v>
      </c>
      <c r="DG252" s="197">
        <f t="shared" si="974"/>
        <v>6511.598013220937</v>
      </c>
      <c r="DH252" s="339">
        <f t="shared" si="974"/>
        <v>10674.750841345798</v>
      </c>
      <c r="DI252" s="197">
        <f t="shared" si="974"/>
        <v>1457.103489843701</v>
      </c>
      <c r="DJ252" s="197">
        <f t="shared" si="974"/>
        <v>4259.2255856969723</v>
      </c>
      <c r="DK252" s="322">
        <f t="shared" si="974"/>
        <v>2383.1381253304489</v>
      </c>
      <c r="DL252" s="430">
        <f t="shared" si="974"/>
        <v>3780.0627073060632</v>
      </c>
      <c r="DM252" s="197">
        <f t="shared" si="974"/>
        <v>5716.3290755406733</v>
      </c>
      <c r="DN252" s="322">
        <f t="shared" si="974"/>
        <v>6163.2008326365121</v>
      </c>
      <c r="DO252" s="385">
        <f t="shared" si="974"/>
        <v>11931.702752914263</v>
      </c>
      <c r="DP252" s="322">
        <f t="shared" si="974"/>
        <v>2776.4359766412836</v>
      </c>
      <c r="DQ252" s="322">
        <f t="shared" si="974"/>
        <v>2957.6565514713179</v>
      </c>
      <c r="DR252" s="322">
        <f t="shared" si="974"/>
        <v>3012.3646495332146</v>
      </c>
      <c r="DS252" s="430">
        <f t="shared" ref="DS252:EQ252" si="979">DS227*DS115</f>
        <v>3012.3646495332127</v>
      </c>
      <c r="DT252" s="322">
        <f t="shared" si="979"/>
        <v>5734.092528112601</v>
      </c>
      <c r="DU252" s="322">
        <f t="shared" si="979"/>
        <v>6024.7292990664273</v>
      </c>
      <c r="DV252" s="385">
        <f t="shared" si="979"/>
        <v>11758.821827179028</v>
      </c>
      <c r="DW252" s="322">
        <f t="shared" si="979"/>
        <v>3087.6737657715444</v>
      </c>
      <c r="DX252" s="322">
        <f t="shared" si="979"/>
        <v>3273.4248549723297</v>
      </c>
      <c r="DY252" s="322">
        <f t="shared" si="979"/>
        <v>3329.5006554857741</v>
      </c>
      <c r="DZ252" s="430">
        <f t="shared" si="979"/>
        <v>1112.7541664386667</v>
      </c>
      <c r="EA252" s="322">
        <f t="shared" si="979"/>
        <v>6361.0986207438737</v>
      </c>
      <c r="EB252" s="322">
        <f t="shared" si="979"/>
        <v>4442.2548219244409</v>
      </c>
      <c r="EC252" s="385">
        <f t="shared" si="979"/>
        <v>10803.353442668315</v>
      </c>
      <c r="ED252" s="322">
        <f t="shared" si="979"/>
        <v>3412.7381718729184</v>
      </c>
      <c r="EE252" s="322">
        <f t="shared" si="979"/>
        <v>3355.2604763466379</v>
      </c>
      <c r="EF252" s="322">
        <f t="shared" si="979"/>
        <v>3412.7381718729184</v>
      </c>
      <c r="EG252" s="430">
        <f t="shared" si="979"/>
        <v>1099.2609269401191</v>
      </c>
      <c r="EH252" s="322">
        <f t="shared" si="979"/>
        <v>6767.9986482195563</v>
      </c>
      <c r="EI252" s="322">
        <f t="shared" si="979"/>
        <v>4511.9990988130376</v>
      </c>
      <c r="EJ252" s="385">
        <f t="shared" si="979"/>
        <v>11279.997747032594</v>
      </c>
      <c r="EK252" s="322">
        <f t="shared" si="979"/>
        <v>3498.0566261697413</v>
      </c>
      <c r="EL252" s="322">
        <f t="shared" si="979"/>
        <v>3439.1419882553037</v>
      </c>
      <c r="EM252" s="322">
        <f t="shared" si="979"/>
        <v>3498.0566261697413</v>
      </c>
      <c r="EN252" s="430">
        <f t="shared" si="979"/>
        <v>1126.742450113622</v>
      </c>
      <c r="EO252" s="322">
        <f t="shared" si="979"/>
        <v>6937.198614425045</v>
      </c>
      <c r="EP252" s="322">
        <f t="shared" si="979"/>
        <v>4624.7990762833633</v>
      </c>
      <c r="EQ252" s="385">
        <f t="shared" si="979"/>
        <v>11561.997690708407</v>
      </c>
    </row>
    <row r="253" spans="1:147" ht="10.199999999999999" customHeight="1">
      <c r="A253" s="607" t="str">
        <f>A228</f>
        <v>A321neo</v>
      </c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67"/>
      <c r="O253" s="530"/>
      <c r="P253" s="197"/>
      <c r="Q253" s="530"/>
      <c r="R253" s="688"/>
      <c r="S253" s="530"/>
      <c r="T253" s="197"/>
      <c r="U253" s="339">
        <f>U228*U116</f>
        <v>0</v>
      </c>
      <c r="V253" s="530"/>
      <c r="W253" s="197"/>
      <c r="X253" s="530"/>
      <c r="Y253" s="688"/>
      <c r="Z253" s="530"/>
      <c r="AA253" s="197"/>
      <c r="AB253" s="339">
        <f>AB228*AB116</f>
        <v>0</v>
      </c>
      <c r="AC253" s="530"/>
      <c r="AD253" s="197"/>
      <c r="AE253" s="530"/>
      <c r="AF253" s="688"/>
      <c r="AG253" s="530"/>
      <c r="AH253" s="197"/>
      <c r="AI253" s="339">
        <f>AI228*AI116</f>
        <v>0</v>
      </c>
      <c r="AJ253" s="530"/>
      <c r="AK253" s="197"/>
      <c r="AL253" s="530"/>
      <c r="AM253" s="688"/>
      <c r="AN253" s="530"/>
      <c r="AO253" s="197"/>
      <c r="AP253" s="339">
        <f>AP228*AP116</f>
        <v>0</v>
      </c>
      <c r="AQ253" s="530"/>
      <c r="AR253" s="197"/>
      <c r="AS253" s="530"/>
      <c r="AT253" s="688"/>
      <c r="AU253" s="530"/>
      <c r="AV253" s="197"/>
      <c r="AW253" s="339">
        <f>AW228*AW116</f>
        <v>1397.0000000000002</v>
      </c>
      <c r="AX253" s="530"/>
      <c r="AY253" s="197"/>
      <c r="AZ253" s="530"/>
      <c r="BA253" s="688"/>
      <c r="BB253" s="530"/>
      <c r="BC253" s="197"/>
      <c r="BD253" s="339">
        <f>BD228*BD116</f>
        <v>1270</v>
      </c>
      <c r="BE253" s="530"/>
      <c r="BF253" s="197"/>
      <c r="BG253" s="530"/>
      <c r="BH253" s="688"/>
      <c r="BI253" s="530"/>
      <c r="BJ253" s="197"/>
      <c r="BK253" s="339">
        <f>BK228*BK116</f>
        <v>5979.3184682314659</v>
      </c>
      <c r="BL253" s="530"/>
      <c r="BM253" s="197"/>
      <c r="BN253" s="530"/>
      <c r="BO253" s="688"/>
      <c r="BP253" s="530"/>
      <c r="BQ253" s="197"/>
      <c r="BR253" s="339">
        <f>BR228*BR116</f>
        <v>10483.026443738328</v>
      </c>
      <c r="BS253" s="530"/>
      <c r="BT253" s="197"/>
      <c r="BU253" s="530"/>
      <c r="BV253" s="688"/>
      <c r="BW253" s="530"/>
      <c r="BX253" s="197"/>
      <c r="BY253" s="339">
        <f>BY228*BY116</f>
        <v>10384.600446414808</v>
      </c>
      <c r="BZ253" s="530"/>
      <c r="CA253" s="197"/>
      <c r="CB253" s="530"/>
      <c r="CC253" s="688"/>
      <c r="CD253" s="530"/>
      <c r="CE253" s="197"/>
      <c r="CF253" s="339">
        <f>CF228*CF116</f>
        <v>12255.242401306545</v>
      </c>
      <c r="CG253" s="530"/>
      <c r="CH253" s="197"/>
      <c r="CI253" s="530"/>
      <c r="CJ253" s="688"/>
      <c r="CK253" s="530"/>
      <c r="CL253" s="197"/>
      <c r="CM253" s="339">
        <f t="shared" ref="CM253:DR253" si="980">CM228*CM116</f>
        <v>15900.548059214445</v>
      </c>
      <c r="CN253" s="530">
        <f t="shared" si="980"/>
        <v>3637.9082937663898</v>
      </c>
      <c r="CO253" s="197">
        <f t="shared" si="980"/>
        <v>5426.0327093464803</v>
      </c>
      <c r="CP253" s="530">
        <f t="shared" si="980"/>
        <v>4624.45969546575</v>
      </c>
      <c r="CQ253" s="688">
        <f t="shared" si="980"/>
        <v>5581.9948794680695</v>
      </c>
      <c r="CR253" s="530">
        <f t="shared" si="980"/>
        <v>9063.94100311287</v>
      </c>
      <c r="CS253" s="197">
        <f t="shared" si="980"/>
        <v>10235.470792630858</v>
      </c>
      <c r="CT253" s="339">
        <f t="shared" si="980"/>
        <v>19316.096120919527</v>
      </c>
      <c r="CU253" s="530">
        <f t="shared" si="980"/>
        <v>3872.3593327584722</v>
      </c>
      <c r="CV253" s="197">
        <f t="shared" si="980"/>
        <v>5688.0854254228725</v>
      </c>
      <c r="CW253" s="530">
        <f t="shared" si="980"/>
        <v>5246.4223218018014</v>
      </c>
      <c r="CX253" s="688">
        <f t="shared" ref="CX253" si="981">CX228*CX116</f>
        <v>8312.7836674807459</v>
      </c>
      <c r="CY253" s="530">
        <f t="shared" si="980"/>
        <v>9509.1404582657651</v>
      </c>
      <c r="CZ253" s="197">
        <f t="shared" ref="CZ253" si="982">CZ228*CZ116</f>
        <v>13525.00312267216</v>
      </c>
      <c r="DA253" s="339">
        <f t="shared" ref="DA253:DC253" si="983">DA228*DA116</f>
        <v>23083.960799696531</v>
      </c>
      <c r="DB253" s="530">
        <f t="shared" si="983"/>
        <v>4161.2248475005354</v>
      </c>
      <c r="DC253" s="197">
        <f t="shared" si="983"/>
        <v>4804.9707232200763</v>
      </c>
      <c r="DD253" s="197">
        <f t="shared" si="980"/>
        <v>6694.5453504614097</v>
      </c>
      <c r="DE253" s="688">
        <f t="shared" si="980"/>
        <v>8678.1074298096864</v>
      </c>
      <c r="DF253" s="530">
        <f t="shared" ref="DF253" si="984">DF228*DF116</f>
        <v>8981.9038285356601</v>
      </c>
      <c r="DG253" s="197">
        <f t="shared" si="980"/>
        <v>15360.982698434249</v>
      </c>
      <c r="DH253" s="339">
        <f t="shared" si="980"/>
        <v>24335.597819486058</v>
      </c>
      <c r="DI253" s="197">
        <f t="shared" si="980"/>
        <v>3723.0277282582838</v>
      </c>
      <c r="DJ253" s="197">
        <f t="shared" si="980"/>
        <v>7323.5265604168862</v>
      </c>
      <c r="DK253" s="322">
        <f t="shared" si="980"/>
        <v>6999.3935896419252</v>
      </c>
      <c r="DL253" s="430">
        <f t="shared" si="980"/>
        <v>8822.0038939892947</v>
      </c>
      <c r="DM253" s="197">
        <f t="shared" si="980"/>
        <v>11112.18361093929</v>
      </c>
      <c r="DN253" s="322">
        <f t="shared" si="980"/>
        <v>15852.195123398424</v>
      </c>
      <c r="DO253" s="385">
        <f t="shared" si="980"/>
        <v>27188.972538853599</v>
      </c>
      <c r="DP253" s="322">
        <f t="shared" si="980"/>
        <v>7928.2486627829794</v>
      </c>
      <c r="DQ253" s="322">
        <f t="shared" si="980"/>
        <v>8588.9360513482279</v>
      </c>
      <c r="DR253" s="322">
        <f t="shared" si="980"/>
        <v>8588.9360513482279</v>
      </c>
      <c r="DS253" s="430">
        <f t="shared" ref="DS253:EQ253" si="985">DS228*DS116</f>
        <v>8588.9360513482279</v>
      </c>
      <c r="DT253" s="322">
        <f t="shared" si="985"/>
        <v>16517.184714131206</v>
      </c>
      <c r="DU253" s="322">
        <f t="shared" si="985"/>
        <v>17177.872102696456</v>
      </c>
      <c r="DV253" s="385">
        <f t="shared" si="985"/>
        <v>33695.056816827666</v>
      </c>
      <c r="DW253" s="322">
        <f t="shared" si="985"/>
        <v>8803.6594526319332</v>
      </c>
      <c r="DX253" s="322">
        <f t="shared" si="985"/>
        <v>9480.8640259113126</v>
      </c>
      <c r="DY253" s="322">
        <f t="shared" si="985"/>
        <v>9480.8640259113126</v>
      </c>
      <c r="DZ253" s="430">
        <f t="shared" si="985"/>
        <v>12141.31056379459</v>
      </c>
      <c r="EA253" s="322">
        <f t="shared" si="985"/>
        <v>18284.523478543248</v>
      </c>
      <c r="EB253" s="322">
        <f t="shared" si="985"/>
        <v>21622.174589705901</v>
      </c>
      <c r="EC253" s="385">
        <f t="shared" si="985"/>
        <v>39906.698068249148</v>
      </c>
      <c r="ED253" s="322">
        <f t="shared" si="985"/>
        <v>9717.8856265590948</v>
      </c>
      <c r="EE253" s="322">
        <f t="shared" si="985"/>
        <v>9717.8856265590948</v>
      </c>
      <c r="EF253" s="322">
        <f t="shared" si="985"/>
        <v>9717.8856265590948</v>
      </c>
      <c r="EG253" s="430">
        <f t="shared" si="985"/>
        <v>12494.42437700455</v>
      </c>
      <c r="EH253" s="322">
        <f t="shared" si="985"/>
        <v>19435.77125311819</v>
      </c>
      <c r="EI253" s="322">
        <f t="shared" si="985"/>
        <v>22212.310003563645</v>
      </c>
      <c r="EJ253" s="385">
        <f t="shared" si="985"/>
        <v>41648.081256681835</v>
      </c>
      <c r="EK253" s="322">
        <f t="shared" si="985"/>
        <v>9960.8327672230698</v>
      </c>
      <c r="EL253" s="322">
        <f t="shared" si="985"/>
        <v>9960.8327672230698</v>
      </c>
      <c r="EM253" s="322">
        <f t="shared" si="985"/>
        <v>9960.8327672230698</v>
      </c>
      <c r="EN253" s="430">
        <f t="shared" si="985"/>
        <v>12806.784986429662</v>
      </c>
      <c r="EO253" s="322">
        <f t="shared" si="985"/>
        <v>19921.66553444614</v>
      </c>
      <c r="EP253" s="322">
        <f t="shared" si="985"/>
        <v>22767.617753652732</v>
      </c>
      <c r="EQ253" s="385">
        <f t="shared" si="985"/>
        <v>42689.283288098872</v>
      </c>
    </row>
    <row r="254" spans="1:147" ht="10.199999999999999" customHeight="1">
      <c r="A254" s="48" t="s">
        <v>378</v>
      </c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67"/>
      <c r="O254" s="549"/>
      <c r="P254" s="111"/>
      <c r="Q254" s="549"/>
      <c r="R254" s="682"/>
      <c r="S254" s="549"/>
      <c r="T254" s="111"/>
      <c r="U254" s="340">
        <f t="shared" ref="U254:CF254" si="986">U251+U252+U253</f>
        <v>0</v>
      </c>
      <c r="V254" s="549"/>
      <c r="W254" s="111"/>
      <c r="X254" s="549"/>
      <c r="Y254" s="682"/>
      <c r="Z254" s="549"/>
      <c r="AA254" s="111"/>
      <c r="AB254" s="340">
        <f t="shared" si="986"/>
        <v>0</v>
      </c>
      <c r="AC254" s="549"/>
      <c r="AD254" s="111"/>
      <c r="AE254" s="549"/>
      <c r="AF254" s="682"/>
      <c r="AG254" s="549"/>
      <c r="AH254" s="111"/>
      <c r="AI254" s="340">
        <f t="shared" si="986"/>
        <v>0</v>
      </c>
      <c r="AJ254" s="549"/>
      <c r="AK254" s="111"/>
      <c r="AL254" s="549"/>
      <c r="AM254" s="682"/>
      <c r="AN254" s="549"/>
      <c r="AO254" s="111"/>
      <c r="AP254" s="340">
        <f t="shared" si="986"/>
        <v>4013.02</v>
      </c>
      <c r="AQ254" s="549"/>
      <c r="AR254" s="111"/>
      <c r="AS254" s="549"/>
      <c r="AT254" s="682"/>
      <c r="AU254" s="549"/>
      <c r="AV254" s="111"/>
      <c r="AW254" s="340">
        <f t="shared" si="986"/>
        <v>10995.820000000002</v>
      </c>
      <c r="AX254" s="549"/>
      <c r="AY254" s="111"/>
      <c r="AZ254" s="549"/>
      <c r="BA254" s="682"/>
      <c r="BB254" s="549"/>
      <c r="BC254" s="111"/>
      <c r="BD254" s="340">
        <f t="shared" si="986"/>
        <v>9996.2000000000007</v>
      </c>
      <c r="BE254" s="549"/>
      <c r="BF254" s="111"/>
      <c r="BG254" s="549"/>
      <c r="BH254" s="682"/>
      <c r="BI254" s="549"/>
      <c r="BJ254" s="111"/>
      <c r="BK254" s="340">
        <f t="shared" si="986"/>
        <v>20197.865278325917</v>
      </c>
      <c r="BL254" s="549"/>
      <c r="BM254" s="111"/>
      <c r="BN254" s="549"/>
      <c r="BO254" s="682"/>
      <c r="BP254" s="549"/>
      <c r="BQ254" s="111"/>
      <c r="BR254" s="340">
        <f t="shared" si="986"/>
        <v>30885.127586880022</v>
      </c>
      <c r="BS254" s="549"/>
      <c r="BT254" s="111"/>
      <c r="BU254" s="549"/>
      <c r="BV254" s="682"/>
      <c r="BW254" s="549"/>
      <c r="BX254" s="111"/>
      <c r="BY254" s="340">
        <f t="shared" si="986"/>
        <v>22990.553019903593</v>
      </c>
      <c r="BZ254" s="549"/>
      <c r="CA254" s="111"/>
      <c r="CB254" s="549"/>
      <c r="CC254" s="682"/>
      <c r="CD254" s="549"/>
      <c r="CE254" s="111"/>
      <c r="CF254" s="340">
        <f t="shared" si="986"/>
        <v>25921.593658762446</v>
      </c>
      <c r="CG254" s="549"/>
      <c r="CH254" s="111"/>
      <c r="CI254" s="549"/>
      <c r="CJ254" s="682"/>
      <c r="CK254" s="549"/>
      <c r="CL254" s="111"/>
      <c r="CM254" s="340">
        <f>CM251+CM252+CM253</f>
        <v>28837.812161938928</v>
      </c>
      <c r="CN254" s="549">
        <f>CN251+CN252+CN253</f>
        <v>6170.3700078397478</v>
      </c>
      <c r="CO254" s="111">
        <f t="shared" ref="CO254:CT254" si="987">CO251+CO252+CO253</f>
        <v>8441.4645980200421</v>
      </c>
      <c r="CP254" s="549">
        <f>CP251+CP252+CP253</f>
        <v>7421.6760289058038</v>
      </c>
      <c r="CQ254" s="682">
        <f t="shared" si="987"/>
        <v>10567.580358777821</v>
      </c>
      <c r="CR254" s="549">
        <f>CR251+CR252+CR253</f>
        <v>14656.376372475228</v>
      </c>
      <c r="CS254" s="111">
        <f t="shared" si="987"/>
        <v>17854.508266296682</v>
      </c>
      <c r="CT254" s="340">
        <f t="shared" si="987"/>
        <v>32505.276427194254</v>
      </c>
      <c r="CU254" s="549">
        <f t="shared" ref="CU254:DA254" si="988">CU251+CU252+CU253</f>
        <v>6630.1370733281601</v>
      </c>
      <c r="CV254" s="111">
        <f t="shared" si="988"/>
        <v>8767.864077217695</v>
      </c>
      <c r="CW254" s="549">
        <f t="shared" si="988"/>
        <v>7854.8605116921781</v>
      </c>
      <c r="CX254" s="682">
        <f t="shared" si="988"/>
        <v>12139.975447722329</v>
      </c>
      <c r="CY254" s="549">
        <f>CY251+CY252+CY253</f>
        <v>15345.91779251663</v>
      </c>
      <c r="CZ254" s="111">
        <f t="shared" ref="CZ254" si="989">CZ251+CZ252+CZ253</f>
        <v>19968.889588501432</v>
      </c>
      <c r="DA254" s="340">
        <f t="shared" si="988"/>
        <v>35364.917618551146</v>
      </c>
      <c r="DB254" s="549">
        <f t="shared" ref="DB254:DC254" si="990">DB251+DB252+DB253</f>
        <v>6263.6919993493939</v>
      </c>
      <c r="DC254" s="111">
        <f t="shared" si="990"/>
        <v>7195.1683571154081</v>
      </c>
      <c r="DD254" s="111">
        <f t="shared" ref="DD254:EQ254" si="991">DD251+DD252+DD253</f>
        <v>9437.221377064674</v>
      </c>
      <c r="DE254" s="682">
        <f t="shared" si="991"/>
        <v>12908.360575047793</v>
      </c>
      <c r="DF254" s="549">
        <f>DF251+DF252+DF253</f>
        <v>13482.552136718568</v>
      </c>
      <c r="DG254" s="111">
        <f t="shared" si="991"/>
        <v>22302.668697081437</v>
      </c>
      <c r="DH254" s="340">
        <f t="shared" si="991"/>
        <v>35727.161969875611</v>
      </c>
      <c r="DI254" s="111">
        <f t="shared" si="991"/>
        <v>5180.1312181019848</v>
      </c>
      <c r="DJ254" s="111">
        <f t="shared" si="991"/>
        <v>11680.716631683172</v>
      </c>
      <c r="DK254" s="401">
        <f t="shared" si="991"/>
        <v>9431.5139577570299</v>
      </c>
      <c r="DL254" s="431">
        <f t="shared" si="991"/>
        <v>12700.03108686467</v>
      </c>
      <c r="DM254" s="111">
        <f t="shared" si="991"/>
        <v>16926.477172049275</v>
      </c>
      <c r="DN254" s="401">
        <f t="shared" si="991"/>
        <v>22162.342684388903</v>
      </c>
      <c r="DO254" s="400">
        <f t="shared" si="991"/>
        <v>39365.586505691143</v>
      </c>
      <c r="DP254" s="401">
        <f t="shared" si="991"/>
        <v>10754.891438278535</v>
      </c>
      <c r="DQ254" s="401">
        <f t="shared" si="991"/>
        <v>11647.006200528092</v>
      </c>
      <c r="DR254" s="401">
        <f t="shared" si="991"/>
        <v>11651.507499735715</v>
      </c>
      <c r="DS254" s="431">
        <f t="shared" si="991"/>
        <v>11651.507499735713</v>
      </c>
      <c r="DT254" s="401">
        <f t="shared" si="991"/>
        <v>22401.897638806626</v>
      </c>
      <c r="DU254" s="401">
        <f t="shared" si="991"/>
        <v>23303.01499947143</v>
      </c>
      <c r="DV254" s="400">
        <f t="shared" si="991"/>
        <v>45704.91263827806</v>
      </c>
      <c r="DW254" s="401">
        <f t="shared" si="991"/>
        <v>11942.795187229107</v>
      </c>
      <c r="DX254" s="401">
        <f t="shared" si="991"/>
        <v>12857.212818534901</v>
      </c>
      <c r="DY254" s="401">
        <f t="shared" si="991"/>
        <v>12861.826650222716</v>
      </c>
      <c r="DZ254" s="431">
        <f t="shared" si="991"/>
        <v>13305.526699058886</v>
      </c>
      <c r="EA254" s="401">
        <f t="shared" si="991"/>
        <v>24800.008005764008</v>
      </c>
      <c r="EB254" s="401">
        <f t="shared" si="991"/>
        <v>26167.353349281599</v>
      </c>
      <c r="EC254" s="400">
        <f t="shared" si="991"/>
        <v>50967.361355045607</v>
      </c>
      <c r="ED254" s="401">
        <f t="shared" si="991"/>
        <v>13183.372316478284</v>
      </c>
      <c r="EE254" s="401">
        <f t="shared" si="991"/>
        <v>13178.643138998274</v>
      </c>
      <c r="EF254" s="401">
        <f t="shared" si="991"/>
        <v>13183.372316478284</v>
      </c>
      <c r="EG254" s="431">
        <f t="shared" si="991"/>
        <v>13646.43382199094</v>
      </c>
      <c r="EH254" s="401">
        <f t="shared" si="991"/>
        <v>26362.015455476558</v>
      </c>
      <c r="EI254" s="401">
        <f t="shared" si="991"/>
        <v>26829.806138469223</v>
      </c>
      <c r="EJ254" s="400">
        <f t="shared" si="991"/>
        <v>53191.82159394578</v>
      </c>
      <c r="EK254" s="401">
        <f t="shared" si="991"/>
        <v>13512.956624390237</v>
      </c>
      <c r="EL254" s="401">
        <f t="shared" si="991"/>
        <v>13508.109217473228</v>
      </c>
      <c r="EM254" s="401">
        <f t="shared" si="991"/>
        <v>13512.956624390237</v>
      </c>
      <c r="EN254" s="431">
        <f t="shared" si="991"/>
        <v>13987.59466754071</v>
      </c>
      <c r="EO254" s="401">
        <f t="shared" si="991"/>
        <v>27021.065841863467</v>
      </c>
      <c r="EP254" s="401">
        <f t="shared" si="991"/>
        <v>27500.551291930948</v>
      </c>
      <c r="EQ254" s="400">
        <f t="shared" si="991"/>
        <v>54521.617133794411</v>
      </c>
    </row>
    <row r="255" spans="1:147" ht="10.199999999999999" customHeight="1">
      <c r="A255" s="608" t="str">
        <f>A229</f>
        <v>A330-200</v>
      </c>
      <c r="B255" s="110"/>
      <c r="C255" s="110">
        <f t="shared" ref="C255:N255" si="992">C229*C121</f>
        <v>1549.2335298604607</v>
      </c>
      <c r="D255" s="110">
        <f t="shared" si="992"/>
        <v>3679.5845567715801</v>
      </c>
      <c r="E255" s="110">
        <f t="shared" si="992"/>
        <v>1895.3201970443351</v>
      </c>
      <c r="F255" s="110">
        <f t="shared" si="992"/>
        <v>2313.2249999999999</v>
      </c>
      <c r="G255" s="110">
        <f t="shared" si="992"/>
        <v>3228.3089999999993</v>
      </c>
      <c r="H255" s="110">
        <f t="shared" si="992"/>
        <v>4102.0018101562491</v>
      </c>
      <c r="I255" s="110">
        <f t="shared" si="992"/>
        <v>4142.8862248921869</v>
      </c>
      <c r="J255" s="110">
        <f t="shared" si="992"/>
        <v>4783.0016732806043</v>
      </c>
      <c r="K255" s="110">
        <f t="shared" si="992"/>
        <v>3757.9975191502513</v>
      </c>
      <c r="L255" s="110">
        <f t="shared" si="992"/>
        <v>4603.17</v>
      </c>
      <c r="M255" s="110">
        <f t="shared" si="992"/>
        <v>5220.8</v>
      </c>
      <c r="N255" s="67">
        <f t="shared" si="992"/>
        <v>4489.8187500000004</v>
      </c>
      <c r="O255" s="530"/>
      <c r="P255" s="197"/>
      <c r="Q255" s="530"/>
      <c r="R255" s="688"/>
      <c r="S255" s="530"/>
      <c r="T255" s="197"/>
      <c r="U255" s="339">
        <f>U229*U121</f>
        <v>5160.384</v>
      </c>
      <c r="V255" s="530"/>
      <c r="W255" s="197"/>
      <c r="X255" s="530"/>
      <c r="Y255" s="688"/>
      <c r="Z255" s="530"/>
      <c r="AA255" s="197"/>
      <c r="AB255" s="339">
        <f>AB229*AB121</f>
        <v>4602.3703957459775</v>
      </c>
      <c r="AC255" s="530"/>
      <c r="AD255" s="197"/>
      <c r="AE255" s="530"/>
      <c r="AF255" s="688"/>
      <c r="AG255" s="530"/>
      <c r="AH255" s="197"/>
      <c r="AI255" s="339">
        <f>AI229*AI121</f>
        <v>4156.3500000000004</v>
      </c>
      <c r="AJ255" s="530"/>
      <c r="AK255" s="197"/>
      <c r="AL255" s="530"/>
      <c r="AM255" s="688"/>
      <c r="AN255" s="530"/>
      <c r="AO255" s="197"/>
      <c r="AP255" s="339">
        <f>AP229*AP121</f>
        <v>3055.8</v>
      </c>
      <c r="AQ255" s="530"/>
      <c r="AR255" s="197"/>
      <c r="AS255" s="530"/>
      <c r="AT255" s="688"/>
      <c r="AU255" s="530"/>
      <c r="AV255" s="197"/>
      <c r="AW255" s="339">
        <f>AW229*AW121</f>
        <v>2104.2000000000003</v>
      </c>
      <c r="AX255" s="530"/>
      <c r="AY255" s="197"/>
      <c r="AZ255" s="530"/>
      <c r="BA255" s="688"/>
      <c r="BB255" s="530"/>
      <c r="BC255" s="197"/>
      <c r="BD255" s="339">
        <f>BD229*BD121</f>
        <v>1893.78</v>
      </c>
      <c r="BE255" s="530"/>
      <c r="BF255" s="197"/>
      <c r="BG255" s="530"/>
      <c r="BH255" s="688"/>
      <c r="BI255" s="530"/>
      <c r="BJ255" s="197"/>
      <c r="BK255" s="339">
        <f>BK229*BK121</f>
        <v>1502.5499999999997</v>
      </c>
      <c r="BL255" s="530"/>
      <c r="BM255" s="197"/>
      <c r="BN255" s="530"/>
      <c r="BO255" s="688"/>
      <c r="BP255" s="530"/>
      <c r="BQ255" s="197"/>
      <c r="BR255" s="339">
        <f>BR229*BR121</f>
        <v>766.30049999999994</v>
      </c>
      <c r="BS255" s="530"/>
      <c r="BT255" s="197"/>
      <c r="BU255" s="530"/>
      <c r="BV255" s="688"/>
      <c r="BW255" s="530"/>
      <c r="BX255" s="197"/>
      <c r="BY255" s="339">
        <f>BY229*BY121</f>
        <v>496.27080000000007</v>
      </c>
      <c r="BZ255" s="530"/>
      <c r="CA255" s="197"/>
      <c r="CB255" s="530"/>
      <c r="CC255" s="688"/>
      <c r="CD255" s="530"/>
      <c r="CE255" s="197"/>
      <c r="CF255" s="339">
        <f>CF229*CF121</f>
        <v>303.71772959999998</v>
      </c>
      <c r="CG255" s="530"/>
      <c r="CH255" s="197"/>
      <c r="CI255" s="530"/>
      <c r="CJ255" s="688"/>
      <c r="CK255" s="530"/>
      <c r="CL255" s="197"/>
      <c r="CM255" s="339">
        <f t="shared" ref="CM255:DR255" si="993">CM229*CM121</f>
        <v>451.78012277999989</v>
      </c>
      <c r="CN255" s="530">
        <f t="shared" si="993"/>
        <v>93.518485415459978</v>
      </c>
      <c r="CO255" s="197">
        <f t="shared" si="993"/>
        <v>93.518485415459978</v>
      </c>
      <c r="CP255" s="530">
        <f t="shared" si="993"/>
        <v>0</v>
      </c>
      <c r="CQ255" s="688">
        <f t="shared" si="993"/>
        <v>93.518485415459978</v>
      </c>
      <c r="CR255" s="530">
        <f t="shared" si="993"/>
        <v>187.03697083091996</v>
      </c>
      <c r="CS255" s="197">
        <f t="shared" si="993"/>
        <v>93.518485415459978</v>
      </c>
      <c r="CT255" s="339">
        <f t="shared" si="993"/>
        <v>280.55545624637995</v>
      </c>
      <c r="CU255" s="530">
        <f t="shared" si="993"/>
        <v>0</v>
      </c>
      <c r="CV255" s="197">
        <f t="shared" si="993"/>
        <v>0</v>
      </c>
      <c r="CW255" s="530">
        <f t="shared" si="993"/>
        <v>0</v>
      </c>
      <c r="CX255" s="688">
        <f t="shared" ref="CX255" si="994">CX229*CX121</f>
        <v>191.71289510169294</v>
      </c>
      <c r="CY255" s="530">
        <f t="shared" si="993"/>
        <v>0</v>
      </c>
      <c r="CZ255" s="197">
        <f t="shared" ref="CZ255" si="995">CZ229*CZ121</f>
        <v>191.71289510169294</v>
      </c>
      <c r="DA255" s="339">
        <f t="shared" ref="DA255:DC255" si="996">DA229*DA121</f>
        <v>191.71289510169294</v>
      </c>
      <c r="DB255" s="530">
        <f t="shared" si="996"/>
        <v>0</v>
      </c>
      <c r="DC255" s="197">
        <f t="shared" si="996"/>
        <v>98.252858739617622</v>
      </c>
      <c r="DD255" s="197">
        <f t="shared" si="993"/>
        <v>0</v>
      </c>
      <c r="DE255" s="688">
        <f t="shared" si="993"/>
        <v>98.252858739617622</v>
      </c>
      <c r="DF255" s="530">
        <f t="shared" ref="DF255" si="997">DF229*DF121</f>
        <v>98.252858739617622</v>
      </c>
      <c r="DG255" s="197">
        <f t="shared" si="993"/>
        <v>98.252858739617622</v>
      </c>
      <c r="DH255" s="339">
        <f t="shared" si="993"/>
        <v>196.50571747923524</v>
      </c>
      <c r="DI255" s="197">
        <f t="shared" si="993"/>
        <v>0</v>
      </c>
      <c r="DJ255" s="197">
        <f t="shared" si="993"/>
        <v>100.70918020810805</v>
      </c>
      <c r="DK255" s="322">
        <f t="shared" si="993"/>
        <v>50.354590104054026</v>
      </c>
      <c r="DL255" s="430">
        <f t="shared" si="993"/>
        <v>50.354590104054026</v>
      </c>
      <c r="DM255" s="197">
        <f t="shared" si="993"/>
        <v>100.70918020810805</v>
      </c>
      <c r="DN255" s="322">
        <f t="shared" si="993"/>
        <v>100.70918020810805</v>
      </c>
      <c r="DO255" s="385">
        <f t="shared" si="993"/>
        <v>201.4183604162161</v>
      </c>
      <c r="DP255" s="322">
        <f t="shared" si="993"/>
        <v>51.61345485665538</v>
      </c>
      <c r="DQ255" s="322">
        <f t="shared" si="993"/>
        <v>51.61345485665538</v>
      </c>
      <c r="DR255" s="322">
        <f t="shared" si="993"/>
        <v>51.61345485665538</v>
      </c>
      <c r="DS255" s="430">
        <f t="shared" ref="DS255:EQ255" si="998">DS229*DS121</f>
        <v>51.61345485665538</v>
      </c>
      <c r="DT255" s="322">
        <f t="shared" si="998"/>
        <v>103.22690971331076</v>
      </c>
      <c r="DU255" s="322">
        <f t="shared" si="998"/>
        <v>103.22690971331076</v>
      </c>
      <c r="DV255" s="385">
        <f t="shared" si="998"/>
        <v>206.45381942662152</v>
      </c>
      <c r="DW255" s="322">
        <f t="shared" si="998"/>
        <v>52.903791228071761</v>
      </c>
      <c r="DX255" s="322">
        <f t="shared" si="998"/>
        <v>52.903791228071761</v>
      </c>
      <c r="DY255" s="322">
        <f t="shared" si="998"/>
        <v>52.903791228071761</v>
      </c>
      <c r="DZ255" s="430">
        <f t="shared" si="998"/>
        <v>52.903791228071761</v>
      </c>
      <c r="EA255" s="322">
        <f t="shared" si="998"/>
        <v>105.80758245614352</v>
      </c>
      <c r="EB255" s="322">
        <f t="shared" si="998"/>
        <v>105.80758245614352</v>
      </c>
      <c r="EC255" s="385">
        <f t="shared" si="998"/>
        <v>211.61516491228704</v>
      </c>
      <c r="ED255" s="322">
        <f t="shared" si="998"/>
        <v>54.226386008773545</v>
      </c>
      <c r="EE255" s="322">
        <f t="shared" si="998"/>
        <v>54.226386008773545</v>
      </c>
      <c r="EF255" s="322">
        <f t="shared" si="998"/>
        <v>54.226386008773545</v>
      </c>
      <c r="EG255" s="430">
        <f t="shared" si="998"/>
        <v>54.226386008773545</v>
      </c>
      <c r="EH255" s="322">
        <f t="shared" si="998"/>
        <v>108.45277201754709</v>
      </c>
      <c r="EI255" s="322">
        <f t="shared" si="998"/>
        <v>108.45277201754709</v>
      </c>
      <c r="EJ255" s="385">
        <f t="shared" si="998"/>
        <v>216.90554403509418</v>
      </c>
      <c r="EK255" s="322">
        <f t="shared" si="998"/>
        <v>55.582045658992882</v>
      </c>
      <c r="EL255" s="322">
        <f t="shared" si="998"/>
        <v>55.582045658992882</v>
      </c>
      <c r="EM255" s="322">
        <f t="shared" si="998"/>
        <v>55.582045658992882</v>
      </c>
      <c r="EN255" s="430">
        <f t="shared" si="998"/>
        <v>55.582045658992882</v>
      </c>
      <c r="EO255" s="322">
        <f t="shared" si="998"/>
        <v>111.16409131798576</v>
      </c>
      <c r="EP255" s="322">
        <f t="shared" si="998"/>
        <v>111.16409131798576</v>
      </c>
      <c r="EQ255" s="385">
        <f t="shared" si="998"/>
        <v>222.32818263597153</v>
      </c>
    </row>
    <row r="256" spans="1:147" ht="10.199999999999999" customHeight="1">
      <c r="A256" s="608" t="str">
        <f>A230</f>
        <v>A330-300</v>
      </c>
      <c r="B256" s="110"/>
      <c r="C256" s="110">
        <f t="shared" ref="C256:N256" si="999">C230*C122</f>
        <v>2044.1275741214413</v>
      </c>
      <c r="D256" s="110">
        <f t="shared" si="999"/>
        <v>681.4045475502927</v>
      </c>
      <c r="E256" s="110">
        <f t="shared" si="999"/>
        <v>1330.0492610837441</v>
      </c>
      <c r="F256" s="110">
        <f t="shared" si="999"/>
        <v>2682</v>
      </c>
      <c r="G256" s="110">
        <f t="shared" si="999"/>
        <v>2892.7499999999995</v>
      </c>
      <c r="H256" s="110">
        <f t="shared" si="999"/>
        <v>2687.9214140624995</v>
      </c>
      <c r="I256" s="110">
        <f t="shared" si="999"/>
        <v>2849.6042816718741</v>
      </c>
      <c r="J256" s="110">
        <f t="shared" si="999"/>
        <v>2494.5360200783198</v>
      </c>
      <c r="K256" s="110">
        <f t="shared" si="999"/>
        <v>4175.5527990558357</v>
      </c>
      <c r="L256" s="110">
        <f t="shared" si="999"/>
        <v>6903</v>
      </c>
      <c r="M256" s="110">
        <f t="shared" si="999"/>
        <v>6797.375</v>
      </c>
      <c r="N256" s="67">
        <f t="shared" si="999"/>
        <v>6147.2599999999993</v>
      </c>
      <c r="O256" s="530"/>
      <c r="P256" s="197"/>
      <c r="Q256" s="530"/>
      <c r="R256" s="688"/>
      <c r="S256" s="530"/>
      <c r="T256" s="197"/>
      <c r="U256" s="339">
        <f>U230*U122</f>
        <v>6345.2969999999996</v>
      </c>
      <c r="V256" s="530"/>
      <c r="W256" s="197"/>
      <c r="X256" s="530"/>
      <c r="Y256" s="688"/>
      <c r="Z256" s="530"/>
      <c r="AA256" s="197"/>
      <c r="AB256" s="339">
        <f>AB230*AB122</f>
        <v>11507.097314417308</v>
      </c>
      <c r="AC256" s="530"/>
      <c r="AD256" s="197"/>
      <c r="AE256" s="530"/>
      <c r="AF256" s="688"/>
      <c r="AG256" s="530"/>
      <c r="AH256" s="197"/>
      <c r="AI256" s="339">
        <f>AI230*AI122</f>
        <v>9767.4499999999989</v>
      </c>
      <c r="AJ256" s="530"/>
      <c r="AK256" s="197"/>
      <c r="AL256" s="530"/>
      <c r="AM256" s="688"/>
      <c r="AN256" s="530"/>
      <c r="AO256" s="197"/>
      <c r="AP256" s="339">
        <f>AP230*AP122</f>
        <v>5922.84</v>
      </c>
      <c r="AQ256" s="530"/>
      <c r="AR256" s="197"/>
      <c r="AS256" s="530"/>
      <c r="AT256" s="688"/>
      <c r="AU256" s="530"/>
      <c r="AV256" s="197"/>
      <c r="AW256" s="339">
        <f>AW230*AW122</f>
        <v>6345.5</v>
      </c>
      <c r="AX256" s="530"/>
      <c r="AY256" s="197"/>
      <c r="AZ256" s="530"/>
      <c r="BA256" s="688"/>
      <c r="BB256" s="530"/>
      <c r="BC256" s="197"/>
      <c r="BD256" s="339">
        <f>BD230*BD122</f>
        <v>5710.9499999999989</v>
      </c>
      <c r="BE256" s="530"/>
      <c r="BF256" s="197"/>
      <c r="BG256" s="530"/>
      <c r="BH256" s="688"/>
      <c r="BI256" s="530"/>
      <c r="BJ256" s="197"/>
      <c r="BK256" s="339">
        <f>BK230*BK122</f>
        <v>3804.4799999999996</v>
      </c>
      <c r="BL256" s="530"/>
      <c r="BM256" s="197"/>
      <c r="BN256" s="530"/>
      <c r="BO256" s="688"/>
      <c r="BP256" s="530"/>
      <c r="BQ256" s="197"/>
      <c r="BR256" s="339">
        <f>BR230*BR122</f>
        <v>606.33899999999994</v>
      </c>
      <c r="BS256" s="530"/>
      <c r="BT256" s="197"/>
      <c r="BU256" s="530"/>
      <c r="BV256" s="688"/>
      <c r="BW256" s="530"/>
      <c r="BX256" s="197"/>
      <c r="BY256" s="339">
        <f>BY230*BY122</f>
        <v>109.949472</v>
      </c>
      <c r="BZ256" s="530"/>
      <c r="CA256" s="197"/>
      <c r="CB256" s="530"/>
      <c r="CC256" s="688"/>
      <c r="CD256" s="530"/>
      <c r="CE256" s="197"/>
      <c r="CF256" s="339">
        <f>CF230*CF122</f>
        <v>112.14846143999999</v>
      </c>
      <c r="CG256" s="530"/>
      <c r="CH256" s="197"/>
      <c r="CI256" s="530"/>
      <c r="CJ256" s="688"/>
      <c r="CK256" s="530"/>
      <c r="CL256" s="197"/>
      <c r="CM256" s="339">
        <f t="shared" ref="CM256:DR256" si="1000">CM230*CM122</f>
        <v>400.37000734079993</v>
      </c>
      <c r="CN256" s="530">
        <f t="shared" si="1000"/>
        <v>0</v>
      </c>
      <c r="CO256" s="197">
        <f t="shared" si="1000"/>
        <v>0</v>
      </c>
      <c r="CP256" s="530">
        <f t="shared" si="1000"/>
        <v>0</v>
      </c>
      <c r="CQ256" s="688">
        <f t="shared" si="1000"/>
        <v>0</v>
      </c>
      <c r="CR256" s="530">
        <f t="shared" si="1000"/>
        <v>0</v>
      </c>
      <c r="CS256" s="197">
        <f t="shared" si="1000"/>
        <v>0</v>
      </c>
      <c r="CT256" s="339">
        <f t="shared" si="1000"/>
        <v>0</v>
      </c>
      <c r="CU256" s="530">
        <f t="shared" si="1000"/>
        <v>0</v>
      </c>
      <c r="CV256" s="197">
        <f t="shared" si="1000"/>
        <v>0</v>
      </c>
      <c r="CW256" s="530">
        <f t="shared" si="1000"/>
        <v>0</v>
      </c>
      <c r="CX256" s="688">
        <f t="shared" ref="CX256" si="1001">CX230*CX122</f>
        <v>0</v>
      </c>
      <c r="CY256" s="530">
        <f t="shared" si="1000"/>
        <v>0</v>
      </c>
      <c r="CZ256" s="197">
        <f t="shared" ref="CZ256" si="1002">CZ230*CZ122</f>
        <v>0</v>
      </c>
      <c r="DA256" s="339">
        <f t="shared" ref="DA256:DC256" si="1003">DA230*DA122</f>
        <v>0</v>
      </c>
      <c r="DB256" s="530">
        <f t="shared" si="1003"/>
        <v>0</v>
      </c>
      <c r="DC256" s="197">
        <f t="shared" si="1003"/>
        <v>0</v>
      </c>
      <c r="DD256" s="197">
        <f t="shared" si="1000"/>
        <v>0</v>
      </c>
      <c r="DE256" s="688">
        <f t="shared" si="1000"/>
        <v>0</v>
      </c>
      <c r="DF256" s="530">
        <f t="shared" ref="DF256" si="1004">DF230*DF122</f>
        <v>0</v>
      </c>
      <c r="DG256" s="197">
        <f t="shared" si="1000"/>
        <v>0</v>
      </c>
      <c r="DH256" s="339">
        <f t="shared" si="1000"/>
        <v>0</v>
      </c>
      <c r="DI256" s="197">
        <f t="shared" si="1000"/>
        <v>0</v>
      </c>
      <c r="DJ256" s="197">
        <f t="shared" si="1000"/>
        <v>0</v>
      </c>
      <c r="DK256" s="322">
        <f t="shared" si="1000"/>
        <v>55.780640274595697</v>
      </c>
      <c r="DL256" s="430">
        <f t="shared" si="1000"/>
        <v>55.780640274595697</v>
      </c>
      <c r="DM256" s="197">
        <f t="shared" si="1000"/>
        <v>0</v>
      </c>
      <c r="DN256" s="322">
        <f t="shared" si="1000"/>
        <v>111.56128054919139</v>
      </c>
      <c r="DO256" s="385">
        <f t="shared" si="1000"/>
        <v>111.56128054919139</v>
      </c>
      <c r="DP256" s="322">
        <f t="shared" si="1000"/>
        <v>28.587578140730294</v>
      </c>
      <c r="DQ256" s="322">
        <f t="shared" si="1000"/>
        <v>28.587578140730294</v>
      </c>
      <c r="DR256" s="322">
        <f t="shared" si="1000"/>
        <v>28.587578140730294</v>
      </c>
      <c r="DS256" s="430">
        <f t="shared" ref="DS256:EQ256" si="1005">DS230*DS122</f>
        <v>28.587578140730294</v>
      </c>
      <c r="DT256" s="322">
        <f t="shared" si="1005"/>
        <v>57.175156281460588</v>
      </c>
      <c r="DU256" s="322">
        <f t="shared" si="1005"/>
        <v>57.175156281460588</v>
      </c>
      <c r="DV256" s="385">
        <f t="shared" si="1005"/>
        <v>114.35031256292118</v>
      </c>
      <c r="DW256" s="322">
        <f t="shared" si="1005"/>
        <v>29.302267594248548</v>
      </c>
      <c r="DX256" s="322">
        <f t="shared" si="1005"/>
        <v>29.302267594248548</v>
      </c>
      <c r="DY256" s="322">
        <f t="shared" si="1005"/>
        <v>29.302267594248548</v>
      </c>
      <c r="DZ256" s="430">
        <f t="shared" si="1005"/>
        <v>29.302267594248548</v>
      </c>
      <c r="EA256" s="322">
        <f t="shared" si="1005"/>
        <v>58.604535188497096</v>
      </c>
      <c r="EB256" s="322">
        <f t="shared" si="1005"/>
        <v>58.604535188497096</v>
      </c>
      <c r="EC256" s="385">
        <f t="shared" si="1005"/>
        <v>117.20907037699419</v>
      </c>
      <c r="ED256" s="322">
        <f t="shared" si="1005"/>
        <v>30.034824284104758</v>
      </c>
      <c r="EE256" s="322">
        <f t="shared" si="1005"/>
        <v>30.034824284104758</v>
      </c>
      <c r="EF256" s="322">
        <f t="shared" si="1005"/>
        <v>30.034824284104758</v>
      </c>
      <c r="EG256" s="430">
        <f t="shared" si="1005"/>
        <v>30.034824284104758</v>
      </c>
      <c r="EH256" s="322">
        <f t="shared" si="1005"/>
        <v>60.069648568209516</v>
      </c>
      <c r="EI256" s="322">
        <f t="shared" si="1005"/>
        <v>60.069648568209516</v>
      </c>
      <c r="EJ256" s="385">
        <f t="shared" si="1005"/>
        <v>120.13929713641903</v>
      </c>
      <c r="EK256" s="322">
        <f t="shared" si="1005"/>
        <v>30.785694891207374</v>
      </c>
      <c r="EL256" s="322">
        <f t="shared" si="1005"/>
        <v>30.785694891207374</v>
      </c>
      <c r="EM256" s="322">
        <f t="shared" si="1005"/>
        <v>30.785694891207374</v>
      </c>
      <c r="EN256" s="430">
        <f t="shared" si="1005"/>
        <v>30.785694891207374</v>
      </c>
      <c r="EO256" s="322">
        <f t="shared" si="1005"/>
        <v>61.571389782414748</v>
      </c>
      <c r="EP256" s="322">
        <f t="shared" si="1005"/>
        <v>61.571389782414748</v>
      </c>
      <c r="EQ256" s="385">
        <f t="shared" si="1005"/>
        <v>123.1427795648295</v>
      </c>
    </row>
    <row r="257" spans="1:147" ht="10.199999999999999" customHeight="1">
      <c r="A257" s="48" t="s">
        <v>380</v>
      </c>
      <c r="B257" s="124"/>
      <c r="C257" s="113">
        <f t="shared" ref="C257:CF257" si="1006">C255+C256</f>
        <v>3593.361103981902</v>
      </c>
      <c r="D257" s="113">
        <f t="shared" si="1006"/>
        <v>4360.9891043218731</v>
      </c>
      <c r="E257" s="113">
        <f t="shared" si="1006"/>
        <v>3225.3694581280793</v>
      </c>
      <c r="F257" s="113">
        <f t="shared" si="1006"/>
        <v>4995.2250000000004</v>
      </c>
      <c r="G257" s="113">
        <f t="shared" si="1006"/>
        <v>6121.0589999999993</v>
      </c>
      <c r="H257" s="113">
        <f t="shared" si="1006"/>
        <v>6789.9232242187481</v>
      </c>
      <c r="I257" s="113">
        <f t="shared" si="1006"/>
        <v>6992.4905065640614</v>
      </c>
      <c r="J257" s="113">
        <f t="shared" si="1006"/>
        <v>7277.5376933589241</v>
      </c>
      <c r="K257" s="113">
        <f t="shared" si="1006"/>
        <v>7933.5503182060875</v>
      </c>
      <c r="L257" s="113">
        <f t="shared" si="1006"/>
        <v>11506.17</v>
      </c>
      <c r="M257" s="113">
        <f t="shared" si="1006"/>
        <v>12018.174999999999</v>
      </c>
      <c r="N257" s="111">
        <f t="shared" si="1006"/>
        <v>10637.078750000001</v>
      </c>
      <c r="O257" s="549"/>
      <c r="P257" s="111"/>
      <c r="Q257" s="549"/>
      <c r="R257" s="682"/>
      <c r="S257" s="549"/>
      <c r="T257" s="111"/>
      <c r="U257" s="340">
        <f t="shared" si="1006"/>
        <v>11505.681</v>
      </c>
      <c r="V257" s="549"/>
      <c r="W257" s="111"/>
      <c r="X257" s="549"/>
      <c r="Y257" s="682"/>
      <c r="Z257" s="549"/>
      <c r="AA257" s="111"/>
      <c r="AB257" s="340">
        <f t="shared" si="1006"/>
        <v>16109.467710163284</v>
      </c>
      <c r="AC257" s="549"/>
      <c r="AD257" s="111"/>
      <c r="AE257" s="549"/>
      <c r="AF257" s="682"/>
      <c r="AG257" s="549"/>
      <c r="AH257" s="111"/>
      <c r="AI257" s="340">
        <f t="shared" si="1006"/>
        <v>13923.8</v>
      </c>
      <c r="AJ257" s="549"/>
      <c r="AK257" s="111"/>
      <c r="AL257" s="549"/>
      <c r="AM257" s="682"/>
      <c r="AN257" s="549"/>
      <c r="AO257" s="111"/>
      <c r="AP257" s="340">
        <f t="shared" si="1006"/>
        <v>8978.64</v>
      </c>
      <c r="AQ257" s="549"/>
      <c r="AR257" s="111"/>
      <c r="AS257" s="549"/>
      <c r="AT257" s="682"/>
      <c r="AU257" s="549"/>
      <c r="AV257" s="111"/>
      <c r="AW257" s="340">
        <f t="shared" si="1006"/>
        <v>8449.7000000000007</v>
      </c>
      <c r="AX257" s="549"/>
      <c r="AY257" s="111"/>
      <c r="AZ257" s="549"/>
      <c r="BA257" s="682"/>
      <c r="BB257" s="549"/>
      <c r="BC257" s="111"/>
      <c r="BD257" s="340">
        <f t="shared" si="1006"/>
        <v>7604.7299999999987</v>
      </c>
      <c r="BE257" s="549"/>
      <c r="BF257" s="111"/>
      <c r="BG257" s="549"/>
      <c r="BH257" s="682"/>
      <c r="BI257" s="549"/>
      <c r="BJ257" s="111"/>
      <c r="BK257" s="340">
        <f t="shared" si="1006"/>
        <v>5307.0299999999988</v>
      </c>
      <c r="BL257" s="549"/>
      <c r="BM257" s="111"/>
      <c r="BN257" s="549"/>
      <c r="BO257" s="682"/>
      <c r="BP257" s="549"/>
      <c r="BQ257" s="111"/>
      <c r="BR257" s="340">
        <f t="shared" si="1006"/>
        <v>1372.6394999999998</v>
      </c>
      <c r="BS257" s="549"/>
      <c r="BT257" s="111"/>
      <c r="BU257" s="549"/>
      <c r="BV257" s="682"/>
      <c r="BW257" s="549"/>
      <c r="BX257" s="111"/>
      <c r="BY257" s="340">
        <f t="shared" si="1006"/>
        <v>606.22027200000002</v>
      </c>
      <c r="BZ257" s="549"/>
      <c r="CA257" s="111"/>
      <c r="CB257" s="549"/>
      <c r="CC257" s="682"/>
      <c r="CD257" s="549"/>
      <c r="CE257" s="111"/>
      <c r="CF257" s="340">
        <f t="shared" si="1006"/>
        <v>415.86619103999999</v>
      </c>
      <c r="CG257" s="549"/>
      <c r="CH257" s="111"/>
      <c r="CI257" s="549"/>
      <c r="CJ257" s="682"/>
      <c r="CK257" s="549"/>
      <c r="CL257" s="111"/>
      <c r="CM257" s="340">
        <f>CM255+CM256</f>
        <v>852.15013012079976</v>
      </c>
      <c r="CN257" s="549">
        <f>CN255+CN256</f>
        <v>93.518485415459978</v>
      </c>
      <c r="CO257" s="111">
        <f t="shared" ref="CO257:CT257" si="1007">CO255+CO256</f>
        <v>93.518485415459978</v>
      </c>
      <c r="CP257" s="549">
        <f>CP255+CP256</f>
        <v>0</v>
      </c>
      <c r="CQ257" s="682">
        <f t="shared" si="1007"/>
        <v>93.518485415459978</v>
      </c>
      <c r="CR257" s="549">
        <f>CR255+CR256</f>
        <v>187.03697083091996</v>
      </c>
      <c r="CS257" s="111">
        <f t="shared" si="1007"/>
        <v>93.518485415459978</v>
      </c>
      <c r="CT257" s="340">
        <f t="shared" si="1007"/>
        <v>280.55545624637995</v>
      </c>
      <c r="CU257" s="549">
        <f t="shared" ref="CU257:DA257" si="1008">CU255+CU256</f>
        <v>0</v>
      </c>
      <c r="CV257" s="111">
        <f t="shared" si="1008"/>
        <v>0</v>
      </c>
      <c r="CW257" s="549">
        <f t="shared" si="1008"/>
        <v>0</v>
      </c>
      <c r="CX257" s="682">
        <f t="shared" si="1008"/>
        <v>191.71289510169294</v>
      </c>
      <c r="CY257" s="549">
        <f>CY255+CY256</f>
        <v>0</v>
      </c>
      <c r="CZ257" s="111">
        <f t="shared" ref="CZ257" si="1009">CZ255+CZ256</f>
        <v>191.71289510169294</v>
      </c>
      <c r="DA257" s="340">
        <f t="shared" si="1008"/>
        <v>191.71289510169294</v>
      </c>
      <c r="DB257" s="549">
        <f t="shared" ref="DB257:DC257" si="1010">DB255+DB256</f>
        <v>0</v>
      </c>
      <c r="DC257" s="111">
        <f t="shared" si="1010"/>
        <v>98.252858739617622</v>
      </c>
      <c r="DD257" s="111">
        <f t="shared" ref="DD257:EQ257" si="1011">DD255+DD256</f>
        <v>0</v>
      </c>
      <c r="DE257" s="682">
        <f t="shared" si="1011"/>
        <v>98.252858739617622</v>
      </c>
      <c r="DF257" s="549">
        <f>DF255+DF256</f>
        <v>98.252858739617622</v>
      </c>
      <c r="DG257" s="111">
        <f t="shared" si="1011"/>
        <v>98.252858739617622</v>
      </c>
      <c r="DH257" s="340">
        <f t="shared" si="1011"/>
        <v>196.50571747923524</v>
      </c>
      <c r="DI257" s="111">
        <f t="shared" si="1011"/>
        <v>0</v>
      </c>
      <c r="DJ257" s="111">
        <f t="shared" si="1011"/>
        <v>100.70918020810805</v>
      </c>
      <c r="DK257" s="401">
        <f t="shared" si="1011"/>
        <v>106.13523037864972</v>
      </c>
      <c r="DL257" s="431">
        <f t="shared" si="1011"/>
        <v>106.13523037864972</v>
      </c>
      <c r="DM257" s="111">
        <f t="shared" si="1011"/>
        <v>100.70918020810805</v>
      </c>
      <c r="DN257" s="401">
        <f t="shared" si="1011"/>
        <v>212.27046075729945</v>
      </c>
      <c r="DO257" s="400">
        <f t="shared" si="1011"/>
        <v>312.9796409654075</v>
      </c>
      <c r="DP257" s="401">
        <f t="shared" si="1011"/>
        <v>80.201032997385681</v>
      </c>
      <c r="DQ257" s="401">
        <f t="shared" si="1011"/>
        <v>80.201032997385681</v>
      </c>
      <c r="DR257" s="401">
        <f t="shared" si="1011"/>
        <v>80.201032997385681</v>
      </c>
      <c r="DS257" s="431">
        <f t="shared" si="1011"/>
        <v>80.201032997385681</v>
      </c>
      <c r="DT257" s="401">
        <f t="shared" si="1011"/>
        <v>160.40206599477136</v>
      </c>
      <c r="DU257" s="401">
        <f t="shared" si="1011"/>
        <v>160.40206599477136</v>
      </c>
      <c r="DV257" s="400">
        <f t="shared" si="1011"/>
        <v>320.80413198954273</v>
      </c>
      <c r="DW257" s="401">
        <f t="shared" si="1011"/>
        <v>82.206058822320301</v>
      </c>
      <c r="DX257" s="401">
        <f t="shared" si="1011"/>
        <v>82.206058822320301</v>
      </c>
      <c r="DY257" s="401">
        <f t="shared" si="1011"/>
        <v>82.206058822320301</v>
      </c>
      <c r="DZ257" s="431">
        <f t="shared" si="1011"/>
        <v>82.206058822320301</v>
      </c>
      <c r="EA257" s="401">
        <f t="shared" si="1011"/>
        <v>164.4121176446406</v>
      </c>
      <c r="EB257" s="401">
        <f t="shared" si="1011"/>
        <v>164.4121176446406</v>
      </c>
      <c r="EC257" s="400">
        <f t="shared" si="1011"/>
        <v>328.82423528928121</v>
      </c>
      <c r="ED257" s="401">
        <f t="shared" si="1011"/>
        <v>84.261210292878303</v>
      </c>
      <c r="EE257" s="401">
        <f t="shared" si="1011"/>
        <v>84.261210292878303</v>
      </c>
      <c r="EF257" s="401">
        <f t="shared" si="1011"/>
        <v>84.261210292878303</v>
      </c>
      <c r="EG257" s="431">
        <f t="shared" si="1011"/>
        <v>84.261210292878303</v>
      </c>
      <c r="EH257" s="401">
        <f t="shared" si="1011"/>
        <v>168.52242058575661</v>
      </c>
      <c r="EI257" s="401">
        <f t="shared" si="1011"/>
        <v>168.52242058575661</v>
      </c>
      <c r="EJ257" s="400">
        <f t="shared" si="1011"/>
        <v>337.04484117151321</v>
      </c>
      <c r="EK257" s="401">
        <f t="shared" si="1011"/>
        <v>86.367740550200253</v>
      </c>
      <c r="EL257" s="401">
        <f t="shared" si="1011"/>
        <v>86.367740550200253</v>
      </c>
      <c r="EM257" s="401">
        <f t="shared" si="1011"/>
        <v>86.367740550200253</v>
      </c>
      <c r="EN257" s="431">
        <f t="shared" si="1011"/>
        <v>86.367740550200253</v>
      </c>
      <c r="EO257" s="401">
        <f t="shared" si="1011"/>
        <v>172.73548110040051</v>
      </c>
      <c r="EP257" s="401">
        <f t="shared" si="1011"/>
        <v>172.73548110040051</v>
      </c>
      <c r="EQ257" s="400">
        <f t="shared" si="1011"/>
        <v>345.47096220080101</v>
      </c>
    </row>
    <row r="258" spans="1:147" ht="10.199999999999999" customHeight="1">
      <c r="A258" s="607" t="str">
        <f>A231</f>
        <v>A330-800neo</v>
      </c>
      <c r="B258" s="124"/>
      <c r="C258" s="124"/>
      <c r="D258" s="124"/>
      <c r="E258" s="124"/>
      <c r="F258" s="124"/>
      <c r="G258" s="124"/>
      <c r="H258" s="110"/>
      <c r="I258" s="110"/>
      <c r="J258" s="110"/>
      <c r="K258" s="110"/>
      <c r="L258" s="110"/>
      <c r="M258" s="110"/>
      <c r="N258" s="67"/>
      <c r="O258" s="530"/>
      <c r="P258" s="197"/>
      <c r="Q258" s="530"/>
      <c r="R258" s="688"/>
      <c r="S258" s="530"/>
      <c r="T258" s="197"/>
      <c r="U258" s="339"/>
      <c r="V258" s="530"/>
      <c r="W258" s="197"/>
      <c r="X258" s="530"/>
      <c r="Y258" s="688"/>
      <c r="Z258" s="530"/>
      <c r="AA258" s="197"/>
      <c r="AB258" s="339"/>
      <c r="AC258" s="530"/>
      <c r="AD258" s="197"/>
      <c r="AE258" s="530"/>
      <c r="AF258" s="688"/>
      <c r="AG258" s="530"/>
      <c r="AH258" s="197"/>
      <c r="AI258" s="339"/>
      <c r="AJ258" s="530"/>
      <c r="AK258" s="197"/>
      <c r="AL258" s="530"/>
      <c r="AM258" s="688"/>
      <c r="AN258" s="530"/>
      <c r="AO258" s="197"/>
      <c r="AP258" s="339"/>
      <c r="AQ258" s="530"/>
      <c r="AR258" s="197"/>
      <c r="AS258" s="530"/>
      <c r="AT258" s="688"/>
      <c r="AU258" s="530"/>
      <c r="AV258" s="197"/>
      <c r="AW258" s="339">
        <f>AW231*AW125</f>
        <v>0</v>
      </c>
      <c r="AX258" s="530"/>
      <c r="AY258" s="197"/>
      <c r="AZ258" s="530"/>
      <c r="BA258" s="688"/>
      <c r="BB258" s="530"/>
      <c r="BC258" s="197"/>
      <c r="BD258" s="339">
        <f>BD231*BD125</f>
        <v>0</v>
      </c>
      <c r="BE258" s="530"/>
      <c r="BF258" s="197"/>
      <c r="BG258" s="530"/>
      <c r="BH258" s="688"/>
      <c r="BI258" s="530"/>
      <c r="BJ258" s="197"/>
      <c r="BK258" s="339">
        <f>BK231*BK125</f>
        <v>0</v>
      </c>
      <c r="BL258" s="530"/>
      <c r="BM258" s="197"/>
      <c r="BN258" s="530"/>
      <c r="BO258" s="688"/>
      <c r="BP258" s="530"/>
      <c r="BQ258" s="197"/>
      <c r="BR258" s="339">
        <f>BR231*BR125</f>
        <v>0</v>
      </c>
      <c r="BS258" s="530"/>
      <c r="BT258" s="197"/>
      <c r="BU258" s="530"/>
      <c r="BV258" s="688"/>
      <c r="BW258" s="530"/>
      <c r="BX258" s="197"/>
      <c r="BY258" s="339">
        <f>BY231*BY125</f>
        <v>324.47995199999997</v>
      </c>
      <c r="BZ258" s="530"/>
      <c r="CA258" s="197"/>
      <c r="CB258" s="530"/>
      <c r="CC258" s="688"/>
      <c r="CD258" s="530"/>
      <c r="CE258" s="197"/>
      <c r="CF258" s="339">
        <f>CF231*CF125</f>
        <v>110.32318368</v>
      </c>
      <c r="CG258" s="530"/>
      <c r="CH258" s="197"/>
      <c r="CI258" s="530"/>
      <c r="CJ258" s="688"/>
      <c r="CK258" s="530"/>
      <c r="CL258" s="197"/>
      <c r="CM258" s="339">
        <f t="shared" ref="CM258:DR258" si="1012">CM231*CM125</f>
        <v>337.58894206079998</v>
      </c>
      <c r="CN258" s="530">
        <f t="shared" si="1012"/>
        <v>0</v>
      </c>
      <c r="CO258" s="197">
        <f t="shared" si="1012"/>
        <v>0</v>
      </c>
      <c r="CP258" s="530">
        <f t="shared" si="1012"/>
        <v>0</v>
      </c>
      <c r="CQ258" s="688">
        <f t="shared" si="1012"/>
        <v>0</v>
      </c>
      <c r="CR258" s="530">
        <f t="shared" si="1012"/>
        <v>0</v>
      </c>
      <c r="CS258" s="197">
        <f t="shared" si="1012"/>
        <v>0</v>
      </c>
      <c r="CT258" s="339">
        <f t="shared" si="1012"/>
        <v>0</v>
      </c>
      <c r="CU258" s="530">
        <f t="shared" si="1012"/>
        <v>0</v>
      </c>
      <c r="CV258" s="197">
        <f t="shared" si="1012"/>
        <v>0</v>
      </c>
      <c r="CW258" s="530">
        <f t="shared" si="1012"/>
        <v>0</v>
      </c>
      <c r="CX258" s="688">
        <f t="shared" ref="CX258" si="1013">CX231*CX125</f>
        <v>0</v>
      </c>
      <c r="CY258" s="530">
        <f t="shared" si="1012"/>
        <v>0</v>
      </c>
      <c r="CZ258" s="197">
        <f t="shared" ref="CZ258" si="1014">CZ231*CZ125</f>
        <v>0</v>
      </c>
      <c r="DA258" s="339">
        <f t="shared" ref="DA258:DC258" si="1015">DA231*DA125</f>
        <v>0</v>
      </c>
      <c r="DB258" s="530">
        <f t="shared" si="1015"/>
        <v>0</v>
      </c>
      <c r="DC258" s="197">
        <f t="shared" si="1015"/>
        <v>0</v>
      </c>
      <c r="DD258" s="197">
        <f t="shared" si="1012"/>
        <v>0</v>
      </c>
      <c r="DE258" s="688">
        <f t="shared" si="1012"/>
        <v>122.36438687715662</v>
      </c>
      <c r="DF258" s="530">
        <f t="shared" ref="DF258" si="1016">DF231*DF125</f>
        <v>0</v>
      </c>
      <c r="DG258" s="197">
        <f t="shared" si="1012"/>
        <v>122.36438687715662</v>
      </c>
      <c r="DH258" s="339">
        <f t="shared" si="1012"/>
        <v>122.36438687715662</v>
      </c>
      <c r="DI258" s="197">
        <f t="shared" si="1012"/>
        <v>0</v>
      </c>
      <c r="DJ258" s="197">
        <f t="shared" si="1012"/>
        <v>0</v>
      </c>
      <c r="DK258" s="322">
        <f t="shared" si="1012"/>
        <v>125.42349654908551</v>
      </c>
      <c r="DL258" s="430">
        <f t="shared" si="1012"/>
        <v>376.27048964725657</v>
      </c>
      <c r="DM258" s="197">
        <f t="shared" si="1012"/>
        <v>0</v>
      </c>
      <c r="DN258" s="322">
        <f t="shared" si="1012"/>
        <v>501.69398619634205</v>
      </c>
      <c r="DO258" s="385">
        <f t="shared" si="1012"/>
        <v>501.69398619634205</v>
      </c>
      <c r="DP258" s="322">
        <f t="shared" si="1012"/>
        <v>128.55908396281265</v>
      </c>
      <c r="DQ258" s="322">
        <f t="shared" si="1012"/>
        <v>128.55908396281265</v>
      </c>
      <c r="DR258" s="322">
        <f t="shared" si="1012"/>
        <v>128.55908396281265</v>
      </c>
      <c r="DS258" s="430">
        <f t="shared" ref="DS258:EQ258" si="1017">DS231*DS125</f>
        <v>128.55908396281265</v>
      </c>
      <c r="DT258" s="322">
        <f t="shared" si="1017"/>
        <v>257.1181679256253</v>
      </c>
      <c r="DU258" s="322">
        <f t="shared" si="1017"/>
        <v>257.1181679256253</v>
      </c>
      <c r="DV258" s="385">
        <f t="shared" si="1017"/>
        <v>514.2363358512506</v>
      </c>
      <c r="DW258" s="322">
        <f t="shared" si="1017"/>
        <v>131.77306106188294</v>
      </c>
      <c r="DX258" s="322">
        <f t="shared" si="1017"/>
        <v>131.77306106188294</v>
      </c>
      <c r="DY258" s="322">
        <f t="shared" si="1017"/>
        <v>131.77306106188294</v>
      </c>
      <c r="DZ258" s="430">
        <f t="shared" si="1017"/>
        <v>131.77306106188294</v>
      </c>
      <c r="EA258" s="322">
        <f t="shared" si="1017"/>
        <v>263.54612212376588</v>
      </c>
      <c r="EB258" s="322">
        <f t="shared" si="1017"/>
        <v>263.54612212376588</v>
      </c>
      <c r="EC258" s="385">
        <f t="shared" si="1017"/>
        <v>527.09224424753177</v>
      </c>
      <c r="ED258" s="322">
        <f t="shared" si="1017"/>
        <v>135.06738758843002</v>
      </c>
      <c r="EE258" s="322">
        <f t="shared" si="1017"/>
        <v>135.06738758843002</v>
      </c>
      <c r="EF258" s="322">
        <f t="shared" si="1017"/>
        <v>135.06738758843002</v>
      </c>
      <c r="EG258" s="430">
        <f t="shared" si="1017"/>
        <v>135.06738758843002</v>
      </c>
      <c r="EH258" s="322">
        <f t="shared" si="1017"/>
        <v>270.13477517686005</v>
      </c>
      <c r="EI258" s="322">
        <f t="shared" si="1017"/>
        <v>270.13477517686005</v>
      </c>
      <c r="EJ258" s="385">
        <f t="shared" si="1017"/>
        <v>540.26955035372009</v>
      </c>
      <c r="EK258" s="322">
        <f t="shared" si="1017"/>
        <v>138.44407227814074</v>
      </c>
      <c r="EL258" s="322">
        <f t="shared" si="1017"/>
        <v>138.44407227814074</v>
      </c>
      <c r="EM258" s="322">
        <f t="shared" si="1017"/>
        <v>138.44407227814074</v>
      </c>
      <c r="EN258" s="430">
        <f t="shared" si="1017"/>
        <v>138.44407227814074</v>
      </c>
      <c r="EO258" s="322">
        <f t="shared" si="1017"/>
        <v>276.88814455628147</v>
      </c>
      <c r="EP258" s="322">
        <f t="shared" si="1017"/>
        <v>276.88814455628147</v>
      </c>
      <c r="EQ258" s="385">
        <f t="shared" si="1017"/>
        <v>553.77628911256295</v>
      </c>
    </row>
    <row r="259" spans="1:147" ht="10.199999999999999" customHeight="1">
      <c r="A259" s="607" t="str">
        <f>A232</f>
        <v>A330-900neo</v>
      </c>
      <c r="B259" s="124"/>
      <c r="C259" s="124"/>
      <c r="D259" s="124"/>
      <c r="E259" s="124"/>
      <c r="F259" s="124"/>
      <c r="G259" s="124"/>
      <c r="H259" s="110"/>
      <c r="I259" s="110"/>
      <c r="J259" s="110"/>
      <c r="K259" s="110"/>
      <c r="L259" s="110"/>
      <c r="M259" s="110"/>
      <c r="N259" s="67"/>
      <c r="O259" s="530"/>
      <c r="P259" s="197"/>
      <c r="Q259" s="530"/>
      <c r="R259" s="688"/>
      <c r="S259" s="530"/>
      <c r="T259" s="197"/>
      <c r="U259" s="339"/>
      <c r="V259" s="530"/>
      <c r="W259" s="197"/>
      <c r="X259" s="530"/>
      <c r="Y259" s="688"/>
      <c r="Z259" s="530"/>
      <c r="AA259" s="197"/>
      <c r="AB259" s="339"/>
      <c r="AC259" s="530"/>
      <c r="AD259" s="197"/>
      <c r="AE259" s="530"/>
      <c r="AF259" s="688"/>
      <c r="AG259" s="530"/>
      <c r="AH259" s="197"/>
      <c r="AI259" s="339"/>
      <c r="AJ259" s="530"/>
      <c r="AK259" s="197"/>
      <c r="AL259" s="530"/>
      <c r="AM259" s="688"/>
      <c r="AN259" s="530"/>
      <c r="AO259" s="197"/>
      <c r="AP259" s="339"/>
      <c r="AQ259" s="530"/>
      <c r="AR259" s="197"/>
      <c r="AS259" s="530"/>
      <c r="AT259" s="688"/>
      <c r="AU259" s="530"/>
      <c r="AV259" s="197"/>
      <c r="AW259" s="339">
        <f>AW232*AW126</f>
        <v>0</v>
      </c>
      <c r="AX259" s="530"/>
      <c r="AY259" s="197"/>
      <c r="AZ259" s="530"/>
      <c r="BA259" s="688"/>
      <c r="BB259" s="530"/>
      <c r="BC259" s="197"/>
      <c r="BD259" s="339">
        <f>BD232*BD126</f>
        <v>0</v>
      </c>
      <c r="BE259" s="530"/>
      <c r="BF259" s="197"/>
      <c r="BG259" s="530"/>
      <c r="BH259" s="688"/>
      <c r="BI259" s="530"/>
      <c r="BJ259" s="197"/>
      <c r="BK259" s="339">
        <f>BK232*BK126</f>
        <v>355.68</v>
      </c>
      <c r="BL259" s="530"/>
      <c r="BM259" s="197"/>
      <c r="BN259" s="530"/>
      <c r="BO259" s="688"/>
      <c r="BP259" s="530"/>
      <c r="BQ259" s="197"/>
      <c r="BR259" s="339">
        <f>BR232*BR126</f>
        <v>4958.1791999999996</v>
      </c>
      <c r="BS259" s="530"/>
      <c r="BT259" s="197"/>
      <c r="BU259" s="530"/>
      <c r="BV259" s="688"/>
      <c r="BW259" s="530"/>
      <c r="BX259" s="197"/>
      <c r="BY259" s="339">
        <f>BY232*BY126</f>
        <v>1233.4982399999999</v>
      </c>
      <c r="BZ259" s="530"/>
      <c r="CA259" s="197"/>
      <c r="CB259" s="530"/>
      <c r="CC259" s="688"/>
      <c r="CD259" s="530"/>
      <c r="CE259" s="197"/>
      <c r="CF259" s="339">
        <f>CF232*CF126</f>
        <v>1635.61866624</v>
      </c>
      <c r="CG259" s="530"/>
      <c r="CH259" s="197"/>
      <c r="CI259" s="530"/>
      <c r="CJ259" s="688"/>
      <c r="CK259" s="530"/>
      <c r="CL259" s="197"/>
      <c r="CM259" s="339">
        <f t="shared" ref="CM259:DR259" si="1018">CM232*CM126</f>
        <v>2566.6631377920003</v>
      </c>
      <c r="CN259" s="530">
        <f t="shared" si="1018"/>
        <v>664.12408690367999</v>
      </c>
      <c r="CO259" s="197">
        <f t="shared" si="1018"/>
        <v>929.77372166515192</v>
      </c>
      <c r="CP259" s="530">
        <f t="shared" si="1018"/>
        <v>796.9489042844159</v>
      </c>
      <c r="CQ259" s="688">
        <f t="shared" si="1018"/>
        <v>1461.072991188096</v>
      </c>
      <c r="CR259" s="530">
        <f t="shared" si="1018"/>
        <v>1593.8978085688318</v>
      </c>
      <c r="CS259" s="197">
        <f t="shared" si="1018"/>
        <v>2258.0218954725119</v>
      </c>
      <c r="CT259" s="339">
        <f t="shared" si="1018"/>
        <v>3851.9197040413437</v>
      </c>
      <c r="CU259" s="530">
        <f t="shared" si="1018"/>
        <v>953.01806470678071</v>
      </c>
      <c r="CV259" s="197">
        <f t="shared" si="1018"/>
        <v>816.87262689152635</v>
      </c>
      <c r="CW259" s="530">
        <f t="shared" si="1018"/>
        <v>953.01806470678071</v>
      </c>
      <c r="CX259" s="688">
        <f t="shared" ref="CX259" si="1019">CX232*CX126</f>
        <v>1361.4543781525438</v>
      </c>
      <c r="CY259" s="530">
        <f t="shared" si="1018"/>
        <v>1769.8906915983071</v>
      </c>
      <c r="CZ259" s="197">
        <f t="shared" ref="CZ259" si="1020">CZ232*CZ126</f>
        <v>2314.4724428593245</v>
      </c>
      <c r="DA259" s="339">
        <f t="shared" ref="DA259:DC259" si="1021">DA232*DA126</f>
        <v>4084.3631344576315</v>
      </c>
      <c r="DB259" s="530">
        <f t="shared" si="1021"/>
        <v>558.19629504254294</v>
      </c>
      <c r="DC259" s="197">
        <f t="shared" si="1021"/>
        <v>976.84351632445009</v>
      </c>
      <c r="DD259" s="197">
        <f t="shared" si="1018"/>
        <v>1116.3925900850859</v>
      </c>
      <c r="DE259" s="688">
        <f t="shared" si="1018"/>
        <v>1953.6870326489002</v>
      </c>
      <c r="DF259" s="530">
        <f t="shared" ref="DF259" si="1022">DF232*DF126</f>
        <v>1535.039811366993</v>
      </c>
      <c r="DG259" s="197">
        <f t="shared" si="1018"/>
        <v>3070.0796227339861</v>
      </c>
      <c r="DH259" s="339">
        <f t="shared" si="1018"/>
        <v>4605.1194341009796</v>
      </c>
      <c r="DI259" s="197">
        <f t="shared" si="1018"/>
        <v>429.11340181395485</v>
      </c>
      <c r="DJ259" s="197">
        <f t="shared" si="1018"/>
        <v>858.2268036279097</v>
      </c>
      <c r="DK259" s="322">
        <f t="shared" si="1018"/>
        <v>1001.2646042325613</v>
      </c>
      <c r="DL259" s="430">
        <f t="shared" si="1018"/>
        <v>1859.4914078604709</v>
      </c>
      <c r="DM259" s="197">
        <f t="shared" si="1018"/>
        <v>1287.3402054418646</v>
      </c>
      <c r="DN259" s="322">
        <f t="shared" si="1018"/>
        <v>2860.756012093032</v>
      </c>
      <c r="DO259" s="385">
        <f t="shared" si="1018"/>
        <v>4148.0962175348968</v>
      </c>
      <c r="DP259" s="322">
        <f t="shared" si="1018"/>
        <v>1062.9496557433172</v>
      </c>
      <c r="DQ259" s="322">
        <f t="shared" si="1018"/>
        <v>1062.9496557433172</v>
      </c>
      <c r="DR259" s="322">
        <f t="shared" si="1018"/>
        <v>1062.9496557433172</v>
      </c>
      <c r="DS259" s="430">
        <f t="shared" ref="DS259:EQ259" si="1023">DS232*DS126</f>
        <v>1062.9496557433172</v>
      </c>
      <c r="DT259" s="322">
        <f t="shared" si="1023"/>
        <v>2125.8993114866344</v>
      </c>
      <c r="DU259" s="322">
        <f t="shared" si="1023"/>
        <v>2125.8993114866344</v>
      </c>
      <c r="DV259" s="385">
        <f t="shared" si="1023"/>
        <v>4251.7986229732687</v>
      </c>
      <c r="DW259" s="322">
        <f t="shared" si="1023"/>
        <v>1089.5233971369</v>
      </c>
      <c r="DX259" s="322">
        <f t="shared" si="1023"/>
        <v>1089.5233971369</v>
      </c>
      <c r="DY259" s="322">
        <f t="shared" si="1023"/>
        <v>1089.5233971369</v>
      </c>
      <c r="DZ259" s="430">
        <f t="shared" si="1023"/>
        <v>1089.5233971369</v>
      </c>
      <c r="EA259" s="322">
        <f t="shared" si="1023"/>
        <v>2179.0467942738001</v>
      </c>
      <c r="EB259" s="322">
        <f t="shared" si="1023"/>
        <v>2179.0467942738001</v>
      </c>
      <c r="EC259" s="385">
        <f t="shared" si="1023"/>
        <v>4358.0935885476001</v>
      </c>
      <c r="ED259" s="322">
        <f t="shared" si="1023"/>
        <v>1116.7614820653225</v>
      </c>
      <c r="EE259" s="322">
        <f t="shared" si="1023"/>
        <v>1116.7614820653225</v>
      </c>
      <c r="EF259" s="322">
        <f t="shared" si="1023"/>
        <v>1116.7614820653225</v>
      </c>
      <c r="EG259" s="430">
        <f t="shared" si="1023"/>
        <v>1116.7614820653225</v>
      </c>
      <c r="EH259" s="322">
        <f t="shared" si="1023"/>
        <v>2233.5229641306451</v>
      </c>
      <c r="EI259" s="322">
        <f t="shared" si="1023"/>
        <v>2233.5229641306451</v>
      </c>
      <c r="EJ259" s="385">
        <f t="shared" si="1023"/>
        <v>4467.0459282612901</v>
      </c>
      <c r="EK259" s="322">
        <f t="shared" si="1023"/>
        <v>1361.775100328792</v>
      </c>
      <c r="EL259" s="322">
        <f t="shared" si="1023"/>
        <v>1361.775100328792</v>
      </c>
      <c r="EM259" s="322">
        <f t="shared" si="1023"/>
        <v>1361.775100328792</v>
      </c>
      <c r="EN259" s="430">
        <f t="shared" si="1023"/>
        <v>1361.775100328792</v>
      </c>
      <c r="EO259" s="322">
        <f t="shared" si="1023"/>
        <v>2723.5502006575839</v>
      </c>
      <c r="EP259" s="322">
        <f t="shared" si="1023"/>
        <v>2723.5502006575839</v>
      </c>
      <c r="EQ259" s="385">
        <f t="shared" si="1023"/>
        <v>5447.1004013151678</v>
      </c>
    </row>
    <row r="260" spans="1:147" ht="10.199999999999999" customHeight="1">
      <c r="A260" s="48" t="s">
        <v>381</v>
      </c>
      <c r="B260" s="124"/>
      <c r="C260" s="124"/>
      <c r="D260" s="124"/>
      <c r="E260" s="124"/>
      <c r="F260" s="124"/>
      <c r="G260" s="124"/>
      <c r="H260" s="110"/>
      <c r="I260" s="110"/>
      <c r="J260" s="110"/>
      <c r="K260" s="110"/>
      <c r="L260" s="110"/>
      <c r="M260" s="110"/>
      <c r="N260" s="67"/>
      <c r="O260" s="549"/>
      <c r="P260" s="111"/>
      <c r="Q260" s="549"/>
      <c r="R260" s="682"/>
      <c r="S260" s="549"/>
      <c r="T260" s="111"/>
      <c r="U260" s="340"/>
      <c r="V260" s="549"/>
      <c r="W260" s="111"/>
      <c r="X260" s="549"/>
      <c r="Y260" s="682"/>
      <c r="Z260" s="549"/>
      <c r="AA260" s="111"/>
      <c r="AB260" s="340"/>
      <c r="AC260" s="549"/>
      <c r="AD260" s="111"/>
      <c r="AE260" s="549"/>
      <c r="AF260" s="682"/>
      <c r="AG260" s="549"/>
      <c r="AH260" s="111"/>
      <c r="AI260" s="340"/>
      <c r="AJ260" s="549"/>
      <c r="AK260" s="111"/>
      <c r="AL260" s="549"/>
      <c r="AM260" s="682"/>
      <c r="AN260" s="549"/>
      <c r="AO260" s="111"/>
      <c r="AP260" s="340"/>
      <c r="AQ260" s="549"/>
      <c r="AR260" s="111"/>
      <c r="AS260" s="549"/>
      <c r="AT260" s="682"/>
      <c r="AU260" s="549"/>
      <c r="AV260" s="111"/>
      <c r="AW260" s="340">
        <f t="shared" ref="AW260:CF260" si="1024">AW258+AW259</f>
        <v>0</v>
      </c>
      <c r="AX260" s="549"/>
      <c r="AY260" s="111"/>
      <c r="AZ260" s="549"/>
      <c r="BA260" s="682"/>
      <c r="BB260" s="549"/>
      <c r="BC260" s="111"/>
      <c r="BD260" s="340">
        <f t="shared" si="1024"/>
        <v>0</v>
      </c>
      <c r="BE260" s="549"/>
      <c r="BF260" s="111"/>
      <c r="BG260" s="549"/>
      <c r="BH260" s="682"/>
      <c r="BI260" s="549"/>
      <c r="BJ260" s="111"/>
      <c r="BK260" s="340">
        <f t="shared" si="1024"/>
        <v>355.68</v>
      </c>
      <c r="BL260" s="549"/>
      <c r="BM260" s="111"/>
      <c r="BN260" s="549"/>
      <c r="BO260" s="682"/>
      <c r="BP260" s="549"/>
      <c r="BQ260" s="111"/>
      <c r="BR260" s="340">
        <f t="shared" si="1024"/>
        <v>4958.1791999999996</v>
      </c>
      <c r="BS260" s="549"/>
      <c r="BT260" s="111"/>
      <c r="BU260" s="549"/>
      <c r="BV260" s="682"/>
      <c r="BW260" s="549"/>
      <c r="BX260" s="111"/>
      <c r="BY260" s="340">
        <f t="shared" si="1024"/>
        <v>1557.9781919999998</v>
      </c>
      <c r="BZ260" s="549"/>
      <c r="CA260" s="111"/>
      <c r="CB260" s="549"/>
      <c r="CC260" s="682"/>
      <c r="CD260" s="549"/>
      <c r="CE260" s="111"/>
      <c r="CF260" s="340">
        <f t="shared" si="1024"/>
        <v>1745.9418499200001</v>
      </c>
      <c r="CG260" s="549"/>
      <c r="CH260" s="111"/>
      <c r="CI260" s="549"/>
      <c r="CJ260" s="682"/>
      <c r="CK260" s="549"/>
      <c r="CL260" s="111"/>
      <c r="CM260" s="340">
        <f>CM258+CM259</f>
        <v>2904.2520798528003</v>
      </c>
      <c r="CN260" s="549">
        <f>CN258+CN259</f>
        <v>664.12408690367999</v>
      </c>
      <c r="CO260" s="111">
        <f t="shared" ref="CO260:CT260" si="1025">CO258+CO259</f>
        <v>929.77372166515192</v>
      </c>
      <c r="CP260" s="549">
        <f>CP258+CP259</f>
        <v>796.9489042844159</v>
      </c>
      <c r="CQ260" s="682">
        <f t="shared" si="1025"/>
        <v>1461.072991188096</v>
      </c>
      <c r="CR260" s="549">
        <f>CR258+CR259</f>
        <v>1593.8978085688318</v>
      </c>
      <c r="CS260" s="111">
        <f t="shared" si="1025"/>
        <v>2258.0218954725119</v>
      </c>
      <c r="CT260" s="340">
        <f t="shared" si="1025"/>
        <v>3851.9197040413437</v>
      </c>
      <c r="CU260" s="549">
        <f t="shared" ref="CU260:DA260" si="1026">CU258+CU259</f>
        <v>953.01806470678071</v>
      </c>
      <c r="CV260" s="111">
        <f t="shared" si="1026"/>
        <v>816.87262689152635</v>
      </c>
      <c r="CW260" s="549">
        <f t="shared" si="1026"/>
        <v>953.01806470678071</v>
      </c>
      <c r="CX260" s="682">
        <f t="shared" si="1026"/>
        <v>1361.4543781525438</v>
      </c>
      <c r="CY260" s="549">
        <f>CY258+CY259</f>
        <v>1769.8906915983071</v>
      </c>
      <c r="CZ260" s="111">
        <f t="shared" ref="CZ260" si="1027">CZ258+CZ259</f>
        <v>2314.4724428593245</v>
      </c>
      <c r="DA260" s="340">
        <f t="shared" si="1026"/>
        <v>4084.3631344576315</v>
      </c>
      <c r="DB260" s="549">
        <f t="shared" ref="DB260:DC260" si="1028">DB258+DB259</f>
        <v>558.19629504254294</v>
      </c>
      <c r="DC260" s="111">
        <f t="shared" si="1028"/>
        <v>976.84351632445009</v>
      </c>
      <c r="DD260" s="111">
        <f t="shared" ref="DD260:EQ260" si="1029">DD258+DD259</f>
        <v>1116.3925900850859</v>
      </c>
      <c r="DE260" s="682">
        <f t="shared" si="1029"/>
        <v>2076.0514195260566</v>
      </c>
      <c r="DF260" s="549">
        <f>DF258+DF259</f>
        <v>1535.039811366993</v>
      </c>
      <c r="DG260" s="111">
        <f t="shared" si="1029"/>
        <v>3192.4440096111425</v>
      </c>
      <c r="DH260" s="340">
        <f t="shared" si="1029"/>
        <v>4727.4838209781365</v>
      </c>
      <c r="DI260" s="111">
        <f t="shared" si="1029"/>
        <v>429.11340181395485</v>
      </c>
      <c r="DJ260" s="111">
        <f t="shared" si="1029"/>
        <v>858.2268036279097</v>
      </c>
      <c r="DK260" s="401">
        <f t="shared" si="1029"/>
        <v>1126.6881007816469</v>
      </c>
      <c r="DL260" s="431">
        <f t="shared" si="1029"/>
        <v>2235.7618975077276</v>
      </c>
      <c r="DM260" s="111">
        <f t="shared" si="1029"/>
        <v>1287.3402054418646</v>
      </c>
      <c r="DN260" s="401">
        <f t="shared" si="1029"/>
        <v>3362.449998289374</v>
      </c>
      <c r="DO260" s="400">
        <f t="shared" si="1029"/>
        <v>4649.7902037312388</v>
      </c>
      <c r="DP260" s="401">
        <f t="shared" si="1029"/>
        <v>1191.5087397061297</v>
      </c>
      <c r="DQ260" s="401">
        <f t="shared" si="1029"/>
        <v>1191.5087397061297</v>
      </c>
      <c r="DR260" s="401">
        <f t="shared" si="1029"/>
        <v>1191.5087397061297</v>
      </c>
      <c r="DS260" s="431">
        <f t="shared" si="1029"/>
        <v>1191.5087397061297</v>
      </c>
      <c r="DT260" s="401">
        <f t="shared" si="1029"/>
        <v>2383.0174794122595</v>
      </c>
      <c r="DU260" s="401">
        <f t="shared" si="1029"/>
        <v>2383.0174794122595</v>
      </c>
      <c r="DV260" s="400">
        <f t="shared" si="1029"/>
        <v>4766.034958824519</v>
      </c>
      <c r="DW260" s="401">
        <f t="shared" si="1029"/>
        <v>1221.2964581987831</v>
      </c>
      <c r="DX260" s="401">
        <f t="shared" si="1029"/>
        <v>1221.2964581987831</v>
      </c>
      <c r="DY260" s="401">
        <f t="shared" si="1029"/>
        <v>1221.2964581987831</v>
      </c>
      <c r="DZ260" s="431">
        <f t="shared" si="1029"/>
        <v>1221.2964581987831</v>
      </c>
      <c r="EA260" s="401">
        <f t="shared" si="1029"/>
        <v>2442.5929163975661</v>
      </c>
      <c r="EB260" s="401">
        <f t="shared" si="1029"/>
        <v>2442.5929163975661</v>
      </c>
      <c r="EC260" s="400">
        <f t="shared" si="1029"/>
        <v>4885.1858327951322</v>
      </c>
      <c r="ED260" s="401">
        <f t="shared" si="1029"/>
        <v>1251.8288696537525</v>
      </c>
      <c r="EE260" s="401">
        <f t="shared" si="1029"/>
        <v>1251.8288696537525</v>
      </c>
      <c r="EF260" s="401">
        <f t="shared" si="1029"/>
        <v>1251.8288696537525</v>
      </c>
      <c r="EG260" s="431">
        <f t="shared" si="1029"/>
        <v>1251.8288696537525</v>
      </c>
      <c r="EH260" s="401">
        <f t="shared" si="1029"/>
        <v>2503.6577393075049</v>
      </c>
      <c r="EI260" s="401">
        <f t="shared" si="1029"/>
        <v>2503.6577393075049</v>
      </c>
      <c r="EJ260" s="400">
        <f t="shared" si="1029"/>
        <v>5007.3154786150099</v>
      </c>
      <c r="EK260" s="401">
        <f t="shared" si="1029"/>
        <v>1500.2191726069327</v>
      </c>
      <c r="EL260" s="401">
        <f t="shared" si="1029"/>
        <v>1500.2191726069327</v>
      </c>
      <c r="EM260" s="401">
        <f t="shared" si="1029"/>
        <v>1500.2191726069327</v>
      </c>
      <c r="EN260" s="431">
        <f t="shared" si="1029"/>
        <v>1500.2191726069327</v>
      </c>
      <c r="EO260" s="401">
        <f t="shared" si="1029"/>
        <v>3000.4383452138654</v>
      </c>
      <c r="EP260" s="401">
        <f t="shared" si="1029"/>
        <v>3000.4383452138654</v>
      </c>
      <c r="EQ260" s="400">
        <f t="shared" si="1029"/>
        <v>6000.8766904277309</v>
      </c>
    </row>
    <row r="261" spans="1:147" ht="10.199999999999999" hidden="1" customHeight="1" outlineLevel="1">
      <c r="A261" s="608" t="str">
        <f>A233</f>
        <v>A340-300</v>
      </c>
      <c r="B261" s="64"/>
      <c r="C261" s="632">
        <f t="shared" ref="C261:N261" si="1030">C501*C131</f>
        <v>2524.6768634763062</v>
      </c>
      <c r="D261" s="632">
        <f t="shared" si="1030"/>
        <v>969.10868984930494</v>
      </c>
      <c r="E261" s="632">
        <f t="shared" si="1030"/>
        <v>1182.2660098522167</v>
      </c>
      <c r="F261" s="632">
        <f t="shared" si="1030"/>
        <v>953.6</v>
      </c>
      <c r="G261" s="632">
        <f t="shared" si="1030"/>
        <v>863.96799999999985</v>
      </c>
      <c r="H261" s="632">
        <f t="shared" si="1030"/>
        <v>623.28612499999986</v>
      </c>
      <c r="I261" s="632">
        <f t="shared" si="1030"/>
        <v>233.81368464999991</v>
      </c>
      <c r="J261" s="632">
        <f t="shared" si="1030"/>
        <v>231.37725403624989</v>
      </c>
      <c r="K261" s="632">
        <f t="shared" si="1030"/>
        <v>0</v>
      </c>
      <c r="L261" s="632">
        <f t="shared" si="1030"/>
        <v>0</v>
      </c>
      <c r="M261" s="632">
        <f t="shared" si="1030"/>
        <v>0</v>
      </c>
      <c r="N261" s="1751">
        <f t="shared" si="1030"/>
        <v>0</v>
      </c>
      <c r="O261" s="593"/>
      <c r="P261" s="176"/>
      <c r="Q261" s="593"/>
      <c r="R261" s="709"/>
      <c r="S261" s="593"/>
      <c r="T261" s="176"/>
      <c r="U261" s="352">
        <f>U501*U131</f>
        <v>0</v>
      </c>
      <c r="V261" s="593"/>
      <c r="W261" s="176"/>
      <c r="X261" s="593"/>
      <c r="Y261" s="709"/>
      <c r="Z261" s="593"/>
      <c r="AA261" s="176"/>
      <c r="AB261" s="352">
        <f>AB501*AB131</f>
        <v>0</v>
      </c>
      <c r="AC261" s="593"/>
      <c r="AD261" s="176"/>
      <c r="AE261" s="593"/>
      <c r="AF261" s="709"/>
      <c r="AG261" s="593"/>
      <c r="AH261" s="176"/>
      <c r="AI261" s="352">
        <f>AI501*AI131</f>
        <v>0</v>
      </c>
      <c r="AJ261" s="593"/>
      <c r="AK261" s="176"/>
      <c r="AL261" s="593"/>
      <c r="AM261" s="709"/>
      <c r="AN261" s="593"/>
      <c r="AO261" s="176"/>
      <c r="AP261" s="352">
        <f>AP501*AP131</f>
        <v>0</v>
      </c>
      <c r="AQ261" s="593"/>
      <c r="AR261" s="176"/>
      <c r="AS261" s="593"/>
      <c r="AT261" s="709"/>
      <c r="AU261" s="593"/>
      <c r="AV261" s="176"/>
      <c r="AW261" s="352">
        <f>AW501*AW131</f>
        <v>0</v>
      </c>
      <c r="AX261" s="593"/>
      <c r="AY261" s="176"/>
      <c r="AZ261" s="593"/>
      <c r="BA261" s="709"/>
      <c r="BB261" s="593"/>
      <c r="BC261" s="176"/>
      <c r="BD261" s="352">
        <f>BD501*BD131</f>
        <v>0</v>
      </c>
      <c r="BE261" s="593"/>
      <c r="BF261" s="176"/>
      <c r="BG261" s="593"/>
      <c r="BH261" s="709"/>
      <c r="BI261" s="593"/>
      <c r="BJ261" s="176"/>
      <c r="BK261" s="352">
        <f>BK501*BK131</f>
        <v>0</v>
      </c>
      <c r="BL261" s="593"/>
      <c r="BM261" s="176"/>
      <c r="BN261" s="593"/>
      <c r="BO261" s="709"/>
      <c r="BP261" s="593"/>
      <c r="BQ261" s="176"/>
      <c r="BR261" s="352">
        <f>BR501*BR131</f>
        <v>0</v>
      </c>
      <c r="BS261" s="593"/>
      <c r="BT261" s="176"/>
      <c r="BU261" s="593"/>
      <c r="BV261" s="709"/>
      <c r="BW261" s="593"/>
      <c r="BX261" s="176"/>
      <c r="BY261" s="352">
        <f>BY501*BY131</f>
        <v>0</v>
      </c>
      <c r="BZ261" s="593"/>
      <c r="CA261" s="176"/>
      <c r="CB261" s="593"/>
      <c r="CC261" s="709"/>
      <c r="CD261" s="593"/>
      <c r="CE261" s="176"/>
      <c r="CF261" s="352">
        <f>CF501*CF131</f>
        <v>0</v>
      </c>
      <c r="CG261" s="593"/>
      <c r="CH261" s="176"/>
      <c r="CI261" s="593"/>
      <c r="CJ261" s="709"/>
      <c r="CK261" s="593"/>
      <c r="CL261" s="176"/>
      <c r="CM261" s="352">
        <f t="shared" ref="CM261:DR261" si="1031">CM501*CM131</f>
        <v>0</v>
      </c>
      <c r="CN261" s="593">
        <f t="shared" si="1031"/>
        <v>0</v>
      </c>
      <c r="CO261" s="176">
        <f t="shared" si="1031"/>
        <v>0</v>
      </c>
      <c r="CP261" s="593">
        <f t="shared" si="1031"/>
        <v>0</v>
      </c>
      <c r="CQ261" s="709">
        <f t="shared" si="1031"/>
        <v>0</v>
      </c>
      <c r="CR261" s="593">
        <f t="shared" si="1031"/>
        <v>0</v>
      </c>
      <c r="CS261" s="176">
        <f t="shared" si="1031"/>
        <v>0</v>
      </c>
      <c r="CT261" s="352">
        <f t="shared" si="1031"/>
        <v>0</v>
      </c>
      <c r="CU261" s="593">
        <f t="shared" si="1031"/>
        <v>0</v>
      </c>
      <c r="CV261" s="176">
        <f t="shared" si="1031"/>
        <v>0</v>
      </c>
      <c r="CW261" s="593">
        <f t="shared" si="1031"/>
        <v>0</v>
      </c>
      <c r="CX261" s="709">
        <f t="shared" ref="CX261" si="1032">CX501*CX131</f>
        <v>0</v>
      </c>
      <c r="CY261" s="593">
        <f t="shared" si="1031"/>
        <v>0</v>
      </c>
      <c r="CZ261" s="176">
        <f t="shared" ref="CZ261" si="1033">CZ501*CZ131</f>
        <v>0</v>
      </c>
      <c r="DA261" s="352">
        <f t="shared" ref="DA261:DC261" si="1034">DA501*DA131</f>
        <v>0</v>
      </c>
      <c r="DB261" s="593">
        <f t="shared" si="1034"/>
        <v>0</v>
      </c>
      <c r="DC261" s="176">
        <f t="shared" si="1034"/>
        <v>0</v>
      </c>
      <c r="DD261" s="176">
        <f t="shared" si="1031"/>
        <v>0</v>
      </c>
      <c r="DE261" s="709">
        <f t="shared" si="1031"/>
        <v>0</v>
      </c>
      <c r="DF261" s="593">
        <f t="shared" ref="DF261" si="1035">DF501*DF131</f>
        <v>0</v>
      </c>
      <c r="DG261" s="176">
        <f t="shared" si="1031"/>
        <v>0</v>
      </c>
      <c r="DH261" s="352">
        <f t="shared" si="1031"/>
        <v>0</v>
      </c>
      <c r="DI261" s="176">
        <f t="shared" si="1031"/>
        <v>0</v>
      </c>
      <c r="DJ261" s="176">
        <f t="shared" si="1031"/>
        <v>0</v>
      </c>
      <c r="DK261" s="324">
        <f t="shared" si="1031"/>
        <v>0</v>
      </c>
      <c r="DL261" s="445">
        <f t="shared" si="1031"/>
        <v>0</v>
      </c>
      <c r="DM261" s="176">
        <f t="shared" si="1031"/>
        <v>0</v>
      </c>
      <c r="DN261" s="324">
        <f t="shared" si="1031"/>
        <v>0</v>
      </c>
      <c r="DO261" s="352">
        <f t="shared" si="1031"/>
        <v>0</v>
      </c>
      <c r="DP261" s="324">
        <f t="shared" si="1031"/>
        <v>0</v>
      </c>
      <c r="DQ261" s="324">
        <f t="shared" si="1031"/>
        <v>0</v>
      </c>
      <c r="DR261" s="324">
        <f t="shared" si="1031"/>
        <v>0</v>
      </c>
      <c r="DS261" s="445">
        <f t="shared" ref="DS261:EQ261" si="1036">DS501*DS131</f>
        <v>0</v>
      </c>
      <c r="DT261" s="324">
        <f t="shared" si="1036"/>
        <v>0</v>
      </c>
      <c r="DU261" s="324">
        <f t="shared" si="1036"/>
        <v>0</v>
      </c>
      <c r="DV261" s="352">
        <f t="shared" si="1036"/>
        <v>0</v>
      </c>
      <c r="DW261" s="324">
        <f t="shared" si="1036"/>
        <v>0</v>
      </c>
      <c r="DX261" s="324">
        <f t="shared" si="1036"/>
        <v>0</v>
      </c>
      <c r="DY261" s="324">
        <f t="shared" si="1036"/>
        <v>0</v>
      </c>
      <c r="DZ261" s="445">
        <f t="shared" si="1036"/>
        <v>0</v>
      </c>
      <c r="EA261" s="324">
        <f t="shared" si="1036"/>
        <v>0</v>
      </c>
      <c r="EB261" s="324">
        <f t="shared" si="1036"/>
        <v>0</v>
      </c>
      <c r="EC261" s="352">
        <f t="shared" si="1036"/>
        <v>0</v>
      </c>
      <c r="ED261" s="324">
        <f t="shared" si="1036"/>
        <v>0</v>
      </c>
      <c r="EE261" s="324">
        <f t="shared" si="1036"/>
        <v>0</v>
      </c>
      <c r="EF261" s="324">
        <f t="shared" si="1036"/>
        <v>0</v>
      </c>
      <c r="EG261" s="445">
        <f t="shared" si="1036"/>
        <v>0</v>
      </c>
      <c r="EH261" s="324">
        <f t="shared" si="1036"/>
        <v>0</v>
      </c>
      <c r="EI261" s="324">
        <f t="shared" si="1036"/>
        <v>0</v>
      </c>
      <c r="EJ261" s="352">
        <f t="shared" si="1036"/>
        <v>0</v>
      </c>
      <c r="EK261" s="324">
        <f t="shared" si="1036"/>
        <v>0</v>
      </c>
      <c r="EL261" s="324">
        <f t="shared" si="1036"/>
        <v>0</v>
      </c>
      <c r="EM261" s="324">
        <f t="shared" si="1036"/>
        <v>0</v>
      </c>
      <c r="EN261" s="445">
        <f t="shared" si="1036"/>
        <v>0</v>
      </c>
      <c r="EO261" s="324">
        <f t="shared" si="1036"/>
        <v>0</v>
      </c>
      <c r="EP261" s="324">
        <f t="shared" si="1036"/>
        <v>0</v>
      </c>
      <c r="EQ261" s="352">
        <f t="shared" si="1036"/>
        <v>0</v>
      </c>
    </row>
    <row r="262" spans="1:147" ht="10.199999999999999" hidden="1" customHeight="1" outlineLevel="1">
      <c r="A262" s="608" t="str">
        <f>A234</f>
        <v>A340-500</v>
      </c>
      <c r="B262" s="64"/>
      <c r="C262" s="632">
        <f t="shared" ref="C262:N262" si="1037">C502*C132</f>
        <v>0</v>
      </c>
      <c r="D262" s="632">
        <f t="shared" si="1037"/>
        <v>0</v>
      </c>
      <c r="E262" s="632">
        <f t="shared" si="1037"/>
        <v>931.03448275862081</v>
      </c>
      <c r="F262" s="632">
        <f t="shared" si="1037"/>
        <v>1206.8999999999999</v>
      </c>
      <c r="G262" s="632">
        <f t="shared" si="1037"/>
        <v>555.40800000000002</v>
      </c>
      <c r="H262" s="632">
        <f t="shared" si="1037"/>
        <v>560.95751249999989</v>
      </c>
      <c r="I262" s="632">
        <f t="shared" si="1037"/>
        <v>394.5605928468749</v>
      </c>
      <c r="J262" s="632">
        <f t="shared" si="1037"/>
        <v>390.44911618617164</v>
      </c>
      <c r="K262" s="632">
        <f t="shared" si="1037"/>
        <v>263.71912415089486</v>
      </c>
      <c r="L262" s="632">
        <f t="shared" si="1037"/>
        <v>326.04000000000002</v>
      </c>
      <c r="M262" s="632">
        <f t="shared" si="1037"/>
        <v>0</v>
      </c>
      <c r="N262" s="1751">
        <f t="shared" si="1037"/>
        <v>0</v>
      </c>
      <c r="O262" s="593"/>
      <c r="P262" s="176"/>
      <c r="Q262" s="593"/>
      <c r="R262" s="709"/>
      <c r="S262" s="593"/>
      <c r="T262" s="176"/>
      <c r="U262" s="352">
        <f>U502*U132</f>
        <v>0</v>
      </c>
      <c r="V262" s="593"/>
      <c r="W262" s="176"/>
      <c r="X262" s="593"/>
      <c r="Y262" s="709"/>
      <c r="Z262" s="593"/>
      <c r="AA262" s="176"/>
      <c r="AB262" s="352">
        <f>AB502*AB132</f>
        <v>0</v>
      </c>
      <c r="AC262" s="593"/>
      <c r="AD262" s="176"/>
      <c r="AE262" s="593"/>
      <c r="AF262" s="709"/>
      <c r="AG262" s="593"/>
      <c r="AH262" s="176"/>
      <c r="AI262" s="352">
        <f>AI502*AI132</f>
        <v>0</v>
      </c>
      <c r="AJ262" s="593"/>
      <c r="AK262" s="176"/>
      <c r="AL262" s="593"/>
      <c r="AM262" s="709"/>
      <c r="AN262" s="593"/>
      <c r="AO262" s="176"/>
      <c r="AP262" s="352">
        <f>AP502*AP132</f>
        <v>0</v>
      </c>
      <c r="AQ262" s="593"/>
      <c r="AR262" s="176"/>
      <c r="AS262" s="593"/>
      <c r="AT262" s="709"/>
      <c r="AU262" s="593"/>
      <c r="AV262" s="176"/>
      <c r="AW262" s="352">
        <f>AW502*AW132</f>
        <v>0</v>
      </c>
      <c r="AX262" s="593"/>
      <c r="AY262" s="176"/>
      <c r="AZ262" s="593"/>
      <c r="BA262" s="709"/>
      <c r="BB262" s="593"/>
      <c r="BC262" s="176"/>
      <c r="BD262" s="352">
        <f>BD502*BD132</f>
        <v>0</v>
      </c>
      <c r="BE262" s="593"/>
      <c r="BF262" s="176"/>
      <c r="BG262" s="593"/>
      <c r="BH262" s="709"/>
      <c r="BI262" s="593"/>
      <c r="BJ262" s="176"/>
      <c r="BK262" s="352">
        <f>BK502*BK132</f>
        <v>0</v>
      </c>
      <c r="BL262" s="593"/>
      <c r="BM262" s="176"/>
      <c r="BN262" s="593"/>
      <c r="BO262" s="709"/>
      <c r="BP262" s="593"/>
      <c r="BQ262" s="176"/>
      <c r="BR262" s="352">
        <f>BR502*BR132</f>
        <v>0</v>
      </c>
      <c r="BS262" s="593"/>
      <c r="BT262" s="176"/>
      <c r="BU262" s="593"/>
      <c r="BV262" s="709"/>
      <c r="BW262" s="593"/>
      <c r="BX262" s="176"/>
      <c r="BY262" s="352">
        <f>BY502*BY132</f>
        <v>0</v>
      </c>
      <c r="BZ262" s="593"/>
      <c r="CA262" s="176"/>
      <c r="CB262" s="593"/>
      <c r="CC262" s="709"/>
      <c r="CD262" s="593"/>
      <c r="CE262" s="176"/>
      <c r="CF262" s="352">
        <f>CF502*CF132</f>
        <v>0</v>
      </c>
      <c r="CG262" s="593"/>
      <c r="CH262" s="176"/>
      <c r="CI262" s="593"/>
      <c r="CJ262" s="709"/>
      <c r="CK262" s="593"/>
      <c r="CL262" s="176"/>
      <c r="CM262" s="352">
        <f t="shared" ref="CM262:DR262" si="1038">CM502*CM132</f>
        <v>0</v>
      </c>
      <c r="CN262" s="593">
        <f t="shared" si="1038"/>
        <v>0</v>
      </c>
      <c r="CO262" s="176">
        <f t="shared" si="1038"/>
        <v>0</v>
      </c>
      <c r="CP262" s="593">
        <f t="shared" si="1038"/>
        <v>0</v>
      </c>
      <c r="CQ262" s="709">
        <f t="shared" si="1038"/>
        <v>0</v>
      </c>
      <c r="CR262" s="593">
        <f t="shared" si="1038"/>
        <v>0</v>
      </c>
      <c r="CS262" s="176">
        <f t="shared" si="1038"/>
        <v>0</v>
      </c>
      <c r="CT262" s="352">
        <f t="shared" si="1038"/>
        <v>0</v>
      </c>
      <c r="CU262" s="593">
        <f t="shared" si="1038"/>
        <v>0</v>
      </c>
      <c r="CV262" s="176">
        <f t="shared" si="1038"/>
        <v>0</v>
      </c>
      <c r="CW262" s="593">
        <f t="shared" si="1038"/>
        <v>0</v>
      </c>
      <c r="CX262" s="709">
        <f t="shared" ref="CX262" si="1039">CX502*CX132</f>
        <v>0</v>
      </c>
      <c r="CY262" s="593">
        <f t="shared" si="1038"/>
        <v>0</v>
      </c>
      <c r="CZ262" s="176">
        <f t="shared" ref="CZ262" si="1040">CZ502*CZ132</f>
        <v>0</v>
      </c>
      <c r="DA262" s="352">
        <f t="shared" ref="DA262:DC262" si="1041">DA502*DA132</f>
        <v>0</v>
      </c>
      <c r="DB262" s="593">
        <f t="shared" si="1041"/>
        <v>0</v>
      </c>
      <c r="DC262" s="176">
        <f t="shared" si="1041"/>
        <v>0</v>
      </c>
      <c r="DD262" s="176">
        <f t="shared" si="1038"/>
        <v>0</v>
      </c>
      <c r="DE262" s="709">
        <f t="shared" si="1038"/>
        <v>0</v>
      </c>
      <c r="DF262" s="593">
        <f t="shared" ref="DF262" si="1042">DF502*DF132</f>
        <v>0</v>
      </c>
      <c r="DG262" s="176">
        <f t="shared" si="1038"/>
        <v>0</v>
      </c>
      <c r="DH262" s="352">
        <f t="shared" si="1038"/>
        <v>0</v>
      </c>
      <c r="DI262" s="176">
        <f t="shared" si="1038"/>
        <v>0</v>
      </c>
      <c r="DJ262" s="176">
        <f t="shared" si="1038"/>
        <v>0</v>
      </c>
      <c r="DK262" s="324">
        <f t="shared" si="1038"/>
        <v>0</v>
      </c>
      <c r="DL262" s="445">
        <f t="shared" si="1038"/>
        <v>0</v>
      </c>
      <c r="DM262" s="176">
        <f t="shared" si="1038"/>
        <v>0</v>
      </c>
      <c r="DN262" s="324">
        <f t="shared" si="1038"/>
        <v>0</v>
      </c>
      <c r="DO262" s="389">
        <f t="shared" si="1038"/>
        <v>0</v>
      </c>
      <c r="DP262" s="324">
        <f t="shared" si="1038"/>
        <v>0</v>
      </c>
      <c r="DQ262" s="324">
        <f t="shared" si="1038"/>
        <v>0</v>
      </c>
      <c r="DR262" s="324">
        <f t="shared" si="1038"/>
        <v>0</v>
      </c>
      <c r="DS262" s="445">
        <f t="shared" ref="DS262:EQ262" si="1043">DS502*DS132</f>
        <v>0</v>
      </c>
      <c r="DT262" s="324">
        <f t="shared" si="1043"/>
        <v>0</v>
      </c>
      <c r="DU262" s="324">
        <f t="shared" si="1043"/>
        <v>0</v>
      </c>
      <c r="DV262" s="389">
        <f t="shared" si="1043"/>
        <v>0</v>
      </c>
      <c r="DW262" s="324">
        <f t="shared" si="1043"/>
        <v>0</v>
      </c>
      <c r="DX262" s="324">
        <f t="shared" si="1043"/>
        <v>0</v>
      </c>
      <c r="DY262" s="324">
        <f t="shared" si="1043"/>
        <v>0</v>
      </c>
      <c r="DZ262" s="445">
        <f t="shared" si="1043"/>
        <v>0</v>
      </c>
      <c r="EA262" s="324">
        <f t="shared" si="1043"/>
        <v>0</v>
      </c>
      <c r="EB262" s="324">
        <f t="shared" si="1043"/>
        <v>0</v>
      </c>
      <c r="EC262" s="389">
        <f t="shared" si="1043"/>
        <v>0</v>
      </c>
      <c r="ED262" s="324">
        <f t="shared" si="1043"/>
        <v>0</v>
      </c>
      <c r="EE262" s="324">
        <f t="shared" si="1043"/>
        <v>0</v>
      </c>
      <c r="EF262" s="324">
        <f t="shared" si="1043"/>
        <v>0</v>
      </c>
      <c r="EG262" s="445">
        <f t="shared" si="1043"/>
        <v>0</v>
      </c>
      <c r="EH262" s="324">
        <f t="shared" si="1043"/>
        <v>0</v>
      </c>
      <c r="EI262" s="324">
        <f t="shared" si="1043"/>
        <v>0</v>
      </c>
      <c r="EJ262" s="389">
        <f t="shared" si="1043"/>
        <v>0</v>
      </c>
      <c r="EK262" s="324">
        <f t="shared" si="1043"/>
        <v>0</v>
      </c>
      <c r="EL262" s="324">
        <f t="shared" si="1043"/>
        <v>0</v>
      </c>
      <c r="EM262" s="324">
        <f t="shared" si="1043"/>
        <v>0</v>
      </c>
      <c r="EN262" s="445">
        <f t="shared" si="1043"/>
        <v>0</v>
      </c>
      <c r="EO262" s="324">
        <f t="shared" si="1043"/>
        <v>0</v>
      </c>
      <c r="EP262" s="324">
        <f t="shared" si="1043"/>
        <v>0</v>
      </c>
      <c r="EQ262" s="389">
        <f t="shared" si="1043"/>
        <v>0</v>
      </c>
    </row>
    <row r="263" spans="1:147" ht="10.199999999999999" hidden="1" customHeight="1" outlineLevel="1">
      <c r="A263" s="608" t="str">
        <f>A235</f>
        <v>A340-600</v>
      </c>
      <c r="B263" s="64"/>
      <c r="C263" s="632">
        <f t="shared" ref="C263:N263" si="1044">C503*C133</f>
        <v>0</v>
      </c>
      <c r="D263" s="632">
        <f t="shared" si="1044"/>
        <v>1150.8165691960496</v>
      </c>
      <c r="E263" s="632">
        <f t="shared" si="1044"/>
        <v>2246.305418719212</v>
      </c>
      <c r="F263" s="632">
        <f t="shared" si="1044"/>
        <v>1557.0500000000002</v>
      </c>
      <c r="G263" s="632">
        <f t="shared" si="1044"/>
        <v>1905.3579999999999</v>
      </c>
      <c r="H263" s="632">
        <f t="shared" si="1044"/>
        <v>2220.4568203124995</v>
      </c>
      <c r="I263" s="632">
        <f t="shared" si="1044"/>
        <v>832.96125156562482</v>
      </c>
      <c r="J263" s="632">
        <f t="shared" si="1044"/>
        <v>1099.0419566721873</v>
      </c>
      <c r="K263" s="632">
        <f t="shared" si="1044"/>
        <v>1113.4807464148894</v>
      </c>
      <c r="L263" s="632">
        <f t="shared" si="1044"/>
        <v>342.94000000000005</v>
      </c>
      <c r="M263" s="632">
        <f t="shared" si="1044"/>
        <v>0</v>
      </c>
      <c r="N263" s="1751">
        <f t="shared" si="1044"/>
        <v>266.86259999999993</v>
      </c>
      <c r="O263" s="593"/>
      <c r="P263" s="176"/>
      <c r="Q263" s="593"/>
      <c r="R263" s="709"/>
      <c r="S263" s="593"/>
      <c r="T263" s="176"/>
      <c r="U263" s="352">
        <f>U503*U133</f>
        <v>0</v>
      </c>
      <c r="V263" s="593"/>
      <c r="W263" s="176"/>
      <c r="X263" s="593"/>
      <c r="Y263" s="709"/>
      <c r="Z263" s="593"/>
      <c r="AA263" s="176"/>
      <c r="AB263" s="352">
        <f>AB503*AB133</f>
        <v>0</v>
      </c>
      <c r="AC263" s="593"/>
      <c r="AD263" s="176"/>
      <c r="AE263" s="593"/>
      <c r="AF263" s="709"/>
      <c r="AG263" s="593"/>
      <c r="AH263" s="176"/>
      <c r="AI263" s="352">
        <f>AI503*AI133</f>
        <v>0</v>
      </c>
      <c r="AJ263" s="593"/>
      <c r="AK263" s="176"/>
      <c r="AL263" s="593"/>
      <c r="AM263" s="709"/>
      <c r="AN263" s="593"/>
      <c r="AO263" s="176"/>
      <c r="AP263" s="352">
        <f>AP503*AP133</f>
        <v>0</v>
      </c>
      <c r="AQ263" s="593"/>
      <c r="AR263" s="176"/>
      <c r="AS263" s="593"/>
      <c r="AT263" s="709"/>
      <c r="AU263" s="593"/>
      <c r="AV263" s="176"/>
      <c r="AW263" s="352">
        <f>AW503*AW133</f>
        <v>0</v>
      </c>
      <c r="AX263" s="593"/>
      <c r="AY263" s="176"/>
      <c r="AZ263" s="593"/>
      <c r="BA263" s="709"/>
      <c r="BB263" s="593"/>
      <c r="BC263" s="176"/>
      <c r="BD263" s="352">
        <f>BD503*BD133</f>
        <v>0</v>
      </c>
      <c r="BE263" s="593"/>
      <c r="BF263" s="176"/>
      <c r="BG263" s="593"/>
      <c r="BH263" s="709"/>
      <c r="BI263" s="593"/>
      <c r="BJ263" s="176"/>
      <c r="BK263" s="352">
        <f>BK503*BK133</f>
        <v>0</v>
      </c>
      <c r="BL263" s="593"/>
      <c r="BM263" s="176"/>
      <c r="BN263" s="593"/>
      <c r="BO263" s="709"/>
      <c r="BP263" s="593"/>
      <c r="BQ263" s="176"/>
      <c r="BR263" s="352">
        <f>BR503*BR133</f>
        <v>0</v>
      </c>
      <c r="BS263" s="593"/>
      <c r="BT263" s="176"/>
      <c r="BU263" s="593"/>
      <c r="BV263" s="709"/>
      <c r="BW263" s="593"/>
      <c r="BX263" s="176"/>
      <c r="BY263" s="352">
        <f>BY503*BY133</f>
        <v>0</v>
      </c>
      <c r="BZ263" s="593"/>
      <c r="CA263" s="176"/>
      <c r="CB263" s="593"/>
      <c r="CC263" s="709"/>
      <c r="CD263" s="593"/>
      <c r="CE263" s="176"/>
      <c r="CF263" s="352">
        <f>CF503*CF133</f>
        <v>0</v>
      </c>
      <c r="CG263" s="593"/>
      <c r="CH263" s="176"/>
      <c r="CI263" s="593"/>
      <c r="CJ263" s="709"/>
      <c r="CK263" s="593"/>
      <c r="CL263" s="176"/>
      <c r="CM263" s="352">
        <f t="shared" ref="CM263:DR263" si="1045">CM503*CM133</f>
        <v>0</v>
      </c>
      <c r="CN263" s="593">
        <f t="shared" si="1045"/>
        <v>0</v>
      </c>
      <c r="CO263" s="176">
        <f t="shared" si="1045"/>
        <v>0</v>
      </c>
      <c r="CP263" s="593">
        <f t="shared" si="1045"/>
        <v>0</v>
      </c>
      <c r="CQ263" s="709">
        <f t="shared" si="1045"/>
        <v>0</v>
      </c>
      <c r="CR263" s="593">
        <f t="shared" si="1045"/>
        <v>0</v>
      </c>
      <c r="CS263" s="176">
        <f t="shared" si="1045"/>
        <v>0</v>
      </c>
      <c r="CT263" s="352">
        <f t="shared" si="1045"/>
        <v>0</v>
      </c>
      <c r="CU263" s="593">
        <f t="shared" si="1045"/>
        <v>0</v>
      </c>
      <c r="CV263" s="176">
        <f t="shared" si="1045"/>
        <v>0</v>
      </c>
      <c r="CW263" s="593">
        <f t="shared" si="1045"/>
        <v>0</v>
      </c>
      <c r="CX263" s="709">
        <f t="shared" ref="CX263" si="1046">CX503*CX133</f>
        <v>0</v>
      </c>
      <c r="CY263" s="593">
        <f t="shared" si="1045"/>
        <v>0</v>
      </c>
      <c r="CZ263" s="176">
        <f t="shared" ref="CZ263" si="1047">CZ503*CZ133</f>
        <v>0</v>
      </c>
      <c r="DA263" s="352">
        <f t="shared" ref="DA263:DC263" si="1048">DA503*DA133</f>
        <v>0</v>
      </c>
      <c r="DB263" s="593">
        <f t="shared" si="1048"/>
        <v>0</v>
      </c>
      <c r="DC263" s="176">
        <f t="shared" si="1048"/>
        <v>0</v>
      </c>
      <c r="DD263" s="176">
        <f t="shared" si="1045"/>
        <v>0</v>
      </c>
      <c r="DE263" s="709">
        <f t="shared" si="1045"/>
        <v>0</v>
      </c>
      <c r="DF263" s="593">
        <f t="shared" ref="DF263" si="1049">DF503*DF133</f>
        <v>0</v>
      </c>
      <c r="DG263" s="176">
        <f t="shared" si="1045"/>
        <v>0</v>
      </c>
      <c r="DH263" s="352">
        <f t="shared" si="1045"/>
        <v>0</v>
      </c>
      <c r="DI263" s="176">
        <f t="shared" si="1045"/>
        <v>0</v>
      </c>
      <c r="DJ263" s="176">
        <f t="shared" si="1045"/>
        <v>0</v>
      </c>
      <c r="DK263" s="324">
        <f t="shared" si="1045"/>
        <v>0</v>
      </c>
      <c r="DL263" s="445">
        <f t="shared" si="1045"/>
        <v>0</v>
      </c>
      <c r="DM263" s="176">
        <f t="shared" si="1045"/>
        <v>0</v>
      </c>
      <c r="DN263" s="324">
        <f t="shared" si="1045"/>
        <v>0</v>
      </c>
      <c r="DO263" s="389">
        <f t="shared" si="1045"/>
        <v>0</v>
      </c>
      <c r="DP263" s="324">
        <f t="shared" si="1045"/>
        <v>0</v>
      </c>
      <c r="DQ263" s="324">
        <f t="shared" si="1045"/>
        <v>0</v>
      </c>
      <c r="DR263" s="324">
        <f t="shared" si="1045"/>
        <v>0</v>
      </c>
      <c r="DS263" s="445">
        <f t="shared" ref="DS263:EQ263" si="1050">DS503*DS133</f>
        <v>0</v>
      </c>
      <c r="DT263" s="324">
        <f t="shared" si="1050"/>
        <v>0</v>
      </c>
      <c r="DU263" s="324">
        <f t="shared" si="1050"/>
        <v>0</v>
      </c>
      <c r="DV263" s="389">
        <f t="shared" si="1050"/>
        <v>0</v>
      </c>
      <c r="DW263" s="324">
        <f t="shared" si="1050"/>
        <v>0</v>
      </c>
      <c r="DX263" s="324">
        <f t="shared" si="1050"/>
        <v>0</v>
      </c>
      <c r="DY263" s="324">
        <f t="shared" si="1050"/>
        <v>0</v>
      </c>
      <c r="DZ263" s="445">
        <f t="shared" si="1050"/>
        <v>0</v>
      </c>
      <c r="EA263" s="324">
        <f t="shared" si="1050"/>
        <v>0</v>
      </c>
      <c r="EB263" s="324">
        <f t="shared" si="1050"/>
        <v>0</v>
      </c>
      <c r="EC263" s="389">
        <f t="shared" si="1050"/>
        <v>0</v>
      </c>
      <c r="ED263" s="324">
        <f t="shared" si="1050"/>
        <v>0</v>
      </c>
      <c r="EE263" s="324">
        <f t="shared" si="1050"/>
        <v>0</v>
      </c>
      <c r="EF263" s="324">
        <f t="shared" si="1050"/>
        <v>0</v>
      </c>
      <c r="EG263" s="445">
        <f t="shared" si="1050"/>
        <v>0</v>
      </c>
      <c r="EH263" s="324">
        <f t="shared" si="1050"/>
        <v>0</v>
      </c>
      <c r="EI263" s="324">
        <f t="shared" si="1050"/>
        <v>0</v>
      </c>
      <c r="EJ263" s="389">
        <f t="shared" si="1050"/>
        <v>0</v>
      </c>
      <c r="EK263" s="324">
        <f t="shared" si="1050"/>
        <v>0</v>
      </c>
      <c r="EL263" s="324">
        <f t="shared" si="1050"/>
        <v>0</v>
      </c>
      <c r="EM263" s="324">
        <f t="shared" si="1050"/>
        <v>0</v>
      </c>
      <c r="EN263" s="445">
        <f t="shared" si="1050"/>
        <v>0</v>
      </c>
      <c r="EO263" s="324">
        <f t="shared" si="1050"/>
        <v>0</v>
      </c>
      <c r="EP263" s="324">
        <f t="shared" si="1050"/>
        <v>0</v>
      </c>
      <c r="EQ263" s="389">
        <f t="shared" si="1050"/>
        <v>0</v>
      </c>
    </row>
    <row r="264" spans="1:147" ht="10.199999999999999" hidden="1" customHeight="1" outlineLevel="1">
      <c r="A264" s="48" t="s">
        <v>738</v>
      </c>
      <c r="B264" s="125"/>
      <c r="C264" s="665">
        <f t="shared" ref="C264:BD264" si="1051">C261+C262+C263</f>
        <v>2524.6768634763062</v>
      </c>
      <c r="D264" s="665">
        <f t="shared" si="1051"/>
        <v>2119.9252590453543</v>
      </c>
      <c r="E264" s="665">
        <f t="shared" si="1051"/>
        <v>4359.6059113300489</v>
      </c>
      <c r="F264" s="665">
        <f t="shared" si="1051"/>
        <v>3717.55</v>
      </c>
      <c r="G264" s="665">
        <f t="shared" si="1051"/>
        <v>3324.7339999999995</v>
      </c>
      <c r="H264" s="665">
        <f t="shared" si="1051"/>
        <v>3404.7004578124993</v>
      </c>
      <c r="I264" s="665">
        <f t="shared" si="1051"/>
        <v>1461.3355290624995</v>
      </c>
      <c r="J264" s="665">
        <f t="shared" si="1051"/>
        <v>1720.8683268946088</v>
      </c>
      <c r="K264" s="665">
        <f t="shared" si="1051"/>
        <v>1377.1998705657843</v>
      </c>
      <c r="L264" s="665">
        <f t="shared" si="1051"/>
        <v>668.98</v>
      </c>
      <c r="M264" s="665">
        <f t="shared" si="1051"/>
        <v>0</v>
      </c>
      <c r="N264" s="1752">
        <f t="shared" si="1051"/>
        <v>266.86259999999993</v>
      </c>
      <c r="O264" s="871"/>
      <c r="P264" s="123"/>
      <c r="Q264" s="871"/>
      <c r="R264" s="692"/>
      <c r="S264" s="871"/>
      <c r="T264" s="123"/>
      <c r="U264" s="345">
        <f t="shared" si="1051"/>
        <v>0</v>
      </c>
      <c r="V264" s="871"/>
      <c r="W264" s="123"/>
      <c r="X264" s="871"/>
      <c r="Y264" s="692"/>
      <c r="Z264" s="871"/>
      <c r="AA264" s="123"/>
      <c r="AB264" s="345">
        <f t="shared" si="1051"/>
        <v>0</v>
      </c>
      <c r="AC264" s="871"/>
      <c r="AD264" s="123"/>
      <c r="AE264" s="871"/>
      <c r="AF264" s="692"/>
      <c r="AG264" s="871"/>
      <c r="AH264" s="123"/>
      <c r="AI264" s="345">
        <f t="shared" si="1051"/>
        <v>0</v>
      </c>
      <c r="AJ264" s="871"/>
      <c r="AK264" s="123"/>
      <c r="AL264" s="871"/>
      <c r="AM264" s="692"/>
      <c r="AN264" s="871"/>
      <c r="AO264" s="123"/>
      <c r="AP264" s="345">
        <f t="shared" si="1051"/>
        <v>0</v>
      </c>
      <c r="AQ264" s="871"/>
      <c r="AR264" s="123"/>
      <c r="AS264" s="871"/>
      <c r="AT264" s="692"/>
      <c r="AU264" s="871"/>
      <c r="AV264" s="123"/>
      <c r="AW264" s="345">
        <f t="shared" si="1051"/>
        <v>0</v>
      </c>
      <c r="AX264" s="871"/>
      <c r="AY264" s="123"/>
      <c r="AZ264" s="871"/>
      <c r="BA264" s="692"/>
      <c r="BB264" s="871"/>
      <c r="BC264" s="123"/>
      <c r="BD264" s="345">
        <f t="shared" si="1051"/>
        <v>0</v>
      </c>
      <c r="BE264" s="871"/>
      <c r="BF264" s="123"/>
      <c r="BG264" s="871"/>
      <c r="BH264" s="692"/>
      <c r="BI264" s="871"/>
      <c r="BJ264" s="123"/>
      <c r="BK264" s="345">
        <f t="shared" ref="BK264:CN264" si="1052">BK261+BK262+BK263</f>
        <v>0</v>
      </c>
      <c r="BL264" s="871"/>
      <c r="BM264" s="123"/>
      <c r="BN264" s="871"/>
      <c r="BO264" s="692"/>
      <c r="BP264" s="871"/>
      <c r="BQ264" s="123"/>
      <c r="BR264" s="345">
        <f t="shared" si="1052"/>
        <v>0</v>
      </c>
      <c r="BS264" s="871"/>
      <c r="BT264" s="123"/>
      <c r="BU264" s="871"/>
      <c r="BV264" s="692"/>
      <c r="BW264" s="871"/>
      <c r="BX264" s="123"/>
      <c r="BY264" s="345">
        <f t="shared" si="1052"/>
        <v>0</v>
      </c>
      <c r="BZ264" s="871"/>
      <c r="CA264" s="123"/>
      <c r="CB264" s="871"/>
      <c r="CC264" s="692"/>
      <c r="CD264" s="871"/>
      <c r="CE264" s="123"/>
      <c r="CF264" s="345">
        <f t="shared" si="1052"/>
        <v>0</v>
      </c>
      <c r="CG264" s="871"/>
      <c r="CH264" s="123"/>
      <c r="CI264" s="871"/>
      <c r="CJ264" s="692"/>
      <c r="CK264" s="871"/>
      <c r="CL264" s="123"/>
      <c r="CM264" s="345">
        <f t="shared" si="1052"/>
        <v>0</v>
      </c>
      <c r="CN264" s="871">
        <f t="shared" si="1052"/>
        <v>0</v>
      </c>
      <c r="CO264" s="123">
        <f t="shared" ref="CO264:CT264" si="1053">CO261+CO262+CO263</f>
        <v>0</v>
      </c>
      <c r="CP264" s="871">
        <f t="shared" si="1053"/>
        <v>0</v>
      </c>
      <c r="CQ264" s="692">
        <f t="shared" si="1053"/>
        <v>0</v>
      </c>
      <c r="CR264" s="871">
        <f t="shared" si="1053"/>
        <v>0</v>
      </c>
      <c r="CS264" s="123">
        <f t="shared" si="1053"/>
        <v>0</v>
      </c>
      <c r="CT264" s="345">
        <f t="shared" si="1053"/>
        <v>0</v>
      </c>
      <c r="CU264" s="871">
        <f t="shared" ref="CU264:DA264" si="1054">CU261+CU262+CU263</f>
        <v>0</v>
      </c>
      <c r="CV264" s="123">
        <f t="shared" si="1054"/>
        <v>0</v>
      </c>
      <c r="CW264" s="871">
        <f t="shared" si="1054"/>
        <v>0</v>
      </c>
      <c r="CX264" s="692">
        <f t="shared" si="1054"/>
        <v>0</v>
      </c>
      <c r="CY264" s="871">
        <f t="shared" si="1054"/>
        <v>0</v>
      </c>
      <c r="CZ264" s="123">
        <f t="shared" si="1054"/>
        <v>0</v>
      </c>
      <c r="DA264" s="345">
        <f t="shared" si="1054"/>
        <v>0</v>
      </c>
      <c r="DB264" s="871">
        <f t="shared" ref="DB264:DC264" si="1055">DB261+DB262+DB263</f>
        <v>0</v>
      </c>
      <c r="DC264" s="123">
        <f t="shared" si="1055"/>
        <v>0</v>
      </c>
      <c r="DD264" s="123">
        <f t="shared" ref="DD264:EQ264" si="1056">DD261+DD262+DD263</f>
        <v>0</v>
      </c>
      <c r="DE264" s="692">
        <f t="shared" si="1056"/>
        <v>0</v>
      </c>
      <c r="DF264" s="871">
        <f t="shared" si="1056"/>
        <v>0</v>
      </c>
      <c r="DG264" s="123">
        <f t="shared" si="1056"/>
        <v>0</v>
      </c>
      <c r="DH264" s="345">
        <f t="shared" si="1056"/>
        <v>0</v>
      </c>
      <c r="DI264" s="123">
        <f t="shared" si="1056"/>
        <v>0</v>
      </c>
      <c r="DJ264" s="123">
        <f t="shared" si="1056"/>
        <v>0</v>
      </c>
      <c r="DK264" s="415">
        <f t="shared" si="1056"/>
        <v>0</v>
      </c>
      <c r="DL264" s="448">
        <f t="shared" si="1056"/>
        <v>0</v>
      </c>
      <c r="DM264" s="123">
        <f t="shared" si="1056"/>
        <v>0</v>
      </c>
      <c r="DN264" s="415">
        <f t="shared" si="1056"/>
        <v>0</v>
      </c>
      <c r="DO264" s="414">
        <f t="shared" si="1056"/>
        <v>0</v>
      </c>
      <c r="DP264" s="415">
        <f t="shared" si="1056"/>
        <v>0</v>
      </c>
      <c r="DQ264" s="415">
        <f t="shared" si="1056"/>
        <v>0</v>
      </c>
      <c r="DR264" s="415">
        <f t="shared" si="1056"/>
        <v>0</v>
      </c>
      <c r="DS264" s="448">
        <f t="shared" si="1056"/>
        <v>0</v>
      </c>
      <c r="DT264" s="415">
        <f t="shared" si="1056"/>
        <v>0</v>
      </c>
      <c r="DU264" s="415">
        <f t="shared" si="1056"/>
        <v>0</v>
      </c>
      <c r="DV264" s="414">
        <f t="shared" si="1056"/>
        <v>0</v>
      </c>
      <c r="DW264" s="415">
        <f t="shared" si="1056"/>
        <v>0</v>
      </c>
      <c r="DX264" s="415">
        <f t="shared" si="1056"/>
        <v>0</v>
      </c>
      <c r="DY264" s="415">
        <f t="shared" si="1056"/>
        <v>0</v>
      </c>
      <c r="DZ264" s="448">
        <f t="shared" si="1056"/>
        <v>0</v>
      </c>
      <c r="EA264" s="415">
        <f t="shared" si="1056"/>
        <v>0</v>
      </c>
      <c r="EB264" s="415">
        <f t="shared" si="1056"/>
        <v>0</v>
      </c>
      <c r="EC264" s="414">
        <f t="shared" si="1056"/>
        <v>0</v>
      </c>
      <c r="ED264" s="415">
        <f t="shared" si="1056"/>
        <v>0</v>
      </c>
      <c r="EE264" s="415">
        <f t="shared" si="1056"/>
        <v>0</v>
      </c>
      <c r="EF264" s="415">
        <f t="shared" si="1056"/>
        <v>0</v>
      </c>
      <c r="EG264" s="448">
        <f t="shared" si="1056"/>
        <v>0</v>
      </c>
      <c r="EH264" s="415">
        <f t="shared" si="1056"/>
        <v>0</v>
      </c>
      <c r="EI264" s="415">
        <f t="shared" si="1056"/>
        <v>0</v>
      </c>
      <c r="EJ264" s="414">
        <f t="shared" si="1056"/>
        <v>0</v>
      </c>
      <c r="EK264" s="415">
        <f t="shared" si="1056"/>
        <v>0</v>
      </c>
      <c r="EL264" s="415">
        <f t="shared" si="1056"/>
        <v>0</v>
      </c>
      <c r="EM264" s="415">
        <f t="shared" si="1056"/>
        <v>0</v>
      </c>
      <c r="EN264" s="448">
        <f t="shared" si="1056"/>
        <v>0</v>
      </c>
      <c r="EO264" s="415">
        <f t="shared" si="1056"/>
        <v>0</v>
      </c>
      <c r="EP264" s="415">
        <f t="shared" si="1056"/>
        <v>0</v>
      </c>
      <c r="EQ264" s="414">
        <f t="shared" si="1056"/>
        <v>0</v>
      </c>
    </row>
    <row r="265" spans="1:147" ht="10.199999999999999" customHeight="1" collapsed="1">
      <c r="A265" s="108" t="s">
        <v>371</v>
      </c>
      <c r="B265" s="95"/>
      <c r="C265" s="95"/>
      <c r="D265" s="95"/>
      <c r="E265" s="95"/>
      <c r="F265" s="95"/>
      <c r="G265" s="95"/>
      <c r="H265" s="67"/>
      <c r="I265" s="67"/>
      <c r="J265" s="67"/>
      <c r="K265" s="67"/>
      <c r="L265" s="67"/>
      <c r="M265" s="67"/>
      <c r="N265" s="67"/>
      <c r="O265" s="530"/>
      <c r="P265" s="197"/>
      <c r="Q265" s="530"/>
      <c r="R265" s="688"/>
      <c r="S265" s="530"/>
      <c r="T265" s="197"/>
      <c r="U265" s="339"/>
      <c r="V265" s="530"/>
      <c r="W265" s="197"/>
      <c r="X265" s="530"/>
      <c r="Y265" s="688"/>
      <c r="Z265" s="530"/>
      <c r="AA265" s="197"/>
      <c r="AB265" s="339">
        <f>AB236*AB136</f>
        <v>0</v>
      </c>
      <c r="AC265" s="530"/>
      <c r="AD265" s="197"/>
      <c r="AE265" s="530"/>
      <c r="AF265" s="688"/>
      <c r="AG265" s="530"/>
      <c r="AH265" s="197"/>
      <c r="AI265" s="339">
        <f>AI236*AI136</f>
        <v>0</v>
      </c>
      <c r="AJ265" s="530"/>
      <c r="AK265" s="197"/>
      <c r="AL265" s="530"/>
      <c r="AM265" s="688"/>
      <c r="AN265" s="530"/>
      <c r="AO265" s="197"/>
      <c r="AP265" s="339">
        <f>AP236*AP136</f>
        <v>0</v>
      </c>
      <c r="AQ265" s="530"/>
      <c r="AR265" s="197"/>
      <c r="AS265" s="530"/>
      <c r="AT265" s="688"/>
      <c r="AU265" s="530"/>
      <c r="AV265" s="197"/>
      <c r="AW265" s="339">
        <f>AW236*AW136</f>
        <v>0</v>
      </c>
      <c r="AX265" s="530"/>
      <c r="AY265" s="197"/>
      <c r="AZ265" s="530"/>
      <c r="BA265" s="688"/>
      <c r="BB265" s="530"/>
      <c r="BC265" s="197"/>
      <c r="BD265" s="339">
        <f>BD236*BD136</f>
        <v>0</v>
      </c>
      <c r="BE265" s="530"/>
      <c r="BF265" s="197"/>
      <c r="BG265" s="530"/>
      <c r="BH265" s="688"/>
      <c r="BI265" s="530"/>
      <c r="BJ265" s="197"/>
      <c r="BK265" s="339">
        <f>BK236*BK136</f>
        <v>0</v>
      </c>
      <c r="BL265" s="530"/>
      <c r="BM265" s="197"/>
      <c r="BN265" s="530"/>
      <c r="BO265" s="688"/>
      <c r="BP265" s="530"/>
      <c r="BQ265" s="197"/>
      <c r="BR265" s="339">
        <f>BR236*BR136</f>
        <v>0</v>
      </c>
      <c r="BS265" s="530"/>
      <c r="BT265" s="197"/>
      <c r="BU265" s="530"/>
      <c r="BV265" s="688"/>
      <c r="BW265" s="530"/>
      <c r="BX265" s="197"/>
      <c r="BY265" s="339">
        <f>BY236*BY136</f>
        <v>0</v>
      </c>
      <c r="BZ265" s="530"/>
      <c r="CA265" s="197"/>
      <c r="CB265" s="530"/>
      <c r="CC265" s="688"/>
      <c r="CD265" s="530"/>
      <c r="CE265" s="197"/>
      <c r="CF265" s="339">
        <f>CF236*CF136</f>
        <v>0</v>
      </c>
      <c r="CG265" s="530"/>
      <c r="CH265" s="197"/>
      <c r="CI265" s="530"/>
      <c r="CJ265" s="688"/>
      <c r="CK265" s="530"/>
      <c r="CL265" s="197"/>
      <c r="CM265" s="339">
        <f t="shared" ref="CM265:DR265" si="1057">CM236*CM136</f>
        <v>0</v>
      </c>
      <c r="CN265" s="530">
        <f t="shared" si="1057"/>
        <v>0</v>
      </c>
      <c r="CO265" s="197">
        <f t="shared" si="1057"/>
        <v>0</v>
      </c>
      <c r="CP265" s="530">
        <f t="shared" si="1057"/>
        <v>0</v>
      </c>
      <c r="CQ265" s="688">
        <f t="shared" si="1057"/>
        <v>0</v>
      </c>
      <c r="CR265" s="530">
        <f t="shared" si="1057"/>
        <v>0</v>
      </c>
      <c r="CS265" s="197">
        <f t="shared" si="1057"/>
        <v>0</v>
      </c>
      <c r="CT265" s="339">
        <f t="shared" si="1057"/>
        <v>0</v>
      </c>
      <c r="CU265" s="530">
        <f t="shared" si="1057"/>
        <v>0</v>
      </c>
      <c r="CV265" s="197">
        <f t="shared" si="1057"/>
        <v>0</v>
      </c>
      <c r="CW265" s="530">
        <f t="shared" si="1057"/>
        <v>0</v>
      </c>
      <c r="CX265" s="688">
        <f t="shared" ref="CX265" si="1058">CX236*CX136</f>
        <v>0</v>
      </c>
      <c r="CY265" s="530">
        <f t="shared" si="1057"/>
        <v>0</v>
      </c>
      <c r="CZ265" s="197">
        <f t="shared" ref="CZ265" si="1059">CZ236*CZ136</f>
        <v>0</v>
      </c>
      <c r="DA265" s="339">
        <f t="shared" ref="DA265:DC265" si="1060">DA236*DA136</f>
        <v>0</v>
      </c>
      <c r="DB265" s="530">
        <f t="shared" si="1060"/>
        <v>0</v>
      </c>
      <c r="DC265" s="197">
        <f t="shared" si="1060"/>
        <v>0</v>
      </c>
      <c r="DD265" s="197">
        <f t="shared" si="1057"/>
        <v>0</v>
      </c>
      <c r="DE265" s="688">
        <f t="shared" si="1057"/>
        <v>0</v>
      </c>
      <c r="DF265" s="530">
        <f t="shared" ref="DF265" si="1061">DF236*DF136</f>
        <v>0</v>
      </c>
      <c r="DG265" s="197">
        <f t="shared" si="1057"/>
        <v>0</v>
      </c>
      <c r="DH265" s="339">
        <f t="shared" si="1057"/>
        <v>0</v>
      </c>
      <c r="DI265" s="197">
        <f t="shared" si="1057"/>
        <v>0</v>
      </c>
      <c r="DJ265" s="197">
        <f t="shared" si="1057"/>
        <v>0</v>
      </c>
      <c r="DK265" s="322">
        <f t="shared" si="1057"/>
        <v>0</v>
      </c>
      <c r="DL265" s="430">
        <f t="shared" si="1057"/>
        <v>0</v>
      </c>
      <c r="DM265" s="197">
        <f t="shared" si="1057"/>
        <v>0</v>
      </c>
      <c r="DN265" s="322">
        <f t="shared" si="1057"/>
        <v>0</v>
      </c>
      <c r="DO265" s="385">
        <f t="shared" si="1057"/>
        <v>0</v>
      </c>
      <c r="DP265" s="322">
        <f t="shared" si="1057"/>
        <v>0</v>
      </c>
      <c r="DQ265" s="322">
        <f t="shared" si="1057"/>
        <v>0</v>
      </c>
      <c r="DR265" s="322">
        <f t="shared" si="1057"/>
        <v>0</v>
      </c>
      <c r="DS265" s="430">
        <f t="shared" ref="DS265:EQ265" si="1062">DS236*DS136</f>
        <v>0</v>
      </c>
      <c r="DT265" s="322">
        <f t="shared" si="1062"/>
        <v>0</v>
      </c>
      <c r="DU265" s="322">
        <f t="shared" si="1062"/>
        <v>0</v>
      </c>
      <c r="DV265" s="385">
        <f t="shared" si="1062"/>
        <v>0</v>
      </c>
      <c r="DW265" s="322">
        <f t="shared" si="1062"/>
        <v>0</v>
      </c>
      <c r="DX265" s="322">
        <f t="shared" si="1062"/>
        <v>0</v>
      </c>
      <c r="DY265" s="322">
        <f t="shared" si="1062"/>
        <v>0</v>
      </c>
      <c r="DZ265" s="430">
        <f t="shared" si="1062"/>
        <v>0</v>
      </c>
      <c r="EA265" s="322">
        <f t="shared" si="1062"/>
        <v>0</v>
      </c>
      <c r="EB265" s="322">
        <f t="shared" si="1062"/>
        <v>0</v>
      </c>
      <c r="EC265" s="385">
        <f t="shared" si="1062"/>
        <v>0</v>
      </c>
      <c r="ED265" s="322">
        <f t="shared" si="1062"/>
        <v>0</v>
      </c>
      <c r="EE265" s="322">
        <f t="shared" si="1062"/>
        <v>0</v>
      </c>
      <c r="EF265" s="322">
        <f t="shared" si="1062"/>
        <v>0</v>
      </c>
      <c r="EG265" s="430">
        <f t="shared" si="1062"/>
        <v>0</v>
      </c>
      <c r="EH265" s="322">
        <f t="shared" si="1062"/>
        <v>0</v>
      </c>
      <c r="EI265" s="322">
        <f t="shared" si="1062"/>
        <v>0</v>
      </c>
      <c r="EJ265" s="385">
        <f t="shared" si="1062"/>
        <v>0</v>
      </c>
      <c r="EK265" s="322">
        <f t="shared" si="1062"/>
        <v>0</v>
      </c>
      <c r="EL265" s="322">
        <f t="shared" si="1062"/>
        <v>0</v>
      </c>
      <c r="EM265" s="322">
        <f t="shared" si="1062"/>
        <v>0</v>
      </c>
      <c r="EN265" s="430">
        <f t="shared" si="1062"/>
        <v>0</v>
      </c>
      <c r="EO265" s="322">
        <f t="shared" si="1062"/>
        <v>0</v>
      </c>
      <c r="EP265" s="322">
        <f t="shared" si="1062"/>
        <v>0</v>
      </c>
      <c r="EQ265" s="385">
        <f t="shared" si="1062"/>
        <v>0</v>
      </c>
    </row>
    <row r="266" spans="1:147" ht="10.199999999999999" customHeight="1">
      <c r="A266" s="108" t="s">
        <v>369</v>
      </c>
      <c r="B266" s="95"/>
      <c r="C266" s="95"/>
      <c r="D266" s="95"/>
      <c r="E266" s="95"/>
      <c r="F266" s="95"/>
      <c r="G266" s="95"/>
      <c r="H266" s="67"/>
      <c r="I266" s="67"/>
      <c r="J266" s="67"/>
      <c r="K266" s="67"/>
      <c r="L266" s="67"/>
      <c r="M266" s="67"/>
      <c r="N266" s="67"/>
      <c r="O266" s="530"/>
      <c r="P266" s="197"/>
      <c r="Q266" s="530"/>
      <c r="R266" s="688"/>
      <c r="S266" s="530"/>
      <c r="T266" s="197"/>
      <c r="U266" s="339"/>
      <c r="V266" s="530"/>
      <c r="W266" s="197"/>
      <c r="X266" s="530"/>
      <c r="Y266" s="688"/>
      <c r="Z266" s="530"/>
      <c r="AA266" s="197"/>
      <c r="AB266" s="339">
        <f>AB237*AB137</f>
        <v>147.6</v>
      </c>
      <c r="AC266" s="530"/>
      <c r="AD266" s="197"/>
      <c r="AE266" s="530"/>
      <c r="AF266" s="688"/>
      <c r="AG266" s="530"/>
      <c r="AH266" s="197"/>
      <c r="AI266" s="339">
        <f>AI237*AI137</f>
        <v>2133.6</v>
      </c>
      <c r="AJ266" s="530"/>
      <c r="AK266" s="197"/>
      <c r="AL266" s="530"/>
      <c r="AM266" s="688"/>
      <c r="AN266" s="530"/>
      <c r="AO266" s="197"/>
      <c r="AP266" s="339">
        <f>AP237*AP137</f>
        <v>7548.4500000000007</v>
      </c>
      <c r="AQ266" s="530"/>
      <c r="AR266" s="197"/>
      <c r="AS266" s="530"/>
      <c r="AT266" s="688"/>
      <c r="AU266" s="530"/>
      <c r="AV266" s="197"/>
      <c r="AW266" s="339">
        <f>AW237*AW137</f>
        <v>12136.8</v>
      </c>
      <c r="AX266" s="530"/>
      <c r="AY266" s="197"/>
      <c r="AZ266" s="530"/>
      <c r="BA266" s="688"/>
      <c r="BB266" s="530"/>
      <c r="BC266" s="197"/>
      <c r="BD266" s="339">
        <f>BD237*BD137</f>
        <v>10923.119999999999</v>
      </c>
      <c r="BE266" s="530"/>
      <c r="BF266" s="197"/>
      <c r="BG266" s="530"/>
      <c r="BH266" s="688"/>
      <c r="BI266" s="530"/>
      <c r="BJ266" s="197"/>
      <c r="BK266" s="339">
        <f>BK237*BK137</f>
        <v>11283.569999999998</v>
      </c>
      <c r="BL266" s="530"/>
      <c r="BM266" s="197"/>
      <c r="BN266" s="530"/>
      <c r="BO266" s="688"/>
      <c r="BP266" s="530"/>
      <c r="BQ266" s="197"/>
      <c r="BR266" s="339">
        <f>BR237*BR137</f>
        <v>12674.734199999997</v>
      </c>
      <c r="BS266" s="530"/>
      <c r="BT266" s="197"/>
      <c r="BU266" s="530"/>
      <c r="BV266" s="688"/>
      <c r="BW266" s="530"/>
      <c r="BX266" s="197"/>
      <c r="BY266" s="339">
        <f>BY237*BY137</f>
        <v>6687.0149399999991</v>
      </c>
      <c r="BZ266" s="530"/>
      <c r="CA266" s="197"/>
      <c r="CB266" s="530"/>
      <c r="CC266" s="688"/>
      <c r="CD266" s="530"/>
      <c r="CE266" s="197"/>
      <c r="CF266" s="339">
        <f>CF237*CF137</f>
        <v>7427.0445933600004</v>
      </c>
      <c r="CG266" s="530"/>
      <c r="CH266" s="197"/>
      <c r="CI266" s="530"/>
      <c r="CJ266" s="688"/>
      <c r="CK266" s="530"/>
      <c r="CL266" s="197"/>
      <c r="CM266" s="339">
        <f t="shared" ref="CM266:DR266" si="1063">CM237*CM137</f>
        <v>7300.7343111600012</v>
      </c>
      <c r="CN266" s="530">
        <f t="shared" si="1063"/>
        <v>800.07458951123999</v>
      </c>
      <c r="CO266" s="197">
        <f t="shared" si="1063"/>
        <v>1760.1640969247278</v>
      </c>
      <c r="CP266" s="530">
        <f t="shared" si="1063"/>
        <v>1760.1640969247278</v>
      </c>
      <c r="CQ266" s="688">
        <f t="shared" si="1063"/>
        <v>3111.4011814326018</v>
      </c>
      <c r="CR266" s="530">
        <f t="shared" si="1063"/>
        <v>2560.2386864359678</v>
      </c>
      <c r="CS266" s="197">
        <f t="shared" si="1063"/>
        <v>5120.4773728719374</v>
      </c>
      <c r="CT266" s="339">
        <f t="shared" si="1063"/>
        <v>7858.5104125326243</v>
      </c>
      <c r="CU266" s="530">
        <f t="shared" si="1063"/>
        <v>619.61332098814921</v>
      </c>
      <c r="CV266" s="197">
        <f t="shared" si="1063"/>
        <v>2013.743293211485</v>
      </c>
      <c r="CW266" s="530">
        <f t="shared" si="1063"/>
        <v>1858.8399629644477</v>
      </c>
      <c r="CX266" s="688">
        <f t="shared" ref="CX266" si="1064">CX237*CX137</f>
        <v>2323.5499537055593</v>
      </c>
      <c r="CY266" s="530">
        <f t="shared" si="1063"/>
        <v>2633.3566141996344</v>
      </c>
      <c r="CZ266" s="197">
        <f t="shared" ref="CZ266" si="1065">CZ237*CZ137</f>
        <v>4182.3899166700076</v>
      </c>
      <c r="DA266" s="339">
        <f t="shared" ref="DA266:DC266" si="1066">DA237*DA137</f>
        <v>6815.746530869641</v>
      </c>
      <c r="DB266" s="530">
        <f t="shared" si="1066"/>
        <v>1270.2073080257057</v>
      </c>
      <c r="DC266" s="197">
        <f t="shared" si="1066"/>
        <v>1746.5350485353454</v>
      </c>
      <c r="DD266" s="197">
        <f t="shared" si="1063"/>
        <v>1111.4313945224926</v>
      </c>
      <c r="DE266" s="688">
        <f t="shared" si="1063"/>
        <v>2540.4146160514115</v>
      </c>
      <c r="DF266" s="530">
        <f t="shared" ref="DF266" si="1067">DF237*DF137</f>
        <v>3016.7423565610511</v>
      </c>
      <c r="DG266" s="197">
        <f t="shared" si="1063"/>
        <v>3651.8460105739041</v>
      </c>
      <c r="DH266" s="339">
        <f t="shared" si="1063"/>
        <v>6668.5883671349548</v>
      </c>
      <c r="DI266" s="197">
        <f t="shared" si="1063"/>
        <v>1301.9624907263483</v>
      </c>
      <c r="DJ266" s="197">
        <f t="shared" si="1063"/>
        <v>1952.9437360895224</v>
      </c>
      <c r="DK266" s="322">
        <f t="shared" si="1063"/>
        <v>2278.4343587711096</v>
      </c>
      <c r="DL266" s="430">
        <f t="shared" si="1063"/>
        <v>3254.9062268158705</v>
      </c>
      <c r="DM266" s="197">
        <f>DM237*DM137</f>
        <v>3254.9062268158705</v>
      </c>
      <c r="DN266" s="322">
        <f t="shared" si="1063"/>
        <v>5533.3405855869805</v>
      </c>
      <c r="DO266" s="385">
        <f t="shared" si="1063"/>
        <v>8788.246812402851</v>
      </c>
      <c r="DP266" s="322">
        <f t="shared" si="1063"/>
        <v>2752.4300780511703</v>
      </c>
      <c r="DQ266" s="322">
        <f t="shared" si="1063"/>
        <v>2752.4300780511703</v>
      </c>
      <c r="DR266" s="322">
        <f t="shared" si="1063"/>
        <v>2752.4300780511703</v>
      </c>
      <c r="DS266" s="430">
        <f t="shared" ref="DS266:EQ266" si="1068">DS237*DS137</f>
        <v>2752.4300780511703</v>
      </c>
      <c r="DT266" s="322">
        <f t="shared" si="1068"/>
        <v>5504.8601561023406</v>
      </c>
      <c r="DU266" s="322">
        <f t="shared" si="1068"/>
        <v>5504.8601561023406</v>
      </c>
      <c r="DV266" s="385">
        <f t="shared" si="1068"/>
        <v>11009.720312204681</v>
      </c>
      <c r="DW266" s="322">
        <f t="shared" si="1068"/>
        <v>3173.8959337527558</v>
      </c>
      <c r="DX266" s="322">
        <f t="shared" si="1068"/>
        <v>3173.8959337527558</v>
      </c>
      <c r="DY266" s="322">
        <f t="shared" si="1068"/>
        <v>3173.8959337527558</v>
      </c>
      <c r="DZ266" s="430">
        <f t="shared" si="1068"/>
        <v>3173.8959337527558</v>
      </c>
      <c r="EA266" s="322">
        <f t="shared" si="1068"/>
        <v>6347.7918675055116</v>
      </c>
      <c r="EB266" s="322">
        <f t="shared" si="1068"/>
        <v>6347.7918675055116</v>
      </c>
      <c r="EC266" s="385">
        <f t="shared" si="1068"/>
        <v>12695.583735011023</v>
      </c>
      <c r="ED266" s="322">
        <f t="shared" si="1068"/>
        <v>3614.7148134406384</v>
      </c>
      <c r="EE266" s="322">
        <f t="shared" si="1068"/>
        <v>3614.7148134406384</v>
      </c>
      <c r="EF266" s="322">
        <f t="shared" si="1068"/>
        <v>3614.7148134406384</v>
      </c>
      <c r="EG266" s="430">
        <f t="shared" si="1068"/>
        <v>3614.7148134406384</v>
      </c>
      <c r="EH266" s="322">
        <f t="shared" si="1068"/>
        <v>7229.4296268812768</v>
      </c>
      <c r="EI266" s="322">
        <f t="shared" si="1068"/>
        <v>7229.4296268812768</v>
      </c>
      <c r="EJ266" s="385">
        <f t="shared" si="1068"/>
        <v>14458.859253762554</v>
      </c>
      <c r="EK266" s="322">
        <f t="shared" si="1068"/>
        <v>3705.0826837766535</v>
      </c>
      <c r="EL266" s="322">
        <f t="shared" si="1068"/>
        <v>3705.0826837766535</v>
      </c>
      <c r="EM266" s="322">
        <f t="shared" si="1068"/>
        <v>3705.0826837766535</v>
      </c>
      <c r="EN266" s="430">
        <f t="shared" si="1068"/>
        <v>3705.0826837766535</v>
      </c>
      <c r="EO266" s="322">
        <f t="shared" si="1068"/>
        <v>7410.1653675533071</v>
      </c>
      <c r="EP266" s="322">
        <f t="shared" si="1068"/>
        <v>7410.1653675533071</v>
      </c>
      <c r="EQ266" s="385">
        <f t="shared" si="1068"/>
        <v>14820.330735106614</v>
      </c>
    </row>
    <row r="267" spans="1:147" ht="10.199999999999999" customHeight="1">
      <c r="A267" s="108" t="s">
        <v>370</v>
      </c>
      <c r="B267" s="95"/>
      <c r="C267" s="95"/>
      <c r="D267" s="95"/>
      <c r="E267" s="95"/>
      <c r="F267" s="95"/>
      <c r="G267" s="95"/>
      <c r="H267" s="67"/>
      <c r="I267" s="67"/>
      <c r="J267" s="67"/>
      <c r="K267" s="67"/>
      <c r="L267" s="67"/>
      <c r="M267" s="67"/>
      <c r="N267" s="197"/>
      <c r="O267" s="530"/>
      <c r="P267" s="197"/>
      <c r="Q267" s="530"/>
      <c r="R267" s="688"/>
      <c r="S267" s="530"/>
      <c r="T267" s="197"/>
      <c r="U267" s="339"/>
      <c r="V267" s="530"/>
      <c r="W267" s="197"/>
      <c r="X267" s="530"/>
      <c r="Y267" s="688"/>
      <c r="Z267" s="530"/>
      <c r="AA267" s="197"/>
      <c r="AB267" s="339">
        <f>AB238*AB138</f>
        <v>0</v>
      </c>
      <c r="AC267" s="530"/>
      <c r="AD267" s="197"/>
      <c r="AE267" s="530"/>
      <c r="AF267" s="688"/>
      <c r="AG267" s="530"/>
      <c r="AH267" s="197"/>
      <c r="AI267" s="339">
        <f>AI238*AI138</f>
        <v>0</v>
      </c>
      <c r="AJ267" s="530"/>
      <c r="AK267" s="197"/>
      <c r="AL267" s="530"/>
      <c r="AM267" s="688"/>
      <c r="AN267" s="530"/>
      <c r="AO267" s="197"/>
      <c r="AP267" s="339">
        <f>AP238*AP138</f>
        <v>0</v>
      </c>
      <c r="AQ267" s="530"/>
      <c r="AR267" s="197"/>
      <c r="AS267" s="530"/>
      <c r="AT267" s="688"/>
      <c r="AU267" s="530"/>
      <c r="AV267" s="197"/>
      <c r="AW267" s="339">
        <f>AW238*AW138</f>
        <v>0</v>
      </c>
      <c r="AX267" s="530"/>
      <c r="AY267" s="197"/>
      <c r="AZ267" s="530"/>
      <c r="BA267" s="688"/>
      <c r="BB267" s="530"/>
      <c r="BC267" s="197"/>
      <c r="BD267" s="339">
        <f>BD238*BD138</f>
        <v>0</v>
      </c>
      <c r="BE267" s="530"/>
      <c r="BF267" s="197"/>
      <c r="BG267" s="530"/>
      <c r="BH267" s="688"/>
      <c r="BI267" s="530"/>
      <c r="BJ267" s="197"/>
      <c r="BK267" s="339">
        <f>BK238*BK138</f>
        <v>2308.9499999999998</v>
      </c>
      <c r="BL267" s="530"/>
      <c r="BM267" s="197"/>
      <c r="BN267" s="530"/>
      <c r="BO267" s="688"/>
      <c r="BP267" s="530"/>
      <c r="BQ267" s="197"/>
      <c r="BR267" s="339">
        <f>BR238*BR138</f>
        <v>4205.5874999999996</v>
      </c>
      <c r="BS267" s="530"/>
      <c r="BT267" s="197"/>
      <c r="BU267" s="530"/>
      <c r="BV267" s="688"/>
      <c r="BW267" s="530"/>
      <c r="BX267" s="197"/>
      <c r="BY267" s="339">
        <f>BY238*BY138</f>
        <v>2402.2315799999997</v>
      </c>
      <c r="BZ267" s="530"/>
      <c r="CA267" s="197"/>
      <c r="CB267" s="530"/>
      <c r="CC267" s="688"/>
      <c r="CD267" s="530"/>
      <c r="CE267" s="197"/>
      <c r="CF267" s="339">
        <f>CF238*CF138</f>
        <v>1050.1183764</v>
      </c>
      <c r="CG267" s="530"/>
      <c r="CH267" s="197"/>
      <c r="CI267" s="530"/>
      <c r="CJ267" s="688"/>
      <c r="CK267" s="530"/>
      <c r="CL267" s="197"/>
      <c r="CM267" s="339">
        <f t="shared" ref="CM267:DR267" si="1069">CM238*CM138</f>
        <v>1686.0233932200001</v>
      </c>
      <c r="CN267" s="530">
        <f t="shared" si="1069"/>
        <v>0</v>
      </c>
      <c r="CO267" s="197">
        <f t="shared" si="1069"/>
        <v>923.8416416378999</v>
      </c>
      <c r="CP267" s="530">
        <f t="shared" si="1069"/>
        <v>739.07331331031992</v>
      </c>
      <c r="CQ267" s="688">
        <f t="shared" si="1069"/>
        <v>431.12609943102041</v>
      </c>
      <c r="CR267" s="530">
        <f t="shared" si="1069"/>
        <v>923.8416416378999</v>
      </c>
      <c r="CS267" s="197">
        <f t="shared" si="1069"/>
        <v>1149.6695984827204</v>
      </c>
      <c r="CT267" s="339">
        <f t="shared" si="1069"/>
        <v>2094.0410543792404</v>
      </c>
      <c r="CU267" s="530">
        <f t="shared" si="1069"/>
        <v>536.59802018468031</v>
      </c>
      <c r="CV267" s="197">
        <f t="shared" si="1069"/>
        <v>178.86600672822675</v>
      </c>
      <c r="CW267" s="530">
        <f t="shared" si="1069"/>
        <v>536.59802018468031</v>
      </c>
      <c r="CX267" s="688">
        <f t="shared" ref="CX267" si="1070">CX238*CX138</f>
        <v>1073.1960403693606</v>
      </c>
      <c r="CY267" s="530">
        <f t="shared" si="1069"/>
        <v>715.464026912907</v>
      </c>
      <c r="CZ267" s="197">
        <f t="shared" ref="CZ267" si="1071">CZ238*CZ138</f>
        <v>1609.7940605540407</v>
      </c>
      <c r="DA267" s="339">
        <f t="shared" ref="DA267:DC267" si="1072">DA238*DA138</f>
        <v>2325.2580874669479</v>
      </c>
      <c r="DB267" s="530">
        <f t="shared" si="1072"/>
        <v>183.33765689643241</v>
      </c>
      <c r="DC267" s="197">
        <f t="shared" si="1072"/>
        <v>183.33765689643241</v>
      </c>
      <c r="DD267" s="197">
        <f t="shared" si="1069"/>
        <v>916.68828448216209</v>
      </c>
      <c r="DE267" s="688">
        <f t="shared" si="1069"/>
        <v>1466.7012551714593</v>
      </c>
      <c r="DF267" s="530">
        <f t="shared" ref="DF267" si="1073">DF238*DF138</f>
        <v>366.67531379286481</v>
      </c>
      <c r="DG267" s="197">
        <f t="shared" si="1069"/>
        <v>2383.3895396536213</v>
      </c>
      <c r="DH267" s="339">
        <f t="shared" si="1069"/>
        <v>2750.0648534464863</v>
      </c>
      <c r="DI267" s="197">
        <f t="shared" si="1069"/>
        <v>563.76329495652965</v>
      </c>
      <c r="DJ267" s="197">
        <f t="shared" si="1069"/>
        <v>563.76329495652965</v>
      </c>
      <c r="DK267" s="322">
        <f t="shared" si="1069"/>
        <v>751.68439327537283</v>
      </c>
      <c r="DL267" s="430">
        <f t="shared" si="1069"/>
        <v>1503.3687865507457</v>
      </c>
      <c r="DM267" s="197">
        <f t="shared" si="1069"/>
        <v>1127.5265899130593</v>
      </c>
      <c r="DN267" s="322">
        <f t="shared" si="1069"/>
        <v>2255.0531798261186</v>
      </c>
      <c r="DO267" s="385">
        <f t="shared" si="1069"/>
        <v>3382.5797697391777</v>
      </c>
      <c r="DP267" s="322">
        <f t="shared" si="1069"/>
        <v>1059.4051917724785</v>
      </c>
      <c r="DQ267" s="322">
        <f t="shared" si="1069"/>
        <v>1059.4051917724785</v>
      </c>
      <c r="DR267" s="322">
        <f t="shared" si="1069"/>
        <v>1059.4051917724785</v>
      </c>
      <c r="DS267" s="430">
        <f t="shared" ref="DS267:EQ267" si="1074">DS238*DS138</f>
        <v>1059.4051917724785</v>
      </c>
      <c r="DT267" s="322">
        <f t="shared" si="1074"/>
        <v>2118.8103835449569</v>
      </c>
      <c r="DU267" s="322">
        <f t="shared" si="1074"/>
        <v>2118.8103835449569</v>
      </c>
      <c r="DV267" s="385">
        <f t="shared" si="1074"/>
        <v>4237.6207670899139</v>
      </c>
      <c r="DW267" s="322">
        <f t="shared" si="1074"/>
        <v>1221.6266117626392</v>
      </c>
      <c r="DX267" s="322">
        <f t="shared" si="1074"/>
        <v>1221.6266117626392</v>
      </c>
      <c r="DY267" s="322">
        <f t="shared" si="1074"/>
        <v>1221.6266117626392</v>
      </c>
      <c r="DZ267" s="430">
        <f t="shared" si="1074"/>
        <v>1221.6266117626392</v>
      </c>
      <c r="EA267" s="322">
        <f t="shared" si="1074"/>
        <v>2443.2532235252784</v>
      </c>
      <c r="EB267" s="322">
        <f t="shared" si="1074"/>
        <v>2443.2532235252784</v>
      </c>
      <c r="EC267" s="385">
        <f t="shared" si="1074"/>
        <v>4886.5064470505567</v>
      </c>
      <c r="ED267" s="322">
        <f t="shared" si="1074"/>
        <v>1391.2969745074502</v>
      </c>
      <c r="EE267" s="322">
        <f t="shared" si="1074"/>
        <v>1391.2969745074502</v>
      </c>
      <c r="EF267" s="322">
        <f t="shared" si="1074"/>
        <v>1391.2969745074502</v>
      </c>
      <c r="EG267" s="430">
        <f t="shared" si="1074"/>
        <v>1391.2969745074502</v>
      </c>
      <c r="EH267" s="322">
        <f t="shared" si="1074"/>
        <v>2782.5939490149003</v>
      </c>
      <c r="EI267" s="322">
        <f t="shared" si="1074"/>
        <v>2782.5939490149003</v>
      </c>
      <c r="EJ267" s="385">
        <f t="shared" si="1074"/>
        <v>5565.1878980298006</v>
      </c>
      <c r="EK267" s="322">
        <f t="shared" si="1074"/>
        <v>1426.0793988701362</v>
      </c>
      <c r="EL267" s="322">
        <f t="shared" si="1074"/>
        <v>1426.0793988701362</v>
      </c>
      <c r="EM267" s="322">
        <f t="shared" si="1074"/>
        <v>1426.0793988701362</v>
      </c>
      <c r="EN267" s="430">
        <f t="shared" si="1074"/>
        <v>1426.0793988701362</v>
      </c>
      <c r="EO267" s="322">
        <f t="shared" si="1074"/>
        <v>2852.1587977402723</v>
      </c>
      <c r="EP267" s="322">
        <f t="shared" si="1074"/>
        <v>2852.1587977402723</v>
      </c>
      <c r="EQ267" s="385">
        <f t="shared" si="1074"/>
        <v>5704.3175954805447</v>
      </c>
    </row>
    <row r="268" spans="1:147" ht="10.199999999999999" customHeight="1">
      <c r="A268" s="48" t="s">
        <v>238</v>
      </c>
      <c r="B268" s="95"/>
      <c r="C268" s="95"/>
      <c r="D268" s="95"/>
      <c r="E268" s="95"/>
      <c r="F268" s="95"/>
      <c r="G268" s="95"/>
      <c r="H268" s="67"/>
      <c r="I268" s="67"/>
      <c r="J268" s="67"/>
      <c r="K268" s="67"/>
      <c r="L268" s="67"/>
      <c r="M268" s="67"/>
      <c r="N268" s="67"/>
      <c r="O268" s="549"/>
      <c r="P268" s="111"/>
      <c r="Q268" s="549"/>
      <c r="R268" s="682"/>
      <c r="S268" s="549"/>
      <c r="T268" s="111"/>
      <c r="U268" s="340"/>
      <c r="V268" s="549"/>
      <c r="W268" s="111"/>
      <c r="X268" s="549"/>
      <c r="Y268" s="682"/>
      <c r="Z268" s="549"/>
      <c r="AA268" s="111"/>
      <c r="AB268" s="340">
        <f t="shared" ref="AB268:CM268" si="1075">AB265+AB266+AB267</f>
        <v>147.6</v>
      </c>
      <c r="AC268" s="549"/>
      <c r="AD268" s="111"/>
      <c r="AE268" s="549"/>
      <c r="AF268" s="682"/>
      <c r="AG268" s="549"/>
      <c r="AH268" s="111"/>
      <c r="AI268" s="340">
        <f t="shared" si="1075"/>
        <v>2133.6</v>
      </c>
      <c r="AJ268" s="549"/>
      <c r="AK268" s="111"/>
      <c r="AL268" s="549"/>
      <c r="AM268" s="682"/>
      <c r="AN268" s="549"/>
      <c r="AO268" s="111"/>
      <c r="AP268" s="340">
        <f t="shared" si="1075"/>
        <v>7548.4500000000007</v>
      </c>
      <c r="AQ268" s="549"/>
      <c r="AR268" s="111"/>
      <c r="AS268" s="549"/>
      <c r="AT268" s="682"/>
      <c r="AU268" s="549"/>
      <c r="AV268" s="111"/>
      <c r="AW268" s="340">
        <f t="shared" si="1075"/>
        <v>12136.8</v>
      </c>
      <c r="AX268" s="549"/>
      <c r="AY268" s="111"/>
      <c r="AZ268" s="549"/>
      <c r="BA268" s="682"/>
      <c r="BB268" s="549"/>
      <c r="BC268" s="111"/>
      <c r="BD268" s="340">
        <f t="shared" si="1075"/>
        <v>10923.119999999999</v>
      </c>
      <c r="BE268" s="549"/>
      <c r="BF268" s="111"/>
      <c r="BG268" s="549"/>
      <c r="BH268" s="682"/>
      <c r="BI268" s="549"/>
      <c r="BJ268" s="111"/>
      <c r="BK268" s="340">
        <f t="shared" si="1075"/>
        <v>13592.519999999997</v>
      </c>
      <c r="BL268" s="549"/>
      <c r="BM268" s="111"/>
      <c r="BN268" s="549"/>
      <c r="BO268" s="682"/>
      <c r="BP268" s="549"/>
      <c r="BQ268" s="111"/>
      <c r="BR268" s="340">
        <f t="shared" si="1075"/>
        <v>16880.321699999997</v>
      </c>
      <c r="BS268" s="549"/>
      <c r="BT268" s="111"/>
      <c r="BU268" s="549"/>
      <c r="BV268" s="682"/>
      <c r="BW268" s="549"/>
      <c r="BX268" s="111"/>
      <c r="BY268" s="340">
        <f t="shared" si="1075"/>
        <v>9089.2465199999988</v>
      </c>
      <c r="BZ268" s="549"/>
      <c r="CA268" s="111"/>
      <c r="CB268" s="549"/>
      <c r="CC268" s="682"/>
      <c r="CD268" s="549"/>
      <c r="CE268" s="111"/>
      <c r="CF268" s="340">
        <f t="shared" si="1075"/>
        <v>8477.1629697600001</v>
      </c>
      <c r="CG268" s="549"/>
      <c r="CH268" s="111"/>
      <c r="CI268" s="549"/>
      <c r="CJ268" s="682"/>
      <c r="CK268" s="549"/>
      <c r="CL268" s="111"/>
      <c r="CM268" s="340">
        <f t="shared" si="1075"/>
        <v>8986.7577043800011</v>
      </c>
      <c r="CN268" s="549">
        <f>CN265+CN266+CN267</f>
        <v>800.07458951123999</v>
      </c>
      <c r="CO268" s="111">
        <f t="shared" ref="CO268:CT268" si="1076">CO265+CO266+CO267</f>
        <v>2684.0057385626278</v>
      </c>
      <c r="CP268" s="549">
        <f>CP265+CP266+CP267</f>
        <v>2499.2374102350477</v>
      </c>
      <c r="CQ268" s="682">
        <f t="shared" si="1076"/>
        <v>3542.5272808636223</v>
      </c>
      <c r="CR268" s="549">
        <f>CR265+CR266+CR267</f>
        <v>3484.0803280738678</v>
      </c>
      <c r="CS268" s="111">
        <f t="shared" si="1076"/>
        <v>6270.1469713546576</v>
      </c>
      <c r="CT268" s="340">
        <f t="shared" si="1076"/>
        <v>9952.5514669118638</v>
      </c>
      <c r="CU268" s="549">
        <f t="shared" ref="CU268:DA268" si="1077">CU265+CU266+CU267</f>
        <v>1156.2113411728296</v>
      </c>
      <c r="CV268" s="111">
        <f t="shared" si="1077"/>
        <v>2192.6092999397119</v>
      </c>
      <c r="CW268" s="549">
        <f t="shared" si="1077"/>
        <v>2395.4379831491278</v>
      </c>
      <c r="CX268" s="682">
        <f t="shared" si="1077"/>
        <v>3396.74599407492</v>
      </c>
      <c r="CY268" s="549">
        <f>CY265+CY266+CY267</f>
        <v>3348.8206411125411</v>
      </c>
      <c r="CZ268" s="111">
        <f t="shared" ref="CZ268" si="1078">CZ265+CZ266+CZ267</f>
        <v>5792.1839772240482</v>
      </c>
      <c r="DA268" s="340">
        <f t="shared" si="1077"/>
        <v>9141.0046183365885</v>
      </c>
      <c r="DB268" s="549">
        <f t="shared" ref="DB268:DC268" si="1079">DB265+DB266+DB267</f>
        <v>1453.5449649221382</v>
      </c>
      <c r="DC268" s="111">
        <f t="shared" si="1079"/>
        <v>1929.8727054317778</v>
      </c>
      <c r="DD268" s="111">
        <f t="shared" ref="DD268:EQ268" si="1080">DD265+DD266+DD267</f>
        <v>2028.1196790046547</v>
      </c>
      <c r="DE268" s="682">
        <f t="shared" si="1080"/>
        <v>4007.1158712228707</v>
      </c>
      <c r="DF268" s="549">
        <f>DF265+DF266+DF267</f>
        <v>3383.417670353916</v>
      </c>
      <c r="DG268" s="111">
        <f t="shared" si="1080"/>
        <v>6035.2355502275259</v>
      </c>
      <c r="DH268" s="340">
        <f t="shared" si="1080"/>
        <v>9418.6532205814401</v>
      </c>
      <c r="DI268" s="111">
        <f t="shared" si="1080"/>
        <v>1865.7257856828778</v>
      </c>
      <c r="DJ268" s="111">
        <f t="shared" si="1080"/>
        <v>2516.7070310460522</v>
      </c>
      <c r="DK268" s="401">
        <f t="shared" si="1080"/>
        <v>3030.1187520464823</v>
      </c>
      <c r="DL268" s="431">
        <f t="shared" si="1080"/>
        <v>4758.2750133666159</v>
      </c>
      <c r="DM268" s="111">
        <f t="shared" si="1080"/>
        <v>4382.4328167289295</v>
      </c>
      <c r="DN268" s="401">
        <f t="shared" si="1080"/>
        <v>7788.3937654130987</v>
      </c>
      <c r="DO268" s="400">
        <f t="shared" si="1080"/>
        <v>12170.826582142028</v>
      </c>
      <c r="DP268" s="401">
        <f t="shared" si="1080"/>
        <v>3811.8352698236486</v>
      </c>
      <c r="DQ268" s="401">
        <f t="shared" si="1080"/>
        <v>3811.8352698236486</v>
      </c>
      <c r="DR268" s="401">
        <f t="shared" si="1080"/>
        <v>3811.8352698236486</v>
      </c>
      <c r="DS268" s="431">
        <f t="shared" si="1080"/>
        <v>3811.8352698236486</v>
      </c>
      <c r="DT268" s="401">
        <f t="shared" si="1080"/>
        <v>7623.6705396472971</v>
      </c>
      <c r="DU268" s="401">
        <f t="shared" si="1080"/>
        <v>7623.6705396472971</v>
      </c>
      <c r="DV268" s="400">
        <f t="shared" si="1080"/>
        <v>15247.341079294594</v>
      </c>
      <c r="DW268" s="401">
        <f t="shared" si="1080"/>
        <v>4395.522545515395</v>
      </c>
      <c r="DX268" s="401">
        <f t="shared" si="1080"/>
        <v>4395.522545515395</v>
      </c>
      <c r="DY268" s="401">
        <f t="shared" si="1080"/>
        <v>4395.522545515395</v>
      </c>
      <c r="DZ268" s="431">
        <f t="shared" si="1080"/>
        <v>4395.522545515395</v>
      </c>
      <c r="EA268" s="401">
        <f t="shared" si="1080"/>
        <v>8791.04509103079</v>
      </c>
      <c r="EB268" s="401">
        <f t="shared" si="1080"/>
        <v>8791.04509103079</v>
      </c>
      <c r="EC268" s="400">
        <f t="shared" si="1080"/>
        <v>17582.09018206158</v>
      </c>
      <c r="ED268" s="401">
        <f t="shared" si="1080"/>
        <v>5006.0117879480886</v>
      </c>
      <c r="EE268" s="401">
        <f t="shared" si="1080"/>
        <v>5006.0117879480886</v>
      </c>
      <c r="EF268" s="401">
        <f t="shared" si="1080"/>
        <v>5006.0117879480886</v>
      </c>
      <c r="EG268" s="431">
        <f t="shared" si="1080"/>
        <v>5006.0117879480886</v>
      </c>
      <c r="EH268" s="401">
        <f t="shared" si="1080"/>
        <v>10012.023575896177</v>
      </c>
      <c r="EI268" s="401">
        <f t="shared" si="1080"/>
        <v>10012.023575896177</v>
      </c>
      <c r="EJ268" s="400">
        <f t="shared" si="1080"/>
        <v>20024.047151792354</v>
      </c>
      <c r="EK268" s="401">
        <f t="shared" si="1080"/>
        <v>5131.1620826467897</v>
      </c>
      <c r="EL268" s="401">
        <f t="shared" si="1080"/>
        <v>5131.1620826467897</v>
      </c>
      <c r="EM268" s="401">
        <f t="shared" si="1080"/>
        <v>5131.1620826467897</v>
      </c>
      <c r="EN268" s="431">
        <f t="shared" si="1080"/>
        <v>5131.1620826467897</v>
      </c>
      <c r="EO268" s="401">
        <f t="shared" si="1080"/>
        <v>10262.324165293579</v>
      </c>
      <c r="EP268" s="401">
        <f t="shared" si="1080"/>
        <v>10262.324165293579</v>
      </c>
      <c r="EQ268" s="400">
        <f t="shared" si="1080"/>
        <v>20524.648330587159</v>
      </c>
    </row>
    <row r="269" spans="1:147" ht="10.199999999999999" hidden="1" customHeight="1" outlineLevel="1">
      <c r="A269" s="48" t="s">
        <v>133</v>
      </c>
      <c r="B269" s="95"/>
      <c r="C269" s="111"/>
      <c r="D269" s="111"/>
      <c r="E269" s="111"/>
      <c r="F269" s="111"/>
      <c r="G269" s="111"/>
      <c r="H269" s="111"/>
      <c r="I269" s="111">
        <f t="shared" ref="I269:N269" si="1081">I239*I141</f>
        <v>140</v>
      </c>
      <c r="J269" s="111">
        <f t="shared" si="1081"/>
        <v>1920</v>
      </c>
      <c r="K269" s="111">
        <f t="shared" si="1081"/>
        <v>1623.9999999999998</v>
      </c>
      <c r="L269" s="111">
        <f t="shared" si="1081"/>
        <v>3116.7000000000003</v>
      </c>
      <c r="M269" s="111">
        <f t="shared" si="1081"/>
        <v>5269.2120000000004</v>
      </c>
      <c r="N269" s="111">
        <f t="shared" si="1081"/>
        <v>6725.7749999999987</v>
      </c>
      <c r="O269" s="549"/>
      <c r="P269" s="111"/>
      <c r="Q269" s="549"/>
      <c r="R269" s="682"/>
      <c r="S269" s="549"/>
      <c r="T269" s="111"/>
      <c r="U269" s="340">
        <f>U239*U141</f>
        <v>6260.45</v>
      </c>
      <c r="V269" s="549"/>
      <c r="W269" s="111"/>
      <c r="X269" s="549"/>
      <c r="Y269" s="682"/>
      <c r="Z269" s="549"/>
      <c r="AA269" s="111"/>
      <c r="AB269" s="340">
        <f>AB239*AB141</f>
        <v>7459.2</v>
      </c>
      <c r="AC269" s="549"/>
      <c r="AD269" s="111"/>
      <c r="AE269" s="549"/>
      <c r="AF269" s="682"/>
      <c r="AG269" s="549"/>
      <c r="AH269" s="111"/>
      <c r="AI269" s="340">
        <f>AI239*AI141</f>
        <v>6933.6</v>
      </c>
      <c r="AJ269" s="549"/>
      <c r="AK269" s="111"/>
      <c r="AL269" s="549"/>
      <c r="AM269" s="682"/>
      <c r="AN269" s="549"/>
      <c r="AO269" s="111"/>
      <c r="AP269" s="340">
        <f>AP239*AP141</f>
        <v>6964.8600000000006</v>
      </c>
      <c r="AQ269" s="549"/>
      <c r="AR269" s="111"/>
      <c r="AS269" s="549"/>
      <c r="AT269" s="682"/>
      <c r="AU269" s="549"/>
      <c r="AV269" s="111"/>
      <c r="AW269" s="340">
        <f>AW239*AW141</f>
        <v>3604.4250000000002</v>
      </c>
      <c r="AX269" s="549"/>
      <c r="AY269" s="111"/>
      <c r="AZ269" s="549"/>
      <c r="BA269" s="682"/>
      <c r="BB269" s="549"/>
      <c r="BC269" s="111"/>
      <c r="BD269" s="340">
        <f>BD239*BD141</f>
        <v>3276.75</v>
      </c>
      <c r="BE269" s="549"/>
      <c r="BF269" s="111"/>
      <c r="BG269" s="549"/>
      <c r="BH269" s="682"/>
      <c r="BI269" s="549"/>
      <c r="BJ269" s="111"/>
      <c r="BK269" s="340">
        <f>BK239*BK141</f>
        <v>2673.6000000000004</v>
      </c>
      <c r="BL269" s="549"/>
      <c r="BM269" s="111"/>
      <c r="BN269" s="549"/>
      <c r="BO269" s="682"/>
      <c r="BP269" s="549"/>
      <c r="BQ269" s="111"/>
      <c r="BR269" s="340">
        <f>BR239*BR141</f>
        <v>1636.2432000000001</v>
      </c>
      <c r="BS269" s="549"/>
      <c r="BT269" s="111"/>
      <c r="BU269" s="549"/>
      <c r="BV269" s="682"/>
      <c r="BW269" s="549"/>
      <c r="BX269" s="111"/>
      <c r="BY269" s="340">
        <f>BY239*BY141</f>
        <v>741.76358400000015</v>
      </c>
      <c r="BZ269" s="549"/>
      <c r="CA269" s="111"/>
      <c r="CB269" s="549"/>
      <c r="CC269" s="682"/>
      <c r="CD269" s="549"/>
      <c r="CE269" s="111"/>
      <c r="CF269" s="340">
        <f>CF239*CF141</f>
        <v>945.74856960000022</v>
      </c>
      <c r="CG269" s="549"/>
      <c r="CH269" s="111"/>
      <c r="CI269" s="549"/>
      <c r="CJ269" s="682"/>
      <c r="CK269" s="549"/>
      <c r="CL269" s="111"/>
      <c r="CM269" s="340">
        <f t="shared" ref="CM269:DR269" si="1082">CM239*CM141</f>
        <v>0</v>
      </c>
      <c r="CN269" s="549">
        <f t="shared" si="1082"/>
        <v>0</v>
      </c>
      <c r="CO269" s="111">
        <f t="shared" si="1082"/>
        <v>0</v>
      </c>
      <c r="CP269" s="549">
        <f t="shared" si="1082"/>
        <v>0</v>
      </c>
      <c r="CQ269" s="682">
        <f t="shared" si="1082"/>
        <v>0</v>
      </c>
      <c r="CR269" s="549">
        <f t="shared" si="1082"/>
        <v>0</v>
      </c>
      <c r="CS269" s="111">
        <f t="shared" si="1082"/>
        <v>0</v>
      </c>
      <c r="CT269" s="340">
        <f t="shared" si="1082"/>
        <v>0</v>
      </c>
      <c r="CU269" s="549">
        <f t="shared" si="1082"/>
        <v>0</v>
      </c>
      <c r="CV269" s="111">
        <f t="shared" si="1082"/>
        <v>0</v>
      </c>
      <c r="CW269" s="549">
        <f t="shared" si="1082"/>
        <v>0</v>
      </c>
      <c r="CX269" s="682">
        <f t="shared" ref="CX269" si="1083">CX239*CX141</f>
        <v>0</v>
      </c>
      <c r="CY269" s="549">
        <f t="shared" si="1082"/>
        <v>0</v>
      </c>
      <c r="CZ269" s="111">
        <f t="shared" ref="CZ269" si="1084">CZ239*CZ141</f>
        <v>0</v>
      </c>
      <c r="DA269" s="340">
        <f t="shared" ref="DA269:DC269" si="1085">DA239*DA141</f>
        <v>0</v>
      </c>
      <c r="DB269" s="549">
        <f t="shared" si="1085"/>
        <v>0</v>
      </c>
      <c r="DC269" s="111">
        <f t="shared" si="1085"/>
        <v>0</v>
      </c>
      <c r="DD269" s="111">
        <f t="shared" si="1082"/>
        <v>0</v>
      </c>
      <c r="DE269" s="682">
        <f t="shared" si="1082"/>
        <v>0</v>
      </c>
      <c r="DF269" s="549">
        <f t="shared" ref="DF269" si="1086">DF239*DF141</f>
        <v>0</v>
      </c>
      <c r="DG269" s="111">
        <f t="shared" si="1082"/>
        <v>0</v>
      </c>
      <c r="DH269" s="340">
        <f t="shared" si="1082"/>
        <v>0</v>
      </c>
      <c r="DI269" s="111">
        <f t="shared" si="1082"/>
        <v>0</v>
      </c>
      <c r="DJ269" s="111">
        <f t="shared" si="1082"/>
        <v>0</v>
      </c>
      <c r="DK269" s="401">
        <f t="shared" si="1082"/>
        <v>0</v>
      </c>
      <c r="DL269" s="431">
        <f t="shared" si="1082"/>
        <v>0</v>
      </c>
      <c r="DM269" s="111">
        <f t="shared" si="1082"/>
        <v>0</v>
      </c>
      <c r="DN269" s="401">
        <f t="shared" si="1082"/>
        <v>0</v>
      </c>
      <c r="DO269" s="400">
        <f t="shared" si="1082"/>
        <v>0</v>
      </c>
      <c r="DP269" s="401">
        <f t="shared" si="1082"/>
        <v>0</v>
      </c>
      <c r="DQ269" s="401">
        <f t="shared" si="1082"/>
        <v>0</v>
      </c>
      <c r="DR269" s="401">
        <f t="shared" si="1082"/>
        <v>0</v>
      </c>
      <c r="DS269" s="431">
        <f t="shared" ref="DS269:EQ269" si="1087">DS239*DS141</f>
        <v>0</v>
      </c>
      <c r="DT269" s="401">
        <f t="shared" si="1087"/>
        <v>0</v>
      </c>
      <c r="DU269" s="401">
        <f t="shared" si="1087"/>
        <v>0</v>
      </c>
      <c r="DV269" s="400">
        <f t="shared" si="1087"/>
        <v>0</v>
      </c>
      <c r="DW269" s="401">
        <f t="shared" si="1087"/>
        <v>0</v>
      </c>
      <c r="DX269" s="401">
        <f t="shared" si="1087"/>
        <v>0</v>
      </c>
      <c r="DY269" s="401">
        <f t="shared" si="1087"/>
        <v>0</v>
      </c>
      <c r="DZ269" s="431">
        <f t="shared" si="1087"/>
        <v>0</v>
      </c>
      <c r="EA269" s="401">
        <f t="shared" si="1087"/>
        <v>0</v>
      </c>
      <c r="EB269" s="401">
        <f t="shared" si="1087"/>
        <v>0</v>
      </c>
      <c r="EC269" s="400">
        <f t="shared" si="1087"/>
        <v>0</v>
      </c>
      <c r="ED269" s="401">
        <f t="shared" si="1087"/>
        <v>0</v>
      </c>
      <c r="EE269" s="401">
        <f t="shared" si="1087"/>
        <v>0</v>
      </c>
      <c r="EF269" s="401">
        <f t="shared" si="1087"/>
        <v>0</v>
      </c>
      <c r="EG269" s="431">
        <f t="shared" si="1087"/>
        <v>0</v>
      </c>
      <c r="EH269" s="401">
        <f t="shared" si="1087"/>
        <v>0</v>
      </c>
      <c r="EI269" s="401">
        <f t="shared" si="1087"/>
        <v>0</v>
      </c>
      <c r="EJ269" s="400">
        <f t="shared" si="1087"/>
        <v>0</v>
      </c>
      <c r="EK269" s="401">
        <f t="shared" si="1087"/>
        <v>0</v>
      </c>
      <c r="EL269" s="401">
        <f t="shared" si="1087"/>
        <v>0</v>
      </c>
      <c r="EM269" s="401">
        <f t="shared" si="1087"/>
        <v>0</v>
      </c>
      <c r="EN269" s="431">
        <f t="shared" si="1087"/>
        <v>0</v>
      </c>
      <c r="EO269" s="401">
        <f t="shared" si="1087"/>
        <v>0</v>
      </c>
      <c r="EP269" s="401">
        <f t="shared" si="1087"/>
        <v>0</v>
      </c>
      <c r="EQ269" s="400">
        <f t="shared" si="1087"/>
        <v>0</v>
      </c>
    </row>
    <row r="270" spans="1:147" ht="10.199999999999999" customHeight="1" collapsed="1">
      <c r="A270" s="48" t="s">
        <v>739</v>
      </c>
      <c r="B270" s="95"/>
      <c r="C270" s="111">
        <f t="shared" ref="C270:BY270" si="1088">C244+C245+C250+C254+C257+C260+C264+C268+C269</f>
        <v>17055.569309253435</v>
      </c>
      <c r="D270" s="111">
        <f t="shared" si="1088"/>
        <v>16688.859229779908</v>
      </c>
      <c r="E270" s="111">
        <f t="shared" si="1088"/>
        <v>17650.433497536949</v>
      </c>
      <c r="F270" s="111">
        <f t="shared" si="1088"/>
        <v>18484.283750000002</v>
      </c>
      <c r="G270" s="111">
        <f t="shared" si="1088"/>
        <v>21414.114749999997</v>
      </c>
      <c r="H270" s="111">
        <f t="shared" si="1088"/>
        <v>24812.907569056242</v>
      </c>
      <c r="I270" s="111">
        <f t="shared" si="1088"/>
        <v>25430.858217824058</v>
      </c>
      <c r="J270" s="111">
        <f t="shared" si="1088"/>
        <v>29146.306093229301</v>
      </c>
      <c r="K270" s="111">
        <f t="shared" si="1088"/>
        <v>30309.584497391923</v>
      </c>
      <c r="L270" s="111">
        <f t="shared" si="1088"/>
        <v>36719.555</v>
      </c>
      <c r="M270" s="111">
        <f t="shared" si="1088"/>
        <v>40565.786999999997</v>
      </c>
      <c r="N270" s="111">
        <f t="shared" si="1088"/>
        <v>37160.006349999996</v>
      </c>
      <c r="O270" s="549"/>
      <c r="P270" s="111"/>
      <c r="Q270" s="549"/>
      <c r="R270" s="682"/>
      <c r="S270" s="549"/>
      <c r="T270" s="111"/>
      <c r="U270" s="340">
        <f t="shared" si="1088"/>
        <v>39341.898499999996</v>
      </c>
      <c r="V270" s="549"/>
      <c r="W270" s="111"/>
      <c r="X270" s="549"/>
      <c r="Y270" s="682"/>
      <c r="Z270" s="549"/>
      <c r="AA270" s="111"/>
      <c r="AB270" s="340">
        <f>AB244+AB245+AB250+AB254+AB257+AB260+AB264+AB268+AB269</f>
        <v>54309.235710163288</v>
      </c>
      <c r="AC270" s="549"/>
      <c r="AD270" s="111"/>
      <c r="AE270" s="549"/>
      <c r="AF270" s="682"/>
      <c r="AG270" s="549"/>
      <c r="AH270" s="111"/>
      <c r="AI270" s="340">
        <f t="shared" si="1088"/>
        <v>53190.817205640938</v>
      </c>
      <c r="AJ270" s="549"/>
      <c r="AK270" s="111"/>
      <c r="AL270" s="549"/>
      <c r="AM270" s="682"/>
      <c r="AN270" s="549"/>
      <c r="AO270" s="111"/>
      <c r="AP270" s="340">
        <f t="shared" si="1088"/>
        <v>56041.427851895831</v>
      </c>
      <c r="AQ270" s="549"/>
      <c r="AR270" s="111"/>
      <c r="AS270" s="549"/>
      <c r="AT270" s="682"/>
      <c r="AU270" s="549"/>
      <c r="AV270" s="111"/>
      <c r="AW270" s="340">
        <f t="shared" si="1088"/>
        <v>58021.789438166801</v>
      </c>
      <c r="AX270" s="549"/>
      <c r="AY270" s="111"/>
      <c r="AZ270" s="549"/>
      <c r="BA270" s="682"/>
      <c r="BB270" s="549"/>
      <c r="BC270" s="111"/>
      <c r="BD270" s="340">
        <f t="shared" si="1088"/>
        <v>49540.167395010023</v>
      </c>
      <c r="BE270" s="549"/>
      <c r="BF270" s="111"/>
      <c r="BG270" s="549"/>
      <c r="BH270" s="682"/>
      <c r="BI270" s="549"/>
      <c r="BJ270" s="111"/>
      <c r="BK270" s="340">
        <f t="shared" si="1088"/>
        <v>54668.090278325908</v>
      </c>
      <c r="BL270" s="549"/>
      <c r="BM270" s="111"/>
      <c r="BN270" s="549"/>
      <c r="BO270" s="682"/>
      <c r="BP270" s="549"/>
      <c r="BQ270" s="111"/>
      <c r="BR270" s="340">
        <f t="shared" si="1088"/>
        <v>62342.998586880014</v>
      </c>
      <c r="BS270" s="549"/>
      <c r="BT270" s="111"/>
      <c r="BU270" s="549"/>
      <c r="BV270" s="682"/>
      <c r="BW270" s="549"/>
      <c r="BX270" s="111"/>
      <c r="BY270" s="340">
        <f t="shared" si="1088"/>
        <v>37424.292723903593</v>
      </c>
      <c r="BZ270" s="549"/>
      <c r="CA270" s="111"/>
      <c r="CB270" s="549"/>
      <c r="CC270" s="682"/>
      <c r="CD270" s="549"/>
      <c r="CE270" s="111"/>
      <c r="CF270" s="340">
        <f t="shared" ref="CF270:DQ270" si="1089">CF244+CF245+CF250+CF254+CF257+CF260+CF264+CF268+CF269</f>
        <v>40618.072233322448</v>
      </c>
      <c r="CG270" s="549"/>
      <c r="CH270" s="111"/>
      <c r="CI270" s="549"/>
      <c r="CJ270" s="682"/>
      <c r="CK270" s="549"/>
      <c r="CL270" s="111"/>
      <c r="CM270" s="340">
        <f t="shared" si="1089"/>
        <v>43653.396689828529</v>
      </c>
      <c r="CN270" s="549">
        <f>CN244+CN245+CN250+CN254+CN257+CN260+CN264+CN268+CN269</f>
        <v>8138.1232961997284</v>
      </c>
      <c r="CO270" s="111">
        <f t="shared" si="1089"/>
        <v>12763.816733457681</v>
      </c>
      <c r="CP270" s="549">
        <f>CP244+CP245+CP250+CP254+CP257+CP260+CP264+CP268+CP269</f>
        <v>11373.920145872627</v>
      </c>
      <c r="CQ270" s="682">
        <f t="shared" si="1089"/>
        <v>16757.680660076359</v>
      </c>
      <c r="CR270" s="549">
        <f>CR244+CR245+CR250+CR254+CR257+CR260+CR264+CR268+CR269</f>
        <v>20946.481796272848</v>
      </c>
      <c r="CS270" s="111">
        <f t="shared" si="1089"/>
        <v>28225.234964818035</v>
      </c>
      <c r="CT270" s="340">
        <f>CT244+CT245+CT250+CT254+CT257+CT260+CT264+CT268+CT269</f>
        <v>49364.432716996562</v>
      </c>
      <c r="CU270" s="549">
        <f t="shared" si="1089"/>
        <v>9238.8879489246719</v>
      </c>
      <c r="CV270" s="111">
        <f t="shared" ref="CV270" si="1090">CV244+CV245+CV250+CV254+CV257+CV260+CV264+CV268+CV269</f>
        <v>12435.336353813953</v>
      </c>
      <c r="CW270" s="549">
        <f t="shared" si="1089"/>
        <v>11908.158578196899</v>
      </c>
      <c r="CX270" s="682">
        <f t="shared" ref="CX270" si="1091">CX244+CX245+CX250+CX254+CX257+CX260+CX264+CX268+CX269</f>
        <v>18331.457940471973</v>
      </c>
      <c r="CY270" s="549">
        <f>CY244+CY245+CY250+CY254+CY257+CY260+CY264+CY268+CY269</f>
        <v>21622.140944709397</v>
      </c>
      <c r="CZ270" s="111">
        <f t="shared" ref="CZ270" si="1092">CZ244+CZ245+CZ250+CZ254+CZ257+CZ260+CZ264+CZ268+CZ269</f>
        <v>30213.670147755798</v>
      </c>
      <c r="DA270" s="340">
        <f>DA244+DA245+DA250+DA254+DA257+DA260+DA264+DA268+DA269</f>
        <v>51885.92132999828</v>
      </c>
      <c r="DB270" s="549">
        <f t="shared" ref="DB270:DC270" si="1093">DB244+DB245+DB250+DB254+DB257+DB260+DB264+DB268+DB269</f>
        <v>9002.8398684914791</v>
      </c>
      <c r="DC270" s="111">
        <f t="shared" si="1093"/>
        <v>11224.1564505309</v>
      </c>
      <c r="DD270" s="111">
        <f t="shared" si="1089"/>
        <v>13481.457937505882</v>
      </c>
      <c r="DE270" s="682">
        <f t="shared" si="1089"/>
        <v>20420.299221322966</v>
      </c>
      <c r="DF270" s="549">
        <f>DF244+DF245+DF250+DF254+DF257+DF260+DF264+DF268+DF269</f>
        <v>20250.688099276143</v>
      </c>
      <c r="DG270" s="111">
        <f t="shared" si="1089"/>
        <v>33858.843903797824</v>
      </c>
      <c r="DH270" s="340">
        <f t="shared" si="1089"/>
        <v>54051.473139149573</v>
      </c>
      <c r="DI270" s="111">
        <f t="shared" si="1089"/>
        <v>8308.8749921198632</v>
      </c>
      <c r="DJ270" s="111">
        <f t="shared" si="1089"/>
        <v>16260.269797992842</v>
      </c>
      <c r="DK270" s="401">
        <f t="shared" si="1089"/>
        <v>14785.698370981583</v>
      </c>
      <c r="DL270" s="431">
        <f t="shared" si="1089"/>
        <v>21528.962719028739</v>
      </c>
      <c r="DM270" s="111">
        <f>DM244+DM245+DM250+DM254+DM257+DM260+DM264+DM268+DM269</f>
        <v>24634.774112376828</v>
      </c>
      <c r="DN270" s="401">
        <f t="shared" si="1089"/>
        <v>36345.458729777529</v>
      </c>
      <c r="DO270" s="400">
        <f t="shared" si="1089"/>
        <v>61256.999491407318</v>
      </c>
      <c r="DP270" s="401">
        <f t="shared" si="1089"/>
        <v>17253.368566964997</v>
      </c>
      <c r="DQ270" s="401">
        <f t="shared" si="1089"/>
        <v>18016.853139563707</v>
      </c>
      <c r="DR270" s="401">
        <f t="shared" ref="DR270:EQ270" si="1094">DR244+DR245+DR250+DR254+DR257+DR260+DR264+DR268+DR269</f>
        <v>18021.35443877133</v>
      </c>
      <c r="DS270" s="431">
        <f t="shared" si="1094"/>
        <v>18021.35443877133</v>
      </c>
      <c r="DT270" s="401">
        <f t="shared" si="1094"/>
        <v>35270.221706528704</v>
      </c>
      <c r="DU270" s="401">
        <f t="shared" si="1094"/>
        <v>36042.70887754266</v>
      </c>
      <c r="DV270" s="400">
        <f t="shared" si="1094"/>
        <v>71312.930584071364</v>
      </c>
      <c r="DW270" s="401">
        <f t="shared" si="1094"/>
        <v>18960.279693686771</v>
      </c>
      <c r="DX270" s="401">
        <f t="shared" si="1094"/>
        <v>19874.697324992565</v>
      </c>
      <c r="DY270" s="401">
        <f t="shared" si="1094"/>
        <v>19879.311156680378</v>
      </c>
      <c r="DZ270" s="431">
        <f t="shared" si="1094"/>
        <v>20323.011205516548</v>
      </c>
      <c r="EA270" s="401">
        <f t="shared" si="1094"/>
        <v>38834.977018679332</v>
      </c>
      <c r="EB270" s="401">
        <f t="shared" si="1094"/>
        <v>40202.322362196923</v>
      </c>
      <c r="EC270" s="400">
        <f t="shared" si="1094"/>
        <v>79037.299380876255</v>
      </c>
      <c r="ED270" s="401">
        <f t="shared" si="1094"/>
        <v>20876.895114392195</v>
      </c>
      <c r="EE270" s="401">
        <f t="shared" si="1094"/>
        <v>20872.165936912184</v>
      </c>
      <c r="EF270" s="401">
        <f t="shared" si="1094"/>
        <v>20876.895114392195</v>
      </c>
      <c r="EG270" s="431">
        <f t="shared" si="1094"/>
        <v>21339.956619904853</v>
      </c>
      <c r="EH270" s="401">
        <f t="shared" si="1094"/>
        <v>41749.061051304379</v>
      </c>
      <c r="EI270" s="401">
        <f t="shared" si="1094"/>
        <v>42216.851734297044</v>
      </c>
      <c r="EJ270" s="400">
        <f t="shared" si="1094"/>
        <v>83965.912785601424</v>
      </c>
      <c r="EK270" s="401">
        <f t="shared" si="1094"/>
        <v>21615.912073463835</v>
      </c>
      <c r="EL270" s="401">
        <f t="shared" si="1094"/>
        <v>21611.064666546823</v>
      </c>
      <c r="EM270" s="401">
        <f t="shared" si="1094"/>
        <v>21615.912073463835</v>
      </c>
      <c r="EN270" s="431">
        <f t="shared" si="1094"/>
        <v>22090.550116614308</v>
      </c>
      <c r="EO270" s="401">
        <f t="shared" si="1094"/>
        <v>43226.97674001065</v>
      </c>
      <c r="EP270" s="401">
        <f t="shared" si="1094"/>
        <v>43706.462190078135</v>
      </c>
      <c r="EQ270" s="400">
        <f t="shared" si="1094"/>
        <v>86933.4389300888</v>
      </c>
    </row>
    <row r="271" spans="1:147" ht="10.199999999999999" customHeight="1">
      <c r="A271" s="667" t="s">
        <v>301</v>
      </c>
      <c r="B271" s="668"/>
      <c r="C271" s="668">
        <v>500</v>
      </c>
      <c r="D271" s="668">
        <v>750</v>
      </c>
      <c r="E271" s="668">
        <f>D271*1.05</f>
        <v>787.5</v>
      </c>
      <c r="F271" s="668">
        <f>E271*1.05</f>
        <v>826.875</v>
      </c>
      <c r="G271" s="668">
        <f>F271*1.05</f>
        <v>868.21875</v>
      </c>
      <c r="H271" s="668">
        <f>G271*1.1</f>
        <v>955.04062500000009</v>
      </c>
      <c r="I271" s="668">
        <f>H271*1.1</f>
        <v>1050.5446875000002</v>
      </c>
      <c r="J271" s="668">
        <f>I271*1.1</f>
        <v>1155.5991562500003</v>
      </c>
      <c r="K271" s="668">
        <f>J271*1.02</f>
        <v>1178.7111393750004</v>
      </c>
      <c r="L271" s="668">
        <f>K271*1.2</f>
        <v>1414.4533672500004</v>
      </c>
      <c r="M271" s="668">
        <f>L271*1.1</f>
        <v>1555.8987039750004</v>
      </c>
      <c r="N271" s="668">
        <f>N9*1.32</f>
        <v>1950.5904000000019</v>
      </c>
      <c r="O271" s="666"/>
      <c r="P271" s="666"/>
      <c r="Q271" s="666"/>
      <c r="R271" s="713"/>
      <c r="S271" s="666"/>
      <c r="T271" s="666"/>
      <c r="U271" s="1308">
        <f>U9*1.35</f>
        <v>2665.8450000000025</v>
      </c>
      <c r="V271" s="666"/>
      <c r="W271" s="666"/>
      <c r="X271" s="666"/>
      <c r="Y271" s="713"/>
      <c r="Z271" s="666"/>
      <c r="AA271" s="666"/>
      <c r="AB271" s="1308">
        <f>AB9*1.34</f>
        <v>2266.2080000000019</v>
      </c>
      <c r="AC271" s="666"/>
      <c r="AD271" s="666"/>
      <c r="AE271" s="666"/>
      <c r="AF271" s="713"/>
      <c r="AG271" s="666"/>
      <c r="AH271" s="666"/>
      <c r="AI271" s="1308">
        <f>AI9*1.22</f>
        <v>2797.0940000000023</v>
      </c>
      <c r="AJ271" s="666"/>
      <c r="AK271" s="666"/>
      <c r="AL271" s="666"/>
      <c r="AM271" s="713"/>
      <c r="AN271" s="666"/>
      <c r="AO271" s="666"/>
      <c r="AP271" s="1308">
        <f>AP9*1.2</f>
        <v>2954.2200000000025</v>
      </c>
      <c r="AQ271" s="666"/>
      <c r="AR271" s="666"/>
      <c r="AS271" s="666"/>
      <c r="AT271" s="713"/>
      <c r="AU271" s="666"/>
      <c r="AV271" s="666"/>
      <c r="AW271" s="1308">
        <f>AP271*1.06</f>
        <v>3131.4732000000026</v>
      </c>
      <c r="AX271" s="666"/>
      <c r="AY271" s="666"/>
      <c r="AZ271" s="666"/>
      <c r="BA271" s="713"/>
      <c r="BB271" s="666"/>
      <c r="BC271" s="666"/>
      <c r="BD271" s="1308">
        <f>+AW271</f>
        <v>3131.4732000000026</v>
      </c>
      <c r="BE271" s="666"/>
      <c r="BF271" s="666"/>
      <c r="BG271" s="666"/>
      <c r="BH271" s="713"/>
      <c r="BI271" s="666"/>
      <c r="BJ271" s="666"/>
      <c r="BK271" s="1308">
        <f>BD271*1.04</f>
        <v>3256.7321280000028</v>
      </c>
      <c r="BL271" s="666"/>
      <c r="BM271" s="666"/>
      <c r="BN271" s="666"/>
      <c r="BO271" s="713"/>
      <c r="BP271" s="666"/>
      <c r="BQ271" s="666"/>
      <c r="BR271" s="1308">
        <f>BK271*1.04</f>
        <v>3387.0014131200032</v>
      </c>
      <c r="BS271" s="666"/>
      <c r="BT271" s="666"/>
      <c r="BU271" s="666"/>
      <c r="BV271" s="713"/>
      <c r="BW271" s="666"/>
      <c r="BX271" s="666"/>
      <c r="BY271" s="1308">
        <f>BR271*1.04</f>
        <v>3522.4814696448034</v>
      </c>
      <c r="BZ271" s="666"/>
      <c r="CA271" s="666"/>
      <c r="CB271" s="666"/>
      <c r="CC271" s="713"/>
      <c r="CD271" s="666"/>
      <c r="CE271" s="666"/>
      <c r="CF271" s="1308">
        <f>CF307*CF275</f>
        <v>2592.6429085099458</v>
      </c>
      <c r="CG271" s="666"/>
      <c r="CH271" s="666"/>
      <c r="CI271" s="666"/>
      <c r="CJ271" s="713"/>
      <c r="CK271" s="666"/>
      <c r="CL271" s="666"/>
      <c r="CM271" s="1308">
        <f>CM307*CM275</f>
        <v>3795.9475382459573</v>
      </c>
      <c r="CN271" s="666">
        <f>CN307*CN275</f>
        <v>1109.7440858454172</v>
      </c>
      <c r="CO271" s="666">
        <f>CR271-CN271</f>
        <v>1217.6427804071202</v>
      </c>
      <c r="CP271" s="666">
        <f>CP307*CP275</f>
        <v>1263.768905096958</v>
      </c>
      <c r="CQ271" s="713">
        <f>CS271-CP271</f>
        <v>1291.040870990822</v>
      </c>
      <c r="CR271" s="666">
        <f>CR307*CR275</f>
        <v>2327.3868662525374</v>
      </c>
      <c r="CS271" s="666">
        <f>CT271-CR271</f>
        <v>2554.8097760877799</v>
      </c>
      <c r="CT271" s="1308">
        <f>CT307*CT275</f>
        <v>4882.1966423403173</v>
      </c>
      <c r="CU271" s="666">
        <f>CU307*CU275</f>
        <v>1380.523486620928</v>
      </c>
      <c r="CV271" s="666">
        <f>CY271-CU271</f>
        <v>1291.8759559836035</v>
      </c>
      <c r="CW271" s="666">
        <f>CW307*CW275</f>
        <v>1471.7948804513019</v>
      </c>
      <c r="CX271" s="713">
        <f>CZ271-CW271</f>
        <v>1620.9080469439753</v>
      </c>
      <c r="CY271" s="666">
        <f>CY307*CY275</f>
        <v>2672.3994426045315</v>
      </c>
      <c r="CZ271" s="666">
        <f>DA271-CY271</f>
        <v>3092.7029273952771</v>
      </c>
      <c r="DA271" s="1308">
        <f>DA307*DA275</f>
        <v>5765.1023699998086</v>
      </c>
      <c r="DB271" s="666">
        <f>DB307*DB275</f>
        <v>1588.7364473808495</v>
      </c>
      <c r="DC271" s="666">
        <f>DF271-DB271</f>
        <v>1707.8871966873601</v>
      </c>
      <c r="DD271" s="666">
        <f>DD307*DD275</f>
        <v>1838.380627841711</v>
      </c>
      <c r="DE271" s="1939">
        <f>DG271-DD271</f>
        <v>1545.5148834658453</v>
      </c>
      <c r="DF271" s="666">
        <f>DF307*DF275</f>
        <v>3296.6236440682096</v>
      </c>
      <c r="DG271" s="1944">
        <f>DH271-DF271</f>
        <v>3383.8955113075563</v>
      </c>
      <c r="DH271" s="1945">
        <f>DH307*DH275</f>
        <v>6680.5191553757659</v>
      </c>
      <c r="DI271" s="666">
        <f>DI307*DI275</f>
        <v>1701.8177721581042</v>
      </c>
      <c r="DJ271" s="666">
        <f>DM271-DI271</f>
        <v>1979.2404285418816</v>
      </c>
      <c r="DK271" s="669">
        <f>DD271*(1+DK272)</f>
        <v>2022.2186906258823</v>
      </c>
      <c r="DL271" s="670">
        <f>DN271-DK271</f>
        <v>1645.2941795874747</v>
      </c>
      <c r="DM271" s="666">
        <f>DM307*DM275</f>
        <v>3681.0582006999857</v>
      </c>
      <c r="DN271" s="669">
        <f>DO271-DM271</f>
        <v>3667.512870213357</v>
      </c>
      <c r="DO271" s="671">
        <f>DH271*(1+DO272)</f>
        <v>7348.5710709133427</v>
      </c>
      <c r="DP271" s="669">
        <f>DI271*(1+DP272)</f>
        <v>1829.454105069962</v>
      </c>
      <c r="DQ271" s="669">
        <f>DT271-DP271</f>
        <v>2127.6834606825223</v>
      </c>
      <c r="DR271" s="669">
        <f>DK271*(1+DR272)</f>
        <v>2173.8850924228236</v>
      </c>
      <c r="DS271" s="670">
        <f>DU271-DR271</f>
        <v>1768.6912430565349</v>
      </c>
      <c r="DT271" s="669">
        <f>DM271*(1+DT272)</f>
        <v>3957.1375657524845</v>
      </c>
      <c r="DU271" s="669">
        <f>DV271-DT271</f>
        <v>3942.5763354793585</v>
      </c>
      <c r="DV271" s="671">
        <f>DO271*(1+DV272)</f>
        <v>7899.713901231843</v>
      </c>
      <c r="DW271" s="669">
        <f>DP271*(1+DW272)</f>
        <v>1966.663162950209</v>
      </c>
      <c r="DX271" s="669">
        <f>EA271-DW271</f>
        <v>2287.259720233712</v>
      </c>
      <c r="DY271" s="669">
        <f>DR271*(1+DY272)</f>
        <v>2336.9264743545355</v>
      </c>
      <c r="DZ271" s="670">
        <f>EB271-DY271</f>
        <v>1901.3430862857749</v>
      </c>
      <c r="EA271" s="669">
        <f>DT271*(1+EA272)</f>
        <v>4253.9228831839209</v>
      </c>
      <c r="EB271" s="669">
        <f>EC271-EA271</f>
        <v>4238.2695606403104</v>
      </c>
      <c r="EC271" s="671">
        <f>DV271*(1+EC272)</f>
        <v>8492.1924438242313</v>
      </c>
      <c r="ED271" s="669">
        <f>DW271*(1+ED272)</f>
        <v>2114.1629001714746</v>
      </c>
      <c r="EE271" s="669">
        <f>EH271-ED271</f>
        <v>2458.8041992512399</v>
      </c>
      <c r="EF271" s="669">
        <f>DY271*(1+EF272)</f>
        <v>2512.1959599311253</v>
      </c>
      <c r="EG271" s="670">
        <f>EI271-EF271</f>
        <v>2043.9438177572079</v>
      </c>
      <c r="EH271" s="669">
        <f>EA271*(1+EH272)</f>
        <v>4572.9670994227145</v>
      </c>
      <c r="EI271" s="669">
        <f>EJ271-EH271</f>
        <v>4556.1397776883332</v>
      </c>
      <c r="EJ271" s="671">
        <f>EC271*(1+EJ272)</f>
        <v>9129.1068771110477</v>
      </c>
      <c r="EK271" s="669">
        <f>ED271*(1+EK272)</f>
        <v>2272.7251176843351</v>
      </c>
      <c r="EL271" s="669">
        <f>EO271-EK271</f>
        <v>2643.2145141950828</v>
      </c>
      <c r="EM271" s="669">
        <f>EF271*(1+EM272)</f>
        <v>2700.6106569259596</v>
      </c>
      <c r="EN271" s="670">
        <f>EP271-EM271</f>
        <v>2197.2396040889985</v>
      </c>
      <c r="EO271" s="669">
        <f>EH271*(1+EO272)</f>
        <v>4915.9396318794179</v>
      </c>
      <c r="EP271" s="669">
        <f>EQ271-EO271</f>
        <v>4897.8502610149581</v>
      </c>
      <c r="EQ271" s="671">
        <f>EJ271*(1+EQ272)</f>
        <v>9813.789892894376</v>
      </c>
    </row>
    <row r="272" spans="1:147" ht="10.199999999999999" customHeight="1">
      <c r="A272" s="677" t="s">
        <v>37</v>
      </c>
      <c r="B272" s="672"/>
      <c r="C272" s="672"/>
      <c r="D272" s="672"/>
      <c r="E272" s="672"/>
      <c r="F272" s="672"/>
      <c r="G272" s="672"/>
      <c r="H272" s="672"/>
      <c r="I272" s="672"/>
      <c r="J272" s="672"/>
      <c r="K272" s="672"/>
      <c r="L272" s="672"/>
      <c r="M272" s="672"/>
      <c r="N272" s="672"/>
      <c r="O272" s="673"/>
      <c r="P272" s="673"/>
      <c r="Q272" s="673"/>
      <c r="R272" s="675"/>
      <c r="S272" s="673"/>
      <c r="T272" s="674"/>
      <c r="U272" s="1320"/>
      <c r="V272" s="673"/>
      <c r="W272" s="673"/>
      <c r="X272" s="673"/>
      <c r="Y272" s="675"/>
      <c r="Z272" s="673"/>
      <c r="AA272" s="674"/>
      <c r="AB272" s="1320">
        <f t="shared" ref="AB272" si="1095">AB271/U271-1</f>
        <v>-0.1499100660390984</v>
      </c>
      <c r="AC272" s="673"/>
      <c r="AD272" s="673"/>
      <c r="AE272" s="673"/>
      <c r="AF272" s="675"/>
      <c r="AG272" s="673"/>
      <c r="AH272" s="674"/>
      <c r="AI272" s="1320">
        <f>AI271/AB271-1</f>
        <v>0.23426181533204371</v>
      </c>
      <c r="AJ272" s="673"/>
      <c r="AK272" s="673"/>
      <c r="AL272" s="673"/>
      <c r="AM272" s="675"/>
      <c r="AN272" s="673"/>
      <c r="AO272" s="674"/>
      <c r="AP272" s="1320">
        <f>AP271/AI271-1</f>
        <v>5.6174729916120159E-2</v>
      </c>
      <c r="AQ272" s="673"/>
      <c r="AR272" s="673"/>
      <c r="AS272" s="673"/>
      <c r="AT272" s="675"/>
      <c r="AU272" s="673"/>
      <c r="AV272" s="674"/>
      <c r="AW272" s="1320">
        <f>AW271/AP271-1</f>
        <v>6.0000000000000053E-2</v>
      </c>
      <c r="AX272" s="673"/>
      <c r="AY272" s="673"/>
      <c r="AZ272" s="673"/>
      <c r="BA272" s="675"/>
      <c r="BB272" s="673"/>
      <c r="BC272" s="674"/>
      <c r="BD272" s="1320">
        <f>BD271/AW271-1</f>
        <v>0</v>
      </c>
      <c r="BE272" s="673"/>
      <c r="BF272" s="673"/>
      <c r="BG272" s="673"/>
      <c r="BH272" s="675"/>
      <c r="BI272" s="673"/>
      <c r="BJ272" s="674"/>
      <c r="BK272" s="1320">
        <f>BK271/BD271-1</f>
        <v>4.0000000000000036E-2</v>
      </c>
      <c r="BL272" s="673"/>
      <c r="BM272" s="673"/>
      <c r="BN272" s="673"/>
      <c r="BO272" s="675"/>
      <c r="BP272" s="673"/>
      <c r="BQ272" s="674"/>
      <c r="BR272" s="1320">
        <f>BR271/BK271-1</f>
        <v>4.0000000000000036E-2</v>
      </c>
      <c r="BS272" s="673"/>
      <c r="BT272" s="673"/>
      <c r="BU272" s="673"/>
      <c r="BV272" s="675"/>
      <c r="BW272" s="673"/>
      <c r="BX272" s="674"/>
      <c r="BY272" s="1320">
        <f>BY271/BR271-1</f>
        <v>4.0000000000000036E-2</v>
      </c>
      <c r="BZ272" s="673"/>
      <c r="CA272" s="673"/>
      <c r="CB272" s="673"/>
      <c r="CC272" s="675"/>
      <c r="CD272" s="673"/>
      <c r="CE272" s="674"/>
      <c r="CF272" s="1320">
        <f>CF271/BY271-1</f>
        <v>-0.26397259123938555</v>
      </c>
      <c r="CG272" s="673"/>
      <c r="CH272" s="673"/>
      <c r="CI272" s="673"/>
      <c r="CJ272" s="675"/>
      <c r="CK272" s="673"/>
      <c r="CL272" s="674"/>
      <c r="CM272" s="1320">
        <f>CM271/CF271-1</f>
        <v>0.46412277826088277</v>
      </c>
      <c r="CN272" s="673"/>
      <c r="CO272" s="673"/>
      <c r="CP272" s="673"/>
      <c r="CQ272" s="675"/>
      <c r="CR272" s="673"/>
      <c r="CS272" s="674"/>
      <c r="CT272" s="1320">
        <f t="shared" ref="CT272:DD272" si="1096">CT271/CM271-1</f>
        <v>0.28616019930462411</v>
      </c>
      <c r="CU272" s="673">
        <f t="shared" si="1096"/>
        <v>0.24400166149047564</v>
      </c>
      <c r="CV272" s="673">
        <f t="shared" si="1096"/>
        <v>6.0964657920168808E-2</v>
      </c>
      <c r="CW272" s="673">
        <f t="shared" si="1096"/>
        <v>0.16460760706751509</v>
      </c>
      <c r="CX272" s="1778">
        <f t="shared" si="1096"/>
        <v>0.25550482820888032</v>
      </c>
      <c r="CY272" s="673">
        <f t="shared" si="1096"/>
        <v>0.14824032108917029</v>
      </c>
      <c r="CZ272" s="673">
        <f t="shared" si="1096"/>
        <v>0.21054137037598997</v>
      </c>
      <c r="DA272" s="1320">
        <f t="shared" si="1096"/>
        <v>0.18084190218857388</v>
      </c>
      <c r="DB272" s="673">
        <f t="shared" si="1096"/>
        <v>0.15082174463366727</v>
      </c>
      <c r="DC272" s="673">
        <f t="shared" si="1096"/>
        <v>0.32202104139868104</v>
      </c>
      <c r="DD272" s="673">
        <f t="shared" si="1096"/>
        <v>0.24907393839962366</v>
      </c>
      <c r="DE272" s="1940">
        <f>DE271/CX271-1</f>
        <v>-4.6512918249912216E-2</v>
      </c>
      <c r="DF272" s="1941">
        <f t="shared" ref="DF272" si="1097">DF271/CY271-1</f>
        <v>0.2335819232379821</v>
      </c>
      <c r="DG272" s="1941">
        <f>DG271/CZ271-1</f>
        <v>9.4154721856045231E-2</v>
      </c>
      <c r="DH272" s="1320">
        <f t="shared" ref="DH272:DI272" si="1098">DH271/DA271-1</f>
        <v>0.15878586825093755</v>
      </c>
      <c r="DI272" s="673">
        <f t="shared" si="1098"/>
        <v>7.1176893413427811E-2</v>
      </c>
      <c r="DJ272" s="673">
        <f>DJ271/DC271-1</f>
        <v>0.15888240885044502</v>
      </c>
      <c r="DK272" s="1968">
        <v>0.1</v>
      </c>
      <c r="DL272" s="675">
        <f>DL271/DE271-1</f>
        <v>6.4560553372266849E-2</v>
      </c>
      <c r="DM272" s="1941">
        <f t="shared" ref="DM272" si="1099">DM271/DF271-1</f>
        <v>0.11661463307269226</v>
      </c>
      <c r="DN272" s="674">
        <f>DN271/DG271-1</f>
        <v>8.3813864215981582E-2</v>
      </c>
      <c r="DO272" s="676">
        <v>0.1</v>
      </c>
      <c r="DP272" s="674">
        <f>DV272</f>
        <v>7.4999999999999997E-2</v>
      </c>
      <c r="DQ272" s="674">
        <f>DQ271/DJ271-1</f>
        <v>7.4999999999999734E-2</v>
      </c>
      <c r="DR272" s="674">
        <f>DV272</f>
        <v>7.4999999999999997E-2</v>
      </c>
      <c r="DS272" s="675">
        <f>DS271/DL271-1</f>
        <v>7.4999999999999734E-2</v>
      </c>
      <c r="DT272" s="674">
        <f>DV272</f>
        <v>7.4999999999999997E-2</v>
      </c>
      <c r="DU272" s="674">
        <f>DU271/DN271-1</f>
        <v>7.4999999999999956E-2</v>
      </c>
      <c r="DV272" s="676">
        <v>7.4999999999999997E-2</v>
      </c>
      <c r="DW272" s="674">
        <f>EC272</f>
        <v>7.4999999999999997E-2</v>
      </c>
      <c r="DX272" s="674">
        <f>DX271/DQ271-1</f>
        <v>7.5000000000000178E-2</v>
      </c>
      <c r="DY272" s="674">
        <f>EC272</f>
        <v>7.4999999999999997E-2</v>
      </c>
      <c r="DZ272" s="675">
        <f>DZ271/DS271-1</f>
        <v>7.4999999999999956E-2</v>
      </c>
      <c r="EA272" s="674">
        <f>EC272</f>
        <v>7.4999999999999997E-2</v>
      </c>
      <c r="EB272" s="674">
        <f>EB271/DU271-1</f>
        <v>7.4999999999999956E-2</v>
      </c>
      <c r="EC272" s="676">
        <v>7.4999999999999997E-2</v>
      </c>
      <c r="ED272" s="674">
        <f>EJ272</f>
        <v>7.4999999999999997E-2</v>
      </c>
      <c r="EE272" s="674">
        <f>EE271/DX271-1</f>
        <v>7.4999999999999734E-2</v>
      </c>
      <c r="EF272" s="674">
        <f>EJ272</f>
        <v>7.4999999999999997E-2</v>
      </c>
      <c r="EG272" s="675">
        <f>EG271/DZ271-1</f>
        <v>7.4999999999999956E-2</v>
      </c>
      <c r="EH272" s="674">
        <f>EJ272</f>
        <v>7.4999999999999997E-2</v>
      </c>
      <c r="EI272" s="674">
        <f>EI271/EB271-1</f>
        <v>7.4999999999999956E-2</v>
      </c>
      <c r="EJ272" s="676">
        <v>7.4999999999999997E-2</v>
      </c>
      <c r="EK272" s="674">
        <f>EQ272</f>
        <v>7.4999999999999997E-2</v>
      </c>
      <c r="EL272" s="674">
        <f>EL271/EE271-1</f>
        <v>7.4999999999999956E-2</v>
      </c>
      <c r="EM272" s="674">
        <f>EQ272</f>
        <v>7.4999999999999997E-2</v>
      </c>
      <c r="EN272" s="675">
        <f>EN271/EG271-1</f>
        <v>7.4999999999999956E-2</v>
      </c>
      <c r="EO272" s="674">
        <f>EQ272</f>
        <v>7.4999999999999997E-2</v>
      </c>
      <c r="EP272" s="674">
        <f>EP271/EI271-1</f>
        <v>7.4999999999999956E-2</v>
      </c>
      <c r="EQ272" s="676">
        <v>7.4999999999999997E-2</v>
      </c>
    </row>
    <row r="273" spans="1:147" ht="10.199999999999999" customHeight="1">
      <c r="A273" s="48" t="s">
        <v>741</v>
      </c>
      <c r="B273" s="48"/>
      <c r="C273" s="123">
        <f t="shared" ref="C273:BY273" si="1100">C270+C271</f>
        <v>17555.569309253435</v>
      </c>
      <c r="D273" s="123">
        <f t="shared" si="1100"/>
        <v>17438.859229779908</v>
      </c>
      <c r="E273" s="123">
        <f t="shared" si="1100"/>
        <v>18437.933497536949</v>
      </c>
      <c r="F273" s="123">
        <f t="shared" si="1100"/>
        <v>19311.158750000002</v>
      </c>
      <c r="G273" s="123">
        <f t="shared" si="1100"/>
        <v>22282.333499999997</v>
      </c>
      <c r="H273" s="123">
        <f t="shared" si="1100"/>
        <v>25767.948194056244</v>
      </c>
      <c r="I273" s="123">
        <f t="shared" si="1100"/>
        <v>26481.402905324059</v>
      </c>
      <c r="J273" s="123">
        <f t="shared" si="1100"/>
        <v>30301.9052494793</v>
      </c>
      <c r="K273" s="123">
        <f t="shared" si="1100"/>
        <v>31488.295636766925</v>
      </c>
      <c r="L273" s="123">
        <f t="shared" si="1100"/>
        <v>38134.008367250004</v>
      </c>
      <c r="M273" s="123">
        <f t="shared" si="1100"/>
        <v>42121.685703974996</v>
      </c>
      <c r="N273" s="123">
        <f t="shared" si="1100"/>
        <v>39110.596749999997</v>
      </c>
      <c r="O273" s="871"/>
      <c r="P273" s="123"/>
      <c r="Q273" s="871"/>
      <c r="R273" s="1321"/>
      <c r="S273" s="871"/>
      <c r="T273" s="871"/>
      <c r="U273" s="1322">
        <f t="shared" si="1100"/>
        <v>42007.743499999997</v>
      </c>
      <c r="V273" s="871"/>
      <c r="W273" s="123"/>
      <c r="X273" s="871"/>
      <c r="Y273" s="1321"/>
      <c r="Z273" s="871"/>
      <c r="AA273" s="871"/>
      <c r="AB273" s="1322">
        <f t="shared" si="1100"/>
        <v>56575.443710163287</v>
      </c>
      <c r="AC273" s="871"/>
      <c r="AD273" s="123"/>
      <c r="AE273" s="871"/>
      <c r="AF273" s="1321"/>
      <c r="AG273" s="871"/>
      <c r="AH273" s="871"/>
      <c r="AI273" s="1322">
        <f t="shared" si="1100"/>
        <v>55987.911205640943</v>
      </c>
      <c r="AJ273" s="871"/>
      <c r="AK273" s="123"/>
      <c r="AL273" s="871"/>
      <c r="AM273" s="1321"/>
      <c r="AN273" s="871"/>
      <c r="AO273" s="871"/>
      <c r="AP273" s="1322">
        <f t="shared" si="1100"/>
        <v>58995.647851895832</v>
      </c>
      <c r="AQ273" s="871"/>
      <c r="AR273" s="123"/>
      <c r="AS273" s="871"/>
      <c r="AT273" s="1321"/>
      <c r="AU273" s="871"/>
      <c r="AV273" s="871"/>
      <c r="AW273" s="1322">
        <f t="shared" si="1100"/>
        <v>61153.262638166801</v>
      </c>
      <c r="AX273" s="871"/>
      <c r="AY273" s="123"/>
      <c r="AZ273" s="871"/>
      <c r="BA273" s="1321"/>
      <c r="BB273" s="871"/>
      <c r="BC273" s="871"/>
      <c r="BD273" s="1322">
        <f t="shared" si="1100"/>
        <v>52671.640595010023</v>
      </c>
      <c r="BE273" s="871"/>
      <c r="BF273" s="123"/>
      <c r="BG273" s="871"/>
      <c r="BH273" s="1321"/>
      <c r="BI273" s="871"/>
      <c r="BJ273" s="871"/>
      <c r="BK273" s="1322">
        <f t="shared" si="1100"/>
        <v>57924.822406325911</v>
      </c>
      <c r="BL273" s="871"/>
      <c r="BM273" s="123"/>
      <c r="BN273" s="871"/>
      <c r="BO273" s="1321"/>
      <c r="BP273" s="871"/>
      <c r="BQ273" s="871"/>
      <c r="BR273" s="1322">
        <f t="shared" si="1100"/>
        <v>65730.000000000015</v>
      </c>
      <c r="BS273" s="871"/>
      <c r="BT273" s="123"/>
      <c r="BU273" s="871"/>
      <c r="BV273" s="1321"/>
      <c r="BW273" s="871"/>
      <c r="BX273" s="871"/>
      <c r="BY273" s="1322">
        <f t="shared" si="1100"/>
        <v>40946.774193548394</v>
      </c>
      <c r="BZ273" s="871"/>
      <c r="CA273" s="123"/>
      <c r="CB273" s="871"/>
      <c r="CC273" s="1321"/>
      <c r="CD273" s="871"/>
      <c r="CE273" s="871"/>
      <c r="CF273" s="1322">
        <f>CF270+CF271</f>
        <v>43210.715141832392</v>
      </c>
      <c r="CG273" s="871"/>
      <c r="CH273" s="123"/>
      <c r="CI273" s="871"/>
      <c r="CJ273" s="1321"/>
      <c r="CK273" s="871"/>
      <c r="CL273" s="871"/>
      <c r="CM273" s="1322">
        <f>CM270+CM271</f>
        <v>47449.344228074486</v>
      </c>
      <c r="CN273" s="871">
        <f>CN270+CN271</f>
        <v>9247.8673820451459</v>
      </c>
      <c r="CO273" s="123">
        <f t="shared" ref="CO273:DA273" si="1101">CO270+CO271</f>
        <v>13981.459513864802</v>
      </c>
      <c r="CP273" s="871">
        <f>CP270+CP271</f>
        <v>12637.689050969586</v>
      </c>
      <c r="CQ273" s="1321">
        <f t="shared" ref="CQ273:CT273" si="1102">CQ270+CQ271</f>
        <v>18048.721531067182</v>
      </c>
      <c r="CR273" s="871">
        <f t="shared" si="1102"/>
        <v>23273.868662525387</v>
      </c>
      <c r="CS273" s="871">
        <f t="shared" si="1102"/>
        <v>30780.044740905814</v>
      </c>
      <c r="CT273" s="1322">
        <f t="shared" si="1102"/>
        <v>54246.629359336875</v>
      </c>
      <c r="CU273" s="871">
        <f>CU270+CU271</f>
        <v>10619.4114355456</v>
      </c>
      <c r="CV273" s="123">
        <f t="shared" si="1101"/>
        <v>13727.212309797556</v>
      </c>
      <c r="CW273" s="871">
        <f t="shared" si="1101"/>
        <v>13379.9534586482</v>
      </c>
      <c r="CX273" s="1321">
        <f t="shared" si="1101"/>
        <v>19952.365987415949</v>
      </c>
      <c r="CY273" s="871">
        <f t="shared" si="1101"/>
        <v>24294.540387313929</v>
      </c>
      <c r="CZ273" s="871">
        <f t="shared" si="1101"/>
        <v>33306.373075151074</v>
      </c>
      <c r="DA273" s="1322">
        <f t="shared" si="1101"/>
        <v>57651.023699998092</v>
      </c>
      <c r="DB273" s="871">
        <f>DB270+DB271</f>
        <v>10591.576315872329</v>
      </c>
      <c r="DC273" s="123">
        <f t="shared" ref="DC273" si="1103">DC270+DC271</f>
        <v>12932.043647218259</v>
      </c>
      <c r="DD273" s="871">
        <f t="shared" ref="DD273:EQ273" si="1104">DD270+DD271</f>
        <v>15319.838565347593</v>
      </c>
      <c r="DE273" s="1877">
        <f t="shared" si="1104"/>
        <v>21965.814104788813</v>
      </c>
      <c r="DF273" s="1942">
        <f t="shared" si="1104"/>
        <v>23547.311743344355</v>
      </c>
      <c r="DG273" s="1910">
        <f t="shared" si="1104"/>
        <v>37242.739415105381</v>
      </c>
      <c r="DH273" s="1943">
        <f t="shared" si="1104"/>
        <v>60731.992294525342</v>
      </c>
      <c r="DI273" s="871">
        <f>DI270+DI271</f>
        <v>10010.692764277966</v>
      </c>
      <c r="DJ273" s="123">
        <f t="shared" si="1104"/>
        <v>18239.510226534723</v>
      </c>
      <c r="DK273" s="415">
        <f t="shared" si="1104"/>
        <v>16807.917061607466</v>
      </c>
      <c r="DL273" s="448">
        <f t="shared" si="1104"/>
        <v>23174.256898616215</v>
      </c>
      <c r="DM273" s="123">
        <f t="shared" si="1104"/>
        <v>28315.832313076815</v>
      </c>
      <c r="DN273" s="415">
        <f t="shared" si="1104"/>
        <v>40012.971599990888</v>
      </c>
      <c r="DO273" s="414">
        <f t="shared" si="1104"/>
        <v>68605.57056232066</v>
      </c>
      <c r="DP273" s="415">
        <f t="shared" si="1104"/>
        <v>19082.822672034959</v>
      </c>
      <c r="DQ273" s="415">
        <f t="shared" si="1104"/>
        <v>20144.536600246229</v>
      </c>
      <c r="DR273" s="415">
        <f t="shared" si="1104"/>
        <v>20195.239531194155</v>
      </c>
      <c r="DS273" s="448">
        <f t="shared" si="1104"/>
        <v>19790.045681827865</v>
      </c>
      <c r="DT273" s="415">
        <f t="shared" si="1104"/>
        <v>39227.359272281188</v>
      </c>
      <c r="DU273" s="415">
        <f t="shared" si="1104"/>
        <v>39985.28521302202</v>
      </c>
      <c r="DV273" s="414">
        <f t="shared" si="1104"/>
        <v>79212.644485303201</v>
      </c>
      <c r="DW273" s="415">
        <f t="shared" si="1104"/>
        <v>20926.942856636979</v>
      </c>
      <c r="DX273" s="415">
        <f t="shared" si="1104"/>
        <v>22161.957045226278</v>
      </c>
      <c r="DY273" s="415">
        <f t="shared" si="1104"/>
        <v>22216.237631034914</v>
      </c>
      <c r="DZ273" s="448">
        <f t="shared" si="1104"/>
        <v>22224.354291802323</v>
      </c>
      <c r="EA273" s="415">
        <f t="shared" si="1104"/>
        <v>43088.899901863253</v>
      </c>
      <c r="EB273" s="415">
        <f t="shared" si="1104"/>
        <v>44440.591922837237</v>
      </c>
      <c r="EC273" s="414">
        <f t="shared" si="1104"/>
        <v>87529.491824700483</v>
      </c>
      <c r="ED273" s="415">
        <f t="shared" si="1104"/>
        <v>22991.05801456367</v>
      </c>
      <c r="EE273" s="415">
        <f t="shared" si="1104"/>
        <v>23330.970136163425</v>
      </c>
      <c r="EF273" s="415">
        <f t="shared" si="1104"/>
        <v>23389.091074323322</v>
      </c>
      <c r="EG273" s="448">
        <f t="shared" si="1104"/>
        <v>23383.900437662061</v>
      </c>
      <c r="EH273" s="415">
        <f t="shared" si="1104"/>
        <v>46322.028150727092</v>
      </c>
      <c r="EI273" s="415">
        <f t="shared" si="1104"/>
        <v>46772.991511985376</v>
      </c>
      <c r="EJ273" s="414">
        <f t="shared" si="1104"/>
        <v>93095.019662712468</v>
      </c>
      <c r="EK273" s="415">
        <f t="shared" si="1104"/>
        <v>23888.637191148169</v>
      </c>
      <c r="EL273" s="415">
        <f t="shared" si="1104"/>
        <v>24254.279180741905</v>
      </c>
      <c r="EM273" s="415">
        <f t="shared" si="1104"/>
        <v>24316.522730389795</v>
      </c>
      <c r="EN273" s="448">
        <f t="shared" si="1104"/>
        <v>24287.789720703306</v>
      </c>
      <c r="EO273" s="415">
        <f t="shared" si="1104"/>
        <v>48142.916371890067</v>
      </c>
      <c r="EP273" s="415">
        <f t="shared" si="1104"/>
        <v>48604.312451093094</v>
      </c>
      <c r="EQ273" s="414">
        <f t="shared" si="1104"/>
        <v>96747.228822983176</v>
      </c>
    </row>
    <row r="274" spans="1:147" ht="10.199999999999999" customHeight="1">
      <c r="A274" s="43"/>
      <c r="B274" s="88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80"/>
      <c r="O274" s="399"/>
      <c r="P274" s="399"/>
      <c r="Q274" s="399"/>
      <c r="R274" s="425"/>
      <c r="S274" s="399"/>
      <c r="T274" s="399"/>
      <c r="U274" s="338"/>
      <c r="V274" s="399"/>
      <c r="W274" s="399"/>
      <c r="X274" s="399"/>
      <c r="Y274" s="425"/>
      <c r="Z274" s="399"/>
      <c r="AA274" s="399"/>
      <c r="AB274" s="338"/>
      <c r="AC274" s="399"/>
      <c r="AD274" s="399"/>
      <c r="AE274" s="399"/>
      <c r="AF274" s="425"/>
      <c r="AG274" s="399"/>
      <c r="AH274" s="399"/>
      <c r="AI274" s="338"/>
      <c r="AJ274" s="399"/>
      <c r="AK274" s="399"/>
      <c r="AL274" s="399"/>
      <c r="AM274" s="425"/>
      <c r="AN274" s="399"/>
      <c r="AO274" s="399"/>
      <c r="AP274" s="338"/>
      <c r="AQ274" s="399"/>
      <c r="AR274" s="399"/>
      <c r="AS274" s="399"/>
      <c r="AT274" s="425"/>
      <c r="AU274" s="399"/>
      <c r="AV274" s="399"/>
      <c r="AW274" s="338"/>
      <c r="AX274" s="399"/>
      <c r="AY274" s="399"/>
      <c r="AZ274" s="399"/>
      <c r="BA274" s="425"/>
      <c r="BB274" s="399"/>
      <c r="BC274" s="399"/>
      <c r="BD274" s="338"/>
      <c r="BE274" s="399"/>
      <c r="BF274" s="399"/>
      <c r="BG274" s="399"/>
      <c r="BH274" s="425"/>
      <c r="BI274" s="399"/>
      <c r="BJ274" s="399"/>
      <c r="BK274" s="338"/>
      <c r="BL274" s="399"/>
      <c r="BM274" s="399"/>
      <c r="BN274" s="399"/>
      <c r="BO274" s="425"/>
      <c r="BP274" s="399"/>
      <c r="BQ274" s="399"/>
      <c r="BR274" s="338"/>
      <c r="BS274" s="399"/>
      <c r="BT274" s="399"/>
      <c r="BU274" s="399"/>
      <c r="BV274" s="425"/>
      <c r="BW274" s="399"/>
      <c r="BX274" s="399"/>
      <c r="BY274" s="338"/>
      <c r="BZ274" s="399"/>
      <c r="CA274" s="399"/>
      <c r="CB274" s="399"/>
      <c r="CC274" s="425"/>
      <c r="CD274" s="399"/>
      <c r="CE274" s="399"/>
      <c r="CF274" s="338"/>
      <c r="CG274" s="399"/>
      <c r="CH274" s="399"/>
      <c r="CI274" s="399"/>
      <c r="CJ274" s="425"/>
      <c r="CK274" s="399"/>
      <c r="CL274" s="399"/>
      <c r="CM274" s="338"/>
      <c r="CN274" s="399"/>
      <c r="CO274" s="399"/>
      <c r="CP274" s="399"/>
      <c r="CQ274" s="425"/>
      <c r="CR274" s="399"/>
      <c r="CS274" s="399"/>
      <c r="CT274" s="338"/>
      <c r="CU274" s="399"/>
      <c r="CV274" s="399"/>
      <c r="CW274" s="399"/>
      <c r="CX274" s="425"/>
      <c r="CY274" s="399"/>
      <c r="CZ274" s="399"/>
      <c r="DA274" s="338"/>
      <c r="DB274" s="399"/>
      <c r="DC274" s="399"/>
      <c r="DD274" s="399"/>
      <c r="DE274" s="425"/>
      <c r="DF274" s="399"/>
      <c r="DG274" s="399"/>
      <c r="DH274" s="338"/>
      <c r="DI274" s="399"/>
      <c r="DJ274" s="399"/>
      <c r="DK274" s="399"/>
      <c r="DL274" s="425"/>
      <c r="DM274" s="399"/>
      <c r="DN274" s="399"/>
      <c r="DO274" s="338"/>
      <c r="DP274" s="399"/>
      <c r="DQ274" s="399"/>
      <c r="DR274" s="399"/>
      <c r="DS274" s="425"/>
      <c r="DT274" s="399"/>
      <c r="DU274" s="399"/>
      <c r="DV274" s="338"/>
      <c r="DW274" s="399"/>
      <c r="DX274" s="399"/>
      <c r="DY274" s="399"/>
      <c r="DZ274" s="425"/>
      <c r="EA274" s="399"/>
      <c r="EB274" s="399"/>
      <c r="EC274" s="338"/>
      <c r="ED274" s="399"/>
      <c r="EE274" s="399"/>
      <c r="EF274" s="399"/>
      <c r="EG274" s="425"/>
      <c r="EH274" s="399"/>
      <c r="EI274" s="399"/>
      <c r="EJ274" s="338"/>
      <c r="EK274" s="399"/>
      <c r="EL274" s="399"/>
      <c r="EM274" s="399"/>
      <c r="EN274" s="425"/>
      <c r="EO274" s="399"/>
      <c r="EP274" s="399"/>
      <c r="EQ274" s="338"/>
    </row>
    <row r="275" spans="1:147" ht="10.199999999999999" customHeight="1">
      <c r="A275" s="643" t="s">
        <v>750</v>
      </c>
      <c r="B275" s="643"/>
      <c r="C275" s="644">
        <f t="shared" ref="C275:CN275" si="1105">C406</f>
        <v>0.94274263654186452</v>
      </c>
      <c r="D275" s="644">
        <f t="shared" si="1105"/>
        <v>0.96716142402729444</v>
      </c>
      <c r="E275" s="644">
        <f t="shared" si="1105"/>
        <v>1.0425472002250604</v>
      </c>
      <c r="F275" s="644">
        <f t="shared" si="1105"/>
        <v>1.1234210843401322</v>
      </c>
      <c r="G275" s="644">
        <f t="shared" si="1105"/>
        <v>1.1493616064799517</v>
      </c>
      <c r="H275" s="644">
        <f t="shared" si="1105"/>
        <v>1.188250206604162</v>
      </c>
      <c r="I275" s="644">
        <f t="shared" si="1105"/>
        <v>1.2480222054076862</v>
      </c>
      <c r="J275" s="644">
        <f t="shared" si="1105"/>
        <v>1.3282219854761803</v>
      </c>
      <c r="K275" s="644">
        <f t="shared" si="1105"/>
        <v>1.3314075260942844</v>
      </c>
      <c r="L275" s="644">
        <f t="shared" si="1105"/>
        <v>1.3361990530250161</v>
      </c>
      <c r="M275" s="644">
        <f t="shared" si="1105"/>
        <v>1.3297826804149024</v>
      </c>
      <c r="N275" s="1753">
        <f t="shared" si="1105"/>
        <v>1.3166401039686075</v>
      </c>
      <c r="O275" s="643"/>
      <c r="P275" s="25"/>
      <c r="Q275" s="643"/>
      <c r="R275" s="1309"/>
      <c r="S275" s="643"/>
      <c r="T275" s="25"/>
      <c r="U275" s="1310">
        <f t="shared" si="1105"/>
        <v>1.3475916630645597</v>
      </c>
      <c r="V275" s="643"/>
      <c r="W275" s="25"/>
      <c r="X275" s="643"/>
      <c r="Y275" s="1309"/>
      <c r="Z275" s="643"/>
      <c r="AA275" s="25"/>
      <c r="AB275" s="1310">
        <f t="shared" si="1105"/>
        <v>1.338113616607457</v>
      </c>
      <c r="AC275" s="643"/>
      <c r="AD275" s="25"/>
      <c r="AE275" s="643"/>
      <c r="AF275" s="1309"/>
      <c r="AG275" s="643"/>
      <c r="AH275" s="25"/>
      <c r="AI275" s="1310">
        <f t="shared" si="1105"/>
        <v>1.2210038645623276</v>
      </c>
      <c r="AJ275" s="643"/>
      <c r="AK275" s="25"/>
      <c r="AL275" s="643"/>
      <c r="AM275" s="1309"/>
      <c r="AN275" s="643"/>
      <c r="AO275" s="25"/>
      <c r="AP275" s="1310">
        <f t="shared" si="1105"/>
        <v>1.1981974501268524</v>
      </c>
      <c r="AQ275" s="643"/>
      <c r="AR275" s="25"/>
      <c r="AS275" s="643"/>
      <c r="AT275" s="1309"/>
      <c r="AU275" s="643"/>
      <c r="AV275" s="25"/>
      <c r="AW275" s="1310">
        <f t="shared" si="1105"/>
        <v>1.2000718756263353</v>
      </c>
      <c r="AX275" s="643"/>
      <c r="AY275" s="25"/>
      <c r="AZ275" s="643"/>
      <c r="BA275" s="1309"/>
      <c r="BB275" s="643"/>
      <c r="BC275" s="25"/>
      <c r="BD275" s="1310">
        <f t="shared" si="1105"/>
        <v>1.2112321343653134</v>
      </c>
      <c r="BE275" s="643"/>
      <c r="BF275" s="25"/>
      <c r="BG275" s="643"/>
      <c r="BH275" s="1309"/>
      <c r="BI275" s="643"/>
      <c r="BJ275" s="25"/>
      <c r="BK275" s="1310">
        <f t="shared" si="1105"/>
        <v>1.2075218346117556</v>
      </c>
      <c r="BL275" s="643"/>
      <c r="BM275" s="25"/>
      <c r="BN275" s="643"/>
      <c r="BO275" s="1309"/>
      <c r="BP275" s="643"/>
      <c r="BQ275" s="25"/>
      <c r="BR275" s="1310">
        <f t="shared" si="1105"/>
        <v>1.2</v>
      </c>
      <c r="BS275" s="643"/>
      <c r="BT275" s="25"/>
      <c r="BU275" s="643"/>
      <c r="BV275" s="1309"/>
      <c r="BW275" s="643"/>
      <c r="BX275" s="25"/>
      <c r="BY275" s="1310">
        <f t="shared" si="1105"/>
        <v>1.1955262538262303</v>
      </c>
      <c r="BZ275" s="643"/>
      <c r="CA275" s="25"/>
      <c r="CB275" s="643"/>
      <c r="CC275" s="1309"/>
      <c r="CD275" s="643"/>
      <c r="CE275" s="25"/>
      <c r="CF275" s="1310">
        <f t="shared" si="1105"/>
        <v>1.1948544171505473</v>
      </c>
      <c r="CG275" s="643"/>
      <c r="CH275" s="25"/>
      <c r="CI275" s="643"/>
      <c r="CJ275" s="1309"/>
      <c r="CK275" s="643"/>
      <c r="CL275" s="25"/>
      <c r="CM275" s="1310">
        <f t="shared" si="1105"/>
        <v>1.1453447964679562</v>
      </c>
      <c r="CN275" s="643">
        <f t="shared" si="1105"/>
        <v>1.1403042394630265</v>
      </c>
      <c r="CO275" s="25">
        <f>CO273/CO308</f>
        <v>1.1423694349101066</v>
      </c>
      <c r="CP275" s="643">
        <f t="shared" ref="CP275" si="1106">CP406</f>
        <v>1.1326123903001957</v>
      </c>
      <c r="CQ275" s="1309">
        <f>CQ273/CQ308</f>
        <v>1.1102806059957677</v>
      </c>
      <c r="CR275" s="643">
        <f t="shared" ref="CR275" si="1107">CR406</f>
        <v>1.1437352529620806</v>
      </c>
      <c r="CS275" s="25">
        <f>CS273/CS308</f>
        <v>1.1227856110347205</v>
      </c>
      <c r="CT275" s="1310">
        <f>CT406</f>
        <v>1.1357458568209049</v>
      </c>
      <c r="CU275" s="643">
        <f t="shared" ref="CU275" si="1108">CU406</f>
        <v>1.158439122455067</v>
      </c>
      <c r="CV275" s="25">
        <f>CV273/CV308</f>
        <v>1.1393768517428249</v>
      </c>
      <c r="CW275" s="643">
        <f t="shared" ref="CW275" si="1109">CW406</f>
        <v>1.1471153513930215</v>
      </c>
      <c r="CX275" s="1309">
        <f>CX273/CX308</f>
        <v>1.1230014063947744</v>
      </c>
      <c r="CY275" s="643">
        <f t="shared" ref="CY275" si="1110">CY406</f>
        <v>1.1451586324446819</v>
      </c>
      <c r="CZ275" s="25">
        <f>CZ273/CZ308</f>
        <v>1.1316765680796128</v>
      </c>
      <c r="DA275" s="1310">
        <f>DA406</f>
        <v>1.138313464044507</v>
      </c>
      <c r="DB275" s="643">
        <f t="shared" ref="DB275" si="1111">DB406</f>
        <v>1.1124436840533902</v>
      </c>
      <c r="DC275" s="25">
        <f>DC273/DC308</f>
        <v>1.1436189995771362</v>
      </c>
      <c r="DD275" s="643">
        <f>DD406</f>
        <v>1.173304630875974</v>
      </c>
      <c r="DE275" s="1309">
        <f>DE273/DE308</f>
        <v>1.1752080751341552</v>
      </c>
      <c r="DF275" s="643">
        <f t="shared" ref="DF275" si="1112">DF406</f>
        <v>1.1305061089511907</v>
      </c>
      <c r="DG275" s="25">
        <f>DG273/DG308</f>
        <v>1.1730735618810331</v>
      </c>
      <c r="DH275" s="1310">
        <f>DH406</f>
        <v>1.1551056987199322</v>
      </c>
      <c r="DI275" s="643">
        <f>DI406</f>
        <v>1.1866634397108358</v>
      </c>
      <c r="DJ275" s="25">
        <f>DJ273/DJ308</f>
        <v>1.181238923222075</v>
      </c>
      <c r="DK275" s="1199">
        <f>DK406</f>
        <v>1.1619586501565458</v>
      </c>
      <c r="DL275" s="1200">
        <f>DL273/DL308</f>
        <v>1.1589098611729838</v>
      </c>
      <c r="DM275" s="25">
        <f>DM406</f>
        <v>1.1859041049158945</v>
      </c>
      <c r="DN275" s="1199">
        <f>DN273/DN308</f>
        <v>1.1610832516130605</v>
      </c>
      <c r="DO275" s="678">
        <f>DO406</f>
        <v>1.175986108192161</v>
      </c>
      <c r="DP275" s="645">
        <f>DP406</f>
        <v>1.1965724958741795</v>
      </c>
      <c r="DQ275" s="1199">
        <f>DQ273/DQ308</f>
        <v>1.19569935571912</v>
      </c>
      <c r="DR275" s="1199">
        <f>DR406</f>
        <v>1.1956596310487682</v>
      </c>
      <c r="DS275" s="1200">
        <f>DS273/DS308</f>
        <v>1.1959803777704459</v>
      </c>
      <c r="DT275" s="1199">
        <f>DT406</f>
        <v>1.1961239505216181</v>
      </c>
      <c r="DU275" s="1199">
        <f>DU273/DU308</f>
        <v>1.1958183577485826</v>
      </c>
      <c r="DV275" s="678">
        <f>DV406</f>
        <v>1.1959696726225912</v>
      </c>
      <c r="DW275" s="645">
        <f>DW406</f>
        <v>1.1969527594640443</v>
      </c>
      <c r="DX275" s="1199">
        <f>DX273/DX308</f>
        <v>1.1965653655689383</v>
      </c>
      <c r="DY275" s="1199">
        <f>DY406</f>
        <v>1.1965492637599782</v>
      </c>
      <c r="DZ275" s="1200">
        <f>DZ273/DZ308</f>
        <v>1.1965469065782763</v>
      </c>
      <c r="EA275" s="1199">
        <f>EA406</f>
        <v>1.1967534794497601</v>
      </c>
      <c r="EB275" s="1199">
        <f>EB273/EB308</f>
        <v>1.1965480849527077</v>
      </c>
      <c r="EC275" s="678">
        <f>EC406</f>
        <v>1.1966491874666152</v>
      </c>
      <c r="ED275" s="645">
        <f>ED406</f>
        <v>1.2189778634813102</v>
      </c>
      <c r="EE275" s="1199">
        <f>EE273/EE308</f>
        <v>1.2189927552195139</v>
      </c>
      <c r="EF275" s="1199">
        <f>EF406</f>
        <v>1.2189952580916752</v>
      </c>
      <c r="EG275" s="1200">
        <f>EG273/EG308</f>
        <v>1.2189950351424474</v>
      </c>
      <c r="EH275" s="1199">
        <f>EH406</f>
        <v>1.218985363942894</v>
      </c>
      <c r="EI275" s="1199">
        <f>EI273/EI308</f>
        <v>1.218995146629422</v>
      </c>
      <c r="EJ275" s="678">
        <f>EJ406</f>
        <v>1.2189902789607805</v>
      </c>
      <c r="EK275" s="645">
        <f>EK406</f>
        <v>1.2304395395147902</v>
      </c>
      <c r="EL275" s="1199">
        <f>EL273/EL308</f>
        <v>1.2304329133160883</v>
      </c>
      <c r="EM275" s="1199">
        <f>EM406</f>
        <v>1.2304318051604837</v>
      </c>
      <c r="EN275" s="1200">
        <f>EN273/EN308</f>
        <v>1.2304323160098285</v>
      </c>
      <c r="EO275" s="1199">
        <f>EO406</f>
        <v>1.2304362012437673</v>
      </c>
      <c r="EP275" s="1199">
        <f>EP273/EP308</f>
        <v>1.2304320604341057</v>
      </c>
      <c r="EQ275" s="678">
        <f>EQ406</f>
        <v>1.2304341209615093</v>
      </c>
    </row>
    <row r="276" spans="1:147" ht="10.199999999999999" customHeight="1">
      <c r="A276" s="43"/>
      <c r="B276" s="88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80"/>
      <c r="O276" s="399"/>
      <c r="P276" s="399"/>
      <c r="Q276" s="399"/>
      <c r="R276" s="425"/>
      <c r="S276" s="399"/>
      <c r="T276" s="399"/>
      <c r="U276" s="338"/>
      <c r="V276" s="399"/>
      <c r="W276" s="399"/>
      <c r="X276" s="399"/>
      <c r="Y276" s="425"/>
      <c r="Z276" s="399"/>
      <c r="AA276" s="399"/>
      <c r="AB276" s="338"/>
      <c r="AC276" s="399"/>
      <c r="AD276" s="399"/>
      <c r="AE276" s="399"/>
      <c r="AF276" s="425"/>
      <c r="AG276" s="399"/>
      <c r="AH276" s="399"/>
      <c r="AI276" s="338"/>
      <c r="AJ276" s="399"/>
      <c r="AK276" s="399"/>
      <c r="AL276" s="399"/>
      <c r="AM276" s="425"/>
      <c r="AN276" s="399"/>
      <c r="AO276" s="399"/>
      <c r="AP276" s="338"/>
      <c r="AQ276" s="399"/>
      <c r="AR276" s="399"/>
      <c r="AS276" s="399"/>
      <c r="AT276" s="425"/>
      <c r="AU276" s="399"/>
      <c r="AV276" s="399"/>
      <c r="AW276" s="338"/>
      <c r="AX276" s="399"/>
      <c r="AY276" s="399"/>
      <c r="AZ276" s="399"/>
      <c r="BA276" s="425"/>
      <c r="BB276" s="399"/>
      <c r="BC276" s="399"/>
      <c r="BD276" s="338"/>
      <c r="BE276" s="399"/>
      <c r="BF276" s="399"/>
      <c r="BG276" s="399"/>
      <c r="BH276" s="425"/>
      <c r="BI276" s="399"/>
      <c r="BJ276" s="399"/>
      <c r="BK276" s="338"/>
      <c r="BL276" s="399"/>
      <c r="BM276" s="399"/>
      <c r="BN276" s="399"/>
      <c r="BO276" s="425"/>
      <c r="BP276" s="399"/>
      <c r="BQ276" s="399"/>
      <c r="BR276" s="338"/>
      <c r="BS276" s="399"/>
      <c r="BT276" s="399"/>
      <c r="BU276" s="399"/>
      <c r="BV276" s="425"/>
      <c r="BW276" s="399"/>
      <c r="BX276" s="399"/>
      <c r="BY276" s="338"/>
      <c r="BZ276" s="399"/>
      <c r="CA276" s="399"/>
      <c r="CB276" s="399"/>
      <c r="CC276" s="425"/>
      <c r="CD276" s="399"/>
      <c r="CE276" s="399"/>
      <c r="CF276" s="338"/>
      <c r="CG276" s="399"/>
      <c r="CH276" s="399"/>
      <c r="CI276" s="399"/>
      <c r="CJ276" s="425"/>
      <c r="CK276" s="399"/>
      <c r="CL276" s="399"/>
      <c r="CM276" s="338"/>
      <c r="CN276" s="399"/>
      <c r="CO276" s="399"/>
      <c r="CP276" s="399"/>
      <c r="CQ276" s="425"/>
      <c r="CR276" s="399"/>
      <c r="CS276" s="399"/>
      <c r="CT276" s="338"/>
      <c r="CU276" s="399"/>
      <c r="CV276" s="399"/>
      <c r="CW276" s="399"/>
      <c r="CX276" s="425"/>
      <c r="CY276" s="399"/>
      <c r="CZ276" s="399"/>
      <c r="DA276" s="338"/>
      <c r="DB276" s="399"/>
      <c r="DC276" s="399"/>
      <c r="DD276" s="399"/>
      <c r="DE276" s="425"/>
      <c r="DF276" s="399"/>
      <c r="DG276" s="399"/>
      <c r="DH276" s="338"/>
      <c r="DI276" s="399"/>
      <c r="DJ276" s="399"/>
      <c r="DK276" s="399"/>
      <c r="DL276" s="425"/>
      <c r="DM276" s="399"/>
      <c r="DN276" s="399"/>
      <c r="DO276" s="338"/>
      <c r="DP276" s="399"/>
      <c r="DQ276" s="399"/>
      <c r="DR276" s="399"/>
      <c r="DS276" s="425"/>
      <c r="DT276" s="399"/>
      <c r="DU276" s="399"/>
      <c r="DV276" s="338"/>
      <c r="DW276" s="399"/>
      <c r="DX276" s="399"/>
      <c r="DY276" s="399"/>
      <c r="DZ276" s="425"/>
      <c r="EA276" s="399"/>
      <c r="EB276" s="399"/>
      <c r="EC276" s="338"/>
      <c r="ED276" s="399"/>
      <c r="EE276" s="399"/>
      <c r="EF276" s="399"/>
      <c r="EG276" s="425"/>
      <c r="EH276" s="399"/>
      <c r="EI276" s="399"/>
      <c r="EJ276" s="338"/>
      <c r="EK276" s="399"/>
      <c r="EL276" s="399"/>
      <c r="EM276" s="399"/>
      <c r="EN276" s="425"/>
      <c r="EO276" s="399"/>
      <c r="EP276" s="399"/>
      <c r="EQ276" s="338"/>
    </row>
    <row r="277" spans="1:147" ht="10.199999999999999" customHeight="1">
      <c r="A277" s="48" t="s">
        <v>747</v>
      </c>
      <c r="B277" s="88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80"/>
      <c r="O277" s="399"/>
      <c r="P277" s="399"/>
      <c r="Q277" s="399"/>
      <c r="R277" s="425"/>
      <c r="S277" s="399"/>
      <c r="T277" s="399"/>
      <c r="U277" s="338"/>
      <c r="V277" s="399"/>
      <c r="W277" s="399"/>
      <c r="X277" s="399"/>
      <c r="Y277" s="425"/>
      <c r="Z277" s="399"/>
      <c r="AA277" s="399"/>
      <c r="AB277" s="338"/>
      <c r="AC277" s="399"/>
      <c r="AD277" s="399"/>
      <c r="AE277" s="399"/>
      <c r="AF277" s="425"/>
      <c r="AG277" s="399"/>
      <c r="AH277" s="399"/>
      <c r="AI277" s="338"/>
      <c r="AJ277" s="399"/>
      <c r="AK277" s="399"/>
      <c r="AL277" s="399"/>
      <c r="AM277" s="425"/>
      <c r="AN277" s="399"/>
      <c r="AO277" s="399"/>
      <c r="AP277" s="338"/>
      <c r="AQ277" s="399"/>
      <c r="AR277" s="399"/>
      <c r="AS277" s="399"/>
      <c r="AT277" s="425"/>
      <c r="AU277" s="399"/>
      <c r="AV277" s="399"/>
      <c r="AW277" s="338"/>
      <c r="AX277" s="399"/>
      <c r="AY277" s="399"/>
      <c r="AZ277" s="399"/>
      <c r="BA277" s="425"/>
      <c r="BB277" s="399"/>
      <c r="BC277" s="399"/>
      <c r="BD277" s="338"/>
      <c r="BE277" s="399"/>
      <c r="BF277" s="399"/>
      <c r="BG277" s="399"/>
      <c r="BH277" s="425"/>
      <c r="BI277" s="399"/>
      <c r="BJ277" s="399"/>
      <c r="BK277" s="338"/>
      <c r="BL277" s="399"/>
      <c r="BM277" s="399"/>
      <c r="BN277" s="399"/>
      <c r="BO277" s="425"/>
      <c r="BP277" s="399"/>
      <c r="BQ277" s="399"/>
      <c r="BR277" s="338"/>
      <c r="BS277" s="399"/>
      <c r="BT277" s="399"/>
      <c r="BU277" s="399"/>
      <c r="BV277" s="425"/>
      <c r="BW277" s="399"/>
      <c r="BX277" s="399"/>
      <c r="BY277" s="338"/>
      <c r="BZ277" s="399"/>
      <c r="CA277" s="399"/>
      <c r="CB277" s="399"/>
      <c r="CC277" s="425"/>
      <c r="CD277" s="399"/>
      <c r="CE277" s="399"/>
      <c r="CF277" s="338"/>
      <c r="CG277" s="399"/>
      <c r="CH277" s="399"/>
      <c r="CI277" s="399"/>
      <c r="CJ277" s="425"/>
      <c r="CK277" s="399"/>
      <c r="CL277" s="399"/>
      <c r="CM277" s="338"/>
      <c r="CN277" s="399"/>
      <c r="CO277" s="399"/>
      <c r="CP277" s="399"/>
      <c r="CQ277" s="425"/>
      <c r="CR277" s="399"/>
      <c r="CS277" s="399"/>
      <c r="CT277" s="338"/>
      <c r="CU277" s="399"/>
      <c r="CV277" s="399"/>
      <c r="CW277" s="399"/>
      <c r="CX277" s="425"/>
      <c r="CY277" s="399"/>
      <c r="CZ277" s="399"/>
      <c r="DA277" s="338"/>
      <c r="DB277" s="399"/>
      <c r="DC277" s="399"/>
      <c r="DD277" s="299"/>
      <c r="DE277" s="425"/>
      <c r="DF277" s="399"/>
      <c r="DG277" s="399"/>
      <c r="DH277" s="338"/>
      <c r="DI277" s="399"/>
      <c r="DJ277" s="399"/>
      <c r="DK277" s="399"/>
      <c r="DL277" s="425"/>
      <c r="DM277" s="299"/>
      <c r="DN277" s="399"/>
      <c r="DO277" s="338"/>
      <c r="DP277" s="399"/>
      <c r="DQ277" s="399"/>
      <c r="DR277" s="399"/>
      <c r="DS277" s="425"/>
      <c r="DT277" s="399"/>
      <c r="DU277" s="399"/>
      <c r="DV277" s="338"/>
      <c r="DW277" s="399"/>
      <c r="DX277" s="399"/>
      <c r="DY277" s="399"/>
      <c r="DZ277" s="425"/>
      <c r="EA277" s="399"/>
      <c r="EB277" s="399"/>
      <c r="EC277" s="338"/>
      <c r="ED277" s="399"/>
      <c r="EE277" s="399"/>
      <c r="EF277" s="399"/>
      <c r="EG277" s="425"/>
      <c r="EH277" s="399"/>
      <c r="EI277" s="399"/>
      <c r="EJ277" s="338"/>
      <c r="EK277" s="399"/>
      <c r="EL277" s="399"/>
      <c r="EM277" s="399"/>
      <c r="EN277" s="425"/>
      <c r="EO277" s="399"/>
      <c r="EP277" s="399"/>
      <c r="EQ277" s="338"/>
    </row>
    <row r="278" spans="1:147" ht="10.199999999999999" customHeight="1">
      <c r="A278" s="130" t="str">
        <f t="shared" ref="A278:A305" si="1113">A242</f>
        <v>A220-100</v>
      </c>
      <c r="B278" s="130"/>
      <c r="C278" s="130">
        <f t="shared" ref="C278:CM278" si="1114">C242/C$275</f>
        <v>0</v>
      </c>
      <c r="D278" s="130">
        <f t="shared" si="1114"/>
        <v>0</v>
      </c>
      <c r="E278" s="130">
        <f t="shared" si="1114"/>
        <v>0</v>
      </c>
      <c r="F278" s="130">
        <f t="shared" si="1114"/>
        <v>0</v>
      </c>
      <c r="G278" s="130">
        <f t="shared" si="1114"/>
        <v>0</v>
      </c>
      <c r="H278" s="130">
        <f t="shared" si="1114"/>
        <v>0</v>
      </c>
      <c r="I278" s="130">
        <f t="shared" si="1114"/>
        <v>0</v>
      </c>
      <c r="J278" s="130">
        <f t="shared" si="1114"/>
        <v>0</v>
      </c>
      <c r="K278" s="130">
        <f t="shared" si="1114"/>
        <v>0</v>
      </c>
      <c r="L278" s="130">
        <f t="shared" si="1114"/>
        <v>0</v>
      </c>
      <c r="M278" s="130">
        <f t="shared" si="1114"/>
        <v>0</v>
      </c>
      <c r="N278" s="130">
        <f t="shared" si="1114"/>
        <v>0</v>
      </c>
      <c r="O278" s="317"/>
      <c r="P278" s="130"/>
      <c r="Q278" s="317"/>
      <c r="R278" s="698"/>
      <c r="S278" s="317"/>
      <c r="T278" s="130"/>
      <c r="U278" s="619">
        <f t="shared" si="1114"/>
        <v>0</v>
      </c>
      <c r="V278" s="317"/>
      <c r="W278" s="130"/>
      <c r="X278" s="317"/>
      <c r="Y278" s="698"/>
      <c r="Z278" s="317"/>
      <c r="AA278" s="130"/>
      <c r="AB278" s="619">
        <f t="shared" si="1114"/>
        <v>0</v>
      </c>
      <c r="AC278" s="317"/>
      <c r="AD278" s="130"/>
      <c r="AE278" s="317"/>
      <c r="AF278" s="698"/>
      <c r="AG278" s="317"/>
      <c r="AH278" s="130"/>
      <c r="AI278" s="619">
        <f t="shared" si="1114"/>
        <v>0</v>
      </c>
      <c r="AJ278" s="317"/>
      <c r="AK278" s="130"/>
      <c r="AL278" s="317"/>
      <c r="AM278" s="698"/>
      <c r="AN278" s="317"/>
      <c r="AO278" s="130"/>
      <c r="AP278" s="619">
        <f t="shared" si="1114"/>
        <v>0</v>
      </c>
      <c r="AQ278" s="317"/>
      <c r="AR278" s="130"/>
      <c r="AS278" s="317"/>
      <c r="AT278" s="698"/>
      <c r="AU278" s="317"/>
      <c r="AV278" s="130"/>
      <c r="AW278" s="619">
        <f t="shared" si="1114"/>
        <v>0</v>
      </c>
      <c r="AX278" s="317"/>
      <c r="AY278" s="130"/>
      <c r="AZ278" s="317"/>
      <c r="BA278" s="698"/>
      <c r="BB278" s="317"/>
      <c r="BC278" s="130"/>
      <c r="BD278" s="619">
        <f t="shared" si="1114"/>
        <v>0</v>
      </c>
      <c r="BE278" s="317"/>
      <c r="BF278" s="130"/>
      <c r="BG278" s="317"/>
      <c r="BH278" s="698"/>
      <c r="BI278" s="317"/>
      <c r="BJ278" s="130"/>
      <c r="BK278" s="619">
        <f t="shared" si="1114"/>
        <v>134.15906475271854</v>
      </c>
      <c r="BL278" s="317"/>
      <c r="BM278" s="130"/>
      <c r="BN278" s="317"/>
      <c r="BO278" s="698"/>
      <c r="BP278" s="317"/>
      <c r="BQ278" s="130"/>
      <c r="BR278" s="619">
        <f t="shared" si="1114"/>
        <v>860.625</v>
      </c>
      <c r="BS278" s="317"/>
      <c r="BT278" s="130"/>
      <c r="BU278" s="317"/>
      <c r="BV278" s="698"/>
      <c r="BW278" s="317"/>
      <c r="BX278" s="130"/>
      <c r="BY278" s="619">
        <f t="shared" si="1114"/>
        <v>352.44897270256428</v>
      </c>
      <c r="BZ278" s="317"/>
      <c r="CA278" s="130"/>
      <c r="CB278" s="317"/>
      <c r="CC278" s="698"/>
      <c r="CD278" s="317"/>
      <c r="CE278" s="130"/>
      <c r="CF278" s="619">
        <f t="shared" si="1114"/>
        <v>86.328021321616433</v>
      </c>
      <c r="CG278" s="317"/>
      <c r="CH278" s="130"/>
      <c r="CI278" s="317"/>
      <c r="CJ278" s="698"/>
      <c r="CK278" s="317"/>
      <c r="CL278" s="130"/>
      <c r="CM278" s="619">
        <f t="shared" si="1114"/>
        <v>183.72180373361235</v>
      </c>
      <c r="CN278" s="317">
        <f t="shared" ref="CN278:CP306" si="1115">CN242/CN$275</f>
        <v>0</v>
      </c>
      <c r="CO278" s="130">
        <f>CR278-CN278</f>
        <v>0</v>
      </c>
      <c r="CP278" s="317">
        <f t="shared" si="1115"/>
        <v>0</v>
      </c>
      <c r="CQ278" s="698">
        <f>CS278-CP278</f>
        <v>95.879583893117001</v>
      </c>
      <c r="CR278" s="317">
        <f t="shared" ref="CR278:CR306" si="1116">CR242/CR$275</f>
        <v>0</v>
      </c>
      <c r="CS278" s="130">
        <f>CT278-CR278</f>
        <v>95.879583893117001</v>
      </c>
      <c r="CT278" s="619">
        <f t="shared" ref="CT278:CU306" si="1117">CT242/CT$275</f>
        <v>95.879583893117001</v>
      </c>
      <c r="CU278" s="317">
        <f t="shared" si="1117"/>
        <v>32.117127549979756</v>
      </c>
      <c r="CV278" s="130">
        <f>CY278-CU278</f>
        <v>97.841241537626161</v>
      </c>
      <c r="CW278" s="317">
        <f t="shared" ref="CW278" si="1118">CW242/CW$275</f>
        <v>64.868344773861679</v>
      </c>
      <c r="CX278" s="698">
        <f>CZ278-CW278</f>
        <v>132.02294776496549</v>
      </c>
      <c r="CY278" s="317">
        <f t="shared" ref="CY278:CY306" si="1119">CY242/CY$275</f>
        <v>129.95836908760592</v>
      </c>
      <c r="CZ278" s="130">
        <f>DA278-CY278</f>
        <v>196.89129253882717</v>
      </c>
      <c r="DA278" s="619">
        <f t="shared" ref="DA278:DB278" si="1120">DA242/DA$275</f>
        <v>326.84966162643309</v>
      </c>
      <c r="DB278" s="317">
        <f t="shared" si="1120"/>
        <v>34.28117847924706</v>
      </c>
      <c r="DC278" s="130">
        <f>DF278-DB278</f>
        <v>66.919195881910611</v>
      </c>
      <c r="DD278" s="130">
        <f t="shared" ref="DD278:DD306" si="1121">DD242/DD$275</f>
        <v>32.502965962619314</v>
      </c>
      <c r="DE278" s="698">
        <f>DG278-DD278</f>
        <v>31.371944662726463</v>
      </c>
      <c r="DF278" s="317">
        <f t="shared" ref="DF278:DF306" si="1122">DF242/DF$275</f>
        <v>101.20037436115767</v>
      </c>
      <c r="DG278" s="130">
        <f>DH278-DF278</f>
        <v>63.874910625345777</v>
      </c>
      <c r="DH278" s="619">
        <f t="shared" ref="DH278:DI306" si="1123">DH242/DH$275</f>
        <v>165.07528498650345</v>
      </c>
      <c r="DI278" s="317">
        <f t="shared" si="1123"/>
        <v>32.940491958443786</v>
      </c>
      <c r="DJ278" s="130">
        <f>DM278-DI278</f>
        <v>2.1091808016215907E-2</v>
      </c>
      <c r="DK278" s="617">
        <f t="shared" ref="DK278:DK307" si="1124">DK242/DK$275</f>
        <v>84.102126800957365</v>
      </c>
      <c r="DL278" s="618">
        <f>DN278-DK278</f>
        <v>245.24764813612848</v>
      </c>
      <c r="DM278" s="130">
        <f t="shared" ref="DM278:DM305" si="1125">DM242/DM$275</f>
        <v>32.961583766460002</v>
      </c>
      <c r="DN278" s="617">
        <f>DO278-DM278</f>
        <v>329.34977493708584</v>
      </c>
      <c r="DO278" s="651">
        <f t="shared" ref="DO278:DP307" si="1126">DO242/DO$275</f>
        <v>362.31135870354586</v>
      </c>
      <c r="DP278" s="617">
        <f t="shared" si="1126"/>
        <v>105.89440799522659</v>
      </c>
      <c r="DQ278" s="617">
        <f>DT278-DP278</f>
        <v>96.343454210586842</v>
      </c>
      <c r="DR278" s="617">
        <f t="shared" ref="DR278:DR307" si="1127">DR242/DR$275</f>
        <v>96.341142262750566</v>
      </c>
      <c r="DS278" s="618">
        <f>DU278-DR278</f>
        <v>96.317279879856926</v>
      </c>
      <c r="DT278" s="617">
        <f t="shared" ref="DT278:DT307" si="1128">DT242/DT$275</f>
        <v>202.23786220581343</v>
      </c>
      <c r="DU278" s="617">
        <f>DV278-DT278</f>
        <v>192.65842214260749</v>
      </c>
      <c r="DV278" s="651">
        <f t="shared" ref="DV278:DW307" si="1129">DV242/DV$275</f>
        <v>394.89628434842092</v>
      </c>
      <c r="DW278" s="617">
        <f t="shared" si="1129"/>
        <v>98.642986571068107</v>
      </c>
      <c r="DX278" s="617">
        <f>EA278-DW278</f>
        <v>98.675838074924954</v>
      </c>
      <c r="DY278" s="617">
        <f t="shared" ref="DY278:DY307" si="1130">DY242/DY$275</f>
        <v>98.676250576590633</v>
      </c>
      <c r="DZ278" s="618">
        <f>EB278-DY278</f>
        <v>98.676968061810044</v>
      </c>
      <c r="EA278" s="617">
        <f t="shared" ref="EA278:EA307" si="1131">EA242/EA$275</f>
        <v>197.31882464599306</v>
      </c>
      <c r="EB278" s="617">
        <f>EC278-EA278</f>
        <v>197.35321863840068</v>
      </c>
      <c r="EC278" s="651">
        <f t="shared" ref="EC278:ED307" si="1132">EC242/EC$275</f>
        <v>394.67204328439374</v>
      </c>
      <c r="ED278" s="617">
        <f t="shared" si="1132"/>
        <v>99.282171955799882</v>
      </c>
      <c r="EE278" s="617">
        <f>EH278-ED278</f>
        <v>99.280950182120321</v>
      </c>
      <c r="EF278" s="617">
        <f t="shared" ref="EF278:EF307" si="1133">EF242/EF$275</f>
        <v>99.280755236017015</v>
      </c>
      <c r="EG278" s="618">
        <f>EI278-EF278</f>
        <v>99.280765672896294</v>
      </c>
      <c r="EH278" s="617">
        <f t="shared" ref="EH278:EH307" si="1134">EH242/EH$275</f>
        <v>198.5631221379202</v>
      </c>
      <c r="EI278" s="617">
        <f>EJ278-EH278</f>
        <v>198.56152090891331</v>
      </c>
      <c r="EJ278" s="651">
        <f t="shared" ref="EJ278:EK307" si="1135">EJ242/EJ$275</f>
        <v>397.12464304683351</v>
      </c>
      <c r="EK278" s="617">
        <f t="shared" si="1135"/>
        <v>100.81628159291243</v>
      </c>
      <c r="EL278" s="617">
        <f>EO278-EK278</f>
        <v>100.8168286380516</v>
      </c>
      <c r="EM278" s="617">
        <f t="shared" ref="EM278:EM307" si="1136">EM242/EM$275</f>
        <v>100.81691531258583</v>
      </c>
      <c r="EN278" s="618">
        <f>EP278-EM278</f>
        <v>100.81687671641141</v>
      </c>
      <c r="EO278" s="617">
        <f t="shared" ref="EO278:EO307" si="1137">EO242/EO$275</f>
        <v>201.63311023096404</v>
      </c>
      <c r="EP278" s="617">
        <f>EQ278-EO278</f>
        <v>201.63379202899725</v>
      </c>
      <c r="EQ278" s="651">
        <f t="shared" ref="EQ278:EQ306" si="1138">EQ242/EQ$275</f>
        <v>403.26690225996128</v>
      </c>
    </row>
    <row r="279" spans="1:147" ht="10.199999999999999" customHeight="1">
      <c r="A279" s="130" t="str">
        <f t="shared" si="1113"/>
        <v>A220-300</v>
      </c>
      <c r="B279" s="130"/>
      <c r="C279" s="130">
        <f t="shared" ref="C279:BR279" si="1139">C243/C$275</f>
        <v>0</v>
      </c>
      <c r="D279" s="130">
        <f t="shared" si="1139"/>
        <v>0</v>
      </c>
      <c r="E279" s="130">
        <f t="shared" si="1139"/>
        <v>0</v>
      </c>
      <c r="F279" s="130">
        <f t="shared" si="1139"/>
        <v>0</v>
      </c>
      <c r="G279" s="130">
        <f t="shared" si="1139"/>
        <v>0</v>
      </c>
      <c r="H279" s="130">
        <f t="shared" si="1139"/>
        <v>0</v>
      </c>
      <c r="I279" s="130">
        <f t="shared" si="1139"/>
        <v>0</v>
      </c>
      <c r="J279" s="130">
        <f t="shared" si="1139"/>
        <v>0</v>
      </c>
      <c r="K279" s="130">
        <f t="shared" si="1139"/>
        <v>0</v>
      </c>
      <c r="L279" s="130">
        <f t="shared" si="1139"/>
        <v>0</v>
      </c>
      <c r="M279" s="130">
        <f t="shared" si="1139"/>
        <v>0</v>
      </c>
      <c r="N279" s="130">
        <f t="shared" si="1139"/>
        <v>0</v>
      </c>
      <c r="O279" s="317"/>
      <c r="P279" s="130"/>
      <c r="Q279" s="317"/>
      <c r="R279" s="698"/>
      <c r="S279" s="317"/>
      <c r="T279" s="130"/>
      <c r="U279" s="619">
        <f t="shared" si="1139"/>
        <v>0</v>
      </c>
      <c r="V279" s="317"/>
      <c r="W279" s="130"/>
      <c r="X279" s="317"/>
      <c r="Y279" s="698"/>
      <c r="Z279" s="317"/>
      <c r="AA279" s="130"/>
      <c r="AB279" s="619">
        <f t="shared" si="1139"/>
        <v>0</v>
      </c>
      <c r="AC279" s="317"/>
      <c r="AD279" s="130"/>
      <c r="AE279" s="317"/>
      <c r="AF279" s="698"/>
      <c r="AG279" s="317"/>
      <c r="AH279" s="130"/>
      <c r="AI279" s="619">
        <f t="shared" si="1139"/>
        <v>0</v>
      </c>
      <c r="AJ279" s="317"/>
      <c r="AK279" s="130"/>
      <c r="AL279" s="317"/>
      <c r="AM279" s="698"/>
      <c r="AN279" s="317"/>
      <c r="AO279" s="130"/>
      <c r="AP279" s="619">
        <f t="shared" si="1139"/>
        <v>0</v>
      </c>
      <c r="AQ279" s="317"/>
      <c r="AR279" s="130"/>
      <c r="AS279" s="317"/>
      <c r="AT279" s="698"/>
      <c r="AU279" s="317"/>
      <c r="AV279" s="130"/>
      <c r="AW279" s="619">
        <f t="shared" si="1139"/>
        <v>0</v>
      </c>
      <c r="AX279" s="317"/>
      <c r="AY279" s="130"/>
      <c r="AZ279" s="317"/>
      <c r="BA279" s="698"/>
      <c r="BB279" s="317"/>
      <c r="BC279" s="130"/>
      <c r="BD279" s="619">
        <f t="shared" si="1139"/>
        <v>0</v>
      </c>
      <c r="BE279" s="317"/>
      <c r="BF279" s="130"/>
      <c r="BG279" s="317"/>
      <c r="BH279" s="698"/>
      <c r="BI279" s="317"/>
      <c r="BJ279" s="130"/>
      <c r="BK279" s="619">
        <f t="shared" si="1139"/>
        <v>606.20021851228375</v>
      </c>
      <c r="BL279" s="317"/>
      <c r="BM279" s="130"/>
      <c r="BN279" s="317"/>
      <c r="BO279" s="698"/>
      <c r="BP279" s="317"/>
      <c r="BQ279" s="130"/>
      <c r="BR279" s="619">
        <f t="shared" si="1139"/>
        <v>894.41250000000014</v>
      </c>
      <c r="BS279" s="317"/>
      <c r="BT279" s="130"/>
      <c r="BU279" s="317"/>
      <c r="BV279" s="698"/>
      <c r="BW279" s="317"/>
      <c r="BX279" s="130"/>
      <c r="BY279" s="619">
        <f t="shared" ref="BY279:BY306" si="1140">BY243/BY$275</f>
        <v>1114.7830469925552</v>
      </c>
      <c r="BZ279" s="317"/>
      <c r="CA279" s="130"/>
      <c r="CB279" s="317"/>
      <c r="CC279" s="698"/>
      <c r="CD279" s="317"/>
      <c r="CE279" s="130"/>
      <c r="CF279" s="619">
        <f t="shared" ref="CF279:CM306" si="1141">CF243/CF$275</f>
        <v>1527.7928217844092</v>
      </c>
      <c r="CG279" s="317"/>
      <c r="CH279" s="130"/>
      <c r="CI279" s="317"/>
      <c r="CJ279" s="698"/>
      <c r="CK279" s="317"/>
      <c r="CL279" s="130"/>
      <c r="CM279" s="619">
        <f t="shared" si="1141"/>
        <v>1625.7111460008232</v>
      </c>
      <c r="CN279" s="317">
        <f t="shared" si="1115"/>
        <v>359.58484791978634</v>
      </c>
      <c r="CO279" s="130">
        <f t="shared" ref="CO279:CO307" si="1142">CR279-CN279</f>
        <v>536.68053663419118</v>
      </c>
      <c r="CP279" s="317">
        <f t="shared" si="1115"/>
        <v>579.2430032250254</v>
      </c>
      <c r="CQ279" s="698">
        <f t="shared" ref="CQ279:CQ308" si="1143">CS279-CP279</f>
        <v>871.17402046920006</v>
      </c>
      <c r="CR279" s="317">
        <f t="shared" si="1116"/>
        <v>896.26538455397758</v>
      </c>
      <c r="CS279" s="130">
        <f t="shared" ref="CS279:CS308" si="1144">CT279-CR279</f>
        <v>1450.4170236942255</v>
      </c>
      <c r="CT279" s="619">
        <f t="shared" si="1117"/>
        <v>2346.682408248203</v>
      </c>
      <c r="CU279" s="317">
        <f t="shared" si="1117"/>
        <v>399.08504788956321</v>
      </c>
      <c r="CV279" s="130">
        <f t="shared" ref="CV279:CV307" si="1145">CY279-CU279</f>
        <v>481.74389814865452</v>
      </c>
      <c r="CW279" s="317">
        <f t="shared" ref="CW279" si="1146">CW243/CW$275</f>
        <v>549.57903211188352</v>
      </c>
      <c r="CX279" s="698">
        <f t="shared" ref="CX279:CX308" si="1147">CZ279-CW279</f>
        <v>969.51592619954147</v>
      </c>
      <c r="CY279" s="317">
        <f t="shared" si="1119"/>
        <v>880.82894603821774</v>
      </c>
      <c r="CZ279" s="130">
        <f t="shared" ref="CZ279:CZ308" si="1148">DA279-CY279</f>
        <v>1519.094958311425</v>
      </c>
      <c r="DA279" s="619">
        <f t="shared" ref="DA279:DB279" si="1149">DA243/DA$275</f>
        <v>2399.9239043496427</v>
      </c>
      <c r="DB279" s="317">
        <f t="shared" si="1149"/>
        <v>619.60055918046532</v>
      </c>
      <c r="DC279" s="130">
        <f t="shared" ref="DC279:DC307" si="1150">DF279-DB279</f>
        <v>828.43936532054363</v>
      </c>
      <c r="DD279" s="130">
        <f t="shared" si="1121"/>
        <v>734.32626804436222</v>
      </c>
      <c r="DE279" s="698">
        <f t="shared" ref="DE279:DE308" si="1151">DG279-DD279</f>
        <v>1099.5750289640746</v>
      </c>
      <c r="DF279" s="317">
        <f t="shared" si="1122"/>
        <v>1448.039924501009</v>
      </c>
      <c r="DG279" s="130">
        <f t="shared" ref="DG279:DG308" si="1152">DH279-DF279</f>
        <v>1833.9012970084368</v>
      </c>
      <c r="DH279" s="619">
        <f t="shared" si="1123"/>
        <v>3281.9412215094458</v>
      </c>
      <c r="DI279" s="317">
        <f t="shared" si="1123"/>
        <v>669.79000315502367</v>
      </c>
      <c r="DJ279" s="130">
        <f t="shared" ref="DJ279:DJ308" si="1153">DM279-DI279</f>
        <v>931.28840831580192</v>
      </c>
      <c r="DK279" s="617">
        <f t="shared" si="1124"/>
        <v>855.03828914306655</v>
      </c>
      <c r="DL279" s="618">
        <f t="shared" ref="DL279:DL308" si="1154">DN279-DK279</f>
        <v>1227.3821128721572</v>
      </c>
      <c r="DM279" s="130">
        <f t="shared" si="1125"/>
        <v>1601.0784114708256</v>
      </c>
      <c r="DN279" s="617">
        <f t="shared" ref="DN279:DN308" si="1155">DO279-DM279</f>
        <v>2082.4204020152238</v>
      </c>
      <c r="DO279" s="651">
        <f t="shared" si="1126"/>
        <v>3683.4988134860491</v>
      </c>
      <c r="DP279" s="617">
        <f t="shared" si="1126"/>
        <v>1076.59314795147</v>
      </c>
      <c r="DQ279" s="617">
        <f t="shared" ref="DQ279:DQ308" si="1156">DT279-DP279</f>
        <v>979.49178447429881</v>
      </c>
      <c r="DR279" s="617">
        <f t="shared" si="1127"/>
        <v>979.46827967129718</v>
      </c>
      <c r="DS279" s="618">
        <f t="shared" ref="DS279:DS308" si="1157">DU279-DR279</f>
        <v>979.2256787785451</v>
      </c>
      <c r="DT279" s="617">
        <f t="shared" si="1128"/>
        <v>2056.0849324257688</v>
      </c>
      <c r="DU279" s="617">
        <f t="shared" ref="DU279:DU308" si="1158">DV279-DT279</f>
        <v>1958.6939584498423</v>
      </c>
      <c r="DV279" s="651">
        <f t="shared" si="1129"/>
        <v>4014.7788908756111</v>
      </c>
      <c r="DW279" s="617">
        <f t="shared" si="1129"/>
        <v>1002.8703634725255</v>
      </c>
      <c r="DX279" s="617">
        <f t="shared" ref="DX279:DX308" si="1159">EA279-DW279</f>
        <v>1003.2043537617367</v>
      </c>
      <c r="DY279" s="617">
        <f t="shared" si="1130"/>
        <v>1003.208547528671</v>
      </c>
      <c r="DZ279" s="618">
        <f t="shared" ref="DZ279:DZ308" si="1160">EB279-DY279</f>
        <v>1003.2158419617351</v>
      </c>
      <c r="EA279" s="617">
        <f t="shared" si="1131"/>
        <v>2006.0747172342622</v>
      </c>
      <c r="EB279" s="617">
        <f t="shared" ref="EB279:EB308" si="1161">EC279-EA279</f>
        <v>2006.4243894904062</v>
      </c>
      <c r="EC279" s="651">
        <f t="shared" si="1132"/>
        <v>4012.4991067246683</v>
      </c>
      <c r="ED279" s="617">
        <f t="shared" si="1132"/>
        <v>1009.3687482172984</v>
      </c>
      <c r="EE279" s="617">
        <f t="shared" ref="EE279:EE308" si="1162">EH279-ED279</f>
        <v>1009.3563268515563</v>
      </c>
      <c r="EF279" s="617">
        <f t="shared" si="1133"/>
        <v>1009.3543448995059</v>
      </c>
      <c r="EG279" s="618">
        <f t="shared" ref="EG279:EG308" si="1163">EI279-EF279</f>
        <v>1009.3544510077785</v>
      </c>
      <c r="EH279" s="617">
        <f t="shared" si="1134"/>
        <v>2018.7250750688547</v>
      </c>
      <c r="EI279" s="617">
        <f t="shared" ref="EI279:EI308" si="1164">EJ279-EH279</f>
        <v>2018.7087959072844</v>
      </c>
      <c r="EJ279" s="651">
        <f t="shared" si="1135"/>
        <v>4037.4338709761391</v>
      </c>
      <c r="EK279" s="617">
        <f t="shared" si="1135"/>
        <v>1024.9655295279429</v>
      </c>
      <c r="EL279" s="617">
        <f t="shared" ref="EL279:EL308" si="1165">EO279-EK279</f>
        <v>1024.9710911535242</v>
      </c>
      <c r="EM279" s="617">
        <f t="shared" si="1136"/>
        <v>1024.9719723446224</v>
      </c>
      <c r="EN279" s="618">
        <f t="shared" ref="EN279:EN308" si="1166">EP279-EM279</f>
        <v>1024.9715799501832</v>
      </c>
      <c r="EO279" s="617">
        <f t="shared" si="1137"/>
        <v>2049.936620681467</v>
      </c>
      <c r="EP279" s="617">
        <f t="shared" ref="EP279:EP308" si="1167">EQ279-EO279</f>
        <v>2049.9435522948056</v>
      </c>
      <c r="EQ279" s="651">
        <f t="shared" si="1138"/>
        <v>4099.8801729762727</v>
      </c>
    </row>
    <row r="280" spans="1:147" ht="10.199999999999999" customHeight="1">
      <c r="A280" s="92" t="str">
        <f t="shared" si="1113"/>
        <v>A220</v>
      </c>
      <c r="B280" s="92"/>
      <c r="C280" s="92">
        <f t="shared" ref="C280:BR280" si="1168">C244/C$275</f>
        <v>0</v>
      </c>
      <c r="D280" s="92">
        <f t="shared" si="1168"/>
        <v>0</v>
      </c>
      <c r="E280" s="92">
        <f t="shared" si="1168"/>
        <v>0</v>
      </c>
      <c r="F280" s="92">
        <f t="shared" si="1168"/>
        <v>0</v>
      </c>
      <c r="G280" s="92">
        <f t="shared" si="1168"/>
        <v>0</v>
      </c>
      <c r="H280" s="92">
        <f t="shared" si="1168"/>
        <v>0</v>
      </c>
      <c r="I280" s="92">
        <f t="shared" si="1168"/>
        <v>0</v>
      </c>
      <c r="J280" s="92">
        <f t="shared" si="1168"/>
        <v>0</v>
      </c>
      <c r="K280" s="92">
        <f t="shared" si="1168"/>
        <v>0</v>
      </c>
      <c r="L280" s="92">
        <f t="shared" si="1168"/>
        <v>0</v>
      </c>
      <c r="M280" s="92">
        <f t="shared" si="1168"/>
        <v>0</v>
      </c>
      <c r="N280" s="92">
        <f t="shared" si="1168"/>
        <v>0</v>
      </c>
      <c r="O280" s="319"/>
      <c r="P280" s="92"/>
      <c r="Q280" s="319"/>
      <c r="R280" s="699"/>
      <c r="S280" s="319"/>
      <c r="T280" s="92"/>
      <c r="U280" s="1289">
        <f t="shared" si="1168"/>
        <v>0</v>
      </c>
      <c r="V280" s="319"/>
      <c r="W280" s="92"/>
      <c r="X280" s="319"/>
      <c r="Y280" s="699"/>
      <c r="Z280" s="319"/>
      <c r="AA280" s="92"/>
      <c r="AB280" s="1289">
        <f t="shared" si="1168"/>
        <v>0</v>
      </c>
      <c r="AC280" s="319"/>
      <c r="AD280" s="92"/>
      <c r="AE280" s="319"/>
      <c r="AF280" s="699"/>
      <c r="AG280" s="319"/>
      <c r="AH280" s="92"/>
      <c r="AI280" s="1289">
        <f t="shared" si="1168"/>
        <v>0</v>
      </c>
      <c r="AJ280" s="319"/>
      <c r="AK280" s="92"/>
      <c r="AL280" s="319"/>
      <c r="AM280" s="699"/>
      <c r="AN280" s="319"/>
      <c r="AO280" s="92"/>
      <c r="AP280" s="1289">
        <f t="shared" si="1168"/>
        <v>0</v>
      </c>
      <c r="AQ280" s="319"/>
      <c r="AR280" s="92"/>
      <c r="AS280" s="319"/>
      <c r="AT280" s="699"/>
      <c r="AU280" s="319"/>
      <c r="AV280" s="92"/>
      <c r="AW280" s="1289">
        <f t="shared" si="1168"/>
        <v>0</v>
      </c>
      <c r="AX280" s="319"/>
      <c r="AY280" s="92"/>
      <c r="AZ280" s="319"/>
      <c r="BA280" s="699"/>
      <c r="BB280" s="319"/>
      <c r="BC280" s="92"/>
      <c r="BD280" s="1289">
        <f t="shared" si="1168"/>
        <v>0</v>
      </c>
      <c r="BE280" s="319"/>
      <c r="BF280" s="92"/>
      <c r="BG280" s="319"/>
      <c r="BH280" s="699"/>
      <c r="BI280" s="319"/>
      <c r="BJ280" s="92"/>
      <c r="BK280" s="1289">
        <f t="shared" si="1168"/>
        <v>740.35928326500232</v>
      </c>
      <c r="BL280" s="319"/>
      <c r="BM280" s="92"/>
      <c r="BN280" s="319"/>
      <c r="BO280" s="699"/>
      <c r="BP280" s="319"/>
      <c r="BQ280" s="92"/>
      <c r="BR280" s="1289">
        <f t="shared" si="1168"/>
        <v>1755.0375000000001</v>
      </c>
      <c r="BS280" s="319"/>
      <c r="BT280" s="92"/>
      <c r="BU280" s="319"/>
      <c r="BV280" s="699"/>
      <c r="BW280" s="319"/>
      <c r="BX280" s="92"/>
      <c r="BY280" s="1289">
        <f t="shared" si="1140"/>
        <v>1467.2320196951196</v>
      </c>
      <c r="BZ280" s="319"/>
      <c r="CA280" s="92"/>
      <c r="CB280" s="319"/>
      <c r="CC280" s="699"/>
      <c r="CD280" s="319"/>
      <c r="CE280" s="92"/>
      <c r="CF280" s="1289">
        <f t="shared" si="1141"/>
        <v>1614.1208431060256</v>
      </c>
      <c r="CG280" s="319"/>
      <c r="CH280" s="92"/>
      <c r="CI280" s="319"/>
      <c r="CJ280" s="699"/>
      <c r="CK280" s="319"/>
      <c r="CL280" s="92"/>
      <c r="CM280" s="1289">
        <f t="shared" si="1141"/>
        <v>1809.4329497344354</v>
      </c>
      <c r="CN280" s="319">
        <f t="shared" si="1115"/>
        <v>359.58484791978634</v>
      </c>
      <c r="CO280" s="92">
        <f t="shared" si="1142"/>
        <v>536.68053663419118</v>
      </c>
      <c r="CP280" s="319">
        <f t="shared" si="1115"/>
        <v>579.2430032250254</v>
      </c>
      <c r="CQ280" s="699">
        <f t="shared" si="1143"/>
        <v>967.0536043623174</v>
      </c>
      <c r="CR280" s="319">
        <f t="shared" si="1116"/>
        <v>896.26538455397758</v>
      </c>
      <c r="CS280" s="92">
        <f t="shared" si="1144"/>
        <v>1546.2966075873428</v>
      </c>
      <c r="CT280" s="1289">
        <f t="shared" si="1117"/>
        <v>2442.5619921413204</v>
      </c>
      <c r="CU280" s="319">
        <f t="shared" si="1117"/>
        <v>431.202175439543</v>
      </c>
      <c r="CV280" s="92">
        <f t="shared" si="1145"/>
        <v>579.58513968628063</v>
      </c>
      <c r="CW280" s="319">
        <f t="shared" ref="CW280" si="1169">CW244/CW$275</f>
        <v>614.44737688574526</v>
      </c>
      <c r="CX280" s="699">
        <f t="shared" si="1147"/>
        <v>1101.5388739645073</v>
      </c>
      <c r="CY280" s="319">
        <f t="shared" si="1119"/>
        <v>1010.7873151258236</v>
      </c>
      <c r="CZ280" s="92">
        <f t="shared" si="1148"/>
        <v>1715.9862508502524</v>
      </c>
      <c r="DA280" s="1289">
        <f t="shared" ref="DA280:DB280" si="1170">DA244/DA$275</f>
        <v>2726.773565976076</v>
      </c>
      <c r="DB280" s="319">
        <f t="shared" si="1170"/>
        <v>653.88173765971237</v>
      </c>
      <c r="DC280" s="92">
        <f t="shared" si="1150"/>
        <v>895.35856120245421</v>
      </c>
      <c r="DD280" s="92">
        <f t="shared" si="1121"/>
        <v>766.82923400698144</v>
      </c>
      <c r="DE280" s="699">
        <f t="shared" si="1151"/>
        <v>1130.9469736268011</v>
      </c>
      <c r="DF280" s="319">
        <f t="shared" si="1122"/>
        <v>1549.2402988621666</v>
      </c>
      <c r="DG280" s="92">
        <f t="shared" si="1152"/>
        <v>1897.7762076337826</v>
      </c>
      <c r="DH280" s="1289">
        <f t="shared" si="1123"/>
        <v>3447.0165064959492</v>
      </c>
      <c r="DI280" s="319">
        <f t="shared" si="1123"/>
        <v>702.73049511346744</v>
      </c>
      <c r="DJ280" s="92">
        <f t="shared" si="1153"/>
        <v>931.30950012381822</v>
      </c>
      <c r="DK280" s="622">
        <f t="shared" si="1124"/>
        <v>939.14041594402397</v>
      </c>
      <c r="DL280" s="623">
        <f t="shared" si="1154"/>
        <v>1472.6297610082852</v>
      </c>
      <c r="DM280" s="92">
        <f t="shared" si="1125"/>
        <v>1634.0399952372857</v>
      </c>
      <c r="DN280" s="622">
        <f t="shared" si="1155"/>
        <v>2411.7701769523092</v>
      </c>
      <c r="DO280" s="652">
        <f t="shared" si="1126"/>
        <v>4045.8101721895946</v>
      </c>
      <c r="DP280" s="622">
        <f t="shared" si="1126"/>
        <v>1182.4875559466966</v>
      </c>
      <c r="DQ280" s="622">
        <f t="shared" si="1156"/>
        <v>1075.8352386848853</v>
      </c>
      <c r="DR280" s="622">
        <f t="shared" si="1127"/>
        <v>1075.8094219340478</v>
      </c>
      <c r="DS280" s="623">
        <f t="shared" si="1157"/>
        <v>1075.5429586584019</v>
      </c>
      <c r="DT280" s="622">
        <f t="shared" si="1128"/>
        <v>2258.3227946315819</v>
      </c>
      <c r="DU280" s="622">
        <f t="shared" si="1158"/>
        <v>2151.3523805924497</v>
      </c>
      <c r="DV280" s="652">
        <f t="shared" si="1129"/>
        <v>4409.6751752240316</v>
      </c>
      <c r="DW280" s="622">
        <f t="shared" si="1129"/>
        <v>1101.5133500435934</v>
      </c>
      <c r="DX280" s="622">
        <f t="shared" si="1159"/>
        <v>1101.8801918366619</v>
      </c>
      <c r="DY280" s="622">
        <f t="shared" si="1130"/>
        <v>1101.8847981052616</v>
      </c>
      <c r="DZ280" s="623">
        <f t="shared" si="1160"/>
        <v>1101.8928100235455</v>
      </c>
      <c r="EA280" s="622">
        <f t="shared" si="1131"/>
        <v>2203.3935418802553</v>
      </c>
      <c r="EB280" s="622">
        <f t="shared" si="1161"/>
        <v>2203.7776081288071</v>
      </c>
      <c r="EC280" s="652">
        <f t="shared" si="1132"/>
        <v>4407.1711500090623</v>
      </c>
      <c r="ED280" s="622">
        <f t="shared" si="1132"/>
        <v>1108.6509201730983</v>
      </c>
      <c r="EE280" s="622">
        <f t="shared" si="1162"/>
        <v>1108.6372770336766</v>
      </c>
      <c r="EF280" s="622">
        <f t="shared" si="1133"/>
        <v>1108.6351001355229</v>
      </c>
      <c r="EG280" s="623">
        <f t="shared" si="1163"/>
        <v>1108.6352166806746</v>
      </c>
      <c r="EH280" s="622">
        <f t="shared" si="1134"/>
        <v>2217.2881972067748</v>
      </c>
      <c r="EI280" s="622">
        <f t="shared" si="1164"/>
        <v>2217.2703168161975</v>
      </c>
      <c r="EJ280" s="652">
        <f t="shared" si="1135"/>
        <v>4434.5585140229723</v>
      </c>
      <c r="EK280" s="622">
        <f t="shared" si="1135"/>
        <v>1125.7818111208551</v>
      </c>
      <c r="EL280" s="622">
        <f t="shared" si="1165"/>
        <v>1125.7879197915761</v>
      </c>
      <c r="EM280" s="622">
        <f t="shared" si="1136"/>
        <v>1125.7888876572081</v>
      </c>
      <c r="EN280" s="623">
        <f t="shared" si="1166"/>
        <v>1125.7884566665937</v>
      </c>
      <c r="EO280" s="622">
        <f t="shared" si="1137"/>
        <v>2251.5697309124312</v>
      </c>
      <c r="EP280" s="622">
        <f t="shared" si="1167"/>
        <v>2251.5773443238018</v>
      </c>
      <c r="EQ280" s="652">
        <f t="shared" si="1138"/>
        <v>4503.1470752362329</v>
      </c>
    </row>
    <row r="281" spans="1:147" ht="10.199999999999999" hidden="1" customHeight="1" outlineLevel="1">
      <c r="A281" s="92" t="str">
        <f t="shared" si="1113"/>
        <v>A300</v>
      </c>
      <c r="B281" s="92"/>
      <c r="C281" s="92">
        <f t="shared" ref="C281:BR281" si="1171">C245/C$275</f>
        <v>0</v>
      </c>
      <c r="D281" s="92">
        <f t="shared" si="1171"/>
        <v>0</v>
      </c>
      <c r="E281" s="92">
        <f t="shared" si="1171"/>
        <v>0</v>
      </c>
      <c r="F281" s="92">
        <f t="shared" si="1171"/>
        <v>0</v>
      </c>
      <c r="G281" s="92">
        <f t="shared" si="1171"/>
        <v>0</v>
      </c>
      <c r="H281" s="92">
        <f t="shared" si="1171"/>
        <v>0</v>
      </c>
      <c r="I281" s="92">
        <f t="shared" si="1171"/>
        <v>0</v>
      </c>
      <c r="J281" s="92">
        <f t="shared" si="1171"/>
        <v>0</v>
      </c>
      <c r="K281" s="92">
        <f t="shared" si="1171"/>
        <v>0</v>
      </c>
      <c r="L281" s="92">
        <f t="shared" si="1171"/>
        <v>0</v>
      </c>
      <c r="M281" s="92">
        <f t="shared" si="1171"/>
        <v>0</v>
      </c>
      <c r="N281" s="92">
        <f t="shared" si="1171"/>
        <v>0</v>
      </c>
      <c r="O281" s="319"/>
      <c r="P281" s="130"/>
      <c r="Q281" s="319"/>
      <c r="R281" s="698"/>
      <c r="S281" s="319"/>
      <c r="T281" s="130"/>
      <c r="U281" s="1289">
        <f t="shared" si="1171"/>
        <v>0</v>
      </c>
      <c r="V281" s="319"/>
      <c r="W281" s="130"/>
      <c r="X281" s="319"/>
      <c r="Y281" s="698"/>
      <c r="Z281" s="319"/>
      <c r="AA281" s="130"/>
      <c r="AB281" s="1289">
        <f t="shared" si="1171"/>
        <v>0</v>
      </c>
      <c r="AC281" s="319"/>
      <c r="AD281" s="130"/>
      <c r="AE281" s="319"/>
      <c r="AF281" s="698"/>
      <c r="AG281" s="319"/>
      <c r="AH281" s="130"/>
      <c r="AI281" s="1289">
        <f t="shared" si="1171"/>
        <v>0</v>
      </c>
      <c r="AJ281" s="319"/>
      <c r="AK281" s="130"/>
      <c r="AL281" s="319"/>
      <c r="AM281" s="698"/>
      <c r="AN281" s="319"/>
      <c r="AO281" s="130"/>
      <c r="AP281" s="1289">
        <f t="shared" si="1171"/>
        <v>0</v>
      </c>
      <c r="AQ281" s="319"/>
      <c r="AR281" s="130"/>
      <c r="AS281" s="319"/>
      <c r="AT281" s="698"/>
      <c r="AU281" s="319"/>
      <c r="AV281" s="130"/>
      <c r="AW281" s="1289">
        <f t="shared" si="1171"/>
        <v>0</v>
      </c>
      <c r="AX281" s="319"/>
      <c r="AY281" s="130"/>
      <c r="AZ281" s="319"/>
      <c r="BA281" s="698"/>
      <c r="BB281" s="319"/>
      <c r="BC281" s="130"/>
      <c r="BD281" s="1289">
        <f t="shared" si="1171"/>
        <v>0</v>
      </c>
      <c r="BE281" s="319"/>
      <c r="BF281" s="130"/>
      <c r="BG281" s="319"/>
      <c r="BH281" s="698"/>
      <c r="BI281" s="319"/>
      <c r="BJ281" s="130"/>
      <c r="BK281" s="1289">
        <f t="shared" si="1171"/>
        <v>0</v>
      </c>
      <c r="BL281" s="319"/>
      <c r="BM281" s="130"/>
      <c r="BN281" s="319"/>
      <c r="BO281" s="698"/>
      <c r="BP281" s="319"/>
      <c r="BQ281" s="130"/>
      <c r="BR281" s="1289">
        <f t="shared" si="1171"/>
        <v>0</v>
      </c>
      <c r="BS281" s="319"/>
      <c r="BT281" s="130"/>
      <c r="BU281" s="319"/>
      <c r="BV281" s="698"/>
      <c r="BW281" s="319"/>
      <c r="BX281" s="130"/>
      <c r="BY281" s="1289">
        <f t="shared" si="1140"/>
        <v>0</v>
      </c>
      <c r="BZ281" s="319"/>
      <c r="CA281" s="130"/>
      <c r="CB281" s="319"/>
      <c r="CC281" s="698"/>
      <c r="CD281" s="319"/>
      <c r="CE281" s="130"/>
      <c r="CF281" s="1289">
        <f t="shared" si="1141"/>
        <v>0</v>
      </c>
      <c r="CG281" s="319"/>
      <c r="CH281" s="130"/>
      <c r="CI281" s="319"/>
      <c r="CJ281" s="698"/>
      <c r="CK281" s="319"/>
      <c r="CL281" s="130"/>
      <c r="CM281" s="1289">
        <f t="shared" si="1141"/>
        <v>0</v>
      </c>
      <c r="CN281" s="319">
        <f t="shared" si="1115"/>
        <v>0</v>
      </c>
      <c r="CO281" s="130">
        <f t="shared" si="1142"/>
        <v>0</v>
      </c>
      <c r="CP281" s="319">
        <f t="shared" si="1115"/>
        <v>0</v>
      </c>
      <c r="CQ281" s="698">
        <f t="shared" si="1143"/>
        <v>0</v>
      </c>
      <c r="CR281" s="319">
        <f t="shared" si="1116"/>
        <v>0</v>
      </c>
      <c r="CS281" s="130">
        <f t="shared" si="1144"/>
        <v>0</v>
      </c>
      <c r="CT281" s="1289">
        <f t="shared" si="1117"/>
        <v>0</v>
      </c>
      <c r="CU281" s="319">
        <f t="shared" si="1117"/>
        <v>0</v>
      </c>
      <c r="CV281" s="130">
        <f t="shared" si="1145"/>
        <v>0</v>
      </c>
      <c r="CW281" s="319">
        <f t="shared" ref="CW281" si="1172">CW245/CW$275</f>
        <v>0</v>
      </c>
      <c r="CX281" s="698">
        <f t="shared" si="1147"/>
        <v>0</v>
      </c>
      <c r="CY281" s="319">
        <f t="shared" si="1119"/>
        <v>0</v>
      </c>
      <c r="CZ281" s="130">
        <f t="shared" si="1148"/>
        <v>0</v>
      </c>
      <c r="DA281" s="1289">
        <f t="shared" ref="DA281:DB281" si="1173">DA245/DA$275</f>
        <v>0</v>
      </c>
      <c r="DB281" s="319">
        <f t="shared" si="1173"/>
        <v>0</v>
      </c>
      <c r="DC281" s="130">
        <f t="shared" si="1150"/>
        <v>0</v>
      </c>
      <c r="DD281" s="92">
        <f t="shared" si="1121"/>
        <v>0</v>
      </c>
      <c r="DE281" s="698">
        <f t="shared" si="1151"/>
        <v>0</v>
      </c>
      <c r="DF281" s="319">
        <f t="shared" si="1122"/>
        <v>0</v>
      </c>
      <c r="DG281" s="130">
        <f t="shared" si="1152"/>
        <v>0</v>
      </c>
      <c r="DH281" s="1289">
        <f t="shared" si="1123"/>
        <v>0</v>
      </c>
      <c r="DI281" s="319">
        <f t="shared" si="1123"/>
        <v>0</v>
      </c>
      <c r="DJ281" s="130">
        <f t="shared" si="1153"/>
        <v>0</v>
      </c>
      <c r="DK281" s="622">
        <f t="shared" si="1124"/>
        <v>0</v>
      </c>
      <c r="DL281" s="618">
        <f t="shared" si="1154"/>
        <v>0</v>
      </c>
      <c r="DM281" s="92">
        <f t="shared" si="1125"/>
        <v>0</v>
      </c>
      <c r="DN281" s="617">
        <f t="shared" si="1155"/>
        <v>0</v>
      </c>
      <c r="DO281" s="652">
        <f t="shared" si="1126"/>
        <v>0</v>
      </c>
      <c r="DP281" s="622">
        <f t="shared" si="1126"/>
        <v>0</v>
      </c>
      <c r="DQ281" s="617">
        <f t="shared" si="1156"/>
        <v>0</v>
      </c>
      <c r="DR281" s="622">
        <f t="shared" si="1127"/>
        <v>0</v>
      </c>
      <c r="DS281" s="618">
        <f t="shared" si="1157"/>
        <v>0</v>
      </c>
      <c r="DT281" s="622">
        <f t="shared" si="1128"/>
        <v>0</v>
      </c>
      <c r="DU281" s="617">
        <f t="shared" si="1158"/>
        <v>0</v>
      </c>
      <c r="DV281" s="652">
        <f t="shared" si="1129"/>
        <v>0</v>
      </c>
      <c r="DW281" s="622">
        <f t="shared" si="1129"/>
        <v>0</v>
      </c>
      <c r="DX281" s="617">
        <f t="shared" si="1159"/>
        <v>0</v>
      </c>
      <c r="DY281" s="622">
        <f t="shared" si="1130"/>
        <v>0</v>
      </c>
      <c r="DZ281" s="618">
        <f t="shared" si="1160"/>
        <v>0</v>
      </c>
      <c r="EA281" s="622">
        <f t="shared" si="1131"/>
        <v>0</v>
      </c>
      <c r="EB281" s="617">
        <f t="shared" si="1161"/>
        <v>0</v>
      </c>
      <c r="EC281" s="652">
        <f t="shared" si="1132"/>
        <v>0</v>
      </c>
      <c r="ED281" s="622">
        <f t="shared" si="1132"/>
        <v>0</v>
      </c>
      <c r="EE281" s="617">
        <f t="shared" si="1162"/>
        <v>0</v>
      </c>
      <c r="EF281" s="622">
        <f t="shared" si="1133"/>
        <v>0</v>
      </c>
      <c r="EG281" s="618">
        <f t="shared" si="1163"/>
        <v>0</v>
      </c>
      <c r="EH281" s="622">
        <f t="shared" si="1134"/>
        <v>0</v>
      </c>
      <c r="EI281" s="617">
        <f t="shared" si="1164"/>
        <v>0</v>
      </c>
      <c r="EJ281" s="652">
        <f t="shared" si="1135"/>
        <v>0</v>
      </c>
      <c r="EK281" s="622">
        <f t="shared" si="1135"/>
        <v>0</v>
      </c>
      <c r="EL281" s="617">
        <f t="shared" si="1165"/>
        <v>0</v>
      </c>
      <c r="EM281" s="622">
        <f t="shared" si="1136"/>
        <v>0</v>
      </c>
      <c r="EN281" s="618">
        <f t="shared" si="1166"/>
        <v>0</v>
      </c>
      <c r="EO281" s="622">
        <f t="shared" si="1137"/>
        <v>0</v>
      </c>
      <c r="EP281" s="617">
        <f t="shared" si="1167"/>
        <v>0</v>
      </c>
      <c r="EQ281" s="652">
        <f t="shared" si="1138"/>
        <v>0</v>
      </c>
    </row>
    <row r="282" spans="1:147" ht="10.199999999999999" hidden="1" customHeight="1" outlineLevel="1" collapsed="1">
      <c r="A282" s="130" t="str">
        <f t="shared" si="1113"/>
        <v>A318ceo</v>
      </c>
      <c r="B282" s="130"/>
      <c r="C282" s="130">
        <f t="shared" ref="C282:BR282" si="1174">C246/C$275</f>
        <v>0</v>
      </c>
      <c r="D282" s="130">
        <f t="shared" si="1174"/>
        <v>0</v>
      </c>
      <c r="E282" s="130">
        <f t="shared" si="1174"/>
        <v>298.52991502582222</v>
      </c>
      <c r="F282" s="130">
        <f t="shared" si="1174"/>
        <v>300.92233866036878</v>
      </c>
      <c r="G282" s="130">
        <f t="shared" si="1174"/>
        <v>270.47664285749966</v>
      </c>
      <c r="H282" s="130">
        <f t="shared" si="1174"/>
        <v>237.37004120207149</v>
      </c>
      <c r="I282" s="130">
        <f t="shared" si="1174"/>
        <v>499.95607743107001</v>
      </c>
      <c r="J282" s="130">
        <f t="shared" si="1174"/>
        <v>364.6229270753721</v>
      </c>
      <c r="K282" s="130">
        <f t="shared" si="1174"/>
        <v>168.21847557417297</v>
      </c>
      <c r="L282" s="130">
        <f t="shared" si="1174"/>
        <v>60.806808548515605</v>
      </c>
      <c r="M282" s="130">
        <f t="shared" si="1174"/>
        <v>62.75912690783511</v>
      </c>
      <c r="N282" s="130">
        <f t="shared" si="1174"/>
        <v>48.847820908798212</v>
      </c>
      <c r="O282" s="317"/>
      <c r="P282" s="130"/>
      <c r="Q282" s="317"/>
      <c r="R282" s="698"/>
      <c r="S282" s="317"/>
      <c r="T282" s="130"/>
      <c r="U282" s="619">
        <f t="shared" si="1174"/>
        <v>24.188707079021441</v>
      </c>
      <c r="V282" s="317"/>
      <c r="W282" s="130"/>
      <c r="X282" s="317"/>
      <c r="Y282" s="698"/>
      <c r="Z282" s="317"/>
      <c r="AA282" s="130"/>
      <c r="AB282" s="619">
        <f t="shared" si="1174"/>
        <v>0</v>
      </c>
      <c r="AC282" s="317"/>
      <c r="AD282" s="130"/>
      <c r="AE282" s="317"/>
      <c r="AF282" s="698"/>
      <c r="AG282" s="317"/>
      <c r="AH282" s="130"/>
      <c r="AI282" s="619">
        <f t="shared" si="1174"/>
        <v>36.407885763941437</v>
      </c>
      <c r="AJ282" s="317"/>
      <c r="AK282" s="130"/>
      <c r="AL282" s="317"/>
      <c r="AM282" s="698"/>
      <c r="AN282" s="317"/>
      <c r="AO282" s="130"/>
      <c r="AP282" s="619">
        <f t="shared" si="1174"/>
        <v>0</v>
      </c>
      <c r="AQ282" s="317"/>
      <c r="AR282" s="130"/>
      <c r="AS282" s="317"/>
      <c r="AT282" s="698"/>
      <c r="AU282" s="317"/>
      <c r="AV282" s="130"/>
      <c r="AW282" s="619">
        <f t="shared" si="1174"/>
        <v>0</v>
      </c>
      <c r="AX282" s="317"/>
      <c r="AY282" s="130"/>
      <c r="AZ282" s="317"/>
      <c r="BA282" s="698"/>
      <c r="BB282" s="317"/>
      <c r="BC282" s="130"/>
      <c r="BD282" s="619">
        <f t="shared" si="1174"/>
        <v>0</v>
      </c>
      <c r="BE282" s="317"/>
      <c r="BF282" s="130"/>
      <c r="BG282" s="317"/>
      <c r="BH282" s="698"/>
      <c r="BI282" s="317"/>
      <c r="BJ282" s="130"/>
      <c r="BK282" s="619">
        <f t="shared" si="1174"/>
        <v>0</v>
      </c>
      <c r="BL282" s="317"/>
      <c r="BM282" s="130"/>
      <c r="BN282" s="317"/>
      <c r="BO282" s="698"/>
      <c r="BP282" s="317"/>
      <c r="BQ282" s="130"/>
      <c r="BR282" s="619">
        <f t="shared" si="1174"/>
        <v>0</v>
      </c>
      <c r="BS282" s="317"/>
      <c r="BT282" s="130"/>
      <c r="BU282" s="317"/>
      <c r="BV282" s="698"/>
      <c r="BW282" s="317"/>
      <c r="BX282" s="130"/>
      <c r="BY282" s="619">
        <f t="shared" si="1140"/>
        <v>0</v>
      </c>
      <c r="BZ282" s="317"/>
      <c r="CA282" s="130"/>
      <c r="CB282" s="317"/>
      <c r="CC282" s="698"/>
      <c r="CD282" s="317"/>
      <c r="CE282" s="130"/>
      <c r="CF282" s="619">
        <f t="shared" si="1141"/>
        <v>0</v>
      </c>
      <c r="CG282" s="317"/>
      <c r="CH282" s="130"/>
      <c r="CI282" s="317"/>
      <c r="CJ282" s="698"/>
      <c r="CK282" s="317"/>
      <c r="CL282" s="130"/>
      <c r="CM282" s="619">
        <f t="shared" si="1141"/>
        <v>0</v>
      </c>
      <c r="CN282" s="317">
        <f t="shared" si="1115"/>
        <v>0</v>
      </c>
      <c r="CO282" s="130">
        <f t="shared" si="1142"/>
        <v>0</v>
      </c>
      <c r="CP282" s="317">
        <f t="shared" si="1115"/>
        <v>0</v>
      </c>
      <c r="CQ282" s="698">
        <f t="shared" si="1143"/>
        <v>0</v>
      </c>
      <c r="CR282" s="317">
        <f t="shared" si="1116"/>
        <v>0</v>
      </c>
      <c r="CS282" s="130">
        <f t="shared" si="1144"/>
        <v>0</v>
      </c>
      <c r="CT282" s="619">
        <f t="shared" si="1117"/>
        <v>0</v>
      </c>
      <c r="CU282" s="317">
        <f t="shared" si="1117"/>
        <v>0</v>
      </c>
      <c r="CV282" s="130">
        <f t="shared" si="1145"/>
        <v>0</v>
      </c>
      <c r="CW282" s="317">
        <f t="shared" ref="CW282" si="1175">CW246/CW$275</f>
        <v>0</v>
      </c>
      <c r="CX282" s="698">
        <f t="shared" si="1147"/>
        <v>0</v>
      </c>
      <c r="CY282" s="317">
        <f t="shared" si="1119"/>
        <v>0</v>
      </c>
      <c r="CZ282" s="130">
        <f t="shared" si="1148"/>
        <v>0</v>
      </c>
      <c r="DA282" s="619">
        <f t="shared" ref="DA282:DB282" si="1176">DA246/DA$275</f>
        <v>0</v>
      </c>
      <c r="DB282" s="317">
        <f t="shared" si="1176"/>
        <v>0</v>
      </c>
      <c r="DC282" s="130">
        <f t="shared" si="1150"/>
        <v>0</v>
      </c>
      <c r="DD282" s="130">
        <f t="shared" si="1121"/>
        <v>0</v>
      </c>
      <c r="DE282" s="698">
        <f t="shared" si="1151"/>
        <v>0</v>
      </c>
      <c r="DF282" s="317">
        <f t="shared" si="1122"/>
        <v>0</v>
      </c>
      <c r="DG282" s="130">
        <f t="shared" si="1152"/>
        <v>0</v>
      </c>
      <c r="DH282" s="619">
        <f t="shared" si="1123"/>
        <v>0</v>
      </c>
      <c r="DI282" s="317">
        <f t="shared" si="1123"/>
        <v>0</v>
      </c>
      <c r="DJ282" s="130">
        <f t="shared" si="1153"/>
        <v>0</v>
      </c>
      <c r="DK282" s="617">
        <f t="shared" si="1124"/>
        <v>0</v>
      </c>
      <c r="DL282" s="618">
        <f t="shared" si="1154"/>
        <v>0</v>
      </c>
      <c r="DM282" s="130">
        <f t="shared" si="1125"/>
        <v>0</v>
      </c>
      <c r="DN282" s="617">
        <f t="shared" si="1155"/>
        <v>0</v>
      </c>
      <c r="DO282" s="651">
        <f t="shared" si="1126"/>
        <v>0</v>
      </c>
      <c r="DP282" s="617">
        <f t="shared" si="1126"/>
        <v>0</v>
      </c>
      <c r="DQ282" s="617">
        <f t="shared" si="1156"/>
        <v>0</v>
      </c>
      <c r="DR282" s="617">
        <f t="shared" si="1127"/>
        <v>0</v>
      </c>
      <c r="DS282" s="618">
        <f t="shared" si="1157"/>
        <v>0</v>
      </c>
      <c r="DT282" s="617">
        <f t="shared" si="1128"/>
        <v>0</v>
      </c>
      <c r="DU282" s="617">
        <f t="shared" si="1158"/>
        <v>0</v>
      </c>
      <c r="DV282" s="651">
        <f t="shared" si="1129"/>
        <v>0</v>
      </c>
      <c r="DW282" s="617">
        <f t="shared" si="1129"/>
        <v>0</v>
      </c>
      <c r="DX282" s="617">
        <f t="shared" si="1159"/>
        <v>0</v>
      </c>
      <c r="DY282" s="617">
        <f t="shared" si="1130"/>
        <v>0</v>
      </c>
      <c r="DZ282" s="618">
        <f t="shared" si="1160"/>
        <v>0</v>
      </c>
      <c r="EA282" s="617">
        <f t="shared" si="1131"/>
        <v>0</v>
      </c>
      <c r="EB282" s="617">
        <f t="shared" si="1161"/>
        <v>0</v>
      </c>
      <c r="EC282" s="651">
        <f t="shared" si="1132"/>
        <v>0</v>
      </c>
      <c r="ED282" s="617">
        <f t="shared" si="1132"/>
        <v>0</v>
      </c>
      <c r="EE282" s="617">
        <f t="shared" si="1162"/>
        <v>0</v>
      </c>
      <c r="EF282" s="617">
        <f t="shared" si="1133"/>
        <v>0</v>
      </c>
      <c r="EG282" s="618">
        <f t="shared" si="1163"/>
        <v>0</v>
      </c>
      <c r="EH282" s="617">
        <f t="shared" si="1134"/>
        <v>0</v>
      </c>
      <c r="EI282" s="617">
        <f t="shared" si="1164"/>
        <v>0</v>
      </c>
      <c r="EJ282" s="651">
        <f t="shared" si="1135"/>
        <v>0</v>
      </c>
      <c r="EK282" s="617">
        <f t="shared" si="1135"/>
        <v>0</v>
      </c>
      <c r="EL282" s="617">
        <f t="shared" si="1165"/>
        <v>0</v>
      </c>
      <c r="EM282" s="617">
        <f t="shared" si="1136"/>
        <v>0</v>
      </c>
      <c r="EN282" s="618">
        <f t="shared" si="1166"/>
        <v>0</v>
      </c>
      <c r="EO282" s="617">
        <f t="shared" si="1137"/>
        <v>0</v>
      </c>
      <c r="EP282" s="617">
        <f t="shared" si="1167"/>
        <v>0</v>
      </c>
      <c r="EQ282" s="651">
        <f t="shared" si="1138"/>
        <v>0</v>
      </c>
    </row>
    <row r="283" spans="1:147" ht="10.199999999999999" hidden="1" customHeight="1" outlineLevel="1">
      <c r="A283" s="130" t="str">
        <f t="shared" si="1113"/>
        <v>A319ceo</v>
      </c>
      <c r="B283" s="130"/>
      <c r="C283" s="130">
        <f t="shared" ref="C283:BR283" si="1177">C247/C$275</f>
        <v>3520.9782146388516</v>
      </c>
      <c r="D283" s="130">
        <f t="shared" si="1177"/>
        <v>3369.6513737202172</v>
      </c>
      <c r="E283" s="130">
        <f t="shared" si="1177"/>
        <v>2653.5992446739751</v>
      </c>
      <c r="F283" s="130">
        <f t="shared" si="1177"/>
        <v>2908.9159403835652</v>
      </c>
      <c r="G283" s="130">
        <f t="shared" si="1177"/>
        <v>4741.6892945388836</v>
      </c>
      <c r="H283" s="130">
        <f t="shared" si="1177"/>
        <v>4516.6243950949711</v>
      </c>
      <c r="I283" s="130">
        <f t="shared" si="1177"/>
        <v>3431.0711196249899</v>
      </c>
      <c r="J283" s="130">
        <f t="shared" si="1177"/>
        <v>3054.1065686655106</v>
      </c>
      <c r="K283" s="130">
        <f t="shared" si="1177"/>
        <v>2741.3381204680045</v>
      </c>
      <c r="L283" s="130">
        <f t="shared" si="1177"/>
        <v>1845.802834851901</v>
      </c>
      <c r="M283" s="130">
        <f t="shared" si="1177"/>
        <v>1757.5924505730293</v>
      </c>
      <c r="N283" s="130">
        <f t="shared" si="1177"/>
        <v>1106.3273825621905</v>
      </c>
      <c r="O283" s="317"/>
      <c r="P283" s="130"/>
      <c r="Q283" s="317"/>
      <c r="R283" s="698"/>
      <c r="S283" s="317"/>
      <c r="T283" s="130"/>
      <c r="U283" s="619">
        <f t="shared" si="1177"/>
        <v>1096.18665689922</v>
      </c>
      <c r="V283" s="317"/>
      <c r="W283" s="130"/>
      <c r="X283" s="317"/>
      <c r="Y283" s="698"/>
      <c r="Z283" s="317"/>
      <c r="AA283" s="130"/>
      <c r="AB283" s="619">
        <f t="shared" si="1177"/>
        <v>1384.7068880876611</v>
      </c>
      <c r="AC283" s="317"/>
      <c r="AD283" s="130"/>
      <c r="AE283" s="317"/>
      <c r="AF283" s="698"/>
      <c r="AG283" s="317"/>
      <c r="AH283" s="130"/>
      <c r="AI283" s="619">
        <f t="shared" si="1177"/>
        <v>1041.9613497771882</v>
      </c>
      <c r="AJ283" s="317"/>
      <c r="AK283" s="130"/>
      <c r="AL283" s="317"/>
      <c r="AM283" s="698"/>
      <c r="AN283" s="317"/>
      <c r="AO283" s="130"/>
      <c r="AP283" s="619">
        <f t="shared" si="1177"/>
        <v>169.370760096005</v>
      </c>
      <c r="AQ283" s="317"/>
      <c r="AR283" s="130"/>
      <c r="AS283" s="317"/>
      <c r="AT283" s="698"/>
      <c r="AU283" s="317"/>
      <c r="AV283" s="130"/>
      <c r="AW283" s="619">
        <f t="shared" si="1177"/>
        <v>426.78623777655702</v>
      </c>
      <c r="AX283" s="317"/>
      <c r="AY283" s="130"/>
      <c r="AZ283" s="317"/>
      <c r="BA283" s="698"/>
      <c r="BB283" s="317"/>
      <c r="BC283" s="130"/>
      <c r="BD283" s="619">
        <f t="shared" si="1177"/>
        <v>328.49332382688084</v>
      </c>
      <c r="BE283" s="317"/>
      <c r="BF283" s="130"/>
      <c r="BG283" s="317"/>
      <c r="BH283" s="698"/>
      <c r="BI283" s="317"/>
      <c r="BJ283" s="130"/>
      <c r="BK283" s="619">
        <f t="shared" si="1177"/>
        <v>275.17514837057598</v>
      </c>
      <c r="BL283" s="317"/>
      <c r="BM283" s="130"/>
      <c r="BN283" s="317"/>
      <c r="BO283" s="698"/>
      <c r="BP283" s="317"/>
      <c r="BQ283" s="130"/>
      <c r="BR283" s="619">
        <f t="shared" si="1177"/>
        <v>141.21899999999999</v>
      </c>
      <c r="BS283" s="317"/>
      <c r="BT283" s="130"/>
      <c r="BU283" s="317"/>
      <c r="BV283" s="698"/>
      <c r="BW283" s="317"/>
      <c r="BX283" s="130"/>
      <c r="BY283" s="619">
        <f t="shared" si="1140"/>
        <v>96.388267201323515</v>
      </c>
      <c r="BZ283" s="317"/>
      <c r="CA283" s="130"/>
      <c r="CB283" s="317"/>
      <c r="CC283" s="698"/>
      <c r="CD283" s="317"/>
      <c r="CE283" s="130"/>
      <c r="CF283" s="619">
        <f t="shared" si="1141"/>
        <v>65.580875456668281</v>
      </c>
      <c r="CG283" s="317"/>
      <c r="CH283" s="130"/>
      <c r="CI283" s="317"/>
      <c r="CJ283" s="698"/>
      <c r="CK283" s="317"/>
      <c r="CL283" s="130"/>
      <c r="CM283" s="619">
        <f t="shared" si="1141"/>
        <v>0</v>
      </c>
      <c r="CN283" s="317">
        <f t="shared" si="1115"/>
        <v>0</v>
      </c>
      <c r="CO283" s="130">
        <f t="shared" si="1142"/>
        <v>0</v>
      </c>
      <c r="CP283" s="317">
        <f t="shared" si="1115"/>
        <v>0</v>
      </c>
      <c r="CQ283" s="698">
        <f t="shared" si="1143"/>
        <v>0</v>
      </c>
      <c r="CR283" s="317">
        <f t="shared" si="1116"/>
        <v>0</v>
      </c>
      <c r="CS283" s="130">
        <f t="shared" si="1144"/>
        <v>0</v>
      </c>
      <c r="CT283" s="619">
        <f t="shared" si="1117"/>
        <v>0</v>
      </c>
      <c r="CU283" s="317">
        <f t="shared" si="1117"/>
        <v>0</v>
      </c>
      <c r="CV283" s="130">
        <f t="shared" si="1145"/>
        <v>0</v>
      </c>
      <c r="CW283" s="317">
        <f t="shared" ref="CW283" si="1178">CW247/CW$275</f>
        <v>0</v>
      </c>
      <c r="CX283" s="698">
        <f t="shared" si="1147"/>
        <v>0</v>
      </c>
      <c r="CY283" s="317">
        <f t="shared" si="1119"/>
        <v>0</v>
      </c>
      <c r="CZ283" s="130">
        <f t="shared" si="1148"/>
        <v>0</v>
      </c>
      <c r="DA283" s="619">
        <f t="shared" ref="DA283:DB283" si="1179">DA247/DA$275</f>
        <v>0</v>
      </c>
      <c r="DB283" s="317">
        <f t="shared" si="1179"/>
        <v>0</v>
      </c>
      <c r="DC283" s="130">
        <f t="shared" si="1150"/>
        <v>0</v>
      </c>
      <c r="DD283" s="130">
        <f t="shared" si="1121"/>
        <v>0</v>
      </c>
      <c r="DE283" s="698">
        <f t="shared" si="1151"/>
        <v>0</v>
      </c>
      <c r="DF283" s="317">
        <f t="shared" si="1122"/>
        <v>0</v>
      </c>
      <c r="DG283" s="130">
        <f t="shared" si="1152"/>
        <v>0</v>
      </c>
      <c r="DH283" s="619">
        <f t="shared" si="1123"/>
        <v>0</v>
      </c>
      <c r="DI283" s="317">
        <f t="shared" si="1123"/>
        <v>0</v>
      </c>
      <c r="DJ283" s="130">
        <f t="shared" si="1153"/>
        <v>0</v>
      </c>
      <c r="DK283" s="617">
        <f t="shared" si="1124"/>
        <v>0</v>
      </c>
      <c r="DL283" s="618">
        <f t="shared" si="1154"/>
        <v>0</v>
      </c>
      <c r="DM283" s="130">
        <f t="shared" si="1125"/>
        <v>0</v>
      </c>
      <c r="DN283" s="617">
        <f t="shared" si="1155"/>
        <v>0</v>
      </c>
      <c r="DO283" s="651">
        <f t="shared" si="1126"/>
        <v>0</v>
      </c>
      <c r="DP283" s="617">
        <f t="shared" si="1126"/>
        <v>0</v>
      </c>
      <c r="DQ283" s="617">
        <f t="shared" si="1156"/>
        <v>0</v>
      </c>
      <c r="DR283" s="617">
        <f t="shared" si="1127"/>
        <v>0</v>
      </c>
      <c r="DS283" s="618">
        <f t="shared" si="1157"/>
        <v>0</v>
      </c>
      <c r="DT283" s="617">
        <f t="shared" si="1128"/>
        <v>0</v>
      </c>
      <c r="DU283" s="617">
        <f t="shared" si="1158"/>
        <v>0</v>
      </c>
      <c r="DV283" s="651">
        <f t="shared" si="1129"/>
        <v>0</v>
      </c>
      <c r="DW283" s="617">
        <f t="shared" si="1129"/>
        <v>0</v>
      </c>
      <c r="DX283" s="617">
        <f t="shared" si="1159"/>
        <v>0</v>
      </c>
      <c r="DY283" s="617">
        <f t="shared" si="1130"/>
        <v>0</v>
      </c>
      <c r="DZ283" s="618">
        <f t="shared" si="1160"/>
        <v>0</v>
      </c>
      <c r="EA283" s="617">
        <f t="shared" si="1131"/>
        <v>0</v>
      </c>
      <c r="EB283" s="617">
        <f t="shared" si="1161"/>
        <v>0</v>
      </c>
      <c r="EC283" s="651">
        <f t="shared" si="1132"/>
        <v>0</v>
      </c>
      <c r="ED283" s="617">
        <f t="shared" si="1132"/>
        <v>0</v>
      </c>
      <c r="EE283" s="617">
        <f t="shared" si="1162"/>
        <v>0</v>
      </c>
      <c r="EF283" s="617">
        <f t="shared" si="1133"/>
        <v>0</v>
      </c>
      <c r="EG283" s="618">
        <f t="shared" si="1163"/>
        <v>0</v>
      </c>
      <c r="EH283" s="617">
        <f t="shared" si="1134"/>
        <v>0</v>
      </c>
      <c r="EI283" s="617">
        <f t="shared" si="1164"/>
        <v>0</v>
      </c>
      <c r="EJ283" s="651">
        <f t="shared" si="1135"/>
        <v>0</v>
      </c>
      <c r="EK283" s="617">
        <f t="shared" si="1135"/>
        <v>0</v>
      </c>
      <c r="EL283" s="617">
        <f t="shared" si="1165"/>
        <v>0</v>
      </c>
      <c r="EM283" s="617">
        <f t="shared" si="1136"/>
        <v>0</v>
      </c>
      <c r="EN283" s="618">
        <f t="shared" si="1166"/>
        <v>0</v>
      </c>
      <c r="EO283" s="617">
        <f t="shared" si="1137"/>
        <v>0</v>
      </c>
      <c r="EP283" s="617">
        <f t="shared" si="1167"/>
        <v>0</v>
      </c>
      <c r="EQ283" s="651">
        <f t="shared" si="1138"/>
        <v>0</v>
      </c>
    </row>
    <row r="284" spans="1:147" ht="10.199999999999999" hidden="1" customHeight="1" outlineLevel="1">
      <c r="A284" s="130" t="str">
        <f t="shared" si="1113"/>
        <v>A320ceo</v>
      </c>
      <c r="B284" s="130"/>
      <c r="C284" s="130">
        <f t="shared" ref="C284:BR284" si="1180">C248/C$275</f>
        <v>5366.9202763809735</v>
      </c>
      <c r="D284" s="130">
        <f t="shared" si="1180"/>
        <v>5242.3846783618992</v>
      </c>
      <c r="E284" s="130">
        <f t="shared" si="1180"/>
        <v>4999.8232435065474</v>
      </c>
      <c r="F284" s="130">
        <f t="shared" si="1180"/>
        <v>3849.7997859283182</v>
      </c>
      <c r="G284" s="130">
        <f t="shared" si="1180"/>
        <v>4606.117051328828</v>
      </c>
      <c r="H284" s="130">
        <f t="shared" si="1180"/>
        <v>6163.7087365471243</v>
      </c>
      <c r="I284" s="130">
        <f t="shared" si="1180"/>
        <v>7226.816083964407</v>
      </c>
      <c r="J284" s="130">
        <f t="shared" si="1180"/>
        <v>7425.2186841861694</v>
      </c>
      <c r="K284" s="130">
        <f t="shared" si="1180"/>
        <v>7848.3264326216949</v>
      </c>
      <c r="L284" s="130">
        <f t="shared" si="1180"/>
        <v>11760.425936857628</v>
      </c>
      <c r="M284" s="130">
        <f t="shared" si="1180"/>
        <v>12518.135666202385</v>
      </c>
      <c r="N284" s="130">
        <f t="shared" si="1180"/>
        <v>10576.09437691259</v>
      </c>
      <c r="O284" s="317"/>
      <c r="P284" s="130"/>
      <c r="Q284" s="317"/>
      <c r="R284" s="698"/>
      <c r="S284" s="317"/>
      <c r="T284" s="130"/>
      <c r="U284" s="619">
        <f t="shared" si="1180"/>
        <v>11113.692975764947</v>
      </c>
      <c r="V284" s="317"/>
      <c r="W284" s="130"/>
      <c r="X284" s="317"/>
      <c r="Y284" s="698"/>
      <c r="Z284" s="317"/>
      <c r="AA284" s="130"/>
      <c r="AB284" s="619">
        <f t="shared" si="1180"/>
        <v>13638.87868441588</v>
      </c>
      <c r="AC284" s="317"/>
      <c r="AD284" s="130"/>
      <c r="AE284" s="317"/>
      <c r="AF284" s="698"/>
      <c r="AG284" s="317"/>
      <c r="AH284" s="130"/>
      <c r="AI284" s="619">
        <f t="shared" si="1180"/>
        <v>13403.786099419303</v>
      </c>
      <c r="AJ284" s="317"/>
      <c r="AK284" s="130"/>
      <c r="AL284" s="317"/>
      <c r="AM284" s="698"/>
      <c r="AN284" s="317"/>
      <c r="AO284" s="130"/>
      <c r="AP284" s="619">
        <f t="shared" si="1180"/>
        <v>11809.6408895066</v>
      </c>
      <c r="AQ284" s="317"/>
      <c r="AR284" s="130"/>
      <c r="AS284" s="317"/>
      <c r="AT284" s="698"/>
      <c r="AU284" s="317"/>
      <c r="AV284" s="130"/>
      <c r="AW284" s="619">
        <f t="shared" si="1180"/>
        <v>8590.4288478870294</v>
      </c>
      <c r="AX284" s="317"/>
      <c r="AY284" s="130"/>
      <c r="AZ284" s="317"/>
      <c r="BA284" s="698"/>
      <c r="BB284" s="317"/>
      <c r="BC284" s="130"/>
      <c r="BD284" s="619">
        <f t="shared" si="1180"/>
        <v>6611.9716981552056</v>
      </c>
      <c r="BE284" s="317"/>
      <c r="BF284" s="130"/>
      <c r="BG284" s="317"/>
      <c r="BH284" s="698"/>
      <c r="BI284" s="317"/>
      <c r="BJ284" s="130"/>
      <c r="BK284" s="619">
        <f t="shared" si="1180"/>
        <v>5005.996435620189</v>
      </c>
      <c r="BL284" s="317"/>
      <c r="BM284" s="130"/>
      <c r="BN284" s="317"/>
      <c r="BO284" s="698"/>
      <c r="BP284" s="317"/>
      <c r="BQ284" s="130"/>
      <c r="BR284" s="619">
        <f t="shared" si="1180"/>
        <v>1892.9925000000001</v>
      </c>
      <c r="BS284" s="317"/>
      <c r="BT284" s="130"/>
      <c r="BU284" s="317"/>
      <c r="BV284" s="698"/>
      <c r="BW284" s="317"/>
      <c r="BX284" s="130"/>
      <c r="BY284" s="619">
        <f t="shared" si="1140"/>
        <v>105.47361849765629</v>
      </c>
      <c r="BZ284" s="317"/>
      <c r="CA284" s="130"/>
      <c r="CB284" s="317"/>
      <c r="CC284" s="698"/>
      <c r="CD284" s="317"/>
      <c r="CE284" s="130"/>
      <c r="CF284" s="619">
        <f t="shared" si="1141"/>
        <v>0</v>
      </c>
      <c r="CG284" s="317"/>
      <c r="CH284" s="130"/>
      <c r="CI284" s="317"/>
      <c r="CJ284" s="698"/>
      <c r="CK284" s="317"/>
      <c r="CL284" s="130"/>
      <c r="CM284" s="619">
        <f t="shared" si="1141"/>
        <v>0</v>
      </c>
      <c r="CN284" s="317">
        <f t="shared" si="1115"/>
        <v>0</v>
      </c>
      <c r="CO284" s="130">
        <f t="shared" si="1142"/>
        <v>0</v>
      </c>
      <c r="CP284" s="317">
        <f t="shared" si="1115"/>
        <v>0</v>
      </c>
      <c r="CQ284" s="698">
        <f t="shared" si="1143"/>
        <v>0</v>
      </c>
      <c r="CR284" s="317">
        <f t="shared" si="1116"/>
        <v>0</v>
      </c>
      <c r="CS284" s="130">
        <f t="shared" si="1144"/>
        <v>0</v>
      </c>
      <c r="CT284" s="619">
        <f t="shared" si="1117"/>
        <v>0</v>
      </c>
      <c r="CU284" s="317">
        <f t="shared" si="1117"/>
        <v>0</v>
      </c>
      <c r="CV284" s="130">
        <f t="shared" si="1145"/>
        <v>0</v>
      </c>
      <c r="CW284" s="317">
        <f t="shared" ref="CW284" si="1181">CW248/CW$275</f>
        <v>0</v>
      </c>
      <c r="CX284" s="698">
        <f t="shared" si="1147"/>
        <v>0</v>
      </c>
      <c r="CY284" s="317">
        <f t="shared" si="1119"/>
        <v>0</v>
      </c>
      <c r="CZ284" s="130">
        <f t="shared" si="1148"/>
        <v>0</v>
      </c>
      <c r="DA284" s="619">
        <f t="shared" ref="DA284:DB284" si="1182">DA248/DA$275</f>
        <v>0</v>
      </c>
      <c r="DB284" s="317">
        <f t="shared" si="1182"/>
        <v>0</v>
      </c>
      <c r="DC284" s="130">
        <f t="shared" si="1150"/>
        <v>0</v>
      </c>
      <c r="DD284" s="130">
        <f t="shared" si="1121"/>
        <v>0</v>
      </c>
      <c r="DE284" s="698">
        <f t="shared" si="1151"/>
        <v>0</v>
      </c>
      <c r="DF284" s="317">
        <f t="shared" si="1122"/>
        <v>0</v>
      </c>
      <c r="DG284" s="130">
        <f t="shared" si="1152"/>
        <v>0</v>
      </c>
      <c r="DH284" s="619">
        <f t="shared" si="1123"/>
        <v>0</v>
      </c>
      <c r="DI284" s="317">
        <f t="shared" si="1123"/>
        <v>0</v>
      </c>
      <c r="DJ284" s="130">
        <f t="shared" si="1153"/>
        <v>0</v>
      </c>
      <c r="DK284" s="617">
        <f t="shared" si="1124"/>
        <v>0</v>
      </c>
      <c r="DL284" s="618">
        <f t="shared" si="1154"/>
        <v>0</v>
      </c>
      <c r="DM284" s="130">
        <f t="shared" si="1125"/>
        <v>0</v>
      </c>
      <c r="DN284" s="617">
        <f t="shared" si="1155"/>
        <v>0</v>
      </c>
      <c r="DO284" s="651">
        <f t="shared" si="1126"/>
        <v>0</v>
      </c>
      <c r="DP284" s="617">
        <f t="shared" si="1126"/>
        <v>0</v>
      </c>
      <c r="DQ284" s="617">
        <f t="shared" si="1156"/>
        <v>0</v>
      </c>
      <c r="DR284" s="617">
        <f t="shared" si="1127"/>
        <v>0</v>
      </c>
      <c r="DS284" s="618">
        <f t="shared" si="1157"/>
        <v>0</v>
      </c>
      <c r="DT284" s="617">
        <f t="shared" si="1128"/>
        <v>0</v>
      </c>
      <c r="DU284" s="617">
        <f t="shared" si="1158"/>
        <v>0</v>
      </c>
      <c r="DV284" s="651">
        <f t="shared" si="1129"/>
        <v>0</v>
      </c>
      <c r="DW284" s="617">
        <f t="shared" si="1129"/>
        <v>0</v>
      </c>
      <c r="DX284" s="617">
        <f t="shared" si="1159"/>
        <v>0</v>
      </c>
      <c r="DY284" s="617">
        <f t="shared" si="1130"/>
        <v>0</v>
      </c>
      <c r="DZ284" s="618">
        <f t="shared" si="1160"/>
        <v>0</v>
      </c>
      <c r="EA284" s="617">
        <f t="shared" si="1131"/>
        <v>0</v>
      </c>
      <c r="EB284" s="617">
        <f t="shared" si="1161"/>
        <v>0</v>
      </c>
      <c r="EC284" s="651">
        <f t="shared" si="1132"/>
        <v>0</v>
      </c>
      <c r="ED284" s="617">
        <f t="shared" si="1132"/>
        <v>0</v>
      </c>
      <c r="EE284" s="617">
        <f t="shared" si="1162"/>
        <v>0</v>
      </c>
      <c r="EF284" s="617">
        <f t="shared" si="1133"/>
        <v>0</v>
      </c>
      <c r="EG284" s="618">
        <f t="shared" si="1163"/>
        <v>0</v>
      </c>
      <c r="EH284" s="617">
        <f t="shared" si="1134"/>
        <v>0</v>
      </c>
      <c r="EI284" s="617">
        <f t="shared" si="1164"/>
        <v>0</v>
      </c>
      <c r="EJ284" s="651">
        <f t="shared" si="1135"/>
        <v>0</v>
      </c>
      <c r="EK284" s="617">
        <f t="shared" si="1135"/>
        <v>0</v>
      </c>
      <c r="EL284" s="617">
        <f t="shared" si="1165"/>
        <v>0</v>
      </c>
      <c r="EM284" s="617">
        <f t="shared" si="1136"/>
        <v>0</v>
      </c>
      <c r="EN284" s="618">
        <f t="shared" si="1166"/>
        <v>0</v>
      </c>
      <c r="EO284" s="617">
        <f t="shared" si="1137"/>
        <v>0</v>
      </c>
      <c r="EP284" s="617">
        <f t="shared" si="1167"/>
        <v>0</v>
      </c>
      <c r="EQ284" s="651">
        <f t="shared" si="1138"/>
        <v>0</v>
      </c>
    </row>
    <row r="285" spans="1:147" ht="10.199999999999999" hidden="1" customHeight="1" outlineLevel="1">
      <c r="A285" s="130" t="str">
        <f t="shared" si="1113"/>
        <v>A321ceo</v>
      </c>
      <c r="B285" s="130"/>
      <c r="C285" s="130">
        <f t="shared" ref="C285:BR285" si="1183">C249/C$275</f>
        <v>2713.9225339800587</v>
      </c>
      <c r="D285" s="130">
        <f t="shared" si="1183"/>
        <v>1942.5049095563604</v>
      </c>
      <c r="E285" s="130">
        <f t="shared" si="1183"/>
        <v>1702.7261819991338</v>
      </c>
      <c r="F285" s="130">
        <f t="shared" si="1183"/>
        <v>1638.3549549286745</v>
      </c>
      <c r="G285" s="130">
        <f t="shared" si="1183"/>
        <v>794.73383950722132</v>
      </c>
      <c r="H285" s="130">
        <f t="shared" si="1183"/>
        <v>1384.6585736787506</v>
      </c>
      <c r="I285" s="130">
        <f t="shared" si="1183"/>
        <v>2333.1283613449932</v>
      </c>
      <c r="J285" s="130">
        <f t="shared" si="1183"/>
        <v>2879.5861933131955</v>
      </c>
      <c r="K285" s="130">
        <f t="shared" si="1183"/>
        <v>3794.261171284124</v>
      </c>
      <c r="L285" s="130">
        <f t="shared" si="1183"/>
        <v>2369.2764882843621</v>
      </c>
      <c r="M285" s="130">
        <f t="shared" si="1183"/>
        <v>3166.9295006053421</v>
      </c>
      <c r="N285" s="130">
        <f t="shared" si="1183"/>
        <v>3102.1613178033531</v>
      </c>
      <c r="O285" s="317"/>
      <c r="P285" s="130"/>
      <c r="Q285" s="317"/>
      <c r="R285" s="698"/>
      <c r="S285" s="317"/>
      <c r="T285" s="130"/>
      <c r="U285" s="619">
        <f t="shared" si="1183"/>
        <v>3776.5438444658789</v>
      </c>
      <c r="V285" s="317"/>
      <c r="W285" s="130"/>
      <c r="X285" s="317"/>
      <c r="Y285" s="698"/>
      <c r="Z285" s="317"/>
      <c r="AA285" s="130"/>
      <c r="AB285" s="619">
        <f t="shared" si="1183"/>
        <v>7839.1725821910468</v>
      </c>
      <c r="AC285" s="317"/>
      <c r="AD285" s="130"/>
      <c r="AE285" s="317"/>
      <c r="AF285" s="698"/>
      <c r="AG285" s="317"/>
      <c r="AH285" s="130"/>
      <c r="AI285" s="619">
        <f t="shared" si="1183"/>
        <v>10251.441406329288</v>
      </c>
      <c r="AJ285" s="317"/>
      <c r="AK285" s="130"/>
      <c r="AL285" s="317"/>
      <c r="AM285" s="698"/>
      <c r="AN285" s="317"/>
      <c r="AO285" s="130"/>
      <c r="AP285" s="619">
        <f t="shared" si="1183"/>
        <v>11837.144735035585</v>
      </c>
      <c r="AQ285" s="317"/>
      <c r="AR285" s="130"/>
      <c r="AS285" s="317"/>
      <c r="AT285" s="698"/>
      <c r="AU285" s="317"/>
      <c r="AV285" s="130"/>
      <c r="AW285" s="619">
        <f t="shared" si="1183"/>
        <v>10010.848901127902</v>
      </c>
      <c r="AX285" s="317"/>
      <c r="AY285" s="130"/>
      <c r="AZ285" s="317"/>
      <c r="BA285" s="698"/>
      <c r="BB285" s="317"/>
      <c r="BC285" s="130"/>
      <c r="BD285" s="619">
        <f t="shared" si="1183"/>
        <v>7705.255556018813</v>
      </c>
      <c r="BE285" s="317"/>
      <c r="BF285" s="130"/>
      <c r="BG285" s="317"/>
      <c r="BH285" s="698"/>
      <c r="BI285" s="317"/>
      <c r="BJ285" s="130"/>
      <c r="BK285" s="619">
        <f t="shared" si="1183"/>
        <v>4364.5297740678152</v>
      </c>
      <c r="BL285" s="317"/>
      <c r="BM285" s="130"/>
      <c r="BN285" s="317"/>
      <c r="BO285" s="698"/>
      <c r="BP285" s="317"/>
      <c r="BQ285" s="130"/>
      <c r="BR285" s="619">
        <f t="shared" si="1183"/>
        <v>1719.4904999999999</v>
      </c>
      <c r="BS285" s="317"/>
      <c r="BT285" s="130"/>
      <c r="BU285" s="317"/>
      <c r="BV285" s="698"/>
      <c r="BW285" s="317"/>
      <c r="BX285" s="130"/>
      <c r="BY285" s="619">
        <f t="shared" si="1140"/>
        <v>370.61967529522985</v>
      </c>
      <c r="BZ285" s="317"/>
      <c r="CA285" s="130"/>
      <c r="CB285" s="317"/>
      <c r="CC285" s="698"/>
      <c r="CD285" s="317"/>
      <c r="CE285" s="130"/>
      <c r="CF285" s="619">
        <f t="shared" si="1141"/>
        <v>924.59797650880205</v>
      </c>
      <c r="CG285" s="317"/>
      <c r="CH285" s="130"/>
      <c r="CI285" s="317"/>
      <c r="CJ285" s="698"/>
      <c r="CK285" s="317"/>
      <c r="CL285" s="130"/>
      <c r="CM285" s="619">
        <f t="shared" si="1141"/>
        <v>0</v>
      </c>
      <c r="CN285" s="317">
        <f t="shared" si="1115"/>
        <v>0</v>
      </c>
      <c r="CO285" s="130">
        <f t="shared" si="1142"/>
        <v>0</v>
      </c>
      <c r="CP285" s="317">
        <f t="shared" si="1115"/>
        <v>0</v>
      </c>
      <c r="CQ285" s="698">
        <f t="shared" si="1143"/>
        <v>0</v>
      </c>
      <c r="CR285" s="317">
        <f t="shared" si="1116"/>
        <v>0</v>
      </c>
      <c r="CS285" s="130">
        <f t="shared" si="1144"/>
        <v>0</v>
      </c>
      <c r="CT285" s="619">
        <f t="shared" si="1117"/>
        <v>0</v>
      </c>
      <c r="CU285" s="317">
        <f t="shared" si="1117"/>
        <v>0</v>
      </c>
      <c r="CV285" s="130">
        <f t="shared" si="1145"/>
        <v>0</v>
      </c>
      <c r="CW285" s="317">
        <f t="shared" ref="CW285" si="1184">CW249/CW$275</f>
        <v>0</v>
      </c>
      <c r="CX285" s="698">
        <f t="shared" si="1147"/>
        <v>0</v>
      </c>
      <c r="CY285" s="317">
        <f t="shared" si="1119"/>
        <v>0</v>
      </c>
      <c r="CZ285" s="130">
        <f t="shared" si="1148"/>
        <v>0</v>
      </c>
      <c r="DA285" s="619">
        <f t="shared" ref="DA285:DB285" si="1185">DA249/DA$275</f>
        <v>0</v>
      </c>
      <c r="DB285" s="317">
        <f t="shared" si="1185"/>
        <v>0</v>
      </c>
      <c r="DC285" s="130">
        <f t="shared" si="1150"/>
        <v>0</v>
      </c>
      <c r="DD285" s="130">
        <f t="shared" si="1121"/>
        <v>0</v>
      </c>
      <c r="DE285" s="698">
        <f t="shared" si="1151"/>
        <v>0</v>
      </c>
      <c r="DF285" s="317">
        <f t="shared" si="1122"/>
        <v>0</v>
      </c>
      <c r="DG285" s="130">
        <f t="shared" si="1152"/>
        <v>0</v>
      </c>
      <c r="DH285" s="619">
        <f t="shared" si="1123"/>
        <v>0</v>
      </c>
      <c r="DI285" s="317">
        <f t="shared" si="1123"/>
        <v>0</v>
      </c>
      <c r="DJ285" s="130">
        <f t="shared" si="1153"/>
        <v>0</v>
      </c>
      <c r="DK285" s="617">
        <f t="shared" si="1124"/>
        <v>0</v>
      </c>
      <c r="DL285" s="618">
        <f t="shared" si="1154"/>
        <v>0</v>
      </c>
      <c r="DM285" s="130">
        <f t="shared" si="1125"/>
        <v>0</v>
      </c>
      <c r="DN285" s="617">
        <f t="shared" si="1155"/>
        <v>0</v>
      </c>
      <c r="DO285" s="651">
        <f t="shared" si="1126"/>
        <v>0</v>
      </c>
      <c r="DP285" s="617">
        <f t="shared" si="1126"/>
        <v>0</v>
      </c>
      <c r="DQ285" s="617">
        <f t="shared" si="1156"/>
        <v>0</v>
      </c>
      <c r="DR285" s="617">
        <f t="shared" si="1127"/>
        <v>0</v>
      </c>
      <c r="DS285" s="618">
        <f t="shared" si="1157"/>
        <v>0</v>
      </c>
      <c r="DT285" s="617">
        <f t="shared" si="1128"/>
        <v>0</v>
      </c>
      <c r="DU285" s="617">
        <f t="shared" si="1158"/>
        <v>0</v>
      </c>
      <c r="DV285" s="651">
        <f t="shared" si="1129"/>
        <v>0</v>
      </c>
      <c r="DW285" s="617">
        <f t="shared" si="1129"/>
        <v>0</v>
      </c>
      <c r="DX285" s="617">
        <f t="shared" si="1159"/>
        <v>0</v>
      </c>
      <c r="DY285" s="617">
        <f t="shared" si="1130"/>
        <v>0</v>
      </c>
      <c r="DZ285" s="618">
        <f t="shared" si="1160"/>
        <v>0</v>
      </c>
      <c r="EA285" s="617">
        <f t="shared" si="1131"/>
        <v>0</v>
      </c>
      <c r="EB285" s="617">
        <f t="shared" si="1161"/>
        <v>0</v>
      </c>
      <c r="EC285" s="651">
        <f t="shared" si="1132"/>
        <v>0</v>
      </c>
      <c r="ED285" s="617">
        <f t="shared" si="1132"/>
        <v>0</v>
      </c>
      <c r="EE285" s="617">
        <f t="shared" si="1162"/>
        <v>0</v>
      </c>
      <c r="EF285" s="617">
        <f t="shared" si="1133"/>
        <v>0</v>
      </c>
      <c r="EG285" s="618">
        <f t="shared" si="1163"/>
        <v>0</v>
      </c>
      <c r="EH285" s="617">
        <f t="shared" si="1134"/>
        <v>0</v>
      </c>
      <c r="EI285" s="617">
        <f t="shared" si="1164"/>
        <v>0</v>
      </c>
      <c r="EJ285" s="651">
        <f t="shared" si="1135"/>
        <v>0</v>
      </c>
      <c r="EK285" s="617">
        <f t="shared" si="1135"/>
        <v>0</v>
      </c>
      <c r="EL285" s="617">
        <f t="shared" si="1165"/>
        <v>0</v>
      </c>
      <c r="EM285" s="617">
        <f t="shared" si="1136"/>
        <v>0</v>
      </c>
      <c r="EN285" s="618">
        <f t="shared" si="1166"/>
        <v>0</v>
      </c>
      <c r="EO285" s="617">
        <f t="shared" si="1137"/>
        <v>0</v>
      </c>
      <c r="EP285" s="617">
        <f t="shared" si="1167"/>
        <v>0</v>
      </c>
      <c r="EQ285" s="651">
        <f t="shared" si="1138"/>
        <v>0</v>
      </c>
    </row>
    <row r="286" spans="1:147" ht="10.199999999999999" hidden="1" customHeight="1" outlineLevel="1">
      <c r="A286" s="92" t="str">
        <f t="shared" si="1113"/>
        <v>A320ceo</v>
      </c>
      <c r="B286" s="92"/>
      <c r="C286" s="92">
        <f t="shared" ref="C286:BR286" si="1186">C250/C$275</f>
        <v>11601.821024999883</v>
      </c>
      <c r="D286" s="92">
        <f t="shared" si="1186"/>
        <v>10554.540961638477</v>
      </c>
      <c r="E286" s="92">
        <f t="shared" si="1186"/>
        <v>9654.6785852054782</v>
      </c>
      <c r="F286" s="92">
        <f t="shared" si="1186"/>
        <v>8697.9930199009268</v>
      </c>
      <c r="G286" s="92">
        <f t="shared" si="1186"/>
        <v>10413.016828232432</v>
      </c>
      <c r="H286" s="92">
        <f t="shared" si="1186"/>
        <v>12302.361746522918</v>
      </c>
      <c r="I286" s="92">
        <f t="shared" si="1186"/>
        <v>13490.971642365459</v>
      </c>
      <c r="J286" s="92">
        <f t="shared" si="1186"/>
        <v>13723.534373240247</v>
      </c>
      <c r="K286" s="92">
        <f t="shared" si="1186"/>
        <v>14552.144199947996</v>
      </c>
      <c r="L286" s="92">
        <f t="shared" si="1186"/>
        <v>16036.312068542407</v>
      </c>
      <c r="M286" s="92">
        <f t="shared" si="1186"/>
        <v>17505.416744288592</v>
      </c>
      <c r="N286" s="92">
        <f t="shared" si="1186"/>
        <v>14833.430898186933</v>
      </c>
      <c r="O286" s="319"/>
      <c r="P286" s="130"/>
      <c r="Q286" s="319"/>
      <c r="R286" s="698"/>
      <c r="S286" s="319"/>
      <c r="T286" s="130"/>
      <c r="U286" s="1289">
        <f t="shared" si="1186"/>
        <v>16010.612184209069</v>
      </c>
      <c r="V286" s="319"/>
      <c r="W286" s="130"/>
      <c r="X286" s="319"/>
      <c r="Y286" s="698"/>
      <c r="Z286" s="319"/>
      <c r="AA286" s="130"/>
      <c r="AB286" s="1289">
        <f t="shared" si="1186"/>
        <v>22862.758154694591</v>
      </c>
      <c r="AC286" s="319"/>
      <c r="AD286" s="130"/>
      <c r="AE286" s="319"/>
      <c r="AF286" s="698"/>
      <c r="AG286" s="319"/>
      <c r="AH286" s="130"/>
      <c r="AI286" s="1289">
        <f t="shared" si="1186"/>
        <v>24733.596741289719</v>
      </c>
      <c r="AJ286" s="319"/>
      <c r="AK286" s="130"/>
      <c r="AL286" s="319"/>
      <c r="AM286" s="698"/>
      <c r="AN286" s="319"/>
      <c r="AO286" s="130"/>
      <c r="AP286" s="1289">
        <f t="shared" si="1186"/>
        <v>23816.156384638191</v>
      </c>
      <c r="AQ286" s="319"/>
      <c r="AR286" s="130"/>
      <c r="AS286" s="319"/>
      <c r="AT286" s="698"/>
      <c r="AU286" s="319"/>
      <c r="AV286" s="130"/>
      <c r="AW286" s="1289">
        <f t="shared" si="1186"/>
        <v>19028.063986791491</v>
      </c>
      <c r="AX286" s="319"/>
      <c r="AY286" s="130"/>
      <c r="AZ286" s="319"/>
      <c r="BA286" s="698"/>
      <c r="BB286" s="319"/>
      <c r="BC286" s="130"/>
      <c r="BD286" s="1289">
        <f t="shared" si="1186"/>
        <v>14645.720578000899</v>
      </c>
      <c r="BE286" s="319"/>
      <c r="BF286" s="130"/>
      <c r="BG286" s="319"/>
      <c r="BH286" s="698"/>
      <c r="BI286" s="319"/>
      <c r="BJ286" s="130"/>
      <c r="BK286" s="1289">
        <f t="shared" si="1186"/>
        <v>9645.7013580585808</v>
      </c>
      <c r="BL286" s="319"/>
      <c r="BM286" s="130"/>
      <c r="BN286" s="319"/>
      <c r="BO286" s="698"/>
      <c r="BP286" s="319"/>
      <c r="BQ286" s="130"/>
      <c r="BR286" s="1289">
        <f t="shared" si="1186"/>
        <v>3753.7020000000002</v>
      </c>
      <c r="BS286" s="319"/>
      <c r="BT286" s="130"/>
      <c r="BU286" s="319"/>
      <c r="BV286" s="698"/>
      <c r="BW286" s="319"/>
      <c r="BX286" s="130"/>
      <c r="BY286" s="1289">
        <f t="shared" si="1140"/>
        <v>572.48156099420964</v>
      </c>
      <c r="BZ286" s="319"/>
      <c r="CA286" s="130"/>
      <c r="CB286" s="319"/>
      <c r="CC286" s="698"/>
      <c r="CD286" s="319"/>
      <c r="CE286" s="130"/>
      <c r="CF286" s="1289">
        <f t="shared" si="1141"/>
        <v>990.17885196547036</v>
      </c>
      <c r="CG286" s="319"/>
      <c r="CH286" s="130"/>
      <c r="CI286" s="319"/>
      <c r="CJ286" s="698"/>
      <c r="CK286" s="319"/>
      <c r="CL286" s="130"/>
      <c r="CM286" s="1289">
        <f t="shared" si="1141"/>
        <v>0</v>
      </c>
      <c r="CN286" s="319">
        <f t="shared" si="1115"/>
        <v>0</v>
      </c>
      <c r="CO286" s="130">
        <f t="shared" si="1142"/>
        <v>0</v>
      </c>
      <c r="CP286" s="319">
        <f t="shared" si="1115"/>
        <v>0</v>
      </c>
      <c r="CQ286" s="698">
        <f t="shared" si="1143"/>
        <v>0</v>
      </c>
      <c r="CR286" s="319">
        <f t="shared" si="1116"/>
        <v>0</v>
      </c>
      <c r="CS286" s="130">
        <f t="shared" si="1144"/>
        <v>0</v>
      </c>
      <c r="CT286" s="1289">
        <f t="shared" si="1117"/>
        <v>0</v>
      </c>
      <c r="CU286" s="319">
        <f t="shared" si="1117"/>
        <v>0</v>
      </c>
      <c r="CV286" s="130">
        <f t="shared" si="1145"/>
        <v>0</v>
      </c>
      <c r="CW286" s="319">
        <f t="shared" ref="CW286" si="1187">CW250/CW$275</f>
        <v>0</v>
      </c>
      <c r="CX286" s="698">
        <f t="shared" si="1147"/>
        <v>0</v>
      </c>
      <c r="CY286" s="319">
        <f t="shared" si="1119"/>
        <v>0</v>
      </c>
      <c r="CZ286" s="130">
        <f t="shared" si="1148"/>
        <v>0</v>
      </c>
      <c r="DA286" s="1289">
        <f t="shared" ref="DA286:DB286" si="1188">DA250/DA$275</f>
        <v>0</v>
      </c>
      <c r="DB286" s="319">
        <f t="shared" si="1188"/>
        <v>0</v>
      </c>
      <c r="DC286" s="130">
        <f t="shared" si="1150"/>
        <v>0</v>
      </c>
      <c r="DD286" s="92">
        <f t="shared" si="1121"/>
        <v>0</v>
      </c>
      <c r="DE286" s="698">
        <f t="shared" si="1151"/>
        <v>0</v>
      </c>
      <c r="DF286" s="319">
        <f t="shared" si="1122"/>
        <v>0</v>
      </c>
      <c r="DG286" s="130">
        <f t="shared" si="1152"/>
        <v>0</v>
      </c>
      <c r="DH286" s="1289">
        <f t="shared" si="1123"/>
        <v>0</v>
      </c>
      <c r="DI286" s="319">
        <f t="shared" si="1123"/>
        <v>0</v>
      </c>
      <c r="DJ286" s="130">
        <f t="shared" si="1153"/>
        <v>0</v>
      </c>
      <c r="DK286" s="622">
        <f t="shared" si="1124"/>
        <v>0</v>
      </c>
      <c r="DL286" s="618">
        <f t="shared" si="1154"/>
        <v>0</v>
      </c>
      <c r="DM286" s="92">
        <f t="shared" si="1125"/>
        <v>0</v>
      </c>
      <c r="DN286" s="617">
        <f t="shared" si="1155"/>
        <v>0</v>
      </c>
      <c r="DO286" s="652">
        <f t="shared" si="1126"/>
        <v>0</v>
      </c>
      <c r="DP286" s="622">
        <f t="shared" si="1126"/>
        <v>0</v>
      </c>
      <c r="DQ286" s="617">
        <f t="shared" si="1156"/>
        <v>0</v>
      </c>
      <c r="DR286" s="622">
        <f t="shared" si="1127"/>
        <v>0</v>
      </c>
      <c r="DS286" s="618">
        <f t="shared" si="1157"/>
        <v>0</v>
      </c>
      <c r="DT286" s="622">
        <f t="shared" si="1128"/>
        <v>0</v>
      </c>
      <c r="DU286" s="617">
        <f t="shared" si="1158"/>
        <v>0</v>
      </c>
      <c r="DV286" s="652">
        <f t="shared" si="1129"/>
        <v>0</v>
      </c>
      <c r="DW286" s="622">
        <f t="shared" si="1129"/>
        <v>0</v>
      </c>
      <c r="DX286" s="617">
        <f t="shared" si="1159"/>
        <v>0</v>
      </c>
      <c r="DY286" s="622">
        <f t="shared" si="1130"/>
        <v>0</v>
      </c>
      <c r="DZ286" s="618">
        <f t="shared" si="1160"/>
        <v>0</v>
      </c>
      <c r="EA286" s="622">
        <f t="shared" si="1131"/>
        <v>0</v>
      </c>
      <c r="EB286" s="617">
        <f t="shared" si="1161"/>
        <v>0</v>
      </c>
      <c r="EC286" s="652">
        <f t="shared" si="1132"/>
        <v>0</v>
      </c>
      <c r="ED286" s="622">
        <f t="shared" si="1132"/>
        <v>0</v>
      </c>
      <c r="EE286" s="617">
        <f t="shared" si="1162"/>
        <v>0</v>
      </c>
      <c r="EF286" s="622">
        <f t="shared" si="1133"/>
        <v>0</v>
      </c>
      <c r="EG286" s="618">
        <f t="shared" si="1163"/>
        <v>0</v>
      </c>
      <c r="EH286" s="622">
        <f t="shared" si="1134"/>
        <v>0</v>
      </c>
      <c r="EI286" s="617">
        <f t="shared" si="1164"/>
        <v>0</v>
      </c>
      <c r="EJ286" s="652">
        <f t="shared" si="1135"/>
        <v>0</v>
      </c>
      <c r="EK286" s="622">
        <f t="shared" si="1135"/>
        <v>0</v>
      </c>
      <c r="EL286" s="617">
        <f t="shared" si="1165"/>
        <v>0</v>
      </c>
      <c r="EM286" s="622">
        <f t="shared" si="1136"/>
        <v>0</v>
      </c>
      <c r="EN286" s="618">
        <f t="shared" si="1166"/>
        <v>0</v>
      </c>
      <c r="EO286" s="622">
        <f t="shared" si="1137"/>
        <v>0</v>
      </c>
      <c r="EP286" s="617">
        <f t="shared" si="1167"/>
        <v>0</v>
      </c>
      <c r="EQ286" s="652">
        <f t="shared" si="1138"/>
        <v>0</v>
      </c>
    </row>
    <row r="287" spans="1:147" ht="10.199999999999999" customHeight="1" collapsed="1">
      <c r="A287" s="130" t="str">
        <f t="shared" si="1113"/>
        <v>A319neo</v>
      </c>
      <c r="B287" s="130"/>
      <c r="C287" s="130">
        <f t="shared" ref="C287:BR287" si="1189">C251/C$275</f>
        <v>0</v>
      </c>
      <c r="D287" s="130">
        <f t="shared" si="1189"/>
        <v>0</v>
      </c>
      <c r="E287" s="130">
        <f t="shared" si="1189"/>
        <v>0</v>
      </c>
      <c r="F287" s="130">
        <f t="shared" si="1189"/>
        <v>0</v>
      </c>
      <c r="G287" s="130">
        <f t="shared" si="1189"/>
        <v>0</v>
      </c>
      <c r="H287" s="130">
        <f t="shared" si="1189"/>
        <v>0</v>
      </c>
      <c r="I287" s="130">
        <f t="shared" si="1189"/>
        <v>0</v>
      </c>
      <c r="J287" s="130">
        <f t="shared" si="1189"/>
        <v>0</v>
      </c>
      <c r="K287" s="130">
        <f t="shared" si="1189"/>
        <v>0</v>
      </c>
      <c r="L287" s="130">
        <f t="shared" si="1189"/>
        <v>0</v>
      </c>
      <c r="M287" s="130">
        <f t="shared" si="1189"/>
        <v>0</v>
      </c>
      <c r="N287" s="130">
        <f t="shared" si="1189"/>
        <v>0</v>
      </c>
      <c r="O287" s="317"/>
      <c r="P287" s="130"/>
      <c r="Q287" s="317"/>
      <c r="R287" s="698"/>
      <c r="S287" s="317"/>
      <c r="T287" s="130"/>
      <c r="U287" s="619">
        <f t="shared" si="1189"/>
        <v>0</v>
      </c>
      <c r="V287" s="317"/>
      <c r="W287" s="130"/>
      <c r="X287" s="317"/>
      <c r="Y287" s="698"/>
      <c r="Z287" s="317"/>
      <c r="AA287" s="130"/>
      <c r="AB287" s="619">
        <f t="shared" si="1189"/>
        <v>0</v>
      </c>
      <c r="AC287" s="317"/>
      <c r="AD287" s="130"/>
      <c r="AE287" s="317"/>
      <c r="AF287" s="698"/>
      <c r="AG287" s="317"/>
      <c r="AH287" s="130"/>
      <c r="AI287" s="619">
        <f t="shared" si="1189"/>
        <v>0</v>
      </c>
      <c r="AJ287" s="317"/>
      <c r="AK287" s="130"/>
      <c r="AL287" s="317"/>
      <c r="AM287" s="698"/>
      <c r="AN287" s="317"/>
      <c r="AO287" s="130"/>
      <c r="AP287" s="619">
        <f t="shared" si="1189"/>
        <v>0</v>
      </c>
      <c r="AQ287" s="317"/>
      <c r="AR287" s="130"/>
      <c r="AS287" s="317"/>
      <c r="AT287" s="698"/>
      <c r="AU287" s="317"/>
      <c r="AV287" s="130"/>
      <c r="AW287" s="619">
        <f t="shared" si="1189"/>
        <v>0</v>
      </c>
      <c r="AX287" s="317"/>
      <c r="AY287" s="130"/>
      <c r="AZ287" s="317"/>
      <c r="BA287" s="698"/>
      <c r="BB287" s="317"/>
      <c r="BC287" s="130"/>
      <c r="BD287" s="619">
        <f t="shared" si="1189"/>
        <v>0</v>
      </c>
      <c r="BE287" s="317"/>
      <c r="BF287" s="130"/>
      <c r="BG287" s="317"/>
      <c r="BH287" s="698"/>
      <c r="BI287" s="317"/>
      <c r="BJ287" s="130"/>
      <c r="BK287" s="619">
        <f t="shared" si="1189"/>
        <v>0</v>
      </c>
      <c r="BL287" s="317"/>
      <c r="BM287" s="130"/>
      <c r="BN287" s="317"/>
      <c r="BO287" s="698"/>
      <c r="BP287" s="317"/>
      <c r="BQ287" s="130"/>
      <c r="BR287" s="619">
        <f t="shared" si="1189"/>
        <v>81.512164003756851</v>
      </c>
      <c r="BS287" s="317"/>
      <c r="BT287" s="130"/>
      <c r="BU287" s="317"/>
      <c r="BV287" s="698"/>
      <c r="BW287" s="317"/>
      <c r="BX287" s="130"/>
      <c r="BY287" s="619">
        <f t="shared" si="1140"/>
        <v>0</v>
      </c>
      <c r="BZ287" s="317"/>
      <c r="CA287" s="130"/>
      <c r="CB287" s="317"/>
      <c r="CC287" s="698"/>
      <c r="CD287" s="317"/>
      <c r="CE287" s="130"/>
      <c r="CF287" s="619">
        <f t="shared" si="1141"/>
        <v>80.794185186430269</v>
      </c>
      <c r="CG287" s="317"/>
      <c r="CH287" s="130"/>
      <c r="CI287" s="317"/>
      <c r="CJ287" s="698"/>
      <c r="CK287" s="317"/>
      <c r="CL287" s="130"/>
      <c r="CM287" s="619">
        <f t="shared" si="1141"/>
        <v>247.297339482388</v>
      </c>
      <c r="CN287" s="317">
        <f t="shared" si="1115"/>
        <v>79.776747680564625</v>
      </c>
      <c r="CO287" s="130">
        <f t="shared" si="1142"/>
        <v>39.529398591210764</v>
      </c>
      <c r="CP287" s="317">
        <f t="shared" si="1115"/>
        <v>120.47779677733625</v>
      </c>
      <c r="CQ287" s="698">
        <f t="shared" si="1143"/>
        <v>40.555334136318905</v>
      </c>
      <c r="CR287" s="317">
        <f t="shared" si="1116"/>
        <v>119.30614627177539</v>
      </c>
      <c r="CS287" s="130">
        <f t="shared" si="1144"/>
        <v>161.03313091365516</v>
      </c>
      <c r="CT287" s="619">
        <f t="shared" si="1117"/>
        <v>280.33927718543055</v>
      </c>
      <c r="CU287" s="317">
        <f t="shared" si="1117"/>
        <v>0</v>
      </c>
      <c r="CV287" s="130">
        <f t="shared" si="1145"/>
        <v>0</v>
      </c>
      <c r="CW287" s="317">
        <f t="shared" ref="CW287" si="1190">CW251/CW$275</f>
        <v>121.92846286198073</v>
      </c>
      <c r="CX287" s="698">
        <f t="shared" si="1147"/>
        <v>246.68532219449656</v>
      </c>
      <c r="CY287" s="317">
        <f t="shared" si="1119"/>
        <v>0</v>
      </c>
      <c r="CZ287" s="130">
        <f t="shared" si="1148"/>
        <v>368.6137850564773</v>
      </c>
      <c r="DA287" s="619">
        <f t="shared" ref="DA287:DB287" si="1191">DA251/DA$275</f>
        <v>368.6137850564773</v>
      </c>
      <c r="DB287" s="317">
        <f t="shared" si="1191"/>
        <v>171.82911682190502</v>
      </c>
      <c r="DC287" s="130">
        <f t="shared" si="1150"/>
        <v>81.796512749885153</v>
      </c>
      <c r="DD287" s="130">
        <f t="shared" si="1121"/>
        <v>162.91610099782025</v>
      </c>
      <c r="DE287" s="698">
        <f t="shared" si="1151"/>
        <v>204.01906299076359</v>
      </c>
      <c r="DF287" s="317">
        <f t="shared" si="1122"/>
        <v>253.62562957179017</v>
      </c>
      <c r="DG287" s="130">
        <f t="shared" si="1152"/>
        <v>366.93516398858384</v>
      </c>
      <c r="DH287" s="619">
        <f t="shared" si="1123"/>
        <v>620.56079356037401</v>
      </c>
      <c r="DI287" s="317">
        <f t="shared" si="1123"/>
        <v>0</v>
      </c>
      <c r="DJ287" s="130">
        <f t="shared" si="1153"/>
        <v>82.607425982609641</v>
      </c>
      <c r="DK287" s="617">
        <f t="shared" si="1124"/>
        <v>42.1548931866527</v>
      </c>
      <c r="DL287" s="618">
        <f t="shared" si="1154"/>
        <v>83.497975928766309</v>
      </c>
      <c r="DM287" s="130">
        <f t="shared" si="1125"/>
        <v>82.607425982609641</v>
      </c>
      <c r="DN287" s="617">
        <f t="shared" si="1155"/>
        <v>125.65286911541901</v>
      </c>
      <c r="DO287" s="651">
        <f t="shared" si="1126"/>
        <v>208.26029509802865</v>
      </c>
      <c r="DP287" s="617">
        <f t="shared" si="1126"/>
        <v>41.958844138058836</v>
      </c>
      <c r="DQ287" s="617">
        <f t="shared" si="1156"/>
        <v>83.964891856972571</v>
      </c>
      <c r="DR287" s="617">
        <f t="shared" si="1127"/>
        <v>41.990878967983598</v>
      </c>
      <c r="DS287" s="618">
        <f t="shared" si="1157"/>
        <v>41.985351581188347</v>
      </c>
      <c r="DT287" s="617">
        <f t="shared" si="1128"/>
        <v>125.92373599503141</v>
      </c>
      <c r="DU287" s="617">
        <f t="shared" si="1158"/>
        <v>83.976230549171945</v>
      </c>
      <c r="DV287" s="651">
        <f t="shared" si="1129"/>
        <v>209.89996654420335</v>
      </c>
      <c r="DW287" s="617">
        <f t="shared" si="1129"/>
        <v>42.994151956901391</v>
      </c>
      <c r="DX287" s="617">
        <f t="shared" si="1159"/>
        <v>86.009781708594858</v>
      </c>
      <c r="DY287" s="617">
        <f t="shared" si="1130"/>
        <v>43.008650278148998</v>
      </c>
      <c r="DZ287" s="618">
        <f t="shared" si="1160"/>
        <v>43.012710706735639</v>
      </c>
      <c r="EA287" s="617">
        <f t="shared" si="1131"/>
        <v>129.00393366549625</v>
      </c>
      <c r="EB287" s="617">
        <f t="shared" si="1161"/>
        <v>86.021360984884637</v>
      </c>
      <c r="EC287" s="651">
        <f t="shared" si="1132"/>
        <v>215.02529465038089</v>
      </c>
      <c r="ED287" s="617">
        <f t="shared" si="1132"/>
        <v>43.2727448352708</v>
      </c>
      <c r="EE287" s="617">
        <f t="shared" si="1162"/>
        <v>86.544690894190694</v>
      </c>
      <c r="EF287" s="617">
        <f t="shared" si="1133"/>
        <v>43.272127349246276</v>
      </c>
      <c r="EG287" s="618">
        <f t="shared" si="1163"/>
        <v>43.271957421848313</v>
      </c>
      <c r="EH287" s="617">
        <f t="shared" si="1134"/>
        <v>129.81743572946149</v>
      </c>
      <c r="EI287" s="617">
        <f t="shared" si="1164"/>
        <v>86.544084771094589</v>
      </c>
      <c r="EJ287" s="651">
        <f t="shared" si="1135"/>
        <v>216.36152050055608</v>
      </c>
      <c r="EK287" s="617">
        <f t="shared" si="1135"/>
        <v>43.941395949245781</v>
      </c>
      <c r="EL287" s="617">
        <f t="shared" si="1165"/>
        <v>87.883149547970646</v>
      </c>
      <c r="EM287" s="617">
        <f t="shared" si="1136"/>
        <v>43.941672159860275</v>
      </c>
      <c r="EN287" s="618">
        <f t="shared" si="1166"/>
        <v>43.941729628946206</v>
      </c>
      <c r="EO287" s="617">
        <f t="shared" si="1137"/>
        <v>131.82454549721643</v>
      </c>
      <c r="EP287" s="617">
        <f t="shared" si="1167"/>
        <v>87.883401788806481</v>
      </c>
      <c r="EQ287" s="651">
        <f t="shared" si="1138"/>
        <v>219.70794728602291</v>
      </c>
    </row>
    <row r="288" spans="1:147" ht="10.199999999999999" customHeight="1">
      <c r="A288" s="130" t="str">
        <f t="shared" si="1113"/>
        <v>A320neo</v>
      </c>
      <c r="B288" s="130"/>
      <c r="C288" s="130">
        <f t="shared" ref="C288:BR288" si="1192">C252/C$275</f>
        <v>0</v>
      </c>
      <c r="D288" s="130">
        <f t="shared" si="1192"/>
        <v>0</v>
      </c>
      <c r="E288" s="130">
        <f t="shared" si="1192"/>
        <v>0</v>
      </c>
      <c r="F288" s="130">
        <f t="shared" si="1192"/>
        <v>0</v>
      </c>
      <c r="G288" s="130">
        <f t="shared" si="1192"/>
        <v>0</v>
      </c>
      <c r="H288" s="130">
        <f t="shared" si="1192"/>
        <v>0</v>
      </c>
      <c r="I288" s="130">
        <f t="shared" si="1192"/>
        <v>0</v>
      </c>
      <c r="J288" s="130">
        <f t="shared" si="1192"/>
        <v>0</v>
      </c>
      <c r="K288" s="130">
        <f t="shared" si="1192"/>
        <v>0</v>
      </c>
      <c r="L288" s="130">
        <f t="shared" si="1192"/>
        <v>0</v>
      </c>
      <c r="M288" s="130">
        <f t="shared" si="1192"/>
        <v>0</v>
      </c>
      <c r="N288" s="130">
        <f t="shared" si="1192"/>
        <v>0</v>
      </c>
      <c r="O288" s="317"/>
      <c r="P288" s="130"/>
      <c r="Q288" s="317"/>
      <c r="R288" s="698"/>
      <c r="S288" s="317"/>
      <c r="T288" s="130"/>
      <c r="U288" s="619">
        <f t="shared" si="1192"/>
        <v>0</v>
      </c>
      <c r="V288" s="317"/>
      <c r="W288" s="130"/>
      <c r="X288" s="317"/>
      <c r="Y288" s="698"/>
      <c r="Z288" s="317"/>
      <c r="AA288" s="130"/>
      <c r="AB288" s="619">
        <f t="shared" si="1192"/>
        <v>0</v>
      </c>
      <c r="AC288" s="317"/>
      <c r="AD288" s="130"/>
      <c r="AE288" s="317"/>
      <c r="AF288" s="698"/>
      <c r="AG288" s="317"/>
      <c r="AH288" s="130"/>
      <c r="AI288" s="619">
        <f t="shared" si="1192"/>
        <v>0</v>
      </c>
      <c r="AJ288" s="317"/>
      <c r="AK288" s="130"/>
      <c r="AL288" s="317"/>
      <c r="AM288" s="698"/>
      <c r="AN288" s="317"/>
      <c r="AO288" s="130"/>
      <c r="AP288" s="619">
        <f t="shared" si="1192"/>
        <v>3349.2142714668139</v>
      </c>
      <c r="AQ288" s="317"/>
      <c r="AR288" s="130"/>
      <c r="AS288" s="317"/>
      <c r="AT288" s="698"/>
      <c r="AU288" s="317"/>
      <c r="AV288" s="130"/>
      <c r="AW288" s="619">
        <f t="shared" si="1192"/>
        <v>7998.5375834178558</v>
      </c>
      <c r="AX288" s="317"/>
      <c r="AY288" s="130"/>
      <c r="AZ288" s="317"/>
      <c r="BA288" s="698"/>
      <c r="BB288" s="317"/>
      <c r="BC288" s="130"/>
      <c r="BD288" s="619">
        <f t="shared" si="1192"/>
        <v>7204.3993487446041</v>
      </c>
      <c r="BE288" s="317"/>
      <c r="BF288" s="130"/>
      <c r="BG288" s="317"/>
      <c r="BH288" s="698"/>
      <c r="BI288" s="317"/>
      <c r="BJ288" s="130"/>
      <c r="BK288" s="619">
        <f t="shared" si="1192"/>
        <v>11774.981124598895</v>
      </c>
      <c r="BL288" s="317"/>
      <c r="BM288" s="130"/>
      <c r="BN288" s="317"/>
      <c r="BO288" s="698"/>
      <c r="BP288" s="317"/>
      <c r="BQ288" s="130"/>
      <c r="BR288" s="619">
        <f t="shared" si="1192"/>
        <v>16920.238788614326</v>
      </c>
      <c r="BS288" s="317"/>
      <c r="BT288" s="130"/>
      <c r="BU288" s="317"/>
      <c r="BV288" s="698"/>
      <c r="BW288" s="317"/>
      <c r="BX288" s="130"/>
      <c r="BY288" s="619">
        <f t="shared" si="1140"/>
        <v>10544.270803877351</v>
      </c>
      <c r="BZ288" s="317"/>
      <c r="CA288" s="130"/>
      <c r="CB288" s="317"/>
      <c r="CC288" s="698"/>
      <c r="CD288" s="317"/>
      <c r="CE288" s="130"/>
      <c r="CF288" s="619">
        <f t="shared" si="1141"/>
        <v>11356.876430826356</v>
      </c>
      <c r="CG288" s="317"/>
      <c r="CH288" s="130"/>
      <c r="CI288" s="317"/>
      <c r="CJ288" s="698"/>
      <c r="CK288" s="317"/>
      <c r="CL288" s="130"/>
      <c r="CM288" s="619">
        <f t="shared" si="1141"/>
        <v>11048.221828737305</v>
      </c>
      <c r="CN288" s="317">
        <f t="shared" si="1115"/>
        <v>2141.08819908654</v>
      </c>
      <c r="CO288" s="130">
        <f t="shared" si="1142"/>
        <v>2629.2296781024434</v>
      </c>
      <c r="CP288" s="317">
        <f t="shared" si="1115"/>
        <v>2349.2253050037239</v>
      </c>
      <c r="CQ288" s="698">
        <f t="shared" si="1143"/>
        <v>4212.909457990505</v>
      </c>
      <c r="CR288" s="317">
        <f t="shared" si="1116"/>
        <v>4770.3178771889834</v>
      </c>
      <c r="CS288" s="130">
        <f t="shared" si="1144"/>
        <v>6562.1347629942284</v>
      </c>
      <c r="CT288" s="619">
        <f t="shared" si="1117"/>
        <v>11332.452640183212</v>
      </c>
      <c r="CU288" s="317">
        <f t="shared" si="1117"/>
        <v>2380.5978985975207</v>
      </c>
      <c r="CV288" s="130">
        <f t="shared" si="1145"/>
        <v>2716.3180821959222</v>
      </c>
      <c r="CW288" s="317">
        <f t="shared" ref="CW288" si="1193">CW252/CW$275</f>
        <v>2151.9825145499854</v>
      </c>
      <c r="CX288" s="698">
        <f t="shared" si="1147"/>
        <v>3171.2178952228278</v>
      </c>
      <c r="CY288" s="317">
        <f t="shared" si="1119"/>
        <v>5096.9159807934429</v>
      </c>
      <c r="CZ288" s="130">
        <f t="shared" si="1148"/>
        <v>5323.2004097728131</v>
      </c>
      <c r="DA288" s="619">
        <f t="shared" ref="DA288:DB288" si="1194">DA252/DA$275</f>
        <v>10420.116390566256</v>
      </c>
      <c r="DB288" s="317">
        <f t="shared" si="1194"/>
        <v>1718.1246686930067</v>
      </c>
      <c r="DC288" s="130">
        <f t="shared" si="1150"/>
        <v>2009.3412434326774</v>
      </c>
      <c r="DD288" s="130">
        <f t="shared" si="1121"/>
        <v>2174.6490584915937</v>
      </c>
      <c r="DE288" s="698">
        <f t="shared" si="1151"/>
        <v>3339.2478355530748</v>
      </c>
      <c r="DF288" s="317">
        <f t="shared" si="1122"/>
        <v>3727.4659121256841</v>
      </c>
      <c r="DG288" s="130">
        <f t="shared" si="1152"/>
        <v>5513.8968940446684</v>
      </c>
      <c r="DH288" s="619">
        <f t="shared" si="1123"/>
        <v>9241.362806170353</v>
      </c>
      <c r="DI288" s="317">
        <f t="shared" si="1123"/>
        <v>1227.8995383887159</v>
      </c>
      <c r="DJ288" s="130">
        <f t="shared" si="1153"/>
        <v>3592.3292236544694</v>
      </c>
      <c r="DK288" s="617">
        <f t="shared" si="1124"/>
        <v>2050.9663790612331</v>
      </c>
      <c r="DL288" s="618">
        <f t="shared" si="1154"/>
        <v>3274.9304549341477</v>
      </c>
      <c r="DM288" s="130">
        <f t="shared" si="1125"/>
        <v>4820.2287620431853</v>
      </c>
      <c r="DN288" s="617">
        <f t="shared" si="1155"/>
        <v>5325.8968339953808</v>
      </c>
      <c r="DO288" s="651">
        <f t="shared" si="1126"/>
        <v>10146.125596038566</v>
      </c>
      <c r="DP288" s="617">
        <f t="shared" si="1126"/>
        <v>2320.3240808346541</v>
      </c>
      <c r="DQ288" s="617">
        <f t="shared" si="1156"/>
        <v>2473.5708375072277</v>
      </c>
      <c r="DR288" s="617">
        <f t="shared" si="1127"/>
        <v>2519.4165390454227</v>
      </c>
      <c r="DS288" s="618">
        <f t="shared" si="1157"/>
        <v>2518.7286823878167</v>
      </c>
      <c r="DT288" s="617">
        <f t="shared" si="1128"/>
        <v>4793.8949183418817</v>
      </c>
      <c r="DU288" s="617">
        <f t="shared" si="1158"/>
        <v>5038.1452214332394</v>
      </c>
      <c r="DV288" s="651">
        <f t="shared" si="1129"/>
        <v>9832.0401397751211</v>
      </c>
      <c r="DW288" s="617">
        <f t="shared" si="1129"/>
        <v>2579.6120534899824</v>
      </c>
      <c r="DX288" s="617">
        <f t="shared" si="1159"/>
        <v>2735.6836443913903</v>
      </c>
      <c r="DY288" s="617">
        <f t="shared" si="1130"/>
        <v>2782.5855201509326</v>
      </c>
      <c r="DZ288" s="618">
        <f t="shared" si="1160"/>
        <v>930.12260783392276</v>
      </c>
      <c r="EA288" s="617">
        <f t="shared" si="1131"/>
        <v>5315.2956978813727</v>
      </c>
      <c r="EB288" s="617">
        <f t="shared" si="1161"/>
        <v>3712.7081279848553</v>
      </c>
      <c r="EC288" s="651">
        <f t="shared" si="1132"/>
        <v>9028.003825866228</v>
      </c>
      <c r="ED288" s="617">
        <f t="shared" si="1132"/>
        <v>2799.6719826612698</v>
      </c>
      <c r="EE288" s="617">
        <f t="shared" si="1162"/>
        <v>2752.4854495887685</v>
      </c>
      <c r="EF288" s="617">
        <f t="shared" si="1133"/>
        <v>2799.6320323801142</v>
      </c>
      <c r="EG288" s="618">
        <f t="shared" si="1163"/>
        <v>901.76894491604389</v>
      </c>
      <c r="EH288" s="617">
        <f t="shared" si="1134"/>
        <v>5552.1574322500383</v>
      </c>
      <c r="EI288" s="617">
        <f t="shared" si="1164"/>
        <v>3701.4009772961581</v>
      </c>
      <c r="EJ288" s="651">
        <f t="shared" si="1135"/>
        <v>9253.5584095461963</v>
      </c>
      <c r="EK288" s="617">
        <f t="shared" si="1135"/>
        <v>2842.9325568887034</v>
      </c>
      <c r="EL288" s="617">
        <f t="shared" si="1165"/>
        <v>2795.0668838077636</v>
      </c>
      <c r="EM288" s="617">
        <f t="shared" si="1136"/>
        <v>2842.950427239236</v>
      </c>
      <c r="EN288" s="618">
        <f t="shared" si="1166"/>
        <v>915.73175340409853</v>
      </c>
      <c r="EO288" s="617">
        <f t="shared" si="1137"/>
        <v>5637.999440696467</v>
      </c>
      <c r="EP288" s="617">
        <f t="shared" si="1167"/>
        <v>3758.6821806433345</v>
      </c>
      <c r="EQ288" s="651">
        <f t="shared" si="1138"/>
        <v>9396.6816213398015</v>
      </c>
    </row>
    <row r="289" spans="1:147" ht="10.199999999999999" customHeight="1">
      <c r="A289" s="130" t="str">
        <f t="shared" si="1113"/>
        <v>A321neo</v>
      </c>
      <c r="B289" s="130"/>
      <c r="C289" s="130">
        <f t="shared" ref="C289:BR289" si="1195">C253/C$275</f>
        <v>0</v>
      </c>
      <c r="D289" s="130">
        <f t="shared" si="1195"/>
        <v>0</v>
      </c>
      <c r="E289" s="130">
        <f t="shared" si="1195"/>
        <v>0</v>
      </c>
      <c r="F289" s="130">
        <f t="shared" si="1195"/>
        <v>0</v>
      </c>
      <c r="G289" s="130">
        <f t="shared" si="1195"/>
        <v>0</v>
      </c>
      <c r="H289" s="130">
        <f t="shared" si="1195"/>
        <v>0</v>
      </c>
      <c r="I289" s="130">
        <f t="shared" si="1195"/>
        <v>0</v>
      </c>
      <c r="J289" s="130">
        <f t="shared" si="1195"/>
        <v>0</v>
      </c>
      <c r="K289" s="130">
        <f t="shared" si="1195"/>
        <v>0</v>
      </c>
      <c r="L289" s="130">
        <f t="shared" si="1195"/>
        <v>0</v>
      </c>
      <c r="M289" s="130">
        <f t="shared" si="1195"/>
        <v>0</v>
      </c>
      <c r="N289" s="130">
        <f t="shared" si="1195"/>
        <v>0</v>
      </c>
      <c r="O289" s="317"/>
      <c r="P289" s="130"/>
      <c r="Q289" s="317"/>
      <c r="R289" s="698"/>
      <c r="S289" s="317"/>
      <c r="T289" s="130"/>
      <c r="U289" s="619">
        <f t="shared" si="1195"/>
        <v>0</v>
      </c>
      <c r="V289" s="317"/>
      <c r="W289" s="130"/>
      <c r="X289" s="317"/>
      <c r="Y289" s="698"/>
      <c r="Z289" s="317"/>
      <c r="AA289" s="130"/>
      <c r="AB289" s="619">
        <f t="shared" si="1195"/>
        <v>0</v>
      </c>
      <c r="AC289" s="317"/>
      <c r="AD289" s="130"/>
      <c r="AE289" s="317"/>
      <c r="AF289" s="698"/>
      <c r="AG289" s="317"/>
      <c r="AH289" s="130"/>
      <c r="AI289" s="619">
        <f t="shared" si="1195"/>
        <v>0</v>
      </c>
      <c r="AJ289" s="317"/>
      <c r="AK289" s="130"/>
      <c r="AL289" s="317"/>
      <c r="AM289" s="698"/>
      <c r="AN289" s="317"/>
      <c r="AO289" s="130"/>
      <c r="AP289" s="619">
        <f t="shared" si="1195"/>
        <v>0</v>
      </c>
      <c r="AQ289" s="317"/>
      <c r="AR289" s="130"/>
      <c r="AS289" s="317"/>
      <c r="AT289" s="698"/>
      <c r="AU289" s="317"/>
      <c r="AV289" s="130"/>
      <c r="AW289" s="619">
        <f t="shared" si="1195"/>
        <v>1164.0969415026789</v>
      </c>
      <c r="AX289" s="317"/>
      <c r="AY289" s="130"/>
      <c r="AZ289" s="317"/>
      <c r="BA289" s="698"/>
      <c r="BB289" s="317"/>
      <c r="BC289" s="130"/>
      <c r="BD289" s="619">
        <f t="shared" si="1195"/>
        <v>1048.5190773653649</v>
      </c>
      <c r="BE289" s="317"/>
      <c r="BF289" s="130"/>
      <c r="BG289" s="317"/>
      <c r="BH289" s="698"/>
      <c r="BI289" s="317"/>
      <c r="BJ289" s="130"/>
      <c r="BK289" s="619">
        <f t="shared" si="1195"/>
        <v>4951.7269972629074</v>
      </c>
      <c r="BL289" s="317"/>
      <c r="BM289" s="130"/>
      <c r="BN289" s="317"/>
      <c r="BO289" s="698"/>
      <c r="BP289" s="317"/>
      <c r="BQ289" s="130"/>
      <c r="BR289" s="619">
        <f t="shared" si="1195"/>
        <v>8735.8553697819407</v>
      </c>
      <c r="BS289" s="317"/>
      <c r="BT289" s="130"/>
      <c r="BU289" s="317"/>
      <c r="BV289" s="698"/>
      <c r="BW289" s="317"/>
      <c r="BX289" s="130"/>
      <c r="BY289" s="619">
        <f t="shared" si="1140"/>
        <v>8686.2169803292418</v>
      </c>
      <c r="BZ289" s="317"/>
      <c r="CA289" s="130"/>
      <c r="CB289" s="317"/>
      <c r="CC289" s="698"/>
      <c r="CD289" s="317"/>
      <c r="CE289" s="130"/>
      <c r="CF289" s="619">
        <f t="shared" si="1141"/>
        <v>10256.682509098035</v>
      </c>
      <c r="CG289" s="317"/>
      <c r="CH289" s="130"/>
      <c r="CI289" s="317"/>
      <c r="CJ289" s="698"/>
      <c r="CK289" s="317"/>
      <c r="CL289" s="130"/>
      <c r="CM289" s="619">
        <f t="shared" si="1141"/>
        <v>13882.760988873364</v>
      </c>
      <c r="CN289" s="317">
        <f t="shared" si="1115"/>
        <v>3190.2962103161999</v>
      </c>
      <c r="CO289" s="130">
        <f t="shared" si="1142"/>
        <v>4734.5631307234316</v>
      </c>
      <c r="CP289" s="317">
        <f t="shared" si="1115"/>
        <v>4083.0029188008884</v>
      </c>
      <c r="CQ289" s="698">
        <f t="shared" si="1143"/>
        <v>4999.5483372693852</v>
      </c>
      <c r="CR289" s="317">
        <f t="shared" si="1116"/>
        <v>7924.8593410396315</v>
      </c>
      <c r="CS289" s="130">
        <f t="shared" si="1144"/>
        <v>9082.5512560702737</v>
      </c>
      <c r="CT289" s="619">
        <f t="shared" si="1117"/>
        <v>17007.410597109905</v>
      </c>
      <c r="CU289" s="317">
        <f t="shared" si="1117"/>
        <v>3342.7387401694659</v>
      </c>
      <c r="CV289" s="130">
        <f t="shared" si="1145"/>
        <v>4961.0369891071632</v>
      </c>
      <c r="CW289" s="317">
        <f t="shared" ref="CW289" si="1196">CW253/CW$275</f>
        <v>4573.5786862504356</v>
      </c>
      <c r="CX289" s="698">
        <f t="shared" si="1147"/>
        <v>7401.7352454856518</v>
      </c>
      <c r="CY289" s="317">
        <f t="shared" si="1119"/>
        <v>8303.7757292766291</v>
      </c>
      <c r="CZ289" s="130">
        <f t="shared" si="1148"/>
        <v>11975.313931736087</v>
      </c>
      <c r="DA289" s="619">
        <f t="shared" ref="DA289:DB289" si="1197">DA253/DA$275</f>
        <v>20279.089661012717</v>
      </c>
      <c r="DB289" s="317">
        <f t="shared" si="1197"/>
        <v>3740.616183228582</v>
      </c>
      <c r="DC289" s="130">
        <f t="shared" si="1150"/>
        <v>4204.41282406133</v>
      </c>
      <c r="DD289" s="130">
        <f t="shared" si="1121"/>
        <v>5705.7179987974214</v>
      </c>
      <c r="DE289" s="698">
        <f t="shared" si="1151"/>
        <v>7417.1066513349597</v>
      </c>
      <c r="DF289" s="317">
        <f t="shared" si="1122"/>
        <v>7945.0290072899115</v>
      </c>
      <c r="DG289" s="130">
        <f t="shared" si="1152"/>
        <v>13122.824650132381</v>
      </c>
      <c r="DH289" s="619">
        <f t="shared" si="1123"/>
        <v>21067.853657422293</v>
      </c>
      <c r="DI289" s="317">
        <f t="shared" si="1123"/>
        <v>3137.3914487207135</v>
      </c>
      <c r="DJ289" s="130">
        <f t="shared" si="1153"/>
        <v>6232.829604462484</v>
      </c>
      <c r="DK289" s="617">
        <f t="shared" si="1124"/>
        <v>6023.7888746720264</v>
      </c>
      <c r="DL289" s="618">
        <f t="shared" si="1154"/>
        <v>7726.1377928105458</v>
      </c>
      <c r="DM289" s="130">
        <f t="shared" si="1125"/>
        <v>9370.221053183197</v>
      </c>
      <c r="DN289" s="617">
        <f t="shared" si="1155"/>
        <v>13749.926667482572</v>
      </c>
      <c r="DO289" s="651">
        <f t="shared" si="1126"/>
        <v>23120.147720665769</v>
      </c>
      <c r="DP289" s="617">
        <f t="shared" si="1126"/>
        <v>6625.7988463881929</v>
      </c>
      <c r="DQ289" s="617">
        <f t="shared" si="1156"/>
        <v>7183.1251425748424</v>
      </c>
      <c r="DR289" s="617">
        <f t="shared" si="1127"/>
        <v>7183.428986236222</v>
      </c>
      <c r="DS289" s="618">
        <f t="shared" si="1157"/>
        <v>7181.4858671680449</v>
      </c>
      <c r="DT289" s="617">
        <f t="shared" si="1128"/>
        <v>13808.923988963035</v>
      </c>
      <c r="DU289" s="617">
        <f t="shared" si="1158"/>
        <v>14364.914853404267</v>
      </c>
      <c r="DV289" s="651">
        <f t="shared" si="1129"/>
        <v>28173.838842367302</v>
      </c>
      <c r="DW289" s="617">
        <f t="shared" si="1129"/>
        <v>7355.0600748637062</v>
      </c>
      <c r="DX289" s="617">
        <f t="shared" si="1159"/>
        <v>7923.3776255639987</v>
      </c>
      <c r="DY289" s="617">
        <f t="shared" si="1130"/>
        <v>7923.5049596864128</v>
      </c>
      <c r="DZ289" s="618">
        <f t="shared" si="1160"/>
        <v>10146.760106094451</v>
      </c>
      <c r="EA289" s="617">
        <f t="shared" si="1131"/>
        <v>15278.437700427705</v>
      </c>
      <c r="EB289" s="617">
        <f t="shared" si="1161"/>
        <v>18070.265065780863</v>
      </c>
      <c r="EC289" s="651">
        <f t="shared" si="1132"/>
        <v>33348.702766208567</v>
      </c>
      <c r="ED289" s="617">
        <f t="shared" si="1132"/>
        <v>7972.159230853902</v>
      </c>
      <c r="EE289" s="617">
        <f t="shared" si="1162"/>
        <v>7972.0611248785226</v>
      </c>
      <c r="EF289" s="617">
        <f t="shared" si="1133"/>
        <v>7972.0454710975227</v>
      </c>
      <c r="EG289" s="618">
        <f t="shared" si="1163"/>
        <v>10249.782890299985</v>
      </c>
      <c r="EH289" s="617">
        <f t="shared" si="1134"/>
        <v>15944.220355732425</v>
      </c>
      <c r="EI289" s="617">
        <f t="shared" si="1164"/>
        <v>18221.828361397507</v>
      </c>
      <c r="EJ289" s="651">
        <f t="shared" si="1135"/>
        <v>34166.048717129932</v>
      </c>
      <c r="EK289" s="617">
        <f t="shared" si="1135"/>
        <v>8095.3451570249526</v>
      </c>
      <c r="EL289" s="617">
        <f t="shared" si="1165"/>
        <v>8095.3890836521623</v>
      </c>
      <c r="EM289" s="617">
        <f t="shared" si="1136"/>
        <v>8095.3960434433757</v>
      </c>
      <c r="EN289" s="618">
        <f t="shared" si="1166"/>
        <v>10408.358889131465</v>
      </c>
      <c r="EO289" s="617">
        <f t="shared" si="1137"/>
        <v>16190.734240677115</v>
      </c>
      <c r="EP289" s="617">
        <f t="shared" si="1167"/>
        <v>18503.75493257484</v>
      </c>
      <c r="EQ289" s="651">
        <f t="shared" si="1138"/>
        <v>34694.489173251954</v>
      </c>
    </row>
    <row r="290" spans="1:147" ht="10.199999999999999" customHeight="1">
      <c r="A290" s="92" t="str">
        <f t="shared" si="1113"/>
        <v>A320neo</v>
      </c>
      <c r="B290" s="92"/>
      <c r="C290" s="92">
        <f t="shared" ref="C290:AI290" si="1198">C254/C$275</f>
        <v>0</v>
      </c>
      <c r="D290" s="92">
        <f t="shared" si="1198"/>
        <v>0</v>
      </c>
      <c r="E290" s="92">
        <f t="shared" si="1198"/>
        <v>0</v>
      </c>
      <c r="F290" s="92">
        <f t="shared" si="1198"/>
        <v>0</v>
      </c>
      <c r="G290" s="92">
        <f t="shared" si="1198"/>
        <v>0</v>
      </c>
      <c r="H290" s="92">
        <f t="shared" si="1198"/>
        <v>0</v>
      </c>
      <c r="I290" s="92">
        <f t="shared" si="1198"/>
        <v>0</v>
      </c>
      <c r="J290" s="92">
        <f t="shared" si="1198"/>
        <v>0</v>
      </c>
      <c r="K290" s="92">
        <f t="shared" si="1198"/>
        <v>0</v>
      </c>
      <c r="L290" s="92">
        <f t="shared" si="1198"/>
        <v>0</v>
      </c>
      <c r="M290" s="92">
        <f t="shared" si="1198"/>
        <v>0</v>
      </c>
      <c r="N290" s="92">
        <f t="shared" si="1198"/>
        <v>0</v>
      </c>
      <c r="O290" s="319"/>
      <c r="P290" s="92"/>
      <c r="Q290" s="319"/>
      <c r="R290" s="699"/>
      <c r="S290" s="319"/>
      <c r="T290" s="92"/>
      <c r="U290" s="1289">
        <f t="shared" si="1198"/>
        <v>0</v>
      </c>
      <c r="V290" s="319"/>
      <c r="W290" s="92"/>
      <c r="X290" s="319"/>
      <c r="Y290" s="699"/>
      <c r="Z290" s="319"/>
      <c r="AA290" s="92"/>
      <c r="AB290" s="1289">
        <f t="shared" si="1198"/>
        <v>0</v>
      </c>
      <c r="AC290" s="319"/>
      <c r="AD290" s="92"/>
      <c r="AE290" s="319"/>
      <c r="AF290" s="699"/>
      <c r="AG290" s="319"/>
      <c r="AH290" s="92"/>
      <c r="AI290" s="1289">
        <f t="shared" si="1198"/>
        <v>0</v>
      </c>
      <c r="AJ290" s="319"/>
      <c r="AK290" s="92"/>
      <c r="AL290" s="319"/>
      <c r="AM290" s="699"/>
      <c r="AN290" s="319"/>
      <c r="AO290" s="92"/>
      <c r="AP290" s="1289">
        <f>AP254/AP$275</f>
        <v>3349.2142714668139</v>
      </c>
      <c r="AQ290" s="319"/>
      <c r="AR290" s="92"/>
      <c r="AS290" s="319"/>
      <c r="AT290" s="699"/>
      <c r="AU290" s="319"/>
      <c r="AV290" s="92"/>
      <c r="AW290" s="1289">
        <f>AW254/AW$275</f>
        <v>9162.6345249205351</v>
      </c>
      <c r="AX290" s="319"/>
      <c r="AY290" s="92"/>
      <c r="AZ290" s="319"/>
      <c r="BA290" s="699"/>
      <c r="BB290" s="319"/>
      <c r="BC290" s="92"/>
      <c r="BD290" s="1289">
        <f>BD254/BD$275</f>
        <v>8252.918426109969</v>
      </c>
      <c r="BE290" s="319"/>
      <c r="BF290" s="92"/>
      <c r="BG290" s="319"/>
      <c r="BH290" s="699"/>
      <c r="BI290" s="319"/>
      <c r="BJ290" s="92"/>
      <c r="BK290" s="1289">
        <f>BK254/BK$275</f>
        <v>16726.708121861804</v>
      </c>
      <c r="BL290" s="319"/>
      <c r="BM290" s="92"/>
      <c r="BN290" s="319"/>
      <c r="BO290" s="699"/>
      <c r="BP290" s="319"/>
      <c r="BQ290" s="92"/>
      <c r="BR290" s="1289">
        <f>BR254/BR$275</f>
        <v>25737.606322400021</v>
      </c>
      <c r="BS290" s="319"/>
      <c r="BT290" s="92"/>
      <c r="BU290" s="319"/>
      <c r="BV290" s="699"/>
      <c r="BW290" s="319"/>
      <c r="BX290" s="92"/>
      <c r="BY290" s="1289">
        <f t="shared" si="1140"/>
        <v>19230.487784206594</v>
      </c>
      <c r="BZ290" s="319"/>
      <c r="CA290" s="92"/>
      <c r="CB290" s="319"/>
      <c r="CC290" s="699"/>
      <c r="CD290" s="319"/>
      <c r="CE290" s="92"/>
      <c r="CF290" s="1289">
        <f t="shared" si="1141"/>
        <v>21694.353125110822</v>
      </c>
      <c r="CG290" s="319"/>
      <c r="CH290" s="92"/>
      <c r="CI290" s="319"/>
      <c r="CJ290" s="699"/>
      <c r="CK290" s="319"/>
      <c r="CL290" s="92"/>
      <c r="CM290" s="1289">
        <f t="shared" si="1141"/>
        <v>25178.280157093057</v>
      </c>
      <c r="CN290" s="319">
        <f t="shared" si="1115"/>
        <v>5411.1611570833047</v>
      </c>
      <c r="CO290" s="92">
        <f t="shared" si="1142"/>
        <v>7403.3222074170862</v>
      </c>
      <c r="CP290" s="319">
        <f t="shared" si="1115"/>
        <v>6552.7060205819489</v>
      </c>
      <c r="CQ290" s="699">
        <f t="shared" si="1143"/>
        <v>9253.0131293962077</v>
      </c>
      <c r="CR290" s="319">
        <f t="shared" si="1116"/>
        <v>12814.483364500391</v>
      </c>
      <c r="CS290" s="92">
        <f t="shared" si="1144"/>
        <v>15805.719149978157</v>
      </c>
      <c r="CT290" s="1289">
        <f t="shared" si="1117"/>
        <v>28620.202514478548</v>
      </c>
      <c r="CU290" s="319">
        <f t="shared" si="1117"/>
        <v>5723.3366387669857</v>
      </c>
      <c r="CV290" s="92">
        <f t="shared" si="1145"/>
        <v>7677.3550713030863</v>
      </c>
      <c r="CW290" s="319">
        <f t="shared" ref="CW290" si="1199">CW254/CW$275</f>
        <v>6847.4896636624017</v>
      </c>
      <c r="CX290" s="699">
        <f t="shared" si="1147"/>
        <v>10819.638462902973</v>
      </c>
      <c r="CY290" s="319">
        <f t="shared" si="1119"/>
        <v>13400.691710070072</v>
      </c>
      <c r="CZ290" s="92">
        <f t="shared" si="1148"/>
        <v>17667.128126565374</v>
      </c>
      <c r="DA290" s="1289">
        <f t="shared" ref="DA290:DB290" si="1200">DA254/DA$275</f>
        <v>31067.819836635448</v>
      </c>
      <c r="DB290" s="319">
        <f t="shared" si="1200"/>
        <v>5630.5699687434935</v>
      </c>
      <c r="DC290" s="92">
        <f t="shared" si="1150"/>
        <v>6295.5505802438929</v>
      </c>
      <c r="DD290" s="92">
        <f t="shared" si="1121"/>
        <v>8043.2831582868357</v>
      </c>
      <c r="DE290" s="699">
        <f t="shared" si="1151"/>
        <v>10960.373549878801</v>
      </c>
      <c r="DF290" s="319">
        <f t="shared" si="1122"/>
        <v>11926.120548987386</v>
      </c>
      <c r="DG290" s="92">
        <f t="shared" si="1152"/>
        <v>19003.656708165636</v>
      </c>
      <c r="DH290" s="1289">
        <f t="shared" si="1123"/>
        <v>30929.777257153022</v>
      </c>
      <c r="DI290" s="319">
        <f t="shared" si="1123"/>
        <v>4365.2909871094289</v>
      </c>
      <c r="DJ290" s="92">
        <f t="shared" si="1153"/>
        <v>9907.7662540995625</v>
      </c>
      <c r="DK290" s="622">
        <f t="shared" si="1124"/>
        <v>8116.9101469199113</v>
      </c>
      <c r="DL290" s="623">
        <f t="shared" si="1154"/>
        <v>11084.566223673461</v>
      </c>
      <c r="DM290" s="92">
        <f t="shared" si="1125"/>
        <v>14273.057241208991</v>
      </c>
      <c r="DN290" s="622">
        <f t="shared" si="1155"/>
        <v>19201.476370593373</v>
      </c>
      <c r="DO290" s="652">
        <f t="shared" si="1126"/>
        <v>33474.533611802362</v>
      </c>
      <c r="DP290" s="622">
        <f t="shared" si="1126"/>
        <v>8988.0817713609067</v>
      </c>
      <c r="DQ290" s="622">
        <f t="shared" si="1156"/>
        <v>9740.6608719390424</v>
      </c>
      <c r="DR290" s="622">
        <f t="shared" si="1127"/>
        <v>9744.8364042496287</v>
      </c>
      <c r="DS290" s="623">
        <f t="shared" si="1157"/>
        <v>9742.1999011370463</v>
      </c>
      <c r="DT290" s="622">
        <f t="shared" si="1128"/>
        <v>18728.742643299949</v>
      </c>
      <c r="DU290" s="622">
        <f t="shared" si="1158"/>
        <v>19487.036305386675</v>
      </c>
      <c r="DV290" s="652">
        <f t="shared" si="1129"/>
        <v>38215.778948686624</v>
      </c>
      <c r="DW290" s="622">
        <f t="shared" si="1129"/>
        <v>9977.6662803105901</v>
      </c>
      <c r="DX290" s="622">
        <f t="shared" si="1159"/>
        <v>10745.071051663985</v>
      </c>
      <c r="DY290" s="622">
        <f t="shared" si="1130"/>
        <v>10749.099130115494</v>
      </c>
      <c r="DZ290" s="623">
        <f t="shared" si="1160"/>
        <v>11119.895424635106</v>
      </c>
      <c r="EA290" s="622">
        <f t="shared" si="1131"/>
        <v>20722.737331974575</v>
      </c>
      <c r="EB290" s="622">
        <f t="shared" si="1161"/>
        <v>21868.994554750599</v>
      </c>
      <c r="EC290" s="652">
        <f t="shared" si="1132"/>
        <v>42591.731886725174</v>
      </c>
      <c r="ED290" s="622">
        <f t="shared" si="1132"/>
        <v>10815.103958350443</v>
      </c>
      <c r="EE290" s="622">
        <f t="shared" si="1162"/>
        <v>10811.091265361483</v>
      </c>
      <c r="EF290" s="622">
        <f t="shared" si="1133"/>
        <v>10814.949630826883</v>
      </c>
      <c r="EG290" s="623">
        <f t="shared" si="1163"/>
        <v>11194.823792637875</v>
      </c>
      <c r="EH290" s="622">
        <f t="shared" si="1134"/>
        <v>21626.195223711926</v>
      </c>
      <c r="EI290" s="622">
        <f t="shared" si="1164"/>
        <v>22009.773423464758</v>
      </c>
      <c r="EJ290" s="652">
        <f t="shared" si="1135"/>
        <v>43635.968647176684</v>
      </c>
      <c r="EK290" s="622">
        <f t="shared" si="1135"/>
        <v>10982.219109862901</v>
      </c>
      <c r="EL290" s="622">
        <f t="shared" si="1165"/>
        <v>10978.339117007898</v>
      </c>
      <c r="EM290" s="622">
        <f t="shared" si="1136"/>
        <v>10982.288142842472</v>
      </c>
      <c r="EN290" s="623">
        <f t="shared" si="1166"/>
        <v>11368.032372164509</v>
      </c>
      <c r="EO290" s="622">
        <f t="shared" si="1137"/>
        <v>21960.558226870799</v>
      </c>
      <c r="EP290" s="622">
        <f t="shared" si="1167"/>
        <v>22350.320515006981</v>
      </c>
      <c r="EQ290" s="652">
        <f t="shared" si="1138"/>
        <v>44310.878741877779</v>
      </c>
    </row>
    <row r="291" spans="1:147" ht="10.199999999999999" customHeight="1">
      <c r="A291" s="130" t="str">
        <f t="shared" si="1113"/>
        <v>A330-200</v>
      </c>
      <c r="B291" s="130"/>
      <c r="C291" s="130">
        <f t="shared" ref="C291:AI291" si="1201">C255/C$275</f>
        <v>1643.3260465903027</v>
      </c>
      <c r="D291" s="130">
        <f t="shared" si="1201"/>
        <v>3804.5195614292179</v>
      </c>
      <c r="E291" s="130">
        <f t="shared" si="1201"/>
        <v>1817.9706363751991</v>
      </c>
      <c r="F291" s="130">
        <f t="shared" si="1201"/>
        <v>2059.0898926903506</v>
      </c>
      <c r="G291" s="130">
        <f t="shared" si="1201"/>
        <v>2808.7844432937482</v>
      </c>
      <c r="H291" s="130">
        <f t="shared" si="1201"/>
        <v>3452.1364165205114</v>
      </c>
      <c r="I291" s="130">
        <f t="shared" si="1201"/>
        <v>3319.5613082371783</v>
      </c>
      <c r="J291" s="130">
        <f t="shared" si="1201"/>
        <v>3601.0559421404641</v>
      </c>
      <c r="K291" s="130">
        <f t="shared" si="1201"/>
        <v>2822.574940803006</v>
      </c>
      <c r="L291" s="130">
        <f t="shared" si="1201"/>
        <v>3444.9732542310226</v>
      </c>
      <c r="M291" s="130">
        <f t="shared" si="1201"/>
        <v>3926.055044100191</v>
      </c>
      <c r="N291" s="130">
        <f t="shared" si="1201"/>
        <v>3410.057719240679</v>
      </c>
      <c r="O291" s="317"/>
      <c r="P291" s="130"/>
      <c r="Q291" s="317"/>
      <c r="R291" s="698"/>
      <c r="S291" s="317"/>
      <c r="T291" s="130"/>
      <c r="U291" s="619">
        <f t="shared" si="1201"/>
        <v>3829.3380268209476</v>
      </c>
      <c r="V291" s="317"/>
      <c r="W291" s="130"/>
      <c r="X291" s="317"/>
      <c r="Y291" s="698"/>
      <c r="Z291" s="317"/>
      <c r="AA291" s="130"/>
      <c r="AB291" s="619">
        <f t="shared" si="1201"/>
        <v>3439.4466498401298</v>
      </c>
      <c r="AC291" s="317"/>
      <c r="AD291" s="130"/>
      <c r="AE291" s="317"/>
      <c r="AF291" s="698"/>
      <c r="AG291" s="317"/>
      <c r="AH291" s="130"/>
      <c r="AI291" s="619">
        <f t="shared" si="1201"/>
        <v>3404.0432799857322</v>
      </c>
      <c r="AJ291" s="317"/>
      <c r="AK291" s="130"/>
      <c r="AL291" s="317"/>
      <c r="AM291" s="698"/>
      <c r="AN291" s="317"/>
      <c r="AO291" s="130"/>
      <c r="AP291" s="619">
        <f t="shared" ref="AP291:BR302" si="1202">AP255/AP$275</f>
        <v>2550.3309155569345</v>
      </c>
      <c r="AQ291" s="317"/>
      <c r="AR291" s="130"/>
      <c r="AS291" s="317"/>
      <c r="AT291" s="698"/>
      <c r="AU291" s="317"/>
      <c r="AV291" s="130"/>
      <c r="AW291" s="619">
        <f t="shared" si="1202"/>
        <v>1753.3949780314508</v>
      </c>
      <c r="AX291" s="317"/>
      <c r="AY291" s="130"/>
      <c r="AZ291" s="317"/>
      <c r="BA291" s="698"/>
      <c r="BB291" s="317"/>
      <c r="BC291" s="130"/>
      <c r="BD291" s="619">
        <f t="shared" si="1202"/>
        <v>1563.5153215220319</v>
      </c>
      <c r="BE291" s="317"/>
      <c r="BF291" s="130"/>
      <c r="BG291" s="317"/>
      <c r="BH291" s="698"/>
      <c r="BI291" s="317"/>
      <c r="BJ291" s="130"/>
      <c r="BK291" s="619">
        <f t="shared" si="1202"/>
        <v>1244.3253255814643</v>
      </c>
      <c r="BL291" s="317"/>
      <c r="BM291" s="130"/>
      <c r="BN291" s="317"/>
      <c r="BO291" s="698"/>
      <c r="BP291" s="317"/>
      <c r="BQ291" s="130"/>
      <c r="BR291" s="619">
        <f t="shared" si="1202"/>
        <v>638.58375000000001</v>
      </c>
      <c r="BS291" s="317"/>
      <c r="BT291" s="130"/>
      <c r="BU291" s="317"/>
      <c r="BV291" s="698"/>
      <c r="BW291" s="317"/>
      <c r="BX291" s="130"/>
      <c r="BY291" s="619">
        <f t="shared" si="1140"/>
        <v>415.10656784968688</v>
      </c>
      <c r="BZ291" s="317"/>
      <c r="CA291" s="130"/>
      <c r="CB291" s="317"/>
      <c r="CC291" s="698"/>
      <c r="CD291" s="317"/>
      <c r="CE291" s="130"/>
      <c r="CF291" s="619">
        <f t="shared" si="1141"/>
        <v>254.18806278031499</v>
      </c>
      <c r="CG291" s="317"/>
      <c r="CH291" s="130"/>
      <c r="CI291" s="317"/>
      <c r="CJ291" s="698"/>
      <c r="CK291" s="317"/>
      <c r="CL291" s="130"/>
      <c r="CM291" s="619">
        <f t="shared" si="1141"/>
        <v>394.44901148825323</v>
      </c>
      <c r="CN291" s="317">
        <f t="shared" si="1115"/>
        <v>82.011872076787313</v>
      </c>
      <c r="CO291" s="130">
        <f t="shared" si="1142"/>
        <v>81.519828416422001</v>
      </c>
      <c r="CP291" s="317">
        <f t="shared" si="1115"/>
        <v>0</v>
      </c>
      <c r="CQ291" s="698">
        <f t="shared" si="1143"/>
        <v>83.491394120307348</v>
      </c>
      <c r="CR291" s="317">
        <f t="shared" si="1116"/>
        <v>163.53170049320931</v>
      </c>
      <c r="CS291" s="130">
        <f t="shared" si="1144"/>
        <v>83.491394120307348</v>
      </c>
      <c r="CT291" s="619">
        <f t="shared" si="1117"/>
        <v>247.02309461351666</v>
      </c>
      <c r="CU291" s="317">
        <f t="shared" si="1117"/>
        <v>0</v>
      </c>
      <c r="CV291" s="130">
        <f t="shared" si="1145"/>
        <v>0</v>
      </c>
      <c r="CW291" s="317">
        <f t="shared" ref="CW291" si="1203">CW255/CW$275</f>
        <v>0</v>
      </c>
      <c r="CX291" s="698">
        <f t="shared" si="1147"/>
        <v>168.41836731028698</v>
      </c>
      <c r="CY291" s="317">
        <f t="shared" si="1119"/>
        <v>0</v>
      </c>
      <c r="CZ291" s="130">
        <f t="shared" si="1148"/>
        <v>168.41836731028698</v>
      </c>
      <c r="DA291" s="619">
        <f t="shared" ref="DA291:DB291" si="1204">DA255/DA$275</f>
        <v>168.41836731028698</v>
      </c>
      <c r="DB291" s="317">
        <f t="shared" si="1204"/>
        <v>0</v>
      </c>
      <c r="DC291" s="130">
        <f t="shared" si="1150"/>
        <v>86.910506685160826</v>
      </c>
      <c r="DD291" s="130">
        <f t="shared" si="1121"/>
        <v>0</v>
      </c>
      <c r="DE291" s="698">
        <f t="shared" si="1151"/>
        <v>83.208745342596828</v>
      </c>
      <c r="DF291" s="317">
        <f t="shared" si="1122"/>
        <v>86.910506685160826</v>
      </c>
      <c r="DG291" s="130">
        <f t="shared" si="1152"/>
        <v>83.208745342596828</v>
      </c>
      <c r="DH291" s="619">
        <f t="shared" si="1123"/>
        <v>170.11925202775765</v>
      </c>
      <c r="DI291" s="317">
        <f t="shared" si="1123"/>
        <v>0</v>
      </c>
      <c r="DJ291" s="130">
        <f t="shared" si="1153"/>
        <v>84.921858176087895</v>
      </c>
      <c r="DK291" s="617">
        <f t="shared" si="1124"/>
        <v>43.33595700438218</v>
      </c>
      <c r="DL291" s="618">
        <f t="shared" si="1154"/>
        <v>43.018324063943098</v>
      </c>
      <c r="DM291" s="130">
        <f t="shared" si="1125"/>
        <v>84.921858176087895</v>
      </c>
      <c r="DN291" s="617">
        <f t="shared" si="1155"/>
        <v>86.354281068325278</v>
      </c>
      <c r="DO291" s="651">
        <f t="shared" si="1126"/>
        <v>171.27613924441317</v>
      </c>
      <c r="DP291" s="617">
        <f t="shared" si="1126"/>
        <v>43.134415202271683</v>
      </c>
      <c r="DQ291" s="617">
        <f t="shared" si="1156"/>
        <v>43.166765932254137</v>
      </c>
      <c r="DR291" s="617">
        <f t="shared" si="1127"/>
        <v>43.167347559758994</v>
      </c>
      <c r="DS291" s="618">
        <f t="shared" si="1157"/>
        <v>43.156098963620323</v>
      </c>
      <c r="DT291" s="617">
        <f t="shared" si="1128"/>
        <v>86.30118113452582</v>
      </c>
      <c r="DU291" s="617">
        <f t="shared" si="1158"/>
        <v>86.323446523379317</v>
      </c>
      <c r="DV291" s="651">
        <f t="shared" si="1129"/>
        <v>172.62462765790514</v>
      </c>
      <c r="DW291" s="617">
        <f t="shared" si="1129"/>
        <v>44.198729490176639</v>
      </c>
      <c r="DX291" s="617">
        <f t="shared" si="1159"/>
        <v>44.213449185745354</v>
      </c>
      <c r="DY291" s="617">
        <f t="shared" si="1130"/>
        <v>44.21363401439023</v>
      </c>
      <c r="DZ291" s="618">
        <f t="shared" si="1160"/>
        <v>44.213955496294112</v>
      </c>
      <c r="EA291" s="617">
        <f t="shared" si="1131"/>
        <v>88.412178675921993</v>
      </c>
      <c r="EB291" s="617">
        <f t="shared" si="1161"/>
        <v>88.427589510684342</v>
      </c>
      <c r="EC291" s="651">
        <f t="shared" si="1132"/>
        <v>176.83976818660634</v>
      </c>
      <c r="ED291" s="617">
        <f t="shared" si="1132"/>
        <v>44.485127772465873</v>
      </c>
      <c r="EE291" s="617">
        <f t="shared" si="1162"/>
        <v>44.484580335225402</v>
      </c>
      <c r="EF291" s="617">
        <f t="shared" si="1133"/>
        <v>44.484492986186353</v>
      </c>
      <c r="EG291" s="618">
        <f t="shared" si="1163"/>
        <v>44.484497662614132</v>
      </c>
      <c r="EH291" s="617">
        <f t="shared" si="1134"/>
        <v>88.969708107691275</v>
      </c>
      <c r="EI291" s="617">
        <f t="shared" si="1164"/>
        <v>88.968990648800485</v>
      </c>
      <c r="EJ291" s="651">
        <f t="shared" si="1135"/>
        <v>177.93869875649176</v>
      </c>
      <c r="EK291" s="617">
        <f t="shared" si="1135"/>
        <v>45.172512646099641</v>
      </c>
      <c r="EL291" s="617">
        <f t="shared" si="1165"/>
        <v>45.172757759320213</v>
      </c>
      <c r="EM291" s="617">
        <f t="shared" si="1136"/>
        <v>45.172796595373597</v>
      </c>
      <c r="EN291" s="618">
        <f t="shared" si="1166"/>
        <v>45.17277930167711</v>
      </c>
      <c r="EO291" s="617">
        <f t="shared" si="1137"/>
        <v>90.345270405419853</v>
      </c>
      <c r="EP291" s="617">
        <f t="shared" si="1167"/>
        <v>90.345575897050708</v>
      </c>
      <c r="EQ291" s="651">
        <f t="shared" si="1138"/>
        <v>180.69084630247056</v>
      </c>
    </row>
    <row r="292" spans="1:147" ht="10.199999999999999" customHeight="1">
      <c r="A292" s="130" t="str">
        <f t="shared" si="1113"/>
        <v>A330-300</v>
      </c>
      <c r="B292" s="130"/>
      <c r="C292" s="130">
        <f t="shared" ref="C292:AI292" si="1205">C256/C$275</f>
        <v>2168.2774225844269</v>
      </c>
      <c r="D292" s="130">
        <f t="shared" si="1205"/>
        <v>704.54065952392932</v>
      </c>
      <c r="E292" s="130">
        <f t="shared" si="1205"/>
        <v>1275.7688676317189</v>
      </c>
      <c r="F292" s="130">
        <f t="shared" si="1205"/>
        <v>2387.3506002206964</v>
      </c>
      <c r="G292" s="130">
        <f t="shared" si="1205"/>
        <v>2516.8319384352585</v>
      </c>
      <c r="H292" s="130">
        <f t="shared" si="1205"/>
        <v>2262.0836917370871</v>
      </c>
      <c r="I292" s="130">
        <f t="shared" si="1205"/>
        <v>2283.2961379409157</v>
      </c>
      <c r="J292" s="130">
        <f t="shared" si="1205"/>
        <v>1878.1017385313078</v>
      </c>
      <c r="K292" s="130">
        <f t="shared" si="1205"/>
        <v>3136.1943786700072</v>
      </c>
      <c r="L292" s="130">
        <f t="shared" si="1205"/>
        <v>5166.1464542818858</v>
      </c>
      <c r="M292" s="130">
        <f t="shared" si="1205"/>
        <v>5111.643503943943</v>
      </c>
      <c r="N292" s="130">
        <f t="shared" si="1205"/>
        <v>4668.8992546034187</v>
      </c>
      <c r="O292" s="317"/>
      <c r="P292" s="130"/>
      <c r="Q292" s="317"/>
      <c r="R292" s="698"/>
      <c r="S292" s="317"/>
      <c r="T292" s="130"/>
      <c r="U292" s="619">
        <f t="shared" si="1205"/>
        <v>4708.6199580443772</v>
      </c>
      <c r="V292" s="317"/>
      <c r="W292" s="130"/>
      <c r="X292" s="317"/>
      <c r="Y292" s="698"/>
      <c r="Z292" s="317"/>
      <c r="AA292" s="130"/>
      <c r="AB292" s="619">
        <f t="shared" si="1205"/>
        <v>8599.4919800543194</v>
      </c>
      <c r="AC292" s="317"/>
      <c r="AD292" s="130"/>
      <c r="AE292" s="317"/>
      <c r="AF292" s="698"/>
      <c r="AG292" s="317"/>
      <c r="AH292" s="130"/>
      <c r="AI292" s="619">
        <f t="shared" si="1205"/>
        <v>7999.5242304177063</v>
      </c>
      <c r="AJ292" s="317"/>
      <c r="AK292" s="130"/>
      <c r="AL292" s="317"/>
      <c r="AM292" s="698"/>
      <c r="AN292" s="317"/>
      <c r="AO292" s="130"/>
      <c r="AP292" s="619">
        <f t="shared" si="1202"/>
        <v>4943.1251914056011</v>
      </c>
      <c r="AQ292" s="317"/>
      <c r="AR292" s="130"/>
      <c r="AS292" s="317"/>
      <c r="AT292" s="698"/>
      <c r="AU292" s="317"/>
      <c r="AV292" s="130"/>
      <c r="AW292" s="619">
        <f t="shared" si="1202"/>
        <v>5287.5999587009646</v>
      </c>
      <c r="AX292" s="317"/>
      <c r="AY292" s="130"/>
      <c r="AZ292" s="317"/>
      <c r="BA292" s="698"/>
      <c r="BB292" s="317"/>
      <c r="BC292" s="130"/>
      <c r="BD292" s="619">
        <f t="shared" si="1202"/>
        <v>4714.9921455745898</v>
      </c>
      <c r="BE292" s="317"/>
      <c r="BF292" s="130"/>
      <c r="BG292" s="317"/>
      <c r="BH292" s="698"/>
      <c r="BI292" s="317"/>
      <c r="BJ292" s="130"/>
      <c r="BK292" s="619">
        <f t="shared" si="1202"/>
        <v>3150.6511029038429</v>
      </c>
      <c r="BL292" s="317"/>
      <c r="BM292" s="130"/>
      <c r="BN292" s="317"/>
      <c r="BO292" s="698"/>
      <c r="BP292" s="317"/>
      <c r="BQ292" s="130"/>
      <c r="BR292" s="619">
        <f t="shared" si="1202"/>
        <v>505.28249999999997</v>
      </c>
      <c r="BS292" s="317"/>
      <c r="BT292" s="130"/>
      <c r="BU292" s="317"/>
      <c r="BV292" s="698"/>
      <c r="BW292" s="317"/>
      <c r="BX292" s="130"/>
      <c r="BY292" s="619">
        <f t="shared" si="1140"/>
        <v>91.96742576594319</v>
      </c>
      <c r="BZ292" s="317"/>
      <c r="CA292" s="130"/>
      <c r="CB292" s="317"/>
      <c r="CC292" s="698"/>
      <c r="CD292" s="317"/>
      <c r="CE292" s="130"/>
      <c r="CF292" s="619">
        <f t="shared" si="1141"/>
        <v>93.859519478070183</v>
      </c>
      <c r="CG292" s="317"/>
      <c r="CH292" s="130"/>
      <c r="CI292" s="317"/>
      <c r="CJ292" s="698"/>
      <c r="CK292" s="317"/>
      <c r="CL292" s="130"/>
      <c r="CM292" s="619">
        <f t="shared" si="1141"/>
        <v>349.56286401743063</v>
      </c>
      <c r="CN292" s="317">
        <f t="shared" si="1115"/>
        <v>0</v>
      </c>
      <c r="CO292" s="130">
        <f t="shared" si="1142"/>
        <v>0</v>
      </c>
      <c r="CP292" s="317">
        <f t="shared" si="1115"/>
        <v>0</v>
      </c>
      <c r="CQ292" s="698">
        <f t="shared" si="1143"/>
        <v>0</v>
      </c>
      <c r="CR292" s="317">
        <f t="shared" si="1116"/>
        <v>0</v>
      </c>
      <c r="CS292" s="130">
        <f t="shared" si="1144"/>
        <v>0</v>
      </c>
      <c r="CT292" s="619">
        <f t="shared" si="1117"/>
        <v>0</v>
      </c>
      <c r="CU292" s="317">
        <f t="shared" si="1117"/>
        <v>0</v>
      </c>
      <c r="CV292" s="130">
        <f t="shared" si="1145"/>
        <v>0</v>
      </c>
      <c r="CW292" s="317">
        <f t="shared" ref="CW292" si="1206">CW256/CW$275</f>
        <v>0</v>
      </c>
      <c r="CX292" s="698">
        <f t="shared" si="1147"/>
        <v>0</v>
      </c>
      <c r="CY292" s="317">
        <f t="shared" si="1119"/>
        <v>0</v>
      </c>
      <c r="CZ292" s="130">
        <f t="shared" si="1148"/>
        <v>0</v>
      </c>
      <c r="DA292" s="619">
        <f t="shared" ref="DA292:DB292" si="1207">DA256/DA$275</f>
        <v>0</v>
      </c>
      <c r="DB292" s="317">
        <f t="shared" si="1207"/>
        <v>0</v>
      </c>
      <c r="DC292" s="130">
        <f t="shared" si="1150"/>
        <v>0</v>
      </c>
      <c r="DD292" s="130">
        <f t="shared" si="1121"/>
        <v>0</v>
      </c>
      <c r="DE292" s="698">
        <f t="shared" si="1151"/>
        <v>0</v>
      </c>
      <c r="DF292" s="317">
        <f t="shared" si="1122"/>
        <v>0</v>
      </c>
      <c r="DG292" s="130">
        <f t="shared" si="1152"/>
        <v>0</v>
      </c>
      <c r="DH292" s="619">
        <f t="shared" si="1123"/>
        <v>0</v>
      </c>
      <c r="DI292" s="317">
        <f t="shared" si="1123"/>
        <v>0</v>
      </c>
      <c r="DJ292" s="130">
        <f t="shared" si="1153"/>
        <v>0</v>
      </c>
      <c r="DK292" s="617">
        <f t="shared" si="1124"/>
        <v>48.005701637558793</v>
      </c>
      <c r="DL292" s="618">
        <f t="shared" si="1154"/>
        <v>46.860453474336303</v>
      </c>
      <c r="DM292" s="130">
        <f t="shared" si="1125"/>
        <v>0</v>
      </c>
      <c r="DN292" s="617">
        <f t="shared" si="1155"/>
        <v>94.866155111895097</v>
      </c>
      <c r="DO292" s="651">
        <f t="shared" si="1126"/>
        <v>94.866155111895097</v>
      </c>
      <c r="DP292" s="617">
        <f t="shared" si="1126"/>
        <v>23.891221166541253</v>
      </c>
      <c r="DQ292" s="617">
        <f t="shared" si="1156"/>
        <v>23.909139537319792</v>
      </c>
      <c r="DR292" s="617">
        <f t="shared" si="1127"/>
        <v>23.909461688235481</v>
      </c>
      <c r="DS292" s="618">
        <f t="shared" si="1157"/>
        <v>23.903231333728499</v>
      </c>
      <c r="DT292" s="617">
        <f t="shared" si="1128"/>
        <v>47.800360703861045</v>
      </c>
      <c r="DU292" s="617">
        <f t="shared" si="1158"/>
        <v>47.81269302196398</v>
      </c>
      <c r="DV292" s="651">
        <f t="shared" si="1129"/>
        <v>95.613053725825026</v>
      </c>
      <c r="DW292" s="617">
        <f t="shared" si="1129"/>
        <v>24.48072186856324</v>
      </c>
      <c r="DX292" s="617">
        <f t="shared" si="1159"/>
        <v>24.48887479009208</v>
      </c>
      <c r="DY292" s="617">
        <f t="shared" si="1130"/>
        <v>24.488977162687416</v>
      </c>
      <c r="DZ292" s="618">
        <f t="shared" si="1160"/>
        <v>24.489155224572119</v>
      </c>
      <c r="EA292" s="617">
        <f t="shared" si="1131"/>
        <v>48.96959665865532</v>
      </c>
      <c r="EB292" s="617">
        <f t="shared" si="1161"/>
        <v>48.978132387259535</v>
      </c>
      <c r="EC292" s="651">
        <f t="shared" si="1132"/>
        <v>97.947729045914855</v>
      </c>
      <c r="ED292" s="617">
        <f t="shared" si="1132"/>
        <v>24.639351692841682</v>
      </c>
      <c r="EE292" s="617">
        <f t="shared" si="1162"/>
        <v>24.639048479175155</v>
      </c>
      <c r="EF292" s="617">
        <f t="shared" si="1133"/>
        <v>24.639000098428582</v>
      </c>
      <c r="EG292" s="618">
        <f t="shared" si="1163"/>
        <v>24.639002688600961</v>
      </c>
      <c r="EH292" s="617">
        <f t="shared" si="1134"/>
        <v>49.278400172016838</v>
      </c>
      <c r="EI292" s="617">
        <f t="shared" si="1164"/>
        <v>49.278002787029543</v>
      </c>
      <c r="EJ292" s="651">
        <f t="shared" si="1135"/>
        <v>98.55640295904638</v>
      </c>
      <c r="EK292" s="617">
        <f t="shared" si="1135"/>
        <v>25.020079331445544</v>
      </c>
      <c r="EL292" s="617">
        <f t="shared" si="1165"/>
        <v>25.020215094365618</v>
      </c>
      <c r="EM292" s="617">
        <f t="shared" si="1136"/>
        <v>25.020236604816986</v>
      </c>
      <c r="EN292" s="618">
        <f t="shared" si="1166"/>
        <v>25.02022702621192</v>
      </c>
      <c r="EO292" s="617">
        <f t="shared" si="1137"/>
        <v>50.040294425811162</v>
      </c>
      <c r="EP292" s="617">
        <f t="shared" si="1167"/>
        <v>50.040463631028906</v>
      </c>
      <c r="EQ292" s="651">
        <f t="shared" si="1138"/>
        <v>100.08075805684007</v>
      </c>
    </row>
    <row r="293" spans="1:147" ht="10.199999999999999" customHeight="1">
      <c r="A293" s="92" t="str">
        <f t="shared" si="1113"/>
        <v>A330ceo</v>
      </c>
      <c r="B293" s="92"/>
      <c r="C293" s="92">
        <f t="shared" ref="C293:AI293" si="1208">C257/C$275</f>
        <v>3811.6034691747295</v>
      </c>
      <c r="D293" s="92">
        <f t="shared" si="1208"/>
        <v>4509.060220953148</v>
      </c>
      <c r="E293" s="92">
        <f t="shared" si="1208"/>
        <v>3093.7395040069177</v>
      </c>
      <c r="F293" s="92">
        <f t="shared" si="1208"/>
        <v>4446.4404929110469</v>
      </c>
      <c r="G293" s="92">
        <f t="shared" si="1208"/>
        <v>5325.6163817290071</v>
      </c>
      <c r="H293" s="92">
        <f t="shared" si="1208"/>
        <v>5714.2201082575984</v>
      </c>
      <c r="I293" s="92">
        <f t="shared" si="1208"/>
        <v>5602.8574461780945</v>
      </c>
      <c r="J293" s="92">
        <f t="shared" si="1208"/>
        <v>5479.1576806717721</v>
      </c>
      <c r="K293" s="92">
        <f t="shared" si="1208"/>
        <v>5958.7693194730136</v>
      </c>
      <c r="L293" s="92">
        <f t="shared" si="1208"/>
        <v>8611.1197085129079</v>
      </c>
      <c r="M293" s="92">
        <f t="shared" si="1208"/>
        <v>9037.6985480441326</v>
      </c>
      <c r="N293" s="92">
        <f t="shared" si="1208"/>
        <v>8078.9569738440987</v>
      </c>
      <c r="O293" s="319"/>
      <c r="P293" s="92"/>
      <c r="Q293" s="319"/>
      <c r="R293" s="699"/>
      <c r="S293" s="319"/>
      <c r="T293" s="92"/>
      <c r="U293" s="1289">
        <f t="shared" si="1208"/>
        <v>8537.9579848653248</v>
      </c>
      <c r="V293" s="319"/>
      <c r="W293" s="92"/>
      <c r="X293" s="319"/>
      <c r="Y293" s="699"/>
      <c r="Z293" s="319"/>
      <c r="AA293" s="92"/>
      <c r="AB293" s="1289">
        <f t="shared" si="1208"/>
        <v>12038.938629894448</v>
      </c>
      <c r="AC293" s="319"/>
      <c r="AD293" s="92"/>
      <c r="AE293" s="319"/>
      <c r="AF293" s="699"/>
      <c r="AG293" s="319"/>
      <c r="AH293" s="92"/>
      <c r="AI293" s="1289">
        <f t="shared" si="1208"/>
        <v>11403.567510403438</v>
      </c>
      <c r="AJ293" s="319"/>
      <c r="AK293" s="92"/>
      <c r="AL293" s="319"/>
      <c r="AM293" s="699"/>
      <c r="AN293" s="319"/>
      <c r="AO293" s="92"/>
      <c r="AP293" s="1289">
        <f t="shared" si="1202"/>
        <v>7493.4561069625352</v>
      </c>
      <c r="AQ293" s="319"/>
      <c r="AR293" s="92"/>
      <c r="AS293" s="319"/>
      <c r="AT293" s="699"/>
      <c r="AU293" s="319"/>
      <c r="AV293" s="92"/>
      <c r="AW293" s="1289">
        <f t="shared" si="1202"/>
        <v>7040.9949367324161</v>
      </c>
      <c r="AX293" s="319"/>
      <c r="AY293" s="92"/>
      <c r="AZ293" s="319"/>
      <c r="BA293" s="699"/>
      <c r="BB293" s="319"/>
      <c r="BC293" s="92"/>
      <c r="BD293" s="1289">
        <f t="shared" si="1202"/>
        <v>6278.5074670966214</v>
      </c>
      <c r="BE293" s="319"/>
      <c r="BF293" s="92"/>
      <c r="BG293" s="319"/>
      <c r="BH293" s="699"/>
      <c r="BI293" s="319"/>
      <c r="BJ293" s="92"/>
      <c r="BK293" s="1289">
        <f t="shared" si="1202"/>
        <v>4394.9764284853072</v>
      </c>
      <c r="BL293" s="319"/>
      <c r="BM293" s="92"/>
      <c r="BN293" s="319"/>
      <c r="BO293" s="699"/>
      <c r="BP293" s="319"/>
      <c r="BQ293" s="92"/>
      <c r="BR293" s="1289">
        <f t="shared" si="1202"/>
        <v>1143.8662499999998</v>
      </c>
      <c r="BS293" s="319"/>
      <c r="BT293" s="92"/>
      <c r="BU293" s="319"/>
      <c r="BV293" s="699"/>
      <c r="BW293" s="319"/>
      <c r="BX293" s="92"/>
      <c r="BY293" s="1289">
        <f t="shared" si="1140"/>
        <v>507.07399361563006</v>
      </c>
      <c r="BZ293" s="319"/>
      <c r="CA293" s="92"/>
      <c r="CB293" s="319"/>
      <c r="CC293" s="699"/>
      <c r="CD293" s="319"/>
      <c r="CE293" s="92"/>
      <c r="CF293" s="1289">
        <f t="shared" si="1141"/>
        <v>348.04758225838521</v>
      </c>
      <c r="CG293" s="319"/>
      <c r="CH293" s="92"/>
      <c r="CI293" s="319"/>
      <c r="CJ293" s="699"/>
      <c r="CK293" s="319"/>
      <c r="CL293" s="92"/>
      <c r="CM293" s="1289">
        <f t="shared" si="1141"/>
        <v>744.01187550568375</v>
      </c>
      <c r="CN293" s="319">
        <f t="shared" si="1115"/>
        <v>82.011872076787313</v>
      </c>
      <c r="CO293" s="92">
        <f t="shared" si="1142"/>
        <v>81.519828416422001</v>
      </c>
      <c r="CP293" s="319">
        <f t="shared" si="1115"/>
        <v>0</v>
      </c>
      <c r="CQ293" s="699">
        <f t="shared" si="1143"/>
        <v>83.491394120307348</v>
      </c>
      <c r="CR293" s="319">
        <f t="shared" si="1116"/>
        <v>163.53170049320931</v>
      </c>
      <c r="CS293" s="92">
        <f t="shared" si="1144"/>
        <v>83.491394120307348</v>
      </c>
      <c r="CT293" s="1289">
        <f t="shared" si="1117"/>
        <v>247.02309461351666</v>
      </c>
      <c r="CU293" s="319">
        <f t="shared" si="1117"/>
        <v>0</v>
      </c>
      <c r="CV293" s="92">
        <f t="shared" si="1145"/>
        <v>0</v>
      </c>
      <c r="CW293" s="319">
        <f t="shared" ref="CW293" si="1209">CW257/CW$275</f>
        <v>0</v>
      </c>
      <c r="CX293" s="699">
        <f t="shared" si="1147"/>
        <v>168.41836731028698</v>
      </c>
      <c r="CY293" s="319">
        <f>CY257/CY$275</f>
        <v>0</v>
      </c>
      <c r="CZ293" s="92">
        <f t="shared" si="1148"/>
        <v>168.41836731028698</v>
      </c>
      <c r="DA293" s="1289">
        <f t="shared" ref="DA293:DB293" si="1210">DA257/DA$275</f>
        <v>168.41836731028698</v>
      </c>
      <c r="DB293" s="319">
        <f t="shared" si="1210"/>
        <v>0</v>
      </c>
      <c r="DC293" s="92">
        <f t="shared" si="1150"/>
        <v>86.910506685160826</v>
      </c>
      <c r="DD293" s="92">
        <f t="shared" si="1121"/>
        <v>0</v>
      </c>
      <c r="DE293" s="699">
        <f t="shared" si="1151"/>
        <v>83.208745342596828</v>
      </c>
      <c r="DF293" s="319">
        <f>DF257/DF$275</f>
        <v>86.910506685160826</v>
      </c>
      <c r="DG293" s="92">
        <f t="shared" si="1152"/>
        <v>83.208745342596828</v>
      </c>
      <c r="DH293" s="1289">
        <f>DH257/DH$275</f>
        <v>170.11925202775765</v>
      </c>
      <c r="DI293" s="319">
        <f t="shared" si="1123"/>
        <v>0</v>
      </c>
      <c r="DJ293" s="92">
        <f t="shared" si="1153"/>
        <v>84.921858176087895</v>
      </c>
      <c r="DK293" s="622">
        <f t="shared" si="1124"/>
        <v>91.341658641940981</v>
      </c>
      <c r="DL293" s="623">
        <f t="shared" si="1154"/>
        <v>89.878777538279436</v>
      </c>
      <c r="DM293" s="92">
        <f t="shared" si="1125"/>
        <v>84.921858176087895</v>
      </c>
      <c r="DN293" s="622">
        <f t="shared" si="1155"/>
        <v>181.22043618022042</v>
      </c>
      <c r="DO293" s="652">
        <f t="shared" si="1126"/>
        <v>266.1422943563083</v>
      </c>
      <c r="DP293" s="622">
        <f t="shared" si="1126"/>
        <v>67.02563636881294</v>
      </c>
      <c r="DQ293" s="622">
        <f t="shared" si="1156"/>
        <v>67.075905469573939</v>
      </c>
      <c r="DR293" s="622">
        <f t="shared" si="1127"/>
        <v>67.076809247994476</v>
      </c>
      <c r="DS293" s="623">
        <f t="shared" si="1157"/>
        <v>67.059330297348851</v>
      </c>
      <c r="DT293" s="622">
        <f t="shared" si="1128"/>
        <v>134.10154183838688</v>
      </c>
      <c r="DU293" s="622">
        <f t="shared" si="1158"/>
        <v>134.13613954534333</v>
      </c>
      <c r="DV293" s="652">
        <f>DV257/DV$275</f>
        <v>268.23768138373021</v>
      </c>
      <c r="DW293" s="622">
        <f t="shared" si="1129"/>
        <v>68.679451358739868</v>
      </c>
      <c r="DX293" s="622">
        <f t="shared" si="1159"/>
        <v>68.70232397583743</v>
      </c>
      <c r="DY293" s="622">
        <f t="shared" si="1130"/>
        <v>68.702611177077642</v>
      </c>
      <c r="DZ293" s="623">
        <f t="shared" si="1160"/>
        <v>68.703110720866221</v>
      </c>
      <c r="EA293" s="622">
        <f t="shared" si="1131"/>
        <v>137.3817753345773</v>
      </c>
      <c r="EB293" s="622">
        <f t="shared" si="1161"/>
        <v>137.40572189794386</v>
      </c>
      <c r="EC293" s="652">
        <f t="shared" si="1132"/>
        <v>274.78749723252116</v>
      </c>
      <c r="ED293" s="622">
        <f t="shared" si="1132"/>
        <v>69.124479465307559</v>
      </c>
      <c r="EE293" s="622">
        <f t="shared" si="1162"/>
        <v>69.123628814400547</v>
      </c>
      <c r="EF293" s="622">
        <f t="shared" si="1133"/>
        <v>69.123493084614935</v>
      </c>
      <c r="EG293" s="623">
        <f t="shared" si="1163"/>
        <v>69.123500351215071</v>
      </c>
      <c r="EH293" s="622">
        <f t="shared" si="1134"/>
        <v>138.24810827970811</v>
      </c>
      <c r="EI293" s="622">
        <f t="shared" si="1164"/>
        <v>138.24699343583001</v>
      </c>
      <c r="EJ293" s="652">
        <f t="shared" si="1135"/>
        <v>276.49510171553811</v>
      </c>
      <c r="EK293" s="622">
        <f t="shared" si="1135"/>
        <v>70.192591977545177</v>
      </c>
      <c r="EL293" s="622">
        <f t="shared" si="1165"/>
        <v>70.192972853685845</v>
      </c>
      <c r="EM293" s="622">
        <f t="shared" si="1136"/>
        <v>70.19303320019057</v>
      </c>
      <c r="EN293" s="623">
        <f t="shared" si="1166"/>
        <v>70.193006327889037</v>
      </c>
      <c r="EO293" s="622">
        <f t="shared" si="1137"/>
        <v>140.38556483123102</v>
      </c>
      <c r="EP293" s="622">
        <f t="shared" si="1167"/>
        <v>140.38603952807961</v>
      </c>
      <c r="EQ293" s="652">
        <f t="shared" si="1138"/>
        <v>280.77160435931063</v>
      </c>
    </row>
    <row r="294" spans="1:147" ht="10.199999999999999" customHeight="1">
      <c r="A294" s="130" t="str">
        <f t="shared" si="1113"/>
        <v>A330-800neo</v>
      </c>
      <c r="B294" s="130"/>
      <c r="C294" s="130">
        <f t="shared" ref="C294:AI294" si="1211">C258/C$275</f>
        <v>0</v>
      </c>
      <c r="D294" s="130">
        <f t="shared" si="1211"/>
        <v>0</v>
      </c>
      <c r="E294" s="130">
        <f t="shared" si="1211"/>
        <v>0</v>
      </c>
      <c r="F294" s="130">
        <f t="shared" si="1211"/>
        <v>0</v>
      </c>
      <c r="G294" s="130">
        <f t="shared" si="1211"/>
        <v>0</v>
      </c>
      <c r="H294" s="130">
        <f t="shared" si="1211"/>
        <v>0</v>
      </c>
      <c r="I294" s="130">
        <f t="shared" si="1211"/>
        <v>0</v>
      </c>
      <c r="J294" s="130">
        <f t="shared" si="1211"/>
        <v>0</v>
      </c>
      <c r="K294" s="130">
        <f t="shared" si="1211"/>
        <v>0</v>
      </c>
      <c r="L294" s="130">
        <f t="shared" si="1211"/>
        <v>0</v>
      </c>
      <c r="M294" s="130">
        <f t="shared" si="1211"/>
        <v>0</v>
      </c>
      <c r="N294" s="130">
        <f t="shared" si="1211"/>
        <v>0</v>
      </c>
      <c r="O294" s="317"/>
      <c r="P294" s="130"/>
      <c r="Q294" s="317"/>
      <c r="R294" s="698"/>
      <c r="S294" s="317"/>
      <c r="T294" s="130"/>
      <c r="U294" s="619">
        <f t="shared" si="1211"/>
        <v>0</v>
      </c>
      <c r="V294" s="317"/>
      <c r="W294" s="130"/>
      <c r="X294" s="317"/>
      <c r="Y294" s="698"/>
      <c r="Z294" s="317"/>
      <c r="AA294" s="130"/>
      <c r="AB294" s="619">
        <f t="shared" si="1211"/>
        <v>0</v>
      </c>
      <c r="AC294" s="317"/>
      <c r="AD294" s="130"/>
      <c r="AE294" s="317"/>
      <c r="AF294" s="698"/>
      <c r="AG294" s="317"/>
      <c r="AH294" s="130"/>
      <c r="AI294" s="619">
        <f t="shared" si="1211"/>
        <v>0</v>
      </c>
      <c r="AJ294" s="317"/>
      <c r="AK294" s="130"/>
      <c r="AL294" s="317"/>
      <c r="AM294" s="698"/>
      <c r="AN294" s="317"/>
      <c r="AO294" s="130"/>
      <c r="AP294" s="619">
        <f t="shared" si="1202"/>
        <v>0</v>
      </c>
      <c r="AQ294" s="317"/>
      <c r="AR294" s="130"/>
      <c r="AS294" s="317"/>
      <c r="AT294" s="698"/>
      <c r="AU294" s="317"/>
      <c r="AV294" s="130"/>
      <c r="AW294" s="619">
        <f t="shared" si="1202"/>
        <v>0</v>
      </c>
      <c r="AX294" s="317"/>
      <c r="AY294" s="130"/>
      <c r="AZ294" s="317"/>
      <c r="BA294" s="698"/>
      <c r="BB294" s="317"/>
      <c r="BC294" s="130"/>
      <c r="BD294" s="619">
        <f t="shared" si="1202"/>
        <v>0</v>
      </c>
      <c r="BE294" s="317"/>
      <c r="BF294" s="130"/>
      <c r="BG294" s="317"/>
      <c r="BH294" s="698"/>
      <c r="BI294" s="317"/>
      <c r="BJ294" s="130"/>
      <c r="BK294" s="619">
        <f t="shared" si="1202"/>
        <v>0</v>
      </c>
      <c r="BL294" s="317"/>
      <c r="BM294" s="130"/>
      <c r="BN294" s="317"/>
      <c r="BO294" s="698"/>
      <c r="BP294" s="317"/>
      <c r="BQ294" s="130"/>
      <c r="BR294" s="619">
        <f t="shared" si="1202"/>
        <v>0</v>
      </c>
      <c r="BS294" s="317"/>
      <c r="BT294" s="130"/>
      <c r="BU294" s="317"/>
      <c r="BV294" s="698"/>
      <c r="BW294" s="317"/>
      <c r="BX294" s="130"/>
      <c r="BY294" s="619">
        <f t="shared" si="1140"/>
        <v>271.41181631228579</v>
      </c>
      <c r="BZ294" s="317"/>
      <c r="CA294" s="130"/>
      <c r="CB294" s="317"/>
      <c r="CC294" s="698"/>
      <c r="CD294" s="317"/>
      <c r="CE294" s="130"/>
      <c r="CF294" s="619">
        <f t="shared" si="1141"/>
        <v>92.331904285959283</v>
      </c>
      <c r="CG294" s="317"/>
      <c r="CH294" s="130"/>
      <c r="CI294" s="317"/>
      <c r="CJ294" s="698"/>
      <c r="CK294" s="317"/>
      <c r="CL294" s="130"/>
      <c r="CM294" s="619">
        <f t="shared" si="1141"/>
        <v>294.74874561954221</v>
      </c>
      <c r="CN294" s="317">
        <f t="shared" si="1115"/>
        <v>0</v>
      </c>
      <c r="CO294" s="130">
        <f t="shared" si="1142"/>
        <v>0</v>
      </c>
      <c r="CP294" s="317">
        <f t="shared" si="1115"/>
        <v>0</v>
      </c>
      <c r="CQ294" s="698">
        <f t="shared" si="1143"/>
        <v>0</v>
      </c>
      <c r="CR294" s="317">
        <f t="shared" si="1116"/>
        <v>0</v>
      </c>
      <c r="CS294" s="130">
        <f t="shared" si="1144"/>
        <v>0</v>
      </c>
      <c r="CT294" s="619">
        <f t="shared" si="1117"/>
        <v>0</v>
      </c>
      <c r="CU294" s="317">
        <f t="shared" si="1117"/>
        <v>0</v>
      </c>
      <c r="CV294" s="130">
        <f t="shared" si="1145"/>
        <v>0</v>
      </c>
      <c r="CW294" s="317">
        <f t="shared" ref="CW294" si="1212">CW258/CW$275</f>
        <v>0</v>
      </c>
      <c r="CX294" s="698">
        <f t="shared" si="1147"/>
        <v>0</v>
      </c>
      <c r="CY294" s="317">
        <f t="shared" si="1119"/>
        <v>0</v>
      </c>
      <c r="CZ294" s="130">
        <f t="shared" si="1148"/>
        <v>0</v>
      </c>
      <c r="DA294" s="619">
        <f t="shared" ref="DA294:DB294" si="1213">DA258/DA$275</f>
        <v>0</v>
      </c>
      <c r="DB294" s="317">
        <f t="shared" si="1213"/>
        <v>0</v>
      </c>
      <c r="DC294" s="130">
        <f t="shared" si="1150"/>
        <v>0</v>
      </c>
      <c r="DD294" s="130">
        <f t="shared" si="1121"/>
        <v>0</v>
      </c>
      <c r="DE294" s="698">
        <f t="shared" si="1151"/>
        <v>105.93349769874625</v>
      </c>
      <c r="DF294" s="317">
        <f t="shared" si="1122"/>
        <v>0</v>
      </c>
      <c r="DG294" s="130">
        <f t="shared" si="1152"/>
        <v>105.93349769874625</v>
      </c>
      <c r="DH294" s="619">
        <f t="shared" si="1123"/>
        <v>105.93349769874625</v>
      </c>
      <c r="DI294" s="317">
        <f t="shared" si="1123"/>
        <v>0</v>
      </c>
      <c r="DJ294" s="130">
        <f t="shared" si="1153"/>
        <v>0</v>
      </c>
      <c r="DK294" s="617">
        <f t="shared" si="1124"/>
        <v>107.94144570651265</v>
      </c>
      <c r="DL294" s="618">
        <f t="shared" si="1154"/>
        <v>318.67412628148844</v>
      </c>
      <c r="DM294" s="130">
        <f t="shared" si="1125"/>
        <v>0</v>
      </c>
      <c r="DN294" s="617">
        <f t="shared" si="1155"/>
        <v>426.61557198800108</v>
      </c>
      <c r="DO294" s="651">
        <f t="shared" si="1126"/>
        <v>426.61557198800108</v>
      </c>
      <c r="DP294" s="617">
        <f t="shared" si="1126"/>
        <v>107.43944425104915</v>
      </c>
      <c r="DQ294" s="617">
        <f t="shared" si="1156"/>
        <v>107.52002363143789</v>
      </c>
      <c r="DR294" s="617">
        <f t="shared" si="1127"/>
        <v>107.52147235250182</v>
      </c>
      <c r="DS294" s="618">
        <f t="shared" si="1157"/>
        <v>107.49345428590526</v>
      </c>
      <c r="DT294" s="617">
        <f t="shared" si="1128"/>
        <v>214.95946788248705</v>
      </c>
      <c r="DU294" s="617">
        <f t="shared" si="1158"/>
        <v>215.01492663840708</v>
      </c>
      <c r="DV294" s="651">
        <f t="shared" si="1129"/>
        <v>429.97439452089412</v>
      </c>
      <c r="DW294" s="617">
        <f t="shared" si="1129"/>
        <v>110.09044427190805</v>
      </c>
      <c r="DX294" s="617">
        <f t="shared" si="1159"/>
        <v>110.12710817250878</v>
      </c>
      <c r="DY294" s="617">
        <f t="shared" si="1130"/>
        <v>110.12756854473812</v>
      </c>
      <c r="DZ294" s="618">
        <f t="shared" si="1160"/>
        <v>110.12836929367438</v>
      </c>
      <c r="EA294" s="617">
        <f t="shared" si="1131"/>
        <v>220.21755244441684</v>
      </c>
      <c r="EB294" s="617">
        <f t="shared" si="1161"/>
        <v>220.25593783841251</v>
      </c>
      <c r="EC294" s="651">
        <f t="shared" si="1132"/>
        <v>440.47349028282935</v>
      </c>
      <c r="ED294" s="617">
        <f t="shared" si="1132"/>
        <v>110.80380672597909</v>
      </c>
      <c r="EE294" s="617">
        <f t="shared" si="1162"/>
        <v>110.80244316621821</v>
      </c>
      <c r="EF294" s="617">
        <f t="shared" si="1133"/>
        <v>110.80222559673994</v>
      </c>
      <c r="EG294" s="618">
        <f t="shared" si="1163"/>
        <v>110.80223724481262</v>
      </c>
      <c r="EH294" s="617">
        <f t="shared" si="1134"/>
        <v>221.6062498921973</v>
      </c>
      <c r="EI294" s="617">
        <f t="shared" si="1164"/>
        <v>221.60446284155256</v>
      </c>
      <c r="EJ294" s="651">
        <f t="shared" si="1135"/>
        <v>443.21071273374986</v>
      </c>
      <c r="EK294" s="617">
        <f t="shared" si="1135"/>
        <v>112.51594883949728</v>
      </c>
      <c r="EL294" s="617">
        <f t="shared" si="1165"/>
        <v>112.5165593688872</v>
      </c>
      <c r="EM294" s="617">
        <f t="shared" si="1136"/>
        <v>112.5166561019476</v>
      </c>
      <c r="EN294" s="618">
        <f t="shared" si="1166"/>
        <v>112.51661302671098</v>
      </c>
      <c r="EO294" s="617">
        <f t="shared" si="1137"/>
        <v>225.03250820838448</v>
      </c>
      <c r="EP294" s="617">
        <f t="shared" si="1167"/>
        <v>225.03326912865859</v>
      </c>
      <c r="EQ294" s="651">
        <f t="shared" si="1138"/>
        <v>450.06577733704307</v>
      </c>
    </row>
    <row r="295" spans="1:147" ht="10.199999999999999" customHeight="1">
      <c r="A295" s="130" t="str">
        <f t="shared" si="1113"/>
        <v>A330-900neo</v>
      </c>
      <c r="B295" s="130"/>
      <c r="C295" s="130">
        <f t="shared" ref="C295:AI295" si="1214">C259/C$275</f>
        <v>0</v>
      </c>
      <c r="D295" s="130">
        <f t="shared" si="1214"/>
        <v>0</v>
      </c>
      <c r="E295" s="130">
        <f t="shared" si="1214"/>
        <v>0</v>
      </c>
      <c r="F295" s="130">
        <f t="shared" si="1214"/>
        <v>0</v>
      </c>
      <c r="G295" s="130">
        <f t="shared" si="1214"/>
        <v>0</v>
      </c>
      <c r="H295" s="130">
        <f t="shared" si="1214"/>
        <v>0</v>
      </c>
      <c r="I295" s="130">
        <f t="shared" si="1214"/>
        <v>0</v>
      </c>
      <c r="J295" s="130">
        <f t="shared" si="1214"/>
        <v>0</v>
      </c>
      <c r="K295" s="130">
        <f t="shared" si="1214"/>
        <v>0</v>
      </c>
      <c r="L295" s="130">
        <f t="shared" si="1214"/>
        <v>0</v>
      </c>
      <c r="M295" s="130">
        <f t="shared" si="1214"/>
        <v>0</v>
      </c>
      <c r="N295" s="130">
        <f t="shared" si="1214"/>
        <v>0</v>
      </c>
      <c r="O295" s="317"/>
      <c r="P295" s="130"/>
      <c r="Q295" s="317"/>
      <c r="R295" s="698"/>
      <c r="S295" s="317"/>
      <c r="T295" s="130"/>
      <c r="U295" s="619">
        <f t="shared" si="1214"/>
        <v>0</v>
      </c>
      <c r="V295" s="317"/>
      <c r="W295" s="130"/>
      <c r="X295" s="317"/>
      <c r="Y295" s="698"/>
      <c r="Z295" s="317"/>
      <c r="AA295" s="130"/>
      <c r="AB295" s="619">
        <f t="shared" si="1214"/>
        <v>0</v>
      </c>
      <c r="AC295" s="317"/>
      <c r="AD295" s="130"/>
      <c r="AE295" s="317"/>
      <c r="AF295" s="698"/>
      <c r="AG295" s="317"/>
      <c r="AH295" s="130"/>
      <c r="AI295" s="619">
        <f t="shared" si="1214"/>
        <v>0</v>
      </c>
      <c r="AJ295" s="317"/>
      <c r="AK295" s="130"/>
      <c r="AL295" s="317"/>
      <c r="AM295" s="698"/>
      <c r="AN295" s="317"/>
      <c r="AO295" s="130"/>
      <c r="AP295" s="619">
        <f t="shared" si="1202"/>
        <v>0</v>
      </c>
      <c r="AQ295" s="317"/>
      <c r="AR295" s="130"/>
      <c r="AS295" s="317"/>
      <c r="AT295" s="698"/>
      <c r="AU295" s="317"/>
      <c r="AV295" s="130"/>
      <c r="AW295" s="619">
        <f t="shared" si="1202"/>
        <v>0</v>
      </c>
      <c r="AX295" s="317"/>
      <c r="AY295" s="130"/>
      <c r="AZ295" s="317"/>
      <c r="BA295" s="698"/>
      <c r="BB295" s="317"/>
      <c r="BC295" s="130"/>
      <c r="BD295" s="619">
        <f t="shared" si="1202"/>
        <v>0</v>
      </c>
      <c r="BE295" s="317"/>
      <c r="BF295" s="130"/>
      <c r="BG295" s="317"/>
      <c r="BH295" s="698"/>
      <c r="BI295" s="317"/>
      <c r="BJ295" s="130"/>
      <c r="BK295" s="619">
        <f t="shared" si="1202"/>
        <v>294.55367994596872</v>
      </c>
      <c r="BL295" s="317"/>
      <c r="BM295" s="130"/>
      <c r="BN295" s="317"/>
      <c r="BO295" s="698"/>
      <c r="BP295" s="317"/>
      <c r="BQ295" s="130"/>
      <c r="BR295" s="619">
        <f t="shared" si="1202"/>
        <v>4131.8159999999998</v>
      </c>
      <c r="BS295" s="317"/>
      <c r="BT295" s="130"/>
      <c r="BU295" s="317"/>
      <c r="BV295" s="698"/>
      <c r="BW295" s="317"/>
      <c r="BX295" s="130"/>
      <c r="BY295" s="619">
        <f t="shared" si="1140"/>
        <v>1031.7617334226177</v>
      </c>
      <c r="BZ295" s="317"/>
      <c r="CA295" s="130"/>
      <c r="CB295" s="317"/>
      <c r="CC295" s="698"/>
      <c r="CD295" s="317"/>
      <c r="CE295" s="130"/>
      <c r="CF295" s="619">
        <f t="shared" si="1141"/>
        <v>1368.8853158701743</v>
      </c>
      <c r="CG295" s="317"/>
      <c r="CH295" s="130"/>
      <c r="CI295" s="317"/>
      <c r="CJ295" s="698"/>
      <c r="CK295" s="317"/>
      <c r="CL295" s="130"/>
      <c r="CM295" s="619">
        <f t="shared" si="1141"/>
        <v>2240.9523714667775</v>
      </c>
      <c r="CN295" s="317">
        <f t="shared" si="1115"/>
        <v>582.40955695860475</v>
      </c>
      <c r="CO295" s="130">
        <f t="shared" si="1142"/>
        <v>811.180265896734</v>
      </c>
      <c r="CP295" s="317">
        <f t="shared" si="1115"/>
        <v>703.63781211433411</v>
      </c>
      <c r="CQ295" s="698">
        <f t="shared" si="1143"/>
        <v>1294.3054980001891</v>
      </c>
      <c r="CR295" s="317">
        <f t="shared" si="1116"/>
        <v>1393.5898228553388</v>
      </c>
      <c r="CS295" s="130">
        <f t="shared" si="1144"/>
        <v>1997.9433101145232</v>
      </c>
      <c r="CT295" s="619">
        <f t="shared" si="1117"/>
        <v>3391.533132969862</v>
      </c>
      <c r="CU295" s="317">
        <f t="shared" si="1117"/>
        <v>822.67427457651831</v>
      </c>
      <c r="CV295" s="130">
        <f t="shared" si="1145"/>
        <v>722.86766298015766</v>
      </c>
      <c r="CW295" s="317">
        <f t="shared" ref="CW295" si="1215">CW259/CW$275</f>
        <v>830.7953193630135</v>
      </c>
      <c r="CX295" s="698">
        <f t="shared" si="1147"/>
        <v>1211.7456951571535</v>
      </c>
      <c r="CY295" s="317">
        <f t="shared" si="1119"/>
        <v>1545.541937556676</v>
      </c>
      <c r="CZ295" s="130">
        <f t="shared" si="1148"/>
        <v>2042.541014520167</v>
      </c>
      <c r="DA295" s="619">
        <f t="shared" ref="DA295:DB295" si="1216">DA259/DA$275</f>
        <v>3588.082952076843</v>
      </c>
      <c r="DB295" s="317">
        <f t="shared" si="1216"/>
        <v>501.77487907401616</v>
      </c>
      <c r="DC295" s="130">
        <f t="shared" si="1150"/>
        <v>856.05927963840531</v>
      </c>
      <c r="DD295" s="130">
        <f t="shared" si="1121"/>
        <v>951.49423321682593</v>
      </c>
      <c r="DE295" s="698">
        <f t="shared" si="1151"/>
        <v>1677.423157478129</v>
      </c>
      <c r="DF295" s="317">
        <f t="shared" si="1122"/>
        <v>1357.8341587124214</v>
      </c>
      <c r="DG295" s="130">
        <f t="shared" si="1152"/>
        <v>2628.917390694955</v>
      </c>
      <c r="DH295" s="619">
        <f t="shared" si="1123"/>
        <v>3986.7515494073764</v>
      </c>
      <c r="DI295" s="317">
        <f t="shared" si="1123"/>
        <v>361.61340061047173</v>
      </c>
      <c r="DJ295" s="130">
        <f t="shared" si="1153"/>
        <v>723.92142476494428</v>
      </c>
      <c r="DK295" s="617">
        <f t="shared" si="1124"/>
        <v>861.70416141543865</v>
      </c>
      <c r="DL295" s="618">
        <f t="shared" si="1154"/>
        <v>1580.0953827551848</v>
      </c>
      <c r="DM295" s="130">
        <f t="shared" si="1125"/>
        <v>1085.5348253754159</v>
      </c>
      <c r="DN295" s="617">
        <f t="shared" si="1155"/>
        <v>2441.7995441706234</v>
      </c>
      <c r="DO295" s="651">
        <f t="shared" si="1126"/>
        <v>3527.3343695460394</v>
      </c>
      <c r="DP295" s="617">
        <f t="shared" si="1126"/>
        <v>888.32867160861701</v>
      </c>
      <c r="DQ295" s="617">
        <f t="shared" si="1156"/>
        <v>888.99491643554029</v>
      </c>
      <c r="DR295" s="617">
        <f t="shared" si="1127"/>
        <v>889.00689472216698</v>
      </c>
      <c r="DS295" s="618">
        <f t="shared" si="1157"/>
        <v>888.77523630235362</v>
      </c>
      <c r="DT295" s="617">
        <f t="shared" si="1128"/>
        <v>1777.3235880441573</v>
      </c>
      <c r="DU295" s="617">
        <f t="shared" si="1158"/>
        <v>1777.7821310245206</v>
      </c>
      <c r="DV295" s="651">
        <f t="shared" si="1129"/>
        <v>3555.1057190686779</v>
      </c>
      <c r="DW295" s="617">
        <f t="shared" si="1129"/>
        <v>910.24761714468366</v>
      </c>
      <c r="DX295" s="617">
        <f t="shared" si="1159"/>
        <v>910.55076087689179</v>
      </c>
      <c r="DY295" s="617">
        <f t="shared" si="1130"/>
        <v>910.55456731738298</v>
      </c>
      <c r="DZ295" s="618">
        <f t="shared" si="1160"/>
        <v>910.56118805377798</v>
      </c>
      <c r="EA295" s="617">
        <f t="shared" si="1131"/>
        <v>1820.7983780215754</v>
      </c>
      <c r="EB295" s="617">
        <f t="shared" si="1161"/>
        <v>1821.115755371161</v>
      </c>
      <c r="EC295" s="651">
        <f t="shared" si="1132"/>
        <v>3641.9141333927364</v>
      </c>
      <c r="ED295" s="617">
        <f t="shared" si="1132"/>
        <v>916.14582636959028</v>
      </c>
      <c r="EE295" s="617">
        <f t="shared" si="1162"/>
        <v>916.13455221195215</v>
      </c>
      <c r="EF295" s="617">
        <f t="shared" si="1133"/>
        <v>916.13275330832823</v>
      </c>
      <c r="EG295" s="618">
        <f t="shared" si="1163"/>
        <v>916.13284961669035</v>
      </c>
      <c r="EH295" s="617">
        <f t="shared" si="1134"/>
        <v>1832.2803785815424</v>
      </c>
      <c r="EI295" s="617">
        <f t="shared" si="1164"/>
        <v>1832.2656029250186</v>
      </c>
      <c r="EJ295" s="651">
        <f t="shared" si="1135"/>
        <v>3664.545981506561</v>
      </c>
      <c r="EK295" s="617">
        <f t="shared" si="1135"/>
        <v>1106.738735708861</v>
      </c>
      <c r="EL295" s="617">
        <f t="shared" si="1165"/>
        <v>1106.744741048833</v>
      </c>
      <c r="EM295" s="617">
        <f t="shared" si="1136"/>
        <v>1106.7456925426088</v>
      </c>
      <c r="EN295" s="618">
        <f t="shared" si="1166"/>
        <v>1106.7452688423834</v>
      </c>
      <c r="EO295" s="617">
        <f t="shared" si="1137"/>
        <v>2213.483476757694</v>
      </c>
      <c r="EP295" s="617">
        <f t="shared" si="1167"/>
        <v>2213.4909613849923</v>
      </c>
      <c r="EQ295" s="651">
        <f t="shared" si="1138"/>
        <v>4426.9744381426863</v>
      </c>
    </row>
    <row r="296" spans="1:147" ht="10.199999999999999" customHeight="1">
      <c r="A296" s="92" t="str">
        <f t="shared" si="1113"/>
        <v>A330neo</v>
      </c>
      <c r="B296" s="92"/>
      <c r="C296" s="92">
        <f t="shared" ref="C296:AI296" si="1217">C260/C$275</f>
        <v>0</v>
      </c>
      <c r="D296" s="92">
        <f t="shared" si="1217"/>
        <v>0</v>
      </c>
      <c r="E296" s="92">
        <f t="shared" si="1217"/>
        <v>0</v>
      </c>
      <c r="F296" s="92">
        <f t="shared" si="1217"/>
        <v>0</v>
      </c>
      <c r="G296" s="92">
        <f t="shared" si="1217"/>
        <v>0</v>
      </c>
      <c r="H296" s="92">
        <f t="shared" si="1217"/>
        <v>0</v>
      </c>
      <c r="I296" s="92">
        <f t="shared" si="1217"/>
        <v>0</v>
      </c>
      <c r="J296" s="92">
        <f t="shared" si="1217"/>
        <v>0</v>
      </c>
      <c r="K296" s="92">
        <f t="shared" si="1217"/>
        <v>0</v>
      </c>
      <c r="L296" s="92">
        <f t="shared" si="1217"/>
        <v>0</v>
      </c>
      <c r="M296" s="92">
        <f t="shared" si="1217"/>
        <v>0</v>
      </c>
      <c r="N296" s="92">
        <f t="shared" si="1217"/>
        <v>0</v>
      </c>
      <c r="O296" s="319"/>
      <c r="P296" s="92"/>
      <c r="Q296" s="319"/>
      <c r="R296" s="699"/>
      <c r="S296" s="319"/>
      <c r="T296" s="92"/>
      <c r="U296" s="1289">
        <f t="shared" si="1217"/>
        <v>0</v>
      </c>
      <c r="V296" s="319"/>
      <c r="W296" s="92"/>
      <c r="X296" s="319"/>
      <c r="Y296" s="699"/>
      <c r="Z296" s="319"/>
      <c r="AA296" s="92"/>
      <c r="AB296" s="1289">
        <f t="shared" si="1217"/>
        <v>0</v>
      </c>
      <c r="AC296" s="319"/>
      <c r="AD296" s="92"/>
      <c r="AE296" s="319"/>
      <c r="AF296" s="699"/>
      <c r="AG296" s="319"/>
      <c r="AH296" s="92"/>
      <c r="AI296" s="1289">
        <f t="shared" si="1217"/>
        <v>0</v>
      </c>
      <c r="AJ296" s="319"/>
      <c r="AK296" s="92"/>
      <c r="AL296" s="319"/>
      <c r="AM296" s="699"/>
      <c r="AN296" s="319"/>
      <c r="AO296" s="92"/>
      <c r="AP296" s="1289">
        <f t="shared" si="1202"/>
        <v>0</v>
      </c>
      <c r="AQ296" s="319"/>
      <c r="AR296" s="92"/>
      <c r="AS296" s="319"/>
      <c r="AT296" s="699"/>
      <c r="AU296" s="319"/>
      <c r="AV296" s="92"/>
      <c r="AW296" s="1289">
        <f t="shared" si="1202"/>
        <v>0</v>
      </c>
      <c r="AX296" s="319"/>
      <c r="AY296" s="92"/>
      <c r="AZ296" s="319"/>
      <c r="BA296" s="699"/>
      <c r="BB296" s="319"/>
      <c r="BC296" s="92"/>
      <c r="BD296" s="1289">
        <f t="shared" si="1202"/>
        <v>0</v>
      </c>
      <c r="BE296" s="319"/>
      <c r="BF296" s="92"/>
      <c r="BG296" s="319"/>
      <c r="BH296" s="699"/>
      <c r="BI296" s="319"/>
      <c r="BJ296" s="92"/>
      <c r="BK296" s="1289">
        <f t="shared" si="1202"/>
        <v>294.55367994596872</v>
      </c>
      <c r="BL296" s="319"/>
      <c r="BM296" s="92"/>
      <c r="BN296" s="319"/>
      <c r="BO296" s="699"/>
      <c r="BP296" s="319"/>
      <c r="BQ296" s="92"/>
      <c r="BR296" s="1289">
        <f t="shared" si="1202"/>
        <v>4131.8159999999998</v>
      </c>
      <c r="BS296" s="319"/>
      <c r="BT296" s="92"/>
      <c r="BU296" s="319"/>
      <c r="BV296" s="699"/>
      <c r="BW296" s="319"/>
      <c r="BX296" s="92"/>
      <c r="BY296" s="1289">
        <f t="shared" si="1140"/>
        <v>1303.1735497349034</v>
      </c>
      <c r="BZ296" s="319"/>
      <c r="CA296" s="92"/>
      <c r="CB296" s="319"/>
      <c r="CC296" s="699"/>
      <c r="CD296" s="319"/>
      <c r="CE296" s="92"/>
      <c r="CF296" s="1289">
        <f t="shared" si="1141"/>
        <v>1461.2172201561336</v>
      </c>
      <c r="CG296" s="319"/>
      <c r="CH296" s="92"/>
      <c r="CI296" s="319"/>
      <c r="CJ296" s="699"/>
      <c r="CK296" s="319"/>
      <c r="CL296" s="92"/>
      <c r="CM296" s="1289">
        <f t="shared" si="1141"/>
        <v>2535.7011170863202</v>
      </c>
      <c r="CN296" s="319">
        <f t="shared" si="1115"/>
        <v>582.40955695860475</v>
      </c>
      <c r="CO296" s="92">
        <f t="shared" si="1142"/>
        <v>811.180265896734</v>
      </c>
      <c r="CP296" s="319">
        <f t="shared" si="1115"/>
        <v>703.63781211433411</v>
      </c>
      <c r="CQ296" s="699">
        <f t="shared" si="1143"/>
        <v>1294.3054980001891</v>
      </c>
      <c r="CR296" s="319">
        <f t="shared" si="1116"/>
        <v>1393.5898228553388</v>
      </c>
      <c r="CS296" s="92">
        <f t="shared" si="1144"/>
        <v>1997.9433101145232</v>
      </c>
      <c r="CT296" s="1289">
        <f t="shared" si="1117"/>
        <v>3391.533132969862</v>
      </c>
      <c r="CU296" s="319">
        <f t="shared" si="1117"/>
        <v>822.67427457651831</v>
      </c>
      <c r="CV296" s="92">
        <f t="shared" si="1145"/>
        <v>722.86766298015766</v>
      </c>
      <c r="CW296" s="319">
        <f t="shared" ref="CW296" si="1218">CW260/CW$275</f>
        <v>830.7953193630135</v>
      </c>
      <c r="CX296" s="699">
        <f t="shared" si="1147"/>
        <v>1211.7456951571535</v>
      </c>
      <c r="CY296" s="319">
        <f t="shared" si="1119"/>
        <v>1545.541937556676</v>
      </c>
      <c r="CZ296" s="92">
        <f t="shared" si="1148"/>
        <v>2042.541014520167</v>
      </c>
      <c r="DA296" s="1289">
        <f t="shared" ref="DA296:DB296" si="1219">DA260/DA$275</f>
        <v>3588.082952076843</v>
      </c>
      <c r="DB296" s="319">
        <f t="shared" si="1219"/>
        <v>501.77487907401616</v>
      </c>
      <c r="DC296" s="92">
        <f t="shared" si="1150"/>
        <v>856.05927963840531</v>
      </c>
      <c r="DD296" s="92">
        <f t="shared" si="1121"/>
        <v>951.49423321682593</v>
      </c>
      <c r="DE296" s="699">
        <f t="shared" si="1151"/>
        <v>1783.3566551768752</v>
      </c>
      <c r="DF296" s="319">
        <f t="shared" si="1122"/>
        <v>1357.8341587124214</v>
      </c>
      <c r="DG296" s="92">
        <f t="shared" si="1152"/>
        <v>2734.8508883937011</v>
      </c>
      <c r="DH296" s="1289">
        <f t="shared" si="1123"/>
        <v>4092.6850471061225</v>
      </c>
      <c r="DI296" s="319">
        <f t="shared" si="1123"/>
        <v>361.61340061047173</v>
      </c>
      <c r="DJ296" s="92">
        <f t="shared" si="1153"/>
        <v>723.92142476494428</v>
      </c>
      <c r="DK296" s="622">
        <f t="shared" si="1124"/>
        <v>969.64560712195134</v>
      </c>
      <c r="DL296" s="623">
        <f t="shared" si="1154"/>
        <v>1898.7695090366733</v>
      </c>
      <c r="DM296" s="92">
        <f t="shared" si="1125"/>
        <v>1085.5348253754159</v>
      </c>
      <c r="DN296" s="622">
        <f t="shared" si="1155"/>
        <v>2868.4151161586246</v>
      </c>
      <c r="DO296" s="652">
        <f t="shared" si="1126"/>
        <v>3953.9499415340406</v>
      </c>
      <c r="DP296" s="622">
        <f t="shared" si="1126"/>
        <v>995.76811585966607</v>
      </c>
      <c r="DQ296" s="622">
        <f t="shared" si="1156"/>
        <v>996.51494006697817</v>
      </c>
      <c r="DR296" s="622">
        <f t="shared" si="1127"/>
        <v>996.52836707466872</v>
      </c>
      <c r="DS296" s="623">
        <f t="shared" si="1157"/>
        <v>996.26869058825878</v>
      </c>
      <c r="DT296" s="622">
        <f t="shared" si="1128"/>
        <v>1992.2830559266442</v>
      </c>
      <c r="DU296" s="622">
        <f t="shared" si="1158"/>
        <v>1992.7970576629275</v>
      </c>
      <c r="DV296" s="652">
        <f t="shared" si="1129"/>
        <v>3985.0801135895717</v>
      </c>
      <c r="DW296" s="622">
        <f t="shared" si="1129"/>
        <v>1020.3380614165918</v>
      </c>
      <c r="DX296" s="622">
        <f t="shared" si="1159"/>
        <v>1020.6778690494008</v>
      </c>
      <c r="DY296" s="622">
        <f t="shared" si="1130"/>
        <v>1020.6821358621212</v>
      </c>
      <c r="DZ296" s="623">
        <f t="shared" si="1160"/>
        <v>1020.6895573474521</v>
      </c>
      <c r="EA296" s="622">
        <f t="shared" si="1131"/>
        <v>2041.0159304659926</v>
      </c>
      <c r="EB296" s="622">
        <f t="shared" si="1161"/>
        <v>2041.3716932095733</v>
      </c>
      <c r="EC296" s="652">
        <f t="shared" si="1132"/>
        <v>4082.3876236755659</v>
      </c>
      <c r="ED296" s="622">
        <f t="shared" si="1132"/>
        <v>1026.9496330955692</v>
      </c>
      <c r="EE296" s="622">
        <f t="shared" si="1162"/>
        <v>1026.9369953781704</v>
      </c>
      <c r="EF296" s="622">
        <f t="shared" si="1133"/>
        <v>1026.934978905068</v>
      </c>
      <c r="EG296" s="623">
        <f t="shared" si="1163"/>
        <v>1026.9350868615034</v>
      </c>
      <c r="EH296" s="622">
        <f t="shared" si="1134"/>
        <v>2053.8866284737396</v>
      </c>
      <c r="EI296" s="622">
        <f t="shared" si="1164"/>
        <v>2053.8700657665713</v>
      </c>
      <c r="EJ296" s="652">
        <f t="shared" si="1135"/>
        <v>4107.7566942403109</v>
      </c>
      <c r="EK296" s="622">
        <f t="shared" si="1135"/>
        <v>1219.2546845483582</v>
      </c>
      <c r="EL296" s="622">
        <f t="shared" si="1165"/>
        <v>1219.2613004177203</v>
      </c>
      <c r="EM296" s="622">
        <f t="shared" si="1136"/>
        <v>1219.2623486445566</v>
      </c>
      <c r="EN296" s="623">
        <f t="shared" si="1166"/>
        <v>1219.2618818690942</v>
      </c>
      <c r="EO296" s="622">
        <f t="shared" si="1137"/>
        <v>2438.5159849660786</v>
      </c>
      <c r="EP296" s="622">
        <f t="shared" si="1167"/>
        <v>2438.5242305136508</v>
      </c>
      <c r="EQ296" s="652">
        <f t="shared" si="1138"/>
        <v>4877.0402154797293</v>
      </c>
    </row>
    <row r="297" spans="1:147" ht="10.199999999999999" hidden="1" customHeight="1" outlineLevel="1">
      <c r="A297" s="130" t="str">
        <f t="shared" si="1113"/>
        <v>A340-300</v>
      </c>
      <c r="B297" s="130"/>
      <c r="C297" s="130">
        <f t="shared" ref="C297:AI297" si="1220">C261/C$275</f>
        <v>2678.0128166656782</v>
      </c>
      <c r="D297" s="130">
        <f t="shared" si="1220"/>
        <v>1002.0133824340326</v>
      </c>
      <c r="E297" s="130">
        <f t="shared" si="1220"/>
        <v>1134.0167712281941</v>
      </c>
      <c r="F297" s="130">
        <f t="shared" si="1220"/>
        <v>848.83576896735872</v>
      </c>
      <c r="G297" s="130">
        <f t="shared" si="1220"/>
        <v>751.69380561266382</v>
      </c>
      <c r="H297" s="130">
        <f t="shared" si="1220"/>
        <v>524.54114591004918</v>
      </c>
      <c r="I297" s="130">
        <f t="shared" si="1220"/>
        <v>187.34737542079307</v>
      </c>
      <c r="J297" s="130">
        <f t="shared" si="1220"/>
        <v>174.20074096522271</v>
      </c>
      <c r="K297" s="130">
        <f t="shared" si="1220"/>
        <v>0</v>
      </c>
      <c r="L297" s="130">
        <f t="shared" si="1220"/>
        <v>0</v>
      </c>
      <c r="M297" s="130">
        <f t="shared" si="1220"/>
        <v>0</v>
      </c>
      <c r="N297" s="130">
        <f t="shared" si="1220"/>
        <v>0</v>
      </c>
      <c r="O297" s="317"/>
      <c r="P297" s="130"/>
      <c r="Q297" s="317"/>
      <c r="R297" s="698"/>
      <c r="S297" s="317"/>
      <c r="T297" s="130"/>
      <c r="U297" s="619">
        <f t="shared" si="1220"/>
        <v>0</v>
      </c>
      <c r="V297" s="317"/>
      <c r="W297" s="130"/>
      <c r="X297" s="317"/>
      <c r="Y297" s="698"/>
      <c r="Z297" s="317"/>
      <c r="AA297" s="130"/>
      <c r="AB297" s="619">
        <f t="shared" si="1220"/>
        <v>0</v>
      </c>
      <c r="AC297" s="317"/>
      <c r="AD297" s="130"/>
      <c r="AE297" s="317"/>
      <c r="AF297" s="698"/>
      <c r="AG297" s="317"/>
      <c r="AH297" s="130"/>
      <c r="AI297" s="619">
        <f t="shared" si="1220"/>
        <v>0</v>
      </c>
      <c r="AJ297" s="317"/>
      <c r="AK297" s="130"/>
      <c r="AL297" s="317"/>
      <c r="AM297" s="698"/>
      <c r="AN297" s="317"/>
      <c r="AO297" s="130"/>
      <c r="AP297" s="619">
        <f t="shared" si="1202"/>
        <v>0</v>
      </c>
      <c r="AQ297" s="317"/>
      <c r="AR297" s="130"/>
      <c r="AS297" s="317"/>
      <c r="AT297" s="698"/>
      <c r="AU297" s="317"/>
      <c r="AV297" s="130"/>
      <c r="AW297" s="619">
        <f t="shared" si="1202"/>
        <v>0</v>
      </c>
      <c r="AX297" s="317"/>
      <c r="AY297" s="130"/>
      <c r="AZ297" s="317"/>
      <c r="BA297" s="698"/>
      <c r="BB297" s="317"/>
      <c r="BC297" s="130"/>
      <c r="BD297" s="619">
        <f t="shared" si="1202"/>
        <v>0</v>
      </c>
      <c r="BE297" s="317"/>
      <c r="BF297" s="130"/>
      <c r="BG297" s="317"/>
      <c r="BH297" s="698"/>
      <c r="BI297" s="317"/>
      <c r="BJ297" s="130"/>
      <c r="BK297" s="619">
        <f t="shared" si="1202"/>
        <v>0</v>
      </c>
      <c r="BL297" s="317"/>
      <c r="BM297" s="130"/>
      <c r="BN297" s="317"/>
      <c r="BO297" s="698"/>
      <c r="BP297" s="317"/>
      <c r="BQ297" s="130"/>
      <c r="BR297" s="619">
        <f t="shared" si="1202"/>
        <v>0</v>
      </c>
      <c r="BS297" s="317"/>
      <c r="BT297" s="130"/>
      <c r="BU297" s="317"/>
      <c r="BV297" s="698"/>
      <c r="BW297" s="317"/>
      <c r="BX297" s="130"/>
      <c r="BY297" s="619">
        <f t="shared" si="1140"/>
        <v>0</v>
      </c>
      <c r="BZ297" s="317"/>
      <c r="CA297" s="130"/>
      <c r="CB297" s="317"/>
      <c r="CC297" s="698"/>
      <c r="CD297" s="317"/>
      <c r="CE297" s="130"/>
      <c r="CF297" s="619">
        <f t="shared" si="1141"/>
        <v>0</v>
      </c>
      <c r="CG297" s="317"/>
      <c r="CH297" s="130"/>
      <c r="CI297" s="317"/>
      <c r="CJ297" s="698"/>
      <c r="CK297" s="317"/>
      <c r="CL297" s="130"/>
      <c r="CM297" s="619">
        <f t="shared" si="1141"/>
        <v>0</v>
      </c>
      <c r="CN297" s="317">
        <f t="shared" si="1115"/>
        <v>0</v>
      </c>
      <c r="CO297" s="130">
        <f t="shared" si="1142"/>
        <v>0</v>
      </c>
      <c r="CP297" s="317">
        <f t="shared" si="1115"/>
        <v>0</v>
      </c>
      <c r="CQ297" s="698">
        <f t="shared" si="1143"/>
        <v>0</v>
      </c>
      <c r="CR297" s="317">
        <f t="shared" si="1116"/>
        <v>0</v>
      </c>
      <c r="CS297" s="130">
        <f t="shared" si="1144"/>
        <v>0</v>
      </c>
      <c r="CT297" s="619">
        <f t="shared" si="1117"/>
        <v>0</v>
      </c>
      <c r="CU297" s="317">
        <f t="shared" si="1117"/>
        <v>0</v>
      </c>
      <c r="CV297" s="130">
        <f t="shared" si="1145"/>
        <v>0</v>
      </c>
      <c r="CW297" s="317">
        <f t="shared" ref="CW297" si="1221">CW261/CW$275</f>
        <v>0</v>
      </c>
      <c r="CX297" s="698">
        <f t="shared" si="1147"/>
        <v>0</v>
      </c>
      <c r="CY297" s="317">
        <f t="shared" si="1119"/>
        <v>0</v>
      </c>
      <c r="CZ297" s="130">
        <f t="shared" si="1148"/>
        <v>0</v>
      </c>
      <c r="DA297" s="619">
        <f t="shared" ref="DA297:DB297" si="1222">DA261/DA$275</f>
        <v>0</v>
      </c>
      <c r="DB297" s="317">
        <f t="shared" si="1222"/>
        <v>0</v>
      </c>
      <c r="DC297" s="130">
        <f t="shared" si="1150"/>
        <v>0</v>
      </c>
      <c r="DD297" s="130">
        <f t="shared" si="1121"/>
        <v>0</v>
      </c>
      <c r="DE297" s="698">
        <f t="shared" si="1151"/>
        <v>0</v>
      </c>
      <c r="DF297" s="317">
        <f t="shared" si="1122"/>
        <v>0</v>
      </c>
      <c r="DG297" s="130">
        <f t="shared" si="1152"/>
        <v>0</v>
      </c>
      <c r="DH297" s="619">
        <f t="shared" si="1123"/>
        <v>0</v>
      </c>
      <c r="DI297" s="317">
        <f t="shared" si="1123"/>
        <v>0</v>
      </c>
      <c r="DJ297" s="130">
        <f t="shared" si="1153"/>
        <v>0</v>
      </c>
      <c r="DK297" s="617">
        <f t="shared" si="1124"/>
        <v>0</v>
      </c>
      <c r="DL297" s="618">
        <f t="shared" si="1154"/>
        <v>0</v>
      </c>
      <c r="DM297" s="130">
        <f t="shared" si="1125"/>
        <v>0</v>
      </c>
      <c r="DN297" s="617">
        <f t="shared" si="1155"/>
        <v>0</v>
      </c>
      <c r="DO297" s="651">
        <f t="shared" si="1126"/>
        <v>0</v>
      </c>
      <c r="DP297" s="617">
        <f t="shared" si="1126"/>
        <v>0</v>
      </c>
      <c r="DQ297" s="617">
        <f t="shared" si="1156"/>
        <v>0</v>
      </c>
      <c r="DR297" s="617">
        <f t="shared" si="1127"/>
        <v>0</v>
      </c>
      <c r="DS297" s="618">
        <f t="shared" si="1157"/>
        <v>0</v>
      </c>
      <c r="DT297" s="617">
        <f t="shared" si="1128"/>
        <v>0</v>
      </c>
      <c r="DU297" s="617">
        <f t="shared" si="1158"/>
        <v>0</v>
      </c>
      <c r="DV297" s="651">
        <f t="shared" si="1129"/>
        <v>0</v>
      </c>
      <c r="DW297" s="617">
        <f t="shared" si="1129"/>
        <v>0</v>
      </c>
      <c r="DX297" s="617">
        <f t="shared" si="1159"/>
        <v>0</v>
      </c>
      <c r="DY297" s="617">
        <f t="shared" si="1130"/>
        <v>0</v>
      </c>
      <c r="DZ297" s="618">
        <f t="shared" si="1160"/>
        <v>0</v>
      </c>
      <c r="EA297" s="617">
        <f t="shared" si="1131"/>
        <v>0</v>
      </c>
      <c r="EB297" s="617">
        <f t="shared" si="1161"/>
        <v>0</v>
      </c>
      <c r="EC297" s="651">
        <f t="shared" si="1132"/>
        <v>0</v>
      </c>
      <c r="ED297" s="617">
        <f t="shared" si="1132"/>
        <v>0</v>
      </c>
      <c r="EE297" s="617">
        <f t="shared" si="1162"/>
        <v>0</v>
      </c>
      <c r="EF297" s="617">
        <f t="shared" si="1133"/>
        <v>0</v>
      </c>
      <c r="EG297" s="618">
        <f t="shared" si="1163"/>
        <v>0</v>
      </c>
      <c r="EH297" s="617">
        <f t="shared" si="1134"/>
        <v>0</v>
      </c>
      <c r="EI297" s="617">
        <f t="shared" si="1164"/>
        <v>0</v>
      </c>
      <c r="EJ297" s="651">
        <f t="shared" si="1135"/>
        <v>0</v>
      </c>
      <c r="EK297" s="617">
        <f t="shared" si="1135"/>
        <v>0</v>
      </c>
      <c r="EL297" s="617">
        <f t="shared" si="1165"/>
        <v>0</v>
      </c>
      <c r="EM297" s="617">
        <f t="shared" si="1136"/>
        <v>0</v>
      </c>
      <c r="EN297" s="618">
        <f t="shared" si="1166"/>
        <v>0</v>
      </c>
      <c r="EO297" s="617">
        <f t="shared" si="1137"/>
        <v>0</v>
      </c>
      <c r="EP297" s="617">
        <f t="shared" si="1167"/>
        <v>0</v>
      </c>
      <c r="EQ297" s="651">
        <f t="shared" si="1138"/>
        <v>0</v>
      </c>
    </row>
    <row r="298" spans="1:147" ht="10.199999999999999" hidden="1" customHeight="1" outlineLevel="1">
      <c r="A298" s="130" t="str">
        <f t="shared" si="1113"/>
        <v>A340-500</v>
      </c>
      <c r="B298" s="130"/>
      <c r="C298" s="130">
        <f t="shared" ref="C298:AI298" si="1223">C262/C$275</f>
        <v>0</v>
      </c>
      <c r="D298" s="130">
        <f t="shared" si="1223"/>
        <v>0</v>
      </c>
      <c r="E298" s="130">
        <f t="shared" si="1223"/>
        <v>893.03820734220312</v>
      </c>
      <c r="F298" s="130">
        <f t="shared" si="1223"/>
        <v>1074.3077700993131</v>
      </c>
      <c r="G298" s="130">
        <f t="shared" si="1223"/>
        <v>483.23173217956975</v>
      </c>
      <c r="H298" s="130">
        <f t="shared" si="1223"/>
        <v>472.08703131904429</v>
      </c>
      <c r="I298" s="130">
        <f t="shared" si="1223"/>
        <v>316.14869602258835</v>
      </c>
      <c r="J298" s="130">
        <f t="shared" si="1223"/>
        <v>293.9637503788133</v>
      </c>
      <c r="K298" s="130">
        <f t="shared" si="1223"/>
        <v>198.07543444231624</v>
      </c>
      <c r="L298" s="130">
        <f t="shared" si="1223"/>
        <v>244.00556134348344</v>
      </c>
      <c r="M298" s="130">
        <f t="shared" si="1223"/>
        <v>0</v>
      </c>
      <c r="N298" s="130">
        <f t="shared" si="1223"/>
        <v>0</v>
      </c>
      <c r="O298" s="317"/>
      <c r="P298" s="130"/>
      <c r="Q298" s="317"/>
      <c r="R298" s="698"/>
      <c r="S298" s="317"/>
      <c r="T298" s="130"/>
      <c r="U298" s="619">
        <f t="shared" si="1223"/>
        <v>0</v>
      </c>
      <c r="V298" s="317"/>
      <c r="W298" s="130"/>
      <c r="X298" s="317"/>
      <c r="Y298" s="698"/>
      <c r="Z298" s="317"/>
      <c r="AA298" s="130"/>
      <c r="AB298" s="619">
        <f t="shared" si="1223"/>
        <v>0</v>
      </c>
      <c r="AC298" s="317"/>
      <c r="AD298" s="130"/>
      <c r="AE298" s="317"/>
      <c r="AF298" s="698"/>
      <c r="AG298" s="317"/>
      <c r="AH298" s="130"/>
      <c r="AI298" s="619">
        <f t="shared" si="1223"/>
        <v>0</v>
      </c>
      <c r="AJ298" s="317"/>
      <c r="AK298" s="130"/>
      <c r="AL298" s="317"/>
      <c r="AM298" s="698"/>
      <c r="AN298" s="317"/>
      <c r="AO298" s="130"/>
      <c r="AP298" s="619">
        <f t="shared" si="1202"/>
        <v>0</v>
      </c>
      <c r="AQ298" s="317"/>
      <c r="AR298" s="130"/>
      <c r="AS298" s="317"/>
      <c r="AT298" s="698"/>
      <c r="AU298" s="317"/>
      <c r="AV298" s="130"/>
      <c r="AW298" s="619">
        <f t="shared" si="1202"/>
        <v>0</v>
      </c>
      <c r="AX298" s="317"/>
      <c r="AY298" s="130"/>
      <c r="AZ298" s="317"/>
      <c r="BA298" s="698"/>
      <c r="BB298" s="317"/>
      <c r="BC298" s="130"/>
      <c r="BD298" s="619">
        <f t="shared" si="1202"/>
        <v>0</v>
      </c>
      <c r="BE298" s="317"/>
      <c r="BF298" s="130"/>
      <c r="BG298" s="317"/>
      <c r="BH298" s="698"/>
      <c r="BI298" s="317"/>
      <c r="BJ298" s="130"/>
      <c r="BK298" s="619">
        <f t="shared" si="1202"/>
        <v>0</v>
      </c>
      <c r="BL298" s="317"/>
      <c r="BM298" s="130"/>
      <c r="BN298" s="317"/>
      <c r="BO298" s="698"/>
      <c r="BP298" s="317"/>
      <c r="BQ298" s="130"/>
      <c r="BR298" s="619">
        <f t="shared" si="1202"/>
        <v>0</v>
      </c>
      <c r="BS298" s="317"/>
      <c r="BT298" s="130"/>
      <c r="BU298" s="317"/>
      <c r="BV298" s="698"/>
      <c r="BW298" s="317"/>
      <c r="BX298" s="130"/>
      <c r="BY298" s="619">
        <f t="shared" si="1140"/>
        <v>0</v>
      </c>
      <c r="BZ298" s="317"/>
      <c r="CA298" s="130"/>
      <c r="CB298" s="317"/>
      <c r="CC298" s="698"/>
      <c r="CD298" s="317"/>
      <c r="CE298" s="130"/>
      <c r="CF298" s="619">
        <f t="shared" si="1141"/>
        <v>0</v>
      </c>
      <c r="CG298" s="317"/>
      <c r="CH298" s="130"/>
      <c r="CI298" s="317"/>
      <c r="CJ298" s="698"/>
      <c r="CK298" s="317"/>
      <c r="CL298" s="130"/>
      <c r="CM298" s="619">
        <f t="shared" si="1141"/>
        <v>0</v>
      </c>
      <c r="CN298" s="317">
        <f t="shared" si="1115"/>
        <v>0</v>
      </c>
      <c r="CO298" s="130">
        <f t="shared" si="1142"/>
        <v>0</v>
      </c>
      <c r="CP298" s="317">
        <f t="shared" si="1115"/>
        <v>0</v>
      </c>
      <c r="CQ298" s="698">
        <f t="shared" si="1143"/>
        <v>0</v>
      </c>
      <c r="CR298" s="317">
        <f t="shared" si="1116"/>
        <v>0</v>
      </c>
      <c r="CS298" s="130">
        <f t="shared" si="1144"/>
        <v>0</v>
      </c>
      <c r="CT298" s="619">
        <f t="shared" si="1117"/>
        <v>0</v>
      </c>
      <c r="CU298" s="317">
        <f t="shared" si="1117"/>
        <v>0</v>
      </c>
      <c r="CV298" s="130">
        <f t="shared" si="1145"/>
        <v>0</v>
      </c>
      <c r="CW298" s="317">
        <f t="shared" ref="CW298" si="1224">CW262/CW$275</f>
        <v>0</v>
      </c>
      <c r="CX298" s="698">
        <f t="shared" si="1147"/>
        <v>0</v>
      </c>
      <c r="CY298" s="317">
        <f t="shared" si="1119"/>
        <v>0</v>
      </c>
      <c r="CZ298" s="130">
        <f t="shared" si="1148"/>
        <v>0</v>
      </c>
      <c r="DA298" s="619">
        <f t="shared" ref="DA298:DB298" si="1225">DA262/DA$275</f>
        <v>0</v>
      </c>
      <c r="DB298" s="317">
        <f t="shared" si="1225"/>
        <v>0</v>
      </c>
      <c r="DC298" s="130">
        <f t="shared" si="1150"/>
        <v>0</v>
      </c>
      <c r="DD298" s="130">
        <f t="shared" si="1121"/>
        <v>0</v>
      </c>
      <c r="DE298" s="698">
        <f t="shared" si="1151"/>
        <v>0</v>
      </c>
      <c r="DF298" s="317">
        <f t="shared" si="1122"/>
        <v>0</v>
      </c>
      <c r="DG298" s="130">
        <f t="shared" si="1152"/>
        <v>0</v>
      </c>
      <c r="DH298" s="619">
        <f t="shared" si="1123"/>
        <v>0</v>
      </c>
      <c r="DI298" s="317">
        <f t="shared" si="1123"/>
        <v>0</v>
      </c>
      <c r="DJ298" s="130">
        <f t="shared" si="1153"/>
        <v>0</v>
      </c>
      <c r="DK298" s="617">
        <f t="shared" si="1124"/>
        <v>0</v>
      </c>
      <c r="DL298" s="618">
        <f t="shared" si="1154"/>
        <v>0</v>
      </c>
      <c r="DM298" s="130">
        <f t="shared" si="1125"/>
        <v>0</v>
      </c>
      <c r="DN298" s="617">
        <f t="shared" si="1155"/>
        <v>0</v>
      </c>
      <c r="DO298" s="651">
        <f t="shared" si="1126"/>
        <v>0</v>
      </c>
      <c r="DP298" s="617">
        <f t="shared" si="1126"/>
        <v>0</v>
      </c>
      <c r="DQ298" s="617">
        <f t="shared" si="1156"/>
        <v>0</v>
      </c>
      <c r="DR298" s="617">
        <f t="shared" si="1127"/>
        <v>0</v>
      </c>
      <c r="DS298" s="618">
        <f t="shared" si="1157"/>
        <v>0</v>
      </c>
      <c r="DT298" s="617">
        <f t="shared" si="1128"/>
        <v>0</v>
      </c>
      <c r="DU298" s="617">
        <f t="shared" si="1158"/>
        <v>0</v>
      </c>
      <c r="DV298" s="651">
        <f t="shared" si="1129"/>
        <v>0</v>
      </c>
      <c r="DW298" s="617">
        <f t="shared" si="1129"/>
        <v>0</v>
      </c>
      <c r="DX298" s="617">
        <f t="shared" si="1159"/>
        <v>0</v>
      </c>
      <c r="DY298" s="617">
        <f t="shared" si="1130"/>
        <v>0</v>
      </c>
      <c r="DZ298" s="618">
        <f t="shared" si="1160"/>
        <v>0</v>
      </c>
      <c r="EA298" s="617">
        <f t="shared" si="1131"/>
        <v>0</v>
      </c>
      <c r="EB298" s="617">
        <f t="shared" si="1161"/>
        <v>0</v>
      </c>
      <c r="EC298" s="651">
        <f t="shared" si="1132"/>
        <v>0</v>
      </c>
      <c r="ED298" s="617">
        <f t="shared" si="1132"/>
        <v>0</v>
      </c>
      <c r="EE298" s="617">
        <f t="shared" si="1162"/>
        <v>0</v>
      </c>
      <c r="EF298" s="617">
        <f t="shared" si="1133"/>
        <v>0</v>
      </c>
      <c r="EG298" s="618">
        <f t="shared" si="1163"/>
        <v>0</v>
      </c>
      <c r="EH298" s="617">
        <f t="shared" si="1134"/>
        <v>0</v>
      </c>
      <c r="EI298" s="617">
        <f t="shared" si="1164"/>
        <v>0</v>
      </c>
      <c r="EJ298" s="651">
        <f t="shared" si="1135"/>
        <v>0</v>
      </c>
      <c r="EK298" s="617">
        <f t="shared" si="1135"/>
        <v>0</v>
      </c>
      <c r="EL298" s="617">
        <f t="shared" si="1165"/>
        <v>0</v>
      </c>
      <c r="EM298" s="617">
        <f t="shared" si="1136"/>
        <v>0</v>
      </c>
      <c r="EN298" s="618">
        <f t="shared" si="1166"/>
        <v>0</v>
      </c>
      <c r="EO298" s="617">
        <f t="shared" si="1137"/>
        <v>0</v>
      </c>
      <c r="EP298" s="617">
        <f t="shared" si="1167"/>
        <v>0</v>
      </c>
      <c r="EQ298" s="651">
        <f t="shared" si="1138"/>
        <v>0</v>
      </c>
    </row>
    <row r="299" spans="1:147" ht="10.199999999999999" hidden="1" customHeight="1" outlineLevel="1">
      <c r="A299" s="130" t="str">
        <f t="shared" si="1113"/>
        <v>A340-600</v>
      </c>
      <c r="B299" s="130"/>
      <c r="C299" s="130">
        <f t="shared" ref="C299:AI299" si="1226">C263/C$275</f>
        <v>0</v>
      </c>
      <c r="D299" s="130">
        <f t="shared" si="1226"/>
        <v>1189.8908916404137</v>
      </c>
      <c r="E299" s="130">
        <f t="shared" si="1226"/>
        <v>2154.6318653335693</v>
      </c>
      <c r="F299" s="130">
        <f t="shared" si="1226"/>
        <v>1385.9896540170155</v>
      </c>
      <c r="G299" s="130">
        <f t="shared" si="1226"/>
        <v>1657.7533034493572</v>
      </c>
      <c r="H299" s="130">
        <f t="shared" si="1226"/>
        <v>1868.6778323045503</v>
      </c>
      <c r="I299" s="130">
        <f t="shared" si="1226"/>
        <v>667.42502493657548</v>
      </c>
      <c r="J299" s="130">
        <f t="shared" si="1226"/>
        <v>827.45351958480819</v>
      </c>
      <c r="K299" s="130">
        <f t="shared" si="1226"/>
        <v>836.31850097866857</v>
      </c>
      <c r="L299" s="130">
        <f t="shared" si="1226"/>
        <v>256.65337752157467</v>
      </c>
      <c r="M299" s="130">
        <f t="shared" si="1226"/>
        <v>0</v>
      </c>
      <c r="N299" s="130">
        <f t="shared" si="1226"/>
        <v>202.68454469495842</v>
      </c>
      <c r="O299" s="317"/>
      <c r="P299" s="130"/>
      <c r="Q299" s="317"/>
      <c r="R299" s="698"/>
      <c r="S299" s="317"/>
      <c r="T299" s="130"/>
      <c r="U299" s="619">
        <f t="shared" si="1226"/>
        <v>0</v>
      </c>
      <c r="V299" s="317"/>
      <c r="W299" s="130"/>
      <c r="X299" s="317"/>
      <c r="Y299" s="698"/>
      <c r="Z299" s="317"/>
      <c r="AA299" s="130"/>
      <c r="AB299" s="619">
        <f t="shared" si="1226"/>
        <v>0</v>
      </c>
      <c r="AC299" s="317"/>
      <c r="AD299" s="130"/>
      <c r="AE299" s="317"/>
      <c r="AF299" s="698"/>
      <c r="AG299" s="317"/>
      <c r="AH299" s="130"/>
      <c r="AI299" s="619">
        <f t="shared" si="1226"/>
        <v>0</v>
      </c>
      <c r="AJ299" s="317"/>
      <c r="AK299" s="130"/>
      <c r="AL299" s="317"/>
      <c r="AM299" s="698"/>
      <c r="AN299" s="317"/>
      <c r="AO299" s="130"/>
      <c r="AP299" s="619">
        <f t="shared" si="1202"/>
        <v>0</v>
      </c>
      <c r="AQ299" s="317"/>
      <c r="AR299" s="130"/>
      <c r="AS299" s="317"/>
      <c r="AT299" s="698"/>
      <c r="AU299" s="317"/>
      <c r="AV299" s="130"/>
      <c r="AW299" s="619">
        <f t="shared" si="1202"/>
        <v>0</v>
      </c>
      <c r="AX299" s="317"/>
      <c r="AY299" s="130"/>
      <c r="AZ299" s="317"/>
      <c r="BA299" s="698"/>
      <c r="BB299" s="317"/>
      <c r="BC299" s="130"/>
      <c r="BD299" s="619">
        <f t="shared" si="1202"/>
        <v>0</v>
      </c>
      <c r="BE299" s="317"/>
      <c r="BF299" s="130"/>
      <c r="BG299" s="317"/>
      <c r="BH299" s="698"/>
      <c r="BI299" s="317"/>
      <c r="BJ299" s="130"/>
      <c r="BK299" s="619">
        <f t="shared" si="1202"/>
        <v>0</v>
      </c>
      <c r="BL299" s="317"/>
      <c r="BM299" s="130"/>
      <c r="BN299" s="317"/>
      <c r="BO299" s="698"/>
      <c r="BP299" s="317"/>
      <c r="BQ299" s="130"/>
      <c r="BR299" s="619">
        <f t="shared" si="1202"/>
        <v>0</v>
      </c>
      <c r="BS299" s="317"/>
      <c r="BT299" s="130"/>
      <c r="BU299" s="317"/>
      <c r="BV299" s="698"/>
      <c r="BW299" s="317"/>
      <c r="BX299" s="130"/>
      <c r="BY299" s="619">
        <f t="shared" si="1140"/>
        <v>0</v>
      </c>
      <c r="BZ299" s="317"/>
      <c r="CA299" s="130"/>
      <c r="CB299" s="317"/>
      <c r="CC299" s="698"/>
      <c r="CD299" s="317"/>
      <c r="CE299" s="130"/>
      <c r="CF299" s="619">
        <f t="shared" si="1141"/>
        <v>0</v>
      </c>
      <c r="CG299" s="317"/>
      <c r="CH299" s="130"/>
      <c r="CI299" s="317"/>
      <c r="CJ299" s="698"/>
      <c r="CK299" s="317"/>
      <c r="CL299" s="130"/>
      <c r="CM299" s="619">
        <f t="shared" si="1141"/>
        <v>0</v>
      </c>
      <c r="CN299" s="317">
        <f t="shared" si="1115"/>
        <v>0</v>
      </c>
      <c r="CO299" s="130">
        <f t="shared" si="1142"/>
        <v>0</v>
      </c>
      <c r="CP299" s="317">
        <f t="shared" si="1115"/>
        <v>0</v>
      </c>
      <c r="CQ299" s="698">
        <f t="shared" si="1143"/>
        <v>0</v>
      </c>
      <c r="CR299" s="317">
        <f t="shared" si="1116"/>
        <v>0</v>
      </c>
      <c r="CS299" s="130">
        <f t="shared" si="1144"/>
        <v>0</v>
      </c>
      <c r="CT299" s="619">
        <f t="shared" si="1117"/>
        <v>0</v>
      </c>
      <c r="CU299" s="317">
        <f t="shared" si="1117"/>
        <v>0</v>
      </c>
      <c r="CV299" s="130">
        <f t="shared" si="1145"/>
        <v>0</v>
      </c>
      <c r="CW299" s="317">
        <f t="shared" ref="CW299" si="1227">CW263/CW$275</f>
        <v>0</v>
      </c>
      <c r="CX299" s="698">
        <f t="shared" si="1147"/>
        <v>0</v>
      </c>
      <c r="CY299" s="317">
        <f t="shared" si="1119"/>
        <v>0</v>
      </c>
      <c r="CZ299" s="130">
        <f t="shared" si="1148"/>
        <v>0</v>
      </c>
      <c r="DA299" s="619">
        <f t="shared" ref="DA299:DB299" si="1228">DA263/DA$275</f>
        <v>0</v>
      </c>
      <c r="DB299" s="317">
        <f t="shared" si="1228"/>
        <v>0</v>
      </c>
      <c r="DC299" s="130">
        <f t="shared" si="1150"/>
        <v>0</v>
      </c>
      <c r="DD299" s="130">
        <f t="shared" si="1121"/>
        <v>0</v>
      </c>
      <c r="DE299" s="698">
        <f t="shared" si="1151"/>
        <v>0</v>
      </c>
      <c r="DF299" s="317">
        <f t="shared" si="1122"/>
        <v>0</v>
      </c>
      <c r="DG299" s="130">
        <f t="shared" si="1152"/>
        <v>0</v>
      </c>
      <c r="DH299" s="619">
        <f t="shared" si="1123"/>
        <v>0</v>
      </c>
      <c r="DI299" s="317">
        <f t="shared" si="1123"/>
        <v>0</v>
      </c>
      <c r="DJ299" s="130">
        <f t="shared" si="1153"/>
        <v>0</v>
      </c>
      <c r="DK299" s="617">
        <f t="shared" si="1124"/>
        <v>0</v>
      </c>
      <c r="DL299" s="618">
        <f t="shared" si="1154"/>
        <v>0</v>
      </c>
      <c r="DM299" s="130">
        <f t="shared" si="1125"/>
        <v>0</v>
      </c>
      <c r="DN299" s="617">
        <f t="shared" si="1155"/>
        <v>0</v>
      </c>
      <c r="DO299" s="651">
        <f t="shared" si="1126"/>
        <v>0</v>
      </c>
      <c r="DP299" s="617">
        <f t="shared" si="1126"/>
        <v>0</v>
      </c>
      <c r="DQ299" s="617">
        <f t="shared" si="1156"/>
        <v>0</v>
      </c>
      <c r="DR299" s="617">
        <f t="shared" si="1127"/>
        <v>0</v>
      </c>
      <c r="DS299" s="618">
        <f t="shared" si="1157"/>
        <v>0</v>
      </c>
      <c r="DT299" s="617">
        <f t="shared" si="1128"/>
        <v>0</v>
      </c>
      <c r="DU299" s="617">
        <f t="shared" si="1158"/>
        <v>0</v>
      </c>
      <c r="DV299" s="651">
        <f t="shared" si="1129"/>
        <v>0</v>
      </c>
      <c r="DW299" s="617">
        <f t="shared" si="1129"/>
        <v>0</v>
      </c>
      <c r="DX299" s="617">
        <f t="shared" si="1159"/>
        <v>0</v>
      </c>
      <c r="DY299" s="617">
        <f t="shared" si="1130"/>
        <v>0</v>
      </c>
      <c r="DZ299" s="618">
        <f t="shared" si="1160"/>
        <v>0</v>
      </c>
      <c r="EA299" s="617">
        <f t="shared" si="1131"/>
        <v>0</v>
      </c>
      <c r="EB299" s="617">
        <f t="shared" si="1161"/>
        <v>0</v>
      </c>
      <c r="EC299" s="651">
        <f t="shared" si="1132"/>
        <v>0</v>
      </c>
      <c r="ED299" s="617">
        <f t="shared" si="1132"/>
        <v>0</v>
      </c>
      <c r="EE299" s="617">
        <f t="shared" si="1162"/>
        <v>0</v>
      </c>
      <c r="EF299" s="617">
        <f t="shared" si="1133"/>
        <v>0</v>
      </c>
      <c r="EG299" s="618">
        <f t="shared" si="1163"/>
        <v>0</v>
      </c>
      <c r="EH299" s="617">
        <f t="shared" si="1134"/>
        <v>0</v>
      </c>
      <c r="EI299" s="617">
        <f t="shared" si="1164"/>
        <v>0</v>
      </c>
      <c r="EJ299" s="651">
        <f t="shared" si="1135"/>
        <v>0</v>
      </c>
      <c r="EK299" s="617">
        <f t="shared" si="1135"/>
        <v>0</v>
      </c>
      <c r="EL299" s="617">
        <f t="shared" si="1165"/>
        <v>0</v>
      </c>
      <c r="EM299" s="617">
        <f t="shared" si="1136"/>
        <v>0</v>
      </c>
      <c r="EN299" s="618">
        <f t="shared" si="1166"/>
        <v>0</v>
      </c>
      <c r="EO299" s="617">
        <f t="shared" si="1137"/>
        <v>0</v>
      </c>
      <c r="EP299" s="617">
        <f t="shared" si="1167"/>
        <v>0</v>
      </c>
      <c r="EQ299" s="651">
        <f t="shared" si="1138"/>
        <v>0</v>
      </c>
    </row>
    <row r="300" spans="1:147" ht="10.199999999999999" hidden="1" customHeight="1" outlineLevel="1">
      <c r="A300" s="92" t="str">
        <f t="shared" si="1113"/>
        <v>A340</v>
      </c>
      <c r="B300" s="92"/>
      <c r="C300" s="92">
        <f t="shared" ref="C300:AI300" si="1229">C264/C$275</f>
        <v>2678.0128166656782</v>
      </c>
      <c r="D300" s="92">
        <f t="shared" si="1229"/>
        <v>2191.9042740744462</v>
      </c>
      <c r="E300" s="92">
        <f t="shared" si="1229"/>
        <v>4181.6868439039663</v>
      </c>
      <c r="F300" s="92">
        <f t="shared" si="1229"/>
        <v>3309.1331930836873</v>
      </c>
      <c r="G300" s="92">
        <f t="shared" si="1229"/>
        <v>2892.6788412415904</v>
      </c>
      <c r="H300" s="92">
        <f t="shared" si="1229"/>
        <v>2865.3060095336436</v>
      </c>
      <c r="I300" s="92">
        <f t="shared" si="1229"/>
        <v>1170.9210963799567</v>
      </c>
      <c r="J300" s="92">
        <f t="shared" si="1229"/>
        <v>1295.6180109288441</v>
      </c>
      <c r="K300" s="92">
        <f t="shared" si="1229"/>
        <v>1034.3939354209847</v>
      </c>
      <c r="L300" s="92">
        <f t="shared" si="1229"/>
        <v>500.65893886505808</v>
      </c>
      <c r="M300" s="92">
        <f t="shared" si="1229"/>
        <v>0</v>
      </c>
      <c r="N300" s="92">
        <f t="shared" si="1229"/>
        <v>202.68454469495842</v>
      </c>
      <c r="O300" s="319"/>
      <c r="P300" s="130"/>
      <c r="Q300" s="319"/>
      <c r="R300" s="698"/>
      <c r="S300" s="319"/>
      <c r="T300" s="130"/>
      <c r="U300" s="1289">
        <f t="shared" si="1229"/>
        <v>0</v>
      </c>
      <c r="V300" s="319"/>
      <c r="W300" s="130"/>
      <c r="X300" s="319"/>
      <c r="Y300" s="698"/>
      <c r="Z300" s="319"/>
      <c r="AA300" s="130"/>
      <c r="AB300" s="1289">
        <f t="shared" si="1229"/>
        <v>0</v>
      </c>
      <c r="AC300" s="319"/>
      <c r="AD300" s="130"/>
      <c r="AE300" s="319"/>
      <c r="AF300" s="698"/>
      <c r="AG300" s="319"/>
      <c r="AH300" s="130"/>
      <c r="AI300" s="1289">
        <f t="shared" si="1229"/>
        <v>0</v>
      </c>
      <c r="AJ300" s="319"/>
      <c r="AK300" s="130"/>
      <c r="AL300" s="319"/>
      <c r="AM300" s="698"/>
      <c r="AN300" s="319"/>
      <c r="AO300" s="130"/>
      <c r="AP300" s="1289">
        <f t="shared" si="1202"/>
        <v>0</v>
      </c>
      <c r="AQ300" s="319"/>
      <c r="AR300" s="130"/>
      <c r="AS300" s="319"/>
      <c r="AT300" s="698"/>
      <c r="AU300" s="319"/>
      <c r="AV300" s="130"/>
      <c r="AW300" s="1289">
        <f t="shared" si="1202"/>
        <v>0</v>
      </c>
      <c r="AX300" s="319"/>
      <c r="AY300" s="130"/>
      <c r="AZ300" s="319"/>
      <c r="BA300" s="698"/>
      <c r="BB300" s="319"/>
      <c r="BC300" s="130"/>
      <c r="BD300" s="1289">
        <f t="shared" si="1202"/>
        <v>0</v>
      </c>
      <c r="BE300" s="319"/>
      <c r="BF300" s="130"/>
      <c r="BG300" s="319"/>
      <c r="BH300" s="698"/>
      <c r="BI300" s="319"/>
      <c r="BJ300" s="130"/>
      <c r="BK300" s="1289">
        <f t="shared" si="1202"/>
        <v>0</v>
      </c>
      <c r="BL300" s="319"/>
      <c r="BM300" s="130"/>
      <c r="BN300" s="319"/>
      <c r="BO300" s="698"/>
      <c r="BP300" s="319"/>
      <c r="BQ300" s="130"/>
      <c r="BR300" s="1289">
        <f t="shared" si="1202"/>
        <v>0</v>
      </c>
      <c r="BS300" s="319"/>
      <c r="BT300" s="130"/>
      <c r="BU300" s="319"/>
      <c r="BV300" s="698"/>
      <c r="BW300" s="319"/>
      <c r="BX300" s="130"/>
      <c r="BY300" s="1289">
        <f t="shared" si="1140"/>
        <v>0</v>
      </c>
      <c r="BZ300" s="319"/>
      <c r="CA300" s="130"/>
      <c r="CB300" s="319"/>
      <c r="CC300" s="698"/>
      <c r="CD300" s="319"/>
      <c r="CE300" s="130"/>
      <c r="CF300" s="1289">
        <f t="shared" si="1141"/>
        <v>0</v>
      </c>
      <c r="CG300" s="319"/>
      <c r="CH300" s="130"/>
      <c r="CI300" s="319"/>
      <c r="CJ300" s="698"/>
      <c r="CK300" s="319"/>
      <c r="CL300" s="130"/>
      <c r="CM300" s="1289">
        <f t="shared" si="1141"/>
        <v>0</v>
      </c>
      <c r="CN300" s="319">
        <f t="shared" si="1115"/>
        <v>0</v>
      </c>
      <c r="CO300" s="130">
        <f t="shared" si="1142"/>
        <v>0</v>
      </c>
      <c r="CP300" s="319">
        <f t="shared" si="1115"/>
        <v>0</v>
      </c>
      <c r="CQ300" s="698">
        <f t="shared" si="1143"/>
        <v>0</v>
      </c>
      <c r="CR300" s="319">
        <f t="shared" si="1116"/>
        <v>0</v>
      </c>
      <c r="CS300" s="130">
        <f t="shared" si="1144"/>
        <v>0</v>
      </c>
      <c r="CT300" s="1289">
        <f t="shared" si="1117"/>
        <v>0</v>
      </c>
      <c r="CU300" s="319">
        <f t="shared" si="1117"/>
        <v>0</v>
      </c>
      <c r="CV300" s="130">
        <f t="shared" si="1145"/>
        <v>0</v>
      </c>
      <c r="CW300" s="319">
        <f t="shared" ref="CW300" si="1230">CW264/CW$275</f>
        <v>0</v>
      </c>
      <c r="CX300" s="698">
        <f t="shared" si="1147"/>
        <v>0</v>
      </c>
      <c r="CY300" s="319">
        <f t="shared" si="1119"/>
        <v>0</v>
      </c>
      <c r="CZ300" s="130">
        <f t="shared" si="1148"/>
        <v>0</v>
      </c>
      <c r="DA300" s="1289">
        <f t="shared" ref="DA300:DB300" si="1231">DA264/DA$275</f>
        <v>0</v>
      </c>
      <c r="DB300" s="319">
        <f t="shared" si="1231"/>
        <v>0</v>
      </c>
      <c r="DC300" s="130">
        <f t="shared" si="1150"/>
        <v>0</v>
      </c>
      <c r="DD300" s="92">
        <f t="shared" si="1121"/>
        <v>0</v>
      </c>
      <c r="DE300" s="698">
        <f t="shared" si="1151"/>
        <v>0</v>
      </c>
      <c r="DF300" s="319">
        <f t="shared" si="1122"/>
        <v>0</v>
      </c>
      <c r="DG300" s="130">
        <f t="shared" si="1152"/>
        <v>0</v>
      </c>
      <c r="DH300" s="1289">
        <f t="shared" si="1123"/>
        <v>0</v>
      </c>
      <c r="DI300" s="319">
        <f t="shared" si="1123"/>
        <v>0</v>
      </c>
      <c r="DJ300" s="130">
        <f t="shared" si="1153"/>
        <v>0</v>
      </c>
      <c r="DK300" s="622">
        <f t="shared" si="1124"/>
        <v>0</v>
      </c>
      <c r="DL300" s="618">
        <f t="shared" si="1154"/>
        <v>0</v>
      </c>
      <c r="DM300" s="92">
        <f t="shared" si="1125"/>
        <v>0</v>
      </c>
      <c r="DN300" s="617">
        <f t="shared" si="1155"/>
        <v>0</v>
      </c>
      <c r="DO300" s="652">
        <f t="shared" si="1126"/>
        <v>0</v>
      </c>
      <c r="DP300" s="622">
        <f t="shared" si="1126"/>
        <v>0</v>
      </c>
      <c r="DQ300" s="617">
        <f t="shared" si="1156"/>
        <v>0</v>
      </c>
      <c r="DR300" s="622">
        <f t="shared" si="1127"/>
        <v>0</v>
      </c>
      <c r="DS300" s="618">
        <f t="shared" si="1157"/>
        <v>0</v>
      </c>
      <c r="DT300" s="622">
        <f t="shared" si="1128"/>
        <v>0</v>
      </c>
      <c r="DU300" s="617">
        <f t="shared" si="1158"/>
        <v>0</v>
      </c>
      <c r="DV300" s="652">
        <f t="shared" si="1129"/>
        <v>0</v>
      </c>
      <c r="DW300" s="622">
        <f t="shared" si="1129"/>
        <v>0</v>
      </c>
      <c r="DX300" s="617">
        <f t="shared" si="1159"/>
        <v>0</v>
      </c>
      <c r="DY300" s="622">
        <f t="shared" si="1130"/>
        <v>0</v>
      </c>
      <c r="DZ300" s="618">
        <f t="shared" si="1160"/>
        <v>0</v>
      </c>
      <c r="EA300" s="622">
        <f t="shared" si="1131"/>
        <v>0</v>
      </c>
      <c r="EB300" s="617">
        <f t="shared" si="1161"/>
        <v>0</v>
      </c>
      <c r="EC300" s="652">
        <f t="shared" si="1132"/>
        <v>0</v>
      </c>
      <c r="ED300" s="622">
        <f t="shared" si="1132"/>
        <v>0</v>
      </c>
      <c r="EE300" s="617">
        <f t="shared" si="1162"/>
        <v>0</v>
      </c>
      <c r="EF300" s="622">
        <f t="shared" si="1133"/>
        <v>0</v>
      </c>
      <c r="EG300" s="618">
        <f t="shared" si="1163"/>
        <v>0</v>
      </c>
      <c r="EH300" s="622">
        <f t="shared" si="1134"/>
        <v>0</v>
      </c>
      <c r="EI300" s="617">
        <f t="shared" si="1164"/>
        <v>0</v>
      </c>
      <c r="EJ300" s="652">
        <f t="shared" si="1135"/>
        <v>0</v>
      </c>
      <c r="EK300" s="622">
        <f t="shared" si="1135"/>
        <v>0</v>
      </c>
      <c r="EL300" s="617">
        <f t="shared" si="1165"/>
        <v>0</v>
      </c>
      <c r="EM300" s="622">
        <f t="shared" si="1136"/>
        <v>0</v>
      </c>
      <c r="EN300" s="618">
        <f t="shared" si="1166"/>
        <v>0</v>
      </c>
      <c r="EO300" s="622">
        <f t="shared" si="1137"/>
        <v>0</v>
      </c>
      <c r="EP300" s="617">
        <f t="shared" si="1167"/>
        <v>0</v>
      </c>
      <c r="EQ300" s="652">
        <f t="shared" si="1138"/>
        <v>0</v>
      </c>
    </row>
    <row r="301" spans="1:147" ht="10.199999999999999" customHeight="1" collapsed="1">
      <c r="A301" s="130" t="str">
        <f t="shared" si="1113"/>
        <v>A350-800</v>
      </c>
      <c r="B301" s="130"/>
      <c r="C301" s="130">
        <f t="shared" ref="C301:AI301" si="1232">C265/C$275</f>
        <v>0</v>
      </c>
      <c r="D301" s="130">
        <f t="shared" si="1232"/>
        <v>0</v>
      </c>
      <c r="E301" s="130">
        <f t="shared" si="1232"/>
        <v>0</v>
      </c>
      <c r="F301" s="130">
        <f t="shared" si="1232"/>
        <v>0</v>
      </c>
      <c r="G301" s="130">
        <f t="shared" si="1232"/>
        <v>0</v>
      </c>
      <c r="H301" s="130">
        <f t="shared" si="1232"/>
        <v>0</v>
      </c>
      <c r="I301" s="130">
        <f t="shared" si="1232"/>
        <v>0</v>
      </c>
      <c r="J301" s="130">
        <f t="shared" si="1232"/>
        <v>0</v>
      </c>
      <c r="K301" s="130">
        <f t="shared" si="1232"/>
        <v>0</v>
      </c>
      <c r="L301" s="130">
        <f t="shared" si="1232"/>
        <v>0</v>
      </c>
      <c r="M301" s="130">
        <f t="shared" si="1232"/>
        <v>0</v>
      </c>
      <c r="N301" s="130">
        <f t="shared" si="1232"/>
        <v>0</v>
      </c>
      <c r="O301" s="317"/>
      <c r="P301" s="130"/>
      <c r="Q301" s="317"/>
      <c r="R301" s="698"/>
      <c r="S301" s="317"/>
      <c r="T301" s="130"/>
      <c r="U301" s="619">
        <f t="shared" si="1232"/>
        <v>0</v>
      </c>
      <c r="V301" s="317"/>
      <c r="W301" s="130"/>
      <c r="X301" s="317"/>
      <c r="Y301" s="698"/>
      <c r="Z301" s="317"/>
      <c r="AA301" s="130"/>
      <c r="AB301" s="619">
        <f t="shared" si="1232"/>
        <v>0</v>
      </c>
      <c r="AC301" s="317"/>
      <c r="AD301" s="130"/>
      <c r="AE301" s="317"/>
      <c r="AF301" s="698"/>
      <c r="AG301" s="317"/>
      <c r="AH301" s="130"/>
      <c r="AI301" s="619">
        <f t="shared" si="1232"/>
        <v>0</v>
      </c>
      <c r="AJ301" s="317"/>
      <c r="AK301" s="130"/>
      <c r="AL301" s="317"/>
      <c r="AM301" s="698"/>
      <c r="AN301" s="317"/>
      <c r="AO301" s="130"/>
      <c r="AP301" s="619">
        <f t="shared" si="1202"/>
        <v>0</v>
      </c>
      <c r="AQ301" s="317"/>
      <c r="AR301" s="130"/>
      <c r="AS301" s="317"/>
      <c r="AT301" s="698"/>
      <c r="AU301" s="317"/>
      <c r="AV301" s="130"/>
      <c r="AW301" s="619">
        <f t="shared" si="1202"/>
        <v>0</v>
      </c>
      <c r="AX301" s="317"/>
      <c r="AY301" s="130"/>
      <c r="AZ301" s="317"/>
      <c r="BA301" s="698"/>
      <c r="BB301" s="317"/>
      <c r="BC301" s="130"/>
      <c r="BD301" s="619">
        <f t="shared" si="1202"/>
        <v>0</v>
      </c>
      <c r="BE301" s="317"/>
      <c r="BF301" s="130"/>
      <c r="BG301" s="317"/>
      <c r="BH301" s="698"/>
      <c r="BI301" s="317"/>
      <c r="BJ301" s="130"/>
      <c r="BK301" s="619">
        <f t="shared" si="1202"/>
        <v>0</v>
      </c>
      <c r="BL301" s="317"/>
      <c r="BM301" s="130"/>
      <c r="BN301" s="317"/>
      <c r="BO301" s="698"/>
      <c r="BP301" s="317"/>
      <c r="BQ301" s="130"/>
      <c r="BR301" s="619">
        <f t="shared" si="1202"/>
        <v>0</v>
      </c>
      <c r="BS301" s="317"/>
      <c r="BT301" s="130"/>
      <c r="BU301" s="317"/>
      <c r="BV301" s="698"/>
      <c r="BW301" s="317"/>
      <c r="BX301" s="130"/>
      <c r="BY301" s="619">
        <f t="shared" si="1140"/>
        <v>0</v>
      </c>
      <c r="BZ301" s="317"/>
      <c r="CA301" s="130"/>
      <c r="CB301" s="317"/>
      <c r="CC301" s="698"/>
      <c r="CD301" s="317"/>
      <c r="CE301" s="130"/>
      <c r="CF301" s="619">
        <f t="shared" si="1141"/>
        <v>0</v>
      </c>
      <c r="CG301" s="317"/>
      <c r="CH301" s="130"/>
      <c r="CI301" s="317"/>
      <c r="CJ301" s="698"/>
      <c r="CK301" s="317"/>
      <c r="CL301" s="130"/>
      <c r="CM301" s="619">
        <f t="shared" si="1141"/>
        <v>0</v>
      </c>
      <c r="CN301" s="317">
        <f t="shared" si="1115"/>
        <v>0</v>
      </c>
      <c r="CO301" s="130">
        <f t="shared" si="1142"/>
        <v>0</v>
      </c>
      <c r="CP301" s="317">
        <f t="shared" si="1115"/>
        <v>0</v>
      </c>
      <c r="CQ301" s="698">
        <f t="shared" si="1143"/>
        <v>0</v>
      </c>
      <c r="CR301" s="317">
        <f t="shared" si="1116"/>
        <v>0</v>
      </c>
      <c r="CS301" s="130">
        <f t="shared" si="1144"/>
        <v>0</v>
      </c>
      <c r="CT301" s="619">
        <f t="shared" si="1117"/>
        <v>0</v>
      </c>
      <c r="CU301" s="317">
        <f t="shared" si="1117"/>
        <v>0</v>
      </c>
      <c r="CV301" s="130">
        <f t="shared" si="1145"/>
        <v>0</v>
      </c>
      <c r="CW301" s="317">
        <f t="shared" ref="CW301" si="1233">CW265/CW$275</f>
        <v>0</v>
      </c>
      <c r="CX301" s="698">
        <f t="shared" si="1147"/>
        <v>0</v>
      </c>
      <c r="CY301" s="317">
        <f t="shared" si="1119"/>
        <v>0</v>
      </c>
      <c r="CZ301" s="130">
        <f t="shared" si="1148"/>
        <v>0</v>
      </c>
      <c r="DA301" s="619">
        <f t="shared" ref="DA301:DB301" si="1234">DA265/DA$275</f>
        <v>0</v>
      </c>
      <c r="DB301" s="317">
        <f t="shared" si="1234"/>
        <v>0</v>
      </c>
      <c r="DC301" s="130">
        <f t="shared" si="1150"/>
        <v>0</v>
      </c>
      <c r="DD301" s="130">
        <f t="shared" si="1121"/>
        <v>0</v>
      </c>
      <c r="DE301" s="698">
        <f t="shared" si="1151"/>
        <v>0</v>
      </c>
      <c r="DF301" s="317">
        <f t="shared" si="1122"/>
        <v>0</v>
      </c>
      <c r="DG301" s="130">
        <f t="shared" si="1152"/>
        <v>0</v>
      </c>
      <c r="DH301" s="619">
        <f t="shared" si="1123"/>
        <v>0</v>
      </c>
      <c r="DI301" s="317">
        <f t="shared" si="1123"/>
        <v>0</v>
      </c>
      <c r="DJ301" s="130">
        <f t="shared" si="1153"/>
        <v>0</v>
      </c>
      <c r="DK301" s="617">
        <f t="shared" si="1124"/>
        <v>0</v>
      </c>
      <c r="DL301" s="618">
        <f t="shared" si="1154"/>
        <v>0</v>
      </c>
      <c r="DM301" s="130">
        <f t="shared" si="1125"/>
        <v>0</v>
      </c>
      <c r="DN301" s="617">
        <f t="shared" si="1155"/>
        <v>0</v>
      </c>
      <c r="DO301" s="651">
        <f t="shared" si="1126"/>
        <v>0</v>
      </c>
      <c r="DP301" s="617">
        <f t="shared" si="1126"/>
        <v>0</v>
      </c>
      <c r="DQ301" s="617">
        <f t="shared" si="1156"/>
        <v>0</v>
      </c>
      <c r="DR301" s="617">
        <f t="shared" si="1127"/>
        <v>0</v>
      </c>
      <c r="DS301" s="618">
        <f t="shared" si="1157"/>
        <v>0</v>
      </c>
      <c r="DT301" s="617">
        <f t="shared" si="1128"/>
        <v>0</v>
      </c>
      <c r="DU301" s="617">
        <f t="shared" si="1158"/>
        <v>0</v>
      </c>
      <c r="DV301" s="651">
        <f t="shared" si="1129"/>
        <v>0</v>
      </c>
      <c r="DW301" s="617">
        <f t="shared" si="1129"/>
        <v>0</v>
      </c>
      <c r="DX301" s="617">
        <f t="shared" si="1159"/>
        <v>0</v>
      </c>
      <c r="DY301" s="617">
        <f t="shared" si="1130"/>
        <v>0</v>
      </c>
      <c r="DZ301" s="618">
        <f t="shared" si="1160"/>
        <v>0</v>
      </c>
      <c r="EA301" s="617">
        <f t="shared" si="1131"/>
        <v>0</v>
      </c>
      <c r="EB301" s="617">
        <f t="shared" si="1161"/>
        <v>0</v>
      </c>
      <c r="EC301" s="651">
        <f t="shared" si="1132"/>
        <v>0</v>
      </c>
      <c r="ED301" s="617">
        <f t="shared" si="1132"/>
        <v>0</v>
      </c>
      <c r="EE301" s="617">
        <f t="shared" si="1162"/>
        <v>0</v>
      </c>
      <c r="EF301" s="617">
        <f t="shared" si="1133"/>
        <v>0</v>
      </c>
      <c r="EG301" s="618">
        <f t="shared" si="1163"/>
        <v>0</v>
      </c>
      <c r="EH301" s="617">
        <f t="shared" si="1134"/>
        <v>0</v>
      </c>
      <c r="EI301" s="617">
        <f t="shared" si="1164"/>
        <v>0</v>
      </c>
      <c r="EJ301" s="651">
        <f t="shared" si="1135"/>
        <v>0</v>
      </c>
      <c r="EK301" s="617">
        <f t="shared" si="1135"/>
        <v>0</v>
      </c>
      <c r="EL301" s="617">
        <f t="shared" si="1165"/>
        <v>0</v>
      </c>
      <c r="EM301" s="617">
        <f t="shared" si="1136"/>
        <v>0</v>
      </c>
      <c r="EN301" s="618">
        <f t="shared" si="1166"/>
        <v>0</v>
      </c>
      <c r="EO301" s="617">
        <f t="shared" si="1137"/>
        <v>0</v>
      </c>
      <c r="EP301" s="617">
        <f t="shared" si="1167"/>
        <v>0</v>
      </c>
      <c r="EQ301" s="651">
        <f t="shared" si="1138"/>
        <v>0</v>
      </c>
    </row>
    <row r="302" spans="1:147" ht="10.199999999999999" customHeight="1">
      <c r="A302" s="130" t="str">
        <f t="shared" si="1113"/>
        <v>A350-900</v>
      </c>
      <c r="B302" s="130"/>
      <c r="C302" s="130">
        <f t="shared" ref="C302:AI302" si="1235">C266/C$275</f>
        <v>0</v>
      </c>
      <c r="D302" s="130">
        <f t="shared" si="1235"/>
        <v>0</v>
      </c>
      <c r="E302" s="130">
        <f t="shared" si="1235"/>
        <v>0</v>
      </c>
      <c r="F302" s="130">
        <f t="shared" si="1235"/>
        <v>0</v>
      </c>
      <c r="G302" s="130">
        <f t="shared" si="1235"/>
        <v>0</v>
      </c>
      <c r="H302" s="130">
        <f t="shared" si="1235"/>
        <v>0</v>
      </c>
      <c r="I302" s="130">
        <f t="shared" si="1235"/>
        <v>0</v>
      </c>
      <c r="J302" s="130">
        <f t="shared" si="1235"/>
        <v>0</v>
      </c>
      <c r="K302" s="130">
        <f t="shared" si="1235"/>
        <v>0</v>
      </c>
      <c r="L302" s="130">
        <f t="shared" si="1235"/>
        <v>0</v>
      </c>
      <c r="M302" s="130">
        <f t="shared" si="1235"/>
        <v>0</v>
      </c>
      <c r="N302" s="130">
        <f t="shared" si="1235"/>
        <v>0</v>
      </c>
      <c r="O302" s="317"/>
      <c r="P302" s="130"/>
      <c r="Q302" s="317"/>
      <c r="R302" s="698"/>
      <c r="S302" s="317"/>
      <c r="T302" s="130"/>
      <c r="U302" s="619">
        <f t="shared" si="1235"/>
        <v>0</v>
      </c>
      <c r="V302" s="317"/>
      <c r="W302" s="130"/>
      <c r="X302" s="317"/>
      <c r="Y302" s="698"/>
      <c r="Z302" s="317"/>
      <c r="AA302" s="130"/>
      <c r="AB302" s="619">
        <f t="shared" si="1235"/>
        <v>110.30453480789835</v>
      </c>
      <c r="AC302" s="317"/>
      <c r="AD302" s="130"/>
      <c r="AE302" s="317"/>
      <c r="AF302" s="698"/>
      <c r="AG302" s="317"/>
      <c r="AH302" s="130"/>
      <c r="AI302" s="619">
        <f t="shared" si="1235"/>
        <v>1747.4146167135966</v>
      </c>
      <c r="AJ302" s="317"/>
      <c r="AK302" s="130"/>
      <c r="AL302" s="317"/>
      <c r="AM302" s="698"/>
      <c r="AN302" s="317"/>
      <c r="AO302" s="130"/>
      <c r="AP302" s="619">
        <f t="shared" si="1202"/>
        <v>6299.838143705656</v>
      </c>
      <c r="AQ302" s="317"/>
      <c r="AR302" s="130"/>
      <c r="AS302" s="317"/>
      <c r="AT302" s="698"/>
      <c r="AU302" s="317"/>
      <c r="AV302" s="130"/>
      <c r="AW302" s="619">
        <f t="shared" si="1202"/>
        <v>10113.394244545247</v>
      </c>
      <c r="AX302" s="317"/>
      <c r="AY302" s="130"/>
      <c r="AZ302" s="317"/>
      <c r="BA302" s="698"/>
      <c r="BB302" s="317"/>
      <c r="BC302" s="130"/>
      <c r="BD302" s="619">
        <f t="shared" si="1202"/>
        <v>9018.1887435835924</v>
      </c>
      <c r="BE302" s="317"/>
      <c r="BF302" s="130"/>
      <c r="BG302" s="317"/>
      <c r="BH302" s="698"/>
      <c r="BI302" s="317"/>
      <c r="BJ302" s="130"/>
      <c r="BK302" s="619">
        <f t="shared" si="1202"/>
        <v>9344.4024584680992</v>
      </c>
      <c r="BL302" s="317"/>
      <c r="BM302" s="130"/>
      <c r="BN302" s="317"/>
      <c r="BO302" s="698"/>
      <c r="BP302" s="317"/>
      <c r="BQ302" s="130"/>
      <c r="BR302" s="619">
        <f t="shared" si="1202"/>
        <v>10562.278499999999</v>
      </c>
      <c r="BS302" s="317"/>
      <c r="BT302" s="130"/>
      <c r="BU302" s="317"/>
      <c r="BV302" s="698"/>
      <c r="BW302" s="317"/>
      <c r="BX302" s="130"/>
      <c r="BY302" s="619">
        <f t="shared" si="1140"/>
        <v>5593.3651967896949</v>
      </c>
      <c r="BZ302" s="317"/>
      <c r="CA302" s="130"/>
      <c r="CB302" s="317"/>
      <c r="CC302" s="698"/>
      <c r="CD302" s="317"/>
      <c r="CE302" s="130"/>
      <c r="CF302" s="619">
        <f t="shared" si="1141"/>
        <v>6215.8573352156091</v>
      </c>
      <c r="CG302" s="317"/>
      <c r="CH302" s="130"/>
      <c r="CI302" s="317"/>
      <c r="CJ302" s="698"/>
      <c r="CK302" s="317"/>
      <c r="CL302" s="130"/>
      <c r="CM302" s="619">
        <f t="shared" si="1141"/>
        <v>6374.2676735199684</v>
      </c>
      <c r="CN302" s="317">
        <f t="shared" si="1115"/>
        <v>701.63256596151746</v>
      </c>
      <c r="CO302" s="130">
        <f t="shared" si="1142"/>
        <v>1536.8563499002464</v>
      </c>
      <c r="CP302" s="317">
        <f t="shared" si="1115"/>
        <v>1554.0745554250923</v>
      </c>
      <c r="CQ302" s="698">
        <f t="shared" si="1143"/>
        <v>3126.6873147380911</v>
      </c>
      <c r="CR302" s="317">
        <f t="shared" si="1116"/>
        <v>2238.4889158617639</v>
      </c>
      <c r="CS302" s="130">
        <f t="shared" si="1144"/>
        <v>4680.7618701631836</v>
      </c>
      <c r="CT302" s="619">
        <f t="shared" si="1117"/>
        <v>6919.250786024948</v>
      </c>
      <c r="CU302" s="317">
        <f t="shared" si="1117"/>
        <v>534.86912603142207</v>
      </c>
      <c r="CV302" s="130">
        <f t="shared" si="1145"/>
        <v>1764.6870573577307</v>
      </c>
      <c r="CW302" s="317">
        <f t="shared" ref="CW302" si="1236">CW266/CW$275</f>
        <v>1620.4472904203835</v>
      </c>
      <c r="CX302" s="698">
        <f t="shared" si="1147"/>
        <v>2067.5796886111375</v>
      </c>
      <c r="CY302" s="317">
        <f t="shared" si="1119"/>
        <v>2299.5561833891529</v>
      </c>
      <c r="CZ302" s="130">
        <f t="shared" si="1148"/>
        <v>3688.026979031521</v>
      </c>
      <c r="DA302" s="619">
        <f t="shared" ref="DA302:DB302" si="1237">DA266/DA$275</f>
        <v>5987.5831624206739</v>
      </c>
      <c r="DB302" s="317">
        <f t="shared" si="1237"/>
        <v>1141.8171780143289</v>
      </c>
      <c r="DC302" s="130">
        <f t="shared" si="1150"/>
        <v>1526.6711500671413</v>
      </c>
      <c r="DD302" s="130">
        <f t="shared" si="1121"/>
        <v>947.26583810780016</v>
      </c>
      <c r="DE302" s="698">
        <f t="shared" si="1151"/>
        <v>2157.3870922470505</v>
      </c>
      <c r="DF302" s="317">
        <f t="shared" si="1122"/>
        <v>2668.4883280814702</v>
      </c>
      <c r="DG302" s="130">
        <f t="shared" si="1152"/>
        <v>3104.6529303548505</v>
      </c>
      <c r="DH302" s="619">
        <f t="shared" si="1123"/>
        <v>5773.1412584363206</v>
      </c>
      <c r="DI302" s="317">
        <f t="shared" si="1123"/>
        <v>1097.1623858603148</v>
      </c>
      <c r="DJ302" s="130">
        <f t="shared" si="1153"/>
        <v>1647.499862396859</v>
      </c>
      <c r="DK302" s="617">
        <f t="shared" si="1124"/>
        <v>1960.8566608322471</v>
      </c>
      <c r="DL302" s="618">
        <f t="shared" si="1154"/>
        <v>2767.5683588486245</v>
      </c>
      <c r="DM302" s="130">
        <f t="shared" si="1125"/>
        <v>2744.6622482571738</v>
      </c>
      <c r="DN302" s="617">
        <f t="shared" si="1155"/>
        <v>4728.4250196808716</v>
      </c>
      <c r="DO302" s="651">
        <f t="shared" si="1126"/>
        <v>7473.0872679380454</v>
      </c>
      <c r="DP302" s="617">
        <f t="shared" si="1126"/>
        <v>2300.2618625629771</v>
      </c>
      <c r="DQ302" s="617">
        <f t="shared" si="1156"/>
        <v>2301.9870546179923</v>
      </c>
      <c r="DR302" s="617">
        <f t="shared" si="1127"/>
        <v>2302.0180715116117</v>
      </c>
      <c r="DS302" s="618">
        <f t="shared" si="1157"/>
        <v>2301.4182090448599</v>
      </c>
      <c r="DT302" s="617">
        <f t="shared" si="1128"/>
        <v>4602.2489171809693</v>
      </c>
      <c r="DU302" s="617">
        <f t="shared" si="1158"/>
        <v>4603.4362805564715</v>
      </c>
      <c r="DV302" s="651">
        <f t="shared" si="1129"/>
        <v>9205.6851977374408</v>
      </c>
      <c r="DW302" s="617">
        <f t="shared" si="1129"/>
        <v>2651.6467827635242</v>
      </c>
      <c r="DX302" s="617">
        <f t="shared" si="1159"/>
        <v>2652.5298722515763</v>
      </c>
      <c r="DY302" s="617">
        <f t="shared" si="1130"/>
        <v>2652.5409608119767</v>
      </c>
      <c r="DZ302" s="618">
        <f t="shared" si="1160"/>
        <v>2652.5602477115322</v>
      </c>
      <c r="EA302" s="617">
        <f t="shared" si="1131"/>
        <v>5304.1766550151006</v>
      </c>
      <c r="EB302" s="617">
        <f t="shared" si="1161"/>
        <v>5305.1012085235088</v>
      </c>
      <c r="EC302" s="651">
        <f t="shared" si="1132"/>
        <v>10609.277863538609</v>
      </c>
      <c r="ED302" s="617">
        <f t="shared" si="1132"/>
        <v>2965.3654276520506</v>
      </c>
      <c r="EE302" s="617">
        <f t="shared" si="1162"/>
        <v>2965.3289356479131</v>
      </c>
      <c r="EF302" s="617">
        <f t="shared" si="1133"/>
        <v>2965.3231129868691</v>
      </c>
      <c r="EG302" s="618">
        <f t="shared" si="1163"/>
        <v>2965.3234247161608</v>
      </c>
      <c r="EH302" s="617">
        <f t="shared" si="1134"/>
        <v>5930.6943632999637</v>
      </c>
      <c r="EI302" s="617">
        <f t="shared" si="1164"/>
        <v>5930.6465377030299</v>
      </c>
      <c r="EJ302" s="651">
        <f t="shared" si="1135"/>
        <v>11861.340901002994</v>
      </c>
      <c r="EK302" s="617">
        <f t="shared" si="1135"/>
        <v>3011.1862995216411</v>
      </c>
      <c r="EL302" s="617">
        <f t="shared" si="1165"/>
        <v>3011.2026386962502</v>
      </c>
      <c r="EM302" s="617">
        <f t="shared" si="1136"/>
        <v>3011.2052274960533</v>
      </c>
      <c r="EN302" s="618">
        <f t="shared" si="1166"/>
        <v>3011.2040747033716</v>
      </c>
      <c r="EO302" s="617">
        <f t="shared" si="1137"/>
        <v>6022.3889382178913</v>
      </c>
      <c r="EP302" s="617">
        <f t="shared" si="1167"/>
        <v>6022.4093021994249</v>
      </c>
      <c r="EQ302" s="651">
        <f t="shared" si="1138"/>
        <v>12044.798240417316</v>
      </c>
    </row>
    <row r="303" spans="1:147" ht="10.199999999999999" customHeight="1">
      <c r="A303" s="130" t="str">
        <f t="shared" si="1113"/>
        <v>A350-1000</v>
      </c>
      <c r="B303" s="130"/>
      <c r="C303" s="130">
        <f t="shared" ref="C303:AI303" si="1238">C267/C$275</f>
        <v>0</v>
      </c>
      <c r="D303" s="130">
        <f t="shared" si="1238"/>
        <v>0</v>
      </c>
      <c r="E303" s="130">
        <f t="shared" si="1238"/>
        <v>0</v>
      </c>
      <c r="F303" s="130">
        <f t="shared" si="1238"/>
        <v>0</v>
      </c>
      <c r="G303" s="130">
        <f t="shared" si="1238"/>
        <v>0</v>
      </c>
      <c r="H303" s="130">
        <f t="shared" si="1238"/>
        <v>0</v>
      </c>
      <c r="I303" s="130">
        <f t="shared" si="1238"/>
        <v>0</v>
      </c>
      <c r="J303" s="130">
        <f t="shared" si="1238"/>
        <v>0</v>
      </c>
      <c r="K303" s="130">
        <f t="shared" si="1238"/>
        <v>0</v>
      </c>
      <c r="L303" s="130">
        <f t="shared" si="1238"/>
        <v>0</v>
      </c>
      <c r="M303" s="130">
        <f t="shared" si="1238"/>
        <v>0</v>
      </c>
      <c r="N303" s="130">
        <f t="shared" si="1238"/>
        <v>0</v>
      </c>
      <c r="O303" s="317"/>
      <c r="P303" s="130"/>
      <c r="Q303" s="317"/>
      <c r="R303" s="698"/>
      <c r="S303" s="317"/>
      <c r="T303" s="130"/>
      <c r="U303" s="619">
        <f t="shared" si="1238"/>
        <v>0</v>
      </c>
      <c r="V303" s="317"/>
      <c r="W303" s="130"/>
      <c r="X303" s="317"/>
      <c r="Y303" s="698"/>
      <c r="Z303" s="317"/>
      <c r="AA303" s="130"/>
      <c r="AB303" s="619">
        <f t="shared" si="1238"/>
        <v>0</v>
      </c>
      <c r="AC303" s="317"/>
      <c r="AD303" s="130"/>
      <c r="AE303" s="317"/>
      <c r="AF303" s="698"/>
      <c r="AG303" s="317"/>
      <c r="AH303" s="130"/>
      <c r="AI303" s="619">
        <f t="shared" si="1238"/>
        <v>0</v>
      </c>
      <c r="AJ303" s="317"/>
      <c r="AK303" s="130"/>
      <c r="AL303" s="317"/>
      <c r="AM303" s="698"/>
      <c r="AN303" s="317"/>
      <c r="AO303" s="130"/>
      <c r="AP303" s="619">
        <f>AP267/AP$275</f>
        <v>0</v>
      </c>
      <c r="AQ303" s="317"/>
      <c r="AR303" s="130"/>
      <c r="AS303" s="317"/>
      <c r="AT303" s="698"/>
      <c r="AU303" s="317"/>
      <c r="AV303" s="130"/>
      <c r="AW303" s="619">
        <f>AW267/AW$275</f>
        <v>0</v>
      </c>
      <c r="AX303" s="317"/>
      <c r="AY303" s="130"/>
      <c r="AZ303" s="317"/>
      <c r="BA303" s="698"/>
      <c r="BB303" s="317"/>
      <c r="BC303" s="130"/>
      <c r="BD303" s="619">
        <f>BD267/BD$275</f>
        <v>0</v>
      </c>
      <c r="BE303" s="317"/>
      <c r="BF303" s="130"/>
      <c r="BG303" s="317"/>
      <c r="BH303" s="698"/>
      <c r="BI303" s="317"/>
      <c r="BJ303" s="130"/>
      <c r="BK303" s="619">
        <f>BK267/BK$275</f>
        <v>1912.1393367949966</v>
      </c>
      <c r="BL303" s="317"/>
      <c r="BM303" s="130"/>
      <c r="BN303" s="317"/>
      <c r="BO303" s="698"/>
      <c r="BP303" s="317"/>
      <c r="BQ303" s="130"/>
      <c r="BR303" s="619">
        <f>BR267/BR$275</f>
        <v>3504.65625</v>
      </c>
      <c r="BS303" s="317"/>
      <c r="BT303" s="130"/>
      <c r="BU303" s="317"/>
      <c r="BV303" s="698"/>
      <c r="BW303" s="317"/>
      <c r="BX303" s="130"/>
      <c r="BY303" s="619">
        <f t="shared" si="1140"/>
        <v>2009.3507543742858</v>
      </c>
      <c r="BZ303" s="317"/>
      <c r="CA303" s="130"/>
      <c r="CB303" s="317"/>
      <c r="CC303" s="698"/>
      <c r="CD303" s="317"/>
      <c r="CE303" s="130"/>
      <c r="CF303" s="619">
        <f t="shared" si="1141"/>
        <v>878.86721706590038</v>
      </c>
      <c r="CG303" s="317"/>
      <c r="CH303" s="130"/>
      <c r="CI303" s="317"/>
      <c r="CJ303" s="698"/>
      <c r="CK303" s="317"/>
      <c r="CL303" s="130"/>
      <c r="CM303" s="619">
        <f t="shared" si="1141"/>
        <v>1472.0662270605346</v>
      </c>
      <c r="CN303" s="317">
        <f t="shared" si="1115"/>
        <v>0</v>
      </c>
      <c r="CO303" s="130">
        <f t="shared" si="1142"/>
        <v>807.74081173532647</v>
      </c>
      <c r="CP303" s="317">
        <f t="shared" si="1115"/>
        <v>652.53860865360184</v>
      </c>
      <c r="CQ303" s="698">
        <f t="shared" si="1143"/>
        <v>383.47905938287931</v>
      </c>
      <c r="CR303" s="317">
        <f t="shared" si="1116"/>
        <v>807.74081173532647</v>
      </c>
      <c r="CS303" s="130">
        <f t="shared" si="1144"/>
        <v>1036.0176680364812</v>
      </c>
      <c r="CT303" s="619">
        <f t="shared" si="1117"/>
        <v>1843.7584797718075</v>
      </c>
      <c r="CU303" s="317">
        <f t="shared" si="1117"/>
        <v>463.20778518552981</v>
      </c>
      <c r="CV303" s="130">
        <f t="shared" si="1145"/>
        <v>161.56506867274845</v>
      </c>
      <c r="CW303" s="317">
        <f t="shared" ref="CW303" si="1239">CW267/CW$275</f>
        <v>467.78034966845507</v>
      </c>
      <c r="CX303" s="698">
        <f t="shared" si="1147"/>
        <v>950.16891205392949</v>
      </c>
      <c r="CY303" s="317">
        <f t="shared" si="1119"/>
        <v>624.77285385827827</v>
      </c>
      <c r="CZ303" s="130">
        <f t="shared" si="1148"/>
        <v>1417.9492617223846</v>
      </c>
      <c r="DA303" s="619">
        <f t="shared" ref="DA303:DB303" si="1240">DA267/DA$275</f>
        <v>2042.7221155806628</v>
      </c>
      <c r="DB303" s="317">
        <f t="shared" si="1240"/>
        <v>164.80623650844817</v>
      </c>
      <c r="DC303" s="130">
        <f t="shared" si="1150"/>
        <v>159.53992216294731</v>
      </c>
      <c r="DD303" s="130">
        <f t="shared" si="1121"/>
        <v>781.28753638155717</v>
      </c>
      <c r="DE303" s="698">
        <f t="shared" si="1151"/>
        <v>1275.1569602905881</v>
      </c>
      <c r="DF303" s="317">
        <f t="shared" si="1122"/>
        <v>324.34615867139547</v>
      </c>
      <c r="DG303" s="130">
        <f t="shared" si="1152"/>
        <v>2056.4444966721453</v>
      </c>
      <c r="DH303" s="619">
        <f t="shared" si="1123"/>
        <v>2380.7906553435409</v>
      </c>
      <c r="DI303" s="317">
        <f t="shared" si="1123"/>
        <v>475.08272024787971</v>
      </c>
      <c r="DJ303" s="130">
        <f t="shared" si="1153"/>
        <v>475.6911114971623</v>
      </c>
      <c r="DK303" s="617">
        <f t="shared" si="1124"/>
        <v>646.91148275724061</v>
      </c>
      <c r="DL303" s="618">
        <f t="shared" si="1154"/>
        <v>1278.6920050726949</v>
      </c>
      <c r="DM303" s="130">
        <f t="shared" si="1125"/>
        <v>950.773831745042</v>
      </c>
      <c r="DN303" s="617">
        <f t="shared" si="1155"/>
        <v>1925.6034878299356</v>
      </c>
      <c r="DO303" s="651">
        <f t="shared" si="1126"/>
        <v>2876.3773195749777</v>
      </c>
      <c r="DP303" s="617">
        <f t="shared" si="1126"/>
        <v>885.36649089406762</v>
      </c>
      <c r="DQ303" s="617">
        <f t="shared" si="1156"/>
        <v>886.03051409104626</v>
      </c>
      <c r="DR303" s="617">
        <f t="shared" si="1127"/>
        <v>886.04245243541868</v>
      </c>
      <c r="DS303" s="618">
        <f t="shared" si="1157"/>
        <v>885.81156649332206</v>
      </c>
      <c r="DT303" s="617">
        <f t="shared" si="1128"/>
        <v>1771.3970049851139</v>
      </c>
      <c r="DU303" s="617">
        <f t="shared" si="1158"/>
        <v>1771.8540189287407</v>
      </c>
      <c r="DV303" s="651">
        <f t="shared" si="1129"/>
        <v>3543.2510239138546</v>
      </c>
      <c r="DW303" s="617">
        <f t="shared" si="1129"/>
        <v>1020.6138898160383</v>
      </c>
      <c r="DX303" s="617">
        <f t="shared" si="1159"/>
        <v>1020.9537893091818</v>
      </c>
      <c r="DY303" s="617">
        <f t="shared" si="1130"/>
        <v>1020.9580572753513</v>
      </c>
      <c r="DZ303" s="618">
        <f t="shared" si="1160"/>
        <v>1020.9654807669355</v>
      </c>
      <c r="EA303" s="617">
        <f t="shared" si="1131"/>
        <v>2041.5676791252201</v>
      </c>
      <c r="EB303" s="617">
        <f t="shared" si="1161"/>
        <v>2041.9235380422867</v>
      </c>
      <c r="EC303" s="651">
        <f t="shared" si="1132"/>
        <v>4083.4912171675069</v>
      </c>
      <c r="ED303" s="617">
        <f t="shared" si="1132"/>
        <v>1141.363609782059</v>
      </c>
      <c r="EE303" s="617">
        <f t="shared" si="1162"/>
        <v>1141.3495640778833</v>
      </c>
      <c r="EF303" s="617">
        <f t="shared" si="1133"/>
        <v>1141.3473229465319</v>
      </c>
      <c r="EG303" s="618">
        <f t="shared" si="1163"/>
        <v>1141.3474429305527</v>
      </c>
      <c r="EH303" s="617">
        <f t="shared" si="1134"/>
        <v>2282.7131738599423</v>
      </c>
      <c r="EI303" s="617">
        <f t="shared" si="1164"/>
        <v>2282.6947658770846</v>
      </c>
      <c r="EJ303" s="651">
        <f t="shared" si="1135"/>
        <v>4565.4079397370269</v>
      </c>
      <c r="EK303" s="617">
        <f t="shared" si="1135"/>
        <v>1158.9999777091805</v>
      </c>
      <c r="EL303" s="617">
        <f t="shared" si="1165"/>
        <v>1159.0062666269434</v>
      </c>
      <c r="EM303" s="617">
        <f t="shared" si="1136"/>
        <v>1159.0072630511486</v>
      </c>
      <c r="EN303" s="618">
        <f t="shared" si="1166"/>
        <v>1159.0068193434008</v>
      </c>
      <c r="EO303" s="617">
        <f t="shared" si="1137"/>
        <v>2318.0062443361239</v>
      </c>
      <c r="EP303" s="617">
        <f t="shared" si="1167"/>
        <v>2318.0140823945494</v>
      </c>
      <c r="EQ303" s="651">
        <f t="shared" si="1138"/>
        <v>4636.0203267306733</v>
      </c>
    </row>
    <row r="304" spans="1:147" ht="10.199999999999999" customHeight="1">
      <c r="A304" s="92" t="str">
        <f t="shared" si="1113"/>
        <v>A350</v>
      </c>
      <c r="B304" s="92"/>
      <c r="C304" s="92">
        <f t="shared" ref="C304:AI304" si="1241">C268/C$275</f>
        <v>0</v>
      </c>
      <c r="D304" s="92">
        <f t="shared" si="1241"/>
        <v>0</v>
      </c>
      <c r="E304" s="92">
        <f t="shared" si="1241"/>
        <v>0</v>
      </c>
      <c r="F304" s="92">
        <f t="shared" si="1241"/>
        <v>0</v>
      </c>
      <c r="G304" s="92">
        <f t="shared" si="1241"/>
        <v>0</v>
      </c>
      <c r="H304" s="92">
        <f t="shared" si="1241"/>
        <v>0</v>
      </c>
      <c r="I304" s="92">
        <f t="shared" si="1241"/>
        <v>0</v>
      </c>
      <c r="J304" s="92">
        <f t="shared" si="1241"/>
        <v>0</v>
      </c>
      <c r="K304" s="92">
        <f t="shared" si="1241"/>
        <v>0</v>
      </c>
      <c r="L304" s="92">
        <f t="shared" si="1241"/>
        <v>0</v>
      </c>
      <c r="M304" s="92">
        <f t="shared" si="1241"/>
        <v>0</v>
      </c>
      <c r="N304" s="92">
        <f t="shared" si="1241"/>
        <v>0</v>
      </c>
      <c r="O304" s="319"/>
      <c r="P304" s="92"/>
      <c r="Q304" s="319"/>
      <c r="R304" s="699"/>
      <c r="S304" s="319"/>
      <c r="T304" s="92"/>
      <c r="U304" s="1289">
        <f t="shared" si="1241"/>
        <v>0</v>
      </c>
      <c r="V304" s="319"/>
      <c r="W304" s="92"/>
      <c r="X304" s="319"/>
      <c r="Y304" s="699"/>
      <c r="Z304" s="319"/>
      <c r="AA304" s="92"/>
      <c r="AB304" s="1289">
        <f t="shared" si="1241"/>
        <v>110.30453480789835</v>
      </c>
      <c r="AC304" s="319"/>
      <c r="AD304" s="92"/>
      <c r="AE304" s="319"/>
      <c r="AF304" s="699"/>
      <c r="AG304" s="319"/>
      <c r="AH304" s="92"/>
      <c r="AI304" s="1289">
        <f t="shared" si="1241"/>
        <v>1747.4146167135966</v>
      </c>
      <c r="AJ304" s="319"/>
      <c r="AK304" s="92"/>
      <c r="AL304" s="319"/>
      <c r="AM304" s="699"/>
      <c r="AN304" s="319"/>
      <c r="AO304" s="92"/>
      <c r="AP304" s="1289">
        <f t="shared" ref="AP304:BR306" si="1242">AP268/AP$275</f>
        <v>6299.838143705656</v>
      </c>
      <c r="AQ304" s="319"/>
      <c r="AR304" s="92"/>
      <c r="AS304" s="319"/>
      <c r="AT304" s="699"/>
      <c r="AU304" s="319"/>
      <c r="AV304" s="92"/>
      <c r="AW304" s="1289">
        <f t="shared" si="1242"/>
        <v>10113.394244545247</v>
      </c>
      <c r="AX304" s="319"/>
      <c r="AY304" s="92"/>
      <c r="AZ304" s="319"/>
      <c r="BA304" s="699"/>
      <c r="BB304" s="319"/>
      <c r="BC304" s="92"/>
      <c r="BD304" s="1289">
        <f t="shared" si="1242"/>
        <v>9018.1887435835924</v>
      </c>
      <c r="BE304" s="319"/>
      <c r="BF304" s="92"/>
      <c r="BG304" s="319"/>
      <c r="BH304" s="699"/>
      <c r="BI304" s="319"/>
      <c r="BJ304" s="92"/>
      <c r="BK304" s="1289">
        <f t="shared" si="1242"/>
        <v>11256.541795263094</v>
      </c>
      <c r="BL304" s="319"/>
      <c r="BM304" s="92"/>
      <c r="BN304" s="319"/>
      <c r="BO304" s="699"/>
      <c r="BP304" s="319"/>
      <c r="BQ304" s="92"/>
      <c r="BR304" s="1289">
        <f t="shared" si="1242"/>
        <v>14066.934749999999</v>
      </c>
      <c r="BS304" s="319"/>
      <c r="BT304" s="92"/>
      <c r="BU304" s="319"/>
      <c r="BV304" s="699"/>
      <c r="BW304" s="319"/>
      <c r="BX304" s="92"/>
      <c r="BY304" s="1289">
        <f t="shared" si="1140"/>
        <v>7602.7159511639802</v>
      </c>
      <c r="BZ304" s="319"/>
      <c r="CA304" s="92"/>
      <c r="CB304" s="319"/>
      <c r="CC304" s="699"/>
      <c r="CD304" s="319"/>
      <c r="CE304" s="92"/>
      <c r="CF304" s="1289">
        <f t="shared" si="1141"/>
        <v>7094.7245522815092</v>
      </c>
      <c r="CG304" s="319"/>
      <c r="CH304" s="92"/>
      <c r="CI304" s="319"/>
      <c r="CJ304" s="699"/>
      <c r="CK304" s="319"/>
      <c r="CL304" s="92"/>
      <c r="CM304" s="1289">
        <f t="shared" si="1141"/>
        <v>7846.3339005805028</v>
      </c>
      <c r="CN304" s="319">
        <f t="shared" si="1115"/>
        <v>701.63256596151746</v>
      </c>
      <c r="CO304" s="92">
        <f t="shared" si="1142"/>
        <v>2344.5971616355728</v>
      </c>
      <c r="CP304" s="319">
        <f t="shared" si="1115"/>
        <v>2206.6131640786944</v>
      </c>
      <c r="CQ304" s="699">
        <f t="shared" si="1143"/>
        <v>3510.1663741209695</v>
      </c>
      <c r="CR304" s="319">
        <f t="shared" si="1116"/>
        <v>3046.2297275970905</v>
      </c>
      <c r="CS304" s="92">
        <f t="shared" si="1144"/>
        <v>5716.7795381996639</v>
      </c>
      <c r="CT304" s="1289">
        <f t="shared" si="1117"/>
        <v>8763.0092657967543</v>
      </c>
      <c r="CU304" s="319">
        <f t="shared" si="1117"/>
        <v>998.076911216952</v>
      </c>
      <c r="CV304" s="92">
        <f t="shared" si="1145"/>
        <v>1926.2521260304788</v>
      </c>
      <c r="CW304" s="319">
        <f t="shared" ref="CW304" si="1243">CW268/CW$275</f>
        <v>2088.2276400888386</v>
      </c>
      <c r="CX304" s="699">
        <f t="shared" si="1147"/>
        <v>3017.748600665067</v>
      </c>
      <c r="CY304" s="319">
        <f t="shared" si="1119"/>
        <v>2924.3290372474307</v>
      </c>
      <c r="CZ304" s="92">
        <f t="shared" si="1148"/>
        <v>5105.9762407539056</v>
      </c>
      <c r="DA304" s="1289">
        <f t="shared" ref="DA304:DB304" si="1244">DA268/DA$275</f>
        <v>8030.3052780013359</v>
      </c>
      <c r="DB304" s="319">
        <f t="shared" si="1244"/>
        <v>1306.6234145227772</v>
      </c>
      <c r="DC304" s="92">
        <f t="shared" si="1150"/>
        <v>1686.2110722300881</v>
      </c>
      <c r="DD304" s="92">
        <f t="shared" si="1121"/>
        <v>1728.5533744893573</v>
      </c>
      <c r="DE304" s="699">
        <f t="shared" si="1151"/>
        <v>3432.5440525376389</v>
      </c>
      <c r="DF304" s="319">
        <f t="shared" si="1122"/>
        <v>2992.8344867528654</v>
      </c>
      <c r="DG304" s="92">
        <f t="shared" si="1152"/>
        <v>5161.0974270269962</v>
      </c>
      <c r="DH304" s="1289">
        <f t="shared" si="1123"/>
        <v>8153.9319137798611</v>
      </c>
      <c r="DI304" s="319">
        <f t="shared" si="1123"/>
        <v>1572.2451061081942</v>
      </c>
      <c r="DJ304" s="92">
        <f t="shared" si="1153"/>
        <v>2123.1909738940217</v>
      </c>
      <c r="DK304" s="622">
        <f t="shared" si="1124"/>
        <v>2607.7681435894879</v>
      </c>
      <c r="DL304" s="623">
        <f t="shared" si="1154"/>
        <v>4046.2603639213189</v>
      </c>
      <c r="DM304" s="92">
        <f t="shared" si="1125"/>
        <v>3695.4360800022159</v>
      </c>
      <c r="DN304" s="622">
        <f t="shared" si="1155"/>
        <v>6654.0285075108068</v>
      </c>
      <c r="DO304" s="652">
        <f t="shared" si="1126"/>
        <v>10349.464587513023</v>
      </c>
      <c r="DP304" s="622">
        <f t="shared" si="1126"/>
        <v>3185.6283534570443</v>
      </c>
      <c r="DQ304" s="622">
        <f t="shared" si="1156"/>
        <v>3188.0175687090391</v>
      </c>
      <c r="DR304" s="622">
        <f t="shared" si="1127"/>
        <v>3188.0605239470301</v>
      </c>
      <c r="DS304" s="623">
        <f t="shared" si="1157"/>
        <v>3187.229775538181</v>
      </c>
      <c r="DT304" s="622">
        <f t="shared" si="1128"/>
        <v>6373.6459221660834</v>
      </c>
      <c r="DU304" s="622">
        <f t="shared" si="1158"/>
        <v>6375.2902994852111</v>
      </c>
      <c r="DV304" s="652">
        <f t="shared" si="1129"/>
        <v>12748.936221651295</v>
      </c>
      <c r="DW304" s="622">
        <f t="shared" si="1129"/>
        <v>3672.2606725795627</v>
      </c>
      <c r="DX304" s="622">
        <f t="shared" si="1159"/>
        <v>3673.4836615607578</v>
      </c>
      <c r="DY304" s="622">
        <f t="shared" si="1130"/>
        <v>3673.4990180873278</v>
      </c>
      <c r="DZ304" s="623">
        <f t="shared" si="1160"/>
        <v>3673.525728478467</v>
      </c>
      <c r="EA304" s="622">
        <f t="shared" si="1131"/>
        <v>7345.7443341403205</v>
      </c>
      <c r="EB304" s="622">
        <f t="shared" si="1161"/>
        <v>7347.0247465657949</v>
      </c>
      <c r="EC304" s="652">
        <f t="shared" si="1132"/>
        <v>14692.769080706115</v>
      </c>
      <c r="ED304" s="622">
        <f t="shared" si="1132"/>
        <v>4106.7290374341101</v>
      </c>
      <c r="EE304" s="622">
        <f t="shared" si="1162"/>
        <v>4106.6784997257964</v>
      </c>
      <c r="EF304" s="622">
        <f t="shared" si="1133"/>
        <v>4106.6704359334008</v>
      </c>
      <c r="EG304" s="623">
        <f t="shared" si="1163"/>
        <v>4106.6708676467124</v>
      </c>
      <c r="EH304" s="622">
        <f t="shared" si="1134"/>
        <v>8213.4075371599065</v>
      </c>
      <c r="EI304" s="622">
        <f t="shared" si="1164"/>
        <v>8213.3413035801132</v>
      </c>
      <c r="EJ304" s="652">
        <f t="shared" si="1135"/>
        <v>16426.74884074002</v>
      </c>
      <c r="EK304" s="622">
        <f t="shared" si="1135"/>
        <v>4170.1862772308214</v>
      </c>
      <c r="EL304" s="622">
        <f t="shared" si="1165"/>
        <v>4170.2089053231939</v>
      </c>
      <c r="EM304" s="622">
        <f t="shared" si="1136"/>
        <v>4170.2124905472019</v>
      </c>
      <c r="EN304" s="623">
        <f t="shared" si="1166"/>
        <v>4170.2108940467706</v>
      </c>
      <c r="EO304" s="622">
        <f t="shared" si="1137"/>
        <v>8340.3951825540153</v>
      </c>
      <c r="EP304" s="622">
        <f t="shared" si="1167"/>
        <v>8340.4233845939725</v>
      </c>
      <c r="EQ304" s="652">
        <f t="shared" si="1138"/>
        <v>16680.818567147988</v>
      </c>
    </row>
    <row r="305" spans="1:147" ht="10.199999999999999" hidden="1" customHeight="1" outlineLevel="1">
      <c r="A305" s="92" t="str">
        <f t="shared" si="1113"/>
        <v>A380</v>
      </c>
      <c r="B305" s="92"/>
      <c r="C305" s="92">
        <f t="shared" ref="C305:AI305" si="1245">C269/C$275</f>
        <v>0</v>
      </c>
      <c r="D305" s="92">
        <f t="shared" si="1245"/>
        <v>0</v>
      </c>
      <c r="E305" s="92">
        <f t="shared" si="1245"/>
        <v>0</v>
      </c>
      <c r="F305" s="92">
        <f t="shared" si="1245"/>
        <v>0</v>
      </c>
      <c r="G305" s="92">
        <f t="shared" si="1245"/>
        <v>0</v>
      </c>
      <c r="H305" s="92">
        <f t="shared" si="1245"/>
        <v>0</v>
      </c>
      <c r="I305" s="92">
        <f t="shared" si="1245"/>
        <v>112.17749122842473</v>
      </c>
      <c r="J305" s="92">
        <f t="shared" si="1245"/>
        <v>1445.5414990828222</v>
      </c>
      <c r="K305" s="92">
        <f t="shared" si="1245"/>
        <v>1219.7617695342631</v>
      </c>
      <c r="L305" s="92">
        <f t="shared" si="1245"/>
        <v>2332.5117563465674</v>
      </c>
      <c r="M305" s="92">
        <f t="shared" si="1245"/>
        <v>3962.4609927661004</v>
      </c>
      <c r="N305" s="92">
        <f t="shared" si="1245"/>
        <v>5108.2865999047226</v>
      </c>
      <c r="O305" s="92"/>
      <c r="P305" s="130"/>
      <c r="Q305" s="92"/>
      <c r="R305" s="698"/>
      <c r="S305" s="92"/>
      <c r="T305" s="130"/>
      <c r="U305" s="1289">
        <f t="shared" si="1245"/>
        <v>4645.6580072357401</v>
      </c>
      <c r="V305" s="92"/>
      <c r="W305" s="130"/>
      <c r="X305" s="92"/>
      <c r="Y305" s="698"/>
      <c r="Z305" s="92"/>
      <c r="AA305" s="130"/>
      <c r="AB305" s="1289">
        <f t="shared" si="1245"/>
        <v>5574.4145395601317</v>
      </c>
      <c r="AC305" s="92"/>
      <c r="AD305" s="130"/>
      <c r="AE305" s="92"/>
      <c r="AF305" s="698"/>
      <c r="AG305" s="92"/>
      <c r="AH305" s="130"/>
      <c r="AI305" s="1289">
        <f t="shared" si="1245"/>
        <v>5678.6061053831063</v>
      </c>
      <c r="AJ305" s="92"/>
      <c r="AK305" s="130"/>
      <c r="AL305" s="92"/>
      <c r="AM305" s="698"/>
      <c r="AN305" s="92"/>
      <c r="AO305" s="130"/>
      <c r="AP305" s="1289">
        <f t="shared" si="1242"/>
        <v>5812.7815238320154</v>
      </c>
      <c r="AQ305" s="92"/>
      <c r="AR305" s="130"/>
      <c r="AS305" s="92"/>
      <c r="AT305" s="698"/>
      <c r="AU305" s="92"/>
      <c r="AV305" s="130"/>
      <c r="AW305" s="1289">
        <f t="shared" si="1242"/>
        <v>3003.5076008416559</v>
      </c>
      <c r="AX305" s="92"/>
      <c r="AY305" s="130"/>
      <c r="AZ305" s="92"/>
      <c r="BA305" s="698"/>
      <c r="BB305" s="92"/>
      <c r="BC305" s="130"/>
      <c r="BD305" s="1289">
        <f t="shared" si="1242"/>
        <v>2705.3030604385503</v>
      </c>
      <c r="BE305" s="92"/>
      <c r="BF305" s="130"/>
      <c r="BG305" s="92"/>
      <c r="BH305" s="698"/>
      <c r="BI305" s="92"/>
      <c r="BJ305" s="130"/>
      <c r="BK305" s="1289">
        <f t="shared" si="1242"/>
        <v>2214.1214538448662</v>
      </c>
      <c r="BL305" s="92"/>
      <c r="BM305" s="130"/>
      <c r="BN305" s="92"/>
      <c r="BO305" s="698"/>
      <c r="BP305" s="92"/>
      <c r="BQ305" s="130"/>
      <c r="BR305" s="1289">
        <f t="shared" si="1242"/>
        <v>1363.5360000000001</v>
      </c>
      <c r="BS305" s="92"/>
      <c r="BT305" s="130"/>
      <c r="BU305" s="92"/>
      <c r="BV305" s="698"/>
      <c r="BW305" s="92"/>
      <c r="BX305" s="130"/>
      <c r="BY305" s="1289">
        <f t="shared" si="1140"/>
        <v>620.44943105684024</v>
      </c>
      <c r="BZ305" s="92"/>
      <c r="CA305" s="130"/>
      <c r="CB305" s="92"/>
      <c r="CC305" s="698"/>
      <c r="CD305" s="92"/>
      <c r="CE305" s="130"/>
      <c r="CF305" s="1289">
        <f t="shared" si="1141"/>
        <v>791.51782512165187</v>
      </c>
      <c r="CG305" s="92"/>
      <c r="CH305" s="130"/>
      <c r="CI305" s="92"/>
      <c r="CJ305" s="698"/>
      <c r="CK305" s="92"/>
      <c r="CL305" s="130"/>
      <c r="CM305" s="1289">
        <f t="shared" si="1141"/>
        <v>0</v>
      </c>
      <c r="CN305" s="92">
        <f t="shared" si="1115"/>
        <v>0</v>
      </c>
      <c r="CO305" s="130">
        <f t="shared" si="1142"/>
        <v>0</v>
      </c>
      <c r="CP305" s="92">
        <f t="shared" si="1115"/>
        <v>0</v>
      </c>
      <c r="CQ305" s="698">
        <f t="shared" si="1143"/>
        <v>0</v>
      </c>
      <c r="CR305" s="92">
        <f t="shared" si="1116"/>
        <v>0</v>
      </c>
      <c r="CS305" s="130">
        <f t="shared" si="1144"/>
        <v>0</v>
      </c>
      <c r="CT305" s="1289">
        <f t="shared" si="1117"/>
        <v>0</v>
      </c>
      <c r="CU305" s="92">
        <f t="shared" si="1117"/>
        <v>0</v>
      </c>
      <c r="CV305" s="130">
        <f t="shared" si="1145"/>
        <v>0</v>
      </c>
      <c r="CW305" s="92">
        <f t="shared" ref="CW305" si="1246">CW269/CW$275</f>
        <v>0</v>
      </c>
      <c r="CX305" s="698">
        <f t="shared" si="1147"/>
        <v>0</v>
      </c>
      <c r="CY305" s="92">
        <f t="shared" si="1119"/>
        <v>0</v>
      </c>
      <c r="CZ305" s="130">
        <f t="shared" si="1148"/>
        <v>0</v>
      </c>
      <c r="DA305" s="1289">
        <f t="shared" ref="DA305:DB305" si="1247">DA269/DA$275</f>
        <v>0</v>
      </c>
      <c r="DB305" s="92">
        <f t="shared" si="1247"/>
        <v>0</v>
      </c>
      <c r="DC305" s="130">
        <f t="shared" si="1150"/>
        <v>0</v>
      </c>
      <c r="DD305" s="92">
        <f t="shared" si="1121"/>
        <v>0</v>
      </c>
      <c r="DE305" s="698">
        <f t="shared" si="1151"/>
        <v>0</v>
      </c>
      <c r="DF305" s="92">
        <f t="shared" si="1122"/>
        <v>0</v>
      </c>
      <c r="DG305" s="130">
        <f t="shared" si="1152"/>
        <v>0</v>
      </c>
      <c r="DH305" s="1289">
        <f t="shared" si="1123"/>
        <v>0</v>
      </c>
      <c r="DI305" s="92">
        <f t="shared" si="1123"/>
        <v>0</v>
      </c>
      <c r="DJ305" s="130">
        <f t="shared" si="1153"/>
        <v>0</v>
      </c>
      <c r="DK305" s="622">
        <f t="shared" si="1124"/>
        <v>0</v>
      </c>
      <c r="DL305" s="618">
        <f t="shared" si="1154"/>
        <v>0</v>
      </c>
      <c r="DM305" s="92">
        <f t="shared" si="1125"/>
        <v>0</v>
      </c>
      <c r="DN305" s="617">
        <f t="shared" si="1155"/>
        <v>0</v>
      </c>
      <c r="DO305" s="652">
        <f t="shared" si="1126"/>
        <v>0</v>
      </c>
      <c r="DP305" s="622">
        <f t="shared" si="1126"/>
        <v>0</v>
      </c>
      <c r="DQ305" s="617">
        <f t="shared" si="1156"/>
        <v>0</v>
      </c>
      <c r="DR305" s="622">
        <f t="shared" si="1127"/>
        <v>0</v>
      </c>
      <c r="DS305" s="618">
        <f t="shared" si="1157"/>
        <v>0</v>
      </c>
      <c r="DT305" s="622">
        <f t="shared" si="1128"/>
        <v>0</v>
      </c>
      <c r="DU305" s="617">
        <f t="shared" si="1158"/>
        <v>0</v>
      </c>
      <c r="DV305" s="652">
        <f t="shared" si="1129"/>
        <v>0</v>
      </c>
      <c r="DW305" s="622">
        <f t="shared" si="1129"/>
        <v>0</v>
      </c>
      <c r="DX305" s="617">
        <f t="shared" si="1159"/>
        <v>0</v>
      </c>
      <c r="DY305" s="622">
        <f t="shared" si="1130"/>
        <v>0</v>
      </c>
      <c r="DZ305" s="618">
        <f t="shared" si="1160"/>
        <v>0</v>
      </c>
      <c r="EA305" s="622">
        <f t="shared" si="1131"/>
        <v>0</v>
      </c>
      <c r="EB305" s="617">
        <f t="shared" si="1161"/>
        <v>0</v>
      </c>
      <c r="EC305" s="652">
        <f t="shared" si="1132"/>
        <v>0</v>
      </c>
      <c r="ED305" s="622">
        <f t="shared" si="1132"/>
        <v>0</v>
      </c>
      <c r="EE305" s="617">
        <f t="shared" si="1162"/>
        <v>0</v>
      </c>
      <c r="EF305" s="622">
        <f t="shared" si="1133"/>
        <v>0</v>
      </c>
      <c r="EG305" s="618">
        <f t="shared" si="1163"/>
        <v>0</v>
      </c>
      <c r="EH305" s="622">
        <f t="shared" si="1134"/>
        <v>0</v>
      </c>
      <c r="EI305" s="617">
        <f t="shared" si="1164"/>
        <v>0</v>
      </c>
      <c r="EJ305" s="652">
        <f t="shared" si="1135"/>
        <v>0</v>
      </c>
      <c r="EK305" s="622">
        <f t="shared" si="1135"/>
        <v>0</v>
      </c>
      <c r="EL305" s="617">
        <f t="shared" si="1165"/>
        <v>0</v>
      </c>
      <c r="EM305" s="622">
        <f t="shared" si="1136"/>
        <v>0</v>
      </c>
      <c r="EN305" s="618">
        <f t="shared" si="1166"/>
        <v>0</v>
      </c>
      <c r="EO305" s="622">
        <f t="shared" si="1137"/>
        <v>0</v>
      </c>
      <c r="EP305" s="617">
        <f t="shared" si="1167"/>
        <v>0</v>
      </c>
      <c r="EQ305" s="652">
        <f t="shared" si="1138"/>
        <v>0</v>
      </c>
    </row>
    <row r="306" spans="1:147" ht="10.199999999999999" customHeight="1" collapsed="1">
      <c r="A306" s="92" t="s">
        <v>748</v>
      </c>
      <c r="B306" s="92"/>
      <c r="C306" s="92">
        <f t="shared" ref="C306:AI306" si="1248">C270/C$275</f>
        <v>18091.437310840291</v>
      </c>
      <c r="D306" s="92">
        <f t="shared" si="1248"/>
        <v>17255.505456666073</v>
      </c>
      <c r="E306" s="92">
        <f t="shared" si="1248"/>
        <v>16930.104933116363</v>
      </c>
      <c r="F306" s="92">
        <f t="shared" si="1248"/>
        <v>16453.566705895664</v>
      </c>
      <c r="G306" s="92">
        <f t="shared" si="1248"/>
        <v>18631.312051203029</v>
      </c>
      <c r="H306" s="92">
        <f t="shared" si="1248"/>
        <v>20881.887864314158</v>
      </c>
      <c r="I306" s="92">
        <f t="shared" si="1248"/>
        <v>20376.927676151936</v>
      </c>
      <c r="J306" s="92">
        <f t="shared" si="1248"/>
        <v>21943.851563923683</v>
      </c>
      <c r="K306" s="92">
        <f t="shared" si="1248"/>
        <v>22765.069224376257</v>
      </c>
      <c r="L306" s="92">
        <f t="shared" si="1248"/>
        <v>27480.602472266939</v>
      </c>
      <c r="M306" s="92">
        <f t="shared" si="1248"/>
        <v>30505.576285098825</v>
      </c>
      <c r="N306" s="92">
        <f t="shared" si="1248"/>
        <v>28223.359016630711</v>
      </c>
      <c r="O306" s="92"/>
      <c r="P306" s="92"/>
      <c r="Q306" s="92"/>
      <c r="R306" s="699"/>
      <c r="S306" s="92"/>
      <c r="T306" s="92"/>
      <c r="U306" s="1289">
        <f t="shared" si="1248"/>
        <v>29194.228176310131</v>
      </c>
      <c r="V306" s="92"/>
      <c r="W306" s="92"/>
      <c r="X306" s="92"/>
      <c r="Y306" s="699"/>
      <c r="Z306" s="92"/>
      <c r="AA306" s="92"/>
      <c r="AB306" s="1289">
        <f t="shared" si="1248"/>
        <v>40586.415858957065</v>
      </c>
      <c r="AC306" s="92"/>
      <c r="AD306" s="92"/>
      <c r="AE306" s="92"/>
      <c r="AF306" s="699"/>
      <c r="AG306" s="92"/>
      <c r="AH306" s="92"/>
      <c r="AI306" s="1289">
        <f t="shared" si="1248"/>
        <v>43563.184973789859</v>
      </c>
      <c r="AJ306" s="92"/>
      <c r="AK306" s="92"/>
      <c r="AL306" s="92"/>
      <c r="AM306" s="699"/>
      <c r="AN306" s="92"/>
      <c r="AO306" s="92"/>
      <c r="AP306" s="1289">
        <f t="shared" si="1242"/>
        <v>46771.446430605203</v>
      </c>
      <c r="AQ306" s="92"/>
      <c r="AR306" s="92"/>
      <c r="AS306" s="92"/>
      <c r="AT306" s="699"/>
      <c r="AU306" s="92"/>
      <c r="AV306" s="92"/>
      <c r="AW306" s="1289">
        <f t="shared" si="1242"/>
        <v>48348.595293831357</v>
      </c>
      <c r="AX306" s="92"/>
      <c r="AY306" s="92"/>
      <c r="AZ306" s="92"/>
      <c r="BA306" s="699"/>
      <c r="BB306" s="92"/>
      <c r="BC306" s="92"/>
      <c r="BD306" s="1289">
        <f t="shared" si="1242"/>
        <v>40900.638275229634</v>
      </c>
      <c r="BE306" s="92"/>
      <c r="BF306" s="92"/>
      <c r="BG306" s="92"/>
      <c r="BH306" s="699"/>
      <c r="BI306" s="92"/>
      <c r="BJ306" s="92"/>
      <c r="BK306" s="1289">
        <f t="shared" si="1242"/>
        <v>45272.962120724616</v>
      </c>
      <c r="BL306" s="92"/>
      <c r="BM306" s="92"/>
      <c r="BN306" s="92"/>
      <c r="BO306" s="699"/>
      <c r="BP306" s="92"/>
      <c r="BQ306" s="92"/>
      <c r="BR306" s="1289">
        <f t="shared" si="1242"/>
        <v>51952.498822400012</v>
      </c>
      <c r="BS306" s="92"/>
      <c r="BT306" s="92"/>
      <c r="BU306" s="92"/>
      <c r="BV306" s="699"/>
      <c r="BW306" s="92"/>
      <c r="BX306" s="92"/>
      <c r="BY306" s="1289">
        <f t="shared" si="1140"/>
        <v>31303.614290467278</v>
      </c>
      <c r="BZ306" s="92"/>
      <c r="CA306" s="92"/>
      <c r="CB306" s="92"/>
      <c r="CC306" s="699"/>
      <c r="CD306" s="92"/>
      <c r="CE306" s="92"/>
      <c r="CF306" s="1289">
        <f t="shared" si="1141"/>
        <v>33994.159999999996</v>
      </c>
      <c r="CG306" s="92"/>
      <c r="CH306" s="92"/>
      <c r="CI306" s="92"/>
      <c r="CJ306" s="699"/>
      <c r="CK306" s="92"/>
      <c r="CL306" s="92"/>
      <c r="CM306" s="1289">
        <f t="shared" si="1141"/>
        <v>38113.760000000002</v>
      </c>
      <c r="CN306" s="92">
        <f t="shared" si="1115"/>
        <v>7136.8000000000011</v>
      </c>
      <c r="CO306" s="92">
        <f t="shared" si="1142"/>
        <v>11177.300000000008</v>
      </c>
      <c r="CP306" s="92">
        <f>CP270/CP$275</f>
        <v>10042.200000000003</v>
      </c>
      <c r="CQ306" s="699">
        <f t="shared" si="1143"/>
        <v>15108.02999999999</v>
      </c>
      <c r="CR306" s="92">
        <f t="shared" si="1116"/>
        <v>18314.100000000009</v>
      </c>
      <c r="CS306" s="92">
        <f t="shared" si="1144"/>
        <v>25150.229999999992</v>
      </c>
      <c r="CT306" s="1289">
        <f t="shared" si="1117"/>
        <v>43464.33</v>
      </c>
      <c r="CU306" s="92">
        <f t="shared" si="1117"/>
        <v>7975.2900000000009</v>
      </c>
      <c r="CV306" s="92">
        <f t="shared" si="1145"/>
        <v>10906.060000000001</v>
      </c>
      <c r="CW306" s="92">
        <f>CW270/CW$275</f>
        <v>10380.959999999999</v>
      </c>
      <c r="CX306" s="699">
        <f t="shared" si="1147"/>
        <v>16319.089999999993</v>
      </c>
      <c r="CY306" s="92">
        <f t="shared" si="1119"/>
        <v>18881.350000000002</v>
      </c>
      <c r="CZ306" s="92">
        <f t="shared" si="1148"/>
        <v>26700.049999999992</v>
      </c>
      <c r="DA306" s="1289">
        <f t="shared" ref="DA306:DB306" si="1249">DA270/DA$275</f>
        <v>45581.399999999994</v>
      </c>
      <c r="DB306" s="92">
        <f t="shared" si="1249"/>
        <v>8092.85</v>
      </c>
      <c r="DC306" s="92">
        <f t="shared" si="1150"/>
        <v>9820.090000000002</v>
      </c>
      <c r="DD306" s="92">
        <f t="shared" si="1121"/>
        <v>11490.16</v>
      </c>
      <c r="DE306" s="699">
        <f t="shared" si="1151"/>
        <v>17390.429976562718</v>
      </c>
      <c r="DF306" s="92">
        <f t="shared" si="1122"/>
        <v>17912.940000000002</v>
      </c>
      <c r="DG306" s="92">
        <f t="shared" si="1152"/>
        <v>28880.589976562718</v>
      </c>
      <c r="DH306" s="1289">
        <f t="shared" si="1123"/>
        <v>46793.529976562721</v>
      </c>
      <c r="DI306" s="92">
        <f t="shared" si="1123"/>
        <v>7001.8799889415623</v>
      </c>
      <c r="DJ306" s="92">
        <f t="shared" si="1153"/>
        <v>13771.110011058439</v>
      </c>
      <c r="DK306" s="622">
        <f t="shared" si="1124"/>
        <v>12724.805972217315</v>
      </c>
      <c r="DL306" s="623">
        <f t="shared" si="1154"/>
        <v>18592.10463517801</v>
      </c>
      <c r="DM306" s="92">
        <f>DM270/DM$275</f>
        <v>20772.990000000002</v>
      </c>
      <c r="DN306" s="622">
        <f t="shared" si="1155"/>
        <v>31316.910607395326</v>
      </c>
      <c r="DO306" s="652">
        <f t="shared" si="1126"/>
        <v>52089.900607395328</v>
      </c>
      <c r="DP306" s="622">
        <f t="shared" si="1126"/>
        <v>14418.991432993127</v>
      </c>
      <c r="DQ306" s="622">
        <f t="shared" si="1156"/>
        <v>15068.104524869519</v>
      </c>
      <c r="DR306" s="622">
        <f t="shared" si="1127"/>
        <v>15072.311526453368</v>
      </c>
      <c r="DS306" s="623">
        <f t="shared" si="1157"/>
        <v>15068.300656219237</v>
      </c>
      <c r="DT306" s="622">
        <f t="shared" si="1128"/>
        <v>29487.095957862646</v>
      </c>
      <c r="DU306" s="622">
        <f t="shared" si="1158"/>
        <v>30140.612182672605</v>
      </c>
      <c r="DV306" s="652">
        <f t="shared" si="1129"/>
        <v>59627.708140535251</v>
      </c>
      <c r="DW306" s="622">
        <f t="shared" si="1129"/>
        <v>15840.45781570908</v>
      </c>
      <c r="DX306" s="622">
        <f t="shared" si="1159"/>
        <v>16609.815098086641</v>
      </c>
      <c r="DY306" s="622">
        <f t="shared" si="1130"/>
        <v>16613.867693347282</v>
      </c>
      <c r="DZ306" s="623">
        <f t="shared" si="1160"/>
        <v>16984.706631205445</v>
      </c>
      <c r="EA306" s="622">
        <f t="shared" si="1131"/>
        <v>32450.272913795721</v>
      </c>
      <c r="EB306" s="622">
        <f t="shared" si="1161"/>
        <v>33598.574324552726</v>
      </c>
      <c r="EC306" s="652">
        <f t="shared" si="1132"/>
        <v>66048.847238348448</v>
      </c>
      <c r="ED306" s="622">
        <f t="shared" si="1132"/>
        <v>17126.558028518528</v>
      </c>
      <c r="EE306" s="622">
        <f t="shared" si="1162"/>
        <v>17122.467666313525</v>
      </c>
      <c r="EF306" s="622">
        <f t="shared" si="1133"/>
        <v>17126.313638885491</v>
      </c>
      <c r="EG306" s="623">
        <f t="shared" si="1163"/>
        <v>17506.188464177983</v>
      </c>
      <c r="EH306" s="622">
        <f t="shared" si="1134"/>
        <v>34249.025694832053</v>
      </c>
      <c r="EI306" s="622">
        <f t="shared" si="1164"/>
        <v>34632.502103063474</v>
      </c>
      <c r="EJ306" s="652">
        <f t="shared" si="1135"/>
        <v>68881.527797895527</v>
      </c>
      <c r="EK306" s="622">
        <f t="shared" si="1135"/>
        <v>17567.634474740484</v>
      </c>
      <c r="EL306" s="622">
        <f t="shared" si="1165"/>
        <v>17563.790215394063</v>
      </c>
      <c r="EM306" s="622">
        <f t="shared" si="1136"/>
        <v>17567.744902891631</v>
      </c>
      <c r="EN306" s="623">
        <f t="shared" si="1166"/>
        <v>17953.48661107487</v>
      </c>
      <c r="EO306" s="622">
        <f t="shared" si="1137"/>
        <v>35131.424690134547</v>
      </c>
      <c r="EP306" s="622">
        <f t="shared" si="1167"/>
        <v>35521.231513966501</v>
      </c>
      <c r="EQ306" s="652">
        <f t="shared" si="1138"/>
        <v>70652.656204101047</v>
      </c>
    </row>
    <row r="307" spans="1:147" ht="10.199999999999999" customHeight="1">
      <c r="A307" s="130" t="str">
        <f>A271</f>
        <v>Services</v>
      </c>
      <c r="B307" s="130"/>
      <c r="C307" s="649">
        <f t="shared" ref="C307:M307" si="1250">C271/C$275</f>
        <v>530.36744135608683</v>
      </c>
      <c r="D307" s="649">
        <f t="shared" si="1250"/>
        <v>775.46517196371769</v>
      </c>
      <c r="E307" s="649">
        <f t="shared" si="1250"/>
        <v>755.36148371028003</v>
      </c>
      <c r="F307" s="649">
        <f t="shared" si="1250"/>
        <v>736.03300803784043</v>
      </c>
      <c r="G307" s="649">
        <f t="shared" si="1250"/>
        <v>755.39216301040096</v>
      </c>
      <c r="H307" s="649">
        <f t="shared" si="1250"/>
        <v>803.73697365419412</v>
      </c>
      <c r="I307" s="649">
        <f t="shared" si="1250"/>
        <v>841.7676247649963</v>
      </c>
      <c r="J307" s="649">
        <f t="shared" si="1250"/>
        <v>870.03465451274462</v>
      </c>
      <c r="K307" s="649">
        <f t="shared" si="1250"/>
        <v>885.31205981145195</v>
      </c>
      <c r="L307" s="649">
        <f t="shared" si="1250"/>
        <v>1058.5648628082954</v>
      </c>
      <c r="M307" s="649">
        <f t="shared" si="1250"/>
        <v>1170.0398319893504</v>
      </c>
      <c r="N307" s="317">
        <f>N9</f>
        <v>1477.7200000000014</v>
      </c>
      <c r="O307" s="317"/>
      <c r="P307" s="130"/>
      <c r="Q307" s="317"/>
      <c r="R307" s="698"/>
      <c r="S307" s="317"/>
      <c r="T307" s="130"/>
      <c r="U307" s="314">
        <f>U9</f>
        <v>1974.7000000000019</v>
      </c>
      <c r="V307" s="317"/>
      <c r="W307" s="130"/>
      <c r="X307" s="317"/>
      <c r="Y307" s="698"/>
      <c r="Z307" s="317"/>
      <c r="AA307" s="130"/>
      <c r="AB307" s="314">
        <f>AB9</f>
        <v>1691.2000000000014</v>
      </c>
      <c r="AC307" s="317"/>
      <c r="AD307" s="130"/>
      <c r="AE307" s="317"/>
      <c r="AF307" s="698"/>
      <c r="AG307" s="317"/>
      <c r="AH307" s="130"/>
      <c r="AI307" s="314">
        <f>AI9</f>
        <v>2292.7000000000021</v>
      </c>
      <c r="AJ307" s="317"/>
      <c r="AK307" s="130"/>
      <c r="AL307" s="317"/>
      <c r="AM307" s="698"/>
      <c r="AN307" s="317"/>
      <c r="AO307" s="130"/>
      <c r="AP307" s="314">
        <f>AP9</f>
        <v>2461.8500000000022</v>
      </c>
      <c r="AQ307" s="317"/>
      <c r="AR307" s="130"/>
      <c r="AS307" s="317"/>
      <c r="AT307" s="698"/>
      <c r="AU307" s="317"/>
      <c r="AV307" s="130"/>
      <c r="AW307" s="314">
        <f>AW9</f>
        <v>3057.4800000000027</v>
      </c>
      <c r="AX307" s="317"/>
      <c r="AY307" s="130"/>
      <c r="AZ307" s="317"/>
      <c r="BA307" s="698"/>
      <c r="BB307" s="317"/>
      <c r="BC307" s="130"/>
      <c r="BD307" s="314">
        <f>BD9</f>
        <v>2609.1600000000021</v>
      </c>
      <c r="BE307" s="317"/>
      <c r="BF307" s="130"/>
      <c r="BG307" s="317"/>
      <c r="BH307" s="698"/>
      <c r="BI307" s="317"/>
      <c r="BJ307" s="130"/>
      <c r="BK307" s="314">
        <f>BK9</f>
        <v>2878.2000000000025</v>
      </c>
      <c r="BL307" s="317"/>
      <c r="BM307" s="130"/>
      <c r="BN307" s="317"/>
      <c r="BO307" s="698"/>
      <c r="BP307" s="317"/>
      <c r="BQ307" s="130"/>
      <c r="BR307" s="314">
        <f>BR9</f>
        <v>3286.5000000000027</v>
      </c>
      <c r="BS307" s="317"/>
      <c r="BT307" s="130"/>
      <c r="BU307" s="317"/>
      <c r="BV307" s="698"/>
      <c r="BW307" s="317"/>
      <c r="BX307" s="130"/>
      <c r="BY307" s="314">
        <f>BY9</f>
        <v>2397.4999999999982</v>
      </c>
      <c r="BZ307" s="317"/>
      <c r="CA307" s="130"/>
      <c r="CB307" s="317"/>
      <c r="CC307" s="698"/>
      <c r="CD307" s="317"/>
      <c r="CE307" s="130"/>
      <c r="CF307" s="314">
        <f>CF9</f>
        <v>2169.840000000002</v>
      </c>
      <c r="CG307" s="317"/>
      <c r="CH307" s="130"/>
      <c r="CI307" s="317"/>
      <c r="CJ307" s="698"/>
      <c r="CK307" s="317"/>
      <c r="CL307" s="130"/>
      <c r="CM307" s="314">
        <f>CM9</f>
        <v>3314.2399999999984</v>
      </c>
      <c r="CN307" s="317">
        <f>CN9</f>
        <v>973.19999999999993</v>
      </c>
      <c r="CO307" s="130">
        <f t="shared" si="1142"/>
        <v>1061.6999999999998</v>
      </c>
      <c r="CP307" s="317">
        <f>CP9</f>
        <v>1115.7999999999997</v>
      </c>
      <c r="CQ307" s="698">
        <f t="shared" si="1143"/>
        <v>1147.9699999999989</v>
      </c>
      <c r="CR307" s="317">
        <f>CR9</f>
        <v>2034.8999999999996</v>
      </c>
      <c r="CS307" s="130">
        <f t="shared" si="1144"/>
        <v>2263.7699999999986</v>
      </c>
      <c r="CT307" s="314">
        <f>CT9</f>
        <v>4298.6699999999983</v>
      </c>
      <c r="CU307" s="317">
        <f>CU9</f>
        <v>1191.71</v>
      </c>
      <c r="CV307" s="130">
        <f t="shared" si="1145"/>
        <v>1141.9399999999996</v>
      </c>
      <c r="CW307" s="317">
        <f>CW9</f>
        <v>1283.0399999999997</v>
      </c>
      <c r="CX307" s="698">
        <f t="shared" si="1147"/>
        <v>1447.9099999999992</v>
      </c>
      <c r="CY307" s="317">
        <f>CY9</f>
        <v>2333.6499999999996</v>
      </c>
      <c r="CZ307" s="130">
        <f t="shared" si="1148"/>
        <v>2730.9499999999989</v>
      </c>
      <c r="DA307" s="314">
        <f>DA9</f>
        <v>5064.5999999999985</v>
      </c>
      <c r="DB307" s="317">
        <f>DB9</f>
        <v>1428.1500000000003</v>
      </c>
      <c r="DC307" s="130">
        <f t="shared" si="1150"/>
        <v>1487.91</v>
      </c>
      <c r="DD307" s="317">
        <f>DD9</f>
        <v>1566.84</v>
      </c>
      <c r="DE307" s="698">
        <f t="shared" si="1151"/>
        <v>1300.569999999999</v>
      </c>
      <c r="DF307" s="317">
        <f>DF9</f>
        <v>2916.0600000000004</v>
      </c>
      <c r="DG307" s="130">
        <f t="shared" si="1152"/>
        <v>2867.4099999999989</v>
      </c>
      <c r="DH307" s="314">
        <f>DH9</f>
        <v>5783.4699999999993</v>
      </c>
      <c r="DI307" s="317">
        <f>DI9</f>
        <v>1434.1200000000003</v>
      </c>
      <c r="DJ307" s="130">
        <f t="shared" si="1153"/>
        <v>1669.8899999999999</v>
      </c>
      <c r="DK307" s="617">
        <f t="shared" si="1124"/>
        <v>1740.3534027251635</v>
      </c>
      <c r="DL307" s="618">
        <f t="shared" si="1154"/>
        <v>1404.4953378004993</v>
      </c>
      <c r="DM307" s="317">
        <f>DM9</f>
        <v>3104.01</v>
      </c>
      <c r="DN307" s="617">
        <f t="shared" si="1155"/>
        <v>3144.8487405256628</v>
      </c>
      <c r="DO307" s="651">
        <f t="shared" si="1126"/>
        <v>6248.8587405256631</v>
      </c>
      <c r="DP307" s="617">
        <f t="shared" si="1126"/>
        <v>1528.9120478516586</v>
      </c>
      <c r="DQ307" s="617">
        <f t="shared" si="1156"/>
        <v>1779.3885375741368</v>
      </c>
      <c r="DR307" s="617">
        <f t="shared" si="1127"/>
        <v>1818.1471013753378</v>
      </c>
      <c r="DS307" s="618">
        <f t="shared" si="1157"/>
        <v>1478.83176306058</v>
      </c>
      <c r="DT307" s="617">
        <f t="shared" si="1128"/>
        <v>3308.3005854257954</v>
      </c>
      <c r="DU307" s="617">
        <f t="shared" si="1158"/>
        <v>3296.9788644359178</v>
      </c>
      <c r="DV307" s="651">
        <f t="shared" si="1129"/>
        <v>6605.2794498617131</v>
      </c>
      <c r="DW307" s="617">
        <f t="shared" si="1129"/>
        <v>1643.0582973306443</v>
      </c>
      <c r="DX307" s="617">
        <f t="shared" si="1159"/>
        <v>1911.4940446769826</v>
      </c>
      <c r="DY307" s="617">
        <f t="shared" si="1130"/>
        <v>1953.0549599028554</v>
      </c>
      <c r="DZ307" s="618">
        <f t="shared" si="1160"/>
        <v>1589.0360023838693</v>
      </c>
      <c r="EA307" s="617">
        <f t="shared" si="1131"/>
        <v>3554.552342007627</v>
      </c>
      <c r="EB307" s="617">
        <f t="shared" si="1161"/>
        <v>3542.0909622867248</v>
      </c>
      <c r="EC307" s="651">
        <f t="shared" si="1132"/>
        <v>7096.6433042943518</v>
      </c>
      <c r="ED307" s="617">
        <f t="shared" si="1132"/>
        <v>1734.3734972623558</v>
      </c>
      <c r="EE307" s="617">
        <f t="shared" si="1162"/>
        <v>2017.0801581212743</v>
      </c>
      <c r="EF307" s="617">
        <f t="shared" si="1133"/>
        <v>2060.8742677669993</v>
      </c>
      <c r="EG307" s="618">
        <f t="shared" si="1163"/>
        <v>1676.7448239215119</v>
      </c>
      <c r="EH307" s="617">
        <f t="shared" si="1134"/>
        <v>3751.4536553836301</v>
      </c>
      <c r="EI307" s="617">
        <f t="shared" si="1164"/>
        <v>3737.6190916885112</v>
      </c>
      <c r="EJ307" s="651">
        <f t="shared" si="1135"/>
        <v>7489.0727470721413</v>
      </c>
      <c r="EK307" s="617">
        <f t="shared" si="1135"/>
        <v>1847.0839441493877</v>
      </c>
      <c r="EL307" s="617">
        <f t="shared" si="1165"/>
        <v>2148.1980760888146</v>
      </c>
      <c r="EM307" s="617">
        <f t="shared" si="1136"/>
        <v>2194.8478945354655</v>
      </c>
      <c r="EN307" s="618">
        <f t="shared" si="1166"/>
        <v>1785.746018531479</v>
      </c>
      <c r="EO307" s="617">
        <f t="shared" si="1137"/>
        <v>3995.2820202382022</v>
      </c>
      <c r="EP307" s="617">
        <f t="shared" si="1167"/>
        <v>3980.5939130669444</v>
      </c>
      <c r="EQ307" s="651">
        <f>EQ271/EQ$275</f>
        <v>7975.8759333051466</v>
      </c>
    </row>
    <row r="308" spans="1:147" ht="10.199999999999999" customHeight="1">
      <c r="A308" s="92" t="s">
        <v>749</v>
      </c>
      <c r="B308" s="92"/>
      <c r="C308" s="92">
        <f t="shared" ref="C308:BR308" si="1251">C273/C$275</f>
        <v>18621.804752196378</v>
      </c>
      <c r="D308" s="92">
        <f t="shared" si="1251"/>
        <v>18030.970628629791</v>
      </c>
      <c r="E308" s="92">
        <f t="shared" si="1251"/>
        <v>17685.466416826643</v>
      </c>
      <c r="F308" s="92">
        <f t="shared" si="1251"/>
        <v>17189.599713933501</v>
      </c>
      <c r="G308" s="92">
        <f t="shared" si="1251"/>
        <v>19386.704214213431</v>
      </c>
      <c r="H308" s="92">
        <f t="shared" si="1251"/>
        <v>21685.624837968353</v>
      </c>
      <c r="I308" s="92">
        <f t="shared" si="1251"/>
        <v>21218.695300916934</v>
      </c>
      <c r="J308" s="92">
        <f t="shared" si="1251"/>
        <v>22813.88621843643</v>
      </c>
      <c r="K308" s="92">
        <f t="shared" si="1251"/>
        <v>23650.381284187712</v>
      </c>
      <c r="L308" s="92">
        <f t="shared" si="1251"/>
        <v>28539.167335075239</v>
      </c>
      <c r="M308" s="92">
        <f t="shared" si="1251"/>
        <v>31675.616117088175</v>
      </c>
      <c r="N308" s="92">
        <f t="shared" si="1251"/>
        <v>29704.849967818165</v>
      </c>
      <c r="O308" s="92"/>
      <c r="P308" s="92"/>
      <c r="Q308" s="92"/>
      <c r="R308" s="699"/>
      <c r="S308" s="92"/>
      <c r="T308" s="92"/>
      <c r="U308" s="1289">
        <f t="shared" si="1251"/>
        <v>31172.457244555921</v>
      </c>
      <c r="V308" s="92"/>
      <c r="W308" s="92"/>
      <c r="X308" s="92"/>
      <c r="Y308" s="699"/>
      <c r="Z308" s="92"/>
      <c r="AA308" s="92"/>
      <c r="AB308" s="1289">
        <f t="shared" si="1251"/>
        <v>42280.000000000007</v>
      </c>
      <c r="AC308" s="92"/>
      <c r="AD308" s="92"/>
      <c r="AE308" s="92"/>
      <c r="AF308" s="699"/>
      <c r="AG308" s="92"/>
      <c r="AH308" s="92"/>
      <c r="AI308" s="1289">
        <f t="shared" si="1251"/>
        <v>45853.999999999978</v>
      </c>
      <c r="AJ308" s="92"/>
      <c r="AK308" s="92"/>
      <c r="AL308" s="92"/>
      <c r="AM308" s="699"/>
      <c r="AN308" s="92"/>
      <c r="AO308" s="92"/>
      <c r="AP308" s="1289">
        <f t="shared" si="1251"/>
        <v>49237</v>
      </c>
      <c r="AQ308" s="92"/>
      <c r="AR308" s="92"/>
      <c r="AS308" s="92"/>
      <c r="AT308" s="699"/>
      <c r="AU308" s="92"/>
      <c r="AV308" s="92"/>
      <c r="AW308" s="1289">
        <f t="shared" si="1251"/>
        <v>50958.000000000007</v>
      </c>
      <c r="AX308" s="92"/>
      <c r="AY308" s="92"/>
      <c r="AZ308" s="92"/>
      <c r="BA308" s="699"/>
      <c r="BB308" s="92"/>
      <c r="BC308" s="92"/>
      <c r="BD308" s="1289">
        <f t="shared" si="1251"/>
        <v>43486.000000000007</v>
      </c>
      <c r="BE308" s="92"/>
      <c r="BF308" s="92"/>
      <c r="BG308" s="92"/>
      <c r="BH308" s="699"/>
      <c r="BI308" s="92"/>
      <c r="BJ308" s="92"/>
      <c r="BK308" s="1289">
        <f t="shared" si="1251"/>
        <v>47970</v>
      </c>
      <c r="BL308" s="92"/>
      <c r="BM308" s="92"/>
      <c r="BN308" s="92"/>
      <c r="BO308" s="699"/>
      <c r="BP308" s="92"/>
      <c r="BQ308" s="92"/>
      <c r="BR308" s="1289">
        <f t="shared" si="1251"/>
        <v>54775.000000000015</v>
      </c>
      <c r="BS308" s="92"/>
      <c r="BT308" s="92"/>
      <c r="BU308" s="92"/>
      <c r="BV308" s="699"/>
      <c r="BW308" s="92"/>
      <c r="BX308" s="92"/>
      <c r="BY308" s="1289">
        <f>BY273/BY$275</f>
        <v>34250</v>
      </c>
      <c r="BZ308" s="92"/>
      <c r="CA308" s="92"/>
      <c r="CB308" s="92"/>
      <c r="CC308" s="699"/>
      <c r="CD308" s="92"/>
      <c r="CE308" s="92"/>
      <c r="CF308" s="1289">
        <f>CF273/CF$275</f>
        <v>36164</v>
      </c>
      <c r="CG308" s="92"/>
      <c r="CH308" s="92"/>
      <c r="CI308" s="92"/>
      <c r="CJ308" s="699"/>
      <c r="CK308" s="92"/>
      <c r="CL308" s="92"/>
      <c r="CM308" s="1289">
        <f>CM273/CM$275</f>
        <v>41428</v>
      </c>
      <c r="CN308" s="92">
        <f>CN273/CN$275</f>
        <v>8110.0000000000009</v>
      </c>
      <c r="CO308" s="92">
        <f>CR308-CN308</f>
        <v>12239.000000000007</v>
      </c>
      <c r="CP308" s="92">
        <f>CP273/CP$275</f>
        <v>11158.000000000002</v>
      </c>
      <c r="CQ308" s="699">
        <f t="shared" si="1143"/>
        <v>16255.999999999984</v>
      </c>
      <c r="CR308" s="92">
        <f>CR273/CR$275</f>
        <v>20349.000000000007</v>
      </c>
      <c r="CS308" s="92">
        <f t="shared" si="1144"/>
        <v>27413.999999999985</v>
      </c>
      <c r="CT308" s="1289">
        <f>CT273/CT$275</f>
        <v>47762.999999999993</v>
      </c>
      <c r="CU308" s="92">
        <f>CU273/CU$275</f>
        <v>9167.0000000000018</v>
      </c>
      <c r="CV308" s="92">
        <f>CY308-CU308</f>
        <v>12048.000000000002</v>
      </c>
      <c r="CW308" s="92">
        <f>CW273/CW$275</f>
        <v>11663.999999999998</v>
      </c>
      <c r="CX308" s="699">
        <f t="shared" si="1147"/>
        <v>17766.999999999993</v>
      </c>
      <c r="CY308" s="92">
        <f>CY273/CY$275</f>
        <v>21215.000000000004</v>
      </c>
      <c r="CZ308" s="92">
        <f t="shared" si="1148"/>
        <v>29430.999999999989</v>
      </c>
      <c r="DA308" s="1289">
        <f>DA273/DA$275</f>
        <v>50645.999999999993</v>
      </c>
      <c r="DB308" s="92">
        <f>DB273/DB$275</f>
        <v>9521.0000000000018</v>
      </c>
      <c r="DC308" s="92">
        <f>DF308-DB308</f>
        <v>11308.000000000002</v>
      </c>
      <c r="DD308" s="92">
        <f>DD273/DD$275</f>
        <v>13057</v>
      </c>
      <c r="DE308" s="699">
        <f t="shared" si="1151"/>
        <v>18690.999976562718</v>
      </c>
      <c r="DF308" s="92">
        <f>DF273/DF$275</f>
        <v>20829.000000000004</v>
      </c>
      <c r="DG308" s="92">
        <f t="shared" si="1152"/>
        <v>31747.999976562718</v>
      </c>
      <c r="DH308" s="1289">
        <f>DH273/DH$275</f>
        <v>52576.999976562722</v>
      </c>
      <c r="DI308" s="92">
        <f>DI273/DI$275</f>
        <v>8435.9999889415612</v>
      </c>
      <c r="DJ308" s="92">
        <f t="shared" si="1153"/>
        <v>15441.000011058442</v>
      </c>
      <c r="DK308" s="622">
        <f>DK273/DK$275</f>
        <v>14465.159374942479</v>
      </c>
      <c r="DL308" s="623">
        <f t="shared" si="1154"/>
        <v>19996.599972978511</v>
      </c>
      <c r="DM308" s="92">
        <f>DM273/DM$275</f>
        <v>23877.000000000004</v>
      </c>
      <c r="DN308" s="622">
        <f t="shared" si="1155"/>
        <v>34461.75934792099</v>
      </c>
      <c r="DO308" s="652">
        <f>DO273/DO$275</f>
        <v>58338.75934792099</v>
      </c>
      <c r="DP308" s="622">
        <f>DP273/DP$275</f>
        <v>15947.903480844785</v>
      </c>
      <c r="DQ308" s="622">
        <f t="shared" si="1156"/>
        <v>16847.49306244366</v>
      </c>
      <c r="DR308" s="622">
        <f>DR273/DR$275</f>
        <v>16890.458627828706</v>
      </c>
      <c r="DS308" s="623">
        <f t="shared" si="1157"/>
        <v>16547.132419279817</v>
      </c>
      <c r="DT308" s="622">
        <f>DT273/DT$275</f>
        <v>32795.396543288443</v>
      </c>
      <c r="DU308" s="622">
        <f t="shared" si="1158"/>
        <v>33437.591047108523</v>
      </c>
      <c r="DV308" s="652">
        <f>DV273/DV$275</f>
        <v>66232.987590396966</v>
      </c>
      <c r="DW308" s="622">
        <f>DW273/DW$275</f>
        <v>17483.516113039725</v>
      </c>
      <c r="DX308" s="622">
        <f t="shared" si="1159"/>
        <v>18521.309142763625</v>
      </c>
      <c r="DY308" s="622">
        <f>DY273/DY$275</f>
        <v>18566.922653250138</v>
      </c>
      <c r="DZ308" s="623">
        <f t="shared" si="1160"/>
        <v>18573.7426335893</v>
      </c>
      <c r="EA308" s="622">
        <f>EA273/EA$275</f>
        <v>36004.825255803349</v>
      </c>
      <c r="EB308" s="622">
        <f t="shared" si="1161"/>
        <v>37140.665286839438</v>
      </c>
      <c r="EC308" s="652">
        <f>EC273/EC$275</f>
        <v>73145.490542642787</v>
      </c>
      <c r="ED308" s="622">
        <f>ED273/ED$275</f>
        <v>18860.931525780885</v>
      </c>
      <c r="EE308" s="622">
        <f t="shared" si="1162"/>
        <v>19139.547824434798</v>
      </c>
      <c r="EF308" s="622">
        <f>EF273/EF$275</f>
        <v>19187.187906652489</v>
      </c>
      <c r="EG308" s="623">
        <f t="shared" si="1163"/>
        <v>19182.933288099488</v>
      </c>
      <c r="EH308" s="622">
        <f>EH273/EH$275</f>
        <v>38000.479350215683</v>
      </c>
      <c r="EI308" s="622">
        <f t="shared" si="1164"/>
        <v>38370.121194751977</v>
      </c>
      <c r="EJ308" s="652">
        <f>EJ273/EJ$275</f>
        <v>76370.60054496766</v>
      </c>
      <c r="EK308" s="622">
        <f>EK273/EK$275</f>
        <v>19414.718418889872</v>
      </c>
      <c r="EL308" s="622">
        <f t="shared" si="1165"/>
        <v>19711.988291482881</v>
      </c>
      <c r="EM308" s="622">
        <f>EM273/EM$275</f>
        <v>19762.592797427096</v>
      </c>
      <c r="EN308" s="623">
        <f t="shared" si="1166"/>
        <v>19739.23262960634</v>
      </c>
      <c r="EO308" s="622">
        <f>EO273/EO$275</f>
        <v>39126.706710372753</v>
      </c>
      <c r="EP308" s="622">
        <f t="shared" si="1167"/>
        <v>39501.825427033436</v>
      </c>
      <c r="EQ308" s="652">
        <f>EQ273/EQ$275</f>
        <v>78628.53213740619</v>
      </c>
    </row>
    <row r="309" spans="1:147" ht="10.199999999999999" customHeight="1">
      <c r="A309" s="663" t="s">
        <v>482</v>
      </c>
      <c r="B309" s="130"/>
      <c r="C309" s="663">
        <f t="shared" ref="C309:N309" si="1252">C308-C11</f>
        <v>-1927.1952478036219</v>
      </c>
      <c r="D309" s="663">
        <f t="shared" si="1252"/>
        <v>-1481.0293713702085</v>
      </c>
      <c r="E309" s="663">
        <f t="shared" si="1252"/>
        <v>-1362.5335831733573</v>
      </c>
      <c r="F309" s="663">
        <f t="shared" si="1252"/>
        <v>-3034.4002860664987</v>
      </c>
      <c r="G309" s="663">
        <f t="shared" si="1252"/>
        <v>-2792.2957857865695</v>
      </c>
      <c r="H309" s="663">
        <f t="shared" si="1252"/>
        <v>-3504.3751620316471</v>
      </c>
      <c r="I309" s="663">
        <f t="shared" si="1252"/>
        <v>-3997.3046990830662</v>
      </c>
      <c r="J309" s="663">
        <f t="shared" si="1252"/>
        <v>-3710.1137815635702</v>
      </c>
      <c r="K309" s="663">
        <f t="shared" si="1252"/>
        <v>-2719.6187158122884</v>
      </c>
      <c r="L309" s="663">
        <f t="shared" si="1252"/>
        <v>866.16733507523895</v>
      </c>
      <c r="M309" s="663">
        <f t="shared" si="1252"/>
        <v>516.61611708817509</v>
      </c>
      <c r="N309" s="663">
        <f t="shared" si="1252"/>
        <v>-7238.1500321818348</v>
      </c>
      <c r="O309" s="663"/>
      <c r="P309" s="663"/>
      <c r="Q309" s="663"/>
      <c r="R309" s="715"/>
      <c r="S309" s="663"/>
      <c r="T309" s="663"/>
      <c r="U309" s="726">
        <f>U308-U11</f>
        <v>-8321.5427554440794</v>
      </c>
      <c r="V309" s="663"/>
      <c r="W309" s="663"/>
      <c r="X309" s="663"/>
      <c r="Y309" s="715"/>
      <c r="Z309" s="663"/>
      <c r="AA309" s="663"/>
      <c r="AB309" s="726">
        <f>AB308-AB11</f>
        <v>0</v>
      </c>
      <c r="AC309" s="663"/>
      <c r="AD309" s="663"/>
      <c r="AE309" s="663"/>
      <c r="AF309" s="715"/>
      <c r="AG309" s="663"/>
      <c r="AH309" s="663"/>
      <c r="AI309" s="726">
        <f>AI308-AI11</f>
        <v>0</v>
      </c>
      <c r="AJ309" s="663"/>
      <c r="AK309" s="663"/>
      <c r="AL309" s="663"/>
      <c r="AM309" s="715"/>
      <c r="AN309" s="663"/>
      <c r="AO309" s="663"/>
      <c r="AP309" s="726">
        <f>AP308-AP11</f>
        <v>0</v>
      </c>
      <c r="AQ309" s="663"/>
      <c r="AR309" s="663"/>
      <c r="AS309" s="663"/>
      <c r="AT309" s="715"/>
      <c r="AU309" s="663"/>
      <c r="AV309" s="663"/>
      <c r="AW309" s="726">
        <f>AW308-AW11</f>
        <v>0</v>
      </c>
      <c r="AX309" s="663"/>
      <c r="AY309" s="663"/>
      <c r="AZ309" s="663"/>
      <c r="BA309" s="715"/>
      <c r="BB309" s="663"/>
      <c r="BC309" s="663"/>
      <c r="BD309" s="726">
        <f>BD308-BD11</f>
        <v>0</v>
      </c>
      <c r="BE309" s="663"/>
      <c r="BF309" s="663"/>
      <c r="BG309" s="663"/>
      <c r="BH309" s="715"/>
      <c r="BI309" s="663"/>
      <c r="BJ309" s="663"/>
      <c r="BK309" s="726">
        <f>BK308-BK11</f>
        <v>0</v>
      </c>
      <c r="BL309" s="663"/>
      <c r="BM309" s="663"/>
      <c r="BN309" s="663"/>
      <c r="BO309" s="715"/>
      <c r="BP309" s="663"/>
      <c r="BQ309" s="663"/>
      <c r="BR309" s="726">
        <f>BR308-BR11</f>
        <v>0</v>
      </c>
      <c r="BS309" s="663"/>
      <c r="BT309" s="663"/>
      <c r="BU309" s="663"/>
      <c r="BV309" s="715"/>
      <c r="BW309" s="663"/>
      <c r="BX309" s="663"/>
      <c r="BY309" s="726">
        <f>BY308-BY11</f>
        <v>0</v>
      </c>
      <c r="BZ309" s="663"/>
      <c r="CA309" s="663"/>
      <c r="CB309" s="663"/>
      <c r="CC309" s="715"/>
      <c r="CD309" s="663"/>
      <c r="CE309" s="663"/>
      <c r="CF309" s="726">
        <f>CF308-CF11</f>
        <v>0</v>
      </c>
      <c r="CG309" s="663"/>
      <c r="CH309" s="663"/>
      <c r="CI309" s="663"/>
      <c r="CJ309" s="715"/>
      <c r="CK309" s="663"/>
      <c r="CL309" s="663"/>
      <c r="CM309" s="726">
        <f t="shared" ref="CM309:DR309" si="1253">CM308-CM11</f>
        <v>0</v>
      </c>
      <c r="CN309" s="663">
        <f t="shared" si="1253"/>
        <v>0</v>
      </c>
      <c r="CO309" s="663">
        <f t="shared" si="1253"/>
        <v>0</v>
      </c>
      <c r="CP309" s="663">
        <f t="shared" si="1253"/>
        <v>0</v>
      </c>
      <c r="CQ309" s="715">
        <f t="shared" si="1253"/>
        <v>-1.4551915228366852E-11</v>
      </c>
      <c r="CR309" s="663">
        <f t="shared" si="1253"/>
        <v>0</v>
      </c>
      <c r="CS309" s="663">
        <f t="shared" si="1253"/>
        <v>0</v>
      </c>
      <c r="CT309" s="726">
        <f t="shared" si="1253"/>
        <v>0</v>
      </c>
      <c r="CU309" s="663">
        <f t="shared" si="1253"/>
        <v>0</v>
      </c>
      <c r="CV309" s="663">
        <f t="shared" si="1253"/>
        <v>0</v>
      </c>
      <c r="CW309" s="663">
        <f t="shared" si="1253"/>
        <v>0</v>
      </c>
      <c r="CX309" s="715">
        <f t="shared" si="1253"/>
        <v>0</v>
      </c>
      <c r="CY309" s="663">
        <f t="shared" si="1253"/>
        <v>0</v>
      </c>
      <c r="CZ309" s="663">
        <f t="shared" si="1253"/>
        <v>0</v>
      </c>
      <c r="DA309" s="726">
        <f t="shared" si="1253"/>
        <v>0</v>
      </c>
      <c r="DB309" s="663">
        <f t="shared" si="1253"/>
        <v>0</v>
      </c>
      <c r="DC309" s="663">
        <f t="shared" si="1253"/>
        <v>0</v>
      </c>
      <c r="DD309" s="663">
        <f t="shared" si="1253"/>
        <v>0</v>
      </c>
      <c r="DE309" s="715">
        <f t="shared" si="1253"/>
        <v>-2.3437281924998388E-5</v>
      </c>
      <c r="DF309" s="663">
        <f t="shared" si="1253"/>
        <v>0</v>
      </c>
      <c r="DG309" s="663">
        <f t="shared" si="1253"/>
        <v>-2.3437281924998388E-5</v>
      </c>
      <c r="DH309" s="726">
        <f t="shared" si="1253"/>
        <v>-2.3437278287019581E-5</v>
      </c>
      <c r="DI309" s="663">
        <f t="shared" si="1253"/>
        <v>-1.1058438758482225E-5</v>
      </c>
      <c r="DJ309" s="663">
        <f t="shared" si="1253"/>
        <v>1.1058442396461032E-5</v>
      </c>
      <c r="DK309" s="663">
        <f t="shared" si="1253"/>
        <v>0</v>
      </c>
      <c r="DL309" s="715">
        <f t="shared" si="1253"/>
        <v>0</v>
      </c>
      <c r="DM309" s="663">
        <f t="shared" si="1253"/>
        <v>0</v>
      </c>
      <c r="DN309" s="663">
        <f t="shared" si="1253"/>
        <v>0</v>
      </c>
      <c r="DO309" s="726">
        <f t="shared" si="1253"/>
        <v>0</v>
      </c>
      <c r="DP309" s="663">
        <f t="shared" si="1253"/>
        <v>0</v>
      </c>
      <c r="DQ309" s="663">
        <f t="shared" si="1253"/>
        <v>0</v>
      </c>
      <c r="DR309" s="663">
        <f t="shared" si="1253"/>
        <v>0</v>
      </c>
      <c r="DS309" s="715">
        <f t="shared" ref="DS309:EQ309" si="1254">DS308-DS11</f>
        <v>0</v>
      </c>
      <c r="DT309" s="663">
        <f t="shared" si="1254"/>
        <v>0</v>
      </c>
      <c r="DU309" s="663">
        <f t="shared" si="1254"/>
        <v>0</v>
      </c>
      <c r="DV309" s="726">
        <f t="shared" si="1254"/>
        <v>0</v>
      </c>
      <c r="DW309" s="663">
        <f t="shared" si="1254"/>
        <v>0</v>
      </c>
      <c r="DX309" s="663">
        <f t="shared" si="1254"/>
        <v>0</v>
      </c>
      <c r="DY309" s="663">
        <f t="shared" si="1254"/>
        <v>0</v>
      </c>
      <c r="DZ309" s="715">
        <f t="shared" si="1254"/>
        <v>0</v>
      </c>
      <c r="EA309" s="663">
        <f t="shared" si="1254"/>
        <v>0</v>
      </c>
      <c r="EB309" s="663">
        <f t="shared" si="1254"/>
        <v>0</v>
      </c>
      <c r="EC309" s="726">
        <f t="shared" si="1254"/>
        <v>0</v>
      </c>
      <c r="ED309" s="663">
        <f t="shared" si="1254"/>
        <v>0</v>
      </c>
      <c r="EE309" s="663">
        <f t="shared" si="1254"/>
        <v>0</v>
      </c>
      <c r="EF309" s="663">
        <f t="shared" si="1254"/>
        <v>0</v>
      </c>
      <c r="EG309" s="715">
        <f t="shared" si="1254"/>
        <v>0</v>
      </c>
      <c r="EH309" s="663">
        <f t="shared" si="1254"/>
        <v>0</v>
      </c>
      <c r="EI309" s="663">
        <f t="shared" si="1254"/>
        <v>0</v>
      </c>
      <c r="EJ309" s="726">
        <f t="shared" si="1254"/>
        <v>0</v>
      </c>
      <c r="EK309" s="663">
        <f t="shared" si="1254"/>
        <v>0</v>
      </c>
      <c r="EL309" s="663">
        <f t="shared" si="1254"/>
        <v>0</v>
      </c>
      <c r="EM309" s="663">
        <f t="shared" si="1254"/>
        <v>0</v>
      </c>
      <c r="EN309" s="715">
        <f t="shared" si="1254"/>
        <v>0</v>
      </c>
      <c r="EO309" s="663">
        <f t="shared" si="1254"/>
        <v>0</v>
      </c>
      <c r="EP309" s="663">
        <f t="shared" si="1254"/>
        <v>0</v>
      </c>
      <c r="EQ309" s="726">
        <f t="shared" si="1254"/>
        <v>0</v>
      </c>
    </row>
    <row r="310" spans="1:147" ht="10.199999999999999" customHeight="1">
      <c r="A310" s="130"/>
      <c r="B310" s="130"/>
      <c r="C310" s="605"/>
      <c r="D310" s="605"/>
      <c r="E310" s="605"/>
      <c r="F310" s="605"/>
      <c r="G310" s="605"/>
      <c r="H310" s="605"/>
      <c r="I310" s="605"/>
      <c r="J310" s="605"/>
      <c r="K310" s="605"/>
      <c r="L310" s="605"/>
      <c r="M310" s="605"/>
      <c r="N310" s="606"/>
      <c r="O310" s="617"/>
      <c r="P310" s="617"/>
      <c r="Q310" s="617"/>
      <c r="R310" s="618"/>
      <c r="S310" s="617"/>
      <c r="T310" s="617"/>
      <c r="U310" s="619"/>
      <c r="V310" s="617"/>
      <c r="W310" s="617"/>
      <c r="X310" s="617"/>
      <c r="Y310" s="618"/>
      <c r="Z310" s="617"/>
      <c r="AA310" s="617"/>
      <c r="AB310" s="619"/>
      <c r="AC310" s="617"/>
      <c r="AD310" s="617"/>
      <c r="AE310" s="617"/>
      <c r="AF310" s="618"/>
      <c r="AG310" s="617"/>
      <c r="AH310" s="617"/>
      <c r="AI310" s="619"/>
      <c r="AJ310" s="617"/>
      <c r="AK310" s="617"/>
      <c r="AL310" s="617"/>
      <c r="AM310" s="618"/>
      <c r="AN310" s="617"/>
      <c r="AO310" s="617"/>
      <c r="AP310" s="619"/>
      <c r="AQ310" s="617"/>
      <c r="AR310" s="617"/>
      <c r="AS310" s="617"/>
      <c r="AT310" s="618"/>
      <c r="AU310" s="617"/>
      <c r="AV310" s="617"/>
      <c r="AW310" s="619"/>
      <c r="AX310" s="617"/>
      <c r="AY310" s="617"/>
      <c r="AZ310" s="617"/>
      <c r="BA310" s="618"/>
      <c r="BB310" s="617"/>
      <c r="BC310" s="617"/>
      <c r="BD310" s="619"/>
      <c r="BE310" s="617"/>
      <c r="BF310" s="617"/>
      <c r="BG310" s="617"/>
      <c r="BH310" s="618"/>
      <c r="BI310" s="617"/>
      <c r="BJ310" s="617"/>
      <c r="BK310" s="619"/>
      <c r="BL310" s="617"/>
      <c r="BM310" s="617"/>
      <c r="BN310" s="617"/>
      <c r="BO310" s="618"/>
      <c r="BP310" s="617"/>
      <c r="BQ310" s="617"/>
      <c r="BR310" s="619"/>
      <c r="BS310" s="617"/>
      <c r="BT310" s="617"/>
      <c r="BU310" s="617"/>
      <c r="BV310" s="618"/>
      <c r="BW310" s="617"/>
      <c r="BX310" s="617"/>
      <c r="BY310" s="619"/>
      <c r="BZ310" s="617"/>
      <c r="CA310" s="617"/>
      <c r="CB310" s="617"/>
      <c r="CC310" s="618"/>
      <c r="CD310" s="617"/>
      <c r="CE310" s="617"/>
      <c r="CF310" s="619"/>
      <c r="CG310" s="617"/>
      <c r="CH310" s="617"/>
      <c r="CI310" s="617"/>
      <c r="CJ310" s="618"/>
      <c r="CK310" s="617"/>
      <c r="CL310" s="617"/>
      <c r="CM310" s="619"/>
      <c r="CN310" s="617"/>
      <c r="CO310" s="617"/>
      <c r="CP310" s="617"/>
      <c r="CQ310" s="618"/>
      <c r="CR310" s="617"/>
      <c r="CS310" s="617"/>
      <c r="CT310" s="619"/>
      <c r="CU310" s="617"/>
      <c r="CV310" s="617"/>
      <c r="CW310" s="617"/>
      <c r="CX310" s="618"/>
      <c r="CY310" s="617"/>
      <c r="CZ310" s="617"/>
      <c r="DA310" s="619"/>
      <c r="DB310" s="617"/>
      <c r="DC310" s="617"/>
      <c r="DD310" s="1722"/>
      <c r="DE310" s="618"/>
      <c r="DF310" s="617"/>
      <c r="DG310" s="617"/>
      <c r="DH310" s="619"/>
      <c r="DI310" s="617"/>
      <c r="DJ310" s="617"/>
      <c r="DK310" s="617"/>
      <c r="DL310" s="618"/>
      <c r="DM310" s="617"/>
      <c r="DN310" s="617"/>
      <c r="DO310" s="619"/>
      <c r="DP310" s="617"/>
      <c r="DQ310" s="617"/>
      <c r="DR310" s="617"/>
      <c r="DS310" s="618"/>
      <c r="DT310" s="617"/>
      <c r="DU310" s="617"/>
      <c r="DV310" s="619"/>
      <c r="DW310" s="617"/>
      <c r="DX310" s="617"/>
      <c r="DY310" s="617"/>
      <c r="DZ310" s="618"/>
      <c r="EA310" s="617"/>
      <c r="EB310" s="617"/>
      <c r="EC310" s="619"/>
      <c r="ED310" s="617"/>
      <c r="EE310" s="617"/>
      <c r="EF310" s="617"/>
      <c r="EG310" s="618"/>
      <c r="EH310" s="617"/>
      <c r="EI310" s="617"/>
      <c r="EJ310" s="619"/>
      <c r="EK310" s="617"/>
      <c r="EL310" s="617"/>
      <c r="EM310" s="617"/>
      <c r="EN310" s="618"/>
      <c r="EO310" s="617"/>
      <c r="EP310" s="617"/>
      <c r="EQ310" s="619"/>
    </row>
    <row r="311" spans="1:147" ht="10.199999999999999" customHeight="1">
      <c r="A311" s="130" t="s">
        <v>751</v>
      </c>
      <c r="B311" s="130"/>
      <c r="C311" s="605">
        <f t="shared" ref="C311:CF311" si="1255">C280+C286+C290</f>
        <v>11601.821024999883</v>
      </c>
      <c r="D311" s="605">
        <f t="shared" si="1255"/>
        <v>10554.540961638477</v>
      </c>
      <c r="E311" s="605">
        <f t="shared" si="1255"/>
        <v>9654.6785852054782</v>
      </c>
      <c r="F311" s="605">
        <f t="shared" si="1255"/>
        <v>8697.9930199009268</v>
      </c>
      <c r="G311" s="605">
        <f t="shared" si="1255"/>
        <v>10413.016828232432</v>
      </c>
      <c r="H311" s="605">
        <f t="shared" si="1255"/>
        <v>12302.361746522918</v>
      </c>
      <c r="I311" s="605">
        <f t="shared" si="1255"/>
        <v>13490.971642365459</v>
      </c>
      <c r="J311" s="605">
        <f t="shared" si="1255"/>
        <v>13723.534373240247</v>
      </c>
      <c r="K311" s="605">
        <f t="shared" si="1255"/>
        <v>14552.144199947996</v>
      </c>
      <c r="L311" s="605">
        <f t="shared" si="1255"/>
        <v>16036.312068542407</v>
      </c>
      <c r="M311" s="605">
        <f t="shared" si="1255"/>
        <v>17505.416744288592</v>
      </c>
      <c r="N311" s="606">
        <f t="shared" si="1255"/>
        <v>14833.430898186933</v>
      </c>
      <c r="O311" s="130"/>
      <c r="P311" s="130"/>
      <c r="Q311" s="130"/>
      <c r="R311" s="698"/>
      <c r="S311" s="130"/>
      <c r="T311" s="130"/>
      <c r="U311" s="619">
        <f t="shared" si="1255"/>
        <v>16010.612184209069</v>
      </c>
      <c r="V311" s="130"/>
      <c r="W311" s="130"/>
      <c r="X311" s="130"/>
      <c r="Y311" s="698"/>
      <c r="Z311" s="130"/>
      <c r="AA311" s="130"/>
      <c r="AB311" s="619">
        <f t="shared" si="1255"/>
        <v>22862.758154694591</v>
      </c>
      <c r="AC311" s="130"/>
      <c r="AD311" s="130"/>
      <c r="AE311" s="130"/>
      <c r="AF311" s="698"/>
      <c r="AG311" s="130"/>
      <c r="AH311" s="130"/>
      <c r="AI311" s="619">
        <f t="shared" si="1255"/>
        <v>24733.596741289719</v>
      </c>
      <c r="AJ311" s="130"/>
      <c r="AK311" s="130"/>
      <c r="AL311" s="130"/>
      <c r="AM311" s="698"/>
      <c r="AN311" s="130"/>
      <c r="AO311" s="130"/>
      <c r="AP311" s="619">
        <f t="shared" si="1255"/>
        <v>27165.370656105006</v>
      </c>
      <c r="AQ311" s="130"/>
      <c r="AR311" s="130"/>
      <c r="AS311" s="130"/>
      <c r="AT311" s="698"/>
      <c r="AU311" s="130"/>
      <c r="AV311" s="130"/>
      <c r="AW311" s="619">
        <f t="shared" si="1255"/>
        <v>28190.698511712028</v>
      </c>
      <c r="AX311" s="130"/>
      <c r="AY311" s="130"/>
      <c r="AZ311" s="130"/>
      <c r="BA311" s="698"/>
      <c r="BB311" s="130"/>
      <c r="BC311" s="130"/>
      <c r="BD311" s="619">
        <f t="shared" si="1255"/>
        <v>22898.639004110868</v>
      </c>
      <c r="BE311" s="130"/>
      <c r="BF311" s="130"/>
      <c r="BG311" s="130"/>
      <c r="BH311" s="698"/>
      <c r="BI311" s="130"/>
      <c r="BJ311" s="130"/>
      <c r="BK311" s="619">
        <f t="shared" si="1255"/>
        <v>27112.768763185388</v>
      </c>
      <c r="BL311" s="130"/>
      <c r="BM311" s="130"/>
      <c r="BN311" s="130"/>
      <c r="BO311" s="698"/>
      <c r="BP311" s="130"/>
      <c r="BQ311" s="130"/>
      <c r="BR311" s="619">
        <f t="shared" si="1255"/>
        <v>31246.345822400021</v>
      </c>
      <c r="BS311" s="130"/>
      <c r="BT311" s="130"/>
      <c r="BU311" s="130"/>
      <c r="BV311" s="698"/>
      <c r="BW311" s="130"/>
      <c r="BX311" s="130"/>
      <c r="BY311" s="619">
        <f t="shared" si="1255"/>
        <v>21270.201364895926</v>
      </c>
      <c r="BZ311" s="130"/>
      <c r="CA311" s="130"/>
      <c r="CB311" s="130"/>
      <c r="CC311" s="698"/>
      <c r="CD311" s="130"/>
      <c r="CE311" s="130"/>
      <c r="CF311" s="619">
        <f t="shared" si="1255"/>
        <v>24298.652820182317</v>
      </c>
      <c r="CG311" s="130"/>
      <c r="CH311" s="130"/>
      <c r="CI311" s="130"/>
      <c r="CJ311" s="698"/>
      <c r="CK311" s="130"/>
      <c r="CL311" s="130"/>
      <c r="CM311" s="619">
        <f>CM280+CM286+CM290</f>
        <v>26987.713106827494</v>
      </c>
      <c r="CN311" s="130">
        <f t="shared" ref="CN311:EQ311" si="1256">CN280+CN286+CN290</f>
        <v>5770.7460050030913</v>
      </c>
      <c r="CO311" s="130">
        <f t="shared" si="1256"/>
        <v>7940.0027440512777</v>
      </c>
      <c r="CP311" s="130">
        <f t="shared" ref="CP311" si="1257">CP280+CP286+CP290</f>
        <v>7131.9490238069739</v>
      </c>
      <c r="CQ311" s="698">
        <f t="shared" si="1256"/>
        <v>10220.066733758526</v>
      </c>
      <c r="CR311" s="130">
        <f t="shared" ref="CR311" si="1258">CR280+CR286+CR290</f>
        <v>13710.748749054368</v>
      </c>
      <c r="CS311" s="130">
        <f t="shared" si="1256"/>
        <v>17352.015757565499</v>
      </c>
      <c r="CT311" s="619">
        <f t="shared" si="1256"/>
        <v>31062.764506619867</v>
      </c>
      <c r="CU311" s="130">
        <f t="shared" ref="CU311:CX311" si="1259">CU280+CU286+CU290</f>
        <v>6154.5388142065285</v>
      </c>
      <c r="CV311" s="130">
        <f t="shared" si="1259"/>
        <v>8256.9402109893672</v>
      </c>
      <c r="CW311" s="130">
        <f t="shared" si="1259"/>
        <v>7461.9370405481468</v>
      </c>
      <c r="CX311" s="698">
        <f t="shared" si="1259"/>
        <v>11921.17733686748</v>
      </c>
      <c r="CY311" s="130">
        <f t="shared" si="1256"/>
        <v>14411.479025195895</v>
      </c>
      <c r="CZ311" s="130">
        <f t="shared" ref="CZ311" si="1260">CZ280+CZ286+CZ290</f>
        <v>19383.114377415626</v>
      </c>
      <c r="DA311" s="619">
        <f t="shared" ref="DA311:DC311" si="1261">DA280+DA286+DA290</f>
        <v>33794.593402611521</v>
      </c>
      <c r="DB311" s="130">
        <f t="shared" si="1261"/>
        <v>6284.4517064032061</v>
      </c>
      <c r="DC311" s="130">
        <f t="shared" si="1261"/>
        <v>7190.9091414463473</v>
      </c>
      <c r="DD311" s="130">
        <f t="shared" si="1256"/>
        <v>8810.1123922938168</v>
      </c>
      <c r="DE311" s="1907">
        <f t="shared" si="1256"/>
        <v>12091.320523505601</v>
      </c>
      <c r="DF311" s="1878">
        <f t="shared" ref="DF311" si="1262">DF280+DF286+DF290</f>
        <v>13475.360847849553</v>
      </c>
      <c r="DG311" s="1878">
        <f t="shared" si="1256"/>
        <v>20901.432915799418</v>
      </c>
      <c r="DH311" s="1946">
        <f t="shared" si="1256"/>
        <v>34376.793763648973</v>
      </c>
      <c r="DI311" s="130">
        <f t="shared" si="1256"/>
        <v>5068.0214822228963</v>
      </c>
      <c r="DJ311" s="130">
        <f t="shared" si="1256"/>
        <v>10839.07575422338</v>
      </c>
      <c r="DK311" s="617">
        <f t="shared" si="1256"/>
        <v>9056.0505628639348</v>
      </c>
      <c r="DL311" s="618">
        <f t="shared" si="1256"/>
        <v>12557.195984681746</v>
      </c>
      <c r="DM311" s="130">
        <f t="shared" si="1256"/>
        <v>15907.097236446278</v>
      </c>
      <c r="DN311" s="617">
        <f t="shared" si="1256"/>
        <v>21613.246547545681</v>
      </c>
      <c r="DO311" s="651">
        <f t="shared" si="1256"/>
        <v>37520.343783991957</v>
      </c>
      <c r="DP311" s="617">
        <f t="shared" si="1256"/>
        <v>10170.569327307603</v>
      </c>
      <c r="DQ311" s="617">
        <f t="shared" si="1256"/>
        <v>10816.496110623928</v>
      </c>
      <c r="DR311" s="617">
        <f t="shared" si="1256"/>
        <v>10820.645826183676</v>
      </c>
      <c r="DS311" s="618">
        <f t="shared" si="1256"/>
        <v>10817.742859795448</v>
      </c>
      <c r="DT311" s="617">
        <f t="shared" si="1256"/>
        <v>20987.065437931531</v>
      </c>
      <c r="DU311" s="617">
        <f t="shared" si="1256"/>
        <v>21638.388685979124</v>
      </c>
      <c r="DV311" s="651">
        <f t="shared" si="1256"/>
        <v>42625.454123910655</v>
      </c>
      <c r="DW311" s="617">
        <f t="shared" si="1256"/>
        <v>11079.179630354183</v>
      </c>
      <c r="DX311" s="617">
        <f t="shared" si="1256"/>
        <v>11846.951243500647</v>
      </c>
      <c r="DY311" s="617">
        <f t="shared" si="1256"/>
        <v>11850.983928220756</v>
      </c>
      <c r="DZ311" s="618">
        <f t="shared" si="1256"/>
        <v>12221.788234658652</v>
      </c>
      <c r="EA311" s="617">
        <f t="shared" si="1256"/>
        <v>22926.130873854829</v>
      </c>
      <c r="EB311" s="617">
        <f t="shared" si="1256"/>
        <v>24072.772162879406</v>
      </c>
      <c r="EC311" s="651">
        <f t="shared" si="1256"/>
        <v>46998.903036734235</v>
      </c>
      <c r="ED311" s="617">
        <f t="shared" si="1256"/>
        <v>11923.754878523541</v>
      </c>
      <c r="EE311" s="617">
        <f t="shared" si="1256"/>
        <v>11919.72854239516</v>
      </c>
      <c r="EF311" s="617">
        <f t="shared" si="1256"/>
        <v>11923.584730962406</v>
      </c>
      <c r="EG311" s="618">
        <f t="shared" si="1256"/>
        <v>12303.459009318551</v>
      </c>
      <c r="EH311" s="617">
        <f t="shared" si="1256"/>
        <v>23843.483420918699</v>
      </c>
      <c r="EI311" s="617">
        <f t="shared" si="1256"/>
        <v>24227.043740280955</v>
      </c>
      <c r="EJ311" s="651">
        <f t="shared" si="1256"/>
        <v>48070.527161199658</v>
      </c>
      <c r="EK311" s="617">
        <f t="shared" si="1256"/>
        <v>12108.000920983755</v>
      </c>
      <c r="EL311" s="617">
        <f t="shared" si="1256"/>
        <v>12104.127036799473</v>
      </c>
      <c r="EM311" s="617">
        <f t="shared" si="1256"/>
        <v>12108.07703049968</v>
      </c>
      <c r="EN311" s="618">
        <f t="shared" si="1256"/>
        <v>12493.820828831103</v>
      </c>
      <c r="EO311" s="617">
        <f t="shared" si="1256"/>
        <v>24212.127957783228</v>
      </c>
      <c r="EP311" s="617">
        <f t="shared" si="1256"/>
        <v>24601.897859330784</v>
      </c>
      <c r="EQ311" s="651">
        <f t="shared" si="1256"/>
        <v>48814.025817114016</v>
      </c>
    </row>
    <row r="312" spans="1:147" ht="10.199999999999999" customHeight="1">
      <c r="A312" s="130" t="s">
        <v>752</v>
      </c>
      <c r="B312" s="130"/>
      <c r="C312" s="605">
        <f t="shared" ref="C312:CF312" si="1263">C281+C293+C296+C300+C304+C305</f>
        <v>6489.6162858404077</v>
      </c>
      <c r="D312" s="605">
        <f t="shared" si="1263"/>
        <v>6700.9644950275942</v>
      </c>
      <c r="E312" s="605">
        <f t="shared" si="1263"/>
        <v>7275.426347910884</v>
      </c>
      <c r="F312" s="605">
        <f t="shared" si="1263"/>
        <v>7755.5736859947338</v>
      </c>
      <c r="G312" s="605">
        <f t="shared" si="1263"/>
        <v>8218.295222970597</v>
      </c>
      <c r="H312" s="605">
        <f t="shared" si="1263"/>
        <v>8579.5261177912416</v>
      </c>
      <c r="I312" s="605">
        <f t="shared" si="1263"/>
        <v>6885.9560337864759</v>
      </c>
      <c r="J312" s="605">
        <f t="shared" si="1263"/>
        <v>8220.3171906834395</v>
      </c>
      <c r="K312" s="605">
        <f t="shared" si="1263"/>
        <v>8212.9250244282612</v>
      </c>
      <c r="L312" s="605">
        <f t="shared" si="1263"/>
        <v>11444.290403724532</v>
      </c>
      <c r="M312" s="605">
        <f t="shared" si="1263"/>
        <v>13000.159540810233</v>
      </c>
      <c r="N312" s="606">
        <f t="shared" si="1263"/>
        <v>13389.92811844378</v>
      </c>
      <c r="O312" s="130"/>
      <c r="P312" s="130"/>
      <c r="Q312" s="130"/>
      <c r="R312" s="698"/>
      <c r="S312" s="130"/>
      <c r="T312" s="130"/>
      <c r="U312" s="619">
        <f t="shared" si="1263"/>
        <v>13183.615992101066</v>
      </c>
      <c r="V312" s="130"/>
      <c r="W312" s="130"/>
      <c r="X312" s="130"/>
      <c r="Y312" s="698"/>
      <c r="Z312" s="130"/>
      <c r="AA312" s="130"/>
      <c r="AB312" s="619">
        <f t="shared" si="1263"/>
        <v>17723.657704262478</v>
      </c>
      <c r="AC312" s="130"/>
      <c r="AD312" s="130"/>
      <c r="AE312" s="130"/>
      <c r="AF312" s="698"/>
      <c r="AG312" s="130"/>
      <c r="AH312" s="130"/>
      <c r="AI312" s="619">
        <f t="shared" si="1263"/>
        <v>18829.58823250014</v>
      </c>
      <c r="AJ312" s="130"/>
      <c r="AK312" s="130"/>
      <c r="AL312" s="130"/>
      <c r="AM312" s="698"/>
      <c r="AN312" s="130"/>
      <c r="AO312" s="130"/>
      <c r="AP312" s="619">
        <f t="shared" si="1263"/>
        <v>19606.075774500205</v>
      </c>
      <c r="AQ312" s="130"/>
      <c r="AR312" s="130"/>
      <c r="AS312" s="130"/>
      <c r="AT312" s="698"/>
      <c r="AU312" s="130"/>
      <c r="AV312" s="130"/>
      <c r="AW312" s="619">
        <f t="shared" si="1263"/>
        <v>20157.896782119318</v>
      </c>
      <c r="AX312" s="130"/>
      <c r="AY312" s="130"/>
      <c r="AZ312" s="130"/>
      <c r="BA312" s="698"/>
      <c r="BB312" s="130"/>
      <c r="BC312" s="130"/>
      <c r="BD312" s="619">
        <f t="shared" si="1263"/>
        <v>18001.999271118762</v>
      </c>
      <c r="BE312" s="130"/>
      <c r="BF312" s="130"/>
      <c r="BG312" s="130"/>
      <c r="BH312" s="698"/>
      <c r="BI312" s="130"/>
      <c r="BJ312" s="130"/>
      <c r="BK312" s="619">
        <f t="shared" si="1263"/>
        <v>18160.193357539236</v>
      </c>
      <c r="BL312" s="130"/>
      <c r="BM312" s="130"/>
      <c r="BN312" s="130"/>
      <c r="BO312" s="698"/>
      <c r="BP312" s="130"/>
      <c r="BQ312" s="130"/>
      <c r="BR312" s="619">
        <f t="shared" si="1263"/>
        <v>20706.152999999998</v>
      </c>
      <c r="BS312" s="130"/>
      <c r="BT312" s="130"/>
      <c r="BU312" s="130"/>
      <c r="BV312" s="698"/>
      <c r="BW312" s="130"/>
      <c r="BX312" s="130"/>
      <c r="BY312" s="619">
        <f t="shared" si="1263"/>
        <v>10033.412925571354</v>
      </c>
      <c r="BZ312" s="130"/>
      <c r="CA312" s="130"/>
      <c r="CB312" s="130"/>
      <c r="CC312" s="698"/>
      <c r="CD312" s="130"/>
      <c r="CE312" s="130"/>
      <c r="CF312" s="619">
        <f t="shared" si="1263"/>
        <v>9695.5071798176796</v>
      </c>
      <c r="CG312" s="130"/>
      <c r="CH312" s="130"/>
      <c r="CI312" s="130"/>
      <c r="CJ312" s="698"/>
      <c r="CK312" s="130"/>
      <c r="CL312" s="130"/>
      <c r="CM312" s="619">
        <f>CM281+CM293+CM296+CM300+CM304+CM305</f>
        <v>11126.046893172506</v>
      </c>
      <c r="CN312" s="130">
        <f t="shared" ref="CN312:EQ312" si="1264">CN281+CN293+CN296+CN300+CN304+CN305</f>
        <v>1366.0539949969095</v>
      </c>
      <c r="CO312" s="130">
        <f t="shared" si="1264"/>
        <v>3237.2972559487289</v>
      </c>
      <c r="CP312" s="130">
        <f t="shared" ref="CP312" si="1265">CP281+CP293+CP296+CP300+CP304+CP305</f>
        <v>2910.2509761930287</v>
      </c>
      <c r="CQ312" s="698">
        <f t="shared" si="1264"/>
        <v>4887.963266241466</v>
      </c>
      <c r="CR312" s="130">
        <f t="shared" ref="CR312" si="1266">CR281+CR293+CR296+CR300+CR304+CR305</f>
        <v>4603.3512509456386</v>
      </c>
      <c r="CS312" s="130">
        <f t="shared" si="1264"/>
        <v>7798.2142424344947</v>
      </c>
      <c r="CT312" s="619">
        <f t="shared" si="1264"/>
        <v>12401.565493380132</v>
      </c>
      <c r="CU312" s="130">
        <f t="shared" ref="CU312:CX312" si="1267">CU281+CU293+CU296+CU300+CU304+CU305</f>
        <v>1820.7511857934703</v>
      </c>
      <c r="CV312" s="130">
        <f t="shared" si="1267"/>
        <v>2649.1197890106364</v>
      </c>
      <c r="CW312" s="130">
        <f t="shared" si="1267"/>
        <v>2919.0229594518523</v>
      </c>
      <c r="CX312" s="698">
        <f t="shared" si="1267"/>
        <v>4397.9126631325071</v>
      </c>
      <c r="CY312" s="130">
        <f t="shared" si="1264"/>
        <v>4469.8709748041065</v>
      </c>
      <c r="CZ312" s="130">
        <f t="shared" ref="CZ312" si="1268">CZ281+CZ293+CZ296+CZ300+CZ304+CZ305</f>
        <v>7316.9356225843594</v>
      </c>
      <c r="DA312" s="619">
        <f t="shared" ref="DA312:DC312" si="1269">DA281+DA293+DA296+DA300+DA304+DA305</f>
        <v>11786.806597388466</v>
      </c>
      <c r="DB312" s="130">
        <f t="shared" si="1269"/>
        <v>1808.3982935967933</v>
      </c>
      <c r="DC312" s="130">
        <f t="shared" si="1269"/>
        <v>2629.1808585536542</v>
      </c>
      <c r="DD312" s="130">
        <f t="shared" si="1264"/>
        <v>2680.047607706183</v>
      </c>
      <c r="DE312" s="1907">
        <f t="shared" si="1264"/>
        <v>5299.1094530571108</v>
      </c>
      <c r="DF312" s="1878">
        <f t="shared" ref="DF312" si="1270">DF281+DF293+DF296+DF300+DF304+DF305</f>
        <v>4437.579152150447</v>
      </c>
      <c r="DG312" s="1878">
        <f t="shared" si="1264"/>
        <v>7979.1570607632948</v>
      </c>
      <c r="DH312" s="1946">
        <f t="shared" si="1264"/>
        <v>12416.73621291374</v>
      </c>
      <c r="DI312" s="130">
        <f t="shared" si="1264"/>
        <v>1933.8585067186659</v>
      </c>
      <c r="DJ312" s="130">
        <f t="shared" si="1264"/>
        <v>2932.0342568350538</v>
      </c>
      <c r="DK312" s="617">
        <f t="shared" si="1264"/>
        <v>3668.7554093533799</v>
      </c>
      <c r="DL312" s="618">
        <f t="shared" si="1264"/>
        <v>6034.9086504962715</v>
      </c>
      <c r="DM312" s="130">
        <f t="shared" si="1264"/>
        <v>4865.8927635537202</v>
      </c>
      <c r="DN312" s="617">
        <f t="shared" si="1264"/>
        <v>9703.6640598496524</v>
      </c>
      <c r="DO312" s="651">
        <f t="shared" si="1264"/>
        <v>14569.556823403371</v>
      </c>
      <c r="DP312" s="617">
        <f t="shared" si="1264"/>
        <v>4248.4221056855231</v>
      </c>
      <c r="DQ312" s="617">
        <f t="shared" si="1264"/>
        <v>4251.6084142455911</v>
      </c>
      <c r="DR312" s="617">
        <f t="shared" si="1264"/>
        <v>4251.6657002696938</v>
      </c>
      <c r="DS312" s="618">
        <f t="shared" si="1264"/>
        <v>4250.5577964237891</v>
      </c>
      <c r="DT312" s="617">
        <f t="shared" si="1264"/>
        <v>8500.0305199311151</v>
      </c>
      <c r="DU312" s="617">
        <f t="shared" si="1264"/>
        <v>8502.2234966934811</v>
      </c>
      <c r="DV312" s="651">
        <f t="shared" si="1264"/>
        <v>17002.254016624596</v>
      </c>
      <c r="DW312" s="617">
        <f t="shared" si="1264"/>
        <v>4761.278185354894</v>
      </c>
      <c r="DX312" s="617">
        <f t="shared" si="1264"/>
        <v>4762.8638545859958</v>
      </c>
      <c r="DY312" s="617">
        <f t="shared" si="1264"/>
        <v>4762.8837651265267</v>
      </c>
      <c r="DZ312" s="618">
        <f t="shared" si="1264"/>
        <v>4762.9183965467855</v>
      </c>
      <c r="EA312" s="617">
        <f t="shared" si="1264"/>
        <v>9524.1420399408908</v>
      </c>
      <c r="EB312" s="617">
        <f t="shared" si="1264"/>
        <v>9525.8021616733131</v>
      </c>
      <c r="EC312" s="651">
        <f t="shared" si="1264"/>
        <v>19049.944201614202</v>
      </c>
      <c r="ED312" s="617">
        <f t="shared" si="1264"/>
        <v>5202.8031499949866</v>
      </c>
      <c r="EE312" s="617">
        <f t="shared" si="1264"/>
        <v>5202.7391239183671</v>
      </c>
      <c r="EF312" s="617">
        <f t="shared" si="1264"/>
        <v>5202.7289079230832</v>
      </c>
      <c r="EG312" s="618">
        <f t="shared" si="1264"/>
        <v>5202.7294548594309</v>
      </c>
      <c r="EH312" s="617">
        <f t="shared" si="1264"/>
        <v>10405.542273913354</v>
      </c>
      <c r="EI312" s="617">
        <f t="shared" si="1264"/>
        <v>10405.458362782514</v>
      </c>
      <c r="EJ312" s="651">
        <f t="shared" si="1264"/>
        <v>20811.00063669587</v>
      </c>
      <c r="EK312" s="617">
        <f t="shared" si="1264"/>
        <v>5459.6335537567247</v>
      </c>
      <c r="EL312" s="617">
        <f t="shared" si="1264"/>
        <v>5459.6631785946001</v>
      </c>
      <c r="EM312" s="617">
        <f t="shared" si="1264"/>
        <v>5459.6678723919485</v>
      </c>
      <c r="EN312" s="618">
        <f t="shared" si="1264"/>
        <v>5459.6657822437537</v>
      </c>
      <c r="EO312" s="617">
        <f t="shared" si="1264"/>
        <v>10919.296732351326</v>
      </c>
      <c r="EP312" s="617">
        <f t="shared" si="1264"/>
        <v>10919.333654635702</v>
      </c>
      <c r="EQ312" s="651">
        <f t="shared" si="1264"/>
        <v>21838.630386987028</v>
      </c>
    </row>
    <row r="313" spans="1:147" ht="10.199999999999999" customHeight="1">
      <c r="A313" s="130" t="s">
        <v>301</v>
      </c>
      <c r="B313" s="130"/>
      <c r="C313" s="605">
        <f t="shared" ref="C313:CF313" si="1271">C307</f>
        <v>530.36744135608683</v>
      </c>
      <c r="D313" s="605">
        <f t="shared" si="1271"/>
        <v>775.46517196371769</v>
      </c>
      <c r="E313" s="605">
        <f t="shared" si="1271"/>
        <v>755.36148371028003</v>
      </c>
      <c r="F313" s="605">
        <f t="shared" si="1271"/>
        <v>736.03300803784043</v>
      </c>
      <c r="G313" s="605">
        <f t="shared" si="1271"/>
        <v>755.39216301040096</v>
      </c>
      <c r="H313" s="605">
        <f t="shared" si="1271"/>
        <v>803.73697365419412</v>
      </c>
      <c r="I313" s="605">
        <f t="shared" si="1271"/>
        <v>841.7676247649963</v>
      </c>
      <c r="J313" s="605">
        <f t="shared" si="1271"/>
        <v>870.03465451274462</v>
      </c>
      <c r="K313" s="605">
        <f t="shared" si="1271"/>
        <v>885.31205981145195</v>
      </c>
      <c r="L313" s="605">
        <f t="shared" si="1271"/>
        <v>1058.5648628082954</v>
      </c>
      <c r="M313" s="605">
        <f t="shared" si="1271"/>
        <v>1170.0398319893504</v>
      </c>
      <c r="N313" s="606">
        <f t="shared" si="1271"/>
        <v>1477.7200000000014</v>
      </c>
      <c r="O313" s="130"/>
      <c r="P313" s="130"/>
      <c r="Q313" s="130"/>
      <c r="R313" s="698"/>
      <c r="S313" s="130"/>
      <c r="T313" s="130"/>
      <c r="U313" s="619">
        <f t="shared" si="1271"/>
        <v>1974.7000000000019</v>
      </c>
      <c r="V313" s="130"/>
      <c r="W313" s="130"/>
      <c r="X313" s="130"/>
      <c r="Y313" s="698"/>
      <c r="Z313" s="130"/>
      <c r="AA313" s="130"/>
      <c r="AB313" s="619">
        <f t="shared" si="1271"/>
        <v>1691.2000000000014</v>
      </c>
      <c r="AC313" s="130"/>
      <c r="AD313" s="130"/>
      <c r="AE313" s="130"/>
      <c r="AF313" s="698"/>
      <c r="AG313" s="130"/>
      <c r="AH313" s="130"/>
      <c r="AI313" s="619">
        <f t="shared" si="1271"/>
        <v>2292.7000000000021</v>
      </c>
      <c r="AJ313" s="130"/>
      <c r="AK313" s="130"/>
      <c r="AL313" s="130"/>
      <c r="AM313" s="698"/>
      <c r="AN313" s="130"/>
      <c r="AO313" s="130"/>
      <c r="AP313" s="619">
        <f t="shared" si="1271"/>
        <v>2461.8500000000022</v>
      </c>
      <c r="AQ313" s="130"/>
      <c r="AR313" s="130"/>
      <c r="AS313" s="130"/>
      <c r="AT313" s="698"/>
      <c r="AU313" s="130"/>
      <c r="AV313" s="130"/>
      <c r="AW313" s="619">
        <f t="shared" si="1271"/>
        <v>3057.4800000000027</v>
      </c>
      <c r="AX313" s="130"/>
      <c r="AY313" s="130"/>
      <c r="AZ313" s="130"/>
      <c r="BA313" s="698"/>
      <c r="BB313" s="130"/>
      <c r="BC313" s="130"/>
      <c r="BD313" s="619">
        <f t="shared" si="1271"/>
        <v>2609.1600000000021</v>
      </c>
      <c r="BE313" s="130"/>
      <c r="BF313" s="130"/>
      <c r="BG313" s="130"/>
      <c r="BH313" s="698"/>
      <c r="BI313" s="130"/>
      <c r="BJ313" s="130"/>
      <c r="BK313" s="619">
        <f t="shared" si="1271"/>
        <v>2878.2000000000025</v>
      </c>
      <c r="BL313" s="130"/>
      <c r="BM313" s="130"/>
      <c r="BN313" s="130"/>
      <c r="BO313" s="698"/>
      <c r="BP313" s="130"/>
      <c r="BQ313" s="130"/>
      <c r="BR313" s="619">
        <f t="shared" si="1271"/>
        <v>3286.5000000000027</v>
      </c>
      <c r="BS313" s="130"/>
      <c r="BT313" s="130"/>
      <c r="BU313" s="130"/>
      <c r="BV313" s="698"/>
      <c r="BW313" s="130"/>
      <c r="BX313" s="130"/>
      <c r="BY313" s="619">
        <f t="shared" si="1271"/>
        <v>2397.4999999999982</v>
      </c>
      <c r="BZ313" s="130"/>
      <c r="CA313" s="130"/>
      <c r="CB313" s="130"/>
      <c r="CC313" s="698"/>
      <c r="CD313" s="130"/>
      <c r="CE313" s="130"/>
      <c r="CF313" s="619">
        <f t="shared" si="1271"/>
        <v>2169.840000000002</v>
      </c>
      <c r="CG313" s="130"/>
      <c r="CH313" s="130"/>
      <c r="CI313" s="130"/>
      <c r="CJ313" s="698"/>
      <c r="CK313" s="130"/>
      <c r="CL313" s="130"/>
      <c r="CM313" s="619">
        <f>CM307</f>
        <v>3314.2399999999984</v>
      </c>
      <c r="CN313" s="130">
        <f t="shared" ref="CN313:EQ313" si="1272">CN307</f>
        <v>973.19999999999993</v>
      </c>
      <c r="CO313" s="130">
        <f t="shared" si="1272"/>
        <v>1061.6999999999998</v>
      </c>
      <c r="CP313" s="130">
        <f t="shared" ref="CP313" si="1273">CP307</f>
        <v>1115.7999999999997</v>
      </c>
      <c r="CQ313" s="698">
        <f t="shared" si="1272"/>
        <v>1147.9699999999989</v>
      </c>
      <c r="CR313" s="130">
        <f t="shared" ref="CR313" si="1274">CR307</f>
        <v>2034.8999999999996</v>
      </c>
      <c r="CS313" s="130">
        <f t="shared" si="1272"/>
        <v>2263.7699999999986</v>
      </c>
      <c r="CT313" s="619">
        <f t="shared" si="1272"/>
        <v>4298.6699999999983</v>
      </c>
      <c r="CU313" s="130">
        <f t="shared" ref="CU313:CX313" si="1275">CU307</f>
        <v>1191.71</v>
      </c>
      <c r="CV313" s="130">
        <f t="shared" si="1275"/>
        <v>1141.9399999999996</v>
      </c>
      <c r="CW313" s="130">
        <f t="shared" si="1275"/>
        <v>1283.0399999999997</v>
      </c>
      <c r="CX313" s="698">
        <f t="shared" si="1275"/>
        <v>1447.9099999999992</v>
      </c>
      <c r="CY313" s="130">
        <f t="shared" si="1272"/>
        <v>2333.6499999999996</v>
      </c>
      <c r="CZ313" s="130">
        <f t="shared" ref="CZ313" si="1276">CZ307</f>
        <v>2730.9499999999989</v>
      </c>
      <c r="DA313" s="619">
        <f t="shared" ref="DA313:DC313" si="1277">DA307</f>
        <v>5064.5999999999985</v>
      </c>
      <c r="DB313" s="130">
        <f t="shared" si="1277"/>
        <v>1428.1500000000003</v>
      </c>
      <c r="DC313" s="130">
        <f t="shared" si="1277"/>
        <v>1487.91</v>
      </c>
      <c r="DD313" s="130">
        <f t="shared" si="1272"/>
        <v>1566.84</v>
      </c>
      <c r="DE313" s="1907">
        <f t="shared" si="1272"/>
        <v>1300.569999999999</v>
      </c>
      <c r="DF313" s="1878">
        <f t="shared" ref="DF313" si="1278">DF307</f>
        <v>2916.0600000000004</v>
      </c>
      <c r="DG313" s="1878">
        <f t="shared" si="1272"/>
        <v>2867.4099999999989</v>
      </c>
      <c r="DH313" s="1946">
        <f t="shared" si="1272"/>
        <v>5783.4699999999993</v>
      </c>
      <c r="DI313" s="130">
        <f t="shared" si="1272"/>
        <v>1434.1200000000003</v>
      </c>
      <c r="DJ313" s="130">
        <f t="shared" si="1272"/>
        <v>1669.8899999999999</v>
      </c>
      <c r="DK313" s="617">
        <f t="shared" si="1272"/>
        <v>1740.3534027251635</v>
      </c>
      <c r="DL313" s="618">
        <f t="shared" si="1272"/>
        <v>1404.4953378004993</v>
      </c>
      <c r="DM313" s="130">
        <f t="shared" si="1272"/>
        <v>3104.01</v>
      </c>
      <c r="DN313" s="617">
        <f t="shared" si="1272"/>
        <v>3144.8487405256628</v>
      </c>
      <c r="DO313" s="651">
        <f t="shared" si="1272"/>
        <v>6248.8587405256631</v>
      </c>
      <c r="DP313" s="617">
        <f t="shared" si="1272"/>
        <v>1528.9120478516586</v>
      </c>
      <c r="DQ313" s="617">
        <f t="shared" si="1272"/>
        <v>1779.3885375741368</v>
      </c>
      <c r="DR313" s="617">
        <f t="shared" si="1272"/>
        <v>1818.1471013753378</v>
      </c>
      <c r="DS313" s="618">
        <f t="shared" si="1272"/>
        <v>1478.83176306058</v>
      </c>
      <c r="DT313" s="617">
        <f t="shared" si="1272"/>
        <v>3308.3005854257954</v>
      </c>
      <c r="DU313" s="617">
        <f t="shared" si="1272"/>
        <v>3296.9788644359178</v>
      </c>
      <c r="DV313" s="651">
        <f t="shared" si="1272"/>
        <v>6605.2794498617131</v>
      </c>
      <c r="DW313" s="617">
        <f t="shared" si="1272"/>
        <v>1643.0582973306443</v>
      </c>
      <c r="DX313" s="617">
        <f t="shared" si="1272"/>
        <v>1911.4940446769826</v>
      </c>
      <c r="DY313" s="617">
        <f t="shared" si="1272"/>
        <v>1953.0549599028554</v>
      </c>
      <c r="DZ313" s="618">
        <f t="shared" si="1272"/>
        <v>1589.0360023838693</v>
      </c>
      <c r="EA313" s="617">
        <f t="shared" si="1272"/>
        <v>3554.552342007627</v>
      </c>
      <c r="EB313" s="617">
        <f t="shared" si="1272"/>
        <v>3542.0909622867248</v>
      </c>
      <c r="EC313" s="651">
        <f t="shared" si="1272"/>
        <v>7096.6433042943518</v>
      </c>
      <c r="ED313" s="617">
        <f t="shared" si="1272"/>
        <v>1734.3734972623558</v>
      </c>
      <c r="EE313" s="617">
        <f t="shared" si="1272"/>
        <v>2017.0801581212743</v>
      </c>
      <c r="EF313" s="617">
        <f t="shared" si="1272"/>
        <v>2060.8742677669993</v>
      </c>
      <c r="EG313" s="618">
        <f t="shared" si="1272"/>
        <v>1676.7448239215119</v>
      </c>
      <c r="EH313" s="617">
        <f t="shared" si="1272"/>
        <v>3751.4536553836301</v>
      </c>
      <c r="EI313" s="617">
        <f t="shared" si="1272"/>
        <v>3737.6190916885112</v>
      </c>
      <c r="EJ313" s="651">
        <f t="shared" si="1272"/>
        <v>7489.0727470721413</v>
      </c>
      <c r="EK313" s="617">
        <f t="shared" si="1272"/>
        <v>1847.0839441493877</v>
      </c>
      <c r="EL313" s="617">
        <f t="shared" si="1272"/>
        <v>2148.1980760888146</v>
      </c>
      <c r="EM313" s="617">
        <f t="shared" si="1272"/>
        <v>2194.8478945354655</v>
      </c>
      <c r="EN313" s="618">
        <f t="shared" si="1272"/>
        <v>1785.746018531479</v>
      </c>
      <c r="EO313" s="617">
        <f t="shared" si="1272"/>
        <v>3995.2820202382022</v>
      </c>
      <c r="EP313" s="617">
        <f t="shared" si="1272"/>
        <v>3980.5939130669444</v>
      </c>
      <c r="EQ313" s="651">
        <f t="shared" si="1272"/>
        <v>7975.8759333051466</v>
      </c>
    </row>
    <row r="314" spans="1:147" ht="10.199999999999999" customHeight="1">
      <c r="A314" s="130"/>
      <c r="B314" s="130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6"/>
      <c r="O314" s="130"/>
      <c r="P314" s="130"/>
      <c r="Q314" s="130"/>
      <c r="R314" s="698"/>
      <c r="S314" s="130"/>
      <c r="T314" s="130"/>
      <c r="U314" s="619"/>
      <c r="V314" s="130"/>
      <c r="W314" s="130"/>
      <c r="X314" s="130"/>
      <c r="Y314" s="698"/>
      <c r="Z314" s="130"/>
      <c r="AA314" s="130"/>
      <c r="AB314" s="619"/>
      <c r="AC314" s="130"/>
      <c r="AD314" s="130"/>
      <c r="AE314" s="130"/>
      <c r="AF314" s="698"/>
      <c r="AG314" s="130"/>
      <c r="AH314" s="130"/>
      <c r="AI314" s="619"/>
      <c r="AJ314" s="130"/>
      <c r="AK314" s="130"/>
      <c r="AL314" s="130"/>
      <c r="AM314" s="698"/>
      <c r="AN314" s="130"/>
      <c r="AO314" s="130"/>
      <c r="AP314" s="619"/>
      <c r="AQ314" s="130"/>
      <c r="AR314" s="130"/>
      <c r="AS314" s="130"/>
      <c r="AT314" s="698"/>
      <c r="AU314" s="130"/>
      <c r="AV314" s="130"/>
      <c r="AW314" s="619"/>
      <c r="AX314" s="130"/>
      <c r="AY314" s="130"/>
      <c r="AZ314" s="130"/>
      <c r="BA314" s="698"/>
      <c r="BB314" s="130"/>
      <c r="BC314" s="130"/>
      <c r="BD314" s="619"/>
      <c r="BE314" s="130"/>
      <c r="BF314" s="130"/>
      <c r="BG314" s="130"/>
      <c r="BH314" s="698"/>
      <c r="BI314" s="130"/>
      <c r="BJ314" s="130"/>
      <c r="BK314" s="619"/>
      <c r="BL314" s="130"/>
      <c r="BM314" s="130"/>
      <c r="BN314" s="130"/>
      <c r="BO314" s="698"/>
      <c r="BP314" s="130"/>
      <c r="BQ314" s="130"/>
      <c r="BR314" s="619"/>
      <c r="BS314" s="130"/>
      <c r="BT314" s="130"/>
      <c r="BU314" s="130"/>
      <c r="BV314" s="698"/>
      <c r="BW314" s="130"/>
      <c r="BX314" s="130"/>
      <c r="BY314" s="619"/>
      <c r="BZ314" s="130"/>
      <c r="CA314" s="130"/>
      <c r="CB314" s="130"/>
      <c r="CC314" s="698"/>
      <c r="CD314" s="130"/>
      <c r="CE314" s="130"/>
      <c r="CF314" s="619"/>
      <c r="CG314" s="130"/>
      <c r="CH314" s="130"/>
      <c r="CI314" s="130"/>
      <c r="CJ314" s="698"/>
      <c r="CK314" s="130"/>
      <c r="CL314" s="130"/>
      <c r="CM314" s="619"/>
      <c r="CN314" s="130"/>
      <c r="CO314" s="130"/>
      <c r="CP314" s="130"/>
      <c r="CQ314" s="698"/>
      <c r="CR314" s="130"/>
      <c r="CS314" s="130"/>
      <c r="CT314" s="619"/>
      <c r="CU314" s="130"/>
      <c r="CV314" s="130"/>
      <c r="CW314" s="130"/>
      <c r="CX314" s="698"/>
      <c r="CY314" s="130"/>
      <c r="CZ314" s="130"/>
      <c r="DA314" s="619"/>
      <c r="DB314" s="130"/>
      <c r="DC314" s="130"/>
      <c r="DD314" s="130"/>
      <c r="DE314" s="1907"/>
      <c r="DF314" s="1878"/>
      <c r="DG314" s="1878"/>
      <c r="DH314" s="1946"/>
      <c r="DI314" s="130"/>
      <c r="DJ314" s="130"/>
      <c r="DK314" s="617"/>
      <c r="DL314" s="618"/>
      <c r="DM314" s="130"/>
      <c r="DN314" s="617"/>
      <c r="DO314" s="619"/>
      <c r="DP314" s="617"/>
      <c r="DQ314" s="617"/>
      <c r="DR314" s="617"/>
      <c r="DS314" s="618"/>
      <c r="DT314" s="617"/>
      <c r="DU314" s="617"/>
      <c r="DV314" s="619"/>
      <c r="DW314" s="617"/>
      <c r="DX314" s="617"/>
      <c r="DY314" s="617"/>
      <c r="DZ314" s="618"/>
      <c r="EA314" s="617"/>
      <c r="EB314" s="617"/>
      <c r="EC314" s="619"/>
      <c r="ED314" s="617"/>
      <c r="EE314" s="617"/>
      <c r="EF314" s="617"/>
      <c r="EG314" s="618"/>
      <c r="EH314" s="617"/>
      <c r="EI314" s="617"/>
      <c r="EJ314" s="619"/>
      <c r="EK314" s="617"/>
      <c r="EL314" s="617"/>
      <c r="EM314" s="617"/>
      <c r="EN314" s="618"/>
      <c r="EO314" s="617"/>
      <c r="EP314" s="617"/>
      <c r="EQ314" s="619"/>
    </row>
    <row r="315" spans="1:147" ht="10.199999999999999" customHeight="1">
      <c r="A315" s="201" t="str">
        <f>A311</f>
        <v>Narrowbody</v>
      </c>
      <c r="B315" s="201"/>
      <c r="C315" s="603">
        <f t="shared" ref="C315:CF315" si="1279">C311/C308</f>
        <v>0.62302344909031915</v>
      </c>
      <c r="D315" s="603">
        <f t="shared" si="1279"/>
        <v>0.58535622840402446</v>
      </c>
      <c r="E315" s="603">
        <f t="shared" si="1279"/>
        <v>0.54591031741292617</v>
      </c>
      <c r="F315" s="603">
        <f t="shared" si="1279"/>
        <v>0.50600323245750334</v>
      </c>
      <c r="G315" s="603">
        <f t="shared" si="1279"/>
        <v>0.53712156089935559</v>
      </c>
      <c r="H315" s="603">
        <f t="shared" si="1279"/>
        <v>0.56730492381216913</v>
      </c>
      <c r="I315" s="603">
        <f t="shared" si="1279"/>
        <v>0.63580589904519091</v>
      </c>
      <c r="J315" s="603">
        <f t="shared" si="1279"/>
        <v>0.60154303575643953</v>
      </c>
      <c r="K315" s="603">
        <f t="shared" si="1279"/>
        <v>0.61530273127889656</v>
      </c>
      <c r="L315" s="603">
        <f t="shared" si="1279"/>
        <v>0.56190539409443252</v>
      </c>
      <c r="M315" s="603">
        <f t="shared" si="1279"/>
        <v>0.55264644828312814</v>
      </c>
      <c r="N315" s="604">
        <f t="shared" si="1279"/>
        <v>0.49936057291173908</v>
      </c>
      <c r="O315" s="201"/>
      <c r="P315" s="201"/>
      <c r="Q315" s="201"/>
      <c r="R315" s="716"/>
      <c r="S315" s="201"/>
      <c r="T315" s="201"/>
      <c r="U315" s="1297">
        <f t="shared" si="1279"/>
        <v>0.51361405546575012</v>
      </c>
      <c r="V315" s="201"/>
      <c r="W315" s="201"/>
      <c r="X315" s="201"/>
      <c r="Y315" s="716"/>
      <c r="Z315" s="201"/>
      <c r="AA315" s="201"/>
      <c r="AB315" s="1297">
        <f t="shared" si="1279"/>
        <v>0.54074640857839607</v>
      </c>
      <c r="AC315" s="201"/>
      <c r="AD315" s="201"/>
      <c r="AE315" s="201"/>
      <c r="AF315" s="716"/>
      <c r="AG315" s="201"/>
      <c r="AH315" s="201"/>
      <c r="AI315" s="1297">
        <f t="shared" si="1279"/>
        <v>0.53939889085553561</v>
      </c>
      <c r="AJ315" s="201"/>
      <c r="AK315" s="201"/>
      <c r="AL315" s="201"/>
      <c r="AM315" s="716"/>
      <c r="AN315" s="201"/>
      <c r="AO315" s="201"/>
      <c r="AP315" s="1297">
        <f t="shared" si="1279"/>
        <v>0.55172676353362315</v>
      </c>
      <c r="AQ315" s="201"/>
      <c r="AR315" s="201"/>
      <c r="AS315" s="201"/>
      <c r="AT315" s="716"/>
      <c r="AU315" s="201"/>
      <c r="AV315" s="201"/>
      <c r="AW315" s="1297">
        <f t="shared" si="1279"/>
        <v>0.55321438266242839</v>
      </c>
      <c r="AX315" s="201"/>
      <c r="AY315" s="201"/>
      <c r="AZ315" s="201"/>
      <c r="BA315" s="716"/>
      <c r="BB315" s="201"/>
      <c r="BC315" s="201"/>
      <c r="BD315" s="1297">
        <f t="shared" si="1279"/>
        <v>0.52657496675046833</v>
      </c>
      <c r="BE315" s="201"/>
      <c r="BF315" s="201"/>
      <c r="BG315" s="201"/>
      <c r="BH315" s="716"/>
      <c r="BI315" s="201"/>
      <c r="BJ315" s="201"/>
      <c r="BK315" s="1297">
        <f t="shared" si="1279"/>
        <v>0.56520260085856555</v>
      </c>
      <c r="BL315" s="201"/>
      <c r="BM315" s="201"/>
      <c r="BN315" s="201"/>
      <c r="BO315" s="716"/>
      <c r="BP315" s="201"/>
      <c r="BQ315" s="201"/>
      <c r="BR315" s="1297">
        <f t="shared" si="1279"/>
        <v>0.57044903372706546</v>
      </c>
      <c r="BS315" s="201"/>
      <c r="BT315" s="201"/>
      <c r="BU315" s="201"/>
      <c r="BV315" s="716"/>
      <c r="BW315" s="201"/>
      <c r="BX315" s="201"/>
      <c r="BY315" s="1297">
        <f t="shared" si="1279"/>
        <v>0.62102777707725332</v>
      </c>
      <c r="BZ315" s="201"/>
      <c r="CA315" s="201"/>
      <c r="CB315" s="201"/>
      <c r="CC315" s="716"/>
      <c r="CD315" s="201"/>
      <c r="CE315" s="201"/>
      <c r="CF315" s="1297">
        <f t="shared" si="1279"/>
        <v>0.67190169284875334</v>
      </c>
      <c r="CG315" s="201"/>
      <c r="CH315" s="201"/>
      <c r="CI315" s="201"/>
      <c r="CJ315" s="716"/>
      <c r="CK315" s="201"/>
      <c r="CL315" s="201"/>
      <c r="CM315" s="1297">
        <f>CM311/CM308</f>
        <v>0.65143654308263721</v>
      </c>
      <c r="CN315" s="201">
        <f t="shared" ref="CN315:EQ315" si="1280">CN311/CN308</f>
        <v>0.7115593101113552</v>
      </c>
      <c r="CO315" s="201">
        <f t="shared" si="1280"/>
        <v>0.64874603677189913</v>
      </c>
      <c r="CP315" s="201">
        <f t="shared" ref="CP315" si="1281">CP311/CP308</f>
        <v>0.63917808064231696</v>
      </c>
      <c r="CQ315" s="716">
        <f t="shared" si="1280"/>
        <v>0.62869505005896509</v>
      </c>
      <c r="CR315" s="201">
        <f t="shared" ref="CR315" si="1282">CR311/CR308</f>
        <v>0.67377997685657098</v>
      </c>
      <c r="CS315" s="201">
        <f t="shared" si="1280"/>
        <v>0.63296183546966911</v>
      </c>
      <c r="CT315" s="1297">
        <f t="shared" si="1280"/>
        <v>0.65035204042082517</v>
      </c>
      <c r="CU315" s="201">
        <f t="shared" ref="CU315:CX315" si="1283">CU311/CU308</f>
        <v>0.67137982046542244</v>
      </c>
      <c r="CV315" s="201">
        <f t="shared" si="1283"/>
        <v>0.68533700290416388</v>
      </c>
      <c r="CW315" s="201">
        <f t="shared" si="1283"/>
        <v>0.63974082995097292</v>
      </c>
      <c r="CX315" s="716">
        <f t="shared" si="1283"/>
        <v>0.67097300258161119</v>
      </c>
      <c r="CY315" s="201">
        <f t="shared" si="1280"/>
        <v>0.67930610535922187</v>
      </c>
      <c r="CZ315" s="201">
        <f t="shared" ref="CZ315" si="1284">CZ311/CZ308</f>
        <v>0.65859516759252601</v>
      </c>
      <c r="DA315" s="1297">
        <f t="shared" ref="DA315:DC315" si="1285">DA311/DA308</f>
        <v>0.66727073021781635</v>
      </c>
      <c r="DB315" s="201">
        <f t="shared" si="1285"/>
        <v>0.66006214750585079</v>
      </c>
      <c r="DC315" s="201">
        <f t="shared" si="1285"/>
        <v>0.63591343663303379</v>
      </c>
      <c r="DD315" s="201">
        <f t="shared" si="1280"/>
        <v>0.67474246705168239</v>
      </c>
      <c r="DE315" s="1947">
        <f t="shared" si="1280"/>
        <v>0.64690602635853189</v>
      </c>
      <c r="DF315" s="1948">
        <f t="shared" ref="DF315" si="1286">DF311/DF308</f>
        <v>0.64695188668920978</v>
      </c>
      <c r="DG315" s="1948">
        <f t="shared" si="1280"/>
        <v>0.65835431936592714</v>
      </c>
      <c r="DH315" s="1949">
        <f t="shared" si="1280"/>
        <v>0.65383711088447682</v>
      </c>
      <c r="DI315" s="201">
        <f t="shared" si="1280"/>
        <v>0.60076120067169003</v>
      </c>
      <c r="DJ315" s="201">
        <f t="shared" si="1280"/>
        <v>0.70196721368180282</v>
      </c>
      <c r="DK315" s="333">
        <f t="shared" si="1280"/>
        <v>0.62605950809995459</v>
      </c>
      <c r="DL315" s="433">
        <f t="shared" si="1280"/>
        <v>0.6279665543967643</v>
      </c>
      <c r="DM315" s="201">
        <f t="shared" si="1280"/>
        <v>0.66621004466416534</v>
      </c>
      <c r="DN315" s="333">
        <f t="shared" si="1280"/>
        <v>0.62716608079527913</v>
      </c>
      <c r="DO315" s="384">
        <f t="shared" si="1280"/>
        <v>0.64314606966918753</v>
      </c>
      <c r="DP315" s="333">
        <f t="shared" si="1280"/>
        <v>0.63773707556755621</v>
      </c>
      <c r="DQ315" s="333">
        <f t="shared" si="1280"/>
        <v>0.64202407269340278</v>
      </c>
      <c r="DR315" s="333">
        <f t="shared" si="1280"/>
        <v>0.64063659043310928</v>
      </c>
      <c r="DS315" s="433">
        <f t="shared" si="1280"/>
        <v>0.65375332629786675</v>
      </c>
      <c r="DT315" s="333">
        <f t="shared" si="1280"/>
        <v>0.63993937107086207</v>
      </c>
      <c r="DU315" s="333">
        <f t="shared" si="1280"/>
        <v>0.64712761919642769</v>
      </c>
      <c r="DV315" s="384">
        <f t="shared" si="1280"/>
        <v>0.64356834373104532</v>
      </c>
      <c r="DW315" s="333">
        <f t="shared" si="1280"/>
        <v>0.63369287726345858</v>
      </c>
      <c r="DX315" s="333">
        <f t="shared" si="1280"/>
        <v>0.63963897757893184</v>
      </c>
      <c r="DY315" s="333">
        <f t="shared" si="1280"/>
        <v>0.63828476853951033</v>
      </c>
      <c r="DZ315" s="433">
        <f t="shared" si="1280"/>
        <v>0.65801429877446527</v>
      </c>
      <c r="EA315" s="333">
        <f t="shared" si="1280"/>
        <v>0.63675162178879163</v>
      </c>
      <c r="EB315" s="333">
        <f t="shared" si="1280"/>
        <v>0.64815134508130212</v>
      </c>
      <c r="EC315" s="384">
        <f t="shared" si="1280"/>
        <v>0.64253999375852899</v>
      </c>
      <c r="ED315" s="333">
        <f t="shared" si="1280"/>
        <v>0.6321933178234086</v>
      </c>
      <c r="EE315" s="333">
        <f t="shared" si="1280"/>
        <v>0.62278004954629362</v>
      </c>
      <c r="EF315" s="333">
        <f t="shared" si="1280"/>
        <v>0.62143471930184824</v>
      </c>
      <c r="EG315" s="433">
        <f t="shared" si="1280"/>
        <v>0.64137526959712909</v>
      </c>
      <c r="EH315" s="333">
        <f t="shared" si="1280"/>
        <v>0.62745217504166484</v>
      </c>
      <c r="EI315" s="333">
        <f t="shared" si="1280"/>
        <v>0.63140388890912802</v>
      </c>
      <c r="EJ315" s="384">
        <f t="shared" si="1280"/>
        <v>0.62943759533349908</v>
      </c>
      <c r="EK315" s="333">
        <f t="shared" si="1280"/>
        <v>0.62365060670687222</v>
      </c>
      <c r="EL315" s="333">
        <f t="shared" si="1280"/>
        <v>0.61404901716735505</v>
      </c>
      <c r="EM315" s="333">
        <f t="shared" si="1280"/>
        <v>0.61267654272955718</v>
      </c>
      <c r="EN315" s="433">
        <f t="shared" si="1280"/>
        <v>0.63294359326268645</v>
      </c>
      <c r="EO315" s="333">
        <f t="shared" si="1280"/>
        <v>0.61881333731991373</v>
      </c>
      <c r="EP315" s="333">
        <f t="shared" si="1280"/>
        <v>0.62280407534012971</v>
      </c>
      <c r="EQ315" s="384">
        <f t="shared" si="1280"/>
        <v>0.62081822577852208</v>
      </c>
    </row>
    <row r="316" spans="1:147" ht="10.199999999999999" customHeight="1">
      <c r="A316" s="201" t="str">
        <f>A312</f>
        <v>Widebody</v>
      </c>
      <c r="B316" s="201"/>
      <c r="C316" s="603">
        <f t="shared" ref="C316:CF316" si="1287">C312/C308</f>
        <v>0.34849556056455699</v>
      </c>
      <c r="D316" s="603">
        <f t="shared" si="1287"/>
        <v>0.37163637127708049</v>
      </c>
      <c r="E316" s="603">
        <f t="shared" si="1287"/>
        <v>0.41137882238654216</v>
      </c>
      <c r="F316" s="603">
        <f t="shared" si="1287"/>
        <v>0.45117825982348159</v>
      </c>
      <c r="G316" s="603">
        <f t="shared" si="1287"/>
        <v>0.42391399446561551</v>
      </c>
      <c r="H316" s="603">
        <f t="shared" si="1287"/>
        <v>0.39563195351280578</v>
      </c>
      <c r="I316" s="603">
        <f t="shared" si="1287"/>
        <v>0.32452306497322247</v>
      </c>
      <c r="J316" s="603">
        <f t="shared" si="1287"/>
        <v>0.36032077621393638</v>
      </c>
      <c r="K316" s="603">
        <f t="shared" si="1287"/>
        <v>0.34726395848507097</v>
      </c>
      <c r="L316" s="603">
        <f t="shared" si="1287"/>
        <v>0.40100295391797425</v>
      </c>
      <c r="M316" s="603">
        <f t="shared" si="1287"/>
        <v>0.41041536470057749</v>
      </c>
      <c r="N316" s="604">
        <f t="shared" si="1287"/>
        <v>0.45076572118526936</v>
      </c>
      <c r="O316" s="201"/>
      <c r="P316" s="201"/>
      <c r="Q316" s="201"/>
      <c r="R316" s="716"/>
      <c r="S316" s="201"/>
      <c r="T316" s="201"/>
      <c r="U316" s="1297">
        <f t="shared" si="1287"/>
        <v>0.42292514474146897</v>
      </c>
      <c r="V316" s="201"/>
      <c r="W316" s="201"/>
      <c r="X316" s="201"/>
      <c r="Y316" s="716"/>
      <c r="Z316" s="201"/>
      <c r="AA316" s="201"/>
      <c r="AB316" s="1297">
        <f t="shared" si="1287"/>
        <v>0.41919720208757033</v>
      </c>
      <c r="AC316" s="201"/>
      <c r="AD316" s="201"/>
      <c r="AE316" s="201"/>
      <c r="AF316" s="716"/>
      <c r="AG316" s="201"/>
      <c r="AH316" s="201"/>
      <c r="AI316" s="1297">
        <f t="shared" si="1287"/>
        <v>0.41064221730928924</v>
      </c>
      <c r="AJ316" s="201"/>
      <c r="AK316" s="201"/>
      <c r="AL316" s="201"/>
      <c r="AM316" s="716"/>
      <c r="AN316" s="201"/>
      <c r="AO316" s="201"/>
      <c r="AP316" s="1297">
        <f t="shared" si="1287"/>
        <v>0.39819801723297937</v>
      </c>
      <c r="AQ316" s="201"/>
      <c r="AR316" s="201"/>
      <c r="AS316" s="201"/>
      <c r="AT316" s="716"/>
      <c r="AU316" s="201"/>
      <c r="AV316" s="201"/>
      <c r="AW316" s="1297">
        <f t="shared" si="1287"/>
        <v>0.3955786487326684</v>
      </c>
      <c r="AX316" s="201"/>
      <c r="AY316" s="201"/>
      <c r="AZ316" s="201"/>
      <c r="BA316" s="716"/>
      <c r="BB316" s="201"/>
      <c r="BC316" s="201"/>
      <c r="BD316" s="1297">
        <f t="shared" si="1287"/>
        <v>0.41397229616701375</v>
      </c>
      <c r="BE316" s="201"/>
      <c r="BF316" s="201"/>
      <c r="BG316" s="201"/>
      <c r="BH316" s="716"/>
      <c r="BI316" s="201"/>
      <c r="BJ316" s="201"/>
      <c r="BK316" s="1297">
        <f t="shared" si="1287"/>
        <v>0.37857397034686752</v>
      </c>
      <c r="BL316" s="201"/>
      <c r="BM316" s="201"/>
      <c r="BN316" s="201"/>
      <c r="BO316" s="716"/>
      <c r="BP316" s="201"/>
      <c r="BQ316" s="201"/>
      <c r="BR316" s="1297">
        <f t="shared" si="1287"/>
        <v>0.37802196257416693</v>
      </c>
      <c r="BS316" s="201"/>
      <c r="BT316" s="201"/>
      <c r="BU316" s="201"/>
      <c r="BV316" s="716"/>
      <c r="BW316" s="201"/>
      <c r="BX316" s="201"/>
      <c r="BY316" s="1297">
        <f t="shared" si="1287"/>
        <v>0.29294636279040448</v>
      </c>
      <c r="BZ316" s="201"/>
      <c r="CA316" s="201"/>
      <c r="CB316" s="201"/>
      <c r="CC316" s="716"/>
      <c r="CD316" s="201"/>
      <c r="CE316" s="201"/>
      <c r="CF316" s="1297">
        <f t="shared" si="1287"/>
        <v>0.26809830715124655</v>
      </c>
      <c r="CG316" s="201"/>
      <c r="CH316" s="201"/>
      <c r="CI316" s="201"/>
      <c r="CJ316" s="716"/>
      <c r="CK316" s="201"/>
      <c r="CL316" s="201"/>
      <c r="CM316" s="1297">
        <f>CM312/CM308</f>
        <v>0.26856345691736283</v>
      </c>
      <c r="CN316" s="201">
        <f t="shared" ref="CN316:EQ316" si="1288">CN312/CN308</f>
        <v>0.1684406898886448</v>
      </c>
      <c r="CO316" s="201">
        <f t="shared" si="1288"/>
        <v>0.26450667995332355</v>
      </c>
      <c r="CP316" s="201">
        <f t="shared" ref="CP316" si="1289">CP312/CP308</f>
        <v>0.26082191935768312</v>
      </c>
      <c r="CQ316" s="716">
        <f t="shared" si="1288"/>
        <v>0.30068671667331881</v>
      </c>
      <c r="CR316" s="201">
        <f t="shared" ref="CR316" si="1290">CR312/CR308</f>
        <v>0.22622002314342901</v>
      </c>
      <c r="CS316" s="201">
        <f t="shared" si="1288"/>
        <v>0.28446101416920183</v>
      </c>
      <c r="CT316" s="1297">
        <f t="shared" si="1288"/>
        <v>0.25964795957917497</v>
      </c>
      <c r="CU316" s="201">
        <f t="shared" ref="CU316:CX316" si="1291">CU312/CU308</f>
        <v>0.19862017953457728</v>
      </c>
      <c r="CV316" s="201">
        <f t="shared" si="1291"/>
        <v>0.21988046057525198</v>
      </c>
      <c r="CW316" s="201">
        <f t="shared" si="1291"/>
        <v>0.25025917004902715</v>
      </c>
      <c r="CX316" s="716">
        <f t="shared" si="1291"/>
        <v>0.24753265397267457</v>
      </c>
      <c r="CY316" s="201">
        <f t="shared" si="1288"/>
        <v>0.21069389464077803</v>
      </c>
      <c r="CZ316" s="201">
        <f t="shared" ref="CZ316" si="1292">CZ312/CZ308</f>
        <v>0.24861321812321574</v>
      </c>
      <c r="DA316" s="1297">
        <f t="shared" ref="DA316:DC316" si="1293">DA312/DA308</f>
        <v>0.23272926978218353</v>
      </c>
      <c r="DB316" s="201">
        <f t="shared" si="1293"/>
        <v>0.18993785249414905</v>
      </c>
      <c r="DC316" s="201">
        <f t="shared" si="1293"/>
        <v>0.23250626623219436</v>
      </c>
      <c r="DD316" s="201">
        <f t="shared" si="1288"/>
        <v>0.20525753294831761</v>
      </c>
      <c r="DE316" s="1947">
        <f t="shared" si="1288"/>
        <v>0.28351128669957976</v>
      </c>
      <c r="DF316" s="1948">
        <f t="shared" ref="DF316" si="1294">DF312/DF308</f>
        <v>0.21304811331079007</v>
      </c>
      <c r="DG316" s="1948">
        <f t="shared" si="1288"/>
        <v>0.25132786527194584</v>
      </c>
      <c r="DH316" s="1949">
        <f t="shared" si="1288"/>
        <v>0.2361628890664883</v>
      </c>
      <c r="DI316" s="201">
        <f t="shared" si="1288"/>
        <v>0.22923879910546338</v>
      </c>
      <c r="DJ316" s="201">
        <f t="shared" si="1288"/>
        <v>0.1898862932928701</v>
      </c>
      <c r="DK316" s="333">
        <f t="shared" si="1288"/>
        <v>0.25362702990391134</v>
      </c>
      <c r="DL316" s="433">
        <f t="shared" si="1288"/>
        <v>0.30179673837808774</v>
      </c>
      <c r="DM316" s="201">
        <f t="shared" si="1288"/>
        <v>0.20378995533583447</v>
      </c>
      <c r="DN316" s="333">
        <f t="shared" si="1288"/>
        <v>0.28157773263642316</v>
      </c>
      <c r="DO316" s="384">
        <f t="shared" si="1288"/>
        <v>0.24974060103872578</v>
      </c>
      <c r="DP316" s="333">
        <f t="shared" si="1288"/>
        <v>0.26639376835885376</v>
      </c>
      <c r="DQ316" s="333">
        <f t="shared" si="1288"/>
        <v>0.25235851995827518</v>
      </c>
      <c r="DR316" s="333">
        <f t="shared" si="1288"/>
        <v>0.25171996770204053</v>
      </c>
      <c r="DS316" s="433">
        <f t="shared" si="1288"/>
        <v>0.25687579507560299</v>
      </c>
      <c r="DT316" s="333">
        <f t="shared" si="1288"/>
        <v>0.25918364819011896</v>
      </c>
      <c r="DU316" s="333">
        <f t="shared" si="1288"/>
        <v>0.25427141221731941</v>
      </c>
      <c r="DV316" s="384">
        <f t="shared" si="1288"/>
        <v>0.25670371570389089</v>
      </c>
      <c r="DW316" s="333">
        <f t="shared" si="1288"/>
        <v>0.27232955628437872</v>
      </c>
      <c r="DX316" s="333">
        <f t="shared" si="1288"/>
        <v>0.25715589637176767</v>
      </c>
      <c r="DY316" s="333">
        <f t="shared" si="1288"/>
        <v>0.25652521174761206</v>
      </c>
      <c r="DZ316" s="433">
        <f t="shared" si="1288"/>
        <v>0.25643288434143502</v>
      </c>
      <c r="EA316" s="333">
        <f t="shared" si="1288"/>
        <v>0.26452404565984572</v>
      </c>
      <c r="EB316" s="333">
        <f t="shared" si="1288"/>
        <v>0.25647903956768164</v>
      </c>
      <c r="EC316" s="384">
        <f t="shared" si="1288"/>
        <v>0.26043907915975156</v>
      </c>
      <c r="ED316" s="333">
        <f t="shared" si="1288"/>
        <v>0.27585080529470712</v>
      </c>
      <c r="EE316" s="333">
        <f t="shared" si="1288"/>
        <v>0.27183187249994539</v>
      </c>
      <c r="EF316" s="333">
        <f t="shared" si="1288"/>
        <v>0.27115640568252414</v>
      </c>
      <c r="EG316" s="433">
        <f t="shared" si="1288"/>
        <v>0.27121657447909947</v>
      </c>
      <c r="EH316" s="333">
        <f t="shared" si="1288"/>
        <v>0.27382660565975975</v>
      </c>
      <c r="EI316" s="333">
        <f t="shared" si="1288"/>
        <v>0.27118648674494433</v>
      </c>
      <c r="EJ316" s="384">
        <f t="shared" si="1288"/>
        <v>0.27250015697391533</v>
      </c>
      <c r="EK316" s="333">
        <f t="shared" si="1288"/>
        <v>0.28121106039038318</v>
      </c>
      <c r="EL316" s="333">
        <f t="shared" si="1288"/>
        <v>0.27697171375419299</v>
      </c>
      <c r="EM316" s="333">
        <f t="shared" si="1288"/>
        <v>0.27626273173542015</v>
      </c>
      <c r="EN316" s="433">
        <f t="shared" si="1288"/>
        <v>0.27658956579978439</v>
      </c>
      <c r="EO316" s="333">
        <f t="shared" si="1288"/>
        <v>0.27907528259863862</v>
      </c>
      <c r="EP316" s="333">
        <f t="shared" si="1288"/>
        <v>0.27642605212778232</v>
      </c>
      <c r="EQ316" s="384">
        <f t="shared" si="1288"/>
        <v>0.27774434792733044</v>
      </c>
    </row>
    <row r="317" spans="1:147" ht="10.199999999999999" customHeight="1">
      <c r="A317" s="201" t="str">
        <f>A313</f>
        <v>Services</v>
      </c>
      <c r="B317" s="201"/>
      <c r="C317" s="603">
        <f t="shared" ref="C317:CF317" si="1295">C313/C308</f>
        <v>2.8480990345123868E-2</v>
      </c>
      <c r="D317" s="603">
        <f t="shared" si="1295"/>
        <v>4.3007400318894912E-2</v>
      </c>
      <c r="E317" s="603">
        <f t="shared" si="1295"/>
        <v>4.2710860200531643E-2</v>
      </c>
      <c r="F317" s="603">
        <f t="shared" si="1295"/>
        <v>4.2818507719015048E-2</v>
      </c>
      <c r="G317" s="603">
        <f t="shared" si="1295"/>
        <v>3.8964444635028912E-2</v>
      </c>
      <c r="H317" s="603">
        <f t="shared" si="1295"/>
        <v>3.7063122675025179E-2</v>
      </c>
      <c r="I317" s="603">
        <f t="shared" si="1295"/>
        <v>3.9671035981586514E-2</v>
      </c>
      <c r="J317" s="603">
        <f t="shared" si="1295"/>
        <v>3.8136188029624235E-2</v>
      </c>
      <c r="K317" s="603">
        <f t="shared" si="1295"/>
        <v>3.7433310236032358E-2</v>
      </c>
      <c r="L317" s="603">
        <f t="shared" si="1295"/>
        <v>3.7091651987593094E-2</v>
      </c>
      <c r="M317" s="603">
        <f t="shared" si="1295"/>
        <v>3.6938187016294345E-2</v>
      </c>
      <c r="N317" s="604">
        <f t="shared" si="1295"/>
        <v>4.9746758579859628E-2</v>
      </c>
      <c r="O317" s="201"/>
      <c r="P317" s="201"/>
      <c r="Q317" s="201"/>
      <c r="R317" s="716"/>
      <c r="S317" s="201"/>
      <c r="T317" s="201"/>
      <c r="U317" s="1297">
        <f t="shared" si="1295"/>
        <v>6.334758869048962E-2</v>
      </c>
      <c r="V317" s="201"/>
      <c r="W317" s="201"/>
      <c r="X317" s="201"/>
      <c r="Y317" s="716"/>
      <c r="Z317" s="201"/>
      <c r="AA317" s="201"/>
      <c r="AB317" s="1297">
        <f t="shared" si="1295"/>
        <v>4.0000000000000029E-2</v>
      </c>
      <c r="AC317" s="201"/>
      <c r="AD317" s="201"/>
      <c r="AE317" s="201"/>
      <c r="AF317" s="716"/>
      <c r="AG317" s="201"/>
      <c r="AH317" s="201"/>
      <c r="AI317" s="1297">
        <f t="shared" si="1295"/>
        <v>5.0000000000000072E-2</v>
      </c>
      <c r="AJ317" s="201"/>
      <c r="AK317" s="201"/>
      <c r="AL317" s="201"/>
      <c r="AM317" s="716"/>
      <c r="AN317" s="201"/>
      <c r="AO317" s="201"/>
      <c r="AP317" s="1297">
        <f t="shared" si="1295"/>
        <v>5.0000000000000044E-2</v>
      </c>
      <c r="AQ317" s="201"/>
      <c r="AR317" s="201"/>
      <c r="AS317" s="201"/>
      <c r="AT317" s="716"/>
      <c r="AU317" s="201"/>
      <c r="AV317" s="201"/>
      <c r="AW317" s="1297">
        <f t="shared" si="1295"/>
        <v>6.0000000000000046E-2</v>
      </c>
      <c r="AX317" s="201"/>
      <c r="AY317" s="201"/>
      <c r="AZ317" s="201"/>
      <c r="BA317" s="716"/>
      <c r="BB317" s="201"/>
      <c r="BC317" s="201"/>
      <c r="BD317" s="1297">
        <f t="shared" si="1295"/>
        <v>6.0000000000000039E-2</v>
      </c>
      <c r="BE317" s="201"/>
      <c r="BF317" s="201"/>
      <c r="BG317" s="201"/>
      <c r="BH317" s="716"/>
      <c r="BI317" s="201"/>
      <c r="BJ317" s="201"/>
      <c r="BK317" s="1297">
        <f t="shared" si="1295"/>
        <v>6.0000000000000053E-2</v>
      </c>
      <c r="BL317" s="201"/>
      <c r="BM317" s="201"/>
      <c r="BN317" s="201"/>
      <c r="BO317" s="716"/>
      <c r="BP317" s="201"/>
      <c r="BQ317" s="201"/>
      <c r="BR317" s="1297">
        <f t="shared" si="1295"/>
        <v>6.0000000000000032E-2</v>
      </c>
      <c r="BS317" s="201"/>
      <c r="BT317" s="201"/>
      <c r="BU317" s="201"/>
      <c r="BV317" s="716"/>
      <c r="BW317" s="201"/>
      <c r="BX317" s="201"/>
      <c r="BY317" s="1297">
        <f t="shared" si="1295"/>
        <v>6.9999999999999951E-2</v>
      </c>
      <c r="BZ317" s="201"/>
      <c r="CA317" s="201"/>
      <c r="CB317" s="201"/>
      <c r="CC317" s="716"/>
      <c r="CD317" s="201"/>
      <c r="CE317" s="201"/>
      <c r="CF317" s="1297">
        <f t="shared" si="1295"/>
        <v>6.0000000000000053E-2</v>
      </c>
      <c r="CG317" s="201"/>
      <c r="CH317" s="201"/>
      <c r="CI317" s="201"/>
      <c r="CJ317" s="716"/>
      <c r="CK317" s="201"/>
      <c r="CL317" s="201"/>
      <c r="CM317" s="1297">
        <f>CM313/CM308</f>
        <v>7.999999999999996E-2</v>
      </c>
      <c r="CN317" s="201">
        <f t="shared" ref="CN317:EQ317" si="1296">CN313/CN308</f>
        <v>0.11999999999999998</v>
      </c>
      <c r="CO317" s="201">
        <f t="shared" si="1296"/>
        <v>8.6747283274777279E-2</v>
      </c>
      <c r="CP317" s="201">
        <f t="shared" ref="CP317" si="1297">CP313/CP308</f>
        <v>9.9999999999999964E-2</v>
      </c>
      <c r="CQ317" s="716">
        <f t="shared" si="1296"/>
        <v>7.0618233267716532E-2</v>
      </c>
      <c r="CR317" s="201">
        <f t="shared" ref="CR317" si="1298">CR313/CR308</f>
        <v>9.999999999999995E-2</v>
      </c>
      <c r="CS317" s="201">
        <f t="shared" si="1296"/>
        <v>8.2577150361129337E-2</v>
      </c>
      <c r="CT317" s="1297">
        <f t="shared" si="1296"/>
        <v>8.9999999999999983E-2</v>
      </c>
      <c r="CU317" s="201">
        <f t="shared" ref="CU317:CX317" si="1299">CU313/CU308</f>
        <v>0.12999999999999998</v>
      </c>
      <c r="CV317" s="201">
        <f t="shared" si="1299"/>
        <v>9.4782536520584285E-2</v>
      </c>
      <c r="CW317" s="201">
        <f t="shared" si="1299"/>
        <v>0.11</v>
      </c>
      <c r="CX317" s="716">
        <f t="shared" si="1299"/>
        <v>8.1494343445713949E-2</v>
      </c>
      <c r="CY317" s="201">
        <f t="shared" si="1296"/>
        <v>0.10999999999999996</v>
      </c>
      <c r="CZ317" s="201">
        <f t="shared" ref="CZ317" si="1300">CZ313/CZ308</f>
        <v>9.2791614284258098E-2</v>
      </c>
      <c r="DA317" s="1297">
        <f t="shared" ref="DA317:DC317" si="1301">DA313/DA308</f>
        <v>9.9999999999999992E-2</v>
      </c>
      <c r="DB317" s="201">
        <f t="shared" si="1301"/>
        <v>0.15</v>
      </c>
      <c r="DC317" s="201">
        <f t="shared" si="1301"/>
        <v>0.13158029713477182</v>
      </c>
      <c r="DD317" s="201">
        <f t="shared" si="1296"/>
        <v>0.12</v>
      </c>
      <c r="DE317" s="1947">
        <f t="shared" si="1296"/>
        <v>6.9582686941887975E-2</v>
      </c>
      <c r="DF317" s="1948">
        <f t="shared" ref="DF317" si="1302">DF313/DF308</f>
        <v>0.13999999999999999</v>
      </c>
      <c r="DG317" s="1948">
        <f t="shared" si="1296"/>
        <v>9.0317815362126838E-2</v>
      </c>
      <c r="DH317" s="1949">
        <f t="shared" si="1296"/>
        <v>0.11000000004903475</v>
      </c>
      <c r="DI317" s="201">
        <f t="shared" si="1296"/>
        <v>0.17000000022284673</v>
      </c>
      <c r="DJ317" s="201">
        <f t="shared" si="1296"/>
        <v>0.1081464930253266</v>
      </c>
      <c r="DK317" s="333">
        <f t="shared" si="1296"/>
        <v>0.12031346199613401</v>
      </c>
      <c r="DL317" s="433">
        <f t="shared" si="1296"/>
        <v>7.0236707225148257E-2</v>
      </c>
      <c r="DM317" s="201">
        <f t="shared" si="1296"/>
        <v>0.12999999999999998</v>
      </c>
      <c r="DN317" s="333">
        <f t="shared" si="1296"/>
        <v>9.1256186568297926E-2</v>
      </c>
      <c r="DO317" s="384">
        <f t="shared" si="1296"/>
        <v>0.10711332929208671</v>
      </c>
      <c r="DP317" s="333">
        <f t="shared" si="1296"/>
        <v>9.5869156073590048E-2</v>
      </c>
      <c r="DQ317" s="333">
        <f t="shared" si="1296"/>
        <v>0.10561740734832176</v>
      </c>
      <c r="DR317" s="333">
        <f t="shared" si="1296"/>
        <v>0.10764344186485025</v>
      </c>
      <c r="DS317" s="433">
        <f t="shared" si="1296"/>
        <v>8.9370878626530231E-2</v>
      </c>
      <c r="DT317" s="333">
        <f t="shared" si="1296"/>
        <v>0.10087698073901891</v>
      </c>
      <c r="DU317" s="333">
        <f t="shared" si="1296"/>
        <v>9.8600968586252877E-2</v>
      </c>
      <c r="DV317" s="384">
        <f t="shared" si="1296"/>
        <v>9.9727940565063747E-2</v>
      </c>
      <c r="DW317" s="333">
        <f t="shared" si="1296"/>
        <v>9.3977566452162486E-2</v>
      </c>
      <c r="DX317" s="333">
        <f t="shared" si="1296"/>
        <v>0.10320512604930056</v>
      </c>
      <c r="DY317" s="333">
        <f t="shared" si="1296"/>
        <v>0.10519001971287759</v>
      </c>
      <c r="DZ317" s="433">
        <f t="shared" si="1296"/>
        <v>8.5552816884100144E-2</v>
      </c>
      <c r="EA317" s="333">
        <f t="shared" si="1296"/>
        <v>9.8724332551362551E-2</v>
      </c>
      <c r="EB317" s="333">
        <f t="shared" si="1296"/>
        <v>9.5369615351016415E-2</v>
      </c>
      <c r="EC317" s="384">
        <f t="shared" si="1296"/>
        <v>9.7020927081719541E-2</v>
      </c>
      <c r="ED317" s="333">
        <f t="shared" si="1296"/>
        <v>9.1955876881884224E-2</v>
      </c>
      <c r="EE317" s="333">
        <f t="shared" si="1296"/>
        <v>0.10538807795376116</v>
      </c>
      <c r="EF317" s="333">
        <f t="shared" si="1296"/>
        <v>0.10740887501562764</v>
      </c>
      <c r="EG317" s="433">
        <f t="shared" si="1296"/>
        <v>8.7408155923771769E-2</v>
      </c>
      <c r="EH317" s="333">
        <f t="shared" si="1296"/>
        <v>9.8721219298575441E-2</v>
      </c>
      <c r="EI317" s="333">
        <f t="shared" si="1296"/>
        <v>9.7409624345927773E-2</v>
      </c>
      <c r="EJ317" s="384">
        <f t="shared" si="1296"/>
        <v>9.806224769258573E-2</v>
      </c>
      <c r="EK317" s="333">
        <f t="shared" si="1296"/>
        <v>9.5138332902744385E-2</v>
      </c>
      <c r="EL317" s="333">
        <f t="shared" si="1296"/>
        <v>0.10897926907845232</v>
      </c>
      <c r="EM317" s="333">
        <f t="shared" si="1296"/>
        <v>0.11106072553502261</v>
      </c>
      <c r="EN317" s="433">
        <f t="shared" si="1296"/>
        <v>9.0466840937528992E-2</v>
      </c>
      <c r="EO317" s="333">
        <f t="shared" si="1296"/>
        <v>0.1021113800814477</v>
      </c>
      <c r="EP317" s="333">
        <f t="shared" si="1296"/>
        <v>0.10076987253208781</v>
      </c>
      <c r="EQ317" s="384">
        <f t="shared" si="1296"/>
        <v>0.10143742629414748</v>
      </c>
    </row>
    <row r="318" spans="1:147" ht="10.199999999999999" customHeight="1">
      <c r="A318" s="130"/>
      <c r="B318" s="130"/>
      <c r="C318" s="605"/>
      <c r="D318" s="605"/>
      <c r="E318" s="605"/>
      <c r="F318" s="605"/>
      <c r="G318" s="605"/>
      <c r="H318" s="605"/>
      <c r="I318" s="605"/>
      <c r="J318" s="605"/>
      <c r="K318" s="605"/>
      <c r="L318" s="605"/>
      <c r="M318" s="605"/>
      <c r="N318" s="606"/>
      <c r="O318" s="617"/>
      <c r="P318" s="617"/>
      <c r="Q318" s="617"/>
      <c r="R318" s="618"/>
      <c r="S318" s="617"/>
      <c r="T318" s="617"/>
      <c r="U318" s="619"/>
      <c r="V318" s="617"/>
      <c r="W318" s="617"/>
      <c r="X318" s="617"/>
      <c r="Y318" s="618"/>
      <c r="Z318" s="617"/>
      <c r="AA318" s="617"/>
      <c r="AB318" s="619"/>
      <c r="AC318" s="617"/>
      <c r="AD318" s="617"/>
      <c r="AE318" s="617"/>
      <c r="AF318" s="618"/>
      <c r="AG318" s="617"/>
      <c r="AH318" s="617"/>
      <c r="AI318" s="619"/>
      <c r="AJ318" s="617"/>
      <c r="AK318" s="617"/>
      <c r="AL318" s="617"/>
      <c r="AM318" s="618"/>
      <c r="AN318" s="617"/>
      <c r="AO318" s="617"/>
      <c r="AP318" s="619"/>
      <c r="AQ318" s="617"/>
      <c r="AR318" s="617"/>
      <c r="AS318" s="617"/>
      <c r="AT318" s="618"/>
      <c r="AU318" s="617"/>
      <c r="AV318" s="617"/>
      <c r="AW318" s="619"/>
      <c r="AX318" s="617"/>
      <c r="AY318" s="617"/>
      <c r="AZ318" s="617"/>
      <c r="BA318" s="618"/>
      <c r="BB318" s="617"/>
      <c r="BC318" s="617"/>
      <c r="BD318" s="619"/>
      <c r="BE318" s="617"/>
      <c r="BF318" s="617"/>
      <c r="BG318" s="617"/>
      <c r="BH318" s="618"/>
      <c r="BI318" s="617"/>
      <c r="BJ318" s="617"/>
      <c r="BK318" s="619"/>
      <c r="BL318" s="617"/>
      <c r="BM318" s="617"/>
      <c r="BN318" s="617"/>
      <c r="BO318" s="618"/>
      <c r="BP318" s="617"/>
      <c r="BQ318" s="617"/>
      <c r="BR318" s="619"/>
      <c r="BS318" s="617"/>
      <c r="BT318" s="617"/>
      <c r="BU318" s="617"/>
      <c r="BV318" s="618"/>
      <c r="BW318" s="617"/>
      <c r="BX318" s="617"/>
      <c r="BY318" s="619"/>
      <c r="BZ318" s="617"/>
      <c r="CA318" s="617"/>
      <c r="CB318" s="617"/>
      <c r="CC318" s="618"/>
      <c r="CD318" s="617"/>
      <c r="CE318" s="617"/>
      <c r="CF318" s="619"/>
      <c r="CG318" s="617"/>
      <c r="CH318" s="617"/>
      <c r="CI318" s="617"/>
      <c r="CJ318" s="618"/>
      <c r="CK318" s="617"/>
      <c r="CL318" s="617"/>
      <c r="CM318" s="619"/>
      <c r="CN318" s="617"/>
      <c r="CO318" s="617"/>
      <c r="CP318" s="617"/>
      <c r="CQ318" s="618"/>
      <c r="CR318" s="617"/>
      <c r="CS318" s="617"/>
      <c r="CT318" s="619"/>
      <c r="CU318" s="617"/>
      <c r="CV318" s="617"/>
      <c r="CW318" s="617"/>
      <c r="CX318" s="618"/>
      <c r="CY318" s="617"/>
      <c r="CZ318" s="617"/>
      <c r="DA318" s="619"/>
      <c r="DB318" s="617"/>
      <c r="DC318" s="617"/>
      <c r="DD318" s="617"/>
      <c r="DE318" s="618"/>
      <c r="DF318" s="617"/>
      <c r="DG318" s="617"/>
      <c r="DH318" s="619"/>
      <c r="DI318" s="617"/>
      <c r="DJ318" s="617"/>
      <c r="DK318" s="617"/>
      <c r="DL318" s="618"/>
      <c r="DM318" s="617"/>
      <c r="DN318" s="617"/>
      <c r="DO318" s="619"/>
      <c r="DP318" s="617"/>
      <c r="DQ318" s="617"/>
      <c r="DR318" s="617"/>
      <c r="DS318" s="618"/>
      <c r="DT318" s="617"/>
      <c r="DU318" s="617"/>
      <c r="DV318" s="619"/>
      <c r="DW318" s="617"/>
      <c r="DX318" s="617"/>
      <c r="DY318" s="617"/>
      <c r="DZ318" s="618"/>
      <c r="EA318" s="617"/>
      <c r="EB318" s="617"/>
      <c r="EC318" s="619"/>
      <c r="ED318" s="617"/>
      <c r="EE318" s="617"/>
      <c r="EF318" s="617"/>
      <c r="EG318" s="618"/>
      <c r="EH318" s="617"/>
      <c r="EI318" s="617"/>
      <c r="EJ318" s="619"/>
      <c r="EK318" s="617"/>
      <c r="EL318" s="617"/>
      <c r="EM318" s="617"/>
      <c r="EN318" s="618"/>
      <c r="EO318" s="617"/>
      <c r="EP318" s="617"/>
      <c r="EQ318" s="619"/>
    </row>
    <row r="319" spans="1:147" ht="10.199999999999999" customHeight="1">
      <c r="A319" s="130"/>
      <c r="B319" s="130"/>
      <c r="C319" s="605"/>
      <c r="D319" s="605"/>
      <c r="E319" s="605"/>
      <c r="F319" s="605"/>
      <c r="G319" s="605"/>
      <c r="H319" s="605"/>
      <c r="I319" s="605"/>
      <c r="J319" s="605"/>
      <c r="K319" s="605"/>
      <c r="L319" s="605"/>
      <c r="M319" s="605"/>
      <c r="N319" s="606"/>
      <c r="O319" s="617"/>
      <c r="P319" s="617"/>
      <c r="Q319" s="617"/>
      <c r="R319" s="618"/>
      <c r="S319" s="617"/>
      <c r="T319" s="617"/>
      <c r="U319" s="619"/>
      <c r="V319" s="617"/>
      <c r="W319" s="617"/>
      <c r="X319" s="617"/>
      <c r="Y319" s="618"/>
      <c r="Z319" s="617"/>
      <c r="AA319" s="617"/>
      <c r="AB319" s="619"/>
      <c r="AC319" s="617"/>
      <c r="AD319" s="617"/>
      <c r="AE319" s="617"/>
      <c r="AF319" s="618"/>
      <c r="AG319" s="617"/>
      <c r="AH319" s="617"/>
      <c r="AI319" s="619"/>
      <c r="AJ319" s="617"/>
      <c r="AK319" s="617"/>
      <c r="AL319" s="617"/>
      <c r="AM319" s="618"/>
      <c r="AN319" s="617"/>
      <c r="AO319" s="617"/>
      <c r="AP319" s="619"/>
      <c r="AQ319" s="617"/>
      <c r="AR319" s="617"/>
      <c r="AS319" s="617"/>
      <c r="AT319" s="618"/>
      <c r="AU319" s="617"/>
      <c r="AV319" s="617"/>
      <c r="AW319" s="619"/>
      <c r="AX319" s="617"/>
      <c r="AY319" s="617"/>
      <c r="AZ319" s="617"/>
      <c r="BA319" s="618"/>
      <c r="BB319" s="617"/>
      <c r="BC319" s="617"/>
      <c r="BD319" s="619"/>
      <c r="BE319" s="617"/>
      <c r="BF319" s="617"/>
      <c r="BG319" s="617"/>
      <c r="BH319" s="618"/>
      <c r="BI319" s="617"/>
      <c r="BJ319" s="617"/>
      <c r="BK319" s="619"/>
      <c r="BL319" s="617"/>
      <c r="BM319" s="617"/>
      <c r="BN319" s="617"/>
      <c r="BO319" s="618"/>
      <c r="BP319" s="617"/>
      <c r="BQ319" s="617"/>
      <c r="BR319" s="619"/>
      <c r="BS319" s="617"/>
      <c r="BT319" s="617"/>
      <c r="BU319" s="617"/>
      <c r="BV319" s="618"/>
      <c r="BW319" s="617"/>
      <c r="BX319" s="617"/>
      <c r="BY319" s="619"/>
      <c r="BZ319" s="617"/>
      <c r="CA319" s="617"/>
      <c r="CB319" s="617"/>
      <c r="CC319" s="618"/>
      <c r="CD319" s="617"/>
      <c r="CE319" s="617"/>
      <c r="CF319" s="619"/>
      <c r="CG319" s="617"/>
      <c r="CH319" s="617"/>
      <c r="CI319" s="617"/>
      <c r="CJ319" s="618"/>
      <c r="CK319" s="617"/>
      <c r="CL319" s="617"/>
      <c r="CM319" s="619"/>
      <c r="CN319" s="617"/>
      <c r="CO319" s="617"/>
      <c r="CP319" s="617"/>
      <c r="CQ319" s="618"/>
      <c r="CR319" s="617"/>
      <c r="CS319" s="617"/>
      <c r="CT319" s="619"/>
      <c r="CU319" s="617"/>
      <c r="CV319" s="617"/>
      <c r="CW319" s="617"/>
      <c r="CX319" s="618"/>
      <c r="CY319" s="617"/>
      <c r="CZ319" s="617"/>
      <c r="DA319" s="619"/>
      <c r="DB319" s="617"/>
      <c r="DC319" s="617"/>
      <c r="DD319" s="617"/>
      <c r="DE319" s="618"/>
      <c r="DF319" s="617"/>
      <c r="DG319" s="617"/>
      <c r="DH319" s="619"/>
      <c r="DI319" s="617"/>
      <c r="DJ319" s="617"/>
      <c r="DK319" s="617"/>
      <c r="DL319" s="618"/>
      <c r="DM319" s="617"/>
      <c r="DN319" s="617"/>
      <c r="DO319" s="619"/>
      <c r="DP319" s="617"/>
      <c r="DQ319" s="617"/>
      <c r="DR319" s="617"/>
      <c r="DS319" s="618"/>
      <c r="DT319" s="617"/>
      <c r="DU319" s="617"/>
      <c r="DV319" s="619"/>
      <c r="DW319" s="617"/>
      <c r="DX319" s="617"/>
      <c r="DY319" s="617"/>
      <c r="DZ319" s="618"/>
      <c r="EA319" s="617"/>
      <c r="EB319" s="617"/>
      <c r="EC319" s="619"/>
      <c r="ED319" s="617"/>
      <c r="EE319" s="617"/>
      <c r="EF319" s="617"/>
      <c r="EG319" s="618"/>
      <c r="EH319" s="617"/>
      <c r="EI319" s="617"/>
      <c r="EJ319" s="619"/>
      <c r="EK319" s="617"/>
      <c r="EL319" s="617"/>
      <c r="EM319" s="617"/>
      <c r="EN319" s="618"/>
      <c r="EO319" s="617"/>
      <c r="EP319" s="617"/>
      <c r="EQ319" s="619"/>
    </row>
    <row r="320" spans="1:147" ht="10.199999999999999" customHeight="1">
      <c r="A320" s="178" t="s">
        <v>746</v>
      </c>
      <c r="B320" s="198"/>
      <c r="C320" s="631"/>
      <c r="D320" s="631"/>
      <c r="E320" s="631"/>
      <c r="F320" s="631"/>
      <c r="G320" s="631"/>
      <c r="H320" s="631"/>
      <c r="I320" s="631"/>
      <c r="J320" s="631"/>
      <c r="K320" s="631"/>
      <c r="L320" s="631"/>
      <c r="M320" s="631"/>
      <c r="N320" s="1754"/>
      <c r="O320" s="486"/>
      <c r="P320" s="486"/>
      <c r="Q320" s="486"/>
      <c r="R320" s="487"/>
      <c r="S320" s="486"/>
      <c r="T320" s="486"/>
      <c r="U320" s="362"/>
      <c r="V320" s="486"/>
      <c r="W320" s="486"/>
      <c r="X320" s="486"/>
      <c r="Y320" s="487"/>
      <c r="Z320" s="486"/>
      <c r="AA320" s="486"/>
      <c r="AB320" s="362"/>
      <c r="AC320" s="486"/>
      <c r="AD320" s="486"/>
      <c r="AE320" s="486"/>
      <c r="AF320" s="487"/>
      <c r="AG320" s="486"/>
      <c r="AH320" s="486"/>
      <c r="AI320" s="362"/>
      <c r="AJ320" s="486"/>
      <c r="AK320" s="486"/>
      <c r="AL320" s="486"/>
      <c r="AM320" s="487"/>
      <c r="AN320" s="486"/>
      <c r="AO320" s="486"/>
      <c r="AP320" s="362"/>
      <c r="AQ320" s="486"/>
      <c r="AR320" s="486"/>
      <c r="AS320" s="486"/>
      <c r="AT320" s="487"/>
      <c r="AU320" s="486"/>
      <c r="AV320" s="486"/>
      <c r="AW320" s="362"/>
      <c r="AX320" s="486"/>
      <c r="AY320" s="486"/>
      <c r="AZ320" s="486"/>
      <c r="BA320" s="487"/>
      <c r="BB320" s="486"/>
      <c r="BC320" s="486"/>
      <c r="BD320" s="362"/>
      <c r="BE320" s="486"/>
      <c r="BF320" s="486"/>
      <c r="BG320" s="486"/>
      <c r="BH320" s="487"/>
      <c r="BI320" s="486"/>
      <c r="BJ320" s="486"/>
      <c r="BK320" s="362"/>
      <c r="BL320" s="486"/>
      <c r="BM320" s="486"/>
      <c r="BN320" s="486"/>
      <c r="BO320" s="487"/>
      <c r="BP320" s="486"/>
      <c r="BQ320" s="486"/>
      <c r="BR320" s="362"/>
      <c r="BS320" s="486"/>
      <c r="BT320" s="486"/>
      <c r="BU320" s="486"/>
      <c r="BV320" s="487"/>
      <c r="BW320" s="486"/>
      <c r="BX320" s="486"/>
      <c r="BY320" s="362"/>
      <c r="BZ320" s="486"/>
      <c r="CA320" s="486"/>
      <c r="CB320" s="486"/>
      <c r="CC320" s="487"/>
      <c r="CD320" s="486"/>
      <c r="CE320" s="486"/>
      <c r="CF320" s="362"/>
      <c r="CG320" s="486"/>
      <c r="CH320" s="486"/>
      <c r="CI320" s="486"/>
      <c r="CJ320" s="487"/>
      <c r="CK320" s="486"/>
      <c r="CL320" s="486"/>
      <c r="CM320" s="362"/>
      <c r="CN320" s="486"/>
      <c r="CO320" s="486"/>
      <c r="CP320" s="486"/>
      <c r="CQ320" s="487"/>
      <c r="CR320" s="486"/>
      <c r="CS320" s="486"/>
      <c r="CT320" s="362"/>
      <c r="CU320" s="486"/>
      <c r="CV320" s="486"/>
      <c r="CW320" s="486"/>
      <c r="CX320" s="487"/>
      <c r="CY320" s="486"/>
      <c r="CZ320" s="486"/>
      <c r="DA320" s="362"/>
      <c r="DB320" s="486"/>
      <c r="DC320" s="486"/>
      <c r="DD320" s="486"/>
      <c r="DE320" s="487"/>
      <c r="DF320" s="486"/>
      <c r="DG320" s="486"/>
      <c r="DH320" s="362"/>
      <c r="DI320" s="486"/>
      <c r="DJ320" s="486"/>
      <c r="DK320" s="486"/>
      <c r="DL320" s="487"/>
      <c r="DM320" s="486"/>
      <c r="DN320" s="486"/>
      <c r="DO320" s="362"/>
      <c r="DP320" s="486"/>
      <c r="DQ320" s="486"/>
      <c r="DR320" s="486"/>
      <c r="DS320" s="487"/>
      <c r="DT320" s="486"/>
      <c r="DU320" s="486"/>
      <c r="DV320" s="362"/>
      <c r="DW320" s="486"/>
      <c r="DX320" s="486"/>
      <c r="DY320" s="486"/>
      <c r="DZ320" s="487"/>
      <c r="EA320" s="486"/>
      <c r="EB320" s="486"/>
      <c r="EC320" s="362"/>
      <c r="ED320" s="486"/>
      <c r="EE320" s="486"/>
      <c r="EF320" s="486"/>
      <c r="EG320" s="487"/>
      <c r="EH320" s="486"/>
      <c r="EI320" s="486"/>
      <c r="EJ320" s="362"/>
      <c r="EK320" s="486"/>
      <c r="EL320" s="486"/>
      <c r="EM320" s="486"/>
      <c r="EN320" s="487"/>
      <c r="EO320" s="486"/>
      <c r="EP320" s="486"/>
      <c r="EQ320" s="362"/>
    </row>
    <row r="321" spans="1:147" ht="10.199999999999999" customHeight="1">
      <c r="A321" s="43"/>
      <c r="B321" s="88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80"/>
      <c r="O321" s="399"/>
      <c r="P321" s="399"/>
      <c r="Q321" s="399"/>
      <c r="R321" s="425"/>
      <c r="S321" s="399"/>
      <c r="T321" s="399"/>
      <c r="U321" s="338"/>
      <c r="V321" s="399"/>
      <c r="W321" s="399"/>
      <c r="X321" s="399"/>
      <c r="Y321" s="425"/>
      <c r="Z321" s="399"/>
      <c r="AA321" s="399"/>
      <c r="AB321" s="338"/>
      <c r="AC321" s="399"/>
      <c r="AD321" s="399"/>
      <c r="AE321" s="399"/>
      <c r="AF321" s="425"/>
      <c r="AG321" s="399"/>
      <c r="AH321" s="399"/>
      <c r="AI321" s="338"/>
      <c r="AJ321" s="399"/>
      <c r="AK321" s="399"/>
      <c r="AL321" s="399"/>
      <c r="AM321" s="425"/>
      <c r="AN321" s="399"/>
      <c r="AO321" s="399"/>
      <c r="AP321" s="338"/>
      <c r="AQ321" s="399"/>
      <c r="AR321" s="399"/>
      <c r="AS321" s="399"/>
      <c r="AT321" s="425"/>
      <c r="AU321" s="399"/>
      <c r="AV321" s="399"/>
      <c r="AW321" s="338"/>
      <c r="AX321" s="399"/>
      <c r="AY321" s="399"/>
      <c r="AZ321" s="399"/>
      <c r="BA321" s="425"/>
      <c r="BB321" s="399"/>
      <c r="BC321" s="399"/>
      <c r="BD321" s="338"/>
      <c r="BE321" s="399"/>
      <c r="BF321" s="399"/>
      <c r="BG321" s="399"/>
      <c r="BH321" s="425"/>
      <c r="BI321" s="399"/>
      <c r="BJ321" s="399"/>
      <c r="BK321" s="338"/>
      <c r="BL321" s="399"/>
      <c r="BM321" s="399"/>
      <c r="BN321" s="399"/>
      <c r="BO321" s="425"/>
      <c r="BP321" s="399"/>
      <c r="BQ321" s="399"/>
      <c r="BR321" s="338"/>
      <c r="BS321" s="399"/>
      <c r="BT321" s="399"/>
      <c r="BU321" s="399"/>
      <c r="BV321" s="425"/>
      <c r="BW321" s="399"/>
      <c r="BX321" s="399"/>
      <c r="BY321" s="338"/>
      <c r="BZ321" s="399"/>
      <c r="CA321" s="399"/>
      <c r="CB321" s="399"/>
      <c r="CC321" s="425"/>
      <c r="CD321" s="399"/>
      <c r="CE321" s="399"/>
      <c r="CF321" s="338"/>
      <c r="CG321" s="399"/>
      <c r="CH321" s="399"/>
      <c r="CI321" s="399"/>
      <c r="CJ321" s="425"/>
      <c r="CK321" s="399"/>
      <c r="CL321" s="399"/>
      <c r="CM321" s="338"/>
      <c r="CN321" s="399"/>
      <c r="CO321" s="399"/>
      <c r="CP321" s="399"/>
      <c r="CQ321" s="425"/>
      <c r="CR321" s="399"/>
      <c r="CS321" s="399"/>
      <c r="CT321" s="338"/>
      <c r="CU321" s="399"/>
      <c r="CV321" s="399"/>
      <c r="CW321" s="399"/>
      <c r="CX321" s="425"/>
      <c r="CY321" s="399"/>
      <c r="CZ321" s="399"/>
      <c r="DA321" s="338"/>
      <c r="DB321" s="399"/>
      <c r="DC321" s="399"/>
      <c r="DD321" s="399"/>
      <c r="DE321" s="425"/>
      <c r="DF321" s="399"/>
      <c r="DG321" s="399"/>
      <c r="DH321" s="338"/>
      <c r="DI321" s="399"/>
      <c r="DJ321" s="399"/>
      <c r="DK321" s="399"/>
      <c r="DL321" s="425"/>
      <c r="DM321" s="399"/>
      <c r="DN321" s="399"/>
      <c r="DO321" s="338"/>
      <c r="DP321" s="399"/>
      <c r="DQ321" s="399"/>
      <c r="DR321" s="399"/>
      <c r="DS321" s="425"/>
      <c r="DT321" s="399"/>
      <c r="DU321" s="399"/>
      <c r="DV321" s="338"/>
      <c r="DW321" s="399"/>
      <c r="DX321" s="399"/>
      <c r="DY321" s="399"/>
      <c r="DZ321" s="425"/>
      <c r="EA321" s="399"/>
      <c r="EB321" s="399"/>
      <c r="EC321" s="338"/>
      <c r="ED321" s="399"/>
      <c r="EE321" s="399"/>
      <c r="EF321" s="399"/>
      <c r="EG321" s="425"/>
      <c r="EH321" s="399"/>
      <c r="EI321" s="399"/>
      <c r="EJ321" s="338"/>
      <c r="EK321" s="399"/>
      <c r="EL321" s="399"/>
      <c r="EM321" s="399"/>
      <c r="EN321" s="425"/>
      <c r="EO321" s="399"/>
      <c r="EP321" s="399"/>
      <c r="EQ321" s="338"/>
    </row>
    <row r="322" spans="1:147" ht="10.199999999999999" customHeight="1">
      <c r="A322" s="48" t="s">
        <v>721</v>
      </c>
      <c r="B322" s="20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76"/>
      <c r="O322" s="456"/>
      <c r="P322" s="456"/>
      <c r="Q322" s="617"/>
      <c r="R322" s="457"/>
      <c r="S322" s="456"/>
      <c r="T322" s="456"/>
      <c r="U322" s="538"/>
      <c r="V322" s="456"/>
      <c r="W322" s="456"/>
      <c r="X322" s="617"/>
      <c r="Y322" s="457"/>
      <c r="Z322" s="456"/>
      <c r="AA322" s="456"/>
      <c r="AB322" s="538"/>
      <c r="AC322" s="456"/>
      <c r="AD322" s="456"/>
      <c r="AE322" s="617"/>
      <c r="AF322" s="457"/>
      <c r="AG322" s="456"/>
      <c r="AH322" s="456"/>
      <c r="AI322" s="538"/>
      <c r="AJ322" s="456"/>
      <c r="AK322" s="456"/>
      <c r="AL322" s="617"/>
      <c r="AM322" s="457"/>
      <c r="AN322" s="456"/>
      <c r="AO322" s="456"/>
      <c r="AP322" s="538"/>
      <c r="AQ322" s="456"/>
      <c r="AR322" s="456"/>
      <c r="AS322" s="617"/>
      <c r="AT322" s="457"/>
      <c r="AU322" s="456"/>
      <c r="AV322" s="456"/>
      <c r="AW322" s="538"/>
      <c r="AX322" s="456"/>
      <c r="AY322" s="456"/>
      <c r="AZ322" s="617"/>
      <c r="BA322" s="457"/>
      <c r="BB322" s="456"/>
      <c r="BC322" s="456"/>
      <c r="BD322" s="538"/>
      <c r="BE322" s="456"/>
      <c r="BF322" s="456"/>
      <c r="BG322" s="617"/>
      <c r="BH322" s="457"/>
      <c r="BI322" s="456"/>
      <c r="BJ322" s="456"/>
      <c r="BK322" s="538"/>
      <c r="BL322" s="456"/>
      <c r="BM322" s="456"/>
      <c r="BN322" s="617"/>
      <c r="BO322" s="457"/>
      <c r="BP322" s="456"/>
      <c r="BQ322" s="456"/>
      <c r="BR322" s="538"/>
      <c r="BS322" s="456"/>
      <c r="BT322" s="456"/>
      <c r="BU322" s="617"/>
      <c r="BV322" s="457"/>
      <c r="BW322" s="456"/>
      <c r="BX322" s="456"/>
      <c r="BY322" s="538"/>
      <c r="BZ322" s="456"/>
      <c r="CA322" s="456"/>
      <c r="CB322" s="617"/>
      <c r="CC322" s="457"/>
      <c r="CD322" s="456"/>
      <c r="CE322" s="456"/>
      <c r="CF322" s="538"/>
      <c r="CG322" s="456"/>
      <c r="CH322" s="456"/>
      <c r="CI322" s="617"/>
      <c r="CJ322" s="457"/>
      <c r="CK322" s="456"/>
      <c r="CL322" s="456"/>
      <c r="CM322" s="538"/>
      <c r="CN322" s="456"/>
      <c r="CO322" s="456"/>
      <c r="CP322" s="617"/>
      <c r="CQ322" s="457"/>
      <c r="CR322" s="456"/>
      <c r="CS322" s="456"/>
      <c r="CT322" s="538"/>
      <c r="CU322" s="456"/>
      <c r="CV322" s="456"/>
      <c r="CW322" s="456"/>
      <c r="CX322" s="457"/>
      <c r="CY322" s="456"/>
      <c r="CZ322" s="456"/>
      <c r="DA322" s="538"/>
      <c r="DB322" s="456"/>
      <c r="DC322" s="456"/>
      <c r="DD322" s="456"/>
      <c r="DE322" s="457"/>
      <c r="DF322" s="456"/>
      <c r="DG322" s="456"/>
      <c r="DH322" s="538"/>
      <c r="DI322" s="456"/>
      <c r="DJ322" s="456"/>
      <c r="DK322" s="456"/>
      <c r="DL322" s="457"/>
      <c r="DM322" s="456"/>
      <c r="DN322" s="456"/>
      <c r="DO322" s="538"/>
      <c r="DP322" s="456"/>
      <c r="DQ322" s="456"/>
      <c r="DR322" s="456"/>
      <c r="DS322" s="457"/>
      <c r="DT322" s="456"/>
      <c r="DU322" s="456"/>
      <c r="DV322" s="538"/>
      <c r="DW322" s="456"/>
      <c r="DX322" s="456"/>
      <c r="DY322" s="456"/>
      <c r="DZ322" s="457"/>
      <c r="EA322" s="456"/>
      <c r="EB322" s="456"/>
      <c r="EC322" s="538"/>
      <c r="ED322" s="456"/>
      <c r="EE322" s="456"/>
      <c r="EF322" s="456"/>
      <c r="EG322" s="457"/>
      <c r="EH322" s="456"/>
      <c r="EI322" s="456"/>
      <c r="EJ322" s="538"/>
      <c r="EK322" s="456"/>
      <c r="EL322" s="456"/>
      <c r="EM322" s="456"/>
      <c r="EN322" s="457"/>
      <c r="EO322" s="456"/>
      <c r="EP322" s="456"/>
      <c r="EQ322" s="538"/>
    </row>
    <row r="323" spans="1:147" ht="11.25" customHeight="1" thickBot="1">
      <c r="A323" s="201" t="str">
        <f>A244</f>
        <v>A220</v>
      </c>
      <c r="B323" s="201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4"/>
      <c r="O323" s="419"/>
      <c r="P323" s="419"/>
      <c r="Q323" s="419"/>
      <c r="R323" s="685"/>
      <c r="S323" s="419"/>
      <c r="T323" s="1742"/>
      <c r="U323" s="1297"/>
      <c r="V323" s="419"/>
      <c r="W323" s="419"/>
      <c r="X323" s="419"/>
      <c r="Y323" s="685"/>
      <c r="Z323" s="419"/>
      <c r="AA323" s="1742"/>
      <c r="AB323" s="1297"/>
      <c r="AC323" s="419"/>
      <c r="AD323" s="419"/>
      <c r="AE323" s="419"/>
      <c r="AF323" s="685"/>
      <c r="AG323" s="419"/>
      <c r="AH323" s="1742"/>
      <c r="AI323" s="1297"/>
      <c r="AJ323" s="419"/>
      <c r="AK323" s="419"/>
      <c r="AL323" s="419"/>
      <c r="AM323" s="685"/>
      <c r="AN323" s="419"/>
      <c r="AO323" s="1742"/>
      <c r="AP323" s="1297"/>
      <c r="AQ323" s="419"/>
      <c r="AR323" s="419"/>
      <c r="AS323" s="419"/>
      <c r="AT323" s="685"/>
      <c r="AU323" s="419"/>
      <c r="AV323" s="1742"/>
      <c r="AW323" s="1297"/>
      <c r="AX323" s="419"/>
      <c r="AY323" s="419"/>
      <c r="AZ323" s="419"/>
      <c r="BA323" s="685"/>
      <c r="BB323" s="419"/>
      <c r="BC323" s="1742"/>
      <c r="BD323" s="1297"/>
      <c r="BE323" s="419"/>
      <c r="BF323" s="419"/>
      <c r="BG323" s="419"/>
      <c r="BH323" s="685"/>
      <c r="BI323" s="419"/>
      <c r="BJ323" s="1742"/>
      <c r="BK323" s="1297"/>
      <c r="BL323" s="419"/>
      <c r="BM323" s="419"/>
      <c r="BN323" s="419"/>
      <c r="BO323" s="685"/>
      <c r="BP323" s="419"/>
      <c r="BQ323" s="1742"/>
      <c r="BR323" s="1297"/>
      <c r="BS323" s="419"/>
      <c r="BT323" s="419"/>
      <c r="BU323" s="419"/>
      <c r="BV323" s="685"/>
      <c r="BW323" s="419"/>
      <c r="BX323" s="1742"/>
      <c r="BY323" s="1297"/>
      <c r="BZ323" s="419"/>
      <c r="CA323" s="419"/>
      <c r="CB323" s="419"/>
      <c r="CC323" s="685"/>
      <c r="CD323" s="419"/>
      <c r="CE323" s="1742"/>
      <c r="CF323" s="1297"/>
      <c r="CG323" s="419"/>
      <c r="CH323" s="419"/>
      <c r="CI323" s="419"/>
      <c r="CJ323" s="685"/>
      <c r="CK323" s="419"/>
      <c r="CL323" s="1742"/>
      <c r="CM323" s="1297">
        <v>-0.15</v>
      </c>
      <c r="CN323" s="419">
        <v>-0.2</v>
      </c>
      <c r="CO323" s="419">
        <f>CO342/CO280</f>
        <v>-0.15824958595597047</v>
      </c>
      <c r="CP323" s="419">
        <v>-0.15</v>
      </c>
      <c r="CQ323" s="685">
        <f>CQ342/CQ280</f>
        <v>-0.12682999731062009</v>
      </c>
      <c r="CR323" s="419">
        <v>-0.17499999999999999</v>
      </c>
      <c r="CS323" s="419">
        <f>CS342/CS280</f>
        <v>-0.13550948472375551</v>
      </c>
      <c r="CT323" s="1297">
        <v>-0.15</v>
      </c>
      <c r="CU323" s="201">
        <v>-0.15</v>
      </c>
      <c r="CV323" s="419">
        <f>CV342/CV280</f>
        <v>-0.14999999999999997</v>
      </c>
      <c r="CW323" s="201">
        <v>-0.1</v>
      </c>
      <c r="CX323" s="685">
        <f>CX342/CX280</f>
        <v>-0.11600485812149267</v>
      </c>
      <c r="CY323" s="419">
        <v>-0.15</v>
      </c>
      <c r="CZ323" s="419">
        <f>CZ342/CZ280</f>
        <v>-0.11027395958701608</v>
      </c>
      <c r="DA323" s="1743">
        <v>-0.125</v>
      </c>
      <c r="DB323" s="201">
        <v>-0.125</v>
      </c>
      <c r="DC323" s="419">
        <f>DC342/DC280</f>
        <v>-0.11634849229128072</v>
      </c>
      <c r="DD323" s="201">
        <v>-0.1</v>
      </c>
      <c r="DE323" s="716">
        <f>DE342/DE280</f>
        <v>-0.14880034870968906</v>
      </c>
      <c r="DF323" s="1809">
        <v>-0.12</v>
      </c>
      <c r="DG323" s="201">
        <f>DG342/DG280</f>
        <v>-0.12908172547592905</v>
      </c>
      <c r="DH323" s="1297">
        <v>-0.125</v>
      </c>
      <c r="DI323" s="201">
        <v>-0.1</v>
      </c>
      <c r="DJ323" s="201">
        <f>DJ342/DJ280</f>
        <v>-0.1</v>
      </c>
      <c r="DK323" s="1969">
        <v>-0.1</v>
      </c>
      <c r="DL323" s="433">
        <f>DL342/DL280</f>
        <v>-9.9999999999999978E-2</v>
      </c>
      <c r="DM323" s="201">
        <v>-0.1</v>
      </c>
      <c r="DN323" s="333">
        <f>DN342/DN280</f>
        <v>-9.9999999999999992E-2</v>
      </c>
      <c r="DO323" s="725">
        <v>-0.1</v>
      </c>
      <c r="DP323" s="333">
        <f t="shared" ref="DP323:DP328" si="1303">DV323</f>
        <v>-0.08</v>
      </c>
      <c r="DQ323" s="333">
        <f>DQ342/DQ280</f>
        <v>-0.08</v>
      </c>
      <c r="DR323" s="333">
        <f t="shared" ref="DR323:DR328" si="1304">DV323</f>
        <v>-0.08</v>
      </c>
      <c r="DS323" s="433">
        <f>DS342/DS280</f>
        <v>-0.08</v>
      </c>
      <c r="DT323" s="333">
        <f t="shared" ref="DT323:DT328" si="1305">DV323</f>
        <v>-0.08</v>
      </c>
      <c r="DU323" s="333">
        <f>DU342/DU280</f>
        <v>-0.08</v>
      </c>
      <c r="DV323" s="725">
        <v>-0.08</v>
      </c>
      <c r="DW323" s="333">
        <f t="shared" ref="DW323:DW328" si="1306">EC323</f>
        <v>-0.05</v>
      </c>
      <c r="DX323" s="333">
        <f>DX342/DX280</f>
        <v>-0.05</v>
      </c>
      <c r="DY323" s="333">
        <f t="shared" ref="DY323:DY328" si="1307">EC323</f>
        <v>-0.05</v>
      </c>
      <c r="DZ323" s="433">
        <f>DZ342/DZ280</f>
        <v>-4.9999999999999989E-2</v>
      </c>
      <c r="EA323" s="333">
        <f t="shared" ref="EA323:EA328" si="1308">EC323</f>
        <v>-0.05</v>
      </c>
      <c r="EB323" s="333">
        <f>EB342/EB280</f>
        <v>-4.9999999999999996E-2</v>
      </c>
      <c r="EC323" s="725">
        <v>-0.05</v>
      </c>
      <c r="ED323" s="333">
        <f t="shared" ref="ED323:ED328" si="1309">EJ323</f>
        <v>-0.03</v>
      </c>
      <c r="EE323" s="333">
        <f>EE342/EE280</f>
        <v>-0.03</v>
      </c>
      <c r="EF323" s="333">
        <f t="shared" ref="EF323:EF328" si="1310">EJ323</f>
        <v>-0.03</v>
      </c>
      <c r="EG323" s="433">
        <f>EG342/EG280</f>
        <v>-0.03</v>
      </c>
      <c r="EH323" s="333">
        <f t="shared" ref="EH323:EH328" si="1311">EJ323</f>
        <v>-0.03</v>
      </c>
      <c r="EI323" s="333">
        <f>EI342/EI280</f>
        <v>-0.03</v>
      </c>
      <c r="EJ323" s="725">
        <v>-0.03</v>
      </c>
      <c r="EK323" s="333">
        <f t="shared" ref="EK323:EK328" si="1312">EQ323</f>
        <v>0</v>
      </c>
      <c r="EL323" s="333">
        <f>EL342/EL280</f>
        <v>0</v>
      </c>
      <c r="EM323" s="333">
        <f t="shared" ref="EM323:EM328" si="1313">EQ323</f>
        <v>0</v>
      </c>
      <c r="EN323" s="433">
        <f>EN342/EN280</f>
        <v>0</v>
      </c>
      <c r="EO323" s="333">
        <f t="shared" ref="EO323:EO328" si="1314">EQ323</f>
        <v>0</v>
      </c>
      <c r="EP323" s="333">
        <f>EP342/EP280</f>
        <v>0</v>
      </c>
      <c r="EQ323" s="725">
        <v>0</v>
      </c>
    </row>
    <row r="324" spans="1:147" ht="10.199999999999999" customHeight="1">
      <c r="A324" s="201" t="str">
        <f>A252</f>
        <v>A320neo</v>
      </c>
      <c r="B324" s="201"/>
      <c r="C324" s="603"/>
      <c r="D324" s="603"/>
      <c r="E324" s="603"/>
      <c r="F324" s="603"/>
      <c r="G324" s="603"/>
      <c r="H324" s="603"/>
      <c r="I324" s="603"/>
      <c r="J324" s="603"/>
      <c r="K324" s="603"/>
      <c r="L324" s="603"/>
      <c r="M324" s="603"/>
      <c r="N324" s="604"/>
      <c r="O324" s="419"/>
      <c r="P324" s="419"/>
      <c r="Q324" s="419"/>
      <c r="R324" s="685"/>
      <c r="S324" s="419"/>
      <c r="T324" s="419"/>
      <c r="U324" s="1743"/>
      <c r="V324" s="419"/>
      <c r="W324" s="419"/>
      <c r="X324" s="419"/>
      <c r="Y324" s="685"/>
      <c r="Z324" s="419"/>
      <c r="AA324" s="419"/>
      <c r="AB324" s="1743"/>
      <c r="AC324" s="419"/>
      <c r="AD324" s="419"/>
      <c r="AE324" s="419"/>
      <c r="AF324" s="685"/>
      <c r="AG324" s="419"/>
      <c r="AH324" s="419"/>
      <c r="AI324" s="1743"/>
      <c r="AJ324" s="419"/>
      <c r="AK324" s="419"/>
      <c r="AL324" s="419"/>
      <c r="AM324" s="685"/>
      <c r="AN324" s="419"/>
      <c r="AO324" s="419"/>
      <c r="AP324" s="1743"/>
      <c r="AQ324" s="419"/>
      <c r="AR324" s="419"/>
      <c r="AS324" s="419"/>
      <c r="AT324" s="685"/>
      <c r="AU324" s="419"/>
      <c r="AV324" s="419"/>
      <c r="AW324" s="1743"/>
      <c r="AX324" s="419"/>
      <c r="AY324" s="419"/>
      <c r="AZ324" s="419"/>
      <c r="BA324" s="685"/>
      <c r="BB324" s="419"/>
      <c r="BC324" s="419"/>
      <c r="BD324" s="1743"/>
      <c r="BE324" s="419"/>
      <c r="BF324" s="419"/>
      <c r="BG324" s="419"/>
      <c r="BH324" s="685"/>
      <c r="BI324" s="419"/>
      <c r="BJ324" s="419"/>
      <c r="BK324" s="1743"/>
      <c r="BL324" s="419"/>
      <c r="BM324" s="419"/>
      <c r="BN324" s="419"/>
      <c r="BO324" s="685"/>
      <c r="BP324" s="419"/>
      <c r="BQ324" s="419"/>
      <c r="BR324" s="1743"/>
      <c r="BS324" s="419"/>
      <c r="BT324" s="419"/>
      <c r="BU324" s="419"/>
      <c r="BV324" s="685"/>
      <c r="BW324" s="419"/>
      <c r="BX324" s="419"/>
      <c r="BY324" s="1743"/>
      <c r="BZ324" s="419"/>
      <c r="CA324" s="419"/>
      <c r="CB324" s="419"/>
      <c r="CC324" s="685"/>
      <c r="CD324" s="419"/>
      <c r="CE324" s="419"/>
      <c r="CF324" s="1743"/>
      <c r="CG324" s="419"/>
      <c r="CH324" s="419"/>
      <c r="CI324" s="419"/>
      <c r="CJ324" s="685"/>
      <c r="CK324" s="419"/>
      <c r="CL324" s="419"/>
      <c r="CM324" s="1324">
        <v>0.3</v>
      </c>
      <c r="CN324" s="1396">
        <v>0.23</v>
      </c>
      <c r="CO324" s="1396">
        <f>CO343/(CO287+CO288)</f>
        <v>0.28496514165885534</v>
      </c>
      <c r="CP324" s="1396">
        <v>0.22</v>
      </c>
      <c r="CQ324" s="1397">
        <f>CQ343/(CQ287+CQ288)</f>
        <v>0.25592337166289936</v>
      </c>
      <c r="CR324" s="1396">
        <v>0.26</v>
      </c>
      <c r="CS324" s="1396">
        <f>CS343/(CS287+CS288)</f>
        <v>0.24272720226443931</v>
      </c>
      <c r="CT324" s="1324">
        <v>0.25</v>
      </c>
      <c r="CU324" s="1396">
        <v>0.20499999999999999</v>
      </c>
      <c r="CV324" s="1396">
        <f>CV343/(CV287+CV288)</f>
        <v>0.27067421558507432</v>
      </c>
      <c r="CW324" s="1396">
        <v>0.245</v>
      </c>
      <c r="CX324" s="1397">
        <f>CX343/(CX287+CX288)</f>
        <v>0.25245620290653642</v>
      </c>
      <c r="CY324" s="1396">
        <v>0.24</v>
      </c>
      <c r="CZ324" s="1396">
        <f>CZ343/(CZ287+CZ288)</f>
        <v>0.24947740896516238</v>
      </c>
      <c r="DA324" s="1324">
        <v>0.245</v>
      </c>
      <c r="DB324" s="1396">
        <v>0.18</v>
      </c>
      <c r="DC324" s="1396">
        <f>DC343/(DC287+DC288)</f>
        <v>0.26567064453153422</v>
      </c>
      <c r="DD324" s="1831">
        <v>0.255</v>
      </c>
      <c r="DE324" s="1958">
        <f>DE343/(DE287+DE288)</f>
        <v>0.26087410173988607</v>
      </c>
      <c r="DF324" s="1813">
        <v>0.22500000000000001</v>
      </c>
      <c r="DG324" s="1831">
        <f>DG343/(DG287+DG288)</f>
        <v>0.25853921180680306</v>
      </c>
      <c r="DH324" s="1324">
        <v>0.245</v>
      </c>
      <c r="DI324" s="1831">
        <v>0.14499999999999999</v>
      </c>
      <c r="DJ324" s="1831">
        <f>DJ343/(DJ287+DJ288)</f>
        <v>0.25840088706654263</v>
      </c>
      <c r="DK324" s="1970">
        <v>0.24</v>
      </c>
      <c r="DL324" s="1223">
        <f>DL343/(DL287+DL288)</f>
        <v>0.28542964780476859</v>
      </c>
      <c r="DM324" s="1831">
        <v>0.23</v>
      </c>
      <c r="DN324" s="1222">
        <f>DN343/(DN287+DN288)</f>
        <v>0.26798694483232205</v>
      </c>
      <c r="DO324" s="1224">
        <v>0.25</v>
      </c>
      <c r="DP324" s="1222">
        <f t="shared" si="1303"/>
        <v>0.26</v>
      </c>
      <c r="DQ324" s="1222">
        <f>DQ343/(DQ287+DQ288)</f>
        <v>0.26000000000000006</v>
      </c>
      <c r="DR324" s="1222">
        <f t="shared" si="1304"/>
        <v>0.26</v>
      </c>
      <c r="DS324" s="1223">
        <f>DS343/(DS287+DS288)</f>
        <v>0.25999999999999984</v>
      </c>
      <c r="DT324" s="1222">
        <f t="shared" si="1305"/>
        <v>0.26</v>
      </c>
      <c r="DU324" s="1222">
        <f>DU343/(DU287+DU288)</f>
        <v>0.2599999999999999</v>
      </c>
      <c r="DV324" s="1224">
        <v>0.26</v>
      </c>
      <c r="DW324" s="1222">
        <f t="shared" si="1306"/>
        <v>0.26</v>
      </c>
      <c r="DX324" s="1222">
        <f>DX343/(DX287+DX288)</f>
        <v>0.25999999999999995</v>
      </c>
      <c r="DY324" s="1222">
        <f t="shared" si="1307"/>
        <v>0.26</v>
      </c>
      <c r="DZ324" s="1223">
        <f>DZ343/(DZ287+DZ288)</f>
        <v>0.2599999999999999</v>
      </c>
      <c r="EA324" s="1222">
        <f t="shared" si="1308"/>
        <v>0.26</v>
      </c>
      <c r="EB324" s="1222">
        <f>EB343/(EB287+EB288)</f>
        <v>0.26</v>
      </c>
      <c r="EC324" s="1224">
        <v>0.26</v>
      </c>
      <c r="ED324" s="1222">
        <f t="shared" si="1309"/>
        <v>0.28000000000000003</v>
      </c>
      <c r="EE324" s="1222">
        <f>EE343/(EE287+EE288)</f>
        <v>0.27999999999999997</v>
      </c>
      <c r="EF324" s="1222">
        <f t="shared" si="1310"/>
        <v>0.28000000000000003</v>
      </c>
      <c r="EG324" s="1223">
        <f>EG343/(EG287+EG288)</f>
        <v>0.28000000000000014</v>
      </c>
      <c r="EH324" s="1222">
        <f t="shared" si="1311"/>
        <v>0.28000000000000003</v>
      </c>
      <c r="EI324" s="1222">
        <f>EI343/(EI287+EI288)</f>
        <v>0.28000000000000003</v>
      </c>
      <c r="EJ324" s="1224">
        <v>0.28000000000000003</v>
      </c>
      <c r="EK324" s="1222">
        <f t="shared" si="1312"/>
        <v>0.28000000000000003</v>
      </c>
      <c r="EL324" s="1222">
        <f>EL343/(EL287+EL288)</f>
        <v>0.28000000000000003</v>
      </c>
      <c r="EM324" s="1222">
        <f t="shared" si="1313"/>
        <v>0.28000000000000003</v>
      </c>
      <c r="EN324" s="1223">
        <f>EN343/(EN287+EN288)</f>
        <v>0.27999999999999958</v>
      </c>
      <c r="EO324" s="1222">
        <f t="shared" si="1314"/>
        <v>0.28000000000000003</v>
      </c>
      <c r="EP324" s="1222">
        <f>EP343/(EP287+EP288)</f>
        <v>0.27999999999999992</v>
      </c>
      <c r="EQ324" s="1224">
        <v>0.28000000000000003</v>
      </c>
    </row>
    <row r="325" spans="1:147" ht="10.199999999999999" customHeight="1" thickBot="1">
      <c r="A325" s="201" t="str">
        <f>A253</f>
        <v>A321neo</v>
      </c>
      <c r="B325" s="201"/>
      <c r="C325" s="603"/>
      <c r="D325" s="603"/>
      <c r="E325" s="603"/>
      <c r="F325" s="603"/>
      <c r="G325" s="603"/>
      <c r="H325" s="603"/>
      <c r="I325" s="603"/>
      <c r="J325" s="603"/>
      <c r="K325" s="603"/>
      <c r="L325" s="603"/>
      <c r="M325" s="603"/>
      <c r="N325" s="604"/>
      <c r="O325" s="419"/>
      <c r="P325" s="419"/>
      <c r="Q325" s="419"/>
      <c r="R325" s="685"/>
      <c r="S325" s="419"/>
      <c r="T325" s="1742"/>
      <c r="U325" s="1743"/>
      <c r="V325" s="419"/>
      <c r="W325" s="419"/>
      <c r="X325" s="419"/>
      <c r="Y325" s="685"/>
      <c r="Z325" s="419"/>
      <c r="AA325" s="1742"/>
      <c r="AB325" s="1743"/>
      <c r="AC325" s="419"/>
      <c r="AD325" s="419"/>
      <c r="AE325" s="419"/>
      <c r="AF325" s="685"/>
      <c r="AG325" s="419"/>
      <c r="AH325" s="1742"/>
      <c r="AI325" s="1743"/>
      <c r="AJ325" s="419"/>
      <c r="AK325" s="419"/>
      <c r="AL325" s="419"/>
      <c r="AM325" s="685"/>
      <c r="AN325" s="419"/>
      <c r="AO325" s="1742"/>
      <c r="AP325" s="1743"/>
      <c r="AQ325" s="419"/>
      <c r="AR325" s="419"/>
      <c r="AS325" s="419"/>
      <c r="AT325" s="685"/>
      <c r="AU325" s="419"/>
      <c r="AV325" s="1742"/>
      <c r="AW325" s="1743"/>
      <c r="AX325" s="419"/>
      <c r="AY325" s="419"/>
      <c r="AZ325" s="419"/>
      <c r="BA325" s="685"/>
      <c r="BB325" s="419"/>
      <c r="BC325" s="1742"/>
      <c r="BD325" s="1743"/>
      <c r="BE325" s="419"/>
      <c r="BF325" s="419"/>
      <c r="BG325" s="419"/>
      <c r="BH325" s="685"/>
      <c r="BI325" s="419"/>
      <c r="BJ325" s="1742"/>
      <c r="BK325" s="1743"/>
      <c r="BL325" s="419"/>
      <c r="BM325" s="419"/>
      <c r="BN325" s="419"/>
      <c r="BO325" s="685"/>
      <c r="BP325" s="419"/>
      <c r="BQ325" s="1742"/>
      <c r="BR325" s="1743"/>
      <c r="BS325" s="419"/>
      <c r="BT325" s="419"/>
      <c r="BU325" s="419"/>
      <c r="BV325" s="685"/>
      <c r="BW325" s="419"/>
      <c r="BX325" s="1742"/>
      <c r="BY325" s="1743"/>
      <c r="BZ325" s="419"/>
      <c r="CA325" s="419"/>
      <c r="CB325" s="419"/>
      <c r="CC325" s="685"/>
      <c r="CD325" s="419"/>
      <c r="CE325" s="1742"/>
      <c r="CF325" s="1743"/>
      <c r="CG325" s="419"/>
      <c r="CH325" s="419"/>
      <c r="CI325" s="419"/>
      <c r="CJ325" s="685"/>
      <c r="CK325" s="419"/>
      <c r="CL325" s="1742"/>
      <c r="CM325" s="1325">
        <v>0.3070135963458519</v>
      </c>
      <c r="CN325" s="1398">
        <v>0.23</v>
      </c>
      <c r="CO325" s="1398">
        <f>CO344/CO289</f>
        <v>0.29660549623625676</v>
      </c>
      <c r="CP325" s="1398">
        <v>0.22344666818078582</v>
      </c>
      <c r="CQ325" s="1399">
        <f>CQ344/CQ289</f>
        <v>0.25971214371418305</v>
      </c>
      <c r="CR325" s="1398">
        <v>0.26979224276583191</v>
      </c>
      <c r="CS325" s="1398">
        <f>CS344/CS289</f>
        <v>0.24340923076826382</v>
      </c>
      <c r="CT325" s="1325">
        <v>0.25570279291165193</v>
      </c>
      <c r="CU325" s="1398">
        <v>0.21109977088638276</v>
      </c>
      <c r="CV325" s="1398">
        <f>CV344/CV289</f>
        <v>0.27044840333235215</v>
      </c>
      <c r="CW325" s="1398">
        <v>0.2529636102543899</v>
      </c>
      <c r="CX325" s="1399">
        <f>CX344/CX289</f>
        <v>0.25584778334259367</v>
      </c>
      <c r="CY325" s="1398">
        <v>0.24655722667716296</v>
      </c>
      <c r="CZ325" s="1398">
        <f>CZ344/CZ289</f>
        <v>0.25474626795528443</v>
      </c>
      <c r="DA325" s="1325">
        <v>0.25139306209900569</v>
      </c>
      <c r="DB325" s="1398">
        <v>0.18512485331509831</v>
      </c>
      <c r="DC325" s="1398">
        <f>DC344/DC289</f>
        <v>0.26543155993897782</v>
      </c>
      <c r="DD325" s="1832">
        <v>0.25928086768859976</v>
      </c>
      <c r="DE325" s="1959">
        <f>DE344/DE289</f>
        <v>0.26254670101164079</v>
      </c>
      <c r="DF325" s="1814">
        <v>0.22762218678962284</v>
      </c>
      <c r="DG325" s="1832">
        <f>DG344/DG289</f>
        <v>0.26112673812490361</v>
      </c>
      <c r="DH325" s="1325">
        <v>0.24849162889339163</v>
      </c>
      <c r="DI325" s="1832">
        <v>0.14963338165971654</v>
      </c>
      <c r="DJ325" s="1832">
        <f>DJ344/DJ289</f>
        <v>0.27045378377789797</v>
      </c>
      <c r="DK325" s="1971">
        <v>0.25</v>
      </c>
      <c r="DL325" s="1226">
        <f>DL344/DL289</f>
        <v>0.27425589940138667</v>
      </c>
      <c r="DM325" s="1832">
        <v>0.23</v>
      </c>
      <c r="DN325" s="1225">
        <f>DN344/DN289</f>
        <v>0.26362948513077233</v>
      </c>
      <c r="DO325" s="1227">
        <v>0.25</v>
      </c>
      <c r="DP325" s="1225">
        <f t="shared" si="1303"/>
        <v>0.26</v>
      </c>
      <c r="DQ325" s="1225">
        <f>DQ344/DQ289</f>
        <v>0.26</v>
      </c>
      <c r="DR325" s="1225">
        <f t="shared" si="1304"/>
        <v>0.26</v>
      </c>
      <c r="DS325" s="1226">
        <f>DS344/DS289</f>
        <v>0.26</v>
      </c>
      <c r="DT325" s="1225">
        <f t="shared" si="1305"/>
        <v>0.26</v>
      </c>
      <c r="DU325" s="1225">
        <f>DU344/DU289</f>
        <v>0.26</v>
      </c>
      <c r="DV325" s="1227">
        <v>0.26</v>
      </c>
      <c r="DW325" s="1225">
        <f t="shared" si="1306"/>
        <v>0.26</v>
      </c>
      <c r="DX325" s="1225">
        <f>DX344/DX289</f>
        <v>0.26000000000000006</v>
      </c>
      <c r="DY325" s="1225">
        <f t="shared" si="1307"/>
        <v>0.26</v>
      </c>
      <c r="DZ325" s="1226">
        <f>DZ344/DZ289</f>
        <v>0.25999999999999995</v>
      </c>
      <c r="EA325" s="1225">
        <f t="shared" si="1308"/>
        <v>0.26</v>
      </c>
      <c r="EB325" s="1225">
        <f>EB344/EB289</f>
        <v>0.26</v>
      </c>
      <c r="EC325" s="1227">
        <v>0.26</v>
      </c>
      <c r="ED325" s="1225">
        <f t="shared" si="1309"/>
        <v>0.28000000000000003</v>
      </c>
      <c r="EE325" s="1225">
        <f>EE344/EE289</f>
        <v>0.27999999999999997</v>
      </c>
      <c r="EF325" s="1225">
        <f t="shared" si="1310"/>
        <v>0.28000000000000003</v>
      </c>
      <c r="EG325" s="1226">
        <f>EG344/EG289</f>
        <v>0.28000000000000003</v>
      </c>
      <c r="EH325" s="1225">
        <f t="shared" si="1311"/>
        <v>0.28000000000000003</v>
      </c>
      <c r="EI325" s="1225">
        <f>EI344/EI289</f>
        <v>0.28000000000000003</v>
      </c>
      <c r="EJ325" s="1227">
        <v>0.28000000000000003</v>
      </c>
      <c r="EK325" s="1225">
        <f t="shared" si="1312"/>
        <v>0.28000000000000003</v>
      </c>
      <c r="EL325" s="1225">
        <f>EL344/EL289</f>
        <v>0.28000000000000003</v>
      </c>
      <c r="EM325" s="1225">
        <f t="shared" si="1313"/>
        <v>0.28000000000000003</v>
      </c>
      <c r="EN325" s="1226">
        <f>EN344/EN289</f>
        <v>0.27999999999999997</v>
      </c>
      <c r="EO325" s="1225">
        <f t="shared" si="1314"/>
        <v>0.28000000000000003</v>
      </c>
      <c r="EP325" s="1225">
        <f>EP344/EP289</f>
        <v>0.27999999999999997</v>
      </c>
      <c r="EQ325" s="1227">
        <v>0.28000000000000003</v>
      </c>
    </row>
    <row r="326" spans="1:147" ht="10.199999999999999" customHeight="1">
      <c r="A326" s="201" t="str">
        <f>A257</f>
        <v>A330ceo</v>
      </c>
      <c r="B326" s="201"/>
      <c r="C326" s="603"/>
      <c r="D326" s="603"/>
      <c r="E326" s="603"/>
      <c r="F326" s="603"/>
      <c r="G326" s="603"/>
      <c r="H326" s="603"/>
      <c r="I326" s="603"/>
      <c r="J326" s="603"/>
      <c r="K326" s="603"/>
      <c r="L326" s="603"/>
      <c r="M326" s="603"/>
      <c r="N326" s="604"/>
      <c r="O326" s="419"/>
      <c r="P326" s="419"/>
      <c r="Q326" s="419"/>
      <c r="R326" s="685"/>
      <c r="S326" s="419"/>
      <c r="T326" s="419"/>
      <c r="U326" s="1297"/>
      <c r="V326" s="419"/>
      <c r="W326" s="419"/>
      <c r="X326" s="419"/>
      <c r="Y326" s="685"/>
      <c r="Z326" s="419"/>
      <c r="AA326" s="419"/>
      <c r="AB326" s="1297"/>
      <c r="AC326" s="419"/>
      <c r="AD326" s="419"/>
      <c r="AE326" s="419"/>
      <c r="AF326" s="685"/>
      <c r="AG326" s="419"/>
      <c r="AH326" s="419"/>
      <c r="AI326" s="1297"/>
      <c r="AJ326" s="419"/>
      <c r="AK326" s="419"/>
      <c r="AL326" s="419"/>
      <c r="AM326" s="685"/>
      <c r="AN326" s="419"/>
      <c r="AO326" s="419"/>
      <c r="AP326" s="1297"/>
      <c r="AQ326" s="419"/>
      <c r="AR326" s="419"/>
      <c r="AS326" s="419"/>
      <c r="AT326" s="685"/>
      <c r="AU326" s="419"/>
      <c r="AV326" s="419"/>
      <c r="AW326" s="1297"/>
      <c r="AX326" s="419"/>
      <c r="AY326" s="419"/>
      <c r="AZ326" s="419"/>
      <c r="BA326" s="685"/>
      <c r="BB326" s="419"/>
      <c r="BC326" s="419"/>
      <c r="BD326" s="1297"/>
      <c r="BE326" s="419"/>
      <c r="BF326" s="419"/>
      <c r="BG326" s="419"/>
      <c r="BH326" s="685"/>
      <c r="BI326" s="419"/>
      <c r="BJ326" s="419"/>
      <c r="BK326" s="1297"/>
      <c r="BL326" s="419"/>
      <c r="BM326" s="419"/>
      <c r="BN326" s="419"/>
      <c r="BO326" s="685"/>
      <c r="BP326" s="419"/>
      <c r="BQ326" s="419"/>
      <c r="BR326" s="1297"/>
      <c r="BS326" s="419"/>
      <c r="BT326" s="419"/>
      <c r="BU326" s="419"/>
      <c r="BV326" s="685"/>
      <c r="BW326" s="419"/>
      <c r="BX326" s="419"/>
      <c r="BY326" s="1297"/>
      <c r="BZ326" s="419"/>
      <c r="CA326" s="419"/>
      <c r="CB326" s="419"/>
      <c r="CC326" s="685"/>
      <c r="CD326" s="419"/>
      <c r="CE326" s="419"/>
      <c r="CF326" s="1297"/>
      <c r="CG326" s="419"/>
      <c r="CH326" s="419"/>
      <c r="CI326" s="419"/>
      <c r="CJ326" s="685"/>
      <c r="CK326" s="419"/>
      <c r="CL326" s="419"/>
      <c r="CM326" s="1297">
        <v>0.06</v>
      </c>
      <c r="CN326" s="419">
        <v>0.06</v>
      </c>
      <c r="CO326" s="419">
        <f>CO345/CO293</f>
        <v>5.9999999999999984E-2</v>
      </c>
      <c r="CP326" s="419">
        <v>0.06</v>
      </c>
      <c r="CQ326" s="685">
        <f>CQ345/CQ293</f>
        <v>6.0000000000000012E-2</v>
      </c>
      <c r="CR326" s="419">
        <v>0.06</v>
      </c>
      <c r="CS326" s="419">
        <f>CS345/CS293</f>
        <v>6.0000000000000012E-2</v>
      </c>
      <c r="CT326" s="1297">
        <v>0.06</v>
      </c>
      <c r="CU326" s="201">
        <v>7.0000000000000007E-2</v>
      </c>
      <c r="CV326" s="679" t="str">
        <f>IFERROR(CV345/CV293,"NM")</f>
        <v>NM</v>
      </c>
      <c r="CW326" s="201">
        <v>7.0000000000000007E-2</v>
      </c>
      <c r="CX326" s="685">
        <f>CX345/CX293</f>
        <v>7.0000000000000007E-2</v>
      </c>
      <c r="CY326" s="419">
        <v>7.0000000000000007E-2</v>
      </c>
      <c r="CZ326" s="419">
        <f>CZ345/CZ293</f>
        <v>7.0000000000000007E-2</v>
      </c>
      <c r="DA326" s="1743">
        <v>7.0000000000000007E-2</v>
      </c>
      <c r="DB326" s="201">
        <v>7.0000000000000007E-2</v>
      </c>
      <c r="DC326" s="679">
        <f>IFERROR(DC345/DC293,"NM")</f>
        <v>0.08</v>
      </c>
      <c r="DD326" s="201">
        <v>0.08</v>
      </c>
      <c r="DE326" s="716">
        <f>DE345/DE293</f>
        <v>0.08</v>
      </c>
      <c r="DF326" s="1809">
        <v>0.08</v>
      </c>
      <c r="DG326" s="201">
        <f>DG345/DG293</f>
        <v>0.08</v>
      </c>
      <c r="DH326" s="1297">
        <v>0.08</v>
      </c>
      <c r="DI326" s="201">
        <v>7.0000000000000007E-2</v>
      </c>
      <c r="DJ326" s="201">
        <f>DJ345/DJ293</f>
        <v>0.08</v>
      </c>
      <c r="DK326" s="1969">
        <v>0.08</v>
      </c>
      <c r="DL326" s="433">
        <f>DL345/DL293</f>
        <v>0.08</v>
      </c>
      <c r="DM326" s="201">
        <v>0.08</v>
      </c>
      <c r="DN326" s="333">
        <f>DN345/DN293</f>
        <v>0.08</v>
      </c>
      <c r="DO326" s="725">
        <v>0.08</v>
      </c>
      <c r="DP326" s="333">
        <f t="shared" si="1303"/>
        <v>0.08</v>
      </c>
      <c r="DQ326" s="333">
        <f>DQ345/DQ293</f>
        <v>7.9999999999999988E-2</v>
      </c>
      <c r="DR326" s="333">
        <f t="shared" si="1304"/>
        <v>0.08</v>
      </c>
      <c r="DS326" s="433">
        <f>DS345/DS293</f>
        <v>8.0000000000000016E-2</v>
      </c>
      <c r="DT326" s="333">
        <f t="shared" si="1305"/>
        <v>0.08</v>
      </c>
      <c r="DU326" s="333">
        <f>DU345/DU293</f>
        <v>0.08</v>
      </c>
      <c r="DV326" s="384">
        <f>DO326</f>
        <v>0.08</v>
      </c>
      <c r="DW326" s="333">
        <f t="shared" si="1306"/>
        <v>0.08</v>
      </c>
      <c r="DX326" s="333">
        <f>DX345/DX293</f>
        <v>7.9999999999999988E-2</v>
      </c>
      <c r="DY326" s="333">
        <f t="shared" si="1307"/>
        <v>0.08</v>
      </c>
      <c r="DZ326" s="433">
        <f>DZ345/DZ293</f>
        <v>8.0000000000000029E-2</v>
      </c>
      <c r="EA326" s="333">
        <f t="shared" si="1308"/>
        <v>0.08</v>
      </c>
      <c r="EB326" s="333">
        <f>EB345/EB293</f>
        <v>8.0000000000000016E-2</v>
      </c>
      <c r="EC326" s="384">
        <f>DV326</f>
        <v>0.08</v>
      </c>
      <c r="ED326" s="333">
        <f t="shared" si="1309"/>
        <v>0.08</v>
      </c>
      <c r="EE326" s="333">
        <f>EE345/EE293</f>
        <v>7.9999999999999988E-2</v>
      </c>
      <c r="EF326" s="333">
        <f t="shared" si="1310"/>
        <v>0.08</v>
      </c>
      <c r="EG326" s="433">
        <f>EG345/EG293</f>
        <v>7.9999999999999988E-2</v>
      </c>
      <c r="EH326" s="333">
        <f t="shared" si="1311"/>
        <v>0.08</v>
      </c>
      <c r="EI326" s="333">
        <f>EI345/EI293</f>
        <v>0.08</v>
      </c>
      <c r="EJ326" s="384">
        <f t="shared" ref="EJ326:EJ327" si="1315">EC326</f>
        <v>0.08</v>
      </c>
      <c r="EK326" s="333">
        <f t="shared" si="1312"/>
        <v>0.08</v>
      </c>
      <c r="EL326" s="333">
        <f>EL345/EL293</f>
        <v>8.0000000000000016E-2</v>
      </c>
      <c r="EM326" s="333">
        <f t="shared" si="1313"/>
        <v>0.08</v>
      </c>
      <c r="EN326" s="433">
        <f>EN345/EN293</f>
        <v>8.0000000000000016E-2</v>
      </c>
      <c r="EO326" s="333">
        <f t="shared" si="1314"/>
        <v>0.08</v>
      </c>
      <c r="EP326" s="333">
        <f>EP345/EP293</f>
        <v>0.08</v>
      </c>
      <c r="EQ326" s="384">
        <f t="shared" ref="EQ326:EQ327" si="1316">EJ326</f>
        <v>0.08</v>
      </c>
    </row>
    <row r="327" spans="1:147" ht="10.199999999999999" customHeight="1">
      <c r="A327" s="201" t="str">
        <f>A260</f>
        <v>A330neo</v>
      </c>
      <c r="B327" s="201"/>
      <c r="C327" s="603"/>
      <c r="D327" s="603"/>
      <c r="E327" s="603"/>
      <c r="F327" s="603"/>
      <c r="G327" s="603"/>
      <c r="H327" s="603"/>
      <c r="I327" s="603"/>
      <c r="J327" s="603"/>
      <c r="K327" s="603"/>
      <c r="L327" s="603"/>
      <c r="M327" s="603"/>
      <c r="N327" s="604"/>
      <c r="O327" s="419"/>
      <c r="P327" s="419"/>
      <c r="Q327" s="419"/>
      <c r="R327" s="685"/>
      <c r="S327" s="419"/>
      <c r="T327" s="419"/>
      <c r="U327" s="1297"/>
      <c r="V327" s="419"/>
      <c r="W327" s="419"/>
      <c r="X327" s="419"/>
      <c r="Y327" s="685"/>
      <c r="Z327" s="419"/>
      <c r="AA327" s="419"/>
      <c r="AB327" s="1297"/>
      <c r="AC327" s="419"/>
      <c r="AD327" s="419"/>
      <c r="AE327" s="419"/>
      <c r="AF327" s="685"/>
      <c r="AG327" s="419"/>
      <c r="AH327" s="419"/>
      <c r="AI327" s="1297"/>
      <c r="AJ327" s="419"/>
      <c r="AK327" s="419"/>
      <c r="AL327" s="419"/>
      <c r="AM327" s="685"/>
      <c r="AN327" s="419"/>
      <c r="AO327" s="419"/>
      <c r="AP327" s="1297"/>
      <c r="AQ327" s="419"/>
      <c r="AR327" s="419"/>
      <c r="AS327" s="419"/>
      <c r="AT327" s="685"/>
      <c r="AU327" s="419"/>
      <c r="AV327" s="419"/>
      <c r="AW327" s="1297"/>
      <c r="AX327" s="419"/>
      <c r="AY327" s="419"/>
      <c r="AZ327" s="419"/>
      <c r="BA327" s="685"/>
      <c r="BB327" s="419"/>
      <c r="BC327" s="419"/>
      <c r="BD327" s="1297"/>
      <c r="BE327" s="419"/>
      <c r="BF327" s="419"/>
      <c r="BG327" s="419"/>
      <c r="BH327" s="685"/>
      <c r="BI327" s="419"/>
      <c r="BJ327" s="419"/>
      <c r="BK327" s="1297"/>
      <c r="BL327" s="419"/>
      <c r="BM327" s="419"/>
      <c r="BN327" s="419"/>
      <c r="BO327" s="685"/>
      <c r="BP327" s="419"/>
      <c r="BQ327" s="419"/>
      <c r="BR327" s="1297"/>
      <c r="BS327" s="419"/>
      <c r="BT327" s="419"/>
      <c r="BU327" s="419"/>
      <c r="BV327" s="685"/>
      <c r="BW327" s="419"/>
      <c r="BX327" s="419"/>
      <c r="BY327" s="1297"/>
      <c r="BZ327" s="419"/>
      <c r="CA327" s="419"/>
      <c r="CB327" s="419"/>
      <c r="CC327" s="685"/>
      <c r="CD327" s="419"/>
      <c r="CE327" s="419"/>
      <c r="CF327" s="1297"/>
      <c r="CG327" s="419"/>
      <c r="CH327" s="419"/>
      <c r="CI327" s="419"/>
      <c r="CJ327" s="685"/>
      <c r="CK327" s="419"/>
      <c r="CL327" s="419"/>
      <c r="CM327" s="1297">
        <v>0.06</v>
      </c>
      <c r="CN327" s="419">
        <v>0.06</v>
      </c>
      <c r="CO327" s="419">
        <f>CO346/CO296</f>
        <v>0.06</v>
      </c>
      <c r="CP327" s="419">
        <v>0.06</v>
      </c>
      <c r="CQ327" s="685">
        <f>CQ346/CQ296</f>
        <v>5.9999999999999991E-2</v>
      </c>
      <c r="CR327" s="419">
        <v>0.06</v>
      </c>
      <c r="CS327" s="419">
        <f>CS346/CS296</f>
        <v>0.06</v>
      </c>
      <c r="CT327" s="1297">
        <v>0.06</v>
      </c>
      <c r="CU327" s="201">
        <v>7.0000000000000007E-2</v>
      </c>
      <c r="CV327" s="419">
        <f>CV346/CV296</f>
        <v>6.9999999999999993E-2</v>
      </c>
      <c r="CW327" s="201">
        <v>7.0000000000000007E-2</v>
      </c>
      <c r="CX327" s="685">
        <f>CX346/CX296</f>
        <v>7.0000000000000007E-2</v>
      </c>
      <c r="CY327" s="419">
        <v>7.0000000000000007E-2</v>
      </c>
      <c r="CZ327" s="419">
        <f>CZ346/CZ296</f>
        <v>7.0000000000000007E-2</v>
      </c>
      <c r="DA327" s="1743">
        <v>7.0000000000000007E-2</v>
      </c>
      <c r="DB327" s="201">
        <v>7.0000000000000007E-2</v>
      </c>
      <c r="DC327" s="419">
        <f>DC346/DC296</f>
        <v>8.5861450147307103E-2</v>
      </c>
      <c r="DD327" s="201">
        <v>0.08</v>
      </c>
      <c r="DE327" s="716">
        <f>DE346/DE296</f>
        <v>8.0000000000000016E-2</v>
      </c>
      <c r="DF327" s="1809">
        <v>0.08</v>
      </c>
      <c r="DG327" s="201">
        <f>DG346/DG296</f>
        <v>8.0000000000000016E-2</v>
      </c>
      <c r="DH327" s="1297">
        <v>0.08</v>
      </c>
      <c r="DI327" s="201">
        <v>7.0000000000000007E-2</v>
      </c>
      <c r="DJ327" s="201">
        <f>DJ346/DJ296</f>
        <v>8.499520235539218E-2</v>
      </c>
      <c r="DK327" s="1969">
        <v>0.08</v>
      </c>
      <c r="DL327" s="433">
        <f>DL346/DL296</f>
        <v>0.08</v>
      </c>
      <c r="DM327" s="201">
        <v>0.08</v>
      </c>
      <c r="DN327" s="333">
        <f>DN346/DN296</f>
        <v>8.0000000000000016E-2</v>
      </c>
      <c r="DO327" s="725">
        <v>0.08</v>
      </c>
      <c r="DP327" s="333">
        <f t="shared" si="1303"/>
        <v>0.08</v>
      </c>
      <c r="DQ327" s="333">
        <f>DQ346/DQ296</f>
        <v>8.0000000000000016E-2</v>
      </c>
      <c r="DR327" s="333">
        <f t="shared" si="1304"/>
        <v>0.08</v>
      </c>
      <c r="DS327" s="433">
        <f>DS346/DS296</f>
        <v>7.999999999999996E-2</v>
      </c>
      <c r="DT327" s="333">
        <f t="shared" si="1305"/>
        <v>0.08</v>
      </c>
      <c r="DU327" s="333">
        <f>DU346/DU296</f>
        <v>7.9999999999999988E-2</v>
      </c>
      <c r="DV327" s="384">
        <f>DO327</f>
        <v>0.08</v>
      </c>
      <c r="DW327" s="333">
        <f t="shared" si="1306"/>
        <v>0.08</v>
      </c>
      <c r="DX327" s="333">
        <f>DX346/DX296</f>
        <v>0.08</v>
      </c>
      <c r="DY327" s="333">
        <f t="shared" si="1307"/>
        <v>0.08</v>
      </c>
      <c r="DZ327" s="433">
        <f>DZ346/DZ296</f>
        <v>7.9999999999999974E-2</v>
      </c>
      <c r="EA327" s="333">
        <f t="shared" si="1308"/>
        <v>0.08</v>
      </c>
      <c r="EB327" s="333">
        <f>EB346/EB296</f>
        <v>7.9999999999999988E-2</v>
      </c>
      <c r="EC327" s="384">
        <f>DV327</f>
        <v>0.08</v>
      </c>
      <c r="ED327" s="333">
        <f t="shared" si="1309"/>
        <v>0.08</v>
      </c>
      <c r="EE327" s="333">
        <f>EE346/EE296</f>
        <v>0.08</v>
      </c>
      <c r="EF327" s="333">
        <f t="shared" si="1310"/>
        <v>0.08</v>
      </c>
      <c r="EG327" s="433">
        <f>EG346/EG296</f>
        <v>8.0000000000000016E-2</v>
      </c>
      <c r="EH327" s="333">
        <f t="shared" si="1311"/>
        <v>0.08</v>
      </c>
      <c r="EI327" s="333">
        <f>EI346/EI296</f>
        <v>0.08</v>
      </c>
      <c r="EJ327" s="384">
        <f t="shared" si="1315"/>
        <v>0.08</v>
      </c>
      <c r="EK327" s="333">
        <f t="shared" si="1312"/>
        <v>0.08</v>
      </c>
      <c r="EL327" s="333">
        <f>EL346/EL296</f>
        <v>8.0000000000000016E-2</v>
      </c>
      <c r="EM327" s="333">
        <f t="shared" si="1313"/>
        <v>0.08</v>
      </c>
      <c r="EN327" s="433">
        <f>EN346/EN296</f>
        <v>0.08</v>
      </c>
      <c r="EO327" s="333">
        <f t="shared" si="1314"/>
        <v>0.08</v>
      </c>
      <c r="EP327" s="333">
        <f>EP346/EP296</f>
        <v>0.08</v>
      </c>
      <c r="EQ327" s="384">
        <f t="shared" si="1316"/>
        <v>0.08</v>
      </c>
    </row>
    <row r="328" spans="1:147" ht="10.199999999999999" customHeight="1">
      <c r="A328" s="201" t="str">
        <f>A268</f>
        <v>A350</v>
      </c>
      <c r="B328" s="201"/>
      <c r="C328" s="603"/>
      <c r="D328" s="603"/>
      <c r="E328" s="603"/>
      <c r="F328" s="603"/>
      <c r="G328" s="603"/>
      <c r="H328" s="603"/>
      <c r="I328" s="603"/>
      <c r="J328" s="603"/>
      <c r="K328" s="603"/>
      <c r="L328" s="603"/>
      <c r="M328" s="603"/>
      <c r="N328" s="604"/>
      <c r="O328" s="419"/>
      <c r="P328" s="419"/>
      <c r="Q328" s="419"/>
      <c r="R328" s="685"/>
      <c r="S328" s="419"/>
      <c r="T328" s="419"/>
      <c r="U328" s="1297"/>
      <c r="V328" s="419"/>
      <c r="W328" s="419"/>
      <c r="X328" s="419"/>
      <c r="Y328" s="685"/>
      <c r="Z328" s="419"/>
      <c r="AA328" s="419"/>
      <c r="AB328" s="1297"/>
      <c r="AC328" s="419"/>
      <c r="AD328" s="419"/>
      <c r="AE328" s="419"/>
      <c r="AF328" s="685"/>
      <c r="AG328" s="419"/>
      <c r="AH328" s="419"/>
      <c r="AI328" s="1297"/>
      <c r="AJ328" s="419"/>
      <c r="AK328" s="419"/>
      <c r="AL328" s="419"/>
      <c r="AM328" s="685"/>
      <c r="AN328" s="419"/>
      <c r="AO328" s="419"/>
      <c r="AP328" s="1297"/>
      <c r="AQ328" s="419"/>
      <c r="AR328" s="419"/>
      <c r="AS328" s="419"/>
      <c r="AT328" s="685"/>
      <c r="AU328" s="419"/>
      <c r="AV328" s="419"/>
      <c r="AW328" s="1297"/>
      <c r="AX328" s="419"/>
      <c r="AY328" s="419"/>
      <c r="AZ328" s="419"/>
      <c r="BA328" s="685"/>
      <c r="BB328" s="419"/>
      <c r="BC328" s="419"/>
      <c r="BD328" s="1297"/>
      <c r="BE328" s="419"/>
      <c r="BF328" s="419"/>
      <c r="BG328" s="419"/>
      <c r="BH328" s="685"/>
      <c r="BI328" s="419"/>
      <c r="BJ328" s="419"/>
      <c r="BK328" s="1297"/>
      <c r="BL328" s="419"/>
      <c r="BM328" s="419"/>
      <c r="BN328" s="419"/>
      <c r="BO328" s="685"/>
      <c r="BP328" s="419"/>
      <c r="BQ328" s="419"/>
      <c r="BR328" s="1297"/>
      <c r="BS328" s="419"/>
      <c r="BT328" s="419"/>
      <c r="BU328" s="419"/>
      <c r="BV328" s="685"/>
      <c r="BW328" s="419"/>
      <c r="BX328" s="419"/>
      <c r="BY328" s="1297"/>
      <c r="BZ328" s="419"/>
      <c r="CA328" s="419"/>
      <c r="CB328" s="419"/>
      <c r="CC328" s="685"/>
      <c r="CD328" s="419"/>
      <c r="CE328" s="419"/>
      <c r="CF328" s="1297"/>
      <c r="CG328" s="419"/>
      <c r="CH328" s="419"/>
      <c r="CI328" s="419"/>
      <c r="CJ328" s="685"/>
      <c r="CK328" s="419"/>
      <c r="CL328" s="419"/>
      <c r="CM328" s="1297">
        <v>0.06</v>
      </c>
      <c r="CN328" s="419">
        <v>6.6190233405269097E-2</v>
      </c>
      <c r="CO328" s="419">
        <f>CO347/CO304</f>
        <v>6.4913878414569498E-2</v>
      </c>
      <c r="CP328" s="419">
        <v>6.055899891415769E-2</v>
      </c>
      <c r="CQ328" s="685">
        <f>CQ347/CQ304</f>
        <v>5.5129054502885397E-2</v>
      </c>
      <c r="CR328" s="419">
        <v>6.5207858943709937E-2</v>
      </c>
      <c r="CS328" s="419">
        <f>CS347/CS304</f>
        <v>5.7224952505959749E-2</v>
      </c>
      <c r="CT328" s="1297">
        <v>0.06</v>
      </c>
      <c r="CU328" s="201">
        <v>2.7178692739418336E-2</v>
      </c>
      <c r="CV328" s="419">
        <f>CV347/CV304</f>
        <v>4.6643289616907786E-2</v>
      </c>
      <c r="CW328" s="201">
        <v>5.0356530864766609E-2</v>
      </c>
      <c r="CX328" s="685">
        <f>CX347/CX304</f>
        <v>5.9443719983779696E-2</v>
      </c>
      <c r="CY328" s="419">
        <v>0.04</v>
      </c>
      <c r="CZ328" s="419">
        <f>CZ347/CZ304</f>
        <v>5.5727267224446875E-2</v>
      </c>
      <c r="DA328" s="1743">
        <v>0.05</v>
      </c>
      <c r="DB328" s="201">
        <v>0.05</v>
      </c>
      <c r="DC328" s="419">
        <f>DC347/DC304</f>
        <v>6.7748872226267076E-2</v>
      </c>
      <c r="DD328" s="201">
        <v>0.06</v>
      </c>
      <c r="DE328" s="716">
        <f>DE347/DE304</f>
        <v>5.9999999999999991E-2</v>
      </c>
      <c r="DF328" s="1809">
        <v>0.06</v>
      </c>
      <c r="DG328" s="201">
        <f>DG347/DG304</f>
        <v>5.9999999999999991E-2</v>
      </c>
      <c r="DH328" s="1297">
        <v>0.06</v>
      </c>
      <c r="DI328" s="201">
        <v>0.05</v>
      </c>
      <c r="DJ328" s="201">
        <f>DJ347/DJ304</f>
        <v>6.7405104512217429E-2</v>
      </c>
      <c r="DK328" s="1969">
        <v>0.06</v>
      </c>
      <c r="DL328" s="433">
        <f>DL347/DL304</f>
        <v>6.0000000000000005E-2</v>
      </c>
      <c r="DM328" s="201">
        <v>0.06</v>
      </c>
      <c r="DN328" s="333">
        <f>DN347/DN304</f>
        <v>6.0000000000000005E-2</v>
      </c>
      <c r="DO328" s="725">
        <v>0.06</v>
      </c>
      <c r="DP328" s="333">
        <f t="shared" si="1303"/>
        <v>0.06</v>
      </c>
      <c r="DQ328" s="333">
        <f>DQ347/DQ304</f>
        <v>0.06</v>
      </c>
      <c r="DR328" s="333">
        <f t="shared" si="1304"/>
        <v>0.06</v>
      </c>
      <c r="DS328" s="433">
        <f>DS347/DS304</f>
        <v>5.9999999999999991E-2</v>
      </c>
      <c r="DT328" s="333">
        <f t="shared" si="1305"/>
        <v>0.06</v>
      </c>
      <c r="DU328" s="333">
        <f>DU347/DU304</f>
        <v>5.9999999999999991E-2</v>
      </c>
      <c r="DV328" s="725">
        <v>0.06</v>
      </c>
      <c r="DW328" s="333">
        <f t="shared" si="1306"/>
        <v>0.06</v>
      </c>
      <c r="DX328" s="333">
        <f>DX347/DX304</f>
        <v>6.0000000000000005E-2</v>
      </c>
      <c r="DY328" s="333">
        <f t="shared" si="1307"/>
        <v>0.06</v>
      </c>
      <c r="DZ328" s="433">
        <f>DZ347/DZ304</f>
        <v>5.9999999999999977E-2</v>
      </c>
      <c r="EA328" s="333">
        <f t="shared" si="1308"/>
        <v>0.06</v>
      </c>
      <c r="EB328" s="333">
        <f>EB347/EB304</f>
        <v>5.9999999999999991E-2</v>
      </c>
      <c r="EC328" s="725">
        <v>0.06</v>
      </c>
      <c r="ED328" s="333">
        <f t="shared" si="1309"/>
        <v>7.0000000000000007E-2</v>
      </c>
      <c r="EE328" s="333">
        <f>EE347/EE304</f>
        <v>7.0000000000000007E-2</v>
      </c>
      <c r="EF328" s="333">
        <f t="shared" si="1310"/>
        <v>7.0000000000000007E-2</v>
      </c>
      <c r="EG328" s="433">
        <f>EG347/EG304</f>
        <v>7.0000000000000007E-2</v>
      </c>
      <c r="EH328" s="333">
        <f t="shared" si="1311"/>
        <v>7.0000000000000007E-2</v>
      </c>
      <c r="EI328" s="333">
        <f>EI347/EI304</f>
        <v>7.0000000000000007E-2</v>
      </c>
      <c r="EJ328" s="725">
        <v>7.0000000000000007E-2</v>
      </c>
      <c r="EK328" s="333">
        <f t="shared" si="1312"/>
        <v>0.09</v>
      </c>
      <c r="EL328" s="333">
        <f>EL347/EL304</f>
        <v>0.09</v>
      </c>
      <c r="EM328" s="333">
        <f t="shared" si="1313"/>
        <v>0.09</v>
      </c>
      <c r="EN328" s="433">
        <f>EN347/EN304</f>
        <v>9.0000000000000011E-2</v>
      </c>
      <c r="EO328" s="333">
        <f t="shared" si="1314"/>
        <v>0.09</v>
      </c>
      <c r="EP328" s="333">
        <f>EP347/EP304</f>
        <v>9.0000000000000011E-2</v>
      </c>
      <c r="EQ328" s="725">
        <v>0.09</v>
      </c>
    </row>
    <row r="329" spans="1:147" ht="10.199999999999999" customHeight="1">
      <c r="A329" s="293" t="s">
        <v>167</v>
      </c>
      <c r="B329" s="293"/>
      <c r="C329" s="756"/>
      <c r="D329" s="756"/>
      <c r="E329" s="756"/>
      <c r="F329" s="756"/>
      <c r="G329" s="756"/>
      <c r="H329" s="756"/>
      <c r="I329" s="756"/>
      <c r="J329" s="756"/>
      <c r="K329" s="756"/>
      <c r="L329" s="756"/>
      <c r="M329" s="756"/>
      <c r="N329" s="1755"/>
      <c r="O329" s="293"/>
      <c r="P329" s="293"/>
      <c r="Q329" s="293"/>
      <c r="R329" s="686"/>
      <c r="S329" s="293"/>
      <c r="T329" s="293"/>
      <c r="U329" s="1298"/>
      <c r="V329" s="293"/>
      <c r="W329" s="293"/>
      <c r="X329" s="293"/>
      <c r="Y329" s="686"/>
      <c r="Z329" s="293"/>
      <c r="AA329" s="293"/>
      <c r="AB329" s="1298"/>
      <c r="AC329" s="293"/>
      <c r="AD329" s="293"/>
      <c r="AE329" s="293"/>
      <c r="AF329" s="686"/>
      <c r="AG329" s="293"/>
      <c r="AH329" s="293"/>
      <c r="AI329" s="1298"/>
      <c r="AJ329" s="293"/>
      <c r="AK329" s="293"/>
      <c r="AL329" s="293"/>
      <c r="AM329" s="686"/>
      <c r="AN329" s="293"/>
      <c r="AO329" s="293"/>
      <c r="AP329" s="1298"/>
      <c r="AQ329" s="293"/>
      <c r="AR329" s="293"/>
      <c r="AS329" s="293"/>
      <c r="AT329" s="686"/>
      <c r="AU329" s="293"/>
      <c r="AV329" s="293"/>
      <c r="AW329" s="1298"/>
      <c r="AX329" s="293"/>
      <c r="AY329" s="293"/>
      <c r="AZ329" s="293"/>
      <c r="BA329" s="686"/>
      <c r="BB329" s="293"/>
      <c r="BC329" s="293"/>
      <c r="BD329" s="1298"/>
      <c r="BE329" s="293"/>
      <c r="BF329" s="293"/>
      <c r="BG329" s="293"/>
      <c r="BH329" s="686"/>
      <c r="BI329" s="293"/>
      <c r="BJ329" s="293"/>
      <c r="BK329" s="1298"/>
      <c r="BL329" s="293"/>
      <c r="BM329" s="293"/>
      <c r="BN329" s="293"/>
      <c r="BO329" s="686"/>
      <c r="BP329" s="293"/>
      <c r="BQ329" s="293"/>
      <c r="BR329" s="1298"/>
      <c r="BS329" s="293"/>
      <c r="BT329" s="293"/>
      <c r="BU329" s="293"/>
      <c r="BV329" s="686"/>
      <c r="BW329" s="293"/>
      <c r="BX329" s="293"/>
      <c r="BY329" s="1298"/>
      <c r="BZ329" s="293"/>
      <c r="CA329" s="293"/>
      <c r="CB329" s="293"/>
      <c r="CC329" s="686"/>
      <c r="CD329" s="293"/>
      <c r="CE329" s="293"/>
      <c r="CF329" s="1298"/>
      <c r="CG329" s="293"/>
      <c r="CH329" s="293"/>
      <c r="CI329" s="293"/>
      <c r="CJ329" s="686"/>
      <c r="CK329" s="293"/>
      <c r="CL329" s="293"/>
      <c r="CM329" s="1298">
        <f t="shared" ref="CM329:DR329" si="1317">CM348/CM306</f>
        <v>0.21113109806012315</v>
      </c>
      <c r="CN329" s="293">
        <f t="shared" si="1317"/>
        <v>0.1764035149637172</v>
      </c>
      <c r="CO329" s="293">
        <f t="shared" si="1317"/>
        <v>0.20448857803054651</v>
      </c>
      <c r="CP329" s="293">
        <f t="shared" si="1317"/>
        <v>0.1538139235646401</v>
      </c>
      <c r="CQ329" s="686">
        <f t="shared" si="1317"/>
        <v>0.16815779608362474</v>
      </c>
      <c r="CR329" s="293">
        <f t="shared" si="1317"/>
        <v>0.19354414297256675</v>
      </c>
      <c r="CS329" s="293">
        <f t="shared" si="1317"/>
        <v>0.16243045137901777</v>
      </c>
      <c r="CT329" s="1298">
        <f t="shared" si="1317"/>
        <v>0.1755404949299805</v>
      </c>
      <c r="CU329" s="293">
        <f t="shared" si="1317"/>
        <v>0.15218346292109752</v>
      </c>
      <c r="CV329" s="293">
        <f t="shared" ref="CV329" si="1318">CV348/CV306</f>
        <v>0.19534566103615783</v>
      </c>
      <c r="CW329" s="293">
        <f t="shared" si="1317"/>
        <v>0.17492833032783098</v>
      </c>
      <c r="CX329" s="686">
        <f t="shared" ref="CX329" si="1319">CX348/CX306</f>
        <v>0.1780002592056299</v>
      </c>
      <c r="CY329" s="293">
        <f t="shared" si="1317"/>
        <v>0.17711438800721344</v>
      </c>
      <c r="CZ329" s="293">
        <f t="shared" ref="CZ329" si="1320">CZ348/CZ306</f>
        <v>0.17680589549457784</v>
      </c>
      <c r="DA329" s="1794">
        <f t="shared" si="1317"/>
        <v>0.17693368347615479</v>
      </c>
      <c r="DB329" s="293">
        <f t="shared" si="1317"/>
        <v>0.12991627160701288</v>
      </c>
      <c r="DC329" s="293">
        <f t="shared" si="1317"/>
        <v>0.17943403589243598</v>
      </c>
      <c r="DD329" s="293">
        <f t="shared" si="1317"/>
        <v>0.18960679806986727</v>
      </c>
      <c r="DE329" s="686">
        <f t="shared" si="1317"/>
        <v>0.17588271405652312</v>
      </c>
      <c r="DF329" s="293">
        <f t="shared" si="1317"/>
        <v>0.15706250789662476</v>
      </c>
      <c r="DG329" s="293">
        <f t="shared" si="1317"/>
        <v>0.18134284909167084</v>
      </c>
      <c r="DH329" s="1298">
        <f t="shared" si="1317"/>
        <v>0.17204813900623314</v>
      </c>
      <c r="DI329" s="293">
        <f t="shared" si="1317"/>
        <v>9.7281882871643452E-2</v>
      </c>
      <c r="DJ329" s="293">
        <f t="shared" si="1317"/>
        <v>0.19995525373494824</v>
      </c>
      <c r="DK329" s="421">
        <f t="shared" si="1317"/>
        <v>0.16941141240159427</v>
      </c>
      <c r="DL329" s="434">
        <f t="shared" si="1317"/>
        <v>0.17922330405890421</v>
      </c>
      <c r="DM329" s="293">
        <f t="shared" si="1317"/>
        <v>0.16534749525410608</v>
      </c>
      <c r="DN329" s="421">
        <f t="shared" si="1317"/>
        <v>0.17523649900252666</v>
      </c>
      <c r="DO329" s="420">
        <f t="shared" si="1317"/>
        <v>0.17129285208478348</v>
      </c>
      <c r="DP329" s="421">
        <f t="shared" si="1317"/>
        <v>0.17466294152177136</v>
      </c>
      <c r="DQ329" s="421">
        <f t="shared" si="1317"/>
        <v>0.18070443597473029</v>
      </c>
      <c r="DR329" s="421">
        <f t="shared" si="1317"/>
        <v>0.18072641028630496</v>
      </c>
      <c r="DS329" s="434">
        <f t="shared" ref="DS329:EQ329" si="1321">DS348/DS306</f>
        <v>0.18072565898014004</v>
      </c>
      <c r="DT329" s="421">
        <f t="shared" si="1321"/>
        <v>0.17775018585514663</v>
      </c>
      <c r="DU329" s="421">
        <f t="shared" si="1321"/>
        <v>0.18072603468321138</v>
      </c>
      <c r="DV329" s="420">
        <f t="shared" si="1321"/>
        <v>0.17925441783450702</v>
      </c>
      <c r="DW329" s="421">
        <f t="shared" si="1321"/>
        <v>0.17970279898933278</v>
      </c>
      <c r="DX329" s="421">
        <f t="shared" si="1321"/>
        <v>0.18339661705971491</v>
      </c>
      <c r="DY329" s="421">
        <f t="shared" si="1321"/>
        <v>0.18341498265291648</v>
      </c>
      <c r="DZ329" s="434">
        <f t="shared" si="1321"/>
        <v>0.18508657201546341</v>
      </c>
      <c r="EA329" s="421">
        <f t="shared" si="1321"/>
        <v>0.18159349603579536</v>
      </c>
      <c r="EB329" s="421">
        <f t="shared" si="1321"/>
        <v>0.18426000228548928</v>
      </c>
      <c r="EC329" s="420">
        <f t="shared" si="1321"/>
        <v>0.18294992861809195</v>
      </c>
      <c r="ED329" s="421">
        <f t="shared" si="1321"/>
        <v>0.19677780770347292</v>
      </c>
      <c r="EE329" s="421">
        <f t="shared" si="1321"/>
        <v>0.1967589512541193</v>
      </c>
      <c r="EF329" s="421">
        <f t="shared" si="1321"/>
        <v>0.19677780770347289</v>
      </c>
      <c r="EG329" s="434">
        <f t="shared" si="1321"/>
        <v>0.19858367572496666</v>
      </c>
      <c r="EH329" s="421">
        <f t="shared" si="1321"/>
        <v>0.19676838060480928</v>
      </c>
      <c r="EI329" s="421">
        <f t="shared" si="1321"/>
        <v>0.1976906457603832</v>
      </c>
      <c r="EJ329" s="420">
        <f t="shared" si="1321"/>
        <v>0.19723208039430454</v>
      </c>
      <c r="EK329" s="421">
        <f t="shared" si="1321"/>
        <v>0.20227503611506881</v>
      </c>
      <c r="EL329" s="421">
        <f t="shared" si="1321"/>
        <v>0.20225760229073136</v>
      </c>
      <c r="EM329" s="421">
        <f t="shared" si="1321"/>
        <v>0.20227503611506878</v>
      </c>
      <c r="EN329" s="434">
        <f t="shared" si="1321"/>
        <v>0.20394503391153912</v>
      </c>
      <c r="EO329" s="421">
        <f t="shared" si="1321"/>
        <v>0.202266320156749</v>
      </c>
      <c r="EP329" s="421">
        <f t="shared" si="1321"/>
        <v>0.20311910265785366</v>
      </c>
      <c r="EQ329" s="420">
        <f t="shared" si="1321"/>
        <v>0.20269506390511269</v>
      </c>
    </row>
    <row r="330" spans="1:147" ht="10.199999999999999" customHeight="1">
      <c r="A330" s="43"/>
      <c r="B330" s="88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80"/>
      <c r="O330" s="399"/>
      <c r="P330" s="399"/>
      <c r="Q330" s="399"/>
      <c r="R330" s="425"/>
      <c r="S330" s="399"/>
      <c r="T330" s="399"/>
      <c r="U330" s="338"/>
      <c r="V330" s="399"/>
      <c r="W330" s="399"/>
      <c r="X330" s="399"/>
      <c r="Y330" s="425"/>
      <c r="Z330" s="399"/>
      <c r="AA330" s="399"/>
      <c r="AB330" s="338"/>
      <c r="AC330" s="399"/>
      <c r="AD330" s="399"/>
      <c r="AE330" s="399"/>
      <c r="AF330" s="425"/>
      <c r="AG330" s="399"/>
      <c r="AH330" s="399"/>
      <c r="AI330" s="338"/>
      <c r="AJ330" s="399"/>
      <c r="AK330" s="399"/>
      <c r="AL330" s="399"/>
      <c r="AM330" s="425"/>
      <c r="AN330" s="399"/>
      <c r="AO330" s="399"/>
      <c r="AP330" s="338"/>
      <c r="AQ330" s="399"/>
      <c r="AR330" s="399"/>
      <c r="AS330" s="399"/>
      <c r="AT330" s="425"/>
      <c r="AU330" s="399"/>
      <c r="AV330" s="399"/>
      <c r="AW330" s="338"/>
      <c r="AX330" s="399"/>
      <c r="AY330" s="399"/>
      <c r="AZ330" s="399"/>
      <c r="BA330" s="425"/>
      <c r="BB330" s="399"/>
      <c r="BC330" s="399"/>
      <c r="BD330" s="338"/>
      <c r="BE330" s="399"/>
      <c r="BF330" s="399"/>
      <c r="BG330" s="399"/>
      <c r="BH330" s="425"/>
      <c r="BI330" s="399"/>
      <c r="BJ330" s="399"/>
      <c r="BK330" s="338"/>
      <c r="BL330" s="399"/>
      <c r="BM330" s="399"/>
      <c r="BN330" s="399"/>
      <c r="BO330" s="425"/>
      <c r="BP330" s="399"/>
      <c r="BQ330" s="399"/>
      <c r="BR330" s="338"/>
      <c r="BS330" s="399"/>
      <c r="BT330" s="399"/>
      <c r="BU330" s="399"/>
      <c r="BV330" s="425"/>
      <c r="BW330" s="399"/>
      <c r="BX330" s="399"/>
      <c r="BY330" s="338"/>
      <c r="BZ330" s="399"/>
      <c r="CA330" s="399"/>
      <c r="CB330" s="399"/>
      <c r="CC330" s="425"/>
      <c r="CD330" s="399"/>
      <c r="CE330" s="399"/>
      <c r="CF330" s="338"/>
      <c r="CG330" s="399"/>
      <c r="CH330" s="399"/>
      <c r="CI330" s="399"/>
      <c r="CJ330" s="425"/>
      <c r="CK330" s="399"/>
      <c r="CL330" s="399"/>
      <c r="CM330" s="338"/>
      <c r="CN330" s="399"/>
      <c r="CO330" s="399"/>
      <c r="CP330" s="399"/>
      <c r="CQ330" s="425"/>
      <c r="CR330" s="399"/>
      <c r="CS330" s="399"/>
      <c r="CT330" s="338"/>
      <c r="CU330" s="399"/>
      <c r="CV330" s="399"/>
      <c r="CW330" s="399"/>
      <c r="CX330" s="425"/>
      <c r="CY330" s="399"/>
      <c r="CZ330" s="399"/>
      <c r="DA330" s="1793"/>
      <c r="DB330" s="399"/>
      <c r="DC330" s="399"/>
      <c r="DD330" s="399"/>
      <c r="DE330" s="425"/>
      <c r="DF330" s="399"/>
      <c r="DG330" s="399"/>
      <c r="DH330" s="338"/>
      <c r="DI330" s="399"/>
      <c r="DJ330" s="399"/>
      <c r="DK330" s="399"/>
      <c r="DL330" s="425"/>
      <c r="DM330" s="399"/>
      <c r="DN330" s="399"/>
      <c r="DO330" s="338"/>
      <c r="DP330" s="399"/>
      <c r="DQ330" s="399"/>
      <c r="DR330" s="399"/>
      <c r="DS330" s="425"/>
      <c r="DT330" s="399"/>
      <c r="DU330" s="399"/>
      <c r="DV330" s="338"/>
      <c r="DW330" s="399"/>
      <c r="DX330" s="399"/>
      <c r="DY330" s="399"/>
      <c r="DZ330" s="425"/>
      <c r="EA330" s="399"/>
      <c r="EB330" s="399"/>
      <c r="EC330" s="338"/>
      <c r="ED330" s="399"/>
      <c r="EE330" s="399"/>
      <c r="EF330" s="399"/>
      <c r="EG330" s="425"/>
      <c r="EH330" s="399"/>
      <c r="EI330" s="399"/>
      <c r="EJ330" s="338"/>
      <c r="EK330" s="399"/>
      <c r="EL330" s="399"/>
      <c r="EM330" s="399"/>
      <c r="EN330" s="425"/>
      <c r="EO330" s="399"/>
      <c r="EP330" s="399"/>
      <c r="EQ330" s="338"/>
    </row>
    <row r="331" spans="1:147" ht="10.199999999999999" customHeight="1">
      <c r="A331" s="48" t="s">
        <v>766</v>
      </c>
      <c r="B331" s="88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80"/>
      <c r="O331" s="399"/>
      <c r="P331" s="399"/>
      <c r="Q331" s="399"/>
      <c r="R331" s="425"/>
      <c r="S331" s="399"/>
      <c r="T331" s="399"/>
      <c r="U331" s="338"/>
      <c r="V331" s="399"/>
      <c r="W331" s="399"/>
      <c r="X331" s="399"/>
      <c r="Y331" s="425"/>
      <c r="Z331" s="399"/>
      <c r="AA331" s="399"/>
      <c r="AB331" s="338"/>
      <c r="AC331" s="399"/>
      <c r="AD331" s="399"/>
      <c r="AE331" s="399"/>
      <c r="AF331" s="425"/>
      <c r="AG331" s="399"/>
      <c r="AH331" s="399"/>
      <c r="AI331" s="338"/>
      <c r="AJ331" s="399"/>
      <c r="AK331" s="399"/>
      <c r="AL331" s="399"/>
      <c r="AM331" s="425"/>
      <c r="AN331" s="399"/>
      <c r="AO331" s="399"/>
      <c r="AP331" s="338"/>
      <c r="AQ331" s="399"/>
      <c r="AR331" s="399"/>
      <c r="AS331" s="399"/>
      <c r="AT331" s="425"/>
      <c r="AU331" s="399"/>
      <c r="AV331" s="399"/>
      <c r="AW331" s="338"/>
      <c r="AX331" s="399"/>
      <c r="AY331" s="399"/>
      <c r="AZ331" s="399"/>
      <c r="BA331" s="425"/>
      <c r="BB331" s="399"/>
      <c r="BC331" s="399"/>
      <c r="BD331" s="338"/>
      <c r="BE331" s="399"/>
      <c r="BF331" s="399"/>
      <c r="BG331" s="399"/>
      <c r="BH331" s="425"/>
      <c r="BI331" s="399"/>
      <c r="BJ331" s="399"/>
      <c r="BK331" s="338"/>
      <c r="BL331" s="399"/>
      <c r="BM331" s="399"/>
      <c r="BN331" s="399"/>
      <c r="BO331" s="425"/>
      <c r="BP331" s="399"/>
      <c r="BQ331" s="399"/>
      <c r="BR331" s="338"/>
      <c r="BS331" s="399"/>
      <c r="BT331" s="399"/>
      <c r="BU331" s="399"/>
      <c r="BV331" s="425"/>
      <c r="BW331" s="399"/>
      <c r="BX331" s="399"/>
      <c r="BY331" s="338"/>
      <c r="BZ331" s="399"/>
      <c r="CA331" s="399"/>
      <c r="CB331" s="399"/>
      <c r="CC331" s="425"/>
      <c r="CD331" s="399"/>
      <c r="CE331" s="399"/>
      <c r="CF331" s="338"/>
      <c r="CG331" s="399"/>
      <c r="CH331" s="399"/>
      <c r="CI331" s="399"/>
      <c r="CJ331" s="425"/>
      <c r="CK331" s="399"/>
      <c r="CL331" s="399"/>
      <c r="CM331" s="338"/>
      <c r="CN331" s="399"/>
      <c r="CO331" s="399"/>
      <c r="CP331" s="399"/>
      <c r="CQ331" s="425"/>
      <c r="CR331" s="399"/>
      <c r="CS331" s="399"/>
      <c r="CT331" s="338"/>
      <c r="CU331" s="399"/>
      <c r="CV331" s="399"/>
      <c r="CW331" s="399"/>
      <c r="CX331" s="425"/>
      <c r="CY331" s="399"/>
      <c r="CZ331" s="399"/>
      <c r="DA331" s="338"/>
      <c r="DB331" s="399"/>
      <c r="DC331" s="399"/>
      <c r="DD331" s="399"/>
      <c r="DE331" s="425"/>
      <c r="DF331" s="399"/>
      <c r="DG331" s="399"/>
      <c r="DH331" s="338"/>
      <c r="DI331" s="299"/>
      <c r="DJ331" s="399"/>
      <c r="DK331" s="399"/>
      <c r="DL331" s="425"/>
      <c r="DM331" s="399"/>
      <c r="DN331" s="399"/>
      <c r="DO331" s="338"/>
      <c r="DP331" s="399"/>
      <c r="DQ331" s="399"/>
      <c r="DR331" s="399"/>
      <c r="DS331" s="425"/>
      <c r="DT331" s="399"/>
      <c r="DU331" s="399"/>
      <c r="DV331" s="338"/>
      <c r="DW331" s="399"/>
      <c r="DX331" s="399"/>
      <c r="DY331" s="399"/>
      <c r="DZ331" s="425"/>
      <c r="EA331" s="399"/>
      <c r="EB331" s="399"/>
      <c r="EC331" s="338"/>
      <c r="ED331" s="399"/>
      <c r="EE331" s="399"/>
      <c r="EF331" s="399"/>
      <c r="EG331" s="425"/>
      <c r="EH331" s="399"/>
      <c r="EI331" s="399"/>
      <c r="EJ331" s="338"/>
      <c r="EK331" s="399"/>
      <c r="EL331" s="399"/>
      <c r="EM331" s="399"/>
      <c r="EN331" s="425"/>
      <c r="EO331" s="399"/>
      <c r="EP331" s="399"/>
      <c r="EQ331" s="338"/>
    </row>
    <row r="332" spans="1:147" ht="11.25" customHeight="1" thickBot="1">
      <c r="A332" s="607" t="str">
        <f t="shared" ref="A332:A337" si="1322">A323</f>
        <v>A220</v>
      </c>
      <c r="B332" s="607"/>
      <c r="C332" s="730"/>
      <c r="D332" s="730"/>
      <c r="E332" s="730"/>
      <c r="F332" s="730"/>
      <c r="G332" s="730"/>
      <c r="H332" s="730"/>
      <c r="I332" s="730"/>
      <c r="J332" s="730"/>
      <c r="K332" s="730"/>
      <c r="L332" s="730"/>
      <c r="M332" s="730"/>
      <c r="N332" s="1756"/>
      <c r="O332" s="607"/>
      <c r="P332" s="607"/>
      <c r="Q332" s="607"/>
      <c r="R332" s="1326"/>
      <c r="S332" s="607"/>
      <c r="T332" s="731"/>
      <c r="U332" s="731"/>
      <c r="V332" s="607"/>
      <c r="W332" s="607"/>
      <c r="X332" s="607"/>
      <c r="Y332" s="1326"/>
      <c r="Z332" s="607"/>
      <c r="AA332" s="731"/>
      <c r="AB332" s="731"/>
      <c r="AC332" s="607"/>
      <c r="AD332" s="607"/>
      <c r="AE332" s="607"/>
      <c r="AF332" s="1326"/>
      <c r="AG332" s="607"/>
      <c r="AH332" s="731"/>
      <c r="AI332" s="731"/>
      <c r="AJ332" s="607"/>
      <c r="AK332" s="607"/>
      <c r="AL332" s="607"/>
      <c r="AM332" s="1326"/>
      <c r="AN332" s="607"/>
      <c r="AO332" s="731"/>
      <c r="AP332" s="731"/>
      <c r="AQ332" s="607"/>
      <c r="AR332" s="607"/>
      <c r="AS332" s="607"/>
      <c r="AT332" s="1326"/>
      <c r="AU332" s="607"/>
      <c r="AV332" s="731"/>
      <c r="AW332" s="731"/>
      <c r="AX332" s="607"/>
      <c r="AY332" s="607"/>
      <c r="AZ332" s="607"/>
      <c r="BA332" s="1326"/>
      <c r="BB332" s="607"/>
      <c r="BC332" s="731"/>
      <c r="BD332" s="731"/>
      <c r="BE332" s="607"/>
      <c r="BF332" s="607"/>
      <c r="BG332" s="607"/>
      <c r="BH332" s="1326"/>
      <c r="BI332" s="607"/>
      <c r="BJ332" s="731"/>
      <c r="BK332" s="731"/>
      <c r="BL332" s="607"/>
      <c r="BM332" s="607"/>
      <c r="BN332" s="607"/>
      <c r="BO332" s="1326"/>
      <c r="BP332" s="607"/>
      <c r="BQ332" s="731"/>
      <c r="BR332" s="731"/>
      <c r="BS332" s="607"/>
      <c r="BT332" s="607"/>
      <c r="BU332" s="607"/>
      <c r="BV332" s="1326"/>
      <c r="BW332" s="607"/>
      <c r="BX332" s="731"/>
      <c r="BY332" s="731"/>
      <c r="BZ332" s="607"/>
      <c r="CA332" s="607"/>
      <c r="CB332" s="607"/>
      <c r="CC332" s="1326"/>
      <c r="CD332" s="607"/>
      <c r="CE332" s="731"/>
      <c r="CF332" s="731"/>
      <c r="CG332" s="607"/>
      <c r="CH332" s="607"/>
      <c r="CI332" s="607"/>
      <c r="CJ332" s="1326"/>
      <c r="CK332" s="607"/>
      <c r="CL332" s="731"/>
      <c r="CM332" s="731">
        <f>(AVERAGE(CM219:CM220)*CM323)</f>
        <v>-5.6015864280000018</v>
      </c>
      <c r="CN332" s="607">
        <f t="shared" ref="CN332:CS332" si="1323">(AVERAGE(CN219:CN220)*CN323)</f>
        <v>-7.7301892706400004</v>
      </c>
      <c r="CO332" s="607">
        <f t="shared" si="1323"/>
        <v>-6.1164962572003265</v>
      </c>
      <c r="CP332" s="607">
        <f t="shared" si="1323"/>
        <v>-5.7976419529799994</v>
      </c>
      <c r="CQ332" s="1326">
        <f t="shared" si="1323"/>
        <v>-4.9020994220292771</v>
      </c>
      <c r="CR332" s="607">
        <f t="shared" si="1323"/>
        <v>-6.763915611809999</v>
      </c>
      <c r="CS332" s="731">
        <f t="shared" si="1323"/>
        <v>-5.2375698244076494</v>
      </c>
      <c r="CT332" s="731">
        <f>(AVERAGE(CT219:CT220)*CT323)</f>
        <v>-5.7976419529799994</v>
      </c>
      <c r="CU332" s="607">
        <f t="shared" ref="CU332:CZ332" si="1324">(AVERAGE(CU219:CU220)*CU323)</f>
        <v>-5.9425830018045005</v>
      </c>
      <c r="CV332" s="607">
        <f t="shared" si="1324"/>
        <v>-5.9425830018044996</v>
      </c>
      <c r="CW332" s="607">
        <f t="shared" si="1324"/>
        <v>-3.9617220012030003</v>
      </c>
      <c r="CX332" s="1326">
        <f t="shared" si="1324"/>
        <v>-4.5957899866635001</v>
      </c>
      <c r="CY332" s="607">
        <f t="shared" si="1324"/>
        <v>-5.9425830018045005</v>
      </c>
      <c r="CZ332" s="731">
        <f t="shared" si="1324"/>
        <v>-4.3687477185565209</v>
      </c>
      <c r="DA332" s="1333">
        <f>(AVERAGE(DA219:DA220)*DA323)</f>
        <v>-4.9521525015037504</v>
      </c>
      <c r="DB332" s="607">
        <f t="shared" ref="DB332:DG332" si="1325">(AVERAGE(DB219:DB220)*DB323)</f>
        <v>-5.0759563140413437</v>
      </c>
      <c r="DC332" s="607">
        <f t="shared" si="1325"/>
        <v>-4.7246389126009358</v>
      </c>
      <c r="DD332" s="607">
        <f t="shared" si="1325"/>
        <v>-4.0607650512330755</v>
      </c>
      <c r="DE332" s="1326">
        <f t="shared" si="1325"/>
        <v>-6.0424325565159993</v>
      </c>
      <c r="DF332" s="607">
        <f t="shared" si="1325"/>
        <v>-4.8729180614796901</v>
      </c>
      <c r="DG332" s="731">
        <f t="shared" si="1325"/>
        <v>-5.2417055956551479</v>
      </c>
      <c r="DH332" s="1333">
        <f>(AVERAGE(DH219:DH220)*DH323)</f>
        <v>-5.0759563140413437</v>
      </c>
      <c r="DI332" s="607">
        <f t="shared" ref="DI332:DN332" si="1326">(AVERAGE(DI219:DI220)*DI323)</f>
        <v>-4.162284177513901</v>
      </c>
      <c r="DJ332" s="607">
        <f t="shared" si="1326"/>
        <v>-4.162284177513901</v>
      </c>
      <c r="DK332" s="732">
        <f t="shared" si="1326"/>
        <v>-4.162284177513901</v>
      </c>
      <c r="DL332" s="733">
        <f t="shared" si="1326"/>
        <v>-4.1622841775139001</v>
      </c>
      <c r="DM332" s="607">
        <f t="shared" si="1326"/>
        <v>-4.162284177513901</v>
      </c>
      <c r="DN332" s="736">
        <f t="shared" si="1326"/>
        <v>-4.1622841775139001</v>
      </c>
      <c r="DO332" s="735">
        <f>(AVERAGE(DO219:DO220)*DO323)</f>
        <v>-4.162284177513901</v>
      </c>
      <c r="DP332" s="732">
        <f t="shared" ref="DP332:DU332" si="1327">(AVERAGE(DP219:DP220)*DP323)</f>
        <v>-3.4130730255613986</v>
      </c>
      <c r="DQ332" s="732">
        <f t="shared" si="1327"/>
        <v>-3.4130730255613986</v>
      </c>
      <c r="DR332" s="732">
        <f t="shared" si="1327"/>
        <v>-3.4130730255613986</v>
      </c>
      <c r="DS332" s="733">
        <f t="shared" si="1327"/>
        <v>-3.4130730255613986</v>
      </c>
      <c r="DT332" s="732">
        <f t="shared" si="1327"/>
        <v>-3.4130730255613986</v>
      </c>
      <c r="DU332" s="736">
        <f t="shared" si="1327"/>
        <v>-3.4130730255613986</v>
      </c>
      <c r="DV332" s="735">
        <f>(AVERAGE(DV219:DV220)*DV323)</f>
        <v>-3.4130730255613986</v>
      </c>
      <c r="DW332" s="732">
        <f t="shared" ref="DW332:EB332" si="1328">(AVERAGE(DW219:DW220)*DW323)</f>
        <v>-2.1864999070002709</v>
      </c>
      <c r="DX332" s="732">
        <f t="shared" si="1328"/>
        <v>-2.1864999070002709</v>
      </c>
      <c r="DY332" s="732">
        <f t="shared" si="1328"/>
        <v>-2.1864999070002709</v>
      </c>
      <c r="DZ332" s="733">
        <f t="shared" si="1328"/>
        <v>-2.1864999070002704</v>
      </c>
      <c r="EA332" s="732">
        <f t="shared" si="1328"/>
        <v>-2.1864999070002709</v>
      </c>
      <c r="EB332" s="736">
        <f t="shared" si="1328"/>
        <v>-2.1864999070002704</v>
      </c>
      <c r="EC332" s="735">
        <f>(AVERAGE(EC219:EC220)*EC323)</f>
        <v>-2.1864999070002709</v>
      </c>
      <c r="ED332" s="732">
        <f t="shared" ref="ED332:EI332" si="1329">(AVERAGE(ED219:ED220)*ED323)</f>
        <v>-1.3446974428051661</v>
      </c>
      <c r="EE332" s="732">
        <f t="shared" si="1329"/>
        <v>-1.3446974428051661</v>
      </c>
      <c r="EF332" s="732">
        <f t="shared" si="1329"/>
        <v>-1.3446974428051661</v>
      </c>
      <c r="EG332" s="733">
        <f t="shared" si="1329"/>
        <v>-1.3446974428051661</v>
      </c>
      <c r="EH332" s="732">
        <f t="shared" si="1329"/>
        <v>-1.3446974428051661</v>
      </c>
      <c r="EI332" s="736">
        <f t="shared" si="1329"/>
        <v>-1.3446974428051661</v>
      </c>
      <c r="EJ332" s="735">
        <f>(AVERAGE(EJ219:EJ220)*EJ323)</f>
        <v>-1.3446974428051661</v>
      </c>
      <c r="EK332" s="732">
        <f t="shared" ref="EK332:EP332" si="1330">(AVERAGE(EK219:EK220)*EK323)</f>
        <v>0</v>
      </c>
      <c r="EL332" s="732">
        <f t="shared" si="1330"/>
        <v>0</v>
      </c>
      <c r="EM332" s="732">
        <f t="shared" si="1330"/>
        <v>0</v>
      </c>
      <c r="EN332" s="733">
        <f t="shared" si="1330"/>
        <v>0</v>
      </c>
      <c r="EO332" s="732">
        <f t="shared" si="1330"/>
        <v>0</v>
      </c>
      <c r="EP332" s="736">
        <f t="shared" si="1330"/>
        <v>0</v>
      </c>
      <c r="EQ332" s="735">
        <f>(AVERAGE(EQ219:EQ220)*EQ323)</f>
        <v>0</v>
      </c>
    </row>
    <row r="333" spans="1:147" ht="10.199999999999999" customHeight="1">
      <c r="A333" s="607" t="str">
        <f t="shared" si="1322"/>
        <v>A320neo</v>
      </c>
      <c r="B333" s="607"/>
      <c r="C333" s="730"/>
      <c r="D333" s="730"/>
      <c r="E333" s="730"/>
      <c r="F333" s="730"/>
      <c r="G333" s="730"/>
      <c r="H333" s="730"/>
      <c r="I333" s="730"/>
      <c r="J333" s="730"/>
      <c r="K333" s="730"/>
      <c r="L333" s="730"/>
      <c r="M333" s="730"/>
      <c r="N333" s="1756"/>
      <c r="O333" s="607"/>
      <c r="P333" s="607"/>
      <c r="Q333" s="607"/>
      <c r="R333" s="1326"/>
      <c r="S333" s="607"/>
      <c r="T333" s="731"/>
      <c r="U333" s="1333"/>
      <c r="V333" s="607"/>
      <c r="W333" s="607"/>
      <c r="X333" s="607"/>
      <c r="Y333" s="1326"/>
      <c r="Z333" s="607"/>
      <c r="AA333" s="731"/>
      <c r="AB333" s="1333"/>
      <c r="AC333" s="607"/>
      <c r="AD333" s="607"/>
      <c r="AE333" s="607"/>
      <c r="AF333" s="1326"/>
      <c r="AG333" s="607"/>
      <c r="AH333" s="731"/>
      <c r="AI333" s="1333"/>
      <c r="AJ333" s="607"/>
      <c r="AK333" s="607"/>
      <c r="AL333" s="607"/>
      <c r="AM333" s="1326"/>
      <c r="AN333" s="607"/>
      <c r="AO333" s="731"/>
      <c r="AP333" s="1333"/>
      <c r="AQ333" s="607"/>
      <c r="AR333" s="607"/>
      <c r="AS333" s="607"/>
      <c r="AT333" s="1326"/>
      <c r="AU333" s="607"/>
      <c r="AV333" s="731"/>
      <c r="AW333" s="1333"/>
      <c r="AX333" s="607"/>
      <c r="AY333" s="607"/>
      <c r="AZ333" s="607"/>
      <c r="BA333" s="1326"/>
      <c r="BB333" s="607"/>
      <c r="BC333" s="731"/>
      <c r="BD333" s="1333"/>
      <c r="BE333" s="607"/>
      <c r="BF333" s="607"/>
      <c r="BG333" s="607"/>
      <c r="BH333" s="1326"/>
      <c r="BI333" s="607"/>
      <c r="BJ333" s="731"/>
      <c r="BK333" s="1333"/>
      <c r="BL333" s="607"/>
      <c r="BM333" s="607"/>
      <c r="BN333" s="607"/>
      <c r="BO333" s="1326"/>
      <c r="BP333" s="607"/>
      <c r="BQ333" s="731"/>
      <c r="BR333" s="1333"/>
      <c r="BS333" s="607"/>
      <c r="BT333" s="607"/>
      <c r="BU333" s="607"/>
      <c r="BV333" s="1326"/>
      <c r="BW333" s="607"/>
      <c r="BX333" s="731"/>
      <c r="BY333" s="1333"/>
      <c r="BZ333" s="607"/>
      <c r="CA333" s="607"/>
      <c r="CB333" s="607"/>
      <c r="CC333" s="1326"/>
      <c r="CD333" s="607"/>
      <c r="CE333" s="731"/>
      <c r="CF333" s="1333"/>
      <c r="CG333" s="607"/>
      <c r="CH333" s="607"/>
      <c r="CI333" s="607"/>
      <c r="CJ333" s="1326"/>
      <c r="CK333" s="607"/>
      <c r="CL333" s="731"/>
      <c r="CM333" s="1329">
        <f>CM227*CM324</f>
        <v>15.431735831424341</v>
      </c>
      <c r="CN333" s="1228">
        <f t="shared" ref="CN333:CS333" si="1331">CN227*CN324</f>
        <v>12.478736635800152</v>
      </c>
      <c r="CO333" s="1228">
        <f t="shared" si="1331"/>
        <v>13.874284746464594</v>
      </c>
      <c r="CP333" s="1228">
        <f t="shared" si="1331"/>
        <v>10.26960651529604</v>
      </c>
      <c r="CQ333" s="1327">
        <f t="shared" si="1331"/>
        <v>15.051038110354609</v>
      </c>
      <c r="CR333" s="1228">
        <f t="shared" si="1331"/>
        <v>13.382594228621057</v>
      </c>
      <c r="CS333" s="1328">
        <f t="shared" si="1331"/>
        <v>12.802737429196885</v>
      </c>
      <c r="CT333" s="1329">
        <f>CT227*CT324</f>
        <v>13.027111471363572</v>
      </c>
      <c r="CU333" s="1228">
        <f t="shared" ref="CU333:CZ333" si="1332">CU227*CU324</f>
        <v>10.469341422533075</v>
      </c>
      <c r="CV333" s="1228">
        <f t="shared" si="1332"/>
        <v>13.893611179170355</v>
      </c>
      <c r="CW333" s="1228">
        <f t="shared" si="1332"/>
        <v>12.60000382709506</v>
      </c>
      <c r="CX333" s="1327">
        <f t="shared" si="1332"/>
        <v>12.793974575235511</v>
      </c>
      <c r="CY333" s="1228">
        <f t="shared" si="1332"/>
        <v>12.287952282633396</v>
      </c>
      <c r="CZ333" s="1328">
        <f t="shared" si="1332"/>
        <v>12.736642955011122</v>
      </c>
      <c r="DA333" s="1329">
        <f>DA227*DA324</f>
        <v>12.526003888584667</v>
      </c>
      <c r="DB333" s="1228">
        <f t="shared" ref="DB333:DG333" si="1333">DB227*DB324</f>
        <v>9.2982986080728267</v>
      </c>
      <c r="DC333" s="1228">
        <f t="shared" si="1333"/>
        <v>13.252474900979626</v>
      </c>
      <c r="DD333" s="1228">
        <f t="shared" si="1333"/>
        <v>13.278348607527699</v>
      </c>
      <c r="DE333" s="1327">
        <f t="shared" si="1333"/>
        <v>14.263435799438229</v>
      </c>
      <c r="DF333" s="1228">
        <f t="shared" si="1333"/>
        <v>11.423285199123095</v>
      </c>
      <c r="DG333" s="1328">
        <f t="shared" si="1333"/>
        <v>13.799208343777751</v>
      </c>
      <c r="DH333" s="1329">
        <f>DH227*DH324</f>
        <v>12.75762905429132</v>
      </c>
      <c r="DI333" s="1228">
        <f t="shared" ref="DI333:DN333" si="1334">DI227*DI324</f>
        <v>8.1261540779744852</v>
      </c>
      <c r="DJ333" s="1228">
        <f t="shared" si="1334"/>
        <v>14.481416704744898</v>
      </c>
      <c r="DK333" s="1229">
        <f t="shared" si="1334"/>
        <v>12.169215959134206</v>
      </c>
      <c r="DL333" s="1230">
        <f t="shared" si="1334"/>
        <v>14.47272927198269</v>
      </c>
      <c r="DM333" s="1228">
        <f t="shared" si="1334"/>
        <v>12.889761640925048</v>
      </c>
      <c r="DN333" s="1231">
        <f t="shared" si="1334"/>
        <v>13.588295857887966</v>
      </c>
      <c r="DO333" s="1232">
        <f>DO227*DO324</f>
        <v>13.343438551682244</v>
      </c>
      <c r="DP333" s="1229">
        <f t="shared" ref="DP333:DU333" si="1335">DP227*DP324</f>
        <v>14.224105496093271</v>
      </c>
      <c r="DQ333" s="1229">
        <f t="shared" si="1335"/>
        <v>14.224105496093275</v>
      </c>
      <c r="DR333" s="1229">
        <f t="shared" si="1335"/>
        <v>14.224105496093271</v>
      </c>
      <c r="DS333" s="1230">
        <f t="shared" si="1335"/>
        <v>14.224105496093262</v>
      </c>
      <c r="DT333" s="1229">
        <f t="shared" si="1335"/>
        <v>14.224105496093271</v>
      </c>
      <c r="DU333" s="1231">
        <f t="shared" si="1335"/>
        <v>14.224105496093266</v>
      </c>
      <c r="DV333" s="1232">
        <f>DV227*DV324</f>
        <v>14.224105496093271</v>
      </c>
      <c r="DW333" s="1229">
        <f t="shared" ref="DW333:EB333" si="1336">DW227*DW324</f>
        <v>14.579708133495602</v>
      </c>
      <c r="DX333" s="1229">
        <f t="shared" si="1336"/>
        <v>14.579708133495599</v>
      </c>
      <c r="DY333" s="1229">
        <f t="shared" si="1336"/>
        <v>14.579708133495602</v>
      </c>
      <c r="DZ333" s="1230">
        <f t="shared" si="1336"/>
        <v>14.579708133495595</v>
      </c>
      <c r="EA333" s="1229">
        <f t="shared" si="1336"/>
        <v>14.579708133495602</v>
      </c>
      <c r="EB333" s="1231">
        <f t="shared" si="1336"/>
        <v>14.579708133495602</v>
      </c>
      <c r="EC333" s="1232">
        <f>EC227*EC324</f>
        <v>14.579708133495602</v>
      </c>
      <c r="ED333" s="1229">
        <f t="shared" ref="ED333:EI333" si="1337">ED227*ED324</f>
        <v>16.093754747358606</v>
      </c>
      <c r="EE333" s="1229">
        <f t="shared" si="1337"/>
        <v>16.093754747358602</v>
      </c>
      <c r="EF333" s="1229">
        <f t="shared" si="1337"/>
        <v>16.093754747358606</v>
      </c>
      <c r="EG333" s="1230">
        <f t="shared" si="1337"/>
        <v>16.093754747358613</v>
      </c>
      <c r="EH333" s="1229">
        <f t="shared" si="1337"/>
        <v>16.093754747358606</v>
      </c>
      <c r="EI333" s="1231">
        <f t="shared" si="1337"/>
        <v>16.093754747358606</v>
      </c>
      <c r="EJ333" s="1232">
        <f>EJ227*EJ324</f>
        <v>16.093754747358606</v>
      </c>
      <c r="EK333" s="1229">
        <f t="shared" ref="EK333:EP333" si="1338">EK227*EK324</f>
        <v>16.49609861604257</v>
      </c>
      <c r="EL333" s="1229">
        <f t="shared" si="1338"/>
        <v>16.49609861604257</v>
      </c>
      <c r="EM333" s="1229">
        <f t="shared" si="1338"/>
        <v>16.49609861604257</v>
      </c>
      <c r="EN333" s="1230">
        <f t="shared" si="1338"/>
        <v>16.496098616042545</v>
      </c>
      <c r="EO333" s="1229">
        <f t="shared" si="1338"/>
        <v>16.49609861604257</v>
      </c>
      <c r="EP333" s="1231">
        <f t="shared" si="1338"/>
        <v>16.496098616042563</v>
      </c>
      <c r="EQ333" s="1233">
        <f>EQ227*EQ324</f>
        <v>16.49609861604257</v>
      </c>
    </row>
    <row r="334" spans="1:147" ht="10.199999999999999" customHeight="1" thickBot="1">
      <c r="A334" s="607" t="str">
        <f t="shared" si="1322"/>
        <v>A321neo</v>
      </c>
      <c r="B334" s="607"/>
      <c r="C334" s="730"/>
      <c r="D334" s="730"/>
      <c r="E334" s="730"/>
      <c r="F334" s="730"/>
      <c r="G334" s="730"/>
      <c r="H334" s="730"/>
      <c r="I334" s="730"/>
      <c r="J334" s="730"/>
      <c r="K334" s="730"/>
      <c r="L334" s="730"/>
      <c r="M334" s="730"/>
      <c r="N334" s="1756"/>
      <c r="O334" s="607"/>
      <c r="P334" s="607"/>
      <c r="Q334" s="607"/>
      <c r="R334" s="1326"/>
      <c r="S334" s="607"/>
      <c r="T334" s="731"/>
      <c r="U334" s="1333"/>
      <c r="V334" s="607"/>
      <c r="W334" s="607"/>
      <c r="X334" s="607"/>
      <c r="Y334" s="1326"/>
      <c r="Z334" s="607"/>
      <c r="AA334" s="731"/>
      <c r="AB334" s="1333"/>
      <c r="AC334" s="607"/>
      <c r="AD334" s="607"/>
      <c r="AE334" s="607"/>
      <c r="AF334" s="1326"/>
      <c r="AG334" s="607"/>
      <c r="AH334" s="731"/>
      <c r="AI334" s="1333"/>
      <c r="AJ334" s="607"/>
      <c r="AK334" s="607"/>
      <c r="AL334" s="607"/>
      <c r="AM334" s="1326"/>
      <c r="AN334" s="607"/>
      <c r="AO334" s="731"/>
      <c r="AP334" s="1333"/>
      <c r="AQ334" s="607"/>
      <c r="AR334" s="607"/>
      <c r="AS334" s="607"/>
      <c r="AT334" s="1326"/>
      <c r="AU334" s="607"/>
      <c r="AV334" s="731"/>
      <c r="AW334" s="1333"/>
      <c r="AX334" s="607"/>
      <c r="AY334" s="607"/>
      <c r="AZ334" s="607"/>
      <c r="BA334" s="1326"/>
      <c r="BB334" s="607"/>
      <c r="BC334" s="731"/>
      <c r="BD334" s="1333"/>
      <c r="BE334" s="607"/>
      <c r="BF334" s="607"/>
      <c r="BG334" s="607"/>
      <c r="BH334" s="1326"/>
      <c r="BI334" s="607"/>
      <c r="BJ334" s="731"/>
      <c r="BK334" s="1333"/>
      <c r="BL334" s="607"/>
      <c r="BM334" s="607"/>
      <c r="BN334" s="607"/>
      <c r="BO334" s="1326"/>
      <c r="BP334" s="607"/>
      <c r="BQ334" s="731"/>
      <c r="BR334" s="1333"/>
      <c r="BS334" s="607"/>
      <c r="BT334" s="607"/>
      <c r="BU334" s="607"/>
      <c r="BV334" s="1326"/>
      <c r="BW334" s="607"/>
      <c r="BX334" s="731"/>
      <c r="BY334" s="1333"/>
      <c r="BZ334" s="607"/>
      <c r="CA334" s="607"/>
      <c r="CB334" s="607"/>
      <c r="CC334" s="1326"/>
      <c r="CD334" s="607"/>
      <c r="CE334" s="731"/>
      <c r="CF334" s="1333"/>
      <c r="CG334" s="607"/>
      <c r="CH334" s="607"/>
      <c r="CI334" s="607"/>
      <c r="CJ334" s="1326"/>
      <c r="CK334" s="607"/>
      <c r="CL334" s="731"/>
      <c r="CM334" s="1332">
        <f>CM228*CM325</f>
        <v>18.491228952763191</v>
      </c>
      <c r="CN334" s="1234">
        <f t="shared" ref="CN334:CS334" si="1339">CN228*CN325</f>
        <v>14.1816763994283</v>
      </c>
      <c r="CO334" s="1234">
        <f t="shared" si="1339"/>
        <v>18.288535503975833</v>
      </c>
      <c r="CP334" s="1234">
        <f t="shared" si="1339"/>
        <v>13.777601481175378</v>
      </c>
      <c r="CQ334" s="1330">
        <f t="shared" si="1339"/>
        <v>15.260124803665738</v>
      </c>
      <c r="CR334" s="1234">
        <f t="shared" si="1339"/>
        <v>16.635244704265343</v>
      </c>
      <c r="CS334" s="1331">
        <f t="shared" si="1339"/>
        <v>14.655341601090052</v>
      </c>
      <c r="CT334" s="1332">
        <f>CT228*CT325</f>
        <v>15.581008600217821</v>
      </c>
      <c r="CU334" s="1234">
        <f t="shared" ref="CU334:CZ334" si="1340">CU228*CU325</f>
        <v>13.184744644113863</v>
      </c>
      <c r="CV334" s="1234">
        <f t="shared" si="1340"/>
        <v>18.098042603807517</v>
      </c>
      <c r="CW334" s="1234">
        <f t="shared" si="1340"/>
        <v>15.799451564788122</v>
      </c>
      <c r="CX334" s="1330">
        <f t="shared" si="1340"/>
        <v>16.36005595947281</v>
      </c>
      <c r="CY334" s="1234">
        <f t="shared" si="1340"/>
        <v>15.949301356963359</v>
      </c>
      <c r="CZ334" s="1331">
        <f t="shared" si="1340"/>
        <v>16.100205932636921</v>
      </c>
      <c r="DA334" s="1332">
        <f>DA228*DA325</f>
        <v>16.075201082573749</v>
      </c>
      <c r="DB334" s="1234">
        <f t="shared" ref="DB334:DG334" si="1341">DB228*DB325</f>
        <v>11.851479069302755</v>
      </c>
      <c r="DC334" s="1234">
        <f t="shared" si="1341"/>
        <v>16.35116505801825</v>
      </c>
      <c r="DD334" s="1234">
        <f t="shared" si="1341"/>
        <v>16.222126422881452</v>
      </c>
      <c r="DE334" s="1330">
        <f t="shared" si="1341"/>
        <v>16.63071880818352</v>
      </c>
      <c r="DF334" s="1234">
        <f t="shared" si="1341"/>
        <v>14.297067069827779</v>
      </c>
      <c r="DG334" s="1331">
        <f t="shared" si="1341"/>
        <v>16.43919387883285</v>
      </c>
      <c r="DH334" s="1332">
        <f>DH228*DH325</f>
        <v>15.625820005836072</v>
      </c>
      <c r="DI334" s="1234">
        <f t="shared" ref="DI334:DN334" si="1342">DI228*DI325</f>
        <v>10.128895072585077</v>
      </c>
      <c r="DJ334" s="1234">
        <f t="shared" si="1342"/>
        <v>17.684602400559655</v>
      </c>
      <c r="DK334" s="1235">
        <f t="shared" si="1342"/>
        <v>15.623646405450726</v>
      </c>
      <c r="DL334" s="1236">
        <f t="shared" si="1342"/>
        <v>16.634490288542935</v>
      </c>
      <c r="DM334" s="1234">
        <f t="shared" si="1342"/>
        <v>15.30420497314992</v>
      </c>
      <c r="DN334" s="1237">
        <f t="shared" si="1342"/>
        <v>16.232689992519195</v>
      </c>
      <c r="DO334" s="1238">
        <f>DO228*DO325</f>
        <v>16.014237565586996</v>
      </c>
      <c r="DP334" s="1235">
        <f t="shared" ref="DP334:DU334" si="1343">DP228*DP325</f>
        <v>17.071177244915734</v>
      </c>
      <c r="DQ334" s="1235">
        <f t="shared" si="1343"/>
        <v>17.071177244915734</v>
      </c>
      <c r="DR334" s="1235">
        <f t="shared" si="1343"/>
        <v>17.071177244915734</v>
      </c>
      <c r="DS334" s="1236">
        <f t="shared" si="1343"/>
        <v>17.071177244915734</v>
      </c>
      <c r="DT334" s="1235">
        <f t="shared" si="1343"/>
        <v>17.071177244915734</v>
      </c>
      <c r="DU334" s="1237">
        <f t="shared" si="1343"/>
        <v>17.071177244915734</v>
      </c>
      <c r="DV334" s="1238">
        <f>DV228*DV325</f>
        <v>17.071177244915734</v>
      </c>
      <c r="DW334" s="1235">
        <f t="shared" ref="DW334:EB334" si="1344">DW228*DW325</f>
        <v>17.497956676038626</v>
      </c>
      <c r="DX334" s="1235">
        <f t="shared" si="1344"/>
        <v>17.49795667603863</v>
      </c>
      <c r="DY334" s="1235">
        <f t="shared" si="1344"/>
        <v>17.497956676038626</v>
      </c>
      <c r="DZ334" s="1236">
        <f t="shared" si="1344"/>
        <v>17.497956676038623</v>
      </c>
      <c r="EA334" s="1235">
        <f t="shared" si="1344"/>
        <v>17.497956676038626</v>
      </c>
      <c r="EB334" s="1237">
        <f t="shared" si="1344"/>
        <v>17.497956676038626</v>
      </c>
      <c r="EC334" s="1238">
        <f>EC228*EC325</f>
        <v>17.497956676038626</v>
      </c>
      <c r="ED334" s="1235">
        <f t="shared" ref="ED334:EI334" si="1345">ED228*ED325</f>
        <v>19.315052177011868</v>
      </c>
      <c r="EE334" s="1235">
        <f t="shared" si="1345"/>
        <v>19.315052177011861</v>
      </c>
      <c r="EF334" s="1235">
        <f t="shared" si="1345"/>
        <v>19.315052177011868</v>
      </c>
      <c r="EG334" s="1236">
        <f t="shared" si="1345"/>
        <v>19.315052177011868</v>
      </c>
      <c r="EH334" s="1235">
        <f t="shared" si="1345"/>
        <v>19.315052177011868</v>
      </c>
      <c r="EI334" s="1237">
        <f t="shared" si="1345"/>
        <v>19.315052177011868</v>
      </c>
      <c r="EJ334" s="1238">
        <f>EJ228*EJ325</f>
        <v>19.315052177011868</v>
      </c>
      <c r="EK334" s="1235">
        <f t="shared" ref="EK334:EP334" si="1346">EK228*EK325</f>
        <v>19.797928481437161</v>
      </c>
      <c r="EL334" s="1235">
        <f t="shared" si="1346"/>
        <v>19.797928481437161</v>
      </c>
      <c r="EM334" s="1235">
        <f t="shared" si="1346"/>
        <v>19.797928481437161</v>
      </c>
      <c r="EN334" s="1236">
        <f t="shared" si="1346"/>
        <v>19.797928481437157</v>
      </c>
      <c r="EO334" s="1235">
        <f t="shared" si="1346"/>
        <v>19.797928481437161</v>
      </c>
      <c r="EP334" s="1237">
        <f t="shared" si="1346"/>
        <v>19.797928481437157</v>
      </c>
      <c r="EQ334" s="1239">
        <f>EQ228*EQ325</f>
        <v>19.797928481437161</v>
      </c>
    </row>
    <row r="335" spans="1:147" ht="10.199999999999999" customHeight="1">
      <c r="A335" s="607" t="str">
        <f t="shared" si="1322"/>
        <v>A330ceo</v>
      </c>
      <c r="B335" s="607"/>
      <c r="C335" s="730"/>
      <c r="D335" s="730"/>
      <c r="E335" s="730"/>
      <c r="F335" s="730"/>
      <c r="G335" s="730"/>
      <c r="H335" s="730"/>
      <c r="I335" s="730"/>
      <c r="J335" s="730"/>
      <c r="K335" s="730"/>
      <c r="L335" s="730"/>
      <c r="M335" s="730"/>
      <c r="N335" s="1756"/>
      <c r="O335" s="607"/>
      <c r="P335" s="607"/>
      <c r="Q335" s="607"/>
      <c r="R335" s="1326"/>
      <c r="S335" s="607"/>
      <c r="T335" s="731"/>
      <c r="U335" s="731"/>
      <c r="V335" s="607"/>
      <c r="W335" s="607"/>
      <c r="X335" s="607"/>
      <c r="Y335" s="1326"/>
      <c r="Z335" s="607"/>
      <c r="AA335" s="731"/>
      <c r="AB335" s="731"/>
      <c r="AC335" s="607"/>
      <c r="AD335" s="607"/>
      <c r="AE335" s="607"/>
      <c r="AF335" s="1326"/>
      <c r="AG335" s="607"/>
      <c r="AH335" s="731"/>
      <c r="AI335" s="731"/>
      <c r="AJ335" s="607"/>
      <c r="AK335" s="607"/>
      <c r="AL335" s="607"/>
      <c r="AM335" s="1326"/>
      <c r="AN335" s="607"/>
      <c r="AO335" s="731"/>
      <c r="AP335" s="731"/>
      <c r="AQ335" s="607"/>
      <c r="AR335" s="607"/>
      <c r="AS335" s="607"/>
      <c r="AT335" s="1326"/>
      <c r="AU335" s="607"/>
      <c r="AV335" s="731"/>
      <c r="AW335" s="731"/>
      <c r="AX335" s="607"/>
      <c r="AY335" s="607"/>
      <c r="AZ335" s="607"/>
      <c r="BA335" s="1326"/>
      <c r="BB335" s="607"/>
      <c r="BC335" s="731"/>
      <c r="BD335" s="731"/>
      <c r="BE335" s="607"/>
      <c r="BF335" s="607"/>
      <c r="BG335" s="607"/>
      <c r="BH335" s="1326"/>
      <c r="BI335" s="607"/>
      <c r="BJ335" s="731"/>
      <c r="BK335" s="731"/>
      <c r="BL335" s="607"/>
      <c r="BM335" s="607"/>
      <c r="BN335" s="607"/>
      <c r="BO335" s="1326"/>
      <c r="BP335" s="607"/>
      <c r="BQ335" s="731"/>
      <c r="BR335" s="731"/>
      <c r="BS335" s="607"/>
      <c r="BT335" s="607"/>
      <c r="BU335" s="607"/>
      <c r="BV335" s="1326"/>
      <c r="BW335" s="607"/>
      <c r="BX335" s="731"/>
      <c r="BY335" s="731"/>
      <c r="BZ335" s="607"/>
      <c r="CA335" s="607"/>
      <c r="CB335" s="607"/>
      <c r="CC335" s="1326"/>
      <c r="CD335" s="607"/>
      <c r="CE335" s="731"/>
      <c r="CF335" s="731"/>
      <c r="CG335" s="607"/>
      <c r="CH335" s="607"/>
      <c r="CI335" s="607"/>
      <c r="CJ335" s="1326"/>
      <c r="CK335" s="607"/>
      <c r="CL335" s="731"/>
      <c r="CM335" s="731">
        <f>AVERAGE(CM229:CM230)*CM326</f>
        <v>5.7134557917359983</v>
      </c>
      <c r="CN335" s="607">
        <f t="shared" ref="CN335:CS335" si="1347">AVERAGE(CN229:CN230)*CN326</f>
        <v>5.9134267444467579</v>
      </c>
      <c r="CO335" s="607">
        <f t="shared" si="1347"/>
        <v>5.913426744446757</v>
      </c>
      <c r="CP335" s="607">
        <f t="shared" si="1347"/>
        <v>5.9134267444467579</v>
      </c>
      <c r="CQ335" s="1326">
        <f t="shared" si="1347"/>
        <v>5.9134267444467596</v>
      </c>
      <c r="CR335" s="607">
        <f t="shared" si="1347"/>
        <v>5.9134267444467579</v>
      </c>
      <c r="CS335" s="731">
        <f t="shared" si="1347"/>
        <v>5.9134267444467596</v>
      </c>
      <c r="CT335" s="731">
        <f>AVERAGE(CT229:CT230)*CT326</f>
        <v>5.9134267444467579</v>
      </c>
      <c r="CU335" s="607">
        <f t="shared" ref="CU335:CZ335" si="1348">AVERAGE(CU229:CU230)*CU326</f>
        <v>7.0714728152342481</v>
      </c>
      <c r="CV335" s="1435" t="str">
        <f>IFERROR(AVERAGE(CV229:CV230)*CV326,"NM")</f>
        <v>NM</v>
      </c>
      <c r="CW335" s="607">
        <f t="shared" ref="CW335:CX335" si="1349">AVERAGE(CW229:CW230)*CW326</f>
        <v>7.0714728152342481</v>
      </c>
      <c r="CX335" s="1326">
        <f t="shared" si="1349"/>
        <v>7.0714728152342481</v>
      </c>
      <c r="CY335" s="607">
        <f t="shared" si="1348"/>
        <v>7.0714728152342481</v>
      </c>
      <c r="CZ335" s="731">
        <f t="shared" si="1348"/>
        <v>7.0714728152342481</v>
      </c>
      <c r="DA335" s="1333">
        <f>AVERAGE(DA229:DA230)*DA326</f>
        <v>7.0714728152342481</v>
      </c>
      <c r="DB335" s="607">
        <f t="shared" ref="DB335:DF335" si="1350">AVERAGE(DB229:DB230)*DB326</f>
        <v>7.2482596356151046</v>
      </c>
      <c r="DC335" s="1435">
        <f>IFERROR(AVERAGE(DC229:DC230)*DC326,"NM")</f>
        <v>8.2837252978458338</v>
      </c>
      <c r="DD335" s="607">
        <f t="shared" si="1350"/>
        <v>8.2837252978458338</v>
      </c>
      <c r="DE335" s="1326">
        <f t="shared" si="1350"/>
        <v>8.2837252978458338</v>
      </c>
      <c r="DF335" s="607">
        <f t="shared" si="1350"/>
        <v>8.2837252978458338</v>
      </c>
      <c r="DG335" s="731">
        <f>AVERAGE(DG229:DG230)*DG326</f>
        <v>8.2837252978458338</v>
      </c>
      <c r="DH335" s="1333">
        <f>AVERAGE(DH229:DH230)*DH326</f>
        <v>8.2837252978458338</v>
      </c>
      <c r="DI335" s="607">
        <f t="shared" ref="DI335:DN335" si="1351">AVERAGE(DI229:DI230)*DI326</f>
        <v>7.4294661265054813</v>
      </c>
      <c r="DJ335" s="607">
        <f t="shared" si="1351"/>
        <v>8.4908184302919771</v>
      </c>
      <c r="DK335" s="732">
        <f t="shared" si="1351"/>
        <v>8.4908184302919771</v>
      </c>
      <c r="DL335" s="733">
        <f t="shared" si="1351"/>
        <v>8.4908184302919771</v>
      </c>
      <c r="DM335" s="607">
        <f t="shared" si="1351"/>
        <v>8.4908184302919771</v>
      </c>
      <c r="DN335" s="736">
        <f t="shared" si="1351"/>
        <v>8.4908184302919771</v>
      </c>
      <c r="DO335" s="735">
        <f>AVERAGE(DO229:DO230)*DO326</f>
        <v>8.4908184302919771</v>
      </c>
      <c r="DP335" s="732">
        <f t="shared" ref="DP335:DU335" si="1352">AVERAGE(DP229:DP230)*DP326</f>
        <v>8.7030888910492781</v>
      </c>
      <c r="DQ335" s="732">
        <f t="shared" si="1352"/>
        <v>8.7030888910492763</v>
      </c>
      <c r="DR335" s="732">
        <f t="shared" si="1352"/>
        <v>8.7030888910492781</v>
      </c>
      <c r="DS335" s="733">
        <f t="shared" si="1352"/>
        <v>8.7030888910492799</v>
      </c>
      <c r="DT335" s="732">
        <f t="shared" si="1352"/>
        <v>8.7030888910492781</v>
      </c>
      <c r="DU335" s="736">
        <f t="shared" si="1352"/>
        <v>8.7030888910492781</v>
      </c>
      <c r="DV335" s="735">
        <f>AVERAGE(DV229:DV230)*DV326</f>
        <v>8.7030888910492781</v>
      </c>
      <c r="DW335" s="732">
        <f t="shared" ref="DW335:EB335" si="1353">AVERAGE(DW229:DW230)*DW326</f>
        <v>8.9206661133255079</v>
      </c>
      <c r="DX335" s="732">
        <f t="shared" si="1353"/>
        <v>8.9206661133255061</v>
      </c>
      <c r="DY335" s="732">
        <f t="shared" si="1353"/>
        <v>8.9206661133255079</v>
      </c>
      <c r="DZ335" s="733">
        <f t="shared" si="1353"/>
        <v>8.9206661133255114</v>
      </c>
      <c r="EA335" s="732">
        <f t="shared" si="1353"/>
        <v>8.9206661133255079</v>
      </c>
      <c r="EB335" s="736">
        <f t="shared" si="1353"/>
        <v>8.9206661133255096</v>
      </c>
      <c r="EC335" s="735">
        <f>AVERAGE(EC229:EC230)*EC326</f>
        <v>8.9206661133255079</v>
      </c>
      <c r="ED335" s="732">
        <f t="shared" ref="ED335:EI335" si="1354">AVERAGE(ED229:ED230)*ED326</f>
        <v>9.1436827661586459</v>
      </c>
      <c r="EE335" s="732">
        <f t="shared" si="1354"/>
        <v>9.1436827661586442</v>
      </c>
      <c r="EF335" s="732">
        <f t="shared" si="1354"/>
        <v>9.1436827661586459</v>
      </c>
      <c r="EG335" s="733">
        <f t="shared" si="1354"/>
        <v>9.1436827661586442</v>
      </c>
      <c r="EH335" s="732">
        <f t="shared" si="1354"/>
        <v>9.1436827661586459</v>
      </c>
      <c r="EI335" s="736">
        <f t="shared" si="1354"/>
        <v>9.1436827661586459</v>
      </c>
      <c r="EJ335" s="735">
        <f>AVERAGE(EJ229:EJ230)*EJ326</f>
        <v>9.1436827661586459</v>
      </c>
      <c r="EK335" s="732">
        <f t="shared" ref="EK335:EP335" si="1355">AVERAGE(EK229:EK230)*EK326</f>
        <v>9.3722748353126093</v>
      </c>
      <c r="EL335" s="732">
        <f t="shared" si="1355"/>
        <v>9.3722748353126111</v>
      </c>
      <c r="EM335" s="732">
        <f t="shared" si="1355"/>
        <v>9.3722748353126093</v>
      </c>
      <c r="EN335" s="733">
        <f t="shared" si="1355"/>
        <v>9.3722748353126111</v>
      </c>
      <c r="EO335" s="732">
        <f t="shared" si="1355"/>
        <v>9.3722748353126093</v>
      </c>
      <c r="EP335" s="736">
        <f t="shared" si="1355"/>
        <v>9.3722748353126093</v>
      </c>
      <c r="EQ335" s="735">
        <f>AVERAGE(EQ229:EQ230)*EQ326</f>
        <v>9.3722748353126093</v>
      </c>
    </row>
    <row r="336" spans="1:147" ht="10.199999999999999" customHeight="1">
      <c r="A336" s="607" t="str">
        <f t="shared" si="1322"/>
        <v>A330neo</v>
      </c>
      <c r="B336" s="607"/>
      <c r="C336" s="730"/>
      <c r="D336" s="730"/>
      <c r="E336" s="730"/>
      <c r="F336" s="730"/>
      <c r="G336" s="730"/>
      <c r="H336" s="730"/>
      <c r="I336" s="730"/>
      <c r="J336" s="730"/>
      <c r="K336" s="730"/>
      <c r="L336" s="730"/>
      <c r="M336" s="730"/>
      <c r="N336" s="1756"/>
      <c r="O336" s="607"/>
      <c r="P336" s="607"/>
      <c r="Q336" s="607"/>
      <c r="R336" s="1326"/>
      <c r="S336" s="607"/>
      <c r="T336" s="607"/>
      <c r="U336" s="1333"/>
      <c r="V336" s="607"/>
      <c r="W336" s="607"/>
      <c r="X336" s="607"/>
      <c r="Y336" s="1326"/>
      <c r="Z336" s="607"/>
      <c r="AA336" s="607"/>
      <c r="AB336" s="1333"/>
      <c r="AC336" s="607"/>
      <c r="AD336" s="607"/>
      <c r="AE336" s="607"/>
      <c r="AF336" s="1326"/>
      <c r="AG336" s="607"/>
      <c r="AH336" s="607"/>
      <c r="AI336" s="1333"/>
      <c r="AJ336" s="607"/>
      <c r="AK336" s="607"/>
      <c r="AL336" s="607"/>
      <c r="AM336" s="1326"/>
      <c r="AN336" s="607"/>
      <c r="AO336" s="607"/>
      <c r="AP336" s="1333"/>
      <c r="AQ336" s="607"/>
      <c r="AR336" s="607"/>
      <c r="AS336" s="607"/>
      <c r="AT336" s="1326"/>
      <c r="AU336" s="607"/>
      <c r="AV336" s="607"/>
      <c r="AW336" s="1333"/>
      <c r="AX336" s="607"/>
      <c r="AY336" s="607"/>
      <c r="AZ336" s="607"/>
      <c r="BA336" s="1326"/>
      <c r="BB336" s="607"/>
      <c r="BC336" s="607"/>
      <c r="BD336" s="1333"/>
      <c r="BE336" s="607"/>
      <c r="BF336" s="607"/>
      <c r="BG336" s="607"/>
      <c r="BH336" s="1326"/>
      <c r="BI336" s="607"/>
      <c r="BJ336" s="607"/>
      <c r="BK336" s="1333"/>
      <c r="BL336" s="607"/>
      <c r="BM336" s="607"/>
      <c r="BN336" s="607"/>
      <c r="BO336" s="1326"/>
      <c r="BP336" s="607"/>
      <c r="BQ336" s="607"/>
      <c r="BR336" s="1333"/>
      <c r="BS336" s="607"/>
      <c r="BT336" s="607"/>
      <c r="BU336" s="607"/>
      <c r="BV336" s="1326"/>
      <c r="BW336" s="607"/>
      <c r="BX336" s="607"/>
      <c r="BY336" s="1333"/>
      <c r="BZ336" s="607"/>
      <c r="CA336" s="607"/>
      <c r="CB336" s="607"/>
      <c r="CC336" s="1326"/>
      <c r="CD336" s="607"/>
      <c r="CE336" s="607"/>
      <c r="CF336" s="1333"/>
      <c r="CG336" s="607"/>
      <c r="CH336" s="607"/>
      <c r="CI336" s="607"/>
      <c r="CJ336" s="1326"/>
      <c r="CK336" s="607"/>
      <c r="CL336" s="607"/>
      <c r="CM336" s="1333">
        <f>AVERAGE(CM231:CM232)*CM327</f>
        <v>7.2258841272960002</v>
      </c>
      <c r="CN336" s="607">
        <f t="shared" ref="CN336:CS336" si="1356">AVERAGE(CN231:CN232)*CN327</f>
        <v>7.4787900717513587</v>
      </c>
      <c r="CO336" s="607">
        <f t="shared" si="1356"/>
        <v>7.4787900717513587</v>
      </c>
      <c r="CP336" s="607">
        <f t="shared" si="1356"/>
        <v>7.4787900717513587</v>
      </c>
      <c r="CQ336" s="1326">
        <f t="shared" si="1356"/>
        <v>7.4787900717513587</v>
      </c>
      <c r="CR336" s="607">
        <f t="shared" si="1356"/>
        <v>7.4787900717513587</v>
      </c>
      <c r="CS336" s="607">
        <f t="shared" si="1356"/>
        <v>7.4787900717513587</v>
      </c>
      <c r="CT336" s="1333">
        <f>AVERAGE(CT231:CT232)*CT327</f>
        <v>7.4787900717513587</v>
      </c>
      <c r="CU336" s="607">
        <f t="shared" ref="CU336:CZ336" si="1357">AVERAGE(CU231:CU232)*CU327</f>
        <v>8.9433864608026674</v>
      </c>
      <c r="CV336" s="607">
        <f t="shared" si="1357"/>
        <v>8.9433864608026656</v>
      </c>
      <c r="CW336" s="607">
        <f t="shared" si="1357"/>
        <v>8.9433864608026674</v>
      </c>
      <c r="CX336" s="1326">
        <f t="shared" si="1357"/>
        <v>8.9433864608026674</v>
      </c>
      <c r="CY336" s="607">
        <f t="shared" si="1357"/>
        <v>8.9433864608026674</v>
      </c>
      <c r="CZ336" s="607">
        <f t="shared" si="1357"/>
        <v>8.9433864608026674</v>
      </c>
      <c r="DA336" s="1333">
        <f>AVERAGE(DA231:DA232)*DA327</f>
        <v>8.9433864608026674</v>
      </c>
      <c r="DB336" s="607">
        <f t="shared" ref="DB336:DG336" si="1358">AVERAGE(DB231:DB232)*DB327</f>
        <v>9.1669711223227335</v>
      </c>
      <c r="DC336" s="607">
        <f t="shared" si="1358"/>
        <v>11.244134771730245</v>
      </c>
      <c r="DD336" s="607">
        <f t="shared" si="1358"/>
        <v>10.476538425511695</v>
      </c>
      <c r="DE336" s="1326">
        <f t="shared" si="1358"/>
        <v>10.476538425511697</v>
      </c>
      <c r="DF336" s="607">
        <f t="shared" si="1358"/>
        <v>10.476538425511695</v>
      </c>
      <c r="DG336" s="607">
        <f t="shared" si="1358"/>
        <v>10.476538425511697</v>
      </c>
      <c r="DH336" s="1333">
        <f>AVERAGE(DH231:DH232)*DH327</f>
        <v>10.476538425511695</v>
      </c>
      <c r="DI336" s="607">
        <f t="shared" ref="DI336:DN336" si="1359">AVERAGE(DI231:DI232)*DI327</f>
        <v>9.3961454003807994</v>
      </c>
      <c r="DJ336" s="607">
        <f t="shared" si="1359"/>
        <v>11.408961138086479</v>
      </c>
      <c r="DK336" s="732">
        <f t="shared" si="1359"/>
        <v>10.738451886149486</v>
      </c>
      <c r="DL336" s="733">
        <f t="shared" si="1359"/>
        <v>10.738451886149486</v>
      </c>
      <c r="DM336" s="607">
        <f t="shared" si="1359"/>
        <v>10.738451886149486</v>
      </c>
      <c r="DN336" s="732">
        <f t="shared" si="1359"/>
        <v>10.738451886149488</v>
      </c>
      <c r="DO336" s="735">
        <f>AVERAGE(DO231:DO232)*DO327</f>
        <v>10.738451886149486</v>
      </c>
      <c r="DP336" s="732">
        <f t="shared" ref="DP336:DU336" si="1360">AVERAGE(DP231:DP232)*DP327</f>
        <v>11.006913183303222</v>
      </c>
      <c r="DQ336" s="732">
        <f t="shared" si="1360"/>
        <v>11.006913183303224</v>
      </c>
      <c r="DR336" s="732">
        <f t="shared" si="1360"/>
        <v>11.006913183303222</v>
      </c>
      <c r="DS336" s="733">
        <f t="shared" si="1360"/>
        <v>11.006913183303217</v>
      </c>
      <c r="DT336" s="732">
        <f t="shared" si="1360"/>
        <v>11.006913183303222</v>
      </c>
      <c r="DU336" s="732">
        <f t="shared" si="1360"/>
        <v>11.006913183303221</v>
      </c>
      <c r="DV336" s="735">
        <f>AVERAGE(DV231:DV232)*DV327</f>
        <v>11.006913183303222</v>
      </c>
      <c r="DW336" s="732">
        <f t="shared" ref="DW336:EB336" si="1361">AVERAGE(DW231:DW232)*DW327</f>
        <v>11.282086012885802</v>
      </c>
      <c r="DX336" s="732">
        <f t="shared" si="1361"/>
        <v>11.282086012885802</v>
      </c>
      <c r="DY336" s="732">
        <f t="shared" si="1361"/>
        <v>11.282086012885802</v>
      </c>
      <c r="DZ336" s="733">
        <f t="shared" si="1361"/>
        <v>11.282086012885799</v>
      </c>
      <c r="EA336" s="732">
        <f t="shared" si="1361"/>
        <v>11.282086012885802</v>
      </c>
      <c r="EB336" s="732">
        <f t="shared" si="1361"/>
        <v>11.2820860128858</v>
      </c>
      <c r="EC336" s="735">
        <f>AVERAGE(EC231:EC232)*EC327</f>
        <v>11.282086012885802</v>
      </c>
      <c r="ED336" s="732">
        <f t="shared" ref="ED336:EI336" si="1362">AVERAGE(ED231:ED232)*ED327</f>
        <v>11.564138163207945</v>
      </c>
      <c r="EE336" s="732">
        <f t="shared" si="1362"/>
        <v>11.564138163207945</v>
      </c>
      <c r="EF336" s="732">
        <f t="shared" si="1362"/>
        <v>11.564138163207945</v>
      </c>
      <c r="EG336" s="733">
        <f t="shared" si="1362"/>
        <v>11.564138163207947</v>
      </c>
      <c r="EH336" s="732">
        <f t="shared" si="1362"/>
        <v>11.564138163207945</v>
      </c>
      <c r="EI336" s="732">
        <f t="shared" si="1362"/>
        <v>11.564138163207945</v>
      </c>
      <c r="EJ336" s="735">
        <f>AVERAGE(EJ231:EJ232)*EJ327</f>
        <v>11.564138163207945</v>
      </c>
      <c r="EK336" s="732">
        <f t="shared" ref="EK336:EP336" si="1363">AVERAGE(EK231:EK232)*EK327</f>
        <v>11.853241617288143</v>
      </c>
      <c r="EL336" s="732">
        <f t="shared" si="1363"/>
        <v>11.853241617288145</v>
      </c>
      <c r="EM336" s="732">
        <f t="shared" si="1363"/>
        <v>11.853241617288143</v>
      </c>
      <c r="EN336" s="733">
        <f t="shared" si="1363"/>
        <v>11.853241617288143</v>
      </c>
      <c r="EO336" s="732">
        <f t="shared" si="1363"/>
        <v>11.853241617288143</v>
      </c>
      <c r="EP336" s="732">
        <f t="shared" si="1363"/>
        <v>11.853241617288143</v>
      </c>
      <c r="EQ336" s="735">
        <f>AVERAGE(EQ231:EQ232)*EQ327</f>
        <v>11.853241617288143</v>
      </c>
    </row>
    <row r="337" spans="1:147" ht="10.199999999999999" customHeight="1">
      <c r="A337" s="607" t="str">
        <f t="shared" si="1322"/>
        <v>A350</v>
      </c>
      <c r="B337" s="607"/>
      <c r="C337" s="730"/>
      <c r="D337" s="730"/>
      <c r="E337" s="730"/>
      <c r="F337" s="730"/>
      <c r="G337" s="730"/>
      <c r="H337" s="730"/>
      <c r="I337" s="730"/>
      <c r="J337" s="730"/>
      <c r="K337" s="730"/>
      <c r="L337" s="730"/>
      <c r="M337" s="730"/>
      <c r="N337" s="1756"/>
      <c r="O337" s="607"/>
      <c r="P337" s="607"/>
      <c r="Q337" s="607"/>
      <c r="R337" s="1326"/>
      <c r="S337" s="607"/>
      <c r="T337" s="607"/>
      <c r="U337" s="1333"/>
      <c r="V337" s="607"/>
      <c r="W337" s="607"/>
      <c r="X337" s="607"/>
      <c r="Y337" s="1326"/>
      <c r="Z337" s="607"/>
      <c r="AA337" s="607"/>
      <c r="AB337" s="1333"/>
      <c r="AC337" s="607"/>
      <c r="AD337" s="607"/>
      <c r="AE337" s="607"/>
      <c r="AF337" s="1326"/>
      <c r="AG337" s="607"/>
      <c r="AH337" s="607"/>
      <c r="AI337" s="1333"/>
      <c r="AJ337" s="607"/>
      <c r="AK337" s="607"/>
      <c r="AL337" s="607"/>
      <c r="AM337" s="1326"/>
      <c r="AN337" s="607"/>
      <c r="AO337" s="607"/>
      <c r="AP337" s="1333"/>
      <c r="AQ337" s="607"/>
      <c r="AR337" s="607"/>
      <c r="AS337" s="607"/>
      <c r="AT337" s="1326"/>
      <c r="AU337" s="607"/>
      <c r="AV337" s="607"/>
      <c r="AW337" s="1333"/>
      <c r="AX337" s="607"/>
      <c r="AY337" s="607"/>
      <c r="AZ337" s="607"/>
      <c r="BA337" s="1326"/>
      <c r="BB337" s="607"/>
      <c r="BC337" s="607"/>
      <c r="BD337" s="1333"/>
      <c r="BE337" s="607"/>
      <c r="BF337" s="607"/>
      <c r="BG337" s="607"/>
      <c r="BH337" s="1326"/>
      <c r="BI337" s="607"/>
      <c r="BJ337" s="607"/>
      <c r="BK337" s="1333"/>
      <c r="BL337" s="607"/>
      <c r="BM337" s="607"/>
      <c r="BN337" s="607"/>
      <c r="BO337" s="1326"/>
      <c r="BP337" s="607"/>
      <c r="BQ337" s="607"/>
      <c r="BR337" s="1333"/>
      <c r="BS337" s="607"/>
      <c r="BT337" s="607"/>
      <c r="BU337" s="607"/>
      <c r="BV337" s="1326"/>
      <c r="BW337" s="607"/>
      <c r="BX337" s="607"/>
      <c r="BY337" s="1333"/>
      <c r="BZ337" s="607"/>
      <c r="CA337" s="607"/>
      <c r="CB337" s="607"/>
      <c r="CC337" s="1326"/>
      <c r="CD337" s="607"/>
      <c r="CE337" s="607"/>
      <c r="CF337" s="1333"/>
      <c r="CG337" s="607"/>
      <c r="CH337" s="607"/>
      <c r="CI337" s="607"/>
      <c r="CJ337" s="1326"/>
      <c r="CK337" s="607"/>
      <c r="CL337" s="607"/>
      <c r="CM337" s="1333">
        <f>AVERAGE(CM236:CM238)*CM328</f>
        <v>8.8740494557199998</v>
      </c>
      <c r="CN337" s="607">
        <f t="shared" ref="CN337:CS337" si="1364">AVERAGE(CN236:CN238)*CN328</f>
        <v>10.728239009812029</v>
      </c>
      <c r="CO337" s="607">
        <f t="shared" si="1364"/>
        <v>10.521364963640412</v>
      </c>
      <c r="CP337" s="607">
        <f t="shared" si="1364"/>
        <v>9.8155178055968584</v>
      </c>
      <c r="CQ337" s="1326">
        <f t="shared" si="1364"/>
        <v>6.9497727293837563</v>
      </c>
      <c r="CR337" s="607">
        <f t="shared" si="1364"/>
        <v>10.569013887334924</v>
      </c>
      <c r="CS337" s="607">
        <f t="shared" si="1364"/>
        <v>8.2445593049644579</v>
      </c>
      <c r="CT337" s="1333">
        <f>AVERAGE(CT236:CT238)*CT328</f>
        <v>9.184641186670202</v>
      </c>
      <c r="CU337" s="607">
        <f t="shared" ref="CU337:CZ337" si="1365">AVERAGE(CU236:CU238)*CU328</f>
        <v>4.2644534042112321</v>
      </c>
      <c r="CV337" s="607">
        <f t="shared" si="1365"/>
        <v>7.3185320978278128</v>
      </c>
      <c r="CW337" s="607">
        <f t="shared" si="1365"/>
        <v>7.9011555680553949</v>
      </c>
      <c r="CX337" s="1326">
        <f t="shared" si="1365"/>
        <v>9.3269744970535218</v>
      </c>
      <c r="CY337" s="607">
        <f t="shared" si="1365"/>
        <v>6.2761714775579707</v>
      </c>
      <c r="CZ337" s="607">
        <f t="shared" si="1365"/>
        <v>8.7438471269081148</v>
      </c>
      <c r="DA337" s="1333">
        <f>AVERAGE(DA236:DA238)*DA328</f>
        <v>7.845214346947464</v>
      </c>
      <c r="DB337" s="607">
        <f t="shared" ref="DB337:DG337" si="1366">AVERAGE(DB236:DB238)*DB328</f>
        <v>8.0413447056211496</v>
      </c>
      <c r="DC337" s="607">
        <f t="shared" si="1366"/>
        <v>10.895840699769931</v>
      </c>
      <c r="DD337" s="607">
        <f t="shared" si="1366"/>
        <v>9.6496136467453795</v>
      </c>
      <c r="DE337" s="1326">
        <f t="shared" si="1366"/>
        <v>9.6496136467453777</v>
      </c>
      <c r="DF337" s="607">
        <f t="shared" si="1366"/>
        <v>9.6496136467453795</v>
      </c>
      <c r="DG337" s="607">
        <f t="shared" si="1366"/>
        <v>9.6496136467453777</v>
      </c>
      <c r="DH337" s="1333">
        <f>AVERAGE(DH236:DH238)*DH328</f>
        <v>9.6496136467453795</v>
      </c>
      <c r="DI337" s="607">
        <f t="shared" ref="DI337:DN337" si="1367">AVERAGE(DI236:DI238)*DI328</f>
        <v>8.2423783232616774</v>
      </c>
      <c r="DJ337" s="607">
        <f t="shared" si="1367"/>
        <v>11.111567446173776</v>
      </c>
      <c r="DK337" s="732">
        <f t="shared" si="1367"/>
        <v>9.8908539879140118</v>
      </c>
      <c r="DL337" s="733">
        <f t="shared" si="1367"/>
        <v>9.8908539879140136</v>
      </c>
      <c r="DM337" s="607">
        <f t="shared" si="1367"/>
        <v>9.8908539879140118</v>
      </c>
      <c r="DN337" s="732">
        <f t="shared" si="1367"/>
        <v>9.8908539879140136</v>
      </c>
      <c r="DO337" s="735">
        <f>AVERAGE(DO236:DO238)*DO328</f>
        <v>9.8908539879140118</v>
      </c>
      <c r="DP337" s="732">
        <f t="shared" ref="DP337:DU337" si="1368">AVERAGE(DP236:DP238)*DP328</f>
        <v>10.138125337611861</v>
      </c>
      <c r="DQ337" s="732">
        <f t="shared" si="1368"/>
        <v>10.138125337611861</v>
      </c>
      <c r="DR337" s="732">
        <f t="shared" si="1368"/>
        <v>10.138125337611861</v>
      </c>
      <c r="DS337" s="733">
        <f t="shared" si="1368"/>
        <v>10.138125337611859</v>
      </c>
      <c r="DT337" s="732">
        <f t="shared" si="1368"/>
        <v>10.138125337611861</v>
      </c>
      <c r="DU337" s="732">
        <f t="shared" si="1368"/>
        <v>10.138125337611859</v>
      </c>
      <c r="DV337" s="735">
        <f>AVERAGE(DV236:DV238)*DV328</f>
        <v>10.138125337611861</v>
      </c>
      <c r="DW337" s="732">
        <f t="shared" ref="DW337:EB337" si="1369">AVERAGE(DW236:DW238)*DW328</f>
        <v>10.391578471052156</v>
      </c>
      <c r="DX337" s="732">
        <f t="shared" si="1369"/>
        <v>10.391578471052158</v>
      </c>
      <c r="DY337" s="732">
        <f t="shared" si="1369"/>
        <v>10.391578471052156</v>
      </c>
      <c r="DZ337" s="733">
        <f t="shared" si="1369"/>
        <v>10.391578471052153</v>
      </c>
      <c r="EA337" s="732">
        <f t="shared" si="1369"/>
        <v>10.391578471052156</v>
      </c>
      <c r="EB337" s="732">
        <f t="shared" si="1369"/>
        <v>10.391578471052156</v>
      </c>
      <c r="EC337" s="735">
        <f>AVERAGE(EC236:EC238)*EC328</f>
        <v>10.391578471052156</v>
      </c>
      <c r="ED337" s="732">
        <f t="shared" ref="ED337:EI337" si="1370">AVERAGE(ED236:ED238)*ED328</f>
        <v>12.426595921633208</v>
      </c>
      <c r="EE337" s="732">
        <f t="shared" si="1370"/>
        <v>12.426595921633208</v>
      </c>
      <c r="EF337" s="732">
        <f t="shared" si="1370"/>
        <v>12.426595921633208</v>
      </c>
      <c r="EG337" s="733">
        <f t="shared" si="1370"/>
        <v>12.426595921633208</v>
      </c>
      <c r="EH337" s="732">
        <f t="shared" si="1370"/>
        <v>12.426595921633208</v>
      </c>
      <c r="EI337" s="732">
        <f t="shared" si="1370"/>
        <v>12.426595921633208</v>
      </c>
      <c r="EJ337" s="735">
        <f>AVERAGE(EJ236:EJ238)*EJ328</f>
        <v>12.426595921633208</v>
      </c>
      <c r="EK337" s="732">
        <f t="shared" ref="EK337:EP337" si="1371">AVERAGE(EK236:EK238)*EK328</f>
        <v>16.376478196723756</v>
      </c>
      <c r="EL337" s="732">
        <f t="shared" si="1371"/>
        <v>16.376478196723756</v>
      </c>
      <c r="EM337" s="732">
        <f t="shared" si="1371"/>
        <v>16.376478196723756</v>
      </c>
      <c r="EN337" s="733">
        <f t="shared" si="1371"/>
        <v>16.37647819672376</v>
      </c>
      <c r="EO337" s="732">
        <f t="shared" si="1371"/>
        <v>16.376478196723756</v>
      </c>
      <c r="EP337" s="732">
        <f t="shared" si="1371"/>
        <v>16.37647819672376</v>
      </c>
      <c r="EQ337" s="735">
        <f>AVERAGE(EQ236:EQ238)*EQ328</f>
        <v>16.376478196723756</v>
      </c>
    </row>
    <row r="338" spans="1:147" ht="10.199999999999999" customHeight="1">
      <c r="A338" s="626" t="s">
        <v>844</v>
      </c>
      <c r="B338" s="607"/>
      <c r="C338" s="730"/>
      <c r="D338" s="730"/>
      <c r="E338" s="730"/>
      <c r="F338" s="730"/>
      <c r="G338" s="730"/>
      <c r="H338" s="730"/>
      <c r="I338" s="730"/>
      <c r="J338" s="730"/>
      <c r="K338" s="730"/>
      <c r="L338" s="730"/>
      <c r="M338" s="730"/>
      <c r="N338" s="1756"/>
      <c r="O338" s="607"/>
      <c r="P338" s="607"/>
      <c r="Q338" s="607"/>
      <c r="R338" s="1326"/>
      <c r="S338" s="607"/>
      <c r="T338" s="731"/>
      <c r="U338" s="1389"/>
      <c r="V338" s="607"/>
      <c r="W338" s="607"/>
      <c r="X338" s="607"/>
      <c r="Y338" s="1326"/>
      <c r="Z338" s="607"/>
      <c r="AA338" s="731"/>
      <c r="AB338" s="1389"/>
      <c r="AC338" s="607"/>
      <c r="AD338" s="607"/>
      <c r="AE338" s="607"/>
      <c r="AF338" s="1326"/>
      <c r="AG338" s="607"/>
      <c r="AH338" s="731"/>
      <c r="AI338" s="1389"/>
      <c r="AJ338" s="607"/>
      <c r="AK338" s="607"/>
      <c r="AL338" s="607"/>
      <c r="AM338" s="1326"/>
      <c r="AN338" s="607"/>
      <c r="AO338" s="731"/>
      <c r="AP338" s="1389"/>
      <c r="AQ338" s="607"/>
      <c r="AR338" s="607"/>
      <c r="AS338" s="607"/>
      <c r="AT338" s="1326"/>
      <c r="AU338" s="607"/>
      <c r="AV338" s="731"/>
      <c r="AW338" s="1389"/>
      <c r="AX338" s="607"/>
      <c r="AY338" s="607"/>
      <c r="AZ338" s="607"/>
      <c r="BA338" s="1326"/>
      <c r="BB338" s="607"/>
      <c r="BC338" s="731"/>
      <c r="BD338" s="1389"/>
      <c r="BE338" s="607"/>
      <c r="BF338" s="607"/>
      <c r="BG338" s="607"/>
      <c r="BH338" s="1326"/>
      <c r="BI338" s="607"/>
      <c r="BJ338" s="731"/>
      <c r="BK338" s="1389"/>
      <c r="BL338" s="607"/>
      <c r="BM338" s="607"/>
      <c r="BN338" s="607"/>
      <c r="BO338" s="1326"/>
      <c r="BP338" s="607"/>
      <c r="BQ338" s="731"/>
      <c r="BR338" s="1389"/>
      <c r="BS338" s="607"/>
      <c r="BT338" s="607"/>
      <c r="BU338" s="607"/>
      <c r="BV338" s="1326"/>
      <c r="BW338" s="607"/>
      <c r="BX338" s="731"/>
      <c r="BY338" s="1389"/>
      <c r="BZ338" s="607"/>
      <c r="CA338" s="607"/>
      <c r="CB338" s="607"/>
      <c r="CC338" s="1326"/>
      <c r="CD338" s="607"/>
      <c r="CE338" s="731"/>
      <c r="CF338" s="1389"/>
      <c r="CG338" s="607"/>
      <c r="CH338" s="607"/>
      <c r="CI338" s="607"/>
      <c r="CJ338" s="1326"/>
      <c r="CK338" s="607"/>
      <c r="CL338" s="731"/>
      <c r="CM338" s="1389">
        <f>AVERAGE(CM332:CM337)</f>
        <v>8.3557946218232537</v>
      </c>
      <c r="CN338" s="607"/>
      <c r="CO338" s="607"/>
      <c r="CP338" s="607"/>
      <c r="CQ338" s="1326"/>
      <c r="CR338" s="607"/>
      <c r="CS338" s="731"/>
      <c r="CT338" s="1389">
        <f>AVERAGE(CT332:CT337)</f>
        <v>7.5645560202449529</v>
      </c>
      <c r="CU338" s="732"/>
      <c r="CV338" s="732"/>
      <c r="CW338" s="732"/>
      <c r="CX338" s="733"/>
      <c r="CY338" s="732"/>
      <c r="CZ338" s="732"/>
      <c r="DA338" s="1779">
        <f>AVERAGE(DA332:DA337)</f>
        <v>7.9181876821065069</v>
      </c>
      <c r="DB338" s="732"/>
      <c r="DC338" s="732"/>
      <c r="DD338" s="607"/>
      <c r="DE338" s="1326"/>
      <c r="DF338" s="607"/>
      <c r="DG338" s="607"/>
      <c r="DH338" s="1779">
        <f>AVERAGE(DH332:DH337)</f>
        <v>8.6195616860314939</v>
      </c>
      <c r="DI338" s="607"/>
      <c r="DJ338" s="607"/>
      <c r="DK338" s="732"/>
      <c r="DL338" s="733"/>
      <c r="DM338" s="607"/>
      <c r="DN338" s="732"/>
      <c r="DO338" s="1390">
        <f>AVERAGE(DO332:DO337)</f>
        <v>9.0525860406851368</v>
      </c>
      <c r="DP338" s="732"/>
      <c r="DQ338" s="732"/>
      <c r="DR338" s="732"/>
      <c r="DS338" s="733"/>
      <c r="DT338" s="732"/>
      <c r="DU338" s="732"/>
      <c r="DV338" s="1390">
        <f>AVERAGE(DV332:DV337)</f>
        <v>9.6217228545686613</v>
      </c>
      <c r="DW338" s="732"/>
      <c r="DX338" s="732"/>
      <c r="DY338" s="732"/>
      <c r="DZ338" s="733"/>
      <c r="EA338" s="732"/>
      <c r="EB338" s="732"/>
      <c r="EC338" s="1390">
        <f>AVERAGE(EC332:EC337)</f>
        <v>10.080915916632904</v>
      </c>
      <c r="ED338" s="732"/>
      <c r="EE338" s="732"/>
      <c r="EF338" s="732"/>
      <c r="EG338" s="733"/>
      <c r="EH338" s="732"/>
      <c r="EI338" s="732"/>
      <c r="EJ338" s="1390">
        <f>AVERAGE(EJ332:EJ337)</f>
        <v>11.199754388760851</v>
      </c>
      <c r="EK338" s="732"/>
      <c r="EL338" s="732"/>
      <c r="EM338" s="732"/>
      <c r="EN338" s="733"/>
      <c r="EO338" s="732"/>
      <c r="EP338" s="732"/>
      <c r="EQ338" s="1390">
        <f>AVERAGE(EQ332:EQ337)</f>
        <v>12.316003624467372</v>
      </c>
    </row>
    <row r="339" spans="1:147" ht="10.199999999999999" customHeight="1">
      <c r="A339" s="626" t="s">
        <v>845</v>
      </c>
      <c r="B339" s="607"/>
      <c r="C339" s="730"/>
      <c r="D339" s="730"/>
      <c r="E339" s="730"/>
      <c r="F339" s="730"/>
      <c r="G339" s="730"/>
      <c r="H339" s="730"/>
      <c r="I339" s="730"/>
      <c r="J339" s="730"/>
      <c r="K339" s="730"/>
      <c r="L339" s="730"/>
      <c r="M339" s="730"/>
      <c r="N339" s="1756"/>
      <c r="O339" s="607"/>
      <c r="P339" s="607"/>
      <c r="Q339" s="607"/>
      <c r="R339" s="1326"/>
      <c r="S339" s="607"/>
      <c r="T339" s="731"/>
      <c r="U339" s="1389"/>
      <c r="V339" s="607"/>
      <c r="W339" s="607"/>
      <c r="X339" s="607"/>
      <c r="Y339" s="1326"/>
      <c r="Z339" s="607"/>
      <c r="AA339" s="731"/>
      <c r="AB339" s="1389"/>
      <c r="AC339" s="607"/>
      <c r="AD339" s="607"/>
      <c r="AE339" s="607"/>
      <c r="AF339" s="1326"/>
      <c r="AG339" s="607"/>
      <c r="AH339" s="731"/>
      <c r="AI339" s="1389"/>
      <c r="AJ339" s="607"/>
      <c r="AK339" s="607"/>
      <c r="AL339" s="607"/>
      <c r="AM339" s="1326"/>
      <c r="AN339" s="607"/>
      <c r="AO339" s="731"/>
      <c r="AP339" s="1389"/>
      <c r="AQ339" s="607"/>
      <c r="AR339" s="607"/>
      <c r="AS339" s="607"/>
      <c r="AT339" s="1326"/>
      <c r="AU339" s="607"/>
      <c r="AV339" s="731"/>
      <c r="AW339" s="1389"/>
      <c r="AX339" s="607"/>
      <c r="AY339" s="607"/>
      <c r="AZ339" s="607"/>
      <c r="BA339" s="1326"/>
      <c r="BB339" s="607"/>
      <c r="BC339" s="731"/>
      <c r="BD339" s="1389"/>
      <c r="BE339" s="607"/>
      <c r="BF339" s="607"/>
      <c r="BG339" s="607"/>
      <c r="BH339" s="1326"/>
      <c r="BI339" s="607"/>
      <c r="BJ339" s="731"/>
      <c r="BK339" s="1389"/>
      <c r="BL339" s="607"/>
      <c r="BM339" s="607"/>
      <c r="BN339" s="607"/>
      <c r="BO339" s="1326"/>
      <c r="BP339" s="607"/>
      <c r="BQ339" s="731"/>
      <c r="BR339" s="1389"/>
      <c r="BS339" s="607"/>
      <c r="BT339" s="607"/>
      <c r="BU339" s="607"/>
      <c r="BV339" s="1326"/>
      <c r="BW339" s="607"/>
      <c r="BX339" s="731"/>
      <c r="BY339" s="1389"/>
      <c r="BZ339" s="607"/>
      <c r="CA339" s="607"/>
      <c r="CB339" s="607"/>
      <c r="CC339" s="1326"/>
      <c r="CD339" s="607"/>
      <c r="CE339" s="731"/>
      <c r="CF339" s="1389"/>
      <c r="CG339" s="607"/>
      <c r="CH339" s="607"/>
      <c r="CI339" s="607"/>
      <c r="CJ339" s="1326"/>
      <c r="CK339" s="607"/>
      <c r="CL339" s="731"/>
      <c r="CM339" s="1389">
        <f>AVERAGE(CM333:CM337)</f>
        <v>11.147270831787903</v>
      </c>
      <c r="CN339" s="607"/>
      <c r="CO339" s="607"/>
      <c r="CP339" s="607"/>
      <c r="CQ339" s="1326"/>
      <c r="CR339" s="607"/>
      <c r="CS339" s="731"/>
      <c r="CT339" s="1389">
        <f>AVERAGE(CT333:CT337)</f>
        <v>10.236995614889944</v>
      </c>
      <c r="CU339" s="732"/>
      <c r="CV339" s="732"/>
      <c r="CW339" s="732"/>
      <c r="CX339" s="733"/>
      <c r="CY339" s="732"/>
      <c r="CZ339" s="732"/>
      <c r="DA339" s="1779">
        <f>AVERAGE(DA333:DA337)</f>
        <v>10.492255718828561</v>
      </c>
      <c r="DB339" s="732"/>
      <c r="DC339" s="732"/>
      <c r="DD339" s="607"/>
      <c r="DE339" s="1326"/>
      <c r="DF339" s="607"/>
      <c r="DG339" s="607"/>
      <c r="DH339" s="1779">
        <f>AVERAGE(DH333:DH337)</f>
        <v>11.358665286046058</v>
      </c>
      <c r="DI339" s="607"/>
      <c r="DJ339" s="607"/>
      <c r="DK339" s="732"/>
      <c r="DL339" s="733"/>
      <c r="DM339" s="607"/>
      <c r="DN339" s="732"/>
      <c r="DO339" s="1390">
        <f>AVERAGE(DO333:DO337)</f>
        <v>11.695560084324942</v>
      </c>
      <c r="DP339" s="732"/>
      <c r="DQ339" s="732"/>
      <c r="DR339" s="732"/>
      <c r="DS339" s="733"/>
      <c r="DT339" s="732"/>
      <c r="DU339" s="732"/>
      <c r="DV339" s="1390">
        <f>AVERAGE(DV333:DV337)</f>
        <v>12.228682030594673</v>
      </c>
      <c r="DW339" s="732"/>
      <c r="DX339" s="732"/>
      <c r="DY339" s="732"/>
      <c r="DZ339" s="733"/>
      <c r="EA339" s="732"/>
      <c r="EB339" s="732"/>
      <c r="EC339" s="1390">
        <f>AVERAGE(EC333:EC337)</f>
        <v>12.534399081359538</v>
      </c>
      <c r="ED339" s="732"/>
      <c r="EE339" s="732"/>
      <c r="EF339" s="732"/>
      <c r="EG339" s="733"/>
      <c r="EH339" s="732"/>
      <c r="EI339" s="732"/>
      <c r="EJ339" s="1390">
        <f>AVERAGE(EJ333:EJ337)</f>
        <v>13.708644755074056</v>
      </c>
      <c r="EK339" s="732"/>
      <c r="EL339" s="732"/>
      <c r="EM339" s="732"/>
      <c r="EN339" s="733"/>
      <c r="EO339" s="732"/>
      <c r="EP339" s="732"/>
      <c r="EQ339" s="1390">
        <f>AVERAGE(EQ333:EQ337)</f>
        <v>14.779204349360848</v>
      </c>
    </row>
    <row r="340" spans="1:147" ht="10.199999999999999" customHeight="1">
      <c r="A340" s="43"/>
      <c r="B340" s="88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80"/>
      <c r="O340" s="399"/>
      <c r="P340" s="399"/>
      <c r="Q340" s="399"/>
      <c r="R340" s="425"/>
      <c r="S340" s="399"/>
      <c r="T340" s="399"/>
      <c r="U340" s="404"/>
      <c r="V340" s="399"/>
      <c r="W340" s="399"/>
      <c r="X340" s="399"/>
      <c r="Y340" s="425"/>
      <c r="Z340" s="399"/>
      <c r="AA340" s="399"/>
      <c r="AB340" s="404"/>
      <c r="AC340" s="399"/>
      <c r="AD340" s="399"/>
      <c r="AE340" s="399"/>
      <c r="AF340" s="425"/>
      <c r="AG340" s="399"/>
      <c r="AH340" s="399"/>
      <c r="AI340" s="404"/>
      <c r="AJ340" s="399"/>
      <c r="AK340" s="399"/>
      <c r="AL340" s="399"/>
      <c r="AM340" s="425"/>
      <c r="AN340" s="399"/>
      <c r="AO340" s="399"/>
      <c r="AP340" s="404"/>
      <c r="AQ340" s="399"/>
      <c r="AR340" s="399"/>
      <c r="AS340" s="399"/>
      <c r="AT340" s="425"/>
      <c r="AU340" s="399"/>
      <c r="AV340" s="399"/>
      <c r="AW340" s="404"/>
      <c r="AX340" s="399"/>
      <c r="AY340" s="399"/>
      <c r="AZ340" s="399"/>
      <c r="BA340" s="425"/>
      <c r="BB340" s="399"/>
      <c r="BC340" s="399"/>
      <c r="BD340" s="404"/>
      <c r="BE340" s="399"/>
      <c r="BF340" s="399"/>
      <c r="BG340" s="399"/>
      <c r="BH340" s="425"/>
      <c r="BI340" s="399"/>
      <c r="BJ340" s="399"/>
      <c r="BK340" s="404"/>
      <c r="BL340" s="399"/>
      <c r="BM340" s="399"/>
      <c r="BN340" s="399"/>
      <c r="BO340" s="425"/>
      <c r="BP340" s="399"/>
      <c r="BQ340" s="399"/>
      <c r="BR340" s="404"/>
      <c r="BS340" s="399"/>
      <c r="BT340" s="399"/>
      <c r="BU340" s="399"/>
      <c r="BV340" s="425"/>
      <c r="BW340" s="399"/>
      <c r="BX340" s="399"/>
      <c r="BY340" s="404"/>
      <c r="BZ340" s="399"/>
      <c r="CA340" s="399"/>
      <c r="CB340" s="399"/>
      <c r="CC340" s="425"/>
      <c r="CD340" s="399"/>
      <c r="CE340" s="399"/>
      <c r="CF340" s="404"/>
      <c r="CG340" s="399"/>
      <c r="CH340" s="399"/>
      <c r="CI340" s="399"/>
      <c r="CJ340" s="425"/>
      <c r="CK340" s="399"/>
      <c r="CL340" s="399"/>
      <c r="CM340" s="404"/>
      <c r="CN340" s="399"/>
      <c r="CO340" s="399"/>
      <c r="CP340" s="399"/>
      <c r="CQ340" s="425"/>
      <c r="CR340" s="399"/>
      <c r="CS340" s="399"/>
      <c r="CT340" s="404"/>
      <c r="CU340" s="399"/>
      <c r="CV340" s="399"/>
      <c r="CW340" s="399"/>
      <c r="CX340" s="425"/>
      <c r="CY340" s="399"/>
      <c r="CZ340" s="399"/>
      <c r="DA340" s="404"/>
      <c r="DB340" s="399"/>
      <c r="DC340" s="399"/>
      <c r="DD340" s="299"/>
      <c r="DE340" s="425"/>
      <c r="DF340" s="399"/>
      <c r="DG340" s="399"/>
      <c r="DH340" s="404"/>
      <c r="DI340" s="299"/>
      <c r="DJ340" s="299"/>
      <c r="DK340" s="399"/>
      <c r="DL340" s="425"/>
      <c r="DM340" s="299"/>
      <c r="DN340" s="399"/>
      <c r="DO340" s="404"/>
      <c r="DP340" s="399"/>
      <c r="DQ340" s="399"/>
      <c r="DR340" s="399"/>
      <c r="DS340" s="425"/>
      <c r="DT340" s="399"/>
      <c r="DU340" s="399"/>
      <c r="DV340" s="404"/>
      <c r="DW340" s="399"/>
      <c r="DX340" s="399"/>
      <c r="DY340" s="399"/>
      <c r="DZ340" s="425"/>
      <c r="EA340" s="399"/>
      <c r="EB340" s="399"/>
      <c r="EC340" s="404"/>
      <c r="ED340" s="399"/>
      <c r="EE340" s="399"/>
      <c r="EF340" s="399"/>
      <c r="EG340" s="425"/>
      <c r="EH340" s="399"/>
      <c r="EI340" s="399"/>
      <c r="EJ340" s="404"/>
      <c r="EK340" s="399"/>
      <c r="EL340" s="399"/>
      <c r="EM340" s="399"/>
      <c r="EN340" s="425"/>
      <c r="EO340" s="399"/>
      <c r="EP340" s="399"/>
      <c r="EQ340" s="404"/>
    </row>
    <row r="341" spans="1:147" ht="10.199999999999999" customHeight="1">
      <c r="A341" s="48" t="s">
        <v>754</v>
      </c>
      <c r="B341" s="88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80"/>
      <c r="O341" s="399"/>
      <c r="P341" s="399"/>
      <c r="Q341" s="399"/>
      <c r="R341" s="425"/>
      <c r="S341" s="399"/>
      <c r="T341" s="399"/>
      <c r="U341" s="404"/>
      <c r="V341" s="399"/>
      <c r="W341" s="399"/>
      <c r="X341" s="399"/>
      <c r="Y341" s="425"/>
      <c r="Z341" s="399"/>
      <c r="AA341" s="399"/>
      <c r="AB341" s="404"/>
      <c r="AC341" s="399"/>
      <c r="AD341" s="399"/>
      <c r="AE341" s="399"/>
      <c r="AF341" s="425"/>
      <c r="AG341" s="399"/>
      <c r="AH341" s="399"/>
      <c r="AI341" s="404"/>
      <c r="AJ341" s="399"/>
      <c r="AK341" s="399"/>
      <c r="AL341" s="399"/>
      <c r="AM341" s="425"/>
      <c r="AN341" s="399"/>
      <c r="AO341" s="399"/>
      <c r="AP341" s="404"/>
      <c r="AQ341" s="399"/>
      <c r="AR341" s="399"/>
      <c r="AS341" s="399"/>
      <c r="AT341" s="425"/>
      <c r="AU341" s="399"/>
      <c r="AV341" s="399"/>
      <c r="AW341" s="404"/>
      <c r="AX341" s="399"/>
      <c r="AY341" s="399"/>
      <c r="AZ341" s="399"/>
      <c r="BA341" s="425"/>
      <c r="BB341" s="399"/>
      <c r="BC341" s="399"/>
      <c r="BD341" s="404"/>
      <c r="BE341" s="399"/>
      <c r="BF341" s="399"/>
      <c r="BG341" s="399"/>
      <c r="BH341" s="425"/>
      <c r="BI341" s="399"/>
      <c r="BJ341" s="399"/>
      <c r="BK341" s="404"/>
      <c r="BL341" s="399"/>
      <c r="BM341" s="399"/>
      <c r="BN341" s="399"/>
      <c r="BO341" s="425"/>
      <c r="BP341" s="399"/>
      <c r="BQ341" s="399"/>
      <c r="BR341" s="404"/>
      <c r="BS341" s="399"/>
      <c r="BT341" s="399"/>
      <c r="BU341" s="399"/>
      <c r="BV341" s="425"/>
      <c r="BW341" s="399"/>
      <c r="BX341" s="399"/>
      <c r="BY341" s="404"/>
      <c r="BZ341" s="399"/>
      <c r="CA341" s="399"/>
      <c r="CB341" s="399"/>
      <c r="CC341" s="425"/>
      <c r="CD341" s="399"/>
      <c r="CE341" s="399"/>
      <c r="CF341" s="404"/>
      <c r="CG341" s="399"/>
      <c r="CH341" s="399"/>
      <c r="CI341" s="399"/>
      <c r="CJ341" s="425"/>
      <c r="CK341" s="399"/>
      <c r="CL341" s="399"/>
      <c r="CM341" s="404"/>
      <c r="CN341" s="399"/>
      <c r="CO341" s="399"/>
      <c r="CP341" s="399"/>
      <c r="CQ341" s="425"/>
      <c r="CR341" s="399"/>
      <c r="CS341" s="399"/>
      <c r="CT341" s="404"/>
      <c r="CU341" s="399"/>
      <c r="CV341" s="399"/>
      <c r="CW341" s="399"/>
      <c r="CX341" s="425"/>
      <c r="CY341" s="399"/>
      <c r="CZ341" s="399"/>
      <c r="DA341" s="404"/>
      <c r="DB341" s="399"/>
      <c r="DC341" s="399"/>
      <c r="DD341" s="299"/>
      <c r="DE341" s="425"/>
      <c r="DF341" s="399"/>
      <c r="DG341" s="399"/>
      <c r="DH341" s="404"/>
      <c r="DI341" s="299"/>
      <c r="DJ341" s="299"/>
      <c r="DK341" s="399"/>
      <c r="DL341" s="425"/>
      <c r="DM341" s="299"/>
      <c r="DN341" s="399"/>
      <c r="DO341" s="404"/>
      <c r="DP341" s="399"/>
      <c r="DQ341" s="399"/>
      <c r="DR341" s="399"/>
      <c r="DS341" s="425"/>
      <c r="DT341" s="399"/>
      <c r="DU341" s="399"/>
      <c r="DV341" s="404"/>
      <c r="DW341" s="399"/>
      <c r="DX341" s="399"/>
      <c r="DY341" s="399"/>
      <c r="DZ341" s="425"/>
      <c r="EA341" s="399"/>
      <c r="EB341" s="399"/>
      <c r="EC341" s="404"/>
      <c r="ED341" s="399"/>
      <c r="EE341" s="399"/>
      <c r="EF341" s="399"/>
      <c r="EG341" s="425"/>
      <c r="EH341" s="399"/>
      <c r="EI341" s="399"/>
      <c r="EJ341" s="404"/>
      <c r="EK341" s="399"/>
      <c r="EL341" s="399"/>
      <c r="EM341" s="399"/>
      <c r="EN341" s="425"/>
      <c r="EO341" s="399"/>
      <c r="EP341" s="399"/>
      <c r="EQ341" s="404"/>
    </row>
    <row r="342" spans="1:147" ht="10.199999999999999" customHeight="1">
      <c r="A342" s="130" t="str">
        <f t="shared" ref="A342:A347" si="1372">A332</f>
        <v>A220</v>
      </c>
      <c r="B342" s="130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6"/>
      <c r="O342" s="130"/>
      <c r="P342" s="130"/>
      <c r="Q342" s="130"/>
      <c r="R342" s="698"/>
      <c r="S342" s="130"/>
      <c r="T342" s="130"/>
      <c r="U342" s="619"/>
      <c r="V342" s="130"/>
      <c r="W342" s="130"/>
      <c r="X342" s="130"/>
      <c r="Y342" s="698"/>
      <c r="Z342" s="130"/>
      <c r="AA342" s="130"/>
      <c r="AB342" s="619"/>
      <c r="AC342" s="130"/>
      <c r="AD342" s="130"/>
      <c r="AE342" s="130"/>
      <c r="AF342" s="698"/>
      <c r="AG342" s="130"/>
      <c r="AH342" s="130"/>
      <c r="AI342" s="619"/>
      <c r="AJ342" s="130"/>
      <c r="AK342" s="130"/>
      <c r="AL342" s="130"/>
      <c r="AM342" s="698"/>
      <c r="AN342" s="130"/>
      <c r="AO342" s="130"/>
      <c r="AP342" s="619"/>
      <c r="AQ342" s="130"/>
      <c r="AR342" s="130"/>
      <c r="AS342" s="130"/>
      <c r="AT342" s="698"/>
      <c r="AU342" s="130"/>
      <c r="AV342" s="130"/>
      <c r="AW342" s="619"/>
      <c r="AX342" s="130"/>
      <c r="AY342" s="130"/>
      <c r="AZ342" s="130"/>
      <c r="BA342" s="698"/>
      <c r="BB342" s="130"/>
      <c r="BC342" s="130"/>
      <c r="BD342" s="619"/>
      <c r="BE342" s="130"/>
      <c r="BF342" s="130"/>
      <c r="BG342" s="130"/>
      <c r="BH342" s="698"/>
      <c r="BI342" s="130"/>
      <c r="BJ342" s="130"/>
      <c r="BK342" s="619"/>
      <c r="BL342" s="130"/>
      <c r="BM342" s="130"/>
      <c r="BN342" s="130"/>
      <c r="BO342" s="698"/>
      <c r="BP342" s="130"/>
      <c r="BQ342" s="130"/>
      <c r="BR342" s="619"/>
      <c r="BS342" s="130"/>
      <c r="BT342" s="130"/>
      <c r="BU342" s="130"/>
      <c r="BV342" s="698"/>
      <c r="BW342" s="130"/>
      <c r="BX342" s="130"/>
      <c r="BY342" s="619"/>
      <c r="BZ342" s="130"/>
      <c r="CA342" s="130"/>
      <c r="CB342" s="130"/>
      <c r="CC342" s="698"/>
      <c r="CD342" s="130"/>
      <c r="CE342" s="130"/>
      <c r="CF342" s="619"/>
      <c r="CG342" s="130"/>
      <c r="CH342" s="130"/>
      <c r="CI342" s="130"/>
      <c r="CJ342" s="698"/>
      <c r="CK342" s="130"/>
      <c r="CL342" s="130"/>
      <c r="CM342" s="619">
        <f>CM280*CM323</f>
        <v>-271.41494246016532</v>
      </c>
      <c r="CN342" s="130">
        <f>CN280*CN323</f>
        <v>-71.916969583957268</v>
      </c>
      <c r="CO342" s="130">
        <f>CR342-CN342</f>
        <v>-84.929472712988797</v>
      </c>
      <c r="CP342" s="130">
        <f>CP280*CP323</f>
        <v>-86.886450483753805</v>
      </c>
      <c r="CQ342" s="698">
        <f>CS342-CP342</f>
        <v>-122.65140604049819</v>
      </c>
      <c r="CR342" s="130">
        <f>CR280*CR323</f>
        <v>-156.84644229694607</v>
      </c>
      <c r="CS342" s="130">
        <f>CT342-CR342</f>
        <v>-209.53785652425199</v>
      </c>
      <c r="CT342" s="619">
        <f>CT280*CT323</f>
        <v>-366.38429882119806</v>
      </c>
      <c r="CU342" s="130">
        <f>CU280*CU323</f>
        <v>-64.680326315931453</v>
      </c>
      <c r="CV342" s="130">
        <f>CY342-CU342</f>
        <v>-86.937770952942074</v>
      </c>
      <c r="CW342" s="130">
        <f>CW280*CW323</f>
        <v>-61.444737688574527</v>
      </c>
      <c r="CX342" s="698">
        <f>CZ342-CW342</f>
        <v>-127.78386078956146</v>
      </c>
      <c r="CY342" s="130">
        <f>CY280*CY323</f>
        <v>-151.61809726887353</v>
      </c>
      <c r="CZ342" s="130">
        <f>DA342-CY342</f>
        <v>-189.22859847813598</v>
      </c>
      <c r="DA342" s="619">
        <f>DA280*DA323</f>
        <v>-340.84669574700951</v>
      </c>
      <c r="DB342" s="130">
        <f>DB280*DB323</f>
        <v>-81.735217207464046</v>
      </c>
      <c r="DC342" s="130">
        <f>DF342-DB342</f>
        <v>-104.17361865599594</v>
      </c>
      <c r="DD342" s="130">
        <f>DD280*DD323</f>
        <v>-76.682923400698144</v>
      </c>
      <c r="DE342" s="1907">
        <f>DG342-DD342</f>
        <v>-168.28530404783552</v>
      </c>
      <c r="DF342" s="1878">
        <f>DF280*DF323</f>
        <v>-185.90883586345998</v>
      </c>
      <c r="DG342" s="1878">
        <f>DH342-DF342</f>
        <v>-244.96822744853367</v>
      </c>
      <c r="DH342" s="1946">
        <f>DH280*DH323</f>
        <v>-430.87706331199365</v>
      </c>
      <c r="DI342" s="130">
        <f>DI280*DI323</f>
        <v>-70.273049511346741</v>
      </c>
      <c r="DJ342" s="130">
        <f>DM342-DI342</f>
        <v>-93.130950012381831</v>
      </c>
      <c r="DK342" s="617">
        <f>DK280*DK323</f>
        <v>-93.914041594402406</v>
      </c>
      <c r="DL342" s="618">
        <f>DN342-DK342</f>
        <v>-147.2629761008285</v>
      </c>
      <c r="DM342" s="130">
        <f>DM280*DM323</f>
        <v>-163.40399952372857</v>
      </c>
      <c r="DN342" s="617">
        <f>DO342-DM342</f>
        <v>-241.17701769523089</v>
      </c>
      <c r="DO342" s="651">
        <f>DO280*DO323</f>
        <v>-404.58101721895946</v>
      </c>
      <c r="DP342" s="617">
        <f>DP280*DP323</f>
        <v>-94.599004475735725</v>
      </c>
      <c r="DQ342" s="617">
        <f>DT342-DP342</f>
        <v>-86.06681909479083</v>
      </c>
      <c r="DR342" s="617">
        <f>DR280*DR323</f>
        <v>-86.064753754723824</v>
      </c>
      <c r="DS342" s="618">
        <f>DU342-DR342</f>
        <v>-86.043436692672145</v>
      </c>
      <c r="DT342" s="617">
        <f>DT280*DT323</f>
        <v>-180.66582357052656</v>
      </c>
      <c r="DU342" s="617">
        <f>DV342-DT342</f>
        <v>-172.10819044739597</v>
      </c>
      <c r="DV342" s="651">
        <f>DV280*DV323</f>
        <v>-352.77401401792252</v>
      </c>
      <c r="DW342" s="617">
        <f>DW280*DW323</f>
        <v>-55.07566750217967</v>
      </c>
      <c r="DX342" s="617">
        <f>EA342-DW342</f>
        <v>-55.0940095918331</v>
      </c>
      <c r="DY342" s="617">
        <f>DY280*DY323</f>
        <v>-55.09423990526308</v>
      </c>
      <c r="DZ342" s="618">
        <f>EB342-DY342</f>
        <v>-55.094640501177267</v>
      </c>
      <c r="EA342" s="617">
        <f>EA280*EA323</f>
        <v>-110.16967709401277</v>
      </c>
      <c r="EB342" s="617">
        <f>EC342-EA342</f>
        <v>-110.18888040644035</v>
      </c>
      <c r="EC342" s="651">
        <f>EC280*EC323</f>
        <v>-220.35855750045312</v>
      </c>
      <c r="ED342" s="617">
        <f>ED280*ED323</f>
        <v>-33.259527605192943</v>
      </c>
      <c r="EE342" s="617">
        <f>EH342-ED342</f>
        <v>-33.259118311010297</v>
      </c>
      <c r="EF342" s="617">
        <f>EF280*EF323</f>
        <v>-33.259053004065684</v>
      </c>
      <c r="EG342" s="618">
        <f>EI342-EF342</f>
        <v>-33.259056500420236</v>
      </c>
      <c r="EH342" s="617">
        <f>EH280*EH323</f>
        <v>-66.518645916203241</v>
      </c>
      <c r="EI342" s="617">
        <f>EJ342-EH342</f>
        <v>-66.518109504485921</v>
      </c>
      <c r="EJ342" s="651">
        <f>EJ280*EJ323</f>
        <v>-133.03675542068916</v>
      </c>
      <c r="EK342" s="617">
        <f>EK280*EK323</f>
        <v>0</v>
      </c>
      <c r="EL342" s="617">
        <f>EO342-EK342</f>
        <v>0</v>
      </c>
      <c r="EM342" s="617">
        <f>EM280*EM323</f>
        <v>0</v>
      </c>
      <c r="EN342" s="618">
        <f>EP342-EM342</f>
        <v>0</v>
      </c>
      <c r="EO342" s="617">
        <f>EO280*EO323</f>
        <v>0</v>
      </c>
      <c r="EP342" s="617">
        <f>EQ342-EO342</f>
        <v>0</v>
      </c>
      <c r="EQ342" s="651">
        <f>EQ280*EQ323</f>
        <v>0</v>
      </c>
    </row>
    <row r="343" spans="1:147" ht="10.199999999999999" customHeight="1">
      <c r="A343" s="130" t="str">
        <f t="shared" si="1372"/>
        <v>A320neo</v>
      </c>
      <c r="B343" s="130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6"/>
      <c r="O343" s="130"/>
      <c r="P343" s="130"/>
      <c r="Q343" s="130"/>
      <c r="R343" s="698"/>
      <c r="S343" s="130"/>
      <c r="T343" s="130"/>
      <c r="U343" s="619"/>
      <c r="V343" s="130"/>
      <c r="W343" s="130"/>
      <c r="X343" s="130"/>
      <c r="Y343" s="698"/>
      <c r="Z343" s="130"/>
      <c r="AA343" s="130"/>
      <c r="AB343" s="619"/>
      <c r="AC343" s="130"/>
      <c r="AD343" s="130"/>
      <c r="AE343" s="130"/>
      <c r="AF343" s="698"/>
      <c r="AG343" s="130"/>
      <c r="AH343" s="130"/>
      <c r="AI343" s="619"/>
      <c r="AJ343" s="130"/>
      <c r="AK343" s="130"/>
      <c r="AL343" s="130"/>
      <c r="AM343" s="698"/>
      <c r="AN343" s="130"/>
      <c r="AO343" s="130"/>
      <c r="AP343" s="619"/>
      <c r="AQ343" s="130"/>
      <c r="AR343" s="130"/>
      <c r="AS343" s="130"/>
      <c r="AT343" s="698"/>
      <c r="AU343" s="130"/>
      <c r="AV343" s="130"/>
      <c r="AW343" s="619"/>
      <c r="AX343" s="130"/>
      <c r="AY343" s="130"/>
      <c r="AZ343" s="130"/>
      <c r="BA343" s="698"/>
      <c r="BB343" s="130"/>
      <c r="BC343" s="130"/>
      <c r="BD343" s="619"/>
      <c r="BE343" s="130"/>
      <c r="BF343" s="130"/>
      <c r="BG343" s="130"/>
      <c r="BH343" s="698"/>
      <c r="BI343" s="130"/>
      <c r="BJ343" s="130"/>
      <c r="BK343" s="619"/>
      <c r="BL343" s="130"/>
      <c r="BM343" s="130"/>
      <c r="BN343" s="130"/>
      <c r="BO343" s="698"/>
      <c r="BP343" s="130"/>
      <c r="BQ343" s="130"/>
      <c r="BR343" s="619"/>
      <c r="BS343" s="130"/>
      <c r="BT343" s="130"/>
      <c r="BU343" s="130"/>
      <c r="BV343" s="698"/>
      <c r="BW343" s="130"/>
      <c r="BX343" s="130"/>
      <c r="BY343" s="619"/>
      <c r="BZ343" s="130"/>
      <c r="CA343" s="130"/>
      <c r="CB343" s="130"/>
      <c r="CC343" s="698"/>
      <c r="CD343" s="130"/>
      <c r="CE343" s="130"/>
      <c r="CF343" s="619"/>
      <c r="CG343" s="130"/>
      <c r="CH343" s="130"/>
      <c r="CI343" s="130"/>
      <c r="CJ343" s="698"/>
      <c r="CK343" s="130"/>
      <c r="CL343" s="130"/>
      <c r="CM343" s="619">
        <f>(CM287+CM288)*CM324</f>
        <v>3388.6557504659077</v>
      </c>
      <c r="CN343" s="130">
        <f>(CN287+CN288)*CN324</f>
        <v>510.79893775643416</v>
      </c>
      <c r="CO343" s="130">
        <f t="shared" ref="CO343:CO348" si="1373">CR343-CN343</f>
        <v>760.50330834336307</v>
      </c>
      <c r="CP343" s="130">
        <f>(CP287+CP288)*CP324</f>
        <v>543.33468239183321</v>
      </c>
      <c r="CQ343" s="698">
        <f t="shared" ref="CQ343:CQ348" si="1374">CS343-CP343</f>
        <v>1088.5610508505301</v>
      </c>
      <c r="CR343" s="130">
        <f>(CR287+CR288)*CR324</f>
        <v>1271.3022460997972</v>
      </c>
      <c r="CS343" s="130">
        <f t="shared" ref="CS343:CS348" si="1375">CT343-CR343</f>
        <v>1631.8957332423633</v>
      </c>
      <c r="CT343" s="619">
        <f>(CT287+CT288)*CT324</f>
        <v>2903.1979793421606</v>
      </c>
      <c r="CU343" s="130">
        <f>(CU287+CU288)*CU324</f>
        <v>488.0225692124917</v>
      </c>
      <c r="CV343" s="130">
        <f t="shared" ref="CV343:CV348" si="1376">CY343-CU343</f>
        <v>735.23726617793466</v>
      </c>
      <c r="CW343" s="130">
        <f>(CW287+CW288)*CW324</f>
        <v>557.10818946593167</v>
      </c>
      <c r="CX343" s="698">
        <f t="shared" ref="CX343:CX348" si="1377">CZ343-CW343</f>
        <v>862.87086817121167</v>
      </c>
      <c r="CY343" s="130">
        <f>(CY287+CY288)*CY324</f>
        <v>1223.2598353904264</v>
      </c>
      <c r="CZ343" s="130">
        <f t="shared" ref="CZ343:CZ348" si="1378">DA343-CY343</f>
        <v>1419.9790576371433</v>
      </c>
      <c r="DA343" s="619">
        <f>(DA287+DA288)*DA324</f>
        <v>2643.2388930275697</v>
      </c>
      <c r="DB343" s="130">
        <f>(DB287+DB288)*DB324</f>
        <v>340.19168139268407</v>
      </c>
      <c r="DC343" s="130">
        <f t="shared" ref="DC343:DC348" si="1379">DF343-DB343</f>
        <v>555.55391548924763</v>
      </c>
      <c r="DD343" s="130">
        <f>(DD287+DD288)*DD324</f>
        <v>596.07911566980056</v>
      </c>
      <c r="DE343" s="1907">
        <f t="shared" ref="DE343:DE348" si="1380">DG343-DD343</f>
        <v>924.34656938229591</v>
      </c>
      <c r="DF343" s="1878">
        <f>(DF287+DF288)*DF324</f>
        <v>895.74559688193176</v>
      </c>
      <c r="DG343" s="1878">
        <f t="shared" ref="DG343:DG348" si="1381">DH343-DF343</f>
        <v>1520.4256850520965</v>
      </c>
      <c r="DH343" s="1946">
        <f>(DH287+DH288)*DH324</f>
        <v>2416.1712819340282</v>
      </c>
      <c r="DI343" s="130">
        <f>(DI287+DI288)*DI324</f>
        <v>178.04543306636378</v>
      </c>
      <c r="DJ343" s="130">
        <f t="shared" ref="DJ343:DJ348" si="1382">DM343-DI343</f>
        <v>949.60689017956929</v>
      </c>
      <c r="DK343" s="617">
        <f>(DK287+DK288)*DK324</f>
        <v>502.34910533949255</v>
      </c>
      <c r="DL343" s="618">
        <f t="shared" ref="DL343:DL348" si="1383">DN343-DK343</f>
        <v>958.59504419872314</v>
      </c>
      <c r="DM343" s="130">
        <f>(DM287+DM288)*DM324</f>
        <v>1127.6523232459331</v>
      </c>
      <c r="DN343" s="617">
        <f t="shared" ref="DN343:DN348" si="1384">DO343-DM343</f>
        <v>1460.9441495382157</v>
      </c>
      <c r="DO343" s="651">
        <f>(DO287+DO288)*DO324</f>
        <v>2588.5964727841488</v>
      </c>
      <c r="DP343" s="617">
        <f>(DP287+DP288)*DP324</f>
        <v>614.19356049290536</v>
      </c>
      <c r="DQ343" s="617">
        <f t="shared" ref="DQ343:DQ348" si="1385">DT343-DP343</f>
        <v>664.95928963469214</v>
      </c>
      <c r="DR343" s="617">
        <f>(DR287+DR288)*DR324</f>
        <v>665.96592868348569</v>
      </c>
      <c r="DS343" s="618">
        <f t="shared" ref="DS343:DS348" si="1386">DU343-DR343</f>
        <v>665.78564883194088</v>
      </c>
      <c r="DT343" s="617">
        <f>(DT287+DT288)*DT324</f>
        <v>1279.1528501275975</v>
      </c>
      <c r="DU343" s="617">
        <f t="shared" ref="DU343:DU348" si="1387">DV343-DT343</f>
        <v>1331.7515775154266</v>
      </c>
      <c r="DV343" s="651">
        <f>(DV287+DV288)*DV324</f>
        <v>2610.9044276430241</v>
      </c>
      <c r="DW343" s="617">
        <f>(DW287+DW288)*DW324</f>
        <v>681.87761341618989</v>
      </c>
      <c r="DX343" s="617">
        <f t="shared" ref="DX343:DX348" si="1388">EA343-DW343</f>
        <v>733.64029078599606</v>
      </c>
      <c r="DY343" s="617">
        <f>(DY287+DY288)*DY324</f>
        <v>734.6544843115613</v>
      </c>
      <c r="DZ343" s="618">
        <f t="shared" ref="DZ343:DZ348" si="1389">EB343-DY343</f>
        <v>253.01518282057111</v>
      </c>
      <c r="EA343" s="617">
        <f>(EA287+EA288)*EA324</f>
        <v>1415.5179042021859</v>
      </c>
      <c r="EB343" s="617">
        <f t="shared" ref="EB343:EB348" si="1390">EC343-EA343</f>
        <v>987.66966713213242</v>
      </c>
      <c r="EC343" s="651">
        <f>(EC287+EC288)*EC324</f>
        <v>2403.1875713343184</v>
      </c>
      <c r="ED343" s="617">
        <f>(ED287+ED288)*ED324</f>
        <v>796.02452369903142</v>
      </c>
      <c r="EE343" s="617">
        <f t="shared" ref="EE343:EE348" si="1391">EH343-ED343</f>
        <v>794.92843933522852</v>
      </c>
      <c r="EF343" s="617">
        <f>(EF287+EF288)*EF324</f>
        <v>796.01316472422093</v>
      </c>
      <c r="EG343" s="618">
        <f t="shared" ref="EG343:EG348" si="1392">EI343-EF343</f>
        <v>264.61145265460993</v>
      </c>
      <c r="EH343" s="617">
        <f>(EH287+EH288)*EH324</f>
        <v>1590.9529630342599</v>
      </c>
      <c r="EI343" s="617">
        <f t="shared" ref="EI343:EI348" si="1393">EJ343-EH343</f>
        <v>1060.6246173788309</v>
      </c>
      <c r="EJ343" s="651">
        <f>(EJ287+EJ288)*EJ324</f>
        <v>2651.5775804130908</v>
      </c>
      <c r="EK343" s="617">
        <f>(EK287+EK288)*EK324</f>
        <v>808.32470679462585</v>
      </c>
      <c r="EL343" s="617">
        <f t="shared" ref="EL343:EL348" si="1394">EO343-EK343</f>
        <v>807.22600933960575</v>
      </c>
      <c r="EM343" s="617">
        <f>(EM287+EM288)*EM324</f>
        <v>808.32978783174713</v>
      </c>
      <c r="EN343" s="618">
        <f t="shared" ref="EN343:EN348" si="1395">EP343-EM343</f>
        <v>268.70857524925214</v>
      </c>
      <c r="EO343" s="617">
        <f>(EO287+EO288)*EO324</f>
        <v>1615.5507161342316</v>
      </c>
      <c r="EP343" s="617">
        <f t="shared" ref="EP343:EP348" si="1396">EQ343-EO343</f>
        <v>1077.0383630809993</v>
      </c>
      <c r="EQ343" s="651">
        <f>(EQ287+EQ288)*EQ324</f>
        <v>2692.5890792152309</v>
      </c>
    </row>
    <row r="344" spans="1:147" ht="10.199999999999999" customHeight="1">
      <c r="A344" s="130" t="str">
        <f t="shared" si="1372"/>
        <v>A321neo</v>
      </c>
      <c r="B344" s="130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6"/>
      <c r="O344" s="130"/>
      <c r="P344" s="130"/>
      <c r="Q344" s="130"/>
      <c r="R344" s="698"/>
      <c r="S344" s="130"/>
      <c r="T344" s="130"/>
      <c r="U344" s="619"/>
      <c r="V344" s="130"/>
      <c r="W344" s="130"/>
      <c r="X344" s="130"/>
      <c r="Y344" s="698"/>
      <c r="Z344" s="130"/>
      <c r="AA344" s="130"/>
      <c r="AB344" s="619"/>
      <c r="AC344" s="130"/>
      <c r="AD344" s="130"/>
      <c r="AE344" s="130"/>
      <c r="AF344" s="698"/>
      <c r="AG344" s="130"/>
      <c r="AH344" s="130"/>
      <c r="AI344" s="619"/>
      <c r="AJ344" s="130"/>
      <c r="AK344" s="130"/>
      <c r="AL344" s="130"/>
      <c r="AM344" s="698"/>
      <c r="AN344" s="130"/>
      <c r="AO344" s="130"/>
      <c r="AP344" s="619"/>
      <c r="AQ344" s="130"/>
      <c r="AR344" s="130"/>
      <c r="AS344" s="130"/>
      <c r="AT344" s="698"/>
      <c r="AU344" s="130"/>
      <c r="AV344" s="130"/>
      <c r="AW344" s="619"/>
      <c r="AX344" s="130"/>
      <c r="AY344" s="130"/>
      <c r="AZ344" s="130"/>
      <c r="BA344" s="698"/>
      <c r="BB344" s="130"/>
      <c r="BC344" s="130"/>
      <c r="BD344" s="619"/>
      <c r="BE344" s="130"/>
      <c r="BF344" s="130"/>
      <c r="BG344" s="130"/>
      <c r="BH344" s="698"/>
      <c r="BI344" s="130"/>
      <c r="BJ344" s="130"/>
      <c r="BK344" s="619"/>
      <c r="BL344" s="130"/>
      <c r="BM344" s="130"/>
      <c r="BN344" s="130"/>
      <c r="BO344" s="698"/>
      <c r="BP344" s="130"/>
      <c r="BQ344" s="130"/>
      <c r="BR344" s="619"/>
      <c r="BS344" s="130"/>
      <c r="BT344" s="130"/>
      <c r="BU344" s="130"/>
      <c r="BV344" s="698"/>
      <c r="BW344" s="130"/>
      <c r="BX344" s="130"/>
      <c r="BY344" s="619"/>
      <c r="BZ344" s="130"/>
      <c r="CA344" s="130"/>
      <c r="CB344" s="130"/>
      <c r="CC344" s="698"/>
      <c r="CD344" s="130"/>
      <c r="CE344" s="130"/>
      <c r="CF344" s="619"/>
      <c r="CG344" s="130"/>
      <c r="CH344" s="130"/>
      <c r="CI344" s="130"/>
      <c r="CJ344" s="698"/>
      <c r="CK344" s="130"/>
      <c r="CL344" s="130"/>
      <c r="CM344" s="619">
        <f>CM289*CM325</f>
        <v>4262.1963784039071</v>
      </c>
      <c r="CN344" s="130">
        <f>CN289*CN325</f>
        <v>733.76812837272598</v>
      </c>
      <c r="CO344" s="130">
        <f t="shared" si="1373"/>
        <v>1404.2974468501088</v>
      </c>
      <c r="CP344" s="130">
        <f>CP289*CP325</f>
        <v>912.33339837848212</v>
      </c>
      <c r="CQ344" s="698">
        <f t="shared" si="1374"/>
        <v>1298.4434162749114</v>
      </c>
      <c r="CR344" s="130">
        <f>CR289*CR325</f>
        <v>2138.0655752228349</v>
      </c>
      <c r="CS344" s="130">
        <f t="shared" si="1375"/>
        <v>2210.7768146533936</v>
      </c>
      <c r="CT344" s="619">
        <f>CT289*CT325</f>
        <v>4348.8423898762285</v>
      </c>
      <c r="CU344" s="130">
        <f>CU289*CU325</f>
        <v>705.65138218281004</v>
      </c>
      <c r="CV344" s="130">
        <f t="shared" si="1376"/>
        <v>1341.704532576772</v>
      </c>
      <c r="CW344" s="130">
        <f>CW289*CW325</f>
        <v>1156.9489762564399</v>
      </c>
      <c r="CX344" s="698">
        <f t="shared" si="1377"/>
        <v>1893.7175554462524</v>
      </c>
      <c r="CY344" s="130">
        <f>CY289*CY325</f>
        <v>2047.355914759582</v>
      </c>
      <c r="CZ344" s="130">
        <f t="shared" si="1378"/>
        <v>3050.6665317026923</v>
      </c>
      <c r="DA344" s="619">
        <f>DA289*DA325</f>
        <v>5098.0224464622743</v>
      </c>
      <c r="DB344" s="130">
        <f>DB289*DB325</f>
        <v>692.48102222827413</v>
      </c>
      <c r="DC344" s="130">
        <f t="shared" si="1379"/>
        <v>1115.9838545180419</v>
      </c>
      <c r="DD344" s="130">
        <f>DD289*DD325</f>
        <v>1479.3835135146564</v>
      </c>
      <c r="DE344" s="1907">
        <f t="shared" si="1380"/>
        <v>1947.3368823594919</v>
      </c>
      <c r="DF344" s="1878">
        <f>DF289*DF325</f>
        <v>1808.4648767463159</v>
      </c>
      <c r="DG344" s="1878">
        <f t="shared" si="1381"/>
        <v>3426.7203958741484</v>
      </c>
      <c r="DH344" s="1946">
        <f>DH289*DH325</f>
        <v>5235.1852726204643</v>
      </c>
      <c r="DI344" s="130">
        <f>DI289*DI325</f>
        <v>469.45849206235749</v>
      </c>
      <c r="DJ344" s="130">
        <f t="shared" si="1382"/>
        <v>1685.6923501697779</v>
      </c>
      <c r="DK344" s="617">
        <f>DK289*DK325</f>
        <v>1505.9472186680066</v>
      </c>
      <c r="DL344" s="618">
        <f t="shared" si="1383"/>
        <v>2118.9388692663006</v>
      </c>
      <c r="DM344" s="130">
        <f>DM289*DM325</f>
        <v>2155.1508422321353</v>
      </c>
      <c r="DN344" s="617">
        <f t="shared" si="1384"/>
        <v>3624.8860879343069</v>
      </c>
      <c r="DO344" s="651">
        <f>DO289*DO325</f>
        <v>5780.0369301664423</v>
      </c>
      <c r="DP344" s="617">
        <f>DP289*DP325</f>
        <v>1722.7077000609302</v>
      </c>
      <c r="DQ344" s="617">
        <f t="shared" si="1385"/>
        <v>1867.612537069459</v>
      </c>
      <c r="DR344" s="617">
        <f>DR289*DR325</f>
        <v>1867.6915364214178</v>
      </c>
      <c r="DS344" s="618">
        <f t="shared" si="1386"/>
        <v>1867.1863254636919</v>
      </c>
      <c r="DT344" s="617">
        <f>DT289*DT325</f>
        <v>3590.3202371303892</v>
      </c>
      <c r="DU344" s="617">
        <f t="shared" si="1387"/>
        <v>3734.8778618851097</v>
      </c>
      <c r="DV344" s="651">
        <f>DV289*DV325</f>
        <v>7325.1980990154989</v>
      </c>
      <c r="DW344" s="617">
        <f>DW289*DW325</f>
        <v>1912.3156194645637</v>
      </c>
      <c r="DX344" s="617">
        <f t="shared" si="1388"/>
        <v>2060.07818264664</v>
      </c>
      <c r="DY344" s="617">
        <f>DY289*DY325</f>
        <v>2060.1112895184674</v>
      </c>
      <c r="DZ344" s="618">
        <f t="shared" si="1389"/>
        <v>2638.1576275845568</v>
      </c>
      <c r="EA344" s="617">
        <f>EA289*EA325</f>
        <v>3972.3938021112035</v>
      </c>
      <c r="EB344" s="617">
        <f t="shared" si="1390"/>
        <v>4698.2689171030243</v>
      </c>
      <c r="EC344" s="651">
        <f>EC289*EC325</f>
        <v>8670.6627192142278</v>
      </c>
      <c r="ED344" s="617">
        <f>ED289*ED325</f>
        <v>2232.2045846390929</v>
      </c>
      <c r="EE344" s="617">
        <f t="shared" si="1391"/>
        <v>2232.1771149659862</v>
      </c>
      <c r="EF344" s="617">
        <f>EF289*EF325</f>
        <v>2232.1727319073066</v>
      </c>
      <c r="EG344" s="618">
        <f t="shared" si="1392"/>
        <v>2869.9392092839958</v>
      </c>
      <c r="EH344" s="617">
        <f>EH289*EH325</f>
        <v>4464.3816996050791</v>
      </c>
      <c r="EI344" s="617">
        <f t="shared" si="1393"/>
        <v>5102.1119411913023</v>
      </c>
      <c r="EJ344" s="651">
        <f>EJ289*EJ325</f>
        <v>9566.4936407963814</v>
      </c>
      <c r="EK344" s="617">
        <f>EK289*EK325</f>
        <v>2266.6966439669868</v>
      </c>
      <c r="EL344" s="617">
        <f t="shared" si="1394"/>
        <v>2266.7089434226054</v>
      </c>
      <c r="EM344" s="617">
        <f>EM289*EM325</f>
        <v>2266.7108921641452</v>
      </c>
      <c r="EN344" s="618">
        <f t="shared" si="1395"/>
        <v>2914.3404889568096</v>
      </c>
      <c r="EO344" s="617">
        <f>EO289*EO325</f>
        <v>4533.4055873895923</v>
      </c>
      <c r="EP344" s="617">
        <f t="shared" si="1396"/>
        <v>5181.0513811209548</v>
      </c>
      <c r="EQ344" s="651">
        <f>EQ289*EQ325</f>
        <v>9714.4569685105471</v>
      </c>
    </row>
    <row r="345" spans="1:147" ht="10.199999999999999" customHeight="1">
      <c r="A345" s="130" t="str">
        <f t="shared" si="1372"/>
        <v>A330ceo</v>
      </c>
      <c r="B345" s="130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6"/>
      <c r="O345" s="130"/>
      <c r="P345" s="130"/>
      <c r="Q345" s="130"/>
      <c r="R345" s="698"/>
      <c r="S345" s="130"/>
      <c r="T345" s="130"/>
      <c r="U345" s="619"/>
      <c r="V345" s="130"/>
      <c r="W345" s="130"/>
      <c r="X345" s="130"/>
      <c r="Y345" s="698"/>
      <c r="Z345" s="130"/>
      <c r="AA345" s="130"/>
      <c r="AB345" s="619"/>
      <c r="AC345" s="130"/>
      <c r="AD345" s="130"/>
      <c r="AE345" s="130"/>
      <c r="AF345" s="698"/>
      <c r="AG345" s="130"/>
      <c r="AH345" s="130"/>
      <c r="AI345" s="619"/>
      <c r="AJ345" s="130"/>
      <c r="AK345" s="130"/>
      <c r="AL345" s="130"/>
      <c r="AM345" s="698"/>
      <c r="AN345" s="130"/>
      <c r="AO345" s="130"/>
      <c r="AP345" s="619"/>
      <c r="AQ345" s="130"/>
      <c r="AR345" s="130"/>
      <c r="AS345" s="130"/>
      <c r="AT345" s="698"/>
      <c r="AU345" s="130"/>
      <c r="AV345" s="130"/>
      <c r="AW345" s="619"/>
      <c r="AX345" s="130"/>
      <c r="AY345" s="130"/>
      <c r="AZ345" s="130"/>
      <c r="BA345" s="698"/>
      <c r="BB345" s="130"/>
      <c r="BC345" s="130"/>
      <c r="BD345" s="619"/>
      <c r="BE345" s="130"/>
      <c r="BF345" s="130"/>
      <c r="BG345" s="130"/>
      <c r="BH345" s="698"/>
      <c r="BI345" s="130"/>
      <c r="BJ345" s="130"/>
      <c r="BK345" s="619"/>
      <c r="BL345" s="130"/>
      <c r="BM345" s="130"/>
      <c r="BN345" s="130"/>
      <c r="BO345" s="698"/>
      <c r="BP345" s="130"/>
      <c r="BQ345" s="130"/>
      <c r="BR345" s="619"/>
      <c r="BS345" s="130"/>
      <c r="BT345" s="130"/>
      <c r="BU345" s="130"/>
      <c r="BV345" s="698"/>
      <c r="BW345" s="130"/>
      <c r="BX345" s="130"/>
      <c r="BY345" s="619"/>
      <c r="BZ345" s="130"/>
      <c r="CA345" s="130"/>
      <c r="CB345" s="130"/>
      <c r="CC345" s="698"/>
      <c r="CD345" s="130"/>
      <c r="CE345" s="130"/>
      <c r="CF345" s="619"/>
      <c r="CG345" s="130"/>
      <c r="CH345" s="130"/>
      <c r="CI345" s="130"/>
      <c r="CJ345" s="698"/>
      <c r="CK345" s="130"/>
      <c r="CL345" s="130"/>
      <c r="CM345" s="619">
        <f>CM293*CM326</f>
        <v>44.64071253034102</v>
      </c>
      <c r="CN345" s="130">
        <f>CN293*CN326</f>
        <v>4.9207123246072388</v>
      </c>
      <c r="CO345" s="130">
        <f t="shared" si="1373"/>
        <v>4.8911897049853188</v>
      </c>
      <c r="CP345" s="130">
        <f>CP293*CP326</f>
        <v>0</v>
      </c>
      <c r="CQ345" s="698">
        <f t="shared" si="1374"/>
        <v>5.0094836472184419</v>
      </c>
      <c r="CR345" s="130">
        <f>CR293*CR326</f>
        <v>9.8119020295925576</v>
      </c>
      <c r="CS345" s="130">
        <f t="shared" si="1375"/>
        <v>5.0094836472184419</v>
      </c>
      <c r="CT345" s="619">
        <f>CT293*CT326</f>
        <v>14.821385676810999</v>
      </c>
      <c r="CU345" s="130">
        <f>CU293*CU326</f>
        <v>0</v>
      </c>
      <c r="CV345" s="130">
        <f t="shared" si="1376"/>
        <v>0</v>
      </c>
      <c r="CW345" s="130">
        <f>CW293*CW326</f>
        <v>0</v>
      </c>
      <c r="CX345" s="698">
        <f t="shared" si="1377"/>
        <v>11.78928571172009</v>
      </c>
      <c r="CY345" s="130">
        <f>CY293*CY326</f>
        <v>0</v>
      </c>
      <c r="CZ345" s="130">
        <f t="shared" si="1378"/>
        <v>11.78928571172009</v>
      </c>
      <c r="DA345" s="619">
        <f>DA293*DA326</f>
        <v>11.78928571172009</v>
      </c>
      <c r="DB345" s="130">
        <f>DB293*DB326</f>
        <v>0</v>
      </c>
      <c r="DC345" s="130">
        <f t="shared" si="1379"/>
        <v>6.9528405348128661</v>
      </c>
      <c r="DD345" s="130">
        <f>DD293*DD326</f>
        <v>0</v>
      </c>
      <c r="DE345" s="1907">
        <f t="shared" si="1380"/>
        <v>6.6566996274077468</v>
      </c>
      <c r="DF345" s="1878">
        <f>DF293*DF326</f>
        <v>6.9528405348128661</v>
      </c>
      <c r="DG345" s="1878">
        <f t="shared" si="1381"/>
        <v>6.6566996274077468</v>
      </c>
      <c r="DH345" s="1946">
        <f>DH293*DH326</f>
        <v>13.609540162220613</v>
      </c>
      <c r="DI345" s="130">
        <f>DI293*DI326</f>
        <v>0</v>
      </c>
      <c r="DJ345" s="130">
        <f t="shared" si="1382"/>
        <v>6.7937486540870315</v>
      </c>
      <c r="DK345" s="617">
        <f>DK293*DK326</f>
        <v>7.3073326913552785</v>
      </c>
      <c r="DL345" s="618">
        <f t="shared" si="1383"/>
        <v>7.1903022030623545</v>
      </c>
      <c r="DM345" s="130">
        <f>DM293*DM326</f>
        <v>6.7937486540870315</v>
      </c>
      <c r="DN345" s="617">
        <f t="shared" si="1384"/>
        <v>14.497634894417633</v>
      </c>
      <c r="DO345" s="651">
        <f>DO293*DO326</f>
        <v>21.291383548504665</v>
      </c>
      <c r="DP345" s="617">
        <f>DP293*DP326</f>
        <v>5.3620509095050357</v>
      </c>
      <c r="DQ345" s="617">
        <f t="shared" si="1385"/>
        <v>5.3660724375659141</v>
      </c>
      <c r="DR345" s="617">
        <f>DR293*DR326</f>
        <v>5.3661447398395579</v>
      </c>
      <c r="DS345" s="618">
        <f t="shared" si="1386"/>
        <v>5.364746423787909</v>
      </c>
      <c r="DT345" s="617">
        <f>DT293*DT326</f>
        <v>10.72812334707095</v>
      </c>
      <c r="DU345" s="617">
        <f t="shared" si="1387"/>
        <v>10.730891163627467</v>
      </c>
      <c r="DV345" s="651">
        <f>DV293*DV326</f>
        <v>21.459014510698417</v>
      </c>
      <c r="DW345" s="617">
        <f>DW293*DW326</f>
        <v>5.4943561086991899</v>
      </c>
      <c r="DX345" s="617">
        <f t="shared" si="1388"/>
        <v>5.4961859180669936</v>
      </c>
      <c r="DY345" s="617">
        <f>DY293*DY326</f>
        <v>5.4962088941662115</v>
      </c>
      <c r="DZ345" s="618">
        <f t="shared" si="1389"/>
        <v>5.4962488576692996</v>
      </c>
      <c r="EA345" s="617">
        <f>EA293*EA326</f>
        <v>10.990542026766184</v>
      </c>
      <c r="EB345" s="617">
        <f t="shared" si="1390"/>
        <v>10.992457751835511</v>
      </c>
      <c r="EC345" s="651">
        <f>EC293*EC326</f>
        <v>21.982999778601695</v>
      </c>
      <c r="ED345" s="617">
        <f>ED293*ED326</f>
        <v>5.5299583572246052</v>
      </c>
      <c r="EE345" s="617">
        <f t="shared" si="1391"/>
        <v>5.5298903051520432</v>
      </c>
      <c r="EF345" s="617">
        <f>EF293*EF326</f>
        <v>5.5298794467691952</v>
      </c>
      <c r="EG345" s="618">
        <f t="shared" si="1392"/>
        <v>5.5298800280972049</v>
      </c>
      <c r="EH345" s="617">
        <f>EH293*EH326</f>
        <v>11.059848662376648</v>
      </c>
      <c r="EI345" s="617">
        <f t="shared" si="1393"/>
        <v>11.0597594748664</v>
      </c>
      <c r="EJ345" s="651">
        <f>EJ293*EJ326</f>
        <v>22.119608137243048</v>
      </c>
      <c r="EK345" s="617">
        <f>EK293*EK326</f>
        <v>5.6154073582036146</v>
      </c>
      <c r="EL345" s="617">
        <f t="shared" si="1394"/>
        <v>5.6154378282948683</v>
      </c>
      <c r="EM345" s="617">
        <f>EM293*EM326</f>
        <v>5.6154426560152455</v>
      </c>
      <c r="EN345" s="618">
        <f t="shared" si="1395"/>
        <v>5.6154405062311241</v>
      </c>
      <c r="EO345" s="617">
        <f>EO293*EO326</f>
        <v>11.230845186498483</v>
      </c>
      <c r="EP345" s="617">
        <f t="shared" si="1396"/>
        <v>11.23088316224637</v>
      </c>
      <c r="EQ345" s="651">
        <f>EQ293*EQ326</f>
        <v>22.461728348744852</v>
      </c>
    </row>
    <row r="346" spans="1:147" ht="10.199999999999999" customHeight="1">
      <c r="A346" s="130" t="str">
        <f t="shared" si="1372"/>
        <v>A330neo</v>
      </c>
      <c r="B346" s="130"/>
      <c r="C346" s="605"/>
      <c r="D346" s="605"/>
      <c r="E346" s="605"/>
      <c r="F346" s="605"/>
      <c r="G346" s="605"/>
      <c r="H346" s="605"/>
      <c r="I346" s="605"/>
      <c r="J346" s="605"/>
      <c r="K346" s="605"/>
      <c r="L346" s="605"/>
      <c r="M346" s="605"/>
      <c r="N346" s="606"/>
      <c r="O346" s="130"/>
      <c r="P346" s="130"/>
      <c r="Q346" s="130"/>
      <c r="R346" s="698"/>
      <c r="S346" s="130"/>
      <c r="T346" s="130"/>
      <c r="U346" s="619"/>
      <c r="V346" s="130"/>
      <c r="W346" s="130"/>
      <c r="X346" s="130"/>
      <c r="Y346" s="698"/>
      <c r="Z346" s="130"/>
      <c r="AA346" s="130"/>
      <c r="AB346" s="619"/>
      <c r="AC346" s="130"/>
      <c r="AD346" s="130"/>
      <c r="AE346" s="130"/>
      <c r="AF346" s="698"/>
      <c r="AG346" s="130"/>
      <c r="AH346" s="130"/>
      <c r="AI346" s="619"/>
      <c r="AJ346" s="130"/>
      <c r="AK346" s="130"/>
      <c r="AL346" s="130"/>
      <c r="AM346" s="698"/>
      <c r="AN346" s="130"/>
      <c r="AO346" s="130"/>
      <c r="AP346" s="619"/>
      <c r="AQ346" s="130"/>
      <c r="AR346" s="130"/>
      <c r="AS346" s="130"/>
      <c r="AT346" s="698"/>
      <c r="AU346" s="130"/>
      <c r="AV346" s="130"/>
      <c r="AW346" s="619"/>
      <c r="AX346" s="130"/>
      <c r="AY346" s="130"/>
      <c r="AZ346" s="130"/>
      <c r="BA346" s="698"/>
      <c r="BB346" s="130"/>
      <c r="BC346" s="130"/>
      <c r="BD346" s="619"/>
      <c r="BE346" s="130"/>
      <c r="BF346" s="130"/>
      <c r="BG346" s="130"/>
      <c r="BH346" s="698"/>
      <c r="BI346" s="130"/>
      <c r="BJ346" s="130"/>
      <c r="BK346" s="619"/>
      <c r="BL346" s="130"/>
      <c r="BM346" s="130"/>
      <c r="BN346" s="130"/>
      <c r="BO346" s="698"/>
      <c r="BP346" s="130"/>
      <c r="BQ346" s="130"/>
      <c r="BR346" s="619"/>
      <c r="BS346" s="130"/>
      <c r="BT346" s="130"/>
      <c r="BU346" s="130"/>
      <c r="BV346" s="698"/>
      <c r="BW346" s="130"/>
      <c r="BX346" s="130"/>
      <c r="BY346" s="619"/>
      <c r="BZ346" s="130"/>
      <c r="CA346" s="130"/>
      <c r="CB346" s="130"/>
      <c r="CC346" s="698"/>
      <c r="CD346" s="130"/>
      <c r="CE346" s="130"/>
      <c r="CF346" s="619"/>
      <c r="CG346" s="130"/>
      <c r="CH346" s="130"/>
      <c r="CI346" s="130"/>
      <c r="CJ346" s="698"/>
      <c r="CK346" s="130"/>
      <c r="CL346" s="130"/>
      <c r="CM346" s="619">
        <f>CM296*CM327</f>
        <v>152.14206702517922</v>
      </c>
      <c r="CN346" s="130">
        <f>CN296*CN327</f>
        <v>34.944573417516281</v>
      </c>
      <c r="CO346" s="130">
        <f t="shared" si="1373"/>
        <v>48.670815953804038</v>
      </c>
      <c r="CP346" s="130">
        <f>CP296*CP327</f>
        <v>42.218268726860046</v>
      </c>
      <c r="CQ346" s="698">
        <f t="shared" si="1374"/>
        <v>77.658329880011337</v>
      </c>
      <c r="CR346" s="130">
        <f>CR296*CR327</f>
        <v>83.615389371320319</v>
      </c>
      <c r="CS346" s="130">
        <f t="shared" si="1375"/>
        <v>119.87659860687138</v>
      </c>
      <c r="CT346" s="619">
        <f>CT296*CT327</f>
        <v>203.4919879781917</v>
      </c>
      <c r="CU346" s="130">
        <f>CU296*CU327</f>
        <v>57.58719922035629</v>
      </c>
      <c r="CV346" s="130">
        <f t="shared" si="1376"/>
        <v>50.600736408611034</v>
      </c>
      <c r="CW346" s="130">
        <f>CW296*CW327</f>
        <v>58.15567235541095</v>
      </c>
      <c r="CX346" s="698">
        <f t="shared" si="1377"/>
        <v>84.822198661000755</v>
      </c>
      <c r="CY346" s="130">
        <f>CY296*CY327</f>
        <v>108.18793562896732</v>
      </c>
      <c r="CZ346" s="130">
        <f t="shared" si="1378"/>
        <v>142.97787101641171</v>
      </c>
      <c r="DA346" s="619">
        <f>DA296*DA327</f>
        <v>251.16580664537904</v>
      </c>
      <c r="DB346" s="130">
        <f>DB296*DB327</f>
        <v>35.124241535181135</v>
      </c>
      <c r="DC346" s="130">
        <f t="shared" si="1379"/>
        <v>73.502491161812571</v>
      </c>
      <c r="DD346" s="130">
        <f>DD296*DD327</f>
        <v>76.119538657346069</v>
      </c>
      <c r="DE346" s="1907">
        <f t="shared" si="1380"/>
        <v>142.66853241415004</v>
      </c>
      <c r="DF346" s="1878">
        <f>DF296*DF327</f>
        <v>108.62673269699371</v>
      </c>
      <c r="DG346" s="1878">
        <f t="shared" si="1381"/>
        <v>218.78807107149612</v>
      </c>
      <c r="DH346" s="1946">
        <f>DH296*DH327</f>
        <v>327.41480376848983</v>
      </c>
      <c r="DI346" s="130">
        <f>DI296*DI327</f>
        <v>25.312938042733023</v>
      </c>
      <c r="DJ346" s="130">
        <f t="shared" si="1382"/>
        <v>61.529847987300258</v>
      </c>
      <c r="DK346" s="617">
        <f>DK296*DK327</f>
        <v>77.571648569756107</v>
      </c>
      <c r="DL346" s="618">
        <f t="shared" si="1383"/>
        <v>151.90156072293388</v>
      </c>
      <c r="DM346" s="130">
        <f>DM296*DM327</f>
        <v>86.842786030033281</v>
      </c>
      <c r="DN346" s="617">
        <f t="shared" si="1384"/>
        <v>229.47320929269</v>
      </c>
      <c r="DO346" s="651">
        <f>DO296*DO327</f>
        <v>316.31599532272327</v>
      </c>
      <c r="DP346" s="617">
        <f>DP296*DP327</f>
        <v>79.661449268773282</v>
      </c>
      <c r="DQ346" s="617">
        <f t="shared" si="1385"/>
        <v>79.721195205358271</v>
      </c>
      <c r="DR346" s="617">
        <f>DR296*DR327</f>
        <v>79.722269365973503</v>
      </c>
      <c r="DS346" s="618">
        <f t="shared" si="1386"/>
        <v>79.701495247060663</v>
      </c>
      <c r="DT346" s="617">
        <f>DT296*DT327</f>
        <v>159.38264447413155</v>
      </c>
      <c r="DU346" s="617">
        <f t="shared" si="1387"/>
        <v>159.42376461303417</v>
      </c>
      <c r="DV346" s="651">
        <f>DV296*DV327</f>
        <v>318.80640908716572</v>
      </c>
      <c r="DW346" s="617">
        <f>DW296*DW327</f>
        <v>81.627044913327353</v>
      </c>
      <c r="DX346" s="617">
        <f t="shared" si="1388"/>
        <v>81.654229523952068</v>
      </c>
      <c r="DY346" s="617">
        <f>DY296*DY327</f>
        <v>81.654570868969699</v>
      </c>
      <c r="DZ346" s="618">
        <f t="shared" si="1389"/>
        <v>81.65516458779615</v>
      </c>
      <c r="EA346" s="617">
        <f>EA296*EA327</f>
        <v>163.28127443727942</v>
      </c>
      <c r="EB346" s="617">
        <f t="shared" si="1390"/>
        <v>163.30973545676585</v>
      </c>
      <c r="EC346" s="651">
        <f>EC296*EC327</f>
        <v>326.59100989404527</v>
      </c>
      <c r="ED346" s="617">
        <f>ED296*ED327</f>
        <v>82.155970647645532</v>
      </c>
      <c r="EE346" s="617">
        <f t="shared" si="1391"/>
        <v>82.154959630253629</v>
      </c>
      <c r="EF346" s="617">
        <f>EF296*EF327</f>
        <v>82.154798312405433</v>
      </c>
      <c r="EG346" s="618">
        <f t="shared" si="1392"/>
        <v>82.154806948920282</v>
      </c>
      <c r="EH346" s="617">
        <f>EH296*EH327</f>
        <v>164.31093027789916</v>
      </c>
      <c r="EI346" s="617">
        <f t="shared" si="1393"/>
        <v>164.30960526132571</v>
      </c>
      <c r="EJ346" s="651">
        <f>EJ296*EJ327</f>
        <v>328.62053553922487</v>
      </c>
      <c r="EK346" s="617">
        <f>EK296*EK327</f>
        <v>97.540374763868655</v>
      </c>
      <c r="EL346" s="617">
        <f t="shared" si="1394"/>
        <v>97.540904033417647</v>
      </c>
      <c r="EM346" s="617">
        <f>EM296*EM327</f>
        <v>97.540987891564527</v>
      </c>
      <c r="EN346" s="618">
        <f t="shared" si="1395"/>
        <v>97.540950549527537</v>
      </c>
      <c r="EO346" s="617">
        <f>EO296*EO327</f>
        <v>195.0812787972863</v>
      </c>
      <c r="EP346" s="617">
        <f t="shared" si="1396"/>
        <v>195.08193844109206</v>
      </c>
      <c r="EQ346" s="651">
        <f>EQ296*EQ327</f>
        <v>390.16321723837837</v>
      </c>
    </row>
    <row r="347" spans="1:147" ht="10.199999999999999" customHeight="1">
      <c r="A347" s="130" t="str">
        <f t="shared" si="1372"/>
        <v>A350</v>
      </c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698"/>
      <c r="S347" s="130"/>
      <c r="T347" s="130"/>
      <c r="U347" s="619"/>
      <c r="V347" s="130"/>
      <c r="W347" s="130"/>
      <c r="X347" s="130"/>
      <c r="Y347" s="698"/>
      <c r="Z347" s="130"/>
      <c r="AA347" s="130"/>
      <c r="AB347" s="619"/>
      <c r="AC347" s="130"/>
      <c r="AD347" s="130"/>
      <c r="AE347" s="130"/>
      <c r="AF347" s="698"/>
      <c r="AG347" s="130"/>
      <c r="AH347" s="130"/>
      <c r="AI347" s="619"/>
      <c r="AJ347" s="130"/>
      <c r="AK347" s="130"/>
      <c r="AL347" s="130"/>
      <c r="AM347" s="698"/>
      <c r="AN347" s="130"/>
      <c r="AO347" s="130"/>
      <c r="AP347" s="619"/>
      <c r="AQ347" s="130"/>
      <c r="AR347" s="130"/>
      <c r="AS347" s="130"/>
      <c r="AT347" s="698"/>
      <c r="AU347" s="130"/>
      <c r="AV347" s="130"/>
      <c r="AW347" s="619"/>
      <c r="AX347" s="130"/>
      <c r="AY347" s="130"/>
      <c r="AZ347" s="130"/>
      <c r="BA347" s="698"/>
      <c r="BB347" s="130"/>
      <c r="BC347" s="130"/>
      <c r="BD347" s="619"/>
      <c r="BE347" s="130"/>
      <c r="BF347" s="130"/>
      <c r="BG347" s="130"/>
      <c r="BH347" s="698"/>
      <c r="BI347" s="130"/>
      <c r="BJ347" s="130"/>
      <c r="BK347" s="619"/>
      <c r="BL347" s="130"/>
      <c r="BM347" s="130"/>
      <c r="BN347" s="130"/>
      <c r="BO347" s="698"/>
      <c r="BP347" s="130"/>
      <c r="BQ347" s="130"/>
      <c r="BR347" s="619"/>
      <c r="BS347" s="130"/>
      <c r="BT347" s="130"/>
      <c r="BU347" s="130"/>
      <c r="BV347" s="698"/>
      <c r="BW347" s="130"/>
      <c r="BX347" s="130"/>
      <c r="BY347" s="619"/>
      <c r="BZ347" s="130"/>
      <c r="CA347" s="130"/>
      <c r="CB347" s="130"/>
      <c r="CC347" s="698"/>
      <c r="CD347" s="130"/>
      <c r="CE347" s="130"/>
      <c r="CF347" s="619"/>
      <c r="CG347" s="130"/>
      <c r="CH347" s="130"/>
      <c r="CI347" s="130"/>
      <c r="CJ347" s="698"/>
      <c r="CK347" s="130"/>
      <c r="CL347" s="130"/>
      <c r="CM347" s="619">
        <f>CM304*CM328</f>
        <v>470.78003403483012</v>
      </c>
      <c r="CN347" s="130">
        <f>CN304*CN328</f>
        <v>46.441223305730709</v>
      </c>
      <c r="CO347" s="130">
        <f t="shared" si="1373"/>
        <v>152.19689508155631</v>
      </c>
      <c r="CP347" s="130">
        <f>CP304*CP328</f>
        <v>133.63028420740773</v>
      </c>
      <c r="CQ347" s="698">
        <f t="shared" si="1374"/>
        <v>193.51215335311053</v>
      </c>
      <c r="CR347" s="130">
        <f>CR304*CR328</f>
        <v>198.63811838728702</v>
      </c>
      <c r="CS347" s="130">
        <f t="shared" si="1375"/>
        <v>327.14243756051826</v>
      </c>
      <c r="CT347" s="619">
        <f>CT304*CT328</f>
        <v>525.78055594780528</v>
      </c>
      <c r="CU347" s="130">
        <f>CU304*CU328</f>
        <v>27.126425700273252</v>
      </c>
      <c r="CV347" s="130">
        <f t="shared" si="1376"/>
        <v>89.846735789623978</v>
      </c>
      <c r="CW347" s="130">
        <f>CW304*CW328</f>
        <v>105.15589961079233</v>
      </c>
      <c r="CX347" s="698">
        <f t="shared" si="1377"/>
        <v>179.38620279937726</v>
      </c>
      <c r="CY347" s="130">
        <f>CY304*CY328</f>
        <v>116.97316148989724</v>
      </c>
      <c r="CZ347" s="130">
        <f t="shared" si="1378"/>
        <v>284.5421024101696</v>
      </c>
      <c r="DA347" s="619">
        <f>DA304*DA328</f>
        <v>401.51526390006683</v>
      </c>
      <c r="DB347" s="130">
        <f>DB304*DB328</f>
        <v>65.331170726138865</v>
      </c>
      <c r="DC347" s="130">
        <f t="shared" si="1379"/>
        <v>114.23889847903304</v>
      </c>
      <c r="DD347" s="130">
        <f>DD304*DD328</f>
        <v>103.71320246936143</v>
      </c>
      <c r="DE347" s="1907">
        <f t="shared" si="1380"/>
        <v>205.9526431522583</v>
      </c>
      <c r="DF347" s="1878">
        <f>DF304*DF328</f>
        <v>179.5700692051719</v>
      </c>
      <c r="DG347" s="1878">
        <f t="shared" si="1381"/>
        <v>309.66584562161972</v>
      </c>
      <c r="DH347" s="1946">
        <f>DH304*DH328</f>
        <v>489.23591482679166</v>
      </c>
      <c r="DI347" s="130">
        <f>DI304*DI328</f>
        <v>78.612255305409718</v>
      </c>
      <c r="DJ347" s="130">
        <f t="shared" si="1382"/>
        <v>143.11390949472323</v>
      </c>
      <c r="DK347" s="617">
        <f>DK304*DK328</f>
        <v>156.46608861536927</v>
      </c>
      <c r="DL347" s="618">
        <f t="shared" si="1383"/>
        <v>242.77562183527917</v>
      </c>
      <c r="DM347" s="130">
        <f>DM304*DM328</f>
        <v>221.72616480013295</v>
      </c>
      <c r="DN347" s="617">
        <f t="shared" si="1384"/>
        <v>399.24171045064844</v>
      </c>
      <c r="DO347" s="651">
        <f>DO304*DO328</f>
        <v>620.96787525078139</v>
      </c>
      <c r="DP347" s="617">
        <f>DP304*DP328</f>
        <v>191.13770120742265</v>
      </c>
      <c r="DQ347" s="617">
        <f t="shared" si="1385"/>
        <v>191.28105412254234</v>
      </c>
      <c r="DR347" s="617">
        <f>DR304*DR328</f>
        <v>191.28363143682179</v>
      </c>
      <c r="DS347" s="618">
        <f t="shared" si="1386"/>
        <v>191.23378653229082</v>
      </c>
      <c r="DT347" s="617">
        <f>DT304*DT328</f>
        <v>382.41875532996499</v>
      </c>
      <c r="DU347" s="617">
        <f t="shared" si="1387"/>
        <v>382.51741796911261</v>
      </c>
      <c r="DV347" s="651">
        <f>DV304*DV328</f>
        <v>764.93617329907761</v>
      </c>
      <c r="DW347" s="617">
        <f>DW304*DW328</f>
        <v>220.33564035477374</v>
      </c>
      <c r="DX347" s="617">
        <f t="shared" si="1388"/>
        <v>220.40901969364549</v>
      </c>
      <c r="DY347" s="617">
        <f>DY304*DY328</f>
        <v>220.40994108523967</v>
      </c>
      <c r="DZ347" s="618">
        <f t="shared" si="1389"/>
        <v>220.41154370870794</v>
      </c>
      <c r="EA347" s="617">
        <f>EA304*EA328</f>
        <v>440.74466004841923</v>
      </c>
      <c r="EB347" s="617">
        <f t="shared" si="1390"/>
        <v>440.8214847939476</v>
      </c>
      <c r="EC347" s="651">
        <f>EC304*EC328</f>
        <v>881.56614484236684</v>
      </c>
      <c r="ED347" s="617">
        <f>ED304*ED328</f>
        <v>287.47103262038775</v>
      </c>
      <c r="EE347" s="617">
        <f t="shared" si="1391"/>
        <v>287.46749498080578</v>
      </c>
      <c r="EF347" s="617">
        <f>EF304*EF328</f>
        <v>287.46693051533811</v>
      </c>
      <c r="EG347" s="618">
        <f t="shared" si="1392"/>
        <v>287.46696073526988</v>
      </c>
      <c r="EH347" s="617">
        <f>EH304*EH328</f>
        <v>574.93852760119353</v>
      </c>
      <c r="EI347" s="617">
        <f t="shared" si="1393"/>
        <v>574.93389125060799</v>
      </c>
      <c r="EJ347" s="651">
        <f>EJ304*EJ328</f>
        <v>1149.8724188518015</v>
      </c>
      <c r="EK347" s="617">
        <f>EK304*EK328</f>
        <v>375.31676495077392</v>
      </c>
      <c r="EL347" s="617">
        <f t="shared" si="1394"/>
        <v>375.31880147908743</v>
      </c>
      <c r="EM347" s="617">
        <f>EM304*EM328</f>
        <v>375.31912414924818</v>
      </c>
      <c r="EN347" s="618">
        <f t="shared" si="1395"/>
        <v>375.3189804642094</v>
      </c>
      <c r="EO347" s="617">
        <f>EO304*EO328</f>
        <v>750.63556642986134</v>
      </c>
      <c r="EP347" s="617">
        <f t="shared" si="1396"/>
        <v>750.63810461345759</v>
      </c>
      <c r="EQ347" s="651">
        <f>EQ304*EQ328</f>
        <v>1501.2736710433189</v>
      </c>
    </row>
    <row r="348" spans="1:147" ht="10.199999999999999" customHeight="1">
      <c r="A348" s="92" t="s">
        <v>167</v>
      </c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699"/>
      <c r="S348" s="92"/>
      <c r="T348" s="92"/>
      <c r="U348" s="1289"/>
      <c r="V348" s="92"/>
      <c r="W348" s="92"/>
      <c r="X348" s="92"/>
      <c r="Y348" s="699"/>
      <c r="Z348" s="92"/>
      <c r="AA348" s="92"/>
      <c r="AB348" s="1289"/>
      <c r="AC348" s="92"/>
      <c r="AD348" s="92"/>
      <c r="AE348" s="92"/>
      <c r="AF348" s="699"/>
      <c r="AG348" s="92"/>
      <c r="AH348" s="92"/>
      <c r="AI348" s="1289"/>
      <c r="AJ348" s="92"/>
      <c r="AK348" s="92"/>
      <c r="AL348" s="92"/>
      <c r="AM348" s="699"/>
      <c r="AN348" s="92"/>
      <c r="AO348" s="92"/>
      <c r="AP348" s="1289"/>
      <c r="AQ348" s="92"/>
      <c r="AR348" s="92"/>
      <c r="AS348" s="92"/>
      <c r="AT348" s="699"/>
      <c r="AU348" s="92"/>
      <c r="AV348" s="92"/>
      <c r="AW348" s="1289"/>
      <c r="AX348" s="92"/>
      <c r="AY348" s="92"/>
      <c r="AZ348" s="92"/>
      <c r="BA348" s="699"/>
      <c r="BB348" s="92"/>
      <c r="BC348" s="92"/>
      <c r="BD348" s="1289"/>
      <c r="BE348" s="92"/>
      <c r="BF348" s="92"/>
      <c r="BG348" s="92"/>
      <c r="BH348" s="699"/>
      <c r="BI348" s="92"/>
      <c r="BJ348" s="92"/>
      <c r="BK348" s="1289"/>
      <c r="BL348" s="92"/>
      <c r="BM348" s="92"/>
      <c r="BN348" s="92"/>
      <c r="BO348" s="699"/>
      <c r="BP348" s="92"/>
      <c r="BQ348" s="92"/>
      <c r="BR348" s="1289"/>
      <c r="BS348" s="92"/>
      <c r="BT348" s="92"/>
      <c r="BU348" s="92"/>
      <c r="BV348" s="699"/>
      <c r="BW348" s="92"/>
      <c r="BX348" s="92"/>
      <c r="BY348" s="1289"/>
      <c r="BZ348" s="92"/>
      <c r="CA348" s="92"/>
      <c r="CB348" s="92"/>
      <c r="CC348" s="699"/>
      <c r="CD348" s="92"/>
      <c r="CE348" s="92"/>
      <c r="CF348" s="1289"/>
      <c r="CG348" s="92"/>
      <c r="CH348" s="92"/>
      <c r="CI348" s="92"/>
      <c r="CJ348" s="699"/>
      <c r="CK348" s="92"/>
      <c r="CL348" s="92"/>
      <c r="CM348" s="1289">
        <f>CM342+CM343+CM344+CM345+CM346+CM347</f>
        <v>8047</v>
      </c>
      <c r="CN348" s="92">
        <f>CN342+CN343+CN344+CN345+CN346+CN347</f>
        <v>1258.956605593057</v>
      </c>
      <c r="CO348" s="92">
        <f t="shared" si="1373"/>
        <v>2285.6301832208292</v>
      </c>
      <c r="CP348" s="92">
        <f>CP342+CP343+CP344+CP345+CP346+CP347</f>
        <v>1544.6301832208292</v>
      </c>
      <c r="CQ348" s="699">
        <f t="shared" si="1374"/>
        <v>2540.5330279652835</v>
      </c>
      <c r="CR348" s="92">
        <f>CR342+CR343+CR344+CR345+CR346+CR347</f>
        <v>3544.5867888138864</v>
      </c>
      <c r="CS348" s="92">
        <f t="shared" si="1375"/>
        <v>4085.1632111861127</v>
      </c>
      <c r="CT348" s="1289">
        <f>CT342+CT343+CT344+CT345+CT346+CT347</f>
        <v>7629.7499999999991</v>
      </c>
      <c r="CU348" s="92">
        <f>CU342+CU343+CU344+CU345+CU346+CU347</f>
        <v>1213.7072499999999</v>
      </c>
      <c r="CV348" s="92">
        <f t="shared" si="1376"/>
        <v>2130.4514999999997</v>
      </c>
      <c r="CW348" s="92">
        <f>CW342+CW343+CW344+CW345+CW346+CW347</f>
        <v>1815.9240000000002</v>
      </c>
      <c r="CX348" s="699">
        <f t="shared" si="1377"/>
        <v>2904.8022500000015</v>
      </c>
      <c r="CY348" s="92">
        <f>CY342+CY343+CY344+CY345+CY346+CY347</f>
        <v>3344.1587499999996</v>
      </c>
      <c r="CZ348" s="92">
        <f t="shared" si="1378"/>
        <v>4720.7262500000015</v>
      </c>
      <c r="DA348" s="1289">
        <f>DA342+DA343+DA344+DA345+DA346+DA347</f>
        <v>8064.8850000000011</v>
      </c>
      <c r="DB348" s="92">
        <f>DB342+DB343+DB344+DB345+DB346+DB347</f>
        <v>1051.3928986748142</v>
      </c>
      <c r="DC348" s="92">
        <f t="shared" si="1379"/>
        <v>1762.058381526952</v>
      </c>
      <c r="DD348" s="92">
        <f>DD342+DD343+DD344+DD345+DD346+DD347</f>
        <v>2178.6124469104661</v>
      </c>
      <c r="DE348" s="1908">
        <f t="shared" si="1380"/>
        <v>3058.6760228877683</v>
      </c>
      <c r="DF348" s="1874">
        <f>DF342+DF343+DF344+DF345+DF346+DF347</f>
        <v>2813.4512802017662</v>
      </c>
      <c r="DG348" s="1874">
        <f t="shared" si="1381"/>
        <v>5237.2884697982345</v>
      </c>
      <c r="DH348" s="1951">
        <f>DH342+DH343+DH344+DH345+DH346+DH347</f>
        <v>8050.7397500000006</v>
      </c>
      <c r="DI348" s="92">
        <f>DI342+DI343+DI344+DI345+DI346+DI347</f>
        <v>681.15606896551719</v>
      </c>
      <c r="DJ348" s="92">
        <f t="shared" si="1382"/>
        <v>2753.6057964730762</v>
      </c>
      <c r="DK348" s="622">
        <f>DK342+DK343+DK344+DK345+DK346+DK347</f>
        <v>2155.7273522895771</v>
      </c>
      <c r="DL348" s="623">
        <f t="shared" si="1383"/>
        <v>3332.1384221254707</v>
      </c>
      <c r="DM348" s="92">
        <f>DM342+DM343+DM344+DM345+DM346+DM347</f>
        <v>3434.7618654385933</v>
      </c>
      <c r="DN348" s="622">
        <f t="shared" si="1384"/>
        <v>5487.8657744150478</v>
      </c>
      <c r="DO348" s="652">
        <f>DO342+DO343+DO344+DO345+DO346+DO347</f>
        <v>8922.6276398536411</v>
      </c>
      <c r="DP348" s="622">
        <f>DP342+DP343+DP344+DP345+DP346+DP347</f>
        <v>2518.4634574638008</v>
      </c>
      <c r="DQ348" s="622">
        <f t="shared" si="1385"/>
        <v>2722.8733293748278</v>
      </c>
      <c r="DR348" s="622">
        <f>DR342+DR343+DR344+DR345+DR346+DR347</f>
        <v>2723.9647568928149</v>
      </c>
      <c r="DS348" s="623">
        <f t="shared" si="1386"/>
        <v>2723.2285658060982</v>
      </c>
      <c r="DT348" s="622">
        <f>DT342+DT343+DT344+DT345+DT346+DT347</f>
        <v>5241.3367868386285</v>
      </c>
      <c r="DU348" s="622">
        <f t="shared" si="1387"/>
        <v>5447.1933226989131</v>
      </c>
      <c r="DV348" s="652">
        <f>DV342+DV343+DV344+DV345+DV346+DV347</f>
        <v>10688.530109537542</v>
      </c>
      <c r="DW348" s="622">
        <f>DW342+DW343+DW344+DW345+DW346+DW347</f>
        <v>2846.5746067553741</v>
      </c>
      <c r="DX348" s="622">
        <f t="shared" si="1388"/>
        <v>3046.1838989764669</v>
      </c>
      <c r="DY348" s="622">
        <f>DY342+DY343+DY344+DY345+DY346+DY347</f>
        <v>3047.232254773141</v>
      </c>
      <c r="DZ348" s="623">
        <f t="shared" si="1389"/>
        <v>3143.6411270581257</v>
      </c>
      <c r="EA348" s="622">
        <f>EA342+EA343+EA344+EA345+EA346+EA347</f>
        <v>5892.7585057318411</v>
      </c>
      <c r="EB348" s="622">
        <f t="shared" si="1390"/>
        <v>6190.8733818312667</v>
      </c>
      <c r="EC348" s="652">
        <f>EC342+EC343+EC344+EC345+EC346+EC347</f>
        <v>12083.631887563108</v>
      </c>
      <c r="ED348" s="622">
        <f>ED342+ED343+ED344+ED345+ED346+ED347</f>
        <v>3370.126542358189</v>
      </c>
      <c r="EE348" s="622">
        <f t="shared" si="1391"/>
        <v>3368.9987809064169</v>
      </c>
      <c r="EF348" s="622">
        <f>EF342+EF343+EF344+EF345+EF346+EF347</f>
        <v>3370.0784519019744</v>
      </c>
      <c r="EG348" s="623">
        <f t="shared" si="1392"/>
        <v>3476.4432531504726</v>
      </c>
      <c r="EH348" s="622">
        <f>EH342+EH343+EH344+EH345+EH346+EH347</f>
        <v>6739.1253232646059</v>
      </c>
      <c r="EI348" s="622">
        <f t="shared" si="1393"/>
        <v>6846.521705052447</v>
      </c>
      <c r="EJ348" s="652">
        <f>EJ342+EJ343+EJ344+EJ345+EJ346+EJ347</f>
        <v>13585.647028317053</v>
      </c>
      <c r="EK348" s="622">
        <f>EK342+EK343+EK344+EK345+EK346+EK347</f>
        <v>3553.4938978344594</v>
      </c>
      <c r="EL348" s="622">
        <f t="shared" si="1394"/>
        <v>3552.4100961030113</v>
      </c>
      <c r="EM348" s="622">
        <f>EM342+EM343+EM344+EM345+EM346+EM347</f>
        <v>3553.51623469272</v>
      </c>
      <c r="EN348" s="623">
        <f t="shared" si="1395"/>
        <v>3661.5244357260281</v>
      </c>
      <c r="EO348" s="622">
        <f>EO342+EO343+EO344+EO345+EO346+EO347</f>
        <v>7105.9039939374707</v>
      </c>
      <c r="EP348" s="622">
        <f t="shared" si="1396"/>
        <v>7215.040670418748</v>
      </c>
      <c r="EQ348" s="652">
        <f>EQ342+EQ343+EQ344+EQ345+EQ346+EQ347</f>
        <v>14320.944664356219</v>
      </c>
    </row>
    <row r="349" spans="1:147" ht="10.199999999999999" customHeight="1">
      <c r="A349" s="626" t="s">
        <v>844</v>
      </c>
      <c r="B349" s="607"/>
      <c r="C349" s="730"/>
      <c r="D349" s="730"/>
      <c r="E349" s="730"/>
      <c r="F349" s="730"/>
      <c r="G349" s="730"/>
      <c r="H349" s="730"/>
      <c r="I349" s="730"/>
      <c r="J349" s="730"/>
      <c r="K349" s="730"/>
      <c r="L349" s="730"/>
      <c r="M349" s="730"/>
      <c r="N349" s="1756"/>
      <c r="O349" s="607"/>
      <c r="P349" s="607"/>
      <c r="Q349" s="607"/>
      <c r="R349" s="1326"/>
      <c r="S349" s="607"/>
      <c r="T349" s="731"/>
      <c r="U349" s="1389"/>
      <c r="V349" s="607"/>
      <c r="W349" s="607"/>
      <c r="X349" s="607"/>
      <c r="Y349" s="1326"/>
      <c r="Z349" s="607"/>
      <c r="AA349" s="731"/>
      <c r="AB349" s="1389"/>
      <c r="AC349" s="607"/>
      <c r="AD349" s="607"/>
      <c r="AE349" s="607"/>
      <c r="AF349" s="1326"/>
      <c r="AG349" s="607"/>
      <c r="AH349" s="731"/>
      <c r="AI349" s="1389"/>
      <c r="AJ349" s="607"/>
      <c r="AK349" s="607"/>
      <c r="AL349" s="607"/>
      <c r="AM349" s="1326"/>
      <c r="AN349" s="607"/>
      <c r="AO349" s="731"/>
      <c r="AP349" s="1389"/>
      <c r="AQ349" s="607"/>
      <c r="AR349" s="607"/>
      <c r="AS349" s="607"/>
      <c r="AT349" s="1326"/>
      <c r="AU349" s="607"/>
      <c r="AV349" s="731"/>
      <c r="AW349" s="1389"/>
      <c r="AX349" s="607"/>
      <c r="AY349" s="607"/>
      <c r="AZ349" s="607"/>
      <c r="BA349" s="1326"/>
      <c r="BB349" s="607"/>
      <c r="BC349" s="731"/>
      <c r="BD349" s="1389"/>
      <c r="BE349" s="607"/>
      <c r="BF349" s="607"/>
      <c r="BG349" s="607"/>
      <c r="BH349" s="1326"/>
      <c r="BI349" s="607"/>
      <c r="BJ349" s="731"/>
      <c r="BK349" s="1389"/>
      <c r="BL349" s="607"/>
      <c r="BM349" s="607"/>
      <c r="BN349" s="607"/>
      <c r="BO349" s="1326"/>
      <c r="BP349" s="607"/>
      <c r="BQ349" s="731"/>
      <c r="BR349" s="1389"/>
      <c r="BS349" s="607"/>
      <c r="BT349" s="607"/>
      <c r="BU349" s="607"/>
      <c r="BV349" s="1326"/>
      <c r="BW349" s="607"/>
      <c r="BX349" s="731"/>
      <c r="BY349" s="1389"/>
      <c r="BZ349" s="607"/>
      <c r="CA349" s="607"/>
      <c r="CB349" s="607"/>
      <c r="CC349" s="1326"/>
      <c r="CD349" s="607"/>
      <c r="CE349" s="731"/>
      <c r="CF349" s="1389"/>
      <c r="CG349" s="607"/>
      <c r="CH349" s="607"/>
      <c r="CI349" s="607"/>
      <c r="CJ349" s="1326"/>
      <c r="CK349" s="607"/>
      <c r="CL349" s="731"/>
      <c r="CM349" s="1389">
        <f>CM348/CM143</f>
        <v>12.173978819969744</v>
      </c>
      <c r="CN349" s="607"/>
      <c r="CO349" s="607"/>
      <c r="CP349" s="607"/>
      <c r="CQ349" s="1326"/>
      <c r="CR349" s="607"/>
      <c r="CS349" s="731"/>
      <c r="CT349" s="1389">
        <f>CT348/CT143</f>
        <v>10.380612244897957</v>
      </c>
      <c r="CU349" s="732"/>
      <c r="CV349" s="732"/>
      <c r="CW349" s="607"/>
      <c r="CX349" s="733"/>
      <c r="CY349" s="732"/>
      <c r="CZ349" s="607"/>
      <c r="DA349" s="1779">
        <f>DA348/DA143</f>
        <v>10.528570496083553</v>
      </c>
      <c r="DB349" s="732"/>
      <c r="DC349" s="732"/>
      <c r="DD349" s="732"/>
      <c r="DE349" s="1952"/>
      <c r="DF349" s="1953"/>
      <c r="DG349" s="1953"/>
      <c r="DH349" s="1954">
        <f>DH348/DH143</f>
        <v>10.152256935687264</v>
      </c>
      <c r="DI349" s="607"/>
      <c r="DJ349" s="732"/>
      <c r="DK349" s="732"/>
      <c r="DL349" s="733"/>
      <c r="DM349" s="732"/>
      <c r="DN349" s="732"/>
      <c r="DO349" s="1390">
        <f>DO348/DO143</f>
        <v>10.255893838912231</v>
      </c>
      <c r="DP349" s="732"/>
      <c r="DQ349" s="732"/>
      <c r="DR349" s="732"/>
      <c r="DS349" s="733"/>
      <c r="DT349" s="732"/>
      <c r="DU349" s="732"/>
      <c r="DV349" s="1390">
        <f>DV348/DV143</f>
        <v>10.962594984141068</v>
      </c>
      <c r="DW349" s="732"/>
      <c r="DX349" s="732"/>
      <c r="DY349" s="732"/>
      <c r="DZ349" s="733"/>
      <c r="EA349" s="732"/>
      <c r="EB349" s="732"/>
      <c r="EC349" s="1390">
        <f>EC348/EC143</f>
        <v>11.611898510571155</v>
      </c>
      <c r="ED349" s="732"/>
      <c r="EE349" s="732"/>
      <c r="EF349" s="732"/>
      <c r="EG349" s="733"/>
      <c r="EH349" s="732"/>
      <c r="EI349" s="732"/>
      <c r="EJ349" s="1390">
        <f>EJ348/EJ143</f>
        <v>12.744509407426879</v>
      </c>
      <c r="EK349" s="732"/>
      <c r="EL349" s="732"/>
      <c r="EM349" s="732"/>
      <c r="EN349" s="733"/>
      <c r="EO349" s="732"/>
      <c r="EP349" s="732"/>
      <c r="EQ349" s="1390">
        <f>EQ348/EQ143</f>
        <v>13.365323998465906</v>
      </c>
    </row>
    <row r="350" spans="1:147" ht="10.199999999999999" customHeight="1">
      <c r="A350" s="626" t="s">
        <v>845</v>
      </c>
      <c r="B350" s="607"/>
      <c r="C350" s="730"/>
      <c r="D350" s="730"/>
      <c r="E350" s="730"/>
      <c r="F350" s="730"/>
      <c r="G350" s="730"/>
      <c r="H350" s="730"/>
      <c r="I350" s="730"/>
      <c r="J350" s="730"/>
      <c r="K350" s="730"/>
      <c r="L350" s="730"/>
      <c r="M350" s="730"/>
      <c r="N350" s="1756"/>
      <c r="O350" s="607"/>
      <c r="P350" s="607"/>
      <c r="Q350" s="607"/>
      <c r="R350" s="1326"/>
      <c r="S350" s="607"/>
      <c r="T350" s="731"/>
      <c r="U350" s="1389"/>
      <c r="V350" s="607"/>
      <c r="W350" s="607"/>
      <c r="X350" s="607"/>
      <c r="Y350" s="1326"/>
      <c r="Z350" s="607"/>
      <c r="AA350" s="731"/>
      <c r="AB350" s="1389"/>
      <c r="AC350" s="607"/>
      <c r="AD350" s="607"/>
      <c r="AE350" s="607"/>
      <c r="AF350" s="1326"/>
      <c r="AG350" s="607"/>
      <c r="AH350" s="731"/>
      <c r="AI350" s="1389"/>
      <c r="AJ350" s="607"/>
      <c r="AK350" s="607"/>
      <c r="AL350" s="607"/>
      <c r="AM350" s="1326"/>
      <c r="AN350" s="607"/>
      <c r="AO350" s="731"/>
      <c r="AP350" s="1389"/>
      <c r="AQ350" s="607"/>
      <c r="AR350" s="607"/>
      <c r="AS350" s="607"/>
      <c r="AT350" s="1326"/>
      <c r="AU350" s="607"/>
      <c r="AV350" s="731"/>
      <c r="AW350" s="1389"/>
      <c r="AX350" s="607"/>
      <c r="AY350" s="607"/>
      <c r="AZ350" s="607"/>
      <c r="BA350" s="1326"/>
      <c r="BB350" s="607"/>
      <c r="BC350" s="731"/>
      <c r="BD350" s="1389"/>
      <c r="BE350" s="607"/>
      <c r="BF350" s="607"/>
      <c r="BG350" s="607"/>
      <c r="BH350" s="1326"/>
      <c r="BI350" s="607"/>
      <c r="BJ350" s="731"/>
      <c r="BK350" s="1389"/>
      <c r="BL350" s="607"/>
      <c r="BM350" s="607"/>
      <c r="BN350" s="607"/>
      <c r="BO350" s="1326"/>
      <c r="BP350" s="607"/>
      <c r="BQ350" s="731"/>
      <c r="BR350" s="1389"/>
      <c r="BS350" s="607"/>
      <c r="BT350" s="607"/>
      <c r="BU350" s="607"/>
      <c r="BV350" s="1326"/>
      <c r="BW350" s="607"/>
      <c r="BX350" s="731"/>
      <c r="BY350" s="1389"/>
      <c r="BZ350" s="607"/>
      <c r="CA350" s="607"/>
      <c r="CB350" s="607"/>
      <c r="CC350" s="1326"/>
      <c r="CD350" s="607"/>
      <c r="CE350" s="731"/>
      <c r="CF350" s="1389"/>
      <c r="CG350" s="607"/>
      <c r="CH350" s="607"/>
      <c r="CI350" s="607"/>
      <c r="CJ350" s="1326"/>
      <c r="CK350" s="607"/>
      <c r="CL350" s="731"/>
      <c r="CM350" s="1389">
        <f>(CM348-CM342)/CM143</f>
        <v>12.584591440938222</v>
      </c>
      <c r="CN350" s="607"/>
      <c r="CO350" s="607"/>
      <c r="CP350" s="607"/>
      <c r="CQ350" s="1326"/>
      <c r="CR350" s="607"/>
      <c r="CS350" s="731"/>
      <c r="CT350" s="1389">
        <f>(CT348-CT342)/CT143</f>
        <v>10.879094284110472</v>
      </c>
      <c r="CU350" s="732"/>
      <c r="CV350" s="732"/>
      <c r="CW350" s="732"/>
      <c r="CX350" s="733"/>
      <c r="CY350" s="732"/>
      <c r="CZ350" s="607"/>
      <c r="DA350" s="1779">
        <f>(DA348-DA342)/DA143</f>
        <v>10.973540072776776</v>
      </c>
      <c r="DB350" s="732"/>
      <c r="DC350" s="732"/>
      <c r="DD350" s="732"/>
      <c r="DE350" s="1952"/>
      <c r="DF350" s="1953"/>
      <c r="DG350" s="1953"/>
      <c r="DH350" s="1954">
        <f>(DH348-DH342)/DH143</f>
        <v>10.695607582991165</v>
      </c>
      <c r="DI350" s="732"/>
      <c r="DJ350" s="732"/>
      <c r="DK350" s="732"/>
      <c r="DL350" s="733"/>
      <c r="DM350" s="732"/>
      <c r="DN350" s="732"/>
      <c r="DO350" s="1390">
        <f>(DO348-DO342)/DO143</f>
        <v>10.720929490888047</v>
      </c>
      <c r="DP350" s="732"/>
      <c r="DQ350" s="732"/>
      <c r="DR350" s="732"/>
      <c r="DS350" s="733"/>
      <c r="DT350" s="732"/>
      <c r="DU350" s="732"/>
      <c r="DV350" s="1390">
        <f>(DV348-DV342)/DV143</f>
        <v>11.324414485697913</v>
      </c>
      <c r="DW350" s="732"/>
      <c r="DX350" s="732"/>
      <c r="DY350" s="732"/>
      <c r="DZ350" s="733"/>
      <c r="EA350" s="732"/>
      <c r="EB350" s="732"/>
      <c r="EC350" s="1390">
        <f>(EC348-EC342)/EC143</f>
        <v>11.823654481742761</v>
      </c>
      <c r="ED350" s="732"/>
      <c r="EE350" s="732"/>
      <c r="EF350" s="732"/>
      <c r="EG350" s="733"/>
      <c r="EH350" s="732"/>
      <c r="EI350" s="732"/>
      <c r="EJ350" s="1390">
        <f>(EJ348-EJ342)/EJ143</f>
        <v>12.869309365607638</v>
      </c>
      <c r="EK350" s="732"/>
      <c r="EL350" s="732"/>
      <c r="EM350" s="732"/>
      <c r="EN350" s="733"/>
      <c r="EO350" s="732"/>
      <c r="EP350" s="732"/>
      <c r="EQ350" s="1390">
        <f>(EQ348-EQ342)/EQ143</f>
        <v>13.365323998465906</v>
      </c>
    </row>
    <row r="351" spans="1:147" ht="10.199999999999999" customHeight="1">
      <c r="A351" s="92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617"/>
      <c r="P351" s="617"/>
      <c r="Q351" s="617"/>
      <c r="R351" s="618"/>
      <c r="S351" s="130"/>
      <c r="T351" s="617"/>
      <c r="U351" s="726"/>
      <c r="V351" s="617"/>
      <c r="W351" s="617"/>
      <c r="X351" s="617"/>
      <c r="Y351" s="618"/>
      <c r="Z351" s="130"/>
      <c r="AA351" s="617"/>
      <c r="AB351" s="726"/>
      <c r="AC351" s="617"/>
      <c r="AD351" s="617"/>
      <c r="AE351" s="617"/>
      <c r="AF351" s="618"/>
      <c r="AG351" s="130"/>
      <c r="AH351" s="617"/>
      <c r="AI351" s="726"/>
      <c r="AJ351" s="617"/>
      <c r="AK351" s="617"/>
      <c r="AL351" s="617"/>
      <c r="AM351" s="618"/>
      <c r="AN351" s="130"/>
      <c r="AO351" s="617"/>
      <c r="AP351" s="726"/>
      <c r="AQ351" s="617"/>
      <c r="AR351" s="617"/>
      <c r="AS351" s="617"/>
      <c r="AT351" s="618"/>
      <c r="AU351" s="130"/>
      <c r="AV351" s="617"/>
      <c r="AW351" s="726"/>
      <c r="AX351" s="617"/>
      <c r="AY351" s="617"/>
      <c r="AZ351" s="617"/>
      <c r="BA351" s="618"/>
      <c r="BB351" s="130"/>
      <c r="BC351" s="617"/>
      <c r="BD351" s="726"/>
      <c r="BE351" s="617"/>
      <c r="BF351" s="617"/>
      <c r="BG351" s="617"/>
      <c r="BH351" s="618"/>
      <c r="BI351" s="130"/>
      <c r="BJ351" s="617"/>
      <c r="BK351" s="726"/>
      <c r="BL351" s="617"/>
      <c r="BM351" s="617"/>
      <c r="BN351" s="617"/>
      <c r="BO351" s="618"/>
      <c r="BP351" s="130"/>
      <c r="BQ351" s="617"/>
      <c r="BR351" s="726"/>
      <c r="BS351" s="617"/>
      <c r="BT351" s="617"/>
      <c r="BU351" s="617"/>
      <c r="BV351" s="618"/>
      <c r="BW351" s="130"/>
      <c r="BX351" s="617"/>
      <c r="BY351" s="726"/>
      <c r="BZ351" s="617"/>
      <c r="CA351" s="617"/>
      <c r="CB351" s="617"/>
      <c r="CC351" s="618"/>
      <c r="CD351" s="130"/>
      <c r="CE351" s="617"/>
      <c r="CF351" s="726"/>
      <c r="CG351" s="617"/>
      <c r="CH351" s="617"/>
      <c r="CI351" s="617"/>
      <c r="CJ351" s="618"/>
      <c r="CK351" s="130"/>
      <c r="CL351" s="617"/>
      <c r="CM351" s="726"/>
      <c r="CN351" s="617"/>
      <c r="CO351" s="617"/>
      <c r="CP351" s="617"/>
      <c r="CQ351" s="618"/>
      <c r="CR351" s="130"/>
      <c r="CS351" s="617"/>
      <c r="CT351" s="726"/>
      <c r="CU351" s="617"/>
      <c r="CV351" s="617"/>
      <c r="CW351" s="617"/>
      <c r="CX351" s="618"/>
      <c r="CY351" s="617"/>
      <c r="CZ351" s="617"/>
      <c r="DA351" s="726"/>
      <c r="DB351" s="617"/>
      <c r="DC351" s="617"/>
      <c r="DD351" s="617"/>
      <c r="DE351" s="618"/>
      <c r="DF351" s="617"/>
      <c r="DG351" s="617"/>
      <c r="DH351" s="726"/>
      <c r="DI351" s="617"/>
      <c r="DJ351" s="617"/>
      <c r="DK351" s="617"/>
      <c r="DL351" s="618"/>
      <c r="DM351" s="617"/>
      <c r="DN351" s="617"/>
      <c r="DO351" s="726"/>
      <c r="DP351" s="617"/>
      <c r="DQ351" s="617"/>
      <c r="DR351" s="617"/>
      <c r="DS351" s="618"/>
      <c r="DT351" s="617"/>
      <c r="DU351" s="617"/>
      <c r="DV351" s="1405"/>
      <c r="DW351" s="617"/>
      <c r="DX351" s="617"/>
      <c r="DY351" s="617"/>
      <c r="DZ351" s="618"/>
      <c r="EA351" s="617"/>
      <c r="EB351" s="617"/>
      <c r="EC351" s="726"/>
      <c r="ED351" s="617"/>
      <c r="EE351" s="617"/>
      <c r="EF351" s="617"/>
      <c r="EG351" s="618"/>
      <c r="EH351" s="617"/>
      <c r="EI351" s="617"/>
      <c r="EJ351" s="726"/>
      <c r="EK351" s="617"/>
      <c r="EL351" s="617"/>
      <c r="EM351" s="617"/>
      <c r="EN351" s="618"/>
      <c r="EO351" s="617"/>
      <c r="EP351" s="617"/>
      <c r="EQ351" s="726"/>
    </row>
    <row r="352" spans="1:147" ht="10.199999999999999" customHeight="1">
      <c r="A352" s="92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617"/>
      <c r="P352" s="617"/>
      <c r="Q352" s="617"/>
      <c r="R352" s="618"/>
      <c r="S352" s="130"/>
      <c r="T352" s="617"/>
      <c r="U352" s="726"/>
      <c r="V352" s="617"/>
      <c r="W352" s="617"/>
      <c r="X352" s="617"/>
      <c r="Y352" s="618"/>
      <c r="Z352" s="130"/>
      <c r="AA352" s="617"/>
      <c r="AB352" s="726"/>
      <c r="AC352" s="617"/>
      <c r="AD352" s="617"/>
      <c r="AE352" s="617"/>
      <c r="AF352" s="618"/>
      <c r="AG352" s="130"/>
      <c r="AH352" s="617"/>
      <c r="AI352" s="726"/>
      <c r="AJ352" s="617"/>
      <c r="AK352" s="617"/>
      <c r="AL352" s="617"/>
      <c r="AM352" s="618"/>
      <c r="AN352" s="130"/>
      <c r="AO352" s="617"/>
      <c r="AP352" s="726"/>
      <c r="AQ352" s="617"/>
      <c r="AR352" s="617"/>
      <c r="AS352" s="617"/>
      <c r="AT352" s="618"/>
      <c r="AU352" s="130"/>
      <c r="AV352" s="617"/>
      <c r="AW352" s="726"/>
      <c r="AX352" s="617"/>
      <c r="AY352" s="617"/>
      <c r="AZ352" s="617"/>
      <c r="BA352" s="618"/>
      <c r="BB352" s="130"/>
      <c r="BC352" s="617"/>
      <c r="BD352" s="726"/>
      <c r="BE352" s="617"/>
      <c r="BF352" s="617"/>
      <c r="BG352" s="617"/>
      <c r="BH352" s="618"/>
      <c r="BI352" s="130"/>
      <c r="BJ352" s="617"/>
      <c r="BK352" s="726"/>
      <c r="BL352" s="617"/>
      <c r="BM352" s="617"/>
      <c r="BN352" s="617"/>
      <c r="BO352" s="618"/>
      <c r="BP352" s="130"/>
      <c r="BQ352" s="617"/>
      <c r="BR352" s="726"/>
      <c r="BS352" s="617"/>
      <c r="BT352" s="617"/>
      <c r="BU352" s="617"/>
      <c r="BV352" s="618"/>
      <c r="BW352" s="130"/>
      <c r="BX352" s="617"/>
      <c r="BY352" s="726"/>
      <c r="BZ352" s="617"/>
      <c r="CA352" s="617"/>
      <c r="CB352" s="617"/>
      <c r="CC352" s="618"/>
      <c r="CD352" s="130"/>
      <c r="CE352" s="617"/>
      <c r="CF352" s="726"/>
      <c r="CG352" s="617"/>
      <c r="CH352" s="617"/>
      <c r="CI352" s="617"/>
      <c r="CJ352" s="618"/>
      <c r="CK352" s="130"/>
      <c r="CL352" s="617"/>
      <c r="CM352" s="726"/>
      <c r="CN352" s="617"/>
      <c r="CO352" s="617"/>
      <c r="CP352" s="617"/>
      <c r="CQ352" s="618"/>
      <c r="CR352" s="130"/>
      <c r="CS352" s="617"/>
      <c r="CT352" s="726"/>
      <c r="CU352" s="617"/>
      <c r="CV352" s="617"/>
      <c r="CW352" s="617"/>
      <c r="CX352" s="618"/>
      <c r="CY352" s="617"/>
      <c r="CZ352" s="617"/>
      <c r="DA352" s="726"/>
      <c r="DB352" s="617"/>
      <c r="DC352" s="617"/>
      <c r="DD352" s="617"/>
      <c r="DE352" s="618"/>
      <c r="DF352" s="617"/>
      <c r="DG352" s="617"/>
      <c r="DH352" s="726"/>
      <c r="DI352" s="617"/>
      <c r="DJ352" s="617"/>
      <c r="DK352" s="617"/>
      <c r="DL352" s="618"/>
      <c r="DM352" s="617"/>
      <c r="DN352" s="617"/>
      <c r="DO352" s="726"/>
      <c r="DP352" s="617"/>
      <c r="DQ352" s="617"/>
      <c r="DR352" s="617"/>
      <c r="DS352" s="618"/>
      <c r="DT352" s="617"/>
      <c r="DU352" s="617"/>
      <c r="DV352" s="726"/>
      <c r="DW352" s="617"/>
      <c r="DX352" s="617"/>
      <c r="DY352" s="617"/>
      <c r="DZ352" s="618"/>
      <c r="EA352" s="617"/>
      <c r="EB352" s="617"/>
      <c r="EC352" s="726"/>
      <c r="ED352" s="617"/>
      <c r="EE352" s="617"/>
      <c r="EF352" s="617"/>
      <c r="EG352" s="618"/>
      <c r="EH352" s="617"/>
      <c r="EI352" s="617"/>
      <c r="EJ352" s="726"/>
      <c r="EK352" s="617"/>
      <c r="EL352" s="617"/>
      <c r="EM352" s="617"/>
      <c r="EN352" s="618"/>
      <c r="EO352" s="617"/>
      <c r="EP352" s="617"/>
      <c r="EQ352" s="726"/>
    </row>
    <row r="353" spans="1:147" ht="10.199999999999999" customHeight="1">
      <c r="A353" s="92" t="s">
        <v>755</v>
      </c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698"/>
      <c r="S353" s="130"/>
      <c r="T353" s="130"/>
      <c r="U353" s="619"/>
      <c r="V353" s="130"/>
      <c r="W353" s="130"/>
      <c r="X353" s="130"/>
      <c r="Y353" s="698"/>
      <c r="Z353" s="130"/>
      <c r="AA353" s="130"/>
      <c r="AB353" s="619"/>
      <c r="AC353" s="130"/>
      <c r="AD353" s="130"/>
      <c r="AE353" s="130"/>
      <c r="AF353" s="698"/>
      <c r="AG353" s="130"/>
      <c r="AH353" s="130"/>
      <c r="AI353" s="619"/>
      <c r="AJ353" s="130"/>
      <c r="AK353" s="130"/>
      <c r="AL353" s="130"/>
      <c r="AM353" s="698"/>
      <c r="AN353" s="130"/>
      <c r="AO353" s="130"/>
      <c r="AP353" s="619"/>
      <c r="AQ353" s="130"/>
      <c r="AR353" s="130"/>
      <c r="AS353" s="130"/>
      <c r="AT353" s="698"/>
      <c r="AU353" s="130"/>
      <c r="AV353" s="130"/>
      <c r="AW353" s="619"/>
      <c r="AX353" s="130"/>
      <c r="AY353" s="130"/>
      <c r="AZ353" s="130"/>
      <c r="BA353" s="698"/>
      <c r="BB353" s="130"/>
      <c r="BC353" s="130"/>
      <c r="BD353" s="619"/>
      <c r="BE353" s="130"/>
      <c r="BF353" s="130"/>
      <c r="BG353" s="130"/>
      <c r="BH353" s="698"/>
      <c r="BI353" s="130"/>
      <c r="BJ353" s="130"/>
      <c r="BK353" s="619"/>
      <c r="BL353" s="130"/>
      <c r="BM353" s="130"/>
      <c r="BN353" s="130"/>
      <c r="BO353" s="698"/>
      <c r="BP353" s="130"/>
      <c r="BQ353" s="130"/>
      <c r="BR353" s="619"/>
      <c r="BS353" s="130"/>
      <c r="BT353" s="130"/>
      <c r="BU353" s="130"/>
      <c r="BV353" s="698"/>
      <c r="BW353" s="130"/>
      <c r="BX353" s="130"/>
      <c r="BY353" s="619"/>
      <c r="BZ353" s="130"/>
      <c r="CA353" s="130"/>
      <c r="CB353" s="130"/>
      <c r="CC353" s="698"/>
      <c r="CD353" s="130"/>
      <c r="CE353" s="130"/>
      <c r="CF353" s="619"/>
      <c r="CG353" s="130"/>
      <c r="CH353" s="130"/>
      <c r="CI353" s="130"/>
      <c r="CJ353" s="698"/>
      <c r="CK353" s="130"/>
      <c r="CL353" s="130"/>
      <c r="CM353" s="619">
        <f>CM307*CM354</f>
        <v>0</v>
      </c>
      <c r="CN353" s="130">
        <f>CN307*CN354</f>
        <v>0</v>
      </c>
      <c r="CO353" s="130">
        <f>CR353-CN353</f>
        <v>0</v>
      </c>
      <c r="CP353" s="130">
        <f>CP307*CP354</f>
        <v>0</v>
      </c>
      <c r="CQ353" s="698">
        <f>CS353-CP353</f>
        <v>0</v>
      </c>
      <c r="CR353" s="130">
        <f>CR307*CR354</f>
        <v>0</v>
      </c>
      <c r="CS353" s="130">
        <f>CT353-CR353</f>
        <v>0</v>
      </c>
      <c r="CT353" s="619">
        <f>CT307*CT354</f>
        <v>0</v>
      </c>
      <c r="CU353" s="130">
        <f>CU307*CU354</f>
        <v>29.792750000000002</v>
      </c>
      <c r="CV353" s="130">
        <f>CY353-CU353</f>
        <v>28.548499999999994</v>
      </c>
      <c r="CW353" s="130">
        <f>CW307*CW354</f>
        <v>32.075999999999993</v>
      </c>
      <c r="CX353" s="698">
        <f>CZ353-CW353</f>
        <v>36.197749999999985</v>
      </c>
      <c r="CY353" s="130">
        <f>CY307*CY354</f>
        <v>58.341249999999995</v>
      </c>
      <c r="CZ353" s="130">
        <f>DA353-CY353</f>
        <v>68.273749999999978</v>
      </c>
      <c r="DA353" s="619">
        <f>DA307*DA354</f>
        <v>126.61499999999997</v>
      </c>
      <c r="DB353" s="130">
        <f>DB307*DB354</f>
        <v>71.407500000000013</v>
      </c>
      <c r="DC353" s="130">
        <f>DF353-DB353</f>
        <v>103.5561</v>
      </c>
      <c r="DD353" s="130">
        <f>DD307*DD354</f>
        <v>125.3472</v>
      </c>
      <c r="DE353" s="1907">
        <f>DG353-DD353</f>
        <v>133.4494499999999</v>
      </c>
      <c r="DF353" s="1878">
        <f>DF307*DF354</f>
        <v>174.96360000000001</v>
      </c>
      <c r="DG353" s="1878">
        <f>DH353-DF353</f>
        <v>258.79664999999989</v>
      </c>
      <c r="DH353" s="1946">
        <f>DH307*DH354</f>
        <v>433.76024999999993</v>
      </c>
      <c r="DI353" s="130">
        <f>DI307*DI354</f>
        <v>71.706000000000017</v>
      </c>
      <c r="DJ353" s="130">
        <f>DM353-DI353</f>
        <v>114.53459999999998</v>
      </c>
      <c r="DK353" s="617">
        <f>DK307*DK354</f>
        <v>156.6318062452647</v>
      </c>
      <c r="DL353" s="618">
        <f>DN353-DK353</f>
        <v>157.03629299678832</v>
      </c>
      <c r="DM353" s="130">
        <f>DM307*DM354</f>
        <v>186.2406</v>
      </c>
      <c r="DN353" s="617">
        <f>DO353-DM353</f>
        <v>313.66809924205302</v>
      </c>
      <c r="DO353" s="651">
        <f>DO307*DO354</f>
        <v>499.90869924205305</v>
      </c>
      <c r="DP353" s="617">
        <f>DP307*DP354</f>
        <v>137.60208430664926</v>
      </c>
      <c r="DQ353" s="617">
        <f>DT353-DP353</f>
        <v>160.1449683816723</v>
      </c>
      <c r="DR353" s="617">
        <f>DR307*DR354</f>
        <v>163.63323912378038</v>
      </c>
      <c r="DS353" s="618">
        <f>DU353-DR353</f>
        <v>133.09485867545223</v>
      </c>
      <c r="DT353" s="617">
        <f>DT307*DT354</f>
        <v>297.74705268832156</v>
      </c>
      <c r="DU353" s="617">
        <f>DV353-DT353</f>
        <v>296.72809779923261</v>
      </c>
      <c r="DV353" s="651">
        <f>DV307*DV354</f>
        <v>594.47515048755417</v>
      </c>
      <c r="DW353" s="617">
        <f>DW307*DW354</f>
        <v>164.30582973306446</v>
      </c>
      <c r="DX353" s="617">
        <f>EA353-DW353</f>
        <v>191.14940446769828</v>
      </c>
      <c r="DY353" s="617">
        <f>DY307*DY354</f>
        <v>195.30549599028555</v>
      </c>
      <c r="DZ353" s="618">
        <f>EB353-DY353</f>
        <v>158.90360023838699</v>
      </c>
      <c r="EA353" s="617">
        <f>EA307*EA354</f>
        <v>355.45523420076273</v>
      </c>
      <c r="EB353" s="617">
        <f>EC353-EA353</f>
        <v>354.20909622867254</v>
      </c>
      <c r="EC353" s="651">
        <f>EC307*EC354</f>
        <v>709.66433042943527</v>
      </c>
      <c r="ED353" s="617">
        <f>ED307*ED354</f>
        <v>173.4373497262356</v>
      </c>
      <c r="EE353" s="617">
        <f>EH353-ED353</f>
        <v>201.70801581212743</v>
      </c>
      <c r="EF353" s="617">
        <f>EF307*EF354</f>
        <v>206.08742677669994</v>
      </c>
      <c r="EG353" s="618">
        <f>EI353-EF353</f>
        <v>167.67448239215116</v>
      </c>
      <c r="EH353" s="617">
        <f>EH307*EH354</f>
        <v>375.14536553836302</v>
      </c>
      <c r="EI353" s="617">
        <f>EJ353-EH353</f>
        <v>373.7619091688511</v>
      </c>
      <c r="EJ353" s="651">
        <f>EJ307*EJ354</f>
        <v>748.90727470721413</v>
      </c>
      <c r="EK353" s="617">
        <f>EK307*EK354</f>
        <v>184.70839441493877</v>
      </c>
      <c r="EL353" s="617">
        <f>EO353-EK353</f>
        <v>214.81980760888149</v>
      </c>
      <c r="EM353" s="617">
        <f>EM307*EM354</f>
        <v>219.48478945354657</v>
      </c>
      <c r="EN353" s="618">
        <f>EP353-EM353</f>
        <v>178.57460185314784</v>
      </c>
      <c r="EO353" s="617">
        <f>EO307*EO354</f>
        <v>399.52820202382026</v>
      </c>
      <c r="EP353" s="617">
        <f>EQ353-EO353</f>
        <v>398.05939130669441</v>
      </c>
      <c r="EQ353" s="651">
        <f>EQ307*EQ354</f>
        <v>797.58759333051466</v>
      </c>
    </row>
    <row r="354" spans="1:147" ht="10.199999999999999" customHeight="1">
      <c r="A354" s="739" t="s">
        <v>484</v>
      </c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193"/>
      <c r="P354" s="193"/>
      <c r="Q354" s="193"/>
      <c r="R354" s="712"/>
      <c r="S354" s="193"/>
      <c r="T354" s="193"/>
      <c r="U354" s="1334"/>
      <c r="V354" s="193"/>
      <c r="W354" s="193"/>
      <c r="X354" s="193"/>
      <c r="Y354" s="712"/>
      <c r="Z354" s="193"/>
      <c r="AA354" s="193"/>
      <c r="AB354" s="1334"/>
      <c r="AC354" s="193"/>
      <c r="AD354" s="193"/>
      <c r="AE354" s="193"/>
      <c r="AF354" s="712"/>
      <c r="AG354" s="193"/>
      <c r="AH354" s="193"/>
      <c r="AI354" s="1334"/>
      <c r="AJ354" s="193"/>
      <c r="AK354" s="193"/>
      <c r="AL354" s="193"/>
      <c r="AM354" s="712"/>
      <c r="AN354" s="193"/>
      <c r="AO354" s="193"/>
      <c r="AP354" s="1334"/>
      <c r="AQ354" s="193"/>
      <c r="AR354" s="193"/>
      <c r="AS354" s="193"/>
      <c r="AT354" s="712"/>
      <c r="AU354" s="193"/>
      <c r="AV354" s="193"/>
      <c r="AW354" s="1334"/>
      <c r="AX354" s="193"/>
      <c r="AY354" s="193"/>
      <c r="AZ354" s="193"/>
      <c r="BA354" s="712"/>
      <c r="BB354" s="193"/>
      <c r="BC354" s="193"/>
      <c r="BD354" s="1334"/>
      <c r="BE354" s="193"/>
      <c r="BF354" s="193"/>
      <c r="BG354" s="193"/>
      <c r="BH354" s="712"/>
      <c r="BI354" s="193"/>
      <c r="BJ354" s="193"/>
      <c r="BK354" s="1334"/>
      <c r="BL354" s="193"/>
      <c r="BM354" s="193"/>
      <c r="BN354" s="193"/>
      <c r="BO354" s="712"/>
      <c r="BP354" s="193"/>
      <c r="BQ354" s="193"/>
      <c r="BR354" s="1334"/>
      <c r="BS354" s="193"/>
      <c r="BT354" s="193"/>
      <c r="BU354" s="193"/>
      <c r="BV354" s="712"/>
      <c r="BW354" s="193"/>
      <c r="BX354" s="193"/>
      <c r="BY354" s="1334"/>
      <c r="BZ354" s="193"/>
      <c r="CA354" s="193"/>
      <c r="CB354" s="193"/>
      <c r="CC354" s="712"/>
      <c r="CD354" s="193"/>
      <c r="CE354" s="193"/>
      <c r="CF354" s="1334"/>
      <c r="CG354" s="193"/>
      <c r="CH354" s="193"/>
      <c r="CI354" s="193"/>
      <c r="CJ354" s="712"/>
      <c r="CK354" s="193"/>
      <c r="CL354" s="193"/>
      <c r="CM354" s="1334">
        <v>0</v>
      </c>
      <c r="CN354" s="193">
        <v>0</v>
      </c>
      <c r="CO354" s="193">
        <f>CO353/CO307</f>
        <v>0</v>
      </c>
      <c r="CP354" s="193">
        <v>0</v>
      </c>
      <c r="CQ354" s="712">
        <f>CQ353/CQ307</f>
        <v>0</v>
      </c>
      <c r="CR354" s="193">
        <v>0</v>
      </c>
      <c r="CS354" s="193">
        <f>CS353/CS307</f>
        <v>0</v>
      </c>
      <c r="CT354" s="1334">
        <v>0</v>
      </c>
      <c r="CU354" s="193">
        <f>DA354</f>
        <v>2.5000000000000001E-2</v>
      </c>
      <c r="CV354" s="193">
        <f>CV353/CV307</f>
        <v>2.5000000000000001E-2</v>
      </c>
      <c r="CW354" s="193">
        <f>DA354</f>
        <v>2.5000000000000001E-2</v>
      </c>
      <c r="CX354" s="712">
        <f>CX353/CX307</f>
        <v>2.5000000000000005E-2</v>
      </c>
      <c r="CY354" s="193">
        <f>DA354</f>
        <v>2.5000000000000001E-2</v>
      </c>
      <c r="CZ354" s="193">
        <f>CZ353/CZ307</f>
        <v>2.5000000000000001E-2</v>
      </c>
      <c r="DA354" s="1334">
        <v>2.5000000000000001E-2</v>
      </c>
      <c r="DB354" s="193">
        <v>0.05</v>
      </c>
      <c r="DC354" s="193">
        <f>DC353/DC307</f>
        <v>6.9598362804201869E-2</v>
      </c>
      <c r="DD354" s="193">
        <v>0.08</v>
      </c>
      <c r="DE354" s="1882">
        <f>DE353/DE307</f>
        <v>0.10260843322543192</v>
      </c>
      <c r="DF354" s="1921">
        <v>0.06</v>
      </c>
      <c r="DG354" s="1921">
        <f>DG353/DG307</f>
        <v>9.0254497961575073E-2</v>
      </c>
      <c r="DH354" s="1950">
        <v>7.4999999999999997E-2</v>
      </c>
      <c r="DI354" s="193">
        <v>0.05</v>
      </c>
      <c r="DJ354" s="193">
        <f>DJ353/DJ307</f>
        <v>6.858811059411099E-2</v>
      </c>
      <c r="DK354" s="734">
        <v>0.09</v>
      </c>
      <c r="DL354" s="600">
        <f>DL353/DL307</f>
        <v>0.11180976452560816</v>
      </c>
      <c r="DM354" s="193">
        <v>0.06</v>
      </c>
      <c r="DN354" s="599">
        <f>DN353/DN307</f>
        <v>9.9740281686687179E-2</v>
      </c>
      <c r="DO354" s="738">
        <v>0.08</v>
      </c>
      <c r="DP354" s="599">
        <f>DV354</f>
        <v>0.09</v>
      </c>
      <c r="DQ354" s="599">
        <f>DQ353/DQ307</f>
        <v>0.09</v>
      </c>
      <c r="DR354" s="599">
        <f>DV354</f>
        <v>0.09</v>
      </c>
      <c r="DS354" s="600">
        <f>DS353/DS307</f>
        <v>9.0000000000000024E-2</v>
      </c>
      <c r="DT354" s="599">
        <f>DV354</f>
        <v>0.09</v>
      </c>
      <c r="DU354" s="599">
        <f>DU353/DU307</f>
        <v>9.0000000000000011E-2</v>
      </c>
      <c r="DV354" s="738">
        <v>0.09</v>
      </c>
      <c r="DW354" s="599">
        <f>EC354</f>
        <v>0.1</v>
      </c>
      <c r="DX354" s="599">
        <f>DX353/DX307</f>
        <v>0.1</v>
      </c>
      <c r="DY354" s="599">
        <f>EC354</f>
        <v>0.1</v>
      </c>
      <c r="DZ354" s="600">
        <f>DZ353/DZ307</f>
        <v>0.10000000000000003</v>
      </c>
      <c r="EA354" s="599">
        <f>EC354</f>
        <v>0.1</v>
      </c>
      <c r="EB354" s="599">
        <f>EB353/EB307</f>
        <v>0.10000000000000002</v>
      </c>
      <c r="EC354" s="738">
        <v>0.1</v>
      </c>
      <c r="ED354" s="599">
        <f>EJ354</f>
        <v>0.1</v>
      </c>
      <c r="EE354" s="599">
        <f>EE353/EE307</f>
        <v>0.1</v>
      </c>
      <c r="EF354" s="599">
        <f>EJ354</f>
        <v>0.1</v>
      </c>
      <c r="EG354" s="600">
        <f>EG353/EG307</f>
        <v>9.9999999999999992E-2</v>
      </c>
      <c r="EH354" s="599">
        <f>EJ354</f>
        <v>0.1</v>
      </c>
      <c r="EI354" s="599">
        <f>EI353/EI307</f>
        <v>9.9999999999999992E-2</v>
      </c>
      <c r="EJ354" s="1123">
        <f>EC354</f>
        <v>0.1</v>
      </c>
      <c r="EK354" s="599">
        <f>EQ354</f>
        <v>0.1</v>
      </c>
      <c r="EL354" s="599">
        <f>EL353/EL307</f>
        <v>0.10000000000000002</v>
      </c>
      <c r="EM354" s="599">
        <f>EQ354</f>
        <v>0.1</v>
      </c>
      <c r="EN354" s="600">
        <f>EN353/EN307</f>
        <v>9.9999999999999964E-2</v>
      </c>
      <c r="EO354" s="599">
        <f>EQ354</f>
        <v>0.1</v>
      </c>
      <c r="EP354" s="599">
        <f>EP353/EP307</f>
        <v>9.9999999999999992E-2</v>
      </c>
      <c r="EQ354" s="1123">
        <f>EJ354</f>
        <v>0.1</v>
      </c>
    </row>
    <row r="355" spans="1:147" ht="10.199999999999999" customHeight="1">
      <c r="A355" s="92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617"/>
      <c r="P355" s="130"/>
      <c r="Q355" s="617"/>
      <c r="R355" s="618"/>
      <c r="S355" s="130"/>
      <c r="T355" s="617"/>
      <c r="U355" s="726"/>
      <c r="V355" s="617"/>
      <c r="W355" s="130"/>
      <c r="X355" s="617"/>
      <c r="Y355" s="618"/>
      <c r="Z355" s="130"/>
      <c r="AA355" s="617"/>
      <c r="AB355" s="726"/>
      <c r="AC355" s="617"/>
      <c r="AD355" s="130"/>
      <c r="AE355" s="617"/>
      <c r="AF355" s="618"/>
      <c r="AG355" s="130"/>
      <c r="AH355" s="617"/>
      <c r="AI355" s="726"/>
      <c r="AJ355" s="617"/>
      <c r="AK355" s="130"/>
      <c r="AL355" s="617"/>
      <c r="AM355" s="618"/>
      <c r="AN355" s="130"/>
      <c r="AO355" s="617"/>
      <c r="AP355" s="726"/>
      <c r="AQ355" s="617"/>
      <c r="AR355" s="130"/>
      <c r="AS355" s="617"/>
      <c r="AT355" s="618"/>
      <c r="AU355" s="130"/>
      <c r="AV355" s="617"/>
      <c r="AW355" s="726"/>
      <c r="AX355" s="617"/>
      <c r="AY355" s="130"/>
      <c r="AZ355" s="617"/>
      <c r="BA355" s="618"/>
      <c r="BB355" s="130"/>
      <c r="BC355" s="617"/>
      <c r="BD355" s="726"/>
      <c r="BE355" s="617"/>
      <c r="BF355" s="130"/>
      <c r="BG355" s="617"/>
      <c r="BH355" s="618"/>
      <c r="BI355" s="130"/>
      <c r="BJ355" s="617"/>
      <c r="BK355" s="726"/>
      <c r="BL355" s="617"/>
      <c r="BM355" s="130"/>
      <c r="BN355" s="617"/>
      <c r="BO355" s="618"/>
      <c r="BP355" s="130"/>
      <c r="BQ355" s="617"/>
      <c r="BR355" s="726"/>
      <c r="BS355" s="617"/>
      <c r="BT355" s="130"/>
      <c r="BU355" s="617"/>
      <c r="BV355" s="618"/>
      <c r="BW355" s="130"/>
      <c r="BX355" s="617"/>
      <c r="BY355" s="726"/>
      <c r="BZ355" s="617"/>
      <c r="CA355" s="130"/>
      <c r="CB355" s="617"/>
      <c r="CC355" s="618"/>
      <c r="CD355" s="130"/>
      <c r="CE355" s="617"/>
      <c r="CF355" s="726"/>
      <c r="CG355" s="617"/>
      <c r="CH355" s="130"/>
      <c r="CI355" s="617"/>
      <c r="CJ355" s="618"/>
      <c r="CK355" s="130"/>
      <c r="CL355" s="617"/>
      <c r="CM355" s="726"/>
      <c r="CN355" s="617"/>
      <c r="CO355" s="130"/>
      <c r="CP355" s="617"/>
      <c r="CQ355" s="618"/>
      <c r="CR355" s="130"/>
      <c r="CS355" s="617"/>
      <c r="CT355" s="726"/>
      <c r="CU355" s="617"/>
      <c r="CV355" s="617"/>
      <c r="CW355" s="617"/>
      <c r="CX355" s="618"/>
      <c r="CY355" s="617"/>
      <c r="CZ355" s="617"/>
      <c r="DA355" s="1405"/>
      <c r="DB355" s="617"/>
      <c r="DC355" s="617"/>
      <c r="DD355" s="617"/>
      <c r="DE355" s="618"/>
      <c r="DF355" s="617"/>
      <c r="DG355" s="617"/>
      <c r="DH355" s="726"/>
      <c r="DI355" s="617"/>
      <c r="DJ355" s="617"/>
      <c r="DK355" s="617"/>
      <c r="DL355" s="618"/>
      <c r="DM355" s="1722"/>
      <c r="DN355" s="617"/>
      <c r="DO355" s="726"/>
      <c r="DP355" s="617"/>
      <c r="DQ355" s="617"/>
      <c r="DR355" s="617"/>
      <c r="DS355" s="618"/>
      <c r="DT355" s="617"/>
      <c r="DU355" s="617"/>
      <c r="DV355" s="726"/>
      <c r="DW355" s="617"/>
      <c r="DX355" s="617"/>
      <c r="DY355" s="617"/>
      <c r="DZ355" s="618"/>
      <c r="EA355" s="617"/>
      <c r="EB355" s="617"/>
      <c r="EC355" s="726"/>
      <c r="ED355" s="617"/>
      <c r="EE355" s="617"/>
      <c r="EF355" s="617"/>
      <c r="EG355" s="618"/>
      <c r="EH355" s="617"/>
      <c r="EI355" s="617"/>
      <c r="EJ355" s="726"/>
      <c r="EK355" s="617"/>
      <c r="EL355" s="617"/>
      <c r="EM355" s="617"/>
      <c r="EN355" s="618"/>
      <c r="EO355" s="617"/>
      <c r="EP355" s="617"/>
      <c r="EQ355" s="726"/>
    </row>
    <row r="356" spans="1:147" ht="10.199999999999999" customHeight="1">
      <c r="A356" s="130" t="str">
        <f>A42</f>
        <v>R&amp;D self-financed</v>
      </c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698"/>
      <c r="S356" s="130"/>
      <c r="T356" s="130"/>
      <c r="U356" s="619"/>
      <c r="V356" s="130"/>
      <c r="W356" s="130"/>
      <c r="X356" s="130"/>
      <c r="Y356" s="698"/>
      <c r="Z356" s="130"/>
      <c r="AA356" s="130"/>
      <c r="AB356" s="619"/>
      <c r="AC356" s="130"/>
      <c r="AD356" s="130"/>
      <c r="AE356" s="130"/>
      <c r="AF356" s="698"/>
      <c r="AG356" s="130"/>
      <c r="AH356" s="130"/>
      <c r="AI356" s="619"/>
      <c r="AJ356" s="130"/>
      <c r="AK356" s="130"/>
      <c r="AL356" s="130"/>
      <c r="AM356" s="698"/>
      <c r="AN356" s="130"/>
      <c r="AO356" s="130"/>
      <c r="AP356" s="619"/>
      <c r="AQ356" s="130"/>
      <c r="AR356" s="130"/>
      <c r="AS356" s="130"/>
      <c r="AT356" s="698"/>
      <c r="AU356" s="130"/>
      <c r="AV356" s="130"/>
      <c r="AW356" s="619"/>
      <c r="AX356" s="130"/>
      <c r="AY356" s="130"/>
      <c r="AZ356" s="130"/>
      <c r="BA356" s="698"/>
      <c r="BB356" s="130"/>
      <c r="BC356" s="130"/>
      <c r="BD356" s="619"/>
      <c r="BE356" s="130"/>
      <c r="BF356" s="130"/>
      <c r="BG356" s="130"/>
      <c r="BH356" s="698"/>
      <c r="BI356" s="130"/>
      <c r="BJ356" s="130"/>
      <c r="BK356" s="619"/>
      <c r="BL356" s="130"/>
      <c r="BM356" s="130"/>
      <c r="BN356" s="130"/>
      <c r="BO356" s="698"/>
      <c r="BP356" s="130"/>
      <c r="BQ356" s="130"/>
      <c r="BR356" s="619"/>
      <c r="BS356" s="130"/>
      <c r="BT356" s="130"/>
      <c r="BU356" s="130"/>
      <c r="BV356" s="698"/>
      <c r="BW356" s="130"/>
      <c r="BX356" s="130"/>
      <c r="BY356" s="619"/>
      <c r="BZ356" s="130"/>
      <c r="CA356" s="130"/>
      <c r="CB356" s="130"/>
      <c r="CC356" s="698"/>
      <c r="CD356" s="130"/>
      <c r="CE356" s="130"/>
      <c r="CF356" s="619"/>
      <c r="CG356" s="130"/>
      <c r="CH356" s="130"/>
      <c r="CI356" s="130"/>
      <c r="CJ356" s="698"/>
      <c r="CK356" s="130"/>
      <c r="CL356" s="130"/>
      <c r="CM356" s="619">
        <f>-CM42</f>
        <v>-2607</v>
      </c>
      <c r="CN356" s="130">
        <f>-CN42</f>
        <v>-569</v>
      </c>
      <c r="CO356" s="130">
        <f>CR356-CN356</f>
        <v>-627</v>
      </c>
      <c r="CP356" s="130">
        <f>-CP42</f>
        <v>-602</v>
      </c>
      <c r="CQ356" s="698">
        <f>CS356-CP356</f>
        <v>-900</v>
      </c>
      <c r="CR356" s="130">
        <f>-CR42</f>
        <v>-1196</v>
      </c>
      <c r="CS356" s="130">
        <f>CT356-CR356</f>
        <v>-1502</v>
      </c>
      <c r="CT356" s="619">
        <f>-CT42</f>
        <v>-2698</v>
      </c>
      <c r="CU356" s="130">
        <f>-CU42</f>
        <v>-614</v>
      </c>
      <c r="CV356" s="130">
        <f>CY356-CU356</f>
        <v>-687</v>
      </c>
      <c r="CW356" s="130">
        <f>-CW42</f>
        <v>-618</v>
      </c>
      <c r="CX356" s="698">
        <f>CZ356-CW356</f>
        <v>-757</v>
      </c>
      <c r="CY356" s="130">
        <f>-CY42</f>
        <v>-1301</v>
      </c>
      <c r="CZ356" s="130">
        <f>DA356-CY356</f>
        <v>-1375</v>
      </c>
      <c r="DA356" s="619">
        <f>-DA42</f>
        <v>-2676</v>
      </c>
      <c r="DB356" s="130">
        <f>-DB42</f>
        <v>-545</v>
      </c>
      <c r="DC356" s="130">
        <f>DF356-DB356</f>
        <v>-596</v>
      </c>
      <c r="DD356" s="130">
        <f>-DD42</f>
        <v>-587</v>
      </c>
      <c r="DE356" s="1907">
        <f>DG356-DD356</f>
        <v>-809</v>
      </c>
      <c r="DF356" s="1878">
        <f>-DF42</f>
        <v>-1141</v>
      </c>
      <c r="DG356" s="1878">
        <f>DH356-DF356</f>
        <v>-1396</v>
      </c>
      <c r="DH356" s="619">
        <f>-DH42</f>
        <v>-2537</v>
      </c>
      <c r="DI356" s="130">
        <f>-DI42</f>
        <v>-566</v>
      </c>
      <c r="DJ356" s="130">
        <f>DM356-DI356</f>
        <v>-628</v>
      </c>
      <c r="DK356" s="617">
        <f>-DK357*DK11</f>
        <v>-614.76927343505542</v>
      </c>
      <c r="DL356" s="618">
        <f>DN356-DK356</f>
        <v>-962.32179559119174</v>
      </c>
      <c r="DM356" s="1878">
        <f>-DM42</f>
        <v>-1194</v>
      </c>
      <c r="DN356" s="617">
        <f>DO356-DM356</f>
        <v>-1577.0910690262472</v>
      </c>
      <c r="DO356" s="651">
        <f>-DO357*DO11</f>
        <v>-2771.0910690262472</v>
      </c>
      <c r="DP356" s="617">
        <f>-DP357*DP11</f>
        <v>-757.52541534012732</v>
      </c>
      <c r="DQ356" s="617">
        <f>DT356-DP356</f>
        <v>-800.25592046607369</v>
      </c>
      <c r="DR356" s="617">
        <f>-DR357*DR11</f>
        <v>-802.29678482186353</v>
      </c>
      <c r="DS356" s="618">
        <f>DU356-DR356</f>
        <v>-785.98878991579147</v>
      </c>
      <c r="DT356" s="617">
        <f>-DT357*DT11</f>
        <v>-1557.781335806201</v>
      </c>
      <c r="DU356" s="617">
        <f>DV356-DT356</f>
        <v>-1588.285574737655</v>
      </c>
      <c r="DV356" s="651">
        <f>-DV357*DV11</f>
        <v>-3146.066910543856</v>
      </c>
      <c r="DW356" s="617">
        <f>-DW357*DW11</f>
        <v>-830.4670153693869</v>
      </c>
      <c r="DX356" s="617">
        <f>EA356-DW356</f>
        <v>-879.76218428127231</v>
      </c>
      <c r="DY356" s="617">
        <f>-DY357*DY11</f>
        <v>-881.92882602938153</v>
      </c>
      <c r="DZ356" s="618">
        <f>EB356-DY356</f>
        <v>-882.25277509549232</v>
      </c>
      <c r="EA356" s="617">
        <f>-EA357*EA11</f>
        <v>-1710.2291996506592</v>
      </c>
      <c r="EB356" s="617">
        <f>EC356-EA356</f>
        <v>-1764.1816011248739</v>
      </c>
      <c r="EC356" s="651">
        <f>-EC357*EC11</f>
        <v>-3474.4108007755331</v>
      </c>
      <c r="ED356" s="617">
        <f>-ED357*ED11</f>
        <v>-895.89424747459202</v>
      </c>
      <c r="EE356" s="617">
        <f>EH356-ED356</f>
        <v>-909.12852166065295</v>
      </c>
      <c r="EF356" s="617">
        <f>-EF357*EF11</f>
        <v>-911.39142556599325</v>
      </c>
      <c r="EG356" s="618">
        <f>EI356-EF356</f>
        <v>-911.18933118472648</v>
      </c>
      <c r="EH356" s="617">
        <f>-EH357*EH11</f>
        <v>-1805.022769135245</v>
      </c>
      <c r="EI356" s="617">
        <f>EJ356-EH356</f>
        <v>-1822.5807567507197</v>
      </c>
      <c r="EJ356" s="651">
        <f>-EJ357*EJ11</f>
        <v>-3627.6035258859647</v>
      </c>
      <c r="EK356" s="617">
        <f>-EK357*EK11</f>
        <v>-922.19912489726892</v>
      </c>
      <c r="EL356" s="617">
        <f>EO356-EK356</f>
        <v>-936.31944384543647</v>
      </c>
      <c r="EM356" s="617">
        <f>-EM357*EM11</f>
        <v>-938.72315787778712</v>
      </c>
      <c r="EN356" s="618">
        <f>EP356-EM356</f>
        <v>-937.61354990630161</v>
      </c>
      <c r="EO356" s="617">
        <f>-EO357*EO11</f>
        <v>-1858.5185687427054</v>
      </c>
      <c r="EP356" s="617">
        <f>EQ356-EO356</f>
        <v>-1876.3367077840887</v>
      </c>
      <c r="EQ356" s="651">
        <f>-EQ357*EQ11</f>
        <v>-3734.8552765267941</v>
      </c>
    </row>
    <row r="357" spans="1:147" ht="10.199999999999999" customHeight="1">
      <c r="A357" s="737" t="str">
        <f>A43</f>
        <v>% of revenue</v>
      </c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251"/>
      <c r="P357" s="251"/>
      <c r="Q357" s="251"/>
      <c r="R357" s="1277"/>
      <c r="S357" s="251"/>
      <c r="T357" s="251"/>
      <c r="U357" s="1295"/>
      <c r="V357" s="251"/>
      <c r="W357" s="251"/>
      <c r="X357" s="251"/>
      <c r="Y357" s="1277"/>
      <c r="Z357" s="251"/>
      <c r="AA357" s="251"/>
      <c r="AB357" s="1295"/>
      <c r="AC357" s="251"/>
      <c r="AD357" s="251"/>
      <c r="AE357" s="251"/>
      <c r="AF357" s="1277"/>
      <c r="AG357" s="251"/>
      <c r="AH357" s="251"/>
      <c r="AI357" s="1295"/>
      <c r="AJ357" s="251"/>
      <c r="AK357" s="251"/>
      <c r="AL357" s="251"/>
      <c r="AM357" s="1277"/>
      <c r="AN357" s="251"/>
      <c r="AO357" s="251"/>
      <c r="AP357" s="1295"/>
      <c r="AQ357" s="251"/>
      <c r="AR357" s="251"/>
      <c r="AS357" s="251"/>
      <c r="AT357" s="1277"/>
      <c r="AU357" s="251"/>
      <c r="AV357" s="251"/>
      <c r="AW357" s="1295"/>
      <c r="AX357" s="251"/>
      <c r="AY357" s="251"/>
      <c r="AZ357" s="251"/>
      <c r="BA357" s="1277"/>
      <c r="BB357" s="251"/>
      <c r="BC357" s="251"/>
      <c r="BD357" s="1295"/>
      <c r="BE357" s="251"/>
      <c r="BF357" s="251"/>
      <c r="BG357" s="251"/>
      <c r="BH357" s="1277"/>
      <c r="BI357" s="251"/>
      <c r="BJ357" s="251"/>
      <c r="BK357" s="1295"/>
      <c r="BL357" s="251"/>
      <c r="BM357" s="251"/>
      <c r="BN357" s="251"/>
      <c r="BO357" s="1277"/>
      <c r="BP357" s="251"/>
      <c r="BQ357" s="251"/>
      <c r="BR357" s="1295"/>
      <c r="BS357" s="251"/>
      <c r="BT357" s="251"/>
      <c r="BU357" s="251"/>
      <c r="BV357" s="1277"/>
      <c r="BW357" s="251"/>
      <c r="BX357" s="251"/>
      <c r="BY357" s="1295"/>
      <c r="BZ357" s="251"/>
      <c r="CA357" s="251"/>
      <c r="CB357" s="251"/>
      <c r="CC357" s="1277"/>
      <c r="CD357" s="251"/>
      <c r="CE357" s="251"/>
      <c r="CF357" s="1295"/>
      <c r="CG357" s="251"/>
      <c r="CH357" s="251"/>
      <c r="CI357" s="251"/>
      <c r="CJ357" s="1277"/>
      <c r="CK357" s="251"/>
      <c r="CL357" s="251"/>
      <c r="CM357" s="1295">
        <f t="shared" ref="CM357:DJ357" si="1397">-CM356/CM11</f>
        <v>6.2928454185574967E-2</v>
      </c>
      <c r="CN357" s="251">
        <f t="shared" si="1397"/>
        <v>7.016029593094944E-2</v>
      </c>
      <c r="CO357" s="251">
        <f t="shared" si="1397"/>
        <v>5.122967562709372E-2</v>
      </c>
      <c r="CP357" s="251">
        <f t="shared" si="1397"/>
        <v>5.3952321204516936E-2</v>
      </c>
      <c r="CQ357" s="1277">
        <f t="shared" si="1397"/>
        <v>5.5364173228346462E-2</v>
      </c>
      <c r="CR357" s="251">
        <f t="shared" si="1397"/>
        <v>5.8774386947761562E-2</v>
      </c>
      <c r="CS357" s="251">
        <f t="shared" si="1397"/>
        <v>5.4789523601079741E-2</v>
      </c>
      <c r="CT357" s="1295">
        <f t="shared" si="1397"/>
        <v>5.6487239076272427E-2</v>
      </c>
      <c r="CU357" s="251">
        <f t="shared" si="1397"/>
        <v>6.6979382567906628E-2</v>
      </c>
      <c r="CV357" s="251">
        <f t="shared" si="1397"/>
        <v>5.7021912350597607E-2</v>
      </c>
      <c r="CW357" s="251">
        <f t="shared" si="1397"/>
        <v>5.2983539094650207E-2</v>
      </c>
      <c r="CX357" s="1277">
        <f t="shared" si="1397"/>
        <v>4.2607080542578939E-2</v>
      </c>
      <c r="CY357" s="251">
        <f t="shared" si="1397"/>
        <v>6.1324534527456988E-2</v>
      </c>
      <c r="CZ357" s="251">
        <f t="shared" si="1397"/>
        <v>4.6719445482654345E-2</v>
      </c>
      <c r="DA357" s="1295">
        <f t="shared" si="1397"/>
        <v>5.2837341547210044E-2</v>
      </c>
      <c r="DB357" s="251">
        <f t="shared" si="1397"/>
        <v>5.7241886356475161E-2</v>
      </c>
      <c r="DC357" s="251">
        <f t="shared" si="1397"/>
        <v>5.2706048814998234E-2</v>
      </c>
      <c r="DD357" s="251">
        <f t="shared" si="1397"/>
        <v>4.4956728191774528E-2</v>
      </c>
      <c r="DE357" s="1880">
        <f t="shared" si="1397"/>
        <v>4.3282863410197422E-2</v>
      </c>
      <c r="DF357" s="1871">
        <f t="shared" si="1397"/>
        <v>5.4779394113975706E-2</v>
      </c>
      <c r="DG357" s="1871">
        <f t="shared" si="1397"/>
        <v>4.3971273781025576E-2</v>
      </c>
      <c r="DH357" s="1295">
        <f t="shared" si="1397"/>
        <v>4.8253038400821652E-2</v>
      </c>
      <c r="DI357" s="251">
        <f t="shared" si="1397"/>
        <v>6.7093409198672363E-2</v>
      </c>
      <c r="DJ357" s="251">
        <f t="shared" si="1397"/>
        <v>4.067094100123049E-2</v>
      </c>
      <c r="DK357" s="1261">
        <v>4.2500000000000003E-2</v>
      </c>
      <c r="DL357" s="450">
        <f>-DL356/DL11</f>
        <v>4.8124270970644069E-2</v>
      </c>
      <c r="DM357" s="1871">
        <f t="shared" ref="DM357" si="1398">-DM356/DM11</f>
        <v>5.0006282196255809E-2</v>
      </c>
      <c r="DN357" s="449">
        <f>-DN356/DN11</f>
        <v>4.5763510014220736E-2</v>
      </c>
      <c r="DO357" s="535">
        <v>4.7500000000000001E-2</v>
      </c>
      <c r="DP357" s="449">
        <f>DV357</f>
        <v>4.7500000000000001E-2</v>
      </c>
      <c r="DQ357" s="449">
        <f>-DQ356/DQ11</f>
        <v>4.7500000000000001E-2</v>
      </c>
      <c r="DR357" s="449">
        <f>DV357</f>
        <v>4.7500000000000001E-2</v>
      </c>
      <c r="DS357" s="450">
        <f>-DS356/DS11</f>
        <v>4.7500000000000014E-2</v>
      </c>
      <c r="DT357" s="449">
        <f>DV357</f>
        <v>4.7500000000000001E-2</v>
      </c>
      <c r="DU357" s="449">
        <f>-DU356/DU11</f>
        <v>4.7500000000000007E-2</v>
      </c>
      <c r="DV357" s="535">
        <v>4.7500000000000001E-2</v>
      </c>
      <c r="DW357" s="449">
        <f>EC357</f>
        <v>4.7500000000000001E-2</v>
      </c>
      <c r="DX357" s="449">
        <f>-DX356/DX11</f>
        <v>4.7500000000000007E-2</v>
      </c>
      <c r="DY357" s="449">
        <f>EC357</f>
        <v>4.7500000000000001E-2</v>
      </c>
      <c r="DZ357" s="450">
        <f>-DZ356/DZ11</f>
        <v>4.7499999999999994E-2</v>
      </c>
      <c r="EA357" s="449">
        <f>EC357</f>
        <v>4.7500000000000001E-2</v>
      </c>
      <c r="EB357" s="449">
        <f>-EB356/EB11</f>
        <v>4.7499999999999994E-2</v>
      </c>
      <c r="EC357" s="535">
        <v>4.7500000000000001E-2</v>
      </c>
      <c r="ED357" s="449">
        <f>EJ357</f>
        <v>4.7500000000000001E-2</v>
      </c>
      <c r="EE357" s="449">
        <f>-EE356/EE11</f>
        <v>4.7500000000000001E-2</v>
      </c>
      <c r="EF357" s="449">
        <f>EJ357</f>
        <v>4.7500000000000001E-2</v>
      </c>
      <c r="EG357" s="450">
        <f>-EG356/EG11</f>
        <v>4.7500000000000021E-2</v>
      </c>
      <c r="EH357" s="449">
        <f>EJ357</f>
        <v>4.7500000000000001E-2</v>
      </c>
      <c r="EI357" s="449">
        <f>-EI356/EI11</f>
        <v>4.7500000000000014E-2</v>
      </c>
      <c r="EJ357" s="535">
        <v>4.7500000000000001E-2</v>
      </c>
      <c r="EK357" s="449">
        <f>EQ357</f>
        <v>4.7500000000000001E-2</v>
      </c>
      <c r="EL357" s="449">
        <f>-EL356/EL11</f>
        <v>4.7499999999999987E-2</v>
      </c>
      <c r="EM357" s="449">
        <f>EQ357</f>
        <v>4.7500000000000001E-2</v>
      </c>
      <c r="EN357" s="450">
        <f>-EN356/EN11</f>
        <v>4.7500000000000007E-2</v>
      </c>
      <c r="EO357" s="449">
        <f>EQ357</f>
        <v>4.7500000000000001E-2</v>
      </c>
      <c r="EP357" s="449">
        <f>-EP356/EP11</f>
        <v>4.7500000000000001E-2</v>
      </c>
      <c r="EQ357" s="535">
        <v>4.7500000000000001E-2</v>
      </c>
    </row>
    <row r="358" spans="1:147" ht="10.199999999999999" customHeight="1">
      <c r="A358" s="130" t="s">
        <v>807</v>
      </c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698"/>
      <c r="S358" s="130"/>
      <c r="T358" s="130"/>
      <c r="U358" s="619"/>
      <c r="V358" s="130"/>
      <c r="W358" s="130"/>
      <c r="X358" s="130"/>
      <c r="Y358" s="698"/>
      <c r="Z358" s="130"/>
      <c r="AA358" s="130"/>
      <c r="AB358" s="619"/>
      <c r="AC358" s="130"/>
      <c r="AD358" s="130"/>
      <c r="AE358" s="130"/>
      <c r="AF358" s="698"/>
      <c r="AG358" s="130"/>
      <c r="AH358" s="130"/>
      <c r="AI358" s="619"/>
      <c r="AJ358" s="130"/>
      <c r="AK358" s="130"/>
      <c r="AL358" s="130"/>
      <c r="AM358" s="698"/>
      <c r="AN358" s="130"/>
      <c r="AO358" s="130"/>
      <c r="AP358" s="619"/>
      <c r="AQ358" s="130"/>
      <c r="AR358" s="130"/>
      <c r="AS358" s="130"/>
      <c r="AT358" s="698"/>
      <c r="AU358" s="130"/>
      <c r="AV358" s="130"/>
      <c r="AW358" s="619"/>
      <c r="AX358" s="130"/>
      <c r="AY358" s="130"/>
      <c r="AZ358" s="130"/>
      <c r="BA358" s="698"/>
      <c r="BB358" s="130"/>
      <c r="BC358" s="130"/>
      <c r="BD358" s="619"/>
      <c r="BE358" s="130"/>
      <c r="BF358" s="130"/>
      <c r="BG358" s="130"/>
      <c r="BH358" s="698"/>
      <c r="BI358" s="130"/>
      <c r="BJ358" s="130"/>
      <c r="BK358" s="619"/>
      <c r="BL358" s="130"/>
      <c r="BM358" s="130"/>
      <c r="BN358" s="130"/>
      <c r="BO358" s="698"/>
      <c r="BP358" s="130"/>
      <c r="BQ358" s="130"/>
      <c r="BR358" s="619"/>
      <c r="BS358" s="130"/>
      <c r="BT358" s="130"/>
      <c r="BU358" s="130"/>
      <c r="BV358" s="698"/>
      <c r="BW358" s="130"/>
      <c r="BX358" s="130"/>
      <c r="BY358" s="619"/>
      <c r="BZ358" s="130"/>
      <c r="CA358" s="130"/>
      <c r="CB358" s="130"/>
      <c r="CC358" s="698"/>
      <c r="CD358" s="130"/>
      <c r="CE358" s="130"/>
      <c r="CF358" s="619"/>
      <c r="CG358" s="130"/>
      <c r="CH358" s="130"/>
      <c r="CI358" s="130"/>
      <c r="CJ358" s="698"/>
      <c r="CK358" s="130"/>
      <c r="CL358" s="130"/>
      <c r="CM358" s="619">
        <v>-200</v>
      </c>
      <c r="CN358" s="130">
        <v>-25</v>
      </c>
      <c r="CO358" s="130">
        <f>CR358-CN358</f>
        <v>-25</v>
      </c>
      <c r="CP358" s="130">
        <v>-25</v>
      </c>
      <c r="CQ358" s="698">
        <f>CS358-CP358</f>
        <v>-25</v>
      </c>
      <c r="CR358" s="130">
        <v>-50</v>
      </c>
      <c r="CS358" s="130">
        <f>CT358-CR358</f>
        <v>-50</v>
      </c>
      <c r="CT358" s="619">
        <v>-100</v>
      </c>
      <c r="CU358" s="130">
        <v>0</v>
      </c>
      <c r="CV358" s="130">
        <f>CY358-CU358</f>
        <v>0</v>
      </c>
      <c r="CW358" s="130">
        <v>0</v>
      </c>
      <c r="CX358" s="698">
        <f>CZ358-CW358</f>
        <v>0</v>
      </c>
      <c r="CY358" s="130">
        <v>0</v>
      </c>
      <c r="CZ358" s="130">
        <f>DA358-CY358</f>
        <v>0</v>
      </c>
      <c r="DA358" s="619">
        <v>0</v>
      </c>
      <c r="DB358" s="130">
        <v>0</v>
      </c>
      <c r="DC358" s="130">
        <f>DF358-DB358</f>
        <v>0</v>
      </c>
      <c r="DD358" s="130">
        <v>0</v>
      </c>
      <c r="DE358" s="1907">
        <f>DG358-DD358</f>
        <v>0</v>
      </c>
      <c r="DF358" s="1878">
        <v>0</v>
      </c>
      <c r="DG358" s="1878">
        <f>DH358-DF358</f>
        <v>0</v>
      </c>
      <c r="DH358" s="1946">
        <v>0</v>
      </c>
      <c r="DI358" s="130">
        <v>0</v>
      </c>
      <c r="DJ358" s="130">
        <f>DM358-DI358</f>
        <v>0</v>
      </c>
      <c r="DK358" s="617">
        <f>DN358/2</f>
        <v>0</v>
      </c>
      <c r="DL358" s="618">
        <f>DN358-DK358</f>
        <v>0</v>
      </c>
      <c r="DM358" s="1878">
        <v>0</v>
      </c>
      <c r="DN358" s="617">
        <f>DO358-DM358</f>
        <v>0</v>
      </c>
      <c r="DO358" s="726">
        <v>0</v>
      </c>
      <c r="DP358" s="617">
        <f>DT358/2</f>
        <v>0</v>
      </c>
      <c r="DQ358" s="617">
        <f>DT358-DP358</f>
        <v>0</v>
      </c>
      <c r="DR358" s="617">
        <f>DU358/2</f>
        <v>0</v>
      </c>
      <c r="DS358" s="618">
        <f>DU358-DR358</f>
        <v>0</v>
      </c>
      <c r="DT358" s="617">
        <f>DV358/2</f>
        <v>0</v>
      </c>
      <c r="DU358" s="617">
        <f>DV358-DT358</f>
        <v>0</v>
      </c>
      <c r="DV358" s="651">
        <f>DO358</f>
        <v>0</v>
      </c>
      <c r="DW358" s="617">
        <f>EA358/2</f>
        <v>0</v>
      </c>
      <c r="DX358" s="617">
        <f>EA358-DW358</f>
        <v>0</v>
      </c>
      <c r="DY358" s="617">
        <f>EB358/2</f>
        <v>0</v>
      </c>
      <c r="DZ358" s="618">
        <f>EB358-DY358</f>
        <v>0</v>
      </c>
      <c r="EA358" s="617">
        <f>EC358/2</f>
        <v>0</v>
      </c>
      <c r="EB358" s="617">
        <f>EC358-EA358</f>
        <v>0</v>
      </c>
      <c r="EC358" s="651">
        <f>DV358</f>
        <v>0</v>
      </c>
      <c r="ED358" s="617">
        <f>EH358/2</f>
        <v>0</v>
      </c>
      <c r="EE358" s="617">
        <f>EH358-ED358</f>
        <v>0</v>
      </c>
      <c r="EF358" s="617">
        <f>EI358/2</f>
        <v>0</v>
      </c>
      <c r="EG358" s="618">
        <f>EI358-EF358</f>
        <v>0</v>
      </c>
      <c r="EH358" s="617">
        <f>EJ358/2</f>
        <v>0</v>
      </c>
      <c r="EI358" s="617">
        <f>EJ358-EH358</f>
        <v>0</v>
      </c>
      <c r="EJ358" s="651">
        <f>EC358</f>
        <v>0</v>
      </c>
      <c r="EK358" s="617">
        <f>EO358/2</f>
        <v>0</v>
      </c>
      <c r="EL358" s="617">
        <f>EO358-EK358</f>
        <v>0</v>
      </c>
      <c r="EM358" s="617">
        <f>EP358/2</f>
        <v>0</v>
      </c>
      <c r="EN358" s="618">
        <f>EP358-EM358</f>
        <v>0</v>
      </c>
      <c r="EO358" s="617">
        <f>EQ358/2</f>
        <v>0</v>
      </c>
      <c r="EP358" s="617">
        <f>EQ358-EO358</f>
        <v>0</v>
      </c>
      <c r="EQ358" s="651">
        <f>EJ358</f>
        <v>0</v>
      </c>
    </row>
    <row r="359" spans="1:147" ht="10.199999999999999" customHeight="1">
      <c r="A359" s="130" t="s">
        <v>864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317"/>
      <c r="P359" s="130"/>
      <c r="Q359" s="130"/>
      <c r="R359" s="698"/>
      <c r="S359" s="317"/>
      <c r="T359" s="130"/>
      <c r="U359" s="619"/>
      <c r="V359" s="317"/>
      <c r="W359" s="130"/>
      <c r="X359" s="130"/>
      <c r="Y359" s="698"/>
      <c r="Z359" s="317"/>
      <c r="AA359" s="130"/>
      <c r="AB359" s="619"/>
      <c r="AC359" s="317"/>
      <c r="AD359" s="130"/>
      <c r="AE359" s="130"/>
      <c r="AF359" s="698"/>
      <c r="AG359" s="317"/>
      <c r="AH359" s="130"/>
      <c r="AI359" s="619"/>
      <c r="AJ359" s="317"/>
      <c r="AK359" s="130"/>
      <c r="AL359" s="130"/>
      <c r="AM359" s="698"/>
      <c r="AN359" s="317"/>
      <c r="AO359" s="130"/>
      <c r="AP359" s="619"/>
      <c r="AQ359" s="317"/>
      <c r="AR359" s="130"/>
      <c r="AS359" s="130"/>
      <c r="AT359" s="698"/>
      <c r="AU359" s="317"/>
      <c r="AV359" s="130"/>
      <c r="AW359" s="619"/>
      <c r="AX359" s="317"/>
      <c r="AY359" s="130"/>
      <c r="AZ359" s="130"/>
      <c r="BA359" s="698"/>
      <c r="BB359" s="317"/>
      <c r="BC359" s="130"/>
      <c r="BD359" s="619"/>
      <c r="BE359" s="317"/>
      <c r="BF359" s="130"/>
      <c r="BG359" s="130"/>
      <c r="BH359" s="698"/>
      <c r="BI359" s="317"/>
      <c r="BJ359" s="130"/>
      <c r="BK359" s="619"/>
      <c r="BL359" s="317"/>
      <c r="BM359" s="130"/>
      <c r="BN359" s="130"/>
      <c r="BO359" s="698"/>
      <c r="BP359" s="317"/>
      <c r="BQ359" s="130"/>
      <c r="BR359" s="619"/>
      <c r="BS359" s="317"/>
      <c r="BT359" s="130"/>
      <c r="BU359" s="130"/>
      <c r="BV359" s="698"/>
      <c r="BW359" s="317"/>
      <c r="BX359" s="130"/>
      <c r="BY359" s="619"/>
      <c r="BZ359" s="317"/>
      <c r="CA359" s="130"/>
      <c r="CB359" s="130"/>
      <c r="CC359" s="698"/>
      <c r="CD359" s="317"/>
      <c r="CE359" s="130"/>
      <c r="CF359" s="619"/>
      <c r="CG359" s="317"/>
      <c r="CH359" s="130"/>
      <c r="CI359" s="130"/>
      <c r="CJ359" s="698"/>
      <c r="CK359" s="317"/>
      <c r="CL359" s="130"/>
      <c r="CM359" s="619">
        <v>-250</v>
      </c>
      <c r="CN359" s="317">
        <f>CT359*0.2</f>
        <v>-50</v>
      </c>
      <c r="CO359" s="130">
        <f>CR359-CN359</f>
        <v>-62.5</v>
      </c>
      <c r="CP359" s="130">
        <f>CT359*0.25</f>
        <v>-62.5</v>
      </c>
      <c r="CQ359" s="698">
        <f>CS359-CP359</f>
        <v>-75</v>
      </c>
      <c r="CR359" s="317">
        <f>CT359*0.45</f>
        <v>-112.5</v>
      </c>
      <c r="CS359" s="130">
        <f>CT359-CR359</f>
        <v>-137.5</v>
      </c>
      <c r="CT359" s="619">
        <v>-250</v>
      </c>
      <c r="CU359" s="317">
        <f>-62.5-60</f>
        <v>-122.5</v>
      </c>
      <c r="CV359" s="130">
        <f>CY359-CU359</f>
        <v>-24.999999999999545</v>
      </c>
      <c r="CW359" s="130">
        <v>-81</v>
      </c>
      <c r="CX359" s="698">
        <f>CZ359-CW359</f>
        <v>-81.500000000000455</v>
      </c>
      <c r="CY359" s="317">
        <v>-147.49999999999955</v>
      </c>
      <c r="CZ359" s="130">
        <f>DA359-CY359</f>
        <v>-162.50000000000045</v>
      </c>
      <c r="DA359" s="619">
        <f>-250-60</f>
        <v>-310</v>
      </c>
      <c r="DB359" s="317">
        <v>-186.70077698502911</v>
      </c>
      <c r="DC359" s="130">
        <f>DF359-DB359</f>
        <v>-149.29922301497089</v>
      </c>
      <c r="DD359" s="130">
        <v>-237</v>
      </c>
      <c r="DE359" s="1907">
        <f>DG359-DD359</f>
        <v>-242</v>
      </c>
      <c r="DF359" s="1815">
        <v>-336</v>
      </c>
      <c r="DG359" s="1878">
        <f>DH359-DF359</f>
        <v>-479</v>
      </c>
      <c r="DH359" s="1946">
        <v>-815</v>
      </c>
      <c r="DI359" s="317">
        <v>-60</v>
      </c>
      <c r="DJ359" s="130">
        <f>DM359-DI359</f>
        <v>-168.19212061100671</v>
      </c>
      <c r="DK359" s="617">
        <f>DN359/2</f>
        <v>-110.90393969449664</v>
      </c>
      <c r="DL359" s="618">
        <f>DN359-DK359</f>
        <v>-110.90393969449664</v>
      </c>
      <c r="DM359" s="317">
        <v>-228.19212061100671</v>
      </c>
      <c r="DN359" s="617">
        <f>DO359-DM359</f>
        <v>-221.80787938899329</v>
      </c>
      <c r="DO359" s="726">
        <f>-250-200</f>
        <v>-450</v>
      </c>
      <c r="DP359" s="617">
        <f>DV359*0.2</f>
        <v>-100</v>
      </c>
      <c r="DQ359" s="617">
        <f>DT359-DP359</f>
        <v>-125</v>
      </c>
      <c r="DR359" s="617">
        <f>DV359*0.25</f>
        <v>-125</v>
      </c>
      <c r="DS359" s="618">
        <f>DU359-DR359</f>
        <v>-150</v>
      </c>
      <c r="DT359" s="617">
        <f>DV359*0.45</f>
        <v>-225</v>
      </c>
      <c r="DU359" s="617">
        <f>DV359-DT359</f>
        <v>-275</v>
      </c>
      <c r="DV359" s="726">
        <f>-250-250</f>
        <v>-500</v>
      </c>
      <c r="DW359" s="617">
        <f>EC359*0.2</f>
        <v>-50</v>
      </c>
      <c r="DX359" s="617">
        <f>EA359-DW359</f>
        <v>-62.5</v>
      </c>
      <c r="DY359" s="617">
        <f>EC359*0.25</f>
        <v>-62.5</v>
      </c>
      <c r="DZ359" s="618">
        <f>EB359-DY359</f>
        <v>-75</v>
      </c>
      <c r="EA359" s="617">
        <f>EC359*0.45</f>
        <v>-112.5</v>
      </c>
      <c r="EB359" s="617">
        <f>EC359-EA359</f>
        <v>-137.5</v>
      </c>
      <c r="EC359" s="726">
        <v>-250</v>
      </c>
      <c r="ED359" s="617">
        <f>EJ359*0.2</f>
        <v>-50</v>
      </c>
      <c r="EE359" s="617">
        <f>EH359-ED359</f>
        <v>-62.5</v>
      </c>
      <c r="EF359" s="617">
        <f>EJ359*0.25</f>
        <v>-62.5</v>
      </c>
      <c r="EG359" s="618">
        <f>EI359-EF359</f>
        <v>-75</v>
      </c>
      <c r="EH359" s="617">
        <f>EJ359*0.45</f>
        <v>-112.5</v>
      </c>
      <c r="EI359" s="617">
        <f>EJ359-EH359</f>
        <v>-137.5</v>
      </c>
      <c r="EJ359" s="726">
        <v>-250</v>
      </c>
      <c r="EK359" s="617">
        <f>EQ359*0.2</f>
        <v>-50</v>
      </c>
      <c r="EL359" s="617">
        <f>EO359-EK359</f>
        <v>-62.5</v>
      </c>
      <c r="EM359" s="617">
        <f>EQ359*0.25</f>
        <v>-62.5</v>
      </c>
      <c r="EN359" s="618">
        <f>EP359-EM359</f>
        <v>-75</v>
      </c>
      <c r="EO359" s="617">
        <f>EQ359*0.45</f>
        <v>-112.5</v>
      </c>
      <c r="EP359" s="617">
        <f>EQ359-EO359</f>
        <v>-137.5</v>
      </c>
      <c r="EQ359" s="726">
        <v>-250</v>
      </c>
    </row>
    <row r="360" spans="1:147" ht="10.199999999999999" customHeight="1">
      <c r="A360" s="130" t="s">
        <v>209</v>
      </c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317"/>
      <c r="P360" s="317"/>
      <c r="Q360" s="317"/>
      <c r="R360" s="714"/>
      <c r="S360" s="317"/>
      <c r="T360" s="317"/>
      <c r="U360" s="314"/>
      <c r="V360" s="317"/>
      <c r="W360" s="317"/>
      <c r="X360" s="317"/>
      <c r="Y360" s="714"/>
      <c r="Z360" s="317"/>
      <c r="AA360" s="317"/>
      <c r="AB360" s="314"/>
      <c r="AC360" s="317"/>
      <c r="AD360" s="317"/>
      <c r="AE360" s="317"/>
      <c r="AF360" s="714"/>
      <c r="AG360" s="317"/>
      <c r="AH360" s="317"/>
      <c r="AI360" s="314"/>
      <c r="AJ360" s="317"/>
      <c r="AK360" s="317"/>
      <c r="AL360" s="317"/>
      <c r="AM360" s="714"/>
      <c r="AN360" s="317"/>
      <c r="AO360" s="317"/>
      <c r="AP360" s="314"/>
      <c r="AQ360" s="317"/>
      <c r="AR360" s="317"/>
      <c r="AS360" s="317"/>
      <c r="AT360" s="714"/>
      <c r="AU360" s="317"/>
      <c r="AV360" s="317"/>
      <c r="AW360" s="314"/>
      <c r="AX360" s="317"/>
      <c r="AY360" s="317"/>
      <c r="AZ360" s="317"/>
      <c r="BA360" s="714"/>
      <c r="BB360" s="317"/>
      <c r="BC360" s="317"/>
      <c r="BD360" s="314"/>
      <c r="BE360" s="317"/>
      <c r="BF360" s="317"/>
      <c r="BG360" s="317"/>
      <c r="BH360" s="714"/>
      <c r="BI360" s="317"/>
      <c r="BJ360" s="317"/>
      <c r="BK360" s="314"/>
      <c r="BL360" s="317"/>
      <c r="BM360" s="317"/>
      <c r="BN360" s="317"/>
      <c r="BO360" s="714"/>
      <c r="BP360" s="317"/>
      <c r="BQ360" s="317"/>
      <c r="BR360" s="314"/>
      <c r="BS360" s="317"/>
      <c r="BT360" s="317"/>
      <c r="BU360" s="317"/>
      <c r="BV360" s="714"/>
      <c r="BW360" s="317"/>
      <c r="BX360" s="317"/>
      <c r="BY360" s="314"/>
      <c r="BZ360" s="317"/>
      <c r="CA360" s="317"/>
      <c r="CB360" s="317"/>
      <c r="CC360" s="714"/>
      <c r="CD360" s="317"/>
      <c r="CE360" s="317"/>
      <c r="CF360" s="314"/>
      <c r="CG360" s="317"/>
      <c r="CH360" s="317"/>
      <c r="CI360" s="317"/>
      <c r="CJ360" s="714"/>
      <c r="CK360" s="317"/>
      <c r="CL360" s="317"/>
      <c r="CM360" s="314">
        <f>((CF400-CM400)*100)*CM415</f>
        <v>-390.00000000000034</v>
      </c>
      <c r="CN360" s="317">
        <f>(-1*CM414)*0.25</f>
        <v>-34.956605593056914</v>
      </c>
      <c r="CO360" s="317">
        <f>CR360-CN360</f>
        <v>104.86981677917075</v>
      </c>
      <c r="CP360" s="317">
        <f>(1*CM414)*0.75</f>
        <v>104.86981677917075</v>
      </c>
      <c r="CQ360" s="714">
        <f>CS360-CP360</f>
        <v>61.466972034716406</v>
      </c>
      <c r="CR360" s="317">
        <f>(1*CM414)*0.5</f>
        <v>69.913211186113827</v>
      </c>
      <c r="CS360" s="317">
        <f>CT360-CR360</f>
        <v>166.33678881388715</v>
      </c>
      <c r="CT360" s="314">
        <f>((CM400-CT400)*100)*CT415</f>
        <v>236.25000000000097</v>
      </c>
      <c r="CU360" s="317">
        <v>0</v>
      </c>
      <c r="CV360" s="317">
        <f>CY360-CU360</f>
        <v>0</v>
      </c>
      <c r="CW360" s="317">
        <v>-75</v>
      </c>
      <c r="CX360" s="714">
        <f>CZ360-CW360</f>
        <v>-37.500000000000938</v>
      </c>
      <c r="CY360" s="317">
        <v>0</v>
      </c>
      <c r="CZ360" s="317">
        <f>DA360-CY360</f>
        <v>-112.50000000000094</v>
      </c>
      <c r="DA360" s="314">
        <f>((CT400-DA400)*100)*DA415</f>
        <v>-112.50000000000094</v>
      </c>
      <c r="DB360" s="317">
        <f>((CU400-DB400)*100*DH415)*(DB143/DH143)</f>
        <v>102.90037831021448</v>
      </c>
      <c r="DC360" s="317">
        <f>DF360-DB360</f>
        <v>99.684741488019597</v>
      </c>
      <c r="DD360" s="317">
        <f>((CW400-DD400)*100*DH415)*(DD143/DH143)</f>
        <v>76.040353089533482</v>
      </c>
      <c r="DE360" s="1906">
        <f>DG360-DD360</f>
        <v>58.874527112231931</v>
      </c>
      <c r="DF360" s="1909">
        <f>((CY400-DF400)*100*DH415)*(DF143/DH143)</f>
        <v>202.58511979823408</v>
      </c>
      <c r="DG360" s="1909">
        <f>DH360-DF360</f>
        <v>134.91488020176541</v>
      </c>
      <c r="DH360" s="1847">
        <f>((DA400-DH400)*100)*DH415</f>
        <v>337.49999999999949</v>
      </c>
      <c r="DI360" s="317">
        <f>((DB400-DI400)*100*DO415)*(DI143/DO143)</f>
        <v>-45.862068965517281</v>
      </c>
      <c r="DJ360" s="317">
        <f>DM360-DI360</f>
        <v>-165.94827586206907</v>
      </c>
      <c r="DK360" s="624">
        <f>((DD400-DK400)*100*DO415)*(DK143/DO143)</f>
        <v>0.4408273540668875</v>
      </c>
      <c r="DL360" s="741">
        <f>DN360-DK360</f>
        <v>-72.397715933526214</v>
      </c>
      <c r="DM360" s="1909">
        <f>((DF400-DM400)*100*DO415)*(DM143/DO143)</f>
        <v>-211.81034482758636</v>
      </c>
      <c r="DN360" s="624">
        <f>DO360-DM360</f>
        <v>-71.956888579459331</v>
      </c>
      <c r="DO360" s="1113">
        <f>((DH400-DO400)*100)*DO415</f>
        <v>-283.76723340704569</v>
      </c>
      <c r="DP360" s="624">
        <f>DT360/2</f>
        <v>-81.044555380377361</v>
      </c>
      <c r="DQ360" s="624">
        <f>DT360-DP360</f>
        <v>-81.044555380377361</v>
      </c>
      <c r="DR360" s="624">
        <f>DU360/2</f>
        <v>-81.044555380377361</v>
      </c>
      <c r="DS360" s="741">
        <f>DU360-DR360</f>
        <v>-81.044555380377361</v>
      </c>
      <c r="DT360" s="624">
        <f>DV360/2</f>
        <v>-162.08911076075472</v>
      </c>
      <c r="DU360" s="624">
        <f>DV360-DT360</f>
        <v>-162.08911076075472</v>
      </c>
      <c r="DV360" s="1113">
        <f>((DO400-DV400)*100)*DV415</f>
        <v>-324.17822152150944</v>
      </c>
      <c r="DW360" s="624">
        <f>EA360/2</f>
        <v>74.81932250591322</v>
      </c>
      <c r="DX360" s="624">
        <f>EA360-DW360</f>
        <v>74.81932250591322</v>
      </c>
      <c r="DY360" s="624">
        <f>EB360/2</f>
        <v>74.81932250591322</v>
      </c>
      <c r="DZ360" s="741">
        <f>EB360-DY360</f>
        <v>74.81932250591322</v>
      </c>
      <c r="EA360" s="624">
        <f>EC360/2</f>
        <v>149.63864501182644</v>
      </c>
      <c r="EB360" s="624">
        <f>EC360-EA360</f>
        <v>149.63864501182644</v>
      </c>
      <c r="EC360" s="1113">
        <f>((DV400-EC400)*100)*EC415</f>
        <v>299.27729002365288</v>
      </c>
      <c r="ED360" s="624">
        <f>EH360/2</f>
        <v>-67.829554596332557</v>
      </c>
      <c r="EE360" s="624">
        <f>EH360-ED360</f>
        <v>-67.829554596332557</v>
      </c>
      <c r="EF360" s="624">
        <f>EI360/2</f>
        <v>-67.829554596332557</v>
      </c>
      <c r="EG360" s="741">
        <f>EI360-EF360</f>
        <v>-67.829554596332557</v>
      </c>
      <c r="EH360" s="624">
        <f>EJ360/2</f>
        <v>-135.65910919266511</v>
      </c>
      <c r="EI360" s="624">
        <f>EJ360-EH360</f>
        <v>-135.65910919266511</v>
      </c>
      <c r="EJ360" s="1113">
        <f>((EC400-EJ400)*100)*EJ415</f>
        <v>-271.31821838533023</v>
      </c>
      <c r="EK360" s="624">
        <f>EO360/2</f>
        <v>-85.060031261388616</v>
      </c>
      <c r="EL360" s="624">
        <f>EO360-EK360</f>
        <v>-85.060031261388616</v>
      </c>
      <c r="EM360" s="624">
        <f>EP360/2</f>
        <v>-85.060031261388616</v>
      </c>
      <c r="EN360" s="741">
        <f>EP360-EM360</f>
        <v>-85.060031261388616</v>
      </c>
      <c r="EO360" s="624">
        <f>EQ360/2</f>
        <v>-170.12006252277723</v>
      </c>
      <c r="EP360" s="624">
        <f>EQ360-EO360</f>
        <v>-170.12006252277723</v>
      </c>
      <c r="EQ360" s="1113">
        <f>((EJ400-EQ400)*100)*EQ415</f>
        <v>-340.24012504555446</v>
      </c>
    </row>
    <row r="361" spans="1:147" ht="10.199999999999999" customHeight="1">
      <c r="A361" s="92" t="s">
        <v>756</v>
      </c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699"/>
      <c r="S361" s="92"/>
      <c r="T361" s="301"/>
      <c r="U361" s="301"/>
      <c r="V361" s="92"/>
      <c r="W361" s="92"/>
      <c r="X361" s="92"/>
      <c r="Y361" s="699"/>
      <c r="Z361" s="92"/>
      <c r="AA361" s="301"/>
      <c r="AB361" s="301"/>
      <c r="AC361" s="92"/>
      <c r="AD361" s="92"/>
      <c r="AE361" s="92"/>
      <c r="AF361" s="699"/>
      <c r="AG361" s="92"/>
      <c r="AH361" s="301"/>
      <c r="AI361" s="301"/>
      <c r="AJ361" s="92"/>
      <c r="AK361" s="92"/>
      <c r="AL361" s="92"/>
      <c r="AM361" s="699"/>
      <c r="AN361" s="92"/>
      <c r="AO361" s="301"/>
      <c r="AP361" s="301"/>
      <c r="AQ361" s="92"/>
      <c r="AR361" s="92"/>
      <c r="AS361" s="92"/>
      <c r="AT361" s="699"/>
      <c r="AU361" s="92"/>
      <c r="AV361" s="301"/>
      <c r="AW361" s="301"/>
      <c r="AX361" s="92"/>
      <c r="AY361" s="92"/>
      <c r="AZ361" s="92"/>
      <c r="BA361" s="699"/>
      <c r="BB361" s="92"/>
      <c r="BC361" s="301"/>
      <c r="BD361" s="301"/>
      <c r="BE361" s="92"/>
      <c r="BF361" s="92"/>
      <c r="BG361" s="92"/>
      <c r="BH361" s="699"/>
      <c r="BI361" s="92"/>
      <c r="BJ361" s="301"/>
      <c r="BK361" s="301"/>
      <c r="BL361" s="92"/>
      <c r="BM361" s="92"/>
      <c r="BN361" s="92"/>
      <c r="BO361" s="699"/>
      <c r="BP361" s="92"/>
      <c r="BQ361" s="301"/>
      <c r="BR361" s="301"/>
      <c r="BS361" s="92"/>
      <c r="BT361" s="92"/>
      <c r="BU361" s="92"/>
      <c r="BV361" s="699"/>
      <c r="BW361" s="92"/>
      <c r="BX361" s="301"/>
      <c r="BY361" s="301"/>
      <c r="BZ361" s="92"/>
      <c r="CA361" s="92"/>
      <c r="CB361" s="92"/>
      <c r="CC361" s="699"/>
      <c r="CD361" s="92"/>
      <c r="CE361" s="301"/>
      <c r="CF361" s="301"/>
      <c r="CG361" s="92"/>
      <c r="CH361" s="92"/>
      <c r="CI361" s="92"/>
      <c r="CJ361" s="699"/>
      <c r="CK361" s="92"/>
      <c r="CL361" s="301"/>
      <c r="CM361" s="301">
        <f>CM348+CM353+CM356+CM358+CM359+CM360</f>
        <v>4600</v>
      </c>
      <c r="CN361" s="92">
        <f>CN348+CN353+CN356+CN358+CN359+CN360</f>
        <v>580.00000000000011</v>
      </c>
      <c r="CO361" s="92">
        <f>CR361-CN361</f>
        <v>1676.0000000000005</v>
      </c>
      <c r="CP361" s="92">
        <f>CP348+CP353+CP356+CP358+CP359+CP360</f>
        <v>959.99999999999989</v>
      </c>
      <c r="CQ361" s="699">
        <f>CS361-CP361</f>
        <v>1601.9999999999995</v>
      </c>
      <c r="CR361" s="92">
        <f>CR348+CR353+CR356+CR358+CR359+CR360</f>
        <v>2256.0000000000005</v>
      </c>
      <c r="CS361" s="301">
        <f>CT361-CR361</f>
        <v>2561.9999999999995</v>
      </c>
      <c r="CT361" s="301">
        <f>CT348+CT353+CT356+CT358+CT359+CT360</f>
        <v>4818</v>
      </c>
      <c r="CU361" s="92">
        <f t="shared" ref="CU361:DZ361" si="1399">CU348+CU353+CU356+CU359+CU360</f>
        <v>507</v>
      </c>
      <c r="CV361" s="92">
        <f>CY361-CU361</f>
        <v>1447</v>
      </c>
      <c r="CW361" s="92">
        <f>CW348+CW353+CW356+CW358+CW359+CW360</f>
        <v>1074.0000000000002</v>
      </c>
      <c r="CX361" s="699">
        <f t="shared" si="1399"/>
        <v>2065</v>
      </c>
      <c r="CY361" s="92">
        <f>CY348+CY353+CY356+CY358+CY359+CY360</f>
        <v>1954</v>
      </c>
      <c r="CZ361" s="92">
        <f t="shared" si="1399"/>
        <v>3139.0000000000005</v>
      </c>
      <c r="DA361" s="1289">
        <f>DA348+DA353+DA356+DA359+DA360</f>
        <v>5093</v>
      </c>
      <c r="DB361" s="92">
        <f t="shared" si="1399"/>
        <v>493.9999999999996</v>
      </c>
      <c r="DC361" s="92">
        <f>DF361-DB361</f>
        <v>1220.0000000000007</v>
      </c>
      <c r="DD361" s="92">
        <f t="shared" si="1399"/>
        <v>1555.9999999999998</v>
      </c>
      <c r="DE361" s="1908">
        <f t="shared" si="1399"/>
        <v>2200.0000000000005</v>
      </c>
      <c r="DF361" s="1874">
        <f t="shared" si="1399"/>
        <v>1714.0000000000002</v>
      </c>
      <c r="DG361" s="1874">
        <f t="shared" si="1399"/>
        <v>3756</v>
      </c>
      <c r="DH361" s="1951">
        <f t="shared" si="1399"/>
        <v>5469.9999999999991</v>
      </c>
      <c r="DI361" s="92">
        <f t="shared" si="1399"/>
        <v>80.999999999999929</v>
      </c>
      <c r="DJ361" s="92">
        <f t="shared" si="1399"/>
        <v>1906.0000000000002</v>
      </c>
      <c r="DK361" s="622">
        <f t="shared" si="1399"/>
        <v>1587.1267727593568</v>
      </c>
      <c r="DL361" s="623">
        <f t="shared" si="1399"/>
        <v>2343.5512639030439</v>
      </c>
      <c r="DM361" s="1874">
        <f t="shared" si="1399"/>
        <v>1987.0000000000002</v>
      </c>
      <c r="DN361" s="622">
        <f t="shared" si="1399"/>
        <v>3930.6780366624016</v>
      </c>
      <c r="DO361" s="652">
        <f>DO348+DO353+DO356+DO359+DO360</f>
        <v>5917.6780366624007</v>
      </c>
      <c r="DP361" s="622">
        <f t="shared" si="1399"/>
        <v>1717.4955710499453</v>
      </c>
      <c r="DQ361" s="622">
        <f t="shared" si="1399"/>
        <v>1876.7178219100488</v>
      </c>
      <c r="DR361" s="622">
        <f t="shared" si="1399"/>
        <v>1879.256655814354</v>
      </c>
      <c r="DS361" s="623">
        <f t="shared" si="1399"/>
        <v>1839.2900791853813</v>
      </c>
      <c r="DT361" s="622">
        <f t="shared" si="1399"/>
        <v>3594.2133929599941</v>
      </c>
      <c r="DU361" s="622">
        <f t="shared" si="1399"/>
        <v>3718.5467349997352</v>
      </c>
      <c r="DV361" s="652">
        <f t="shared" si="1399"/>
        <v>7312.7601279597311</v>
      </c>
      <c r="DW361" s="622">
        <f t="shared" si="1399"/>
        <v>2205.2327436249648</v>
      </c>
      <c r="DX361" s="622">
        <f t="shared" si="1399"/>
        <v>2369.890441668806</v>
      </c>
      <c r="DY361" s="622">
        <f t="shared" si="1399"/>
        <v>2372.9282472399582</v>
      </c>
      <c r="DZ361" s="623">
        <f t="shared" si="1399"/>
        <v>2420.1112747069333</v>
      </c>
      <c r="EA361" s="622">
        <f t="shared" ref="EA361:EQ361" si="1400">EA348+EA353+EA356+EA359+EA360</f>
        <v>4575.1231852937708</v>
      </c>
      <c r="EB361" s="622">
        <f t="shared" si="1400"/>
        <v>4793.0395219468919</v>
      </c>
      <c r="EC361" s="652">
        <f t="shared" si="1400"/>
        <v>9368.1627072406627</v>
      </c>
      <c r="ED361" s="622">
        <f t="shared" si="1400"/>
        <v>2529.8400900134998</v>
      </c>
      <c r="EE361" s="622">
        <f t="shared" si="1400"/>
        <v>2531.2487204615591</v>
      </c>
      <c r="EF361" s="622">
        <f t="shared" si="1400"/>
        <v>2534.4448985163485</v>
      </c>
      <c r="EG361" s="623">
        <f t="shared" si="1400"/>
        <v>2590.0988497615649</v>
      </c>
      <c r="EH361" s="622">
        <f t="shared" si="1400"/>
        <v>5061.0888104750593</v>
      </c>
      <c r="EI361" s="622">
        <f t="shared" si="1400"/>
        <v>5124.5437482779134</v>
      </c>
      <c r="EJ361" s="652">
        <f t="shared" si="1400"/>
        <v>10185.632558752972</v>
      </c>
      <c r="EK361" s="622">
        <f t="shared" si="1400"/>
        <v>2680.9431360907402</v>
      </c>
      <c r="EL361" s="622">
        <f t="shared" si="1400"/>
        <v>2683.3504286050675</v>
      </c>
      <c r="EM361" s="622">
        <f t="shared" si="1400"/>
        <v>2686.7178350070908</v>
      </c>
      <c r="EN361" s="623">
        <f t="shared" si="1400"/>
        <v>2742.4254564114854</v>
      </c>
      <c r="EO361" s="622">
        <f t="shared" si="1400"/>
        <v>5364.2935646958076</v>
      </c>
      <c r="EP361" s="622">
        <f t="shared" si="1400"/>
        <v>5429.1432914185762</v>
      </c>
      <c r="EQ361" s="652">
        <f t="shared" si="1400"/>
        <v>10793.436856114384</v>
      </c>
    </row>
    <row r="362" spans="1:147" ht="10.199999999999999" customHeight="1">
      <c r="A362" s="92" t="s">
        <v>764</v>
      </c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6"/>
      <c r="P362" s="96"/>
      <c r="Q362" s="96"/>
      <c r="R362" s="690"/>
      <c r="S362" s="96"/>
      <c r="T362" s="96"/>
      <c r="U362" s="1335"/>
      <c r="V362" s="96"/>
      <c r="W362" s="96"/>
      <c r="X362" s="96"/>
      <c r="Y362" s="690"/>
      <c r="Z362" s="96"/>
      <c r="AA362" s="96"/>
      <c r="AB362" s="1335"/>
      <c r="AC362" s="96"/>
      <c r="AD362" s="96"/>
      <c r="AE362" s="96"/>
      <c r="AF362" s="690"/>
      <c r="AG362" s="96"/>
      <c r="AH362" s="96"/>
      <c r="AI362" s="1335"/>
      <c r="AJ362" s="96"/>
      <c r="AK362" s="96"/>
      <c r="AL362" s="96"/>
      <c r="AM362" s="690"/>
      <c r="AN362" s="96"/>
      <c r="AO362" s="96"/>
      <c r="AP362" s="1335"/>
      <c r="AQ362" s="96"/>
      <c r="AR362" s="96"/>
      <c r="AS362" s="96"/>
      <c r="AT362" s="690"/>
      <c r="AU362" s="96"/>
      <c r="AV362" s="96"/>
      <c r="AW362" s="1335"/>
      <c r="AX362" s="96"/>
      <c r="AY362" s="96"/>
      <c r="AZ362" s="96"/>
      <c r="BA362" s="690"/>
      <c r="BB362" s="96"/>
      <c r="BC362" s="96"/>
      <c r="BD362" s="1335"/>
      <c r="BE362" s="96"/>
      <c r="BF362" s="96"/>
      <c r="BG362" s="96"/>
      <c r="BH362" s="690"/>
      <c r="BI362" s="96"/>
      <c r="BJ362" s="96"/>
      <c r="BK362" s="1335"/>
      <c r="BL362" s="96"/>
      <c r="BM362" s="96"/>
      <c r="BN362" s="96"/>
      <c r="BO362" s="690"/>
      <c r="BP362" s="96"/>
      <c r="BQ362" s="96"/>
      <c r="BR362" s="1335"/>
      <c r="BS362" s="96"/>
      <c r="BT362" s="96"/>
      <c r="BU362" s="96"/>
      <c r="BV362" s="690"/>
      <c r="BW362" s="96"/>
      <c r="BX362" s="96"/>
      <c r="BY362" s="1335"/>
      <c r="BZ362" s="96"/>
      <c r="CA362" s="96"/>
      <c r="CB362" s="96"/>
      <c r="CC362" s="690"/>
      <c r="CD362" s="96"/>
      <c r="CE362" s="96"/>
      <c r="CF362" s="1335"/>
      <c r="CG362" s="96"/>
      <c r="CH362" s="96"/>
      <c r="CI362" s="96"/>
      <c r="CJ362" s="690"/>
      <c r="CK362" s="96"/>
      <c r="CL362" s="96"/>
      <c r="CM362" s="1335">
        <f t="shared" ref="CM362:DR362" si="1401">CM361/CM308</f>
        <v>0.11103601428985227</v>
      </c>
      <c r="CN362" s="96">
        <f t="shared" si="1401"/>
        <v>7.1516646115906288E-2</v>
      </c>
      <c r="CO362" s="96">
        <f t="shared" si="1401"/>
        <v>0.13693929242585173</v>
      </c>
      <c r="CP362" s="96">
        <f t="shared" si="1401"/>
        <v>8.6036924179960547E-2</v>
      </c>
      <c r="CQ362" s="690">
        <f t="shared" si="1401"/>
        <v>9.8548228346456768E-2</v>
      </c>
      <c r="CR362" s="96">
        <f t="shared" si="1401"/>
        <v>0.11086539879109537</v>
      </c>
      <c r="CS362" s="96">
        <f t="shared" si="1401"/>
        <v>9.3455898446049498E-2</v>
      </c>
      <c r="CT362" s="1335">
        <f t="shared" si="1401"/>
        <v>0.10087306073739088</v>
      </c>
      <c r="CU362" s="96">
        <f t="shared" si="1401"/>
        <v>5.5307079742554804E-2</v>
      </c>
      <c r="CV362" s="96">
        <f t="shared" ref="CV362:CW362" si="1402">CV361/CV308</f>
        <v>0.12010292164674632</v>
      </c>
      <c r="CW362" s="96">
        <f t="shared" si="1402"/>
        <v>9.2078189300411561E-2</v>
      </c>
      <c r="CX362" s="690">
        <f t="shared" si="1401"/>
        <v>0.11622671244441948</v>
      </c>
      <c r="CY362" s="96">
        <f t="shared" ref="CY362" si="1403">CY361/CY308</f>
        <v>9.2104642941315096E-2</v>
      </c>
      <c r="CZ362" s="96">
        <f t="shared" si="1401"/>
        <v>0.10665624681458331</v>
      </c>
      <c r="DA362" s="1335">
        <f t="shared" si="1401"/>
        <v>0.10056075504482093</v>
      </c>
      <c r="DB362" s="96">
        <f t="shared" si="1401"/>
        <v>5.1885306165318716E-2</v>
      </c>
      <c r="DC362" s="96">
        <f t="shared" si="1401"/>
        <v>0.1078882207286877</v>
      </c>
      <c r="DD362" s="96">
        <f t="shared" si="1401"/>
        <v>0.11916979398024047</v>
      </c>
      <c r="DE362" s="1955">
        <f t="shared" si="1401"/>
        <v>0.11770370781438422</v>
      </c>
      <c r="DF362" s="1956">
        <f t="shared" si="1401"/>
        <v>8.2289116136156318E-2</v>
      </c>
      <c r="DG362" s="1956">
        <f t="shared" si="1401"/>
        <v>0.11830666507410818</v>
      </c>
      <c r="DH362" s="1957">
        <f t="shared" si="1401"/>
        <v>0.10403788733549582</v>
      </c>
      <c r="DI362" s="96">
        <f t="shared" si="1401"/>
        <v>9.6017069827145345E-3</v>
      </c>
      <c r="DJ362" s="96">
        <f t="shared" si="1401"/>
        <v>0.12343760110322988</v>
      </c>
      <c r="DK362" s="758">
        <f t="shared" si="1401"/>
        <v>0.10972065579233675</v>
      </c>
      <c r="DL362" s="759">
        <f t="shared" si="1401"/>
        <v>0.1171974869262722</v>
      </c>
      <c r="DM362" s="1956">
        <f t="shared" si="1401"/>
        <v>8.3218159735310132E-2</v>
      </c>
      <c r="DN362" s="758">
        <f t="shared" si="1401"/>
        <v>0.11405912266343801</v>
      </c>
      <c r="DO362" s="534">
        <f t="shared" si="1401"/>
        <v>0.1014364738435818</v>
      </c>
      <c r="DP362" s="758">
        <f t="shared" si="1401"/>
        <v>0.10769412876826408</v>
      </c>
      <c r="DQ362" s="758">
        <f t="shared" si="1401"/>
        <v>0.1113944855150953</v>
      </c>
      <c r="DR362" s="758">
        <f t="shared" si="1401"/>
        <v>0.11126143447153602</v>
      </c>
      <c r="DS362" s="759">
        <f t="shared" ref="DS362:EQ362" si="1404">DS361/DS308</f>
        <v>0.11115461172247228</v>
      </c>
      <c r="DT362" s="758">
        <f t="shared" si="1404"/>
        <v>0.10959505820323882</v>
      </c>
      <c r="DU362" s="758">
        <f t="shared" si="1404"/>
        <v>0.11120857150746487</v>
      </c>
      <c r="DV362" s="534">
        <f t="shared" si="1404"/>
        <v>0.11040963716122627</v>
      </c>
      <c r="DW362" s="758">
        <f t="shared" si="1404"/>
        <v>0.12613210805921565</v>
      </c>
      <c r="DX362" s="758">
        <f t="shared" si="1404"/>
        <v>0.12795480186640776</v>
      </c>
      <c r="DY362" s="758">
        <f t="shared" si="1404"/>
        <v>0.12780406810304545</v>
      </c>
      <c r="DZ362" s="759">
        <f t="shared" si="1404"/>
        <v>0.13029744852447417</v>
      </c>
      <c r="EA362" s="758">
        <f t="shared" si="1404"/>
        <v>0.12706972337149008</v>
      </c>
      <c r="EB362" s="758">
        <f t="shared" si="1404"/>
        <v>0.12905098723811162</v>
      </c>
      <c r="EC362" s="534">
        <f t="shared" si="1404"/>
        <v>0.12807573833658489</v>
      </c>
      <c r="ED362" s="758">
        <f t="shared" si="1404"/>
        <v>0.13413123771514029</v>
      </c>
      <c r="EE362" s="758">
        <f t="shared" si="1404"/>
        <v>0.13225227386145463</v>
      </c>
      <c r="EF362" s="758">
        <f t="shared" si="1404"/>
        <v>0.13209048198447143</v>
      </c>
      <c r="EG362" s="759">
        <f t="shared" si="1404"/>
        <v>0.13502100074384266</v>
      </c>
      <c r="EH362" s="758">
        <f t="shared" si="1404"/>
        <v>0.13318486758631726</v>
      </c>
      <c r="EI362" s="758">
        <f t="shared" si="1404"/>
        <v>0.1335555788908693</v>
      </c>
      <c r="EJ362" s="534">
        <f t="shared" si="1404"/>
        <v>0.13337112037970142</v>
      </c>
      <c r="EK362" s="758">
        <f t="shared" si="1404"/>
        <v>0.13808818022734093</v>
      </c>
      <c r="EL362" s="758">
        <f t="shared" si="1404"/>
        <v>0.13612784204851036</v>
      </c>
      <c r="EM362" s="758">
        <f t="shared" si="1404"/>
        <v>0.1359496632120496</v>
      </c>
      <c r="EN362" s="759">
        <f t="shared" si="1404"/>
        <v>0.13893272893993841</v>
      </c>
      <c r="EO362" s="758">
        <f t="shared" si="1404"/>
        <v>0.13710056418506844</v>
      </c>
      <c r="EP362" s="758">
        <f t="shared" si="1404"/>
        <v>0.13744031402921172</v>
      </c>
      <c r="EQ362" s="534">
        <f t="shared" si="1404"/>
        <v>0.13727124954148279</v>
      </c>
    </row>
    <row r="363" spans="1:147" ht="10.199999999999999" customHeight="1">
      <c r="A363" s="130" t="s">
        <v>482</v>
      </c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767"/>
      <c r="P363" s="767"/>
      <c r="Q363" s="767"/>
      <c r="R363" s="1394"/>
      <c r="S363" s="767"/>
      <c r="T363" s="1395"/>
      <c r="U363" s="1387"/>
      <c r="V363" s="767"/>
      <c r="W363" s="767"/>
      <c r="X363" s="767"/>
      <c r="Y363" s="1394"/>
      <c r="Z363" s="767"/>
      <c r="AA363" s="1395"/>
      <c r="AB363" s="1387"/>
      <c r="AC363" s="767"/>
      <c r="AD363" s="767"/>
      <c r="AE363" s="767"/>
      <c r="AF363" s="1394"/>
      <c r="AG363" s="767"/>
      <c r="AH363" s="1395"/>
      <c r="AI363" s="1387"/>
      <c r="AJ363" s="767"/>
      <c r="AK363" s="767"/>
      <c r="AL363" s="767"/>
      <c r="AM363" s="1394"/>
      <c r="AN363" s="767"/>
      <c r="AO363" s="1395"/>
      <c r="AP363" s="1387"/>
      <c r="AQ363" s="767"/>
      <c r="AR363" s="767"/>
      <c r="AS363" s="767"/>
      <c r="AT363" s="1394"/>
      <c r="AU363" s="767"/>
      <c r="AV363" s="1395"/>
      <c r="AW363" s="1387"/>
      <c r="AX363" s="767"/>
      <c r="AY363" s="767"/>
      <c r="AZ363" s="767"/>
      <c r="BA363" s="1394"/>
      <c r="BB363" s="767"/>
      <c r="BC363" s="1395"/>
      <c r="BD363" s="1387"/>
      <c r="BE363" s="767"/>
      <c r="BF363" s="767"/>
      <c r="BG363" s="767"/>
      <c r="BH363" s="1394"/>
      <c r="BI363" s="767"/>
      <c r="BJ363" s="1395"/>
      <c r="BK363" s="1387"/>
      <c r="BL363" s="767"/>
      <c r="BM363" s="767"/>
      <c r="BN363" s="767"/>
      <c r="BO363" s="1394"/>
      <c r="BP363" s="767"/>
      <c r="BQ363" s="1395"/>
      <c r="BR363" s="1387"/>
      <c r="BS363" s="767"/>
      <c r="BT363" s="767"/>
      <c r="BU363" s="767"/>
      <c r="BV363" s="1394"/>
      <c r="BW363" s="767"/>
      <c r="BX363" s="1395"/>
      <c r="BY363" s="1387"/>
      <c r="BZ363" s="767"/>
      <c r="CA363" s="767"/>
      <c r="CB363" s="767"/>
      <c r="CC363" s="1394"/>
      <c r="CD363" s="767"/>
      <c r="CE363" s="1395"/>
      <c r="CF363" s="1387"/>
      <c r="CG363" s="767"/>
      <c r="CH363" s="767"/>
      <c r="CI363" s="767"/>
      <c r="CJ363" s="1394"/>
      <c r="CK363" s="767"/>
      <c r="CL363" s="1395"/>
      <c r="CM363" s="1387">
        <f t="shared" ref="CM363:DR363" si="1405">CM361-CM45</f>
        <v>0</v>
      </c>
      <c r="CN363" s="767">
        <f t="shared" si="1405"/>
        <v>0</v>
      </c>
      <c r="CO363" s="767">
        <f t="shared" si="1405"/>
        <v>0</v>
      </c>
      <c r="CP363" s="767">
        <f t="shared" si="1405"/>
        <v>0</v>
      </c>
      <c r="CQ363" s="1394">
        <f t="shared" si="1405"/>
        <v>0</v>
      </c>
      <c r="CR363" s="767">
        <f t="shared" si="1405"/>
        <v>0</v>
      </c>
      <c r="CS363" s="1395">
        <f t="shared" si="1405"/>
        <v>0</v>
      </c>
      <c r="CT363" s="1387">
        <f t="shared" si="1405"/>
        <v>0</v>
      </c>
      <c r="CU363" s="767">
        <f t="shared" si="1405"/>
        <v>0</v>
      </c>
      <c r="CV363" s="767">
        <f t="shared" si="1405"/>
        <v>0</v>
      </c>
      <c r="CW363" s="767">
        <f t="shared" si="1405"/>
        <v>0</v>
      </c>
      <c r="CX363" s="1394">
        <f t="shared" si="1405"/>
        <v>0</v>
      </c>
      <c r="CY363" s="767">
        <f t="shared" si="1405"/>
        <v>0</v>
      </c>
      <c r="CZ363" s="1395">
        <f t="shared" si="1405"/>
        <v>0</v>
      </c>
      <c r="DA363" s="1387">
        <f t="shared" si="1405"/>
        <v>0</v>
      </c>
      <c r="DB363" s="767">
        <f t="shared" si="1405"/>
        <v>0</v>
      </c>
      <c r="DC363" s="767">
        <f t="shared" si="1405"/>
        <v>0</v>
      </c>
      <c r="DD363" s="767">
        <f t="shared" si="1405"/>
        <v>0</v>
      </c>
      <c r="DE363" s="1394">
        <f t="shared" si="1405"/>
        <v>0</v>
      </c>
      <c r="DF363" s="767">
        <f t="shared" si="1405"/>
        <v>0</v>
      </c>
      <c r="DG363" s="1395">
        <f t="shared" si="1405"/>
        <v>0</v>
      </c>
      <c r="DH363" s="1387">
        <f t="shared" si="1405"/>
        <v>0</v>
      </c>
      <c r="DI363" s="767">
        <f t="shared" si="1405"/>
        <v>0</v>
      </c>
      <c r="DJ363" s="767">
        <f t="shared" si="1405"/>
        <v>0</v>
      </c>
      <c r="DK363" s="767">
        <f t="shared" si="1405"/>
        <v>0</v>
      </c>
      <c r="DL363" s="1394">
        <f t="shared" si="1405"/>
        <v>0</v>
      </c>
      <c r="DM363" s="767">
        <f>DM361-DM45</f>
        <v>0</v>
      </c>
      <c r="DN363" s="1395">
        <f t="shared" si="1405"/>
        <v>0</v>
      </c>
      <c r="DO363" s="1387">
        <f t="shared" si="1405"/>
        <v>0</v>
      </c>
      <c r="DP363" s="767">
        <f t="shared" si="1405"/>
        <v>0</v>
      </c>
      <c r="DQ363" s="767">
        <f t="shared" si="1405"/>
        <v>0</v>
      </c>
      <c r="DR363" s="767">
        <f t="shared" si="1405"/>
        <v>0</v>
      </c>
      <c r="DS363" s="1394">
        <f t="shared" ref="DS363:EQ363" si="1406">DS361-DS45</f>
        <v>0</v>
      </c>
      <c r="DT363" s="767">
        <f t="shared" si="1406"/>
        <v>0</v>
      </c>
      <c r="DU363" s="1395">
        <f t="shared" si="1406"/>
        <v>0</v>
      </c>
      <c r="DV363" s="1387">
        <f t="shared" si="1406"/>
        <v>0</v>
      </c>
      <c r="DW363" s="767">
        <f t="shared" si="1406"/>
        <v>0</v>
      </c>
      <c r="DX363" s="767">
        <f t="shared" si="1406"/>
        <v>0</v>
      </c>
      <c r="DY363" s="767">
        <f t="shared" si="1406"/>
        <v>0</v>
      </c>
      <c r="DZ363" s="1394">
        <f t="shared" si="1406"/>
        <v>0</v>
      </c>
      <c r="EA363" s="767">
        <f t="shared" si="1406"/>
        <v>0</v>
      </c>
      <c r="EB363" s="1395">
        <f t="shared" si="1406"/>
        <v>0</v>
      </c>
      <c r="EC363" s="1387">
        <f t="shared" si="1406"/>
        <v>0</v>
      </c>
      <c r="ED363" s="767">
        <f t="shared" si="1406"/>
        <v>0</v>
      </c>
      <c r="EE363" s="767">
        <f t="shared" si="1406"/>
        <v>0</v>
      </c>
      <c r="EF363" s="767">
        <f t="shared" si="1406"/>
        <v>0</v>
      </c>
      <c r="EG363" s="1394">
        <f t="shared" si="1406"/>
        <v>0</v>
      </c>
      <c r="EH363" s="767">
        <f t="shared" si="1406"/>
        <v>0</v>
      </c>
      <c r="EI363" s="1395">
        <f t="shared" si="1406"/>
        <v>0</v>
      </c>
      <c r="EJ363" s="1387">
        <f t="shared" si="1406"/>
        <v>0</v>
      </c>
      <c r="EK363" s="767">
        <f t="shared" si="1406"/>
        <v>0</v>
      </c>
      <c r="EL363" s="767">
        <f t="shared" si="1406"/>
        <v>0</v>
      </c>
      <c r="EM363" s="767">
        <f t="shared" si="1406"/>
        <v>0</v>
      </c>
      <c r="EN363" s="1394">
        <f t="shared" si="1406"/>
        <v>0</v>
      </c>
      <c r="EO363" s="767">
        <f t="shared" si="1406"/>
        <v>0</v>
      </c>
      <c r="EP363" s="1395">
        <f t="shared" si="1406"/>
        <v>0</v>
      </c>
      <c r="EQ363" s="1387">
        <f t="shared" si="1406"/>
        <v>0</v>
      </c>
    </row>
    <row r="364" spans="1:147" ht="10.199999999999999" customHeight="1">
      <c r="A364" s="92"/>
      <c r="B364" s="92"/>
      <c r="C364" s="620"/>
      <c r="D364" s="620"/>
      <c r="E364" s="620"/>
      <c r="F364" s="620"/>
      <c r="G364" s="620"/>
      <c r="H364" s="620"/>
      <c r="I364" s="620"/>
      <c r="J364" s="620"/>
      <c r="K364" s="620"/>
      <c r="L364" s="620"/>
      <c r="M364" s="620"/>
      <c r="N364" s="621"/>
      <c r="O364" s="727"/>
      <c r="P364" s="1433"/>
      <c r="Q364" s="1433"/>
      <c r="R364" s="728"/>
      <c r="S364" s="727"/>
      <c r="T364" s="727"/>
      <c r="U364" s="729"/>
      <c r="V364" s="727"/>
      <c r="W364" s="1433"/>
      <c r="X364" s="1433"/>
      <c r="Y364" s="728"/>
      <c r="Z364" s="727"/>
      <c r="AA364" s="727"/>
      <c r="AB364" s="729"/>
      <c r="AC364" s="727"/>
      <c r="AD364" s="1433"/>
      <c r="AE364" s="1433"/>
      <c r="AF364" s="728"/>
      <c r="AG364" s="727"/>
      <c r="AH364" s="727"/>
      <c r="AI364" s="729"/>
      <c r="AJ364" s="727"/>
      <c r="AK364" s="1433"/>
      <c r="AL364" s="1433"/>
      <c r="AM364" s="728"/>
      <c r="AN364" s="727"/>
      <c r="AO364" s="727"/>
      <c r="AP364" s="729"/>
      <c r="AQ364" s="727"/>
      <c r="AR364" s="1433"/>
      <c r="AS364" s="1433"/>
      <c r="AT364" s="728"/>
      <c r="AU364" s="727"/>
      <c r="AV364" s="727"/>
      <c r="AW364" s="729"/>
      <c r="AX364" s="727"/>
      <c r="AY364" s="1433"/>
      <c r="AZ364" s="1433"/>
      <c r="BA364" s="728"/>
      <c r="BB364" s="727"/>
      <c r="BC364" s="727"/>
      <c r="BD364" s="729"/>
      <c r="BE364" s="727"/>
      <c r="BF364" s="1433"/>
      <c r="BG364" s="1433"/>
      <c r="BH364" s="728"/>
      <c r="BI364" s="727"/>
      <c r="BJ364" s="727"/>
      <c r="BK364" s="729"/>
      <c r="BL364" s="727"/>
      <c r="BM364" s="1433"/>
      <c r="BN364" s="1433"/>
      <c r="BO364" s="728"/>
      <c r="BP364" s="727"/>
      <c r="BQ364" s="727"/>
      <c r="BR364" s="729"/>
      <c r="BS364" s="727"/>
      <c r="BT364" s="1433"/>
      <c r="BU364" s="1433"/>
      <c r="BV364" s="728"/>
      <c r="BW364" s="727"/>
      <c r="BX364" s="727"/>
      <c r="BY364" s="729"/>
      <c r="BZ364" s="727"/>
      <c r="CA364" s="1433"/>
      <c r="CB364" s="1433"/>
      <c r="CC364" s="728"/>
      <c r="CD364" s="727"/>
      <c r="CE364" s="727"/>
      <c r="CF364" s="729"/>
      <c r="CG364" s="727"/>
      <c r="CH364" s="1433"/>
      <c r="CI364" s="1433"/>
      <c r="CJ364" s="728"/>
      <c r="CK364" s="727"/>
      <c r="CL364" s="727"/>
      <c r="CM364" s="729"/>
      <c r="CN364" s="727"/>
      <c r="CO364" s="1433"/>
      <c r="CP364" s="1433"/>
      <c r="CQ364" s="728"/>
      <c r="CR364" s="727"/>
      <c r="CS364" s="727"/>
      <c r="CT364" s="729"/>
      <c r="CU364" s="727"/>
      <c r="CV364" s="451"/>
      <c r="CW364" s="727"/>
      <c r="CX364" s="728"/>
      <c r="CY364" s="727"/>
      <c r="CZ364" s="727"/>
      <c r="DA364" s="1388"/>
      <c r="DB364" s="727"/>
      <c r="DC364" s="727"/>
      <c r="DD364" s="727"/>
      <c r="DE364" s="728"/>
      <c r="DF364" s="727"/>
      <c r="DG364" s="727"/>
      <c r="DH364" s="729"/>
      <c r="DI364" s="727"/>
      <c r="DJ364" s="727"/>
      <c r="DK364" s="727"/>
      <c r="DL364" s="728"/>
      <c r="DM364" s="727"/>
      <c r="DN364" s="727"/>
      <c r="DO364" s="729"/>
      <c r="DP364" s="727"/>
      <c r="DQ364" s="727"/>
      <c r="DR364" s="727"/>
      <c r="DS364" s="728"/>
      <c r="DT364" s="727"/>
      <c r="DU364" s="727"/>
      <c r="DV364" s="340"/>
      <c r="DW364" s="727"/>
      <c r="DX364" s="727"/>
      <c r="DY364" s="727"/>
      <c r="DZ364" s="728"/>
      <c r="EA364" s="727"/>
      <c r="EB364" s="727"/>
      <c r="EC364" s="729"/>
      <c r="ED364" s="727"/>
      <c r="EE364" s="727"/>
      <c r="EF364" s="727"/>
      <c r="EG364" s="728"/>
      <c r="EH364" s="727"/>
      <c r="EI364" s="727"/>
      <c r="EJ364" s="729"/>
      <c r="EK364" s="727"/>
      <c r="EL364" s="727"/>
      <c r="EM364" s="727"/>
      <c r="EN364" s="728"/>
      <c r="EO364" s="727"/>
      <c r="EP364" s="727"/>
      <c r="EQ364" s="729"/>
    </row>
    <row r="365" spans="1:147" ht="10.199999999999999" customHeight="1">
      <c r="A365" s="92" t="s">
        <v>760</v>
      </c>
      <c r="B365" s="92"/>
      <c r="C365" s="620"/>
      <c r="D365" s="620"/>
      <c r="E365" s="620"/>
      <c r="F365" s="620"/>
      <c r="G365" s="620"/>
      <c r="H365" s="620"/>
      <c r="I365" s="620"/>
      <c r="J365" s="620"/>
      <c r="K365" s="620"/>
      <c r="L365" s="620"/>
      <c r="M365" s="620"/>
      <c r="N365" s="621"/>
      <c r="O365" s="727"/>
      <c r="P365" s="1433"/>
      <c r="Q365" s="1433"/>
      <c r="R365" s="728"/>
      <c r="S365" s="727"/>
      <c r="T365" s="727"/>
      <c r="U365" s="729"/>
      <c r="V365" s="727"/>
      <c r="W365" s="1433"/>
      <c r="X365" s="1433"/>
      <c r="Y365" s="728"/>
      <c r="Z365" s="727"/>
      <c r="AA365" s="727"/>
      <c r="AB365" s="729"/>
      <c r="AC365" s="727"/>
      <c r="AD365" s="1433"/>
      <c r="AE365" s="1433"/>
      <c r="AF365" s="728"/>
      <c r="AG365" s="727"/>
      <c r="AH365" s="727"/>
      <c r="AI365" s="729"/>
      <c r="AJ365" s="727"/>
      <c r="AK365" s="1433"/>
      <c r="AL365" s="1433"/>
      <c r="AM365" s="728"/>
      <c r="AN365" s="727"/>
      <c r="AO365" s="727"/>
      <c r="AP365" s="729"/>
      <c r="AQ365" s="727"/>
      <c r="AR365" s="1433"/>
      <c r="AS365" s="1433"/>
      <c r="AT365" s="728"/>
      <c r="AU365" s="727"/>
      <c r="AV365" s="727"/>
      <c r="AW365" s="729"/>
      <c r="AX365" s="727"/>
      <c r="AY365" s="1433"/>
      <c r="AZ365" s="1433"/>
      <c r="BA365" s="728"/>
      <c r="BB365" s="727"/>
      <c r="BC365" s="727"/>
      <c r="BD365" s="729"/>
      <c r="BE365" s="727"/>
      <c r="BF365" s="1433"/>
      <c r="BG365" s="1433"/>
      <c r="BH365" s="728"/>
      <c r="BI365" s="727"/>
      <c r="BJ365" s="727"/>
      <c r="BK365" s="729"/>
      <c r="BL365" s="727"/>
      <c r="BM365" s="1433"/>
      <c r="BN365" s="1433"/>
      <c r="BO365" s="728"/>
      <c r="BP365" s="727"/>
      <c r="BQ365" s="727"/>
      <c r="BR365" s="729"/>
      <c r="BS365" s="727"/>
      <c r="BT365" s="1433"/>
      <c r="BU365" s="1433"/>
      <c r="BV365" s="728"/>
      <c r="BW365" s="727"/>
      <c r="BX365" s="727"/>
      <c r="BY365" s="729"/>
      <c r="BZ365" s="727"/>
      <c r="CA365" s="1433"/>
      <c r="CB365" s="1433"/>
      <c r="CC365" s="728"/>
      <c r="CD365" s="727"/>
      <c r="CE365" s="727"/>
      <c r="CF365" s="729"/>
      <c r="CG365" s="727"/>
      <c r="CH365" s="1433"/>
      <c r="CI365" s="1433"/>
      <c r="CJ365" s="728"/>
      <c r="CK365" s="727"/>
      <c r="CL365" s="727"/>
      <c r="CM365" s="729"/>
      <c r="CN365" s="727"/>
      <c r="CO365" s="1433"/>
      <c r="CP365" s="1433"/>
      <c r="CQ365" s="728"/>
      <c r="CR365" s="727"/>
      <c r="CS365" s="727"/>
      <c r="CT365" s="729"/>
      <c r="CU365" s="727"/>
      <c r="CV365" s="727"/>
      <c r="CW365" s="727"/>
      <c r="CX365" s="728"/>
      <c r="CY365" s="727"/>
      <c r="CZ365" s="727"/>
      <c r="DA365" s="729"/>
      <c r="DB365" s="727"/>
      <c r="DC365" s="727"/>
      <c r="DD365" s="727"/>
      <c r="DE365" s="728"/>
      <c r="DF365" s="727"/>
      <c r="DG365" s="727"/>
      <c r="DH365" s="347"/>
      <c r="DI365" s="727"/>
      <c r="DJ365" s="727"/>
      <c r="DK365" s="727"/>
      <c r="DL365" s="728"/>
      <c r="DM365" s="727"/>
      <c r="DN365" s="727"/>
      <c r="DO365" s="729"/>
      <c r="DP365" s="727"/>
      <c r="DQ365" s="727"/>
      <c r="DR365" s="727"/>
      <c r="DS365" s="728"/>
      <c r="DT365" s="727"/>
      <c r="DU365" s="727"/>
      <c r="DV365" s="729"/>
      <c r="DW365" s="727"/>
      <c r="DX365" s="727"/>
      <c r="DY365" s="727"/>
      <c r="DZ365" s="728"/>
      <c r="EA365" s="727"/>
      <c r="EB365" s="727"/>
      <c r="EC365" s="729"/>
      <c r="ED365" s="727"/>
      <c r="EE365" s="727"/>
      <c r="EF365" s="727"/>
      <c r="EG365" s="728"/>
      <c r="EH365" s="727"/>
      <c r="EI365" s="727"/>
      <c r="EJ365" s="729"/>
      <c r="EK365" s="727"/>
      <c r="EL365" s="727"/>
      <c r="EM365" s="727"/>
      <c r="EN365" s="728"/>
      <c r="EO365" s="727"/>
      <c r="EP365" s="727"/>
      <c r="EQ365" s="729"/>
    </row>
    <row r="366" spans="1:147" ht="10.199999999999999" customHeight="1">
      <c r="A366" s="92" t="s">
        <v>761</v>
      </c>
      <c r="B366" s="92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1"/>
      <c r="O366" s="727"/>
      <c r="P366" s="1433"/>
      <c r="Q366" s="1433"/>
      <c r="R366" s="728"/>
      <c r="S366" s="727"/>
      <c r="T366" s="727"/>
      <c r="U366" s="729"/>
      <c r="V366" s="727"/>
      <c r="W366" s="1433"/>
      <c r="X366" s="1433"/>
      <c r="Y366" s="728"/>
      <c r="Z366" s="727"/>
      <c r="AA366" s="727"/>
      <c r="AB366" s="729"/>
      <c r="AC366" s="727"/>
      <c r="AD366" s="1433"/>
      <c r="AE366" s="1433"/>
      <c r="AF366" s="728"/>
      <c r="AG366" s="727"/>
      <c r="AH366" s="727"/>
      <c r="AI366" s="729"/>
      <c r="AJ366" s="727"/>
      <c r="AK366" s="1433"/>
      <c r="AL366" s="1433"/>
      <c r="AM366" s="728"/>
      <c r="AN366" s="727"/>
      <c r="AO366" s="727"/>
      <c r="AP366" s="729"/>
      <c r="AQ366" s="727"/>
      <c r="AR366" s="1433"/>
      <c r="AS366" s="1433"/>
      <c r="AT366" s="728"/>
      <c r="AU366" s="727"/>
      <c r="AV366" s="727"/>
      <c r="AW366" s="729"/>
      <c r="AX366" s="727"/>
      <c r="AY366" s="1433"/>
      <c r="AZ366" s="1433"/>
      <c r="BA366" s="728"/>
      <c r="BB366" s="727"/>
      <c r="BC366" s="727"/>
      <c r="BD366" s="729"/>
      <c r="BE366" s="727"/>
      <c r="BF366" s="1433"/>
      <c r="BG366" s="1433"/>
      <c r="BH366" s="728"/>
      <c r="BI366" s="727"/>
      <c r="BJ366" s="727"/>
      <c r="BK366" s="729"/>
      <c r="BL366" s="727"/>
      <c r="BM366" s="1433"/>
      <c r="BN366" s="1433"/>
      <c r="BO366" s="728"/>
      <c r="BP366" s="727"/>
      <c r="BQ366" s="727"/>
      <c r="BR366" s="729"/>
      <c r="BS366" s="727"/>
      <c r="BT366" s="1433"/>
      <c r="BU366" s="1433"/>
      <c r="BV366" s="728"/>
      <c r="BW366" s="727"/>
      <c r="BX366" s="727"/>
      <c r="BY366" s="729"/>
      <c r="BZ366" s="727"/>
      <c r="CA366" s="1433"/>
      <c r="CB366" s="1433"/>
      <c r="CC366" s="728"/>
      <c r="CD366" s="727"/>
      <c r="CE366" s="727"/>
      <c r="CF366" s="729"/>
      <c r="CG366" s="727"/>
      <c r="CH366" s="1433"/>
      <c r="CI366" s="1433"/>
      <c r="CJ366" s="728"/>
      <c r="CK366" s="727"/>
      <c r="CL366" s="727"/>
      <c r="CM366" s="729"/>
      <c r="CN366" s="727"/>
      <c r="CO366" s="1433"/>
      <c r="CP366" s="1433"/>
      <c r="CQ366" s="728"/>
      <c r="CR366" s="727"/>
      <c r="CS366" s="727"/>
      <c r="CT366" s="729">
        <f t="shared" ref="CT366:DY366" si="1407">CM361</f>
        <v>4600</v>
      </c>
      <c r="CU366" s="621">
        <f t="shared" si="1407"/>
        <v>580.00000000000011</v>
      </c>
      <c r="CV366" s="621">
        <f t="shared" si="1407"/>
        <v>1676.0000000000005</v>
      </c>
      <c r="CW366" s="621">
        <f t="shared" si="1407"/>
        <v>959.99999999999989</v>
      </c>
      <c r="CX366" s="1780">
        <f>CQ361</f>
        <v>1601.9999999999995</v>
      </c>
      <c r="CY366" s="621">
        <f t="shared" si="1407"/>
        <v>2256.0000000000005</v>
      </c>
      <c r="CZ366" s="621">
        <f t="shared" si="1407"/>
        <v>2561.9999999999995</v>
      </c>
      <c r="DA366" s="729">
        <f t="shared" si="1407"/>
        <v>4818</v>
      </c>
      <c r="DB366" s="621">
        <f t="shared" si="1407"/>
        <v>507</v>
      </c>
      <c r="DC366" s="621">
        <f t="shared" si="1407"/>
        <v>1447</v>
      </c>
      <c r="DD366" s="621">
        <f t="shared" si="1407"/>
        <v>1074.0000000000002</v>
      </c>
      <c r="DE366" s="1780">
        <f t="shared" si="1407"/>
        <v>2065</v>
      </c>
      <c r="DF366" s="621">
        <f t="shared" si="1407"/>
        <v>1954</v>
      </c>
      <c r="DG366" s="621">
        <f t="shared" si="1407"/>
        <v>3139.0000000000005</v>
      </c>
      <c r="DH366" s="729">
        <f t="shared" si="1407"/>
        <v>5093</v>
      </c>
      <c r="DI366" s="621">
        <f t="shared" si="1407"/>
        <v>493.9999999999996</v>
      </c>
      <c r="DJ366" s="621">
        <f t="shared" si="1407"/>
        <v>1220.0000000000007</v>
      </c>
      <c r="DK366" s="727">
        <f t="shared" si="1407"/>
        <v>1555.9999999999998</v>
      </c>
      <c r="DL366" s="728">
        <f t="shared" si="1407"/>
        <v>2200.0000000000005</v>
      </c>
      <c r="DM366" s="621">
        <f t="shared" si="1407"/>
        <v>1714.0000000000002</v>
      </c>
      <c r="DN366" s="727">
        <f t="shared" si="1407"/>
        <v>3756</v>
      </c>
      <c r="DO366" s="751">
        <f t="shared" si="1407"/>
        <v>5469.9999999999991</v>
      </c>
      <c r="DP366" s="727">
        <f t="shared" si="1407"/>
        <v>80.999999999999929</v>
      </c>
      <c r="DQ366" s="727">
        <f t="shared" si="1407"/>
        <v>1906.0000000000002</v>
      </c>
      <c r="DR366" s="727">
        <f t="shared" si="1407"/>
        <v>1587.1267727593568</v>
      </c>
      <c r="DS366" s="728">
        <f t="shared" si="1407"/>
        <v>2343.5512639030439</v>
      </c>
      <c r="DT366" s="727">
        <f t="shared" si="1407"/>
        <v>1987.0000000000002</v>
      </c>
      <c r="DU366" s="727">
        <f t="shared" si="1407"/>
        <v>3930.6780366624016</v>
      </c>
      <c r="DV366" s="751">
        <f t="shared" si="1407"/>
        <v>5917.6780366624007</v>
      </c>
      <c r="DW366" s="727">
        <f t="shared" si="1407"/>
        <v>1717.4955710499453</v>
      </c>
      <c r="DX366" s="727">
        <f t="shared" si="1407"/>
        <v>1876.7178219100488</v>
      </c>
      <c r="DY366" s="727">
        <f t="shared" si="1407"/>
        <v>1879.256655814354</v>
      </c>
      <c r="DZ366" s="728">
        <f t="shared" ref="DZ366:EQ366" si="1408">DS361</f>
        <v>1839.2900791853813</v>
      </c>
      <c r="EA366" s="727">
        <f t="shared" si="1408"/>
        <v>3594.2133929599941</v>
      </c>
      <c r="EB366" s="727">
        <f t="shared" si="1408"/>
        <v>3718.5467349997352</v>
      </c>
      <c r="EC366" s="751">
        <f t="shared" si="1408"/>
        <v>7312.7601279597311</v>
      </c>
      <c r="ED366" s="727">
        <f t="shared" si="1408"/>
        <v>2205.2327436249648</v>
      </c>
      <c r="EE366" s="727">
        <f t="shared" si="1408"/>
        <v>2369.890441668806</v>
      </c>
      <c r="EF366" s="727">
        <f t="shared" si="1408"/>
        <v>2372.9282472399582</v>
      </c>
      <c r="EG366" s="728">
        <f t="shared" si="1408"/>
        <v>2420.1112747069333</v>
      </c>
      <c r="EH366" s="727">
        <f t="shared" si="1408"/>
        <v>4575.1231852937708</v>
      </c>
      <c r="EI366" s="727">
        <f t="shared" si="1408"/>
        <v>4793.0395219468919</v>
      </c>
      <c r="EJ366" s="751">
        <f t="shared" si="1408"/>
        <v>9368.1627072406627</v>
      </c>
      <c r="EK366" s="727">
        <f t="shared" si="1408"/>
        <v>2529.8400900134998</v>
      </c>
      <c r="EL366" s="727">
        <f t="shared" si="1408"/>
        <v>2531.2487204615591</v>
      </c>
      <c r="EM366" s="727">
        <f t="shared" si="1408"/>
        <v>2534.4448985163485</v>
      </c>
      <c r="EN366" s="728">
        <f t="shared" si="1408"/>
        <v>2590.0988497615649</v>
      </c>
      <c r="EO366" s="727">
        <f t="shared" si="1408"/>
        <v>5061.0888104750593</v>
      </c>
      <c r="EP366" s="727">
        <f t="shared" si="1408"/>
        <v>5124.5437482779134</v>
      </c>
      <c r="EQ366" s="751">
        <f t="shared" si="1408"/>
        <v>10185.632558752972</v>
      </c>
    </row>
    <row r="367" spans="1:147" ht="10.199999999999999" customHeight="1">
      <c r="A367" s="130" t="str">
        <f t="shared" ref="A367:A372" si="1409">A342</f>
        <v>A220</v>
      </c>
      <c r="B367" s="130"/>
      <c r="C367" s="605"/>
      <c r="D367" s="605"/>
      <c r="E367" s="605"/>
      <c r="F367" s="605"/>
      <c r="G367" s="605"/>
      <c r="H367" s="605"/>
      <c r="I367" s="605"/>
      <c r="J367" s="605"/>
      <c r="K367" s="605"/>
      <c r="L367" s="605"/>
      <c r="M367" s="605"/>
      <c r="N367" s="606"/>
      <c r="O367" s="749"/>
      <c r="P367" s="1434"/>
      <c r="Q367" s="1434"/>
      <c r="R367" s="750"/>
      <c r="S367" s="749"/>
      <c r="T367" s="749"/>
      <c r="U367" s="1336"/>
      <c r="V367" s="749"/>
      <c r="W367" s="1434"/>
      <c r="X367" s="1434"/>
      <c r="Y367" s="750"/>
      <c r="Z367" s="749"/>
      <c r="AA367" s="749"/>
      <c r="AB367" s="1336"/>
      <c r="AC367" s="749"/>
      <c r="AD367" s="1434"/>
      <c r="AE367" s="1434"/>
      <c r="AF367" s="750"/>
      <c r="AG367" s="749"/>
      <c r="AH367" s="749"/>
      <c r="AI367" s="1336"/>
      <c r="AJ367" s="749"/>
      <c r="AK367" s="1434"/>
      <c r="AL367" s="1434"/>
      <c r="AM367" s="750"/>
      <c r="AN367" s="749"/>
      <c r="AO367" s="749"/>
      <c r="AP367" s="1336"/>
      <c r="AQ367" s="749"/>
      <c r="AR367" s="1434"/>
      <c r="AS367" s="1434"/>
      <c r="AT367" s="750"/>
      <c r="AU367" s="749"/>
      <c r="AV367" s="749"/>
      <c r="AW367" s="1336"/>
      <c r="AX367" s="749"/>
      <c r="AY367" s="1434"/>
      <c r="AZ367" s="1434"/>
      <c r="BA367" s="750"/>
      <c r="BB367" s="749"/>
      <c r="BC367" s="749"/>
      <c r="BD367" s="1336"/>
      <c r="BE367" s="749"/>
      <c r="BF367" s="1434"/>
      <c r="BG367" s="1434"/>
      <c r="BH367" s="750"/>
      <c r="BI367" s="749"/>
      <c r="BJ367" s="749"/>
      <c r="BK367" s="1336"/>
      <c r="BL367" s="749"/>
      <c r="BM367" s="1434"/>
      <c r="BN367" s="1434"/>
      <c r="BO367" s="750"/>
      <c r="BP367" s="749"/>
      <c r="BQ367" s="749"/>
      <c r="BR367" s="1336"/>
      <c r="BS367" s="749"/>
      <c r="BT367" s="1434"/>
      <c r="BU367" s="1434"/>
      <c r="BV367" s="750"/>
      <c r="BW367" s="749"/>
      <c r="BX367" s="749"/>
      <c r="BY367" s="1336"/>
      <c r="BZ367" s="749"/>
      <c r="CA367" s="1434"/>
      <c r="CB367" s="1434"/>
      <c r="CC367" s="750"/>
      <c r="CD367" s="749"/>
      <c r="CE367" s="749"/>
      <c r="CF367" s="1336"/>
      <c r="CG367" s="749"/>
      <c r="CH367" s="1434"/>
      <c r="CI367" s="1434"/>
      <c r="CJ367" s="750"/>
      <c r="CK367" s="749"/>
      <c r="CL367" s="749"/>
      <c r="CM367" s="1336"/>
      <c r="CN367" s="749"/>
      <c r="CO367" s="1434"/>
      <c r="CP367" s="1434"/>
      <c r="CQ367" s="750"/>
      <c r="CR367" s="749"/>
      <c r="CS367" s="749"/>
      <c r="CT367" s="1336">
        <f t="shared" ref="CT367:DC372" si="1410">CT342-CM342</f>
        <v>-94.969356361032737</v>
      </c>
      <c r="CU367" s="606">
        <f t="shared" si="1410"/>
        <v>7.2366432680258157</v>
      </c>
      <c r="CV367" s="606">
        <f t="shared" si="1410"/>
        <v>-2.0082982399532767</v>
      </c>
      <c r="CW367" s="606">
        <f t="shared" si="1410"/>
        <v>25.441712795179278</v>
      </c>
      <c r="CX367" s="1781">
        <f t="shared" ref="CX367:CX372" si="1411">CX342-CQ342</f>
        <v>-5.132454749063271</v>
      </c>
      <c r="CY367" s="606">
        <f t="shared" si="1410"/>
        <v>5.228345028072539</v>
      </c>
      <c r="CZ367" s="606">
        <f t="shared" si="1410"/>
        <v>20.309258046116014</v>
      </c>
      <c r="DA367" s="1336">
        <f t="shared" si="1410"/>
        <v>25.537603074188553</v>
      </c>
      <c r="DB367" s="606">
        <f>DB342-CU342</f>
        <v>-17.054890891532594</v>
      </c>
      <c r="DC367" s="606">
        <f t="shared" si="1410"/>
        <v>-17.235847703053864</v>
      </c>
      <c r="DD367" s="606">
        <f t="shared" ref="DD367:DM372" si="1412">DD342-CW342</f>
        <v>-15.238185712123617</v>
      </c>
      <c r="DE367" s="1781">
        <f t="shared" si="1412"/>
        <v>-40.501443258274065</v>
      </c>
      <c r="DF367" s="606">
        <f t="shared" si="1412"/>
        <v>-34.290738594586458</v>
      </c>
      <c r="DG367" s="606">
        <f t="shared" si="1412"/>
        <v>-55.739628970397689</v>
      </c>
      <c r="DH367" s="1336">
        <f t="shared" si="1412"/>
        <v>-90.030367564984147</v>
      </c>
      <c r="DI367" s="606">
        <f t="shared" si="1412"/>
        <v>11.462167696117305</v>
      </c>
      <c r="DJ367" s="606">
        <f t="shared" si="1412"/>
        <v>11.042668643614107</v>
      </c>
      <c r="DK367" s="749">
        <f t="shared" si="1412"/>
        <v>-17.231118193704262</v>
      </c>
      <c r="DL367" s="750">
        <f t="shared" si="1412"/>
        <v>21.022327947007028</v>
      </c>
      <c r="DM367" s="606">
        <f t="shared" si="1412"/>
        <v>22.504836339731412</v>
      </c>
      <c r="DN367" s="749">
        <f t="shared" ref="DN367:DW372" si="1413">DN342-DG342</f>
        <v>3.7912097533027804</v>
      </c>
      <c r="DO367" s="752">
        <f t="shared" si="1413"/>
        <v>26.296046093034192</v>
      </c>
      <c r="DP367" s="749">
        <f t="shared" si="1413"/>
        <v>-24.325954964388984</v>
      </c>
      <c r="DQ367" s="749">
        <f t="shared" si="1413"/>
        <v>7.064130917591001</v>
      </c>
      <c r="DR367" s="749">
        <f t="shared" si="1413"/>
        <v>7.8492878396785812</v>
      </c>
      <c r="DS367" s="750">
        <f t="shared" si="1413"/>
        <v>61.219539408156351</v>
      </c>
      <c r="DT367" s="749">
        <f t="shared" si="1413"/>
        <v>-17.261824046797983</v>
      </c>
      <c r="DU367" s="749">
        <f t="shared" si="1413"/>
        <v>69.068827247834918</v>
      </c>
      <c r="DV367" s="752">
        <f t="shared" si="1413"/>
        <v>51.807003201036935</v>
      </c>
      <c r="DW367" s="749">
        <f t="shared" si="1413"/>
        <v>39.523336973556056</v>
      </c>
      <c r="DX367" s="749">
        <f t="shared" ref="DX367:EG372" si="1414">DX342-DQ342</f>
        <v>30.97280950295773</v>
      </c>
      <c r="DY367" s="749">
        <f t="shared" si="1414"/>
        <v>30.970513849460744</v>
      </c>
      <c r="DZ367" s="750">
        <f t="shared" si="1414"/>
        <v>30.948796191494878</v>
      </c>
      <c r="EA367" s="749">
        <f t="shared" si="1414"/>
        <v>70.496146476513786</v>
      </c>
      <c r="EB367" s="749">
        <f t="shared" si="1414"/>
        <v>61.919310040955622</v>
      </c>
      <c r="EC367" s="752">
        <f t="shared" si="1414"/>
        <v>132.41545651746941</v>
      </c>
      <c r="ED367" s="749">
        <f t="shared" si="1414"/>
        <v>21.816139896986726</v>
      </c>
      <c r="EE367" s="749">
        <f t="shared" si="1414"/>
        <v>21.834891280822802</v>
      </c>
      <c r="EF367" s="749">
        <f t="shared" si="1414"/>
        <v>21.835186901197396</v>
      </c>
      <c r="EG367" s="750">
        <f t="shared" si="1414"/>
        <v>21.835584000757031</v>
      </c>
      <c r="EH367" s="749">
        <f t="shared" ref="EH367:EQ372" si="1415">EH342-EA342</f>
        <v>43.651031177809529</v>
      </c>
      <c r="EI367" s="749">
        <f t="shared" si="1415"/>
        <v>43.670770901954427</v>
      </c>
      <c r="EJ367" s="752">
        <f t="shared" si="1415"/>
        <v>87.321802079763955</v>
      </c>
      <c r="EK367" s="749">
        <f t="shared" si="1415"/>
        <v>33.259527605192943</v>
      </c>
      <c r="EL367" s="749">
        <f t="shared" si="1415"/>
        <v>33.259118311010297</v>
      </c>
      <c r="EM367" s="749">
        <f t="shared" si="1415"/>
        <v>33.259053004065684</v>
      </c>
      <c r="EN367" s="750">
        <f t="shared" si="1415"/>
        <v>33.259056500420236</v>
      </c>
      <c r="EO367" s="749">
        <f t="shared" si="1415"/>
        <v>66.518645916203241</v>
      </c>
      <c r="EP367" s="749">
        <f t="shared" si="1415"/>
        <v>66.518109504485921</v>
      </c>
      <c r="EQ367" s="752">
        <f t="shared" si="1415"/>
        <v>133.03675542068916</v>
      </c>
    </row>
    <row r="368" spans="1:147" ht="10.199999999999999" customHeight="1">
      <c r="A368" s="130" t="str">
        <f t="shared" si="1409"/>
        <v>A320neo</v>
      </c>
      <c r="B368" s="130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6"/>
      <c r="O368" s="749"/>
      <c r="P368" s="1434"/>
      <c r="Q368" s="1434"/>
      <c r="R368" s="750"/>
      <c r="S368" s="749"/>
      <c r="T368" s="749"/>
      <c r="U368" s="1336"/>
      <c r="V368" s="749"/>
      <c r="W368" s="1434"/>
      <c r="X368" s="1434"/>
      <c r="Y368" s="750"/>
      <c r="Z368" s="749"/>
      <c r="AA368" s="749"/>
      <c r="AB368" s="1336"/>
      <c r="AC368" s="749"/>
      <c r="AD368" s="1434"/>
      <c r="AE368" s="1434"/>
      <c r="AF368" s="750"/>
      <c r="AG368" s="749"/>
      <c r="AH368" s="749"/>
      <c r="AI368" s="1336"/>
      <c r="AJ368" s="749"/>
      <c r="AK368" s="1434"/>
      <c r="AL368" s="1434"/>
      <c r="AM368" s="750"/>
      <c r="AN368" s="749"/>
      <c r="AO368" s="749"/>
      <c r="AP368" s="1336"/>
      <c r="AQ368" s="749"/>
      <c r="AR368" s="1434"/>
      <c r="AS368" s="1434"/>
      <c r="AT368" s="750"/>
      <c r="AU368" s="749"/>
      <c r="AV368" s="749"/>
      <c r="AW368" s="1336"/>
      <c r="AX368" s="749"/>
      <c r="AY368" s="1434"/>
      <c r="AZ368" s="1434"/>
      <c r="BA368" s="750"/>
      <c r="BB368" s="749"/>
      <c r="BC368" s="749"/>
      <c r="BD368" s="1336"/>
      <c r="BE368" s="749"/>
      <c r="BF368" s="1434"/>
      <c r="BG368" s="1434"/>
      <c r="BH368" s="750"/>
      <c r="BI368" s="749"/>
      <c r="BJ368" s="749"/>
      <c r="BK368" s="1336"/>
      <c r="BL368" s="749"/>
      <c r="BM368" s="1434"/>
      <c r="BN368" s="1434"/>
      <c r="BO368" s="750"/>
      <c r="BP368" s="749"/>
      <c r="BQ368" s="749"/>
      <c r="BR368" s="1336"/>
      <c r="BS368" s="749"/>
      <c r="BT368" s="1434"/>
      <c r="BU368" s="1434"/>
      <c r="BV368" s="750"/>
      <c r="BW368" s="749"/>
      <c r="BX368" s="749"/>
      <c r="BY368" s="1336"/>
      <c r="BZ368" s="749"/>
      <c r="CA368" s="1434"/>
      <c r="CB368" s="1434"/>
      <c r="CC368" s="750"/>
      <c r="CD368" s="749"/>
      <c r="CE368" s="749"/>
      <c r="CF368" s="1336"/>
      <c r="CG368" s="749"/>
      <c r="CH368" s="1434"/>
      <c r="CI368" s="1434"/>
      <c r="CJ368" s="750"/>
      <c r="CK368" s="749"/>
      <c r="CL368" s="749"/>
      <c r="CM368" s="1336"/>
      <c r="CN368" s="749"/>
      <c r="CO368" s="1434"/>
      <c r="CP368" s="1434"/>
      <c r="CQ368" s="750"/>
      <c r="CR368" s="749"/>
      <c r="CS368" s="749"/>
      <c r="CT368" s="1336">
        <f t="shared" si="1410"/>
        <v>-485.45777112374708</v>
      </c>
      <c r="CU368" s="606">
        <f t="shared" si="1410"/>
        <v>-22.776368543942453</v>
      </c>
      <c r="CV368" s="606">
        <f t="shared" si="1410"/>
        <v>-25.266042165428416</v>
      </c>
      <c r="CW368" s="606">
        <f t="shared" si="1410"/>
        <v>13.773507074098461</v>
      </c>
      <c r="CX368" s="1781">
        <f t="shared" si="1411"/>
        <v>-225.69018267931847</v>
      </c>
      <c r="CY368" s="606">
        <f t="shared" si="1410"/>
        <v>-48.04241070937087</v>
      </c>
      <c r="CZ368" s="606">
        <f t="shared" si="1410"/>
        <v>-211.91667560522001</v>
      </c>
      <c r="DA368" s="1336">
        <f t="shared" si="1410"/>
        <v>-259.95908631459088</v>
      </c>
      <c r="DB368" s="606">
        <f t="shared" si="1410"/>
        <v>-147.83088781980763</v>
      </c>
      <c r="DC368" s="606">
        <f t="shared" si="1410"/>
        <v>-179.68335068868703</v>
      </c>
      <c r="DD368" s="606">
        <f t="shared" si="1412"/>
        <v>38.970926203868885</v>
      </c>
      <c r="DE368" s="1781">
        <f t="shared" si="1412"/>
        <v>61.475701211084242</v>
      </c>
      <c r="DF368" s="606">
        <f t="shared" si="1412"/>
        <v>-327.5142385084946</v>
      </c>
      <c r="DG368" s="606">
        <f t="shared" si="1412"/>
        <v>100.44662741495313</v>
      </c>
      <c r="DH368" s="1336">
        <f t="shared" si="1412"/>
        <v>-227.06761109354147</v>
      </c>
      <c r="DI368" s="606">
        <f t="shared" si="1412"/>
        <v>-162.14624832632029</v>
      </c>
      <c r="DJ368" s="606">
        <f t="shared" si="1412"/>
        <v>394.05297469032166</v>
      </c>
      <c r="DK368" s="749">
        <f t="shared" si="1412"/>
        <v>-93.730010330308005</v>
      </c>
      <c r="DL368" s="750">
        <f t="shared" si="1412"/>
        <v>34.248474816427233</v>
      </c>
      <c r="DM368" s="606">
        <f t="shared" si="1412"/>
        <v>231.90672636400132</v>
      </c>
      <c r="DN368" s="749">
        <f t="shared" si="1413"/>
        <v>-59.481535513880772</v>
      </c>
      <c r="DO368" s="752">
        <f t="shared" si="1413"/>
        <v>172.42519085012054</v>
      </c>
      <c r="DP368" s="749">
        <f t="shared" si="1413"/>
        <v>436.14812742654158</v>
      </c>
      <c r="DQ368" s="749">
        <f t="shared" si="1413"/>
        <v>-284.64760054487715</v>
      </c>
      <c r="DR368" s="749">
        <f t="shared" si="1413"/>
        <v>163.61682334399313</v>
      </c>
      <c r="DS368" s="750">
        <f t="shared" si="1413"/>
        <v>-292.80939536678227</v>
      </c>
      <c r="DT368" s="749">
        <f t="shared" si="1413"/>
        <v>151.50052688166443</v>
      </c>
      <c r="DU368" s="749">
        <f t="shared" si="1413"/>
        <v>-129.19257202278914</v>
      </c>
      <c r="DV368" s="752">
        <f t="shared" si="1413"/>
        <v>22.307954858875291</v>
      </c>
      <c r="DW368" s="749">
        <f t="shared" si="1413"/>
        <v>67.684052923284526</v>
      </c>
      <c r="DX368" s="749">
        <f t="shared" si="1414"/>
        <v>68.681001151303917</v>
      </c>
      <c r="DY368" s="749">
        <f t="shared" si="1414"/>
        <v>68.688555628075619</v>
      </c>
      <c r="DZ368" s="750">
        <f t="shared" si="1414"/>
        <v>-412.77046601136976</v>
      </c>
      <c r="EA368" s="749">
        <f t="shared" si="1414"/>
        <v>136.36505407458844</v>
      </c>
      <c r="EB368" s="749">
        <f t="shared" si="1414"/>
        <v>-344.08191038329414</v>
      </c>
      <c r="EC368" s="752">
        <f t="shared" si="1414"/>
        <v>-207.7168563087057</v>
      </c>
      <c r="ED368" s="749">
        <f t="shared" si="1414"/>
        <v>114.14691028284153</v>
      </c>
      <c r="EE368" s="749">
        <f t="shared" si="1414"/>
        <v>61.28814854923246</v>
      </c>
      <c r="EF368" s="749">
        <f t="shared" si="1414"/>
        <v>61.358680412659623</v>
      </c>
      <c r="EG368" s="750">
        <f t="shared" si="1414"/>
        <v>11.596269834038822</v>
      </c>
      <c r="EH368" s="749">
        <f t="shared" si="1415"/>
        <v>175.43505883207399</v>
      </c>
      <c r="EI368" s="749">
        <f t="shared" si="1415"/>
        <v>72.954950246698445</v>
      </c>
      <c r="EJ368" s="752">
        <f t="shared" si="1415"/>
        <v>248.39000907877244</v>
      </c>
      <c r="EK368" s="749">
        <f t="shared" si="1415"/>
        <v>12.300183095594434</v>
      </c>
      <c r="EL368" s="749">
        <f t="shared" si="1415"/>
        <v>12.297570004377235</v>
      </c>
      <c r="EM368" s="749">
        <f t="shared" si="1415"/>
        <v>12.316623107526198</v>
      </c>
      <c r="EN368" s="750">
        <f t="shared" si="1415"/>
        <v>4.097122594642201</v>
      </c>
      <c r="EO368" s="749">
        <f t="shared" si="1415"/>
        <v>24.597753099971669</v>
      </c>
      <c r="EP368" s="749">
        <f t="shared" si="1415"/>
        <v>16.413745702168399</v>
      </c>
      <c r="EQ368" s="752">
        <f t="shared" si="1415"/>
        <v>41.011498802140068</v>
      </c>
    </row>
    <row r="369" spans="1:147" ht="10.199999999999999" customHeight="1">
      <c r="A369" s="130" t="str">
        <f t="shared" si="1409"/>
        <v>A321neo</v>
      </c>
      <c r="B369" s="130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6"/>
      <c r="O369" s="749"/>
      <c r="P369" s="1434"/>
      <c r="Q369" s="1434"/>
      <c r="R369" s="750"/>
      <c r="S369" s="749"/>
      <c r="T369" s="749"/>
      <c r="U369" s="1336"/>
      <c r="V369" s="749"/>
      <c r="W369" s="1434"/>
      <c r="X369" s="1434"/>
      <c r="Y369" s="750"/>
      <c r="Z369" s="749"/>
      <c r="AA369" s="749"/>
      <c r="AB369" s="1336"/>
      <c r="AC369" s="749"/>
      <c r="AD369" s="1434"/>
      <c r="AE369" s="1434"/>
      <c r="AF369" s="750"/>
      <c r="AG369" s="749"/>
      <c r="AH369" s="749"/>
      <c r="AI369" s="1336"/>
      <c r="AJ369" s="749"/>
      <c r="AK369" s="1434"/>
      <c r="AL369" s="1434"/>
      <c r="AM369" s="750"/>
      <c r="AN369" s="749"/>
      <c r="AO369" s="749"/>
      <c r="AP369" s="1336"/>
      <c r="AQ369" s="749"/>
      <c r="AR369" s="1434"/>
      <c r="AS369" s="1434"/>
      <c r="AT369" s="750"/>
      <c r="AU369" s="749"/>
      <c r="AV369" s="749"/>
      <c r="AW369" s="1336"/>
      <c r="AX369" s="749"/>
      <c r="AY369" s="1434"/>
      <c r="AZ369" s="1434"/>
      <c r="BA369" s="750"/>
      <c r="BB369" s="749"/>
      <c r="BC369" s="749"/>
      <c r="BD369" s="1336"/>
      <c r="BE369" s="749"/>
      <c r="BF369" s="1434"/>
      <c r="BG369" s="1434"/>
      <c r="BH369" s="750"/>
      <c r="BI369" s="749"/>
      <c r="BJ369" s="749"/>
      <c r="BK369" s="1336"/>
      <c r="BL369" s="749"/>
      <c r="BM369" s="1434"/>
      <c r="BN369" s="1434"/>
      <c r="BO369" s="750"/>
      <c r="BP369" s="749"/>
      <c r="BQ369" s="749"/>
      <c r="BR369" s="1336"/>
      <c r="BS369" s="749"/>
      <c r="BT369" s="1434"/>
      <c r="BU369" s="1434"/>
      <c r="BV369" s="750"/>
      <c r="BW369" s="749"/>
      <c r="BX369" s="749"/>
      <c r="BY369" s="1336"/>
      <c r="BZ369" s="749"/>
      <c r="CA369" s="1434"/>
      <c r="CB369" s="1434"/>
      <c r="CC369" s="750"/>
      <c r="CD369" s="749"/>
      <c r="CE369" s="749"/>
      <c r="CF369" s="1336"/>
      <c r="CG369" s="749"/>
      <c r="CH369" s="1434"/>
      <c r="CI369" s="1434"/>
      <c r="CJ369" s="750"/>
      <c r="CK369" s="749"/>
      <c r="CL369" s="749"/>
      <c r="CM369" s="1336"/>
      <c r="CN369" s="749"/>
      <c r="CO369" s="1434"/>
      <c r="CP369" s="1434"/>
      <c r="CQ369" s="750"/>
      <c r="CR369" s="749"/>
      <c r="CS369" s="749"/>
      <c r="CT369" s="1336">
        <f t="shared" si="1410"/>
        <v>86.646011472321334</v>
      </c>
      <c r="CU369" s="606">
        <f t="shared" si="1410"/>
        <v>-28.116746189915943</v>
      </c>
      <c r="CV369" s="606">
        <f t="shared" si="1410"/>
        <v>-62.592914273336874</v>
      </c>
      <c r="CW369" s="606">
        <f t="shared" si="1410"/>
        <v>244.61557787795778</v>
      </c>
      <c r="CX369" s="1781">
        <f t="shared" si="1411"/>
        <v>595.27413917134095</v>
      </c>
      <c r="CY369" s="606">
        <f t="shared" si="1410"/>
        <v>-90.709660463252931</v>
      </c>
      <c r="CZ369" s="606">
        <f t="shared" si="1410"/>
        <v>839.88971704929872</v>
      </c>
      <c r="DA369" s="1336">
        <f t="shared" si="1410"/>
        <v>749.18005658604579</v>
      </c>
      <c r="DB369" s="606">
        <f t="shared" si="1410"/>
        <v>-13.170359954535911</v>
      </c>
      <c r="DC369" s="606">
        <f t="shared" si="1410"/>
        <v>-225.72067805873007</v>
      </c>
      <c r="DD369" s="606">
        <f t="shared" si="1412"/>
        <v>322.43453725821655</v>
      </c>
      <c r="DE369" s="1781">
        <f t="shared" si="1412"/>
        <v>53.619326913239547</v>
      </c>
      <c r="DF369" s="606">
        <f t="shared" si="1412"/>
        <v>-238.8910380132661</v>
      </c>
      <c r="DG369" s="606">
        <f t="shared" si="1412"/>
        <v>376.0538641714561</v>
      </c>
      <c r="DH369" s="1336">
        <f t="shared" si="1412"/>
        <v>137.16282615819</v>
      </c>
      <c r="DI369" s="606">
        <f t="shared" si="1412"/>
        <v>-223.02253016591663</v>
      </c>
      <c r="DJ369" s="606">
        <f t="shared" si="1412"/>
        <v>569.70849565173603</v>
      </c>
      <c r="DK369" s="749">
        <f t="shared" si="1412"/>
        <v>26.563705153350156</v>
      </c>
      <c r="DL369" s="750">
        <f t="shared" si="1412"/>
        <v>171.60198690680863</v>
      </c>
      <c r="DM369" s="606">
        <f t="shared" si="1412"/>
        <v>346.68596548581945</v>
      </c>
      <c r="DN369" s="749">
        <f t="shared" si="1413"/>
        <v>198.16569206015856</v>
      </c>
      <c r="DO369" s="752">
        <f t="shared" si="1413"/>
        <v>544.85165754597801</v>
      </c>
      <c r="DP369" s="749">
        <f t="shared" si="1413"/>
        <v>1253.2492079985727</v>
      </c>
      <c r="DQ369" s="749">
        <f t="shared" si="1413"/>
        <v>181.92018689968108</v>
      </c>
      <c r="DR369" s="749">
        <f t="shared" si="1413"/>
        <v>361.74431775341122</v>
      </c>
      <c r="DS369" s="750">
        <f t="shared" si="1413"/>
        <v>-251.75254380260867</v>
      </c>
      <c r="DT369" s="749">
        <f t="shared" si="1413"/>
        <v>1435.1693948982538</v>
      </c>
      <c r="DU369" s="749">
        <f t="shared" si="1413"/>
        <v>109.99177395080278</v>
      </c>
      <c r="DV369" s="752">
        <f t="shared" si="1413"/>
        <v>1545.1611688490566</v>
      </c>
      <c r="DW369" s="749">
        <f t="shared" si="1413"/>
        <v>189.60791940363356</v>
      </c>
      <c r="DX369" s="749">
        <f t="shared" si="1414"/>
        <v>192.46564557718102</v>
      </c>
      <c r="DY369" s="749">
        <f t="shared" si="1414"/>
        <v>192.41975309704958</v>
      </c>
      <c r="DZ369" s="750">
        <f t="shared" si="1414"/>
        <v>770.97130212086495</v>
      </c>
      <c r="EA369" s="749">
        <f t="shared" si="1414"/>
        <v>382.07356498081435</v>
      </c>
      <c r="EB369" s="749">
        <f t="shared" si="1414"/>
        <v>963.39105521791453</v>
      </c>
      <c r="EC369" s="752">
        <f t="shared" si="1414"/>
        <v>1345.4646201987289</v>
      </c>
      <c r="ED369" s="749">
        <f t="shared" si="1414"/>
        <v>319.88896517452918</v>
      </c>
      <c r="EE369" s="749">
        <f t="shared" si="1414"/>
        <v>172.0989323193462</v>
      </c>
      <c r="EF369" s="749">
        <f t="shared" si="1414"/>
        <v>172.06144238883917</v>
      </c>
      <c r="EG369" s="750">
        <f t="shared" si="1414"/>
        <v>231.7815816994389</v>
      </c>
      <c r="EH369" s="749">
        <f t="shared" si="1415"/>
        <v>491.98789749387561</v>
      </c>
      <c r="EI369" s="749">
        <f t="shared" si="1415"/>
        <v>403.84302408827807</v>
      </c>
      <c r="EJ369" s="752">
        <f t="shared" si="1415"/>
        <v>895.83092158215368</v>
      </c>
      <c r="EK369" s="749">
        <f t="shared" si="1415"/>
        <v>34.492059327893912</v>
      </c>
      <c r="EL369" s="749">
        <f t="shared" si="1415"/>
        <v>34.531828456619223</v>
      </c>
      <c r="EM369" s="749">
        <f t="shared" si="1415"/>
        <v>34.538160256838637</v>
      </c>
      <c r="EN369" s="750">
        <f t="shared" si="1415"/>
        <v>44.401279672813871</v>
      </c>
      <c r="EO369" s="749">
        <f t="shared" si="1415"/>
        <v>69.023887784513136</v>
      </c>
      <c r="EP369" s="749">
        <f t="shared" si="1415"/>
        <v>78.939439929652508</v>
      </c>
      <c r="EQ369" s="752">
        <f t="shared" si="1415"/>
        <v>147.96332771416564</v>
      </c>
    </row>
    <row r="370" spans="1:147" ht="10.199999999999999" customHeight="1">
      <c r="A370" s="130" t="str">
        <f t="shared" si="1409"/>
        <v>A330ceo</v>
      </c>
      <c r="B370" s="130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6"/>
      <c r="O370" s="749"/>
      <c r="P370" s="749"/>
      <c r="Q370" s="749"/>
      <c r="R370" s="750"/>
      <c r="S370" s="749"/>
      <c r="T370" s="749"/>
      <c r="U370" s="1336"/>
      <c r="V370" s="749"/>
      <c r="W370" s="749"/>
      <c r="X370" s="749"/>
      <c r="Y370" s="750"/>
      <c r="Z370" s="749"/>
      <c r="AA370" s="749"/>
      <c r="AB370" s="1336"/>
      <c r="AC370" s="749"/>
      <c r="AD370" s="749"/>
      <c r="AE370" s="749"/>
      <c r="AF370" s="750"/>
      <c r="AG370" s="749"/>
      <c r="AH370" s="749"/>
      <c r="AI370" s="1336"/>
      <c r="AJ370" s="749"/>
      <c r="AK370" s="749"/>
      <c r="AL370" s="749"/>
      <c r="AM370" s="750"/>
      <c r="AN370" s="749"/>
      <c r="AO370" s="749"/>
      <c r="AP370" s="1336"/>
      <c r="AQ370" s="749"/>
      <c r="AR370" s="749"/>
      <c r="AS370" s="749"/>
      <c r="AT370" s="750"/>
      <c r="AU370" s="749"/>
      <c r="AV370" s="749"/>
      <c r="AW370" s="1336"/>
      <c r="AX370" s="749"/>
      <c r="AY370" s="749"/>
      <c r="AZ370" s="749"/>
      <c r="BA370" s="750"/>
      <c r="BB370" s="749"/>
      <c r="BC370" s="749"/>
      <c r="BD370" s="1336"/>
      <c r="BE370" s="749"/>
      <c r="BF370" s="749"/>
      <c r="BG370" s="749"/>
      <c r="BH370" s="750"/>
      <c r="BI370" s="749"/>
      <c r="BJ370" s="749"/>
      <c r="BK370" s="1336"/>
      <c r="BL370" s="749"/>
      <c r="BM370" s="749"/>
      <c r="BN370" s="749"/>
      <c r="BO370" s="750"/>
      <c r="BP370" s="749"/>
      <c r="BQ370" s="749"/>
      <c r="BR370" s="1336"/>
      <c r="BS370" s="749"/>
      <c r="BT370" s="749"/>
      <c r="BU370" s="749"/>
      <c r="BV370" s="750"/>
      <c r="BW370" s="749"/>
      <c r="BX370" s="749"/>
      <c r="BY370" s="1336"/>
      <c r="BZ370" s="749"/>
      <c r="CA370" s="749"/>
      <c r="CB370" s="749"/>
      <c r="CC370" s="750"/>
      <c r="CD370" s="749"/>
      <c r="CE370" s="749"/>
      <c r="CF370" s="1336"/>
      <c r="CG370" s="749"/>
      <c r="CH370" s="749"/>
      <c r="CI370" s="749"/>
      <c r="CJ370" s="750"/>
      <c r="CK370" s="749"/>
      <c r="CL370" s="749"/>
      <c r="CM370" s="1336"/>
      <c r="CN370" s="749"/>
      <c r="CO370" s="749"/>
      <c r="CP370" s="749"/>
      <c r="CQ370" s="750"/>
      <c r="CR370" s="749"/>
      <c r="CS370" s="749"/>
      <c r="CT370" s="1336">
        <f t="shared" si="1410"/>
        <v>-29.819326853530022</v>
      </c>
      <c r="CU370" s="606">
        <f t="shared" si="1410"/>
        <v>-4.9207123246072388</v>
      </c>
      <c r="CV370" s="606">
        <f t="shared" si="1410"/>
        <v>-4.8911897049853188</v>
      </c>
      <c r="CW370" s="606">
        <f t="shared" si="1410"/>
        <v>0</v>
      </c>
      <c r="CX370" s="1781">
        <f t="shared" si="1411"/>
        <v>6.7798020645016486</v>
      </c>
      <c r="CY370" s="606">
        <f t="shared" si="1410"/>
        <v>-9.8119020295925576</v>
      </c>
      <c r="CZ370" s="606">
        <f t="shared" si="1410"/>
        <v>6.7798020645016486</v>
      </c>
      <c r="DA370" s="1336">
        <f t="shared" si="1410"/>
        <v>-3.0320999650909091</v>
      </c>
      <c r="DB370" s="606">
        <f t="shared" si="1410"/>
        <v>0</v>
      </c>
      <c r="DC370" s="606">
        <f t="shared" si="1410"/>
        <v>6.9528405348128661</v>
      </c>
      <c r="DD370" s="606">
        <f t="shared" si="1412"/>
        <v>0</v>
      </c>
      <c r="DE370" s="1781">
        <f t="shared" si="1412"/>
        <v>-5.1325860843123436</v>
      </c>
      <c r="DF370" s="606">
        <f t="shared" si="1412"/>
        <v>6.9528405348128661</v>
      </c>
      <c r="DG370" s="606">
        <f t="shared" si="1412"/>
        <v>-5.1325860843123436</v>
      </c>
      <c r="DH370" s="1336">
        <f t="shared" si="1412"/>
        <v>1.8202544505005225</v>
      </c>
      <c r="DI370" s="606">
        <f t="shared" si="1412"/>
        <v>0</v>
      </c>
      <c r="DJ370" s="606">
        <f t="shared" si="1412"/>
        <v>-0.15909188072583458</v>
      </c>
      <c r="DK370" s="749">
        <f t="shared" si="1412"/>
        <v>7.3073326913552785</v>
      </c>
      <c r="DL370" s="750">
        <f t="shared" si="1412"/>
        <v>0.53360257565460767</v>
      </c>
      <c r="DM370" s="606">
        <f t="shared" si="1412"/>
        <v>-0.15909188072583458</v>
      </c>
      <c r="DN370" s="749">
        <f t="shared" si="1413"/>
        <v>7.8409352670098862</v>
      </c>
      <c r="DO370" s="752">
        <f t="shared" si="1413"/>
        <v>7.6818433862840525</v>
      </c>
      <c r="DP370" s="749">
        <f t="shared" si="1413"/>
        <v>5.3620509095050357</v>
      </c>
      <c r="DQ370" s="749">
        <f t="shared" si="1413"/>
        <v>-1.4276762165211174</v>
      </c>
      <c r="DR370" s="749">
        <f t="shared" si="1413"/>
        <v>-1.9411879515157207</v>
      </c>
      <c r="DS370" s="750">
        <f t="shared" si="1413"/>
        <v>-1.8255557792744455</v>
      </c>
      <c r="DT370" s="749">
        <f t="shared" si="1413"/>
        <v>3.9343746929839183</v>
      </c>
      <c r="DU370" s="749">
        <f t="shared" si="1413"/>
        <v>-3.7667437307901661</v>
      </c>
      <c r="DV370" s="752">
        <f t="shared" si="1413"/>
        <v>0.16763096219375129</v>
      </c>
      <c r="DW370" s="749">
        <f t="shared" si="1413"/>
        <v>0.13230519919415418</v>
      </c>
      <c r="DX370" s="749">
        <f t="shared" si="1414"/>
        <v>0.13011348050107951</v>
      </c>
      <c r="DY370" s="749">
        <f t="shared" si="1414"/>
        <v>0.13006415432665364</v>
      </c>
      <c r="DZ370" s="750">
        <f t="shared" si="1414"/>
        <v>0.1315024338813906</v>
      </c>
      <c r="EA370" s="749">
        <f t="shared" si="1414"/>
        <v>0.26241867969523369</v>
      </c>
      <c r="EB370" s="749">
        <f t="shared" si="1414"/>
        <v>0.26156658820804424</v>
      </c>
      <c r="EC370" s="752">
        <f t="shared" si="1414"/>
        <v>0.52398526790327793</v>
      </c>
      <c r="ED370" s="749">
        <f t="shared" si="1414"/>
        <v>3.560224852541527E-2</v>
      </c>
      <c r="EE370" s="749">
        <f t="shared" si="1414"/>
        <v>3.3704387085049525E-2</v>
      </c>
      <c r="EF370" s="749">
        <f t="shared" si="1414"/>
        <v>3.3670552602983683E-2</v>
      </c>
      <c r="EG370" s="750">
        <f t="shared" si="1414"/>
        <v>3.363117042790531E-2</v>
      </c>
      <c r="EH370" s="749">
        <f t="shared" si="1415"/>
        <v>6.9306635610464795E-2</v>
      </c>
      <c r="EI370" s="749">
        <f t="shared" si="1415"/>
        <v>6.7301723030888994E-2</v>
      </c>
      <c r="EJ370" s="752">
        <f t="shared" si="1415"/>
        <v>0.13660835864135379</v>
      </c>
      <c r="EK370" s="749">
        <f t="shared" si="1415"/>
        <v>8.5449000979009426E-2</v>
      </c>
      <c r="EL370" s="749">
        <f t="shared" si="1415"/>
        <v>8.5547523142825099E-2</v>
      </c>
      <c r="EM370" s="749">
        <f t="shared" si="1415"/>
        <v>8.556320924605032E-2</v>
      </c>
      <c r="EN370" s="750">
        <f t="shared" si="1415"/>
        <v>8.5560478133919204E-2</v>
      </c>
      <c r="EO370" s="749">
        <f t="shared" si="1415"/>
        <v>0.17099652412183453</v>
      </c>
      <c r="EP370" s="749">
        <f t="shared" si="1415"/>
        <v>0.17112368737996952</v>
      </c>
      <c r="EQ370" s="752">
        <f t="shared" si="1415"/>
        <v>0.34212021150180405</v>
      </c>
    </row>
    <row r="371" spans="1:147" ht="10.199999999999999" customHeight="1">
      <c r="A371" s="130" t="str">
        <f t="shared" si="1409"/>
        <v>A330neo</v>
      </c>
      <c r="B371" s="130"/>
      <c r="C371" s="605"/>
      <c r="D371" s="605"/>
      <c r="E371" s="605"/>
      <c r="F371" s="605"/>
      <c r="G371" s="605"/>
      <c r="H371" s="605"/>
      <c r="I371" s="605"/>
      <c r="J371" s="605"/>
      <c r="K371" s="605"/>
      <c r="L371" s="605"/>
      <c r="M371" s="605"/>
      <c r="N371" s="606"/>
      <c r="O371" s="749"/>
      <c r="P371" s="749"/>
      <c r="Q371" s="749"/>
      <c r="R371" s="750"/>
      <c r="S371" s="749"/>
      <c r="T371" s="749"/>
      <c r="U371" s="1336"/>
      <c r="V371" s="749"/>
      <c r="W371" s="749"/>
      <c r="X371" s="749"/>
      <c r="Y371" s="750"/>
      <c r="Z371" s="749"/>
      <c r="AA371" s="749"/>
      <c r="AB371" s="1336"/>
      <c r="AC371" s="749"/>
      <c r="AD371" s="749"/>
      <c r="AE371" s="749"/>
      <c r="AF371" s="750"/>
      <c r="AG371" s="749"/>
      <c r="AH371" s="749"/>
      <c r="AI371" s="1336"/>
      <c r="AJ371" s="749"/>
      <c r="AK371" s="749"/>
      <c r="AL371" s="749"/>
      <c r="AM371" s="750"/>
      <c r="AN371" s="749"/>
      <c r="AO371" s="749"/>
      <c r="AP371" s="1336"/>
      <c r="AQ371" s="749"/>
      <c r="AR371" s="749"/>
      <c r="AS371" s="749"/>
      <c r="AT371" s="750"/>
      <c r="AU371" s="749"/>
      <c r="AV371" s="749"/>
      <c r="AW371" s="1336"/>
      <c r="AX371" s="749"/>
      <c r="AY371" s="749"/>
      <c r="AZ371" s="749"/>
      <c r="BA371" s="750"/>
      <c r="BB371" s="749"/>
      <c r="BC371" s="749"/>
      <c r="BD371" s="1336"/>
      <c r="BE371" s="749"/>
      <c r="BF371" s="749"/>
      <c r="BG371" s="749"/>
      <c r="BH371" s="750"/>
      <c r="BI371" s="749"/>
      <c r="BJ371" s="749"/>
      <c r="BK371" s="1336"/>
      <c r="BL371" s="749"/>
      <c r="BM371" s="749"/>
      <c r="BN371" s="749"/>
      <c r="BO371" s="750"/>
      <c r="BP371" s="749"/>
      <c r="BQ371" s="749"/>
      <c r="BR371" s="1336"/>
      <c r="BS371" s="749"/>
      <c r="BT371" s="749"/>
      <c r="BU371" s="749"/>
      <c r="BV371" s="750"/>
      <c r="BW371" s="749"/>
      <c r="BX371" s="749"/>
      <c r="BY371" s="1336"/>
      <c r="BZ371" s="749"/>
      <c r="CA371" s="749"/>
      <c r="CB371" s="749"/>
      <c r="CC371" s="750"/>
      <c r="CD371" s="749"/>
      <c r="CE371" s="749"/>
      <c r="CF371" s="1336"/>
      <c r="CG371" s="749"/>
      <c r="CH371" s="749"/>
      <c r="CI371" s="749"/>
      <c r="CJ371" s="750"/>
      <c r="CK371" s="749"/>
      <c r="CL371" s="749"/>
      <c r="CM371" s="1336"/>
      <c r="CN371" s="749"/>
      <c r="CO371" s="749"/>
      <c r="CP371" s="749"/>
      <c r="CQ371" s="750"/>
      <c r="CR371" s="749"/>
      <c r="CS371" s="749"/>
      <c r="CT371" s="1336">
        <f t="shared" si="1410"/>
        <v>51.349920953012486</v>
      </c>
      <c r="CU371" s="606">
        <f t="shared" si="1410"/>
        <v>22.642625802840008</v>
      </c>
      <c r="CV371" s="606">
        <f t="shared" si="1410"/>
        <v>1.9299204548069966</v>
      </c>
      <c r="CW371" s="606">
        <f t="shared" si="1410"/>
        <v>15.937403628550904</v>
      </c>
      <c r="CX371" s="1781">
        <f t="shared" si="1411"/>
        <v>7.1638687809894179</v>
      </c>
      <c r="CY371" s="606">
        <f t="shared" si="1410"/>
        <v>24.572546257647005</v>
      </c>
      <c r="CZ371" s="606">
        <f t="shared" si="1410"/>
        <v>23.101272409540329</v>
      </c>
      <c r="DA371" s="1336">
        <f t="shared" si="1410"/>
        <v>47.673818667187334</v>
      </c>
      <c r="DB371" s="606">
        <f t="shared" si="1410"/>
        <v>-22.462957685175155</v>
      </c>
      <c r="DC371" s="606">
        <f t="shared" si="1410"/>
        <v>22.901754753201537</v>
      </c>
      <c r="DD371" s="606">
        <f t="shared" si="1412"/>
        <v>17.96386630193512</v>
      </c>
      <c r="DE371" s="1781">
        <f t="shared" si="1412"/>
        <v>57.846333753149281</v>
      </c>
      <c r="DF371" s="606">
        <f t="shared" si="1412"/>
        <v>0.43879706802638907</v>
      </c>
      <c r="DG371" s="606">
        <f t="shared" si="1412"/>
        <v>75.810200055084408</v>
      </c>
      <c r="DH371" s="1336">
        <f t="shared" si="1412"/>
        <v>76.248997123110797</v>
      </c>
      <c r="DI371" s="606">
        <f t="shared" si="1412"/>
        <v>-9.8113034924481113</v>
      </c>
      <c r="DJ371" s="606">
        <f t="shared" si="1412"/>
        <v>-11.972643174512314</v>
      </c>
      <c r="DK371" s="749">
        <f t="shared" si="1412"/>
        <v>1.4521099124100374</v>
      </c>
      <c r="DL371" s="750">
        <f t="shared" si="1412"/>
        <v>9.2330283087838438</v>
      </c>
      <c r="DM371" s="606">
        <f t="shared" si="1412"/>
        <v>-21.783946666960432</v>
      </c>
      <c r="DN371" s="749">
        <f t="shared" si="1413"/>
        <v>10.685138221193881</v>
      </c>
      <c r="DO371" s="752">
        <f t="shared" si="1413"/>
        <v>-11.098808445766565</v>
      </c>
      <c r="DP371" s="749">
        <f t="shared" si="1413"/>
        <v>54.348511226040259</v>
      </c>
      <c r="DQ371" s="749">
        <f t="shared" si="1413"/>
        <v>18.191347218058013</v>
      </c>
      <c r="DR371" s="749">
        <f t="shared" si="1413"/>
        <v>2.150620796217396</v>
      </c>
      <c r="DS371" s="750">
        <f t="shared" si="1413"/>
        <v>-72.200065475873217</v>
      </c>
      <c r="DT371" s="749">
        <f t="shared" si="1413"/>
        <v>72.539858444098272</v>
      </c>
      <c r="DU371" s="749">
        <f t="shared" si="1413"/>
        <v>-70.049444679655835</v>
      </c>
      <c r="DV371" s="752">
        <f t="shared" si="1413"/>
        <v>2.4904137644424509</v>
      </c>
      <c r="DW371" s="749">
        <f t="shared" si="1413"/>
        <v>1.965595644554071</v>
      </c>
      <c r="DX371" s="749">
        <f t="shared" si="1414"/>
        <v>1.9330343185937977</v>
      </c>
      <c r="DY371" s="749">
        <f t="shared" si="1414"/>
        <v>1.9323015029961965</v>
      </c>
      <c r="DZ371" s="750">
        <f t="shared" si="1414"/>
        <v>1.9536693407354875</v>
      </c>
      <c r="EA371" s="749">
        <f t="shared" si="1414"/>
        <v>3.8986299631478687</v>
      </c>
      <c r="EB371" s="749">
        <f t="shared" si="1414"/>
        <v>3.885970843731684</v>
      </c>
      <c r="EC371" s="752">
        <f t="shared" si="1414"/>
        <v>7.7846008068795527</v>
      </c>
      <c r="ED371" s="749">
        <f t="shared" si="1414"/>
        <v>0.5289257343181788</v>
      </c>
      <c r="EE371" s="749">
        <f t="shared" si="1414"/>
        <v>0.50073010630156034</v>
      </c>
      <c r="EF371" s="749">
        <f t="shared" si="1414"/>
        <v>0.50022744343573322</v>
      </c>
      <c r="EG371" s="750">
        <f t="shared" si="1414"/>
        <v>0.49964236112413118</v>
      </c>
      <c r="EH371" s="749">
        <f t="shared" si="1415"/>
        <v>1.0296558406197391</v>
      </c>
      <c r="EI371" s="749">
        <f t="shared" si="1415"/>
        <v>0.99986980455986441</v>
      </c>
      <c r="EJ371" s="752">
        <f t="shared" si="1415"/>
        <v>2.0295256451796035</v>
      </c>
      <c r="EK371" s="749">
        <f t="shared" si="1415"/>
        <v>15.384404116223124</v>
      </c>
      <c r="EL371" s="749">
        <f t="shared" si="1415"/>
        <v>15.385944403164018</v>
      </c>
      <c r="EM371" s="749">
        <f t="shared" si="1415"/>
        <v>15.386189579159094</v>
      </c>
      <c r="EN371" s="750">
        <f t="shared" si="1415"/>
        <v>15.386143600607255</v>
      </c>
      <c r="EO371" s="749">
        <f t="shared" si="1415"/>
        <v>30.770348519387142</v>
      </c>
      <c r="EP371" s="749">
        <f t="shared" si="1415"/>
        <v>30.772333179766349</v>
      </c>
      <c r="EQ371" s="752">
        <f t="shared" si="1415"/>
        <v>61.542681699153491</v>
      </c>
    </row>
    <row r="372" spans="1:147" ht="10.199999999999999" customHeight="1">
      <c r="A372" s="130" t="str">
        <f t="shared" si="1409"/>
        <v>A350</v>
      </c>
      <c r="B372" s="130"/>
      <c r="C372" s="605"/>
      <c r="D372" s="605"/>
      <c r="E372" s="605"/>
      <c r="F372" s="605"/>
      <c r="G372" s="605"/>
      <c r="H372" s="605"/>
      <c r="I372" s="605"/>
      <c r="J372" s="605"/>
      <c r="K372" s="605"/>
      <c r="L372" s="605"/>
      <c r="M372" s="605"/>
      <c r="N372" s="606"/>
      <c r="O372" s="749"/>
      <c r="P372" s="749"/>
      <c r="Q372" s="749"/>
      <c r="R372" s="750"/>
      <c r="S372" s="749"/>
      <c r="T372" s="749"/>
      <c r="U372" s="1336"/>
      <c r="V372" s="749"/>
      <c r="W372" s="749"/>
      <c r="X372" s="749"/>
      <c r="Y372" s="750"/>
      <c r="Z372" s="749"/>
      <c r="AA372" s="749"/>
      <c r="AB372" s="1336"/>
      <c r="AC372" s="749"/>
      <c r="AD372" s="749"/>
      <c r="AE372" s="749"/>
      <c r="AF372" s="750"/>
      <c r="AG372" s="749"/>
      <c r="AH372" s="749"/>
      <c r="AI372" s="1336"/>
      <c r="AJ372" s="749"/>
      <c r="AK372" s="749"/>
      <c r="AL372" s="749"/>
      <c r="AM372" s="750"/>
      <c r="AN372" s="749"/>
      <c r="AO372" s="749"/>
      <c r="AP372" s="1336"/>
      <c r="AQ372" s="749"/>
      <c r="AR372" s="749"/>
      <c r="AS372" s="749"/>
      <c r="AT372" s="750"/>
      <c r="AU372" s="749"/>
      <c r="AV372" s="749"/>
      <c r="AW372" s="1336"/>
      <c r="AX372" s="749"/>
      <c r="AY372" s="749"/>
      <c r="AZ372" s="749"/>
      <c r="BA372" s="750"/>
      <c r="BB372" s="749"/>
      <c r="BC372" s="749"/>
      <c r="BD372" s="1336"/>
      <c r="BE372" s="749"/>
      <c r="BF372" s="749"/>
      <c r="BG372" s="749"/>
      <c r="BH372" s="750"/>
      <c r="BI372" s="749"/>
      <c r="BJ372" s="749"/>
      <c r="BK372" s="1336"/>
      <c r="BL372" s="749"/>
      <c r="BM372" s="749"/>
      <c r="BN372" s="749"/>
      <c r="BO372" s="750"/>
      <c r="BP372" s="749"/>
      <c r="BQ372" s="749"/>
      <c r="BR372" s="1336"/>
      <c r="BS372" s="749"/>
      <c r="BT372" s="749"/>
      <c r="BU372" s="749"/>
      <c r="BV372" s="750"/>
      <c r="BW372" s="749"/>
      <c r="BX372" s="749"/>
      <c r="BY372" s="1336"/>
      <c r="BZ372" s="749"/>
      <c r="CA372" s="749"/>
      <c r="CB372" s="749"/>
      <c r="CC372" s="750"/>
      <c r="CD372" s="749"/>
      <c r="CE372" s="749"/>
      <c r="CF372" s="1336"/>
      <c r="CG372" s="749"/>
      <c r="CH372" s="749"/>
      <c r="CI372" s="749"/>
      <c r="CJ372" s="750"/>
      <c r="CK372" s="749"/>
      <c r="CL372" s="749"/>
      <c r="CM372" s="1336"/>
      <c r="CN372" s="749"/>
      <c r="CO372" s="749"/>
      <c r="CP372" s="749"/>
      <c r="CQ372" s="750"/>
      <c r="CR372" s="749"/>
      <c r="CS372" s="749"/>
      <c r="CT372" s="1336">
        <f t="shared" si="1410"/>
        <v>55.000521912975159</v>
      </c>
      <c r="CU372" s="606">
        <f t="shared" si="1410"/>
        <v>-19.314797605457457</v>
      </c>
      <c r="CV372" s="606">
        <f t="shared" si="1410"/>
        <v>-62.350159291932329</v>
      </c>
      <c r="CW372" s="606">
        <f t="shared" si="1410"/>
        <v>-28.474384596615394</v>
      </c>
      <c r="CX372" s="1781">
        <f t="shared" si="1411"/>
        <v>-14.125950553733276</v>
      </c>
      <c r="CY372" s="606">
        <f t="shared" si="1410"/>
        <v>-81.664956897389786</v>
      </c>
      <c r="CZ372" s="606">
        <f t="shared" si="1410"/>
        <v>-42.600335150348656</v>
      </c>
      <c r="DA372" s="1336">
        <f t="shared" si="1410"/>
        <v>-124.26529204773846</v>
      </c>
      <c r="DB372" s="606">
        <f t="shared" si="1410"/>
        <v>38.204745025865613</v>
      </c>
      <c r="DC372" s="606">
        <f t="shared" si="1410"/>
        <v>24.392162689409062</v>
      </c>
      <c r="DD372" s="606">
        <f t="shared" si="1412"/>
        <v>-1.442697141430898</v>
      </c>
      <c r="DE372" s="1781">
        <f t="shared" si="1412"/>
        <v>26.566440352881045</v>
      </c>
      <c r="DF372" s="606">
        <f t="shared" si="1412"/>
        <v>62.596907715274668</v>
      </c>
      <c r="DG372" s="606">
        <f t="shared" si="1412"/>
        <v>25.123743211450119</v>
      </c>
      <c r="DH372" s="1336">
        <f t="shared" si="1412"/>
        <v>87.720650926724829</v>
      </c>
      <c r="DI372" s="606">
        <f t="shared" si="1412"/>
        <v>13.281084579270853</v>
      </c>
      <c r="DJ372" s="606">
        <f t="shared" si="1412"/>
        <v>28.875011015690191</v>
      </c>
      <c r="DK372" s="749">
        <f t="shared" si="1412"/>
        <v>52.752886146007839</v>
      </c>
      <c r="DL372" s="750">
        <f t="shared" si="1412"/>
        <v>36.822978683020864</v>
      </c>
      <c r="DM372" s="606">
        <f t="shared" si="1412"/>
        <v>42.156095594961045</v>
      </c>
      <c r="DN372" s="749">
        <f t="shared" si="1413"/>
        <v>89.575864829028717</v>
      </c>
      <c r="DO372" s="752">
        <f t="shared" si="1413"/>
        <v>131.73196042398973</v>
      </c>
      <c r="DP372" s="749">
        <f t="shared" si="1413"/>
        <v>112.52544590201293</v>
      </c>
      <c r="DQ372" s="749">
        <f t="shared" si="1413"/>
        <v>48.167144627819113</v>
      </c>
      <c r="DR372" s="749">
        <f t="shared" si="1413"/>
        <v>34.81754282145252</v>
      </c>
      <c r="DS372" s="750">
        <f t="shared" si="1413"/>
        <v>-51.541835302988346</v>
      </c>
      <c r="DT372" s="749">
        <f t="shared" si="1413"/>
        <v>160.69259052983205</v>
      </c>
      <c r="DU372" s="749">
        <f t="shared" si="1413"/>
        <v>-16.724292481535826</v>
      </c>
      <c r="DV372" s="752">
        <f t="shared" si="1413"/>
        <v>143.96829804829622</v>
      </c>
      <c r="DW372" s="749">
        <f t="shared" si="1413"/>
        <v>29.197939147351093</v>
      </c>
      <c r="DX372" s="749">
        <f t="shared" si="1414"/>
        <v>29.127965571103147</v>
      </c>
      <c r="DY372" s="749">
        <f t="shared" si="1414"/>
        <v>29.126309648417873</v>
      </c>
      <c r="DZ372" s="750">
        <f t="shared" si="1414"/>
        <v>29.177757176417117</v>
      </c>
      <c r="EA372" s="749">
        <f t="shared" si="1414"/>
        <v>58.32590471845424</v>
      </c>
      <c r="EB372" s="749">
        <f t="shared" si="1414"/>
        <v>58.30406682483499</v>
      </c>
      <c r="EC372" s="752">
        <f t="shared" si="1414"/>
        <v>116.62997154328923</v>
      </c>
      <c r="ED372" s="749">
        <f t="shared" si="1414"/>
        <v>67.135392265614001</v>
      </c>
      <c r="EE372" s="749">
        <f t="shared" si="1414"/>
        <v>67.058475287160292</v>
      </c>
      <c r="EF372" s="749">
        <f t="shared" si="1414"/>
        <v>67.05698943009844</v>
      </c>
      <c r="EG372" s="750">
        <f t="shared" si="1414"/>
        <v>67.05541702656194</v>
      </c>
      <c r="EH372" s="749">
        <f t="shared" si="1415"/>
        <v>134.19386755277429</v>
      </c>
      <c r="EI372" s="749">
        <f t="shared" si="1415"/>
        <v>134.11240645666038</v>
      </c>
      <c r="EJ372" s="752">
        <f t="shared" si="1415"/>
        <v>268.30627400943467</v>
      </c>
      <c r="EK372" s="749">
        <f t="shared" si="1415"/>
        <v>87.84573233038617</v>
      </c>
      <c r="EL372" s="749">
        <f t="shared" si="1415"/>
        <v>87.851306498281645</v>
      </c>
      <c r="EM372" s="749">
        <f t="shared" si="1415"/>
        <v>87.852193633910076</v>
      </c>
      <c r="EN372" s="750">
        <f t="shared" si="1415"/>
        <v>87.852019728939524</v>
      </c>
      <c r="EO372" s="749">
        <f t="shared" si="1415"/>
        <v>175.69703882866781</v>
      </c>
      <c r="EP372" s="749">
        <f t="shared" si="1415"/>
        <v>175.7042133628496</v>
      </c>
      <c r="EQ372" s="752">
        <f t="shared" si="1415"/>
        <v>351.40125219151741</v>
      </c>
    </row>
    <row r="373" spans="1:147" ht="10.199999999999999" customHeight="1">
      <c r="A373" s="130" t="s">
        <v>301</v>
      </c>
      <c r="B373" s="130"/>
      <c r="C373" s="605"/>
      <c r="D373" s="605"/>
      <c r="E373" s="605"/>
      <c r="F373" s="605"/>
      <c r="G373" s="605"/>
      <c r="H373" s="605"/>
      <c r="I373" s="605"/>
      <c r="J373" s="605"/>
      <c r="K373" s="605"/>
      <c r="L373" s="605"/>
      <c r="M373" s="605"/>
      <c r="N373" s="606"/>
      <c r="O373" s="749"/>
      <c r="P373" s="749"/>
      <c r="Q373" s="749"/>
      <c r="R373" s="750"/>
      <c r="S373" s="749"/>
      <c r="T373" s="749"/>
      <c r="U373" s="1336"/>
      <c r="V373" s="749"/>
      <c r="W373" s="749"/>
      <c r="X373" s="749"/>
      <c r="Y373" s="750"/>
      <c r="Z373" s="749"/>
      <c r="AA373" s="749"/>
      <c r="AB373" s="1336"/>
      <c r="AC373" s="749"/>
      <c r="AD373" s="749"/>
      <c r="AE373" s="749"/>
      <c r="AF373" s="750"/>
      <c r="AG373" s="749"/>
      <c r="AH373" s="749"/>
      <c r="AI373" s="1336"/>
      <c r="AJ373" s="749"/>
      <c r="AK373" s="749"/>
      <c r="AL373" s="749"/>
      <c r="AM373" s="750"/>
      <c r="AN373" s="749"/>
      <c r="AO373" s="749"/>
      <c r="AP373" s="1336"/>
      <c r="AQ373" s="749"/>
      <c r="AR373" s="749"/>
      <c r="AS373" s="749"/>
      <c r="AT373" s="750"/>
      <c r="AU373" s="749"/>
      <c r="AV373" s="749"/>
      <c r="AW373" s="1336"/>
      <c r="AX373" s="749"/>
      <c r="AY373" s="749"/>
      <c r="AZ373" s="749"/>
      <c r="BA373" s="750"/>
      <c r="BB373" s="749"/>
      <c r="BC373" s="749"/>
      <c r="BD373" s="1336"/>
      <c r="BE373" s="749"/>
      <c r="BF373" s="749"/>
      <c r="BG373" s="749"/>
      <c r="BH373" s="750"/>
      <c r="BI373" s="749"/>
      <c r="BJ373" s="749"/>
      <c r="BK373" s="1336"/>
      <c r="BL373" s="749"/>
      <c r="BM373" s="749"/>
      <c r="BN373" s="749"/>
      <c r="BO373" s="750"/>
      <c r="BP373" s="749"/>
      <c r="BQ373" s="749"/>
      <c r="BR373" s="1336"/>
      <c r="BS373" s="749"/>
      <c r="BT373" s="749"/>
      <c r="BU373" s="749"/>
      <c r="BV373" s="750"/>
      <c r="BW373" s="749"/>
      <c r="BX373" s="749"/>
      <c r="BY373" s="1336"/>
      <c r="BZ373" s="749"/>
      <c r="CA373" s="749"/>
      <c r="CB373" s="749"/>
      <c r="CC373" s="750"/>
      <c r="CD373" s="749"/>
      <c r="CE373" s="749"/>
      <c r="CF373" s="1336"/>
      <c r="CG373" s="749"/>
      <c r="CH373" s="749"/>
      <c r="CI373" s="749"/>
      <c r="CJ373" s="750"/>
      <c r="CK373" s="749"/>
      <c r="CL373" s="749"/>
      <c r="CM373" s="1336"/>
      <c r="CN373" s="749"/>
      <c r="CO373" s="749"/>
      <c r="CP373" s="749"/>
      <c r="CQ373" s="750"/>
      <c r="CR373" s="749"/>
      <c r="CS373" s="749"/>
      <c r="CT373" s="1336">
        <f t="shared" ref="CT373:DY373" si="1416">CT353-CM353</f>
        <v>0</v>
      </c>
      <c r="CU373" s="606">
        <f t="shared" si="1416"/>
        <v>29.792750000000002</v>
      </c>
      <c r="CV373" s="606">
        <f t="shared" si="1416"/>
        <v>28.548499999999994</v>
      </c>
      <c r="CW373" s="606">
        <f t="shared" si="1416"/>
        <v>32.075999999999993</v>
      </c>
      <c r="CX373" s="1781">
        <f>CX353-CQ353</f>
        <v>36.197749999999985</v>
      </c>
      <c r="CY373" s="606">
        <f t="shared" si="1416"/>
        <v>58.341249999999995</v>
      </c>
      <c r="CZ373" s="606">
        <f t="shared" si="1416"/>
        <v>68.273749999999978</v>
      </c>
      <c r="DA373" s="1336">
        <f t="shared" si="1416"/>
        <v>126.61499999999997</v>
      </c>
      <c r="DB373" s="606">
        <f t="shared" si="1416"/>
        <v>41.614750000000015</v>
      </c>
      <c r="DC373" s="606">
        <f t="shared" si="1416"/>
        <v>75.007600000000011</v>
      </c>
      <c r="DD373" s="606">
        <f t="shared" si="1416"/>
        <v>93.271200000000007</v>
      </c>
      <c r="DE373" s="1781">
        <f t="shared" si="1416"/>
        <v>97.251699999999914</v>
      </c>
      <c r="DF373" s="606">
        <f t="shared" si="1416"/>
        <v>116.62235000000001</v>
      </c>
      <c r="DG373" s="606">
        <f t="shared" si="1416"/>
        <v>190.52289999999991</v>
      </c>
      <c r="DH373" s="1336">
        <f t="shared" si="1416"/>
        <v>307.14524999999998</v>
      </c>
      <c r="DI373" s="606">
        <f t="shared" si="1416"/>
        <v>0.29850000000000421</v>
      </c>
      <c r="DJ373" s="606">
        <f t="shared" si="1416"/>
        <v>10.978499999999983</v>
      </c>
      <c r="DK373" s="749">
        <f t="shared" si="1416"/>
        <v>31.284606245264698</v>
      </c>
      <c r="DL373" s="750">
        <f t="shared" si="1416"/>
        <v>23.58684299678842</v>
      </c>
      <c r="DM373" s="606">
        <f t="shared" si="1416"/>
        <v>11.276999999999987</v>
      </c>
      <c r="DN373" s="749">
        <f t="shared" si="1416"/>
        <v>54.871449242053131</v>
      </c>
      <c r="DO373" s="752">
        <f t="shared" si="1416"/>
        <v>66.148449242053118</v>
      </c>
      <c r="DP373" s="749">
        <f t="shared" si="1416"/>
        <v>65.896084306649243</v>
      </c>
      <c r="DQ373" s="749">
        <f t="shared" si="1416"/>
        <v>45.610368381672316</v>
      </c>
      <c r="DR373" s="749">
        <f t="shared" si="1416"/>
        <v>7.0014328785156863</v>
      </c>
      <c r="DS373" s="750">
        <f t="shared" si="1416"/>
        <v>-23.941434321336089</v>
      </c>
      <c r="DT373" s="749">
        <f t="shared" si="1416"/>
        <v>111.50645268832156</v>
      </c>
      <c r="DU373" s="749">
        <f t="shared" si="1416"/>
        <v>-16.940001442820403</v>
      </c>
      <c r="DV373" s="752">
        <f t="shared" si="1416"/>
        <v>94.566451245501128</v>
      </c>
      <c r="DW373" s="749">
        <f t="shared" si="1416"/>
        <v>26.703745426415196</v>
      </c>
      <c r="DX373" s="749">
        <f t="shared" si="1416"/>
        <v>31.004436086025976</v>
      </c>
      <c r="DY373" s="749">
        <f t="shared" si="1416"/>
        <v>31.672256866505165</v>
      </c>
      <c r="DZ373" s="750">
        <f t="shared" ref="DZ373:EQ373" si="1417">DZ353-DS353</f>
        <v>25.808741562934756</v>
      </c>
      <c r="EA373" s="749">
        <f t="shared" si="1417"/>
        <v>57.708181512441172</v>
      </c>
      <c r="EB373" s="749">
        <f t="shared" si="1417"/>
        <v>57.480998429439921</v>
      </c>
      <c r="EC373" s="752">
        <f t="shared" si="1417"/>
        <v>115.18917994188109</v>
      </c>
      <c r="ED373" s="749">
        <f t="shared" si="1417"/>
        <v>9.131519993171139</v>
      </c>
      <c r="EE373" s="749">
        <f t="shared" si="1417"/>
        <v>10.558611344429153</v>
      </c>
      <c r="EF373" s="749">
        <f t="shared" si="1417"/>
        <v>10.781930786414392</v>
      </c>
      <c r="EG373" s="750">
        <f t="shared" si="1417"/>
        <v>8.7708821537641768</v>
      </c>
      <c r="EH373" s="749">
        <f t="shared" si="1417"/>
        <v>19.690131337600292</v>
      </c>
      <c r="EI373" s="749">
        <f t="shared" si="1417"/>
        <v>19.552812940178569</v>
      </c>
      <c r="EJ373" s="752">
        <f t="shared" si="1417"/>
        <v>39.242944277778861</v>
      </c>
      <c r="EK373" s="749">
        <f t="shared" si="1417"/>
        <v>11.271044688703171</v>
      </c>
      <c r="EL373" s="749">
        <f t="shared" si="1417"/>
        <v>13.111791796754062</v>
      </c>
      <c r="EM373" s="749">
        <f t="shared" si="1417"/>
        <v>13.397362676846626</v>
      </c>
      <c r="EN373" s="750">
        <f t="shared" si="1417"/>
        <v>10.900119460996677</v>
      </c>
      <c r="EO373" s="749">
        <f t="shared" si="1417"/>
        <v>24.382836485457233</v>
      </c>
      <c r="EP373" s="749">
        <f t="shared" si="1417"/>
        <v>24.297482137843303</v>
      </c>
      <c r="EQ373" s="752">
        <f t="shared" si="1417"/>
        <v>48.680318623300536</v>
      </c>
    </row>
    <row r="374" spans="1:147" ht="10.199999999999999" customHeight="1">
      <c r="A374" s="130" t="str">
        <f>A356</f>
        <v>R&amp;D self-financed</v>
      </c>
      <c r="B374" s="130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6"/>
      <c r="O374" s="749"/>
      <c r="P374" s="749"/>
      <c r="Q374" s="749"/>
      <c r="R374" s="750"/>
      <c r="S374" s="749"/>
      <c r="T374" s="749"/>
      <c r="U374" s="1336"/>
      <c r="V374" s="749"/>
      <c r="W374" s="749"/>
      <c r="X374" s="749"/>
      <c r="Y374" s="750"/>
      <c r="Z374" s="749"/>
      <c r="AA374" s="749"/>
      <c r="AB374" s="1336"/>
      <c r="AC374" s="749"/>
      <c r="AD374" s="749"/>
      <c r="AE374" s="749"/>
      <c r="AF374" s="750"/>
      <c r="AG374" s="749"/>
      <c r="AH374" s="749"/>
      <c r="AI374" s="1336"/>
      <c r="AJ374" s="749"/>
      <c r="AK374" s="749"/>
      <c r="AL374" s="749"/>
      <c r="AM374" s="750"/>
      <c r="AN374" s="749"/>
      <c r="AO374" s="749"/>
      <c r="AP374" s="1336"/>
      <c r="AQ374" s="749"/>
      <c r="AR374" s="749"/>
      <c r="AS374" s="749"/>
      <c r="AT374" s="750"/>
      <c r="AU374" s="749"/>
      <c r="AV374" s="749"/>
      <c r="AW374" s="1336"/>
      <c r="AX374" s="749"/>
      <c r="AY374" s="749"/>
      <c r="AZ374" s="749"/>
      <c r="BA374" s="750"/>
      <c r="BB374" s="749"/>
      <c r="BC374" s="749"/>
      <c r="BD374" s="1336"/>
      <c r="BE374" s="749"/>
      <c r="BF374" s="749"/>
      <c r="BG374" s="749"/>
      <c r="BH374" s="750"/>
      <c r="BI374" s="749"/>
      <c r="BJ374" s="749"/>
      <c r="BK374" s="1336"/>
      <c r="BL374" s="749"/>
      <c r="BM374" s="749"/>
      <c r="BN374" s="749"/>
      <c r="BO374" s="750"/>
      <c r="BP374" s="749"/>
      <c r="BQ374" s="749"/>
      <c r="BR374" s="1336"/>
      <c r="BS374" s="749"/>
      <c r="BT374" s="749"/>
      <c r="BU374" s="749"/>
      <c r="BV374" s="750"/>
      <c r="BW374" s="749"/>
      <c r="BX374" s="749"/>
      <c r="BY374" s="1336"/>
      <c r="BZ374" s="749"/>
      <c r="CA374" s="749"/>
      <c r="CB374" s="749"/>
      <c r="CC374" s="750"/>
      <c r="CD374" s="749"/>
      <c r="CE374" s="749"/>
      <c r="CF374" s="1336"/>
      <c r="CG374" s="749"/>
      <c r="CH374" s="749"/>
      <c r="CI374" s="749"/>
      <c r="CJ374" s="750"/>
      <c r="CK374" s="749"/>
      <c r="CL374" s="749"/>
      <c r="CM374" s="1336"/>
      <c r="CN374" s="749"/>
      <c r="CO374" s="749"/>
      <c r="CP374" s="749"/>
      <c r="CQ374" s="750"/>
      <c r="CR374" s="749"/>
      <c r="CS374" s="749"/>
      <c r="CT374" s="1336">
        <f t="shared" ref="CT374:DY374" si="1418">CT356-CM356</f>
        <v>-91</v>
      </c>
      <c r="CU374" s="606">
        <f t="shared" si="1418"/>
        <v>-45</v>
      </c>
      <c r="CV374" s="606">
        <f t="shared" si="1418"/>
        <v>-60</v>
      </c>
      <c r="CW374" s="606">
        <f t="shared" si="1418"/>
        <v>-16</v>
      </c>
      <c r="CX374" s="1781">
        <f>CX356-CQ356</f>
        <v>143</v>
      </c>
      <c r="CY374" s="606">
        <f t="shared" si="1418"/>
        <v>-105</v>
      </c>
      <c r="CZ374" s="606">
        <f t="shared" si="1418"/>
        <v>127</v>
      </c>
      <c r="DA374" s="1336">
        <f t="shared" si="1418"/>
        <v>22</v>
      </c>
      <c r="DB374" s="606">
        <f t="shared" si="1418"/>
        <v>69</v>
      </c>
      <c r="DC374" s="606">
        <f t="shared" si="1418"/>
        <v>91</v>
      </c>
      <c r="DD374" s="606">
        <f t="shared" si="1418"/>
        <v>31</v>
      </c>
      <c r="DE374" s="1781">
        <f t="shared" si="1418"/>
        <v>-52</v>
      </c>
      <c r="DF374" s="606">
        <f t="shared" si="1418"/>
        <v>160</v>
      </c>
      <c r="DG374" s="606">
        <f t="shared" si="1418"/>
        <v>-21</v>
      </c>
      <c r="DH374" s="1336">
        <f t="shared" si="1418"/>
        <v>139</v>
      </c>
      <c r="DI374" s="606">
        <f t="shared" si="1418"/>
        <v>-21</v>
      </c>
      <c r="DJ374" s="606">
        <f t="shared" si="1418"/>
        <v>-32</v>
      </c>
      <c r="DK374" s="749">
        <f t="shared" si="1418"/>
        <v>-27.769273435055425</v>
      </c>
      <c r="DL374" s="750">
        <f t="shared" si="1418"/>
        <v>-153.32179559119174</v>
      </c>
      <c r="DM374" s="606">
        <f t="shared" si="1418"/>
        <v>-53</v>
      </c>
      <c r="DN374" s="749">
        <f t="shared" si="1418"/>
        <v>-181.09106902624717</v>
      </c>
      <c r="DO374" s="752">
        <f t="shared" si="1418"/>
        <v>-234.09106902624717</v>
      </c>
      <c r="DP374" s="749">
        <f t="shared" si="1418"/>
        <v>-191.52541534012732</v>
      </c>
      <c r="DQ374" s="749">
        <f t="shared" si="1418"/>
        <v>-172.25592046607369</v>
      </c>
      <c r="DR374" s="749">
        <f t="shared" si="1418"/>
        <v>-187.5275113868081</v>
      </c>
      <c r="DS374" s="750">
        <f t="shared" si="1418"/>
        <v>176.33300567540027</v>
      </c>
      <c r="DT374" s="749">
        <f t="shared" si="1418"/>
        <v>-363.78133580620101</v>
      </c>
      <c r="DU374" s="749">
        <f t="shared" si="1418"/>
        <v>-11.194505711407828</v>
      </c>
      <c r="DV374" s="752">
        <f t="shared" si="1418"/>
        <v>-374.97584151760884</v>
      </c>
      <c r="DW374" s="749">
        <f t="shared" si="1418"/>
        <v>-72.941600029259575</v>
      </c>
      <c r="DX374" s="749">
        <f t="shared" si="1418"/>
        <v>-79.506263815198622</v>
      </c>
      <c r="DY374" s="749">
        <f t="shared" si="1418"/>
        <v>-79.632041207518</v>
      </c>
      <c r="DZ374" s="750">
        <f t="shared" ref="DZ374:EQ374" si="1419">DZ356-DS356</f>
        <v>-96.263985179700853</v>
      </c>
      <c r="EA374" s="749">
        <f t="shared" si="1419"/>
        <v>-152.4478638444582</v>
      </c>
      <c r="EB374" s="749">
        <f t="shared" si="1419"/>
        <v>-175.89602638721885</v>
      </c>
      <c r="EC374" s="752">
        <f t="shared" si="1419"/>
        <v>-328.34389023167705</v>
      </c>
      <c r="ED374" s="749">
        <f t="shared" si="1419"/>
        <v>-65.427232105205121</v>
      </c>
      <c r="EE374" s="749">
        <f t="shared" si="1419"/>
        <v>-29.366337379380639</v>
      </c>
      <c r="EF374" s="749">
        <f t="shared" si="1419"/>
        <v>-29.462599536611719</v>
      </c>
      <c r="EG374" s="750">
        <f t="shared" si="1419"/>
        <v>-28.936556089234159</v>
      </c>
      <c r="EH374" s="749">
        <f t="shared" si="1419"/>
        <v>-94.79356948458576</v>
      </c>
      <c r="EI374" s="749">
        <f t="shared" si="1419"/>
        <v>-58.399155625845879</v>
      </c>
      <c r="EJ374" s="752">
        <f t="shared" si="1419"/>
        <v>-153.19272511043164</v>
      </c>
      <c r="EK374" s="749">
        <f t="shared" si="1419"/>
        <v>-26.304877422676896</v>
      </c>
      <c r="EL374" s="749">
        <f t="shared" si="1419"/>
        <v>-27.190922184783517</v>
      </c>
      <c r="EM374" s="749">
        <f t="shared" si="1419"/>
        <v>-27.331732311793871</v>
      </c>
      <c r="EN374" s="750">
        <f t="shared" si="1419"/>
        <v>-26.42421872157513</v>
      </c>
      <c r="EO374" s="749">
        <f t="shared" si="1419"/>
        <v>-53.495799607460413</v>
      </c>
      <c r="EP374" s="749">
        <f t="shared" si="1419"/>
        <v>-53.755951033369001</v>
      </c>
      <c r="EQ374" s="752">
        <f t="shared" si="1419"/>
        <v>-107.25175064082941</v>
      </c>
    </row>
    <row r="375" spans="1:147" ht="10.199999999999999" customHeight="1">
      <c r="A375" s="130" t="str">
        <f>A358</f>
        <v>Fixed cost absorption</v>
      </c>
      <c r="B375" s="130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6"/>
      <c r="O375" s="749"/>
      <c r="P375" s="749"/>
      <c r="Q375" s="749"/>
      <c r="R375" s="750"/>
      <c r="S375" s="749"/>
      <c r="T375" s="749"/>
      <c r="U375" s="1336"/>
      <c r="V375" s="749"/>
      <c r="W375" s="749"/>
      <c r="X375" s="749"/>
      <c r="Y375" s="750"/>
      <c r="Z375" s="749"/>
      <c r="AA375" s="749"/>
      <c r="AB375" s="1336"/>
      <c r="AC375" s="749"/>
      <c r="AD375" s="749"/>
      <c r="AE375" s="749"/>
      <c r="AF375" s="750"/>
      <c r="AG375" s="749"/>
      <c r="AH375" s="749"/>
      <c r="AI375" s="1336"/>
      <c r="AJ375" s="749"/>
      <c r="AK375" s="749"/>
      <c r="AL375" s="749"/>
      <c r="AM375" s="750"/>
      <c r="AN375" s="749"/>
      <c r="AO375" s="749"/>
      <c r="AP375" s="1336"/>
      <c r="AQ375" s="749"/>
      <c r="AR375" s="749"/>
      <c r="AS375" s="749"/>
      <c r="AT375" s="750"/>
      <c r="AU375" s="749"/>
      <c r="AV375" s="749"/>
      <c r="AW375" s="1336"/>
      <c r="AX375" s="749"/>
      <c r="AY375" s="749"/>
      <c r="AZ375" s="749"/>
      <c r="BA375" s="750"/>
      <c r="BB375" s="749"/>
      <c r="BC375" s="749"/>
      <c r="BD375" s="1336"/>
      <c r="BE375" s="749"/>
      <c r="BF375" s="749"/>
      <c r="BG375" s="749"/>
      <c r="BH375" s="750"/>
      <c r="BI375" s="749"/>
      <c r="BJ375" s="749"/>
      <c r="BK375" s="1336"/>
      <c r="BL375" s="749"/>
      <c r="BM375" s="749"/>
      <c r="BN375" s="749"/>
      <c r="BO375" s="750"/>
      <c r="BP375" s="749"/>
      <c r="BQ375" s="749"/>
      <c r="BR375" s="1336"/>
      <c r="BS375" s="749"/>
      <c r="BT375" s="749"/>
      <c r="BU375" s="749"/>
      <c r="BV375" s="750"/>
      <c r="BW375" s="749"/>
      <c r="BX375" s="749"/>
      <c r="BY375" s="1336"/>
      <c r="BZ375" s="749"/>
      <c r="CA375" s="749"/>
      <c r="CB375" s="749"/>
      <c r="CC375" s="750"/>
      <c r="CD375" s="749"/>
      <c r="CE375" s="749"/>
      <c r="CF375" s="1336"/>
      <c r="CG375" s="749"/>
      <c r="CH375" s="749"/>
      <c r="CI375" s="749"/>
      <c r="CJ375" s="750"/>
      <c r="CK375" s="749"/>
      <c r="CL375" s="749"/>
      <c r="CM375" s="1336"/>
      <c r="CN375" s="749"/>
      <c r="CO375" s="749"/>
      <c r="CP375" s="749"/>
      <c r="CQ375" s="750"/>
      <c r="CR375" s="749"/>
      <c r="CS375" s="749"/>
      <c r="CT375" s="1336">
        <f>CT358-CM358</f>
        <v>100</v>
      </c>
      <c r="CU375" s="606">
        <f t="shared" ref="CU375:EQ375" si="1420">CU358-CN358</f>
        <v>25</v>
      </c>
      <c r="CV375" s="606">
        <f t="shared" si="1420"/>
        <v>25</v>
      </c>
      <c r="CW375" s="606">
        <f t="shared" si="1420"/>
        <v>25</v>
      </c>
      <c r="CX375" s="1781">
        <f>CX358-CQ358</f>
        <v>25</v>
      </c>
      <c r="CY375" s="606">
        <f t="shared" si="1420"/>
        <v>50</v>
      </c>
      <c r="CZ375" s="606">
        <f t="shared" si="1420"/>
        <v>50</v>
      </c>
      <c r="DA375" s="1336">
        <f t="shared" si="1420"/>
        <v>100</v>
      </c>
      <c r="DB375" s="606">
        <f t="shared" si="1420"/>
        <v>0</v>
      </c>
      <c r="DC375" s="606">
        <f t="shared" si="1420"/>
        <v>0</v>
      </c>
      <c r="DD375" s="606">
        <f t="shared" si="1420"/>
        <v>0</v>
      </c>
      <c r="DE375" s="1781">
        <f t="shared" si="1420"/>
        <v>0</v>
      </c>
      <c r="DF375" s="606">
        <f t="shared" si="1420"/>
        <v>0</v>
      </c>
      <c r="DG375" s="606">
        <f t="shared" si="1420"/>
        <v>0</v>
      </c>
      <c r="DH375" s="1336">
        <f t="shared" si="1420"/>
        <v>0</v>
      </c>
      <c r="DI375" s="606">
        <f t="shared" si="1420"/>
        <v>0</v>
      </c>
      <c r="DJ375" s="606">
        <f t="shared" si="1420"/>
        <v>0</v>
      </c>
      <c r="DK375" s="749">
        <f t="shared" si="1420"/>
        <v>0</v>
      </c>
      <c r="DL375" s="750">
        <f t="shared" si="1420"/>
        <v>0</v>
      </c>
      <c r="DM375" s="606">
        <f t="shared" si="1420"/>
        <v>0</v>
      </c>
      <c r="DN375" s="749">
        <f t="shared" si="1420"/>
        <v>0</v>
      </c>
      <c r="DO375" s="752">
        <f>DO358-DH358</f>
        <v>0</v>
      </c>
      <c r="DP375" s="749">
        <f t="shared" si="1420"/>
        <v>0</v>
      </c>
      <c r="DQ375" s="749">
        <f t="shared" si="1420"/>
        <v>0</v>
      </c>
      <c r="DR375" s="749">
        <f t="shared" si="1420"/>
        <v>0</v>
      </c>
      <c r="DS375" s="750">
        <f t="shared" si="1420"/>
        <v>0</v>
      </c>
      <c r="DT375" s="749">
        <f t="shared" si="1420"/>
        <v>0</v>
      </c>
      <c r="DU375" s="749">
        <f t="shared" si="1420"/>
        <v>0</v>
      </c>
      <c r="DV375" s="752">
        <f>DV358-DO358</f>
        <v>0</v>
      </c>
      <c r="DW375" s="749">
        <f t="shared" si="1420"/>
        <v>0</v>
      </c>
      <c r="DX375" s="749">
        <f t="shared" si="1420"/>
        <v>0</v>
      </c>
      <c r="DY375" s="749">
        <f t="shared" si="1420"/>
        <v>0</v>
      </c>
      <c r="DZ375" s="750">
        <f t="shared" si="1420"/>
        <v>0</v>
      </c>
      <c r="EA375" s="749">
        <f t="shared" si="1420"/>
        <v>0</v>
      </c>
      <c r="EB375" s="749">
        <f t="shared" si="1420"/>
        <v>0</v>
      </c>
      <c r="EC375" s="752">
        <f t="shared" si="1420"/>
        <v>0</v>
      </c>
      <c r="ED375" s="749">
        <f t="shared" si="1420"/>
        <v>0</v>
      </c>
      <c r="EE375" s="749">
        <f t="shared" si="1420"/>
        <v>0</v>
      </c>
      <c r="EF375" s="749">
        <f t="shared" si="1420"/>
        <v>0</v>
      </c>
      <c r="EG375" s="750">
        <f t="shared" si="1420"/>
        <v>0</v>
      </c>
      <c r="EH375" s="749">
        <f t="shared" si="1420"/>
        <v>0</v>
      </c>
      <c r="EI375" s="749">
        <f t="shared" si="1420"/>
        <v>0</v>
      </c>
      <c r="EJ375" s="752">
        <f t="shared" si="1420"/>
        <v>0</v>
      </c>
      <c r="EK375" s="749">
        <f t="shared" si="1420"/>
        <v>0</v>
      </c>
      <c r="EL375" s="749">
        <f t="shared" si="1420"/>
        <v>0</v>
      </c>
      <c r="EM375" s="749">
        <f t="shared" si="1420"/>
        <v>0</v>
      </c>
      <c r="EN375" s="750">
        <f t="shared" si="1420"/>
        <v>0</v>
      </c>
      <c r="EO375" s="749">
        <f t="shared" si="1420"/>
        <v>0</v>
      </c>
      <c r="EP375" s="749">
        <f t="shared" si="1420"/>
        <v>0</v>
      </c>
      <c r="EQ375" s="752">
        <f t="shared" si="1420"/>
        <v>0</v>
      </c>
    </row>
    <row r="376" spans="1:147" ht="10.199999999999999" customHeight="1">
      <c r="A376" s="130" t="str">
        <f>A359</f>
        <v xml:space="preserve">Innovation &amp; Digital and other </v>
      </c>
      <c r="B376" s="130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6"/>
      <c r="O376" s="749"/>
      <c r="P376" s="749"/>
      <c r="Q376" s="749"/>
      <c r="R376" s="750"/>
      <c r="S376" s="749"/>
      <c r="T376" s="749"/>
      <c r="U376" s="1336"/>
      <c r="V376" s="749"/>
      <c r="W376" s="749"/>
      <c r="X376" s="749"/>
      <c r="Y376" s="750"/>
      <c r="Z376" s="749"/>
      <c r="AA376" s="749"/>
      <c r="AB376" s="1336"/>
      <c r="AC376" s="749"/>
      <c r="AD376" s="749"/>
      <c r="AE376" s="749"/>
      <c r="AF376" s="750"/>
      <c r="AG376" s="749"/>
      <c r="AH376" s="749"/>
      <c r="AI376" s="1336"/>
      <c r="AJ376" s="749"/>
      <c r="AK376" s="749"/>
      <c r="AL376" s="749"/>
      <c r="AM376" s="750"/>
      <c r="AN376" s="749"/>
      <c r="AO376" s="749"/>
      <c r="AP376" s="1336"/>
      <c r="AQ376" s="749"/>
      <c r="AR376" s="749"/>
      <c r="AS376" s="749"/>
      <c r="AT376" s="750"/>
      <c r="AU376" s="749"/>
      <c r="AV376" s="749"/>
      <c r="AW376" s="1336"/>
      <c r="AX376" s="749"/>
      <c r="AY376" s="749"/>
      <c r="AZ376" s="749"/>
      <c r="BA376" s="750"/>
      <c r="BB376" s="749"/>
      <c r="BC376" s="749"/>
      <c r="BD376" s="1336"/>
      <c r="BE376" s="749"/>
      <c r="BF376" s="749"/>
      <c r="BG376" s="749"/>
      <c r="BH376" s="750"/>
      <c r="BI376" s="749"/>
      <c r="BJ376" s="749"/>
      <c r="BK376" s="1336"/>
      <c r="BL376" s="749"/>
      <c r="BM376" s="749"/>
      <c r="BN376" s="749"/>
      <c r="BO376" s="750"/>
      <c r="BP376" s="749"/>
      <c r="BQ376" s="749"/>
      <c r="BR376" s="1336"/>
      <c r="BS376" s="749"/>
      <c r="BT376" s="749"/>
      <c r="BU376" s="749"/>
      <c r="BV376" s="750"/>
      <c r="BW376" s="749"/>
      <c r="BX376" s="749"/>
      <c r="BY376" s="1336"/>
      <c r="BZ376" s="749"/>
      <c r="CA376" s="749"/>
      <c r="CB376" s="749"/>
      <c r="CC376" s="750"/>
      <c r="CD376" s="749"/>
      <c r="CE376" s="749"/>
      <c r="CF376" s="1336"/>
      <c r="CG376" s="749"/>
      <c r="CH376" s="749"/>
      <c r="CI376" s="749"/>
      <c r="CJ376" s="750"/>
      <c r="CK376" s="749"/>
      <c r="CL376" s="749"/>
      <c r="CM376" s="1336"/>
      <c r="CN376" s="749"/>
      <c r="CO376" s="749"/>
      <c r="CP376" s="749"/>
      <c r="CQ376" s="750"/>
      <c r="CR376" s="749"/>
      <c r="CS376" s="749"/>
      <c r="CT376" s="1336">
        <f>CT359-CM359</f>
        <v>0</v>
      </c>
      <c r="CU376" s="606">
        <f t="shared" ref="CU376:DD377" si="1421">CU359-CN359</f>
        <v>-72.5</v>
      </c>
      <c r="CV376" s="606">
        <f t="shared" si="1421"/>
        <v>37.500000000000455</v>
      </c>
      <c r="CW376" s="606">
        <f t="shared" si="1421"/>
        <v>-18.5</v>
      </c>
      <c r="CX376" s="1781">
        <f>CX359-CQ359</f>
        <v>-6.5000000000004547</v>
      </c>
      <c r="CY376" s="606">
        <f t="shared" si="1421"/>
        <v>-34.999999999999545</v>
      </c>
      <c r="CZ376" s="606">
        <f t="shared" si="1421"/>
        <v>-25.000000000000455</v>
      </c>
      <c r="DA376" s="1336">
        <f t="shared" si="1421"/>
        <v>-60</v>
      </c>
      <c r="DB376" s="606">
        <f t="shared" si="1421"/>
        <v>-64.200776985029108</v>
      </c>
      <c r="DC376" s="606">
        <f t="shared" si="1421"/>
        <v>-124.29922301497135</v>
      </c>
      <c r="DD376" s="606">
        <f t="shared" si="1421"/>
        <v>-156</v>
      </c>
      <c r="DE376" s="1781">
        <f t="shared" ref="DE376:DN377" si="1422">DE359-CX359</f>
        <v>-160.49999999999955</v>
      </c>
      <c r="DF376" s="606">
        <f t="shared" si="1422"/>
        <v>-188.50000000000045</v>
      </c>
      <c r="DG376" s="606">
        <f t="shared" si="1422"/>
        <v>-316.49999999999955</v>
      </c>
      <c r="DH376" s="1336">
        <f t="shared" si="1422"/>
        <v>-505</v>
      </c>
      <c r="DI376" s="606">
        <f t="shared" si="1422"/>
        <v>126.70077698502911</v>
      </c>
      <c r="DJ376" s="606">
        <f t="shared" si="1422"/>
        <v>-18.892897596035823</v>
      </c>
      <c r="DK376" s="749">
        <f t="shared" si="1422"/>
        <v>126.09606030550336</v>
      </c>
      <c r="DL376" s="750">
        <f t="shared" si="1422"/>
        <v>131.09606030550336</v>
      </c>
      <c r="DM376" s="606">
        <f t="shared" si="1422"/>
        <v>107.80787938899329</v>
      </c>
      <c r="DN376" s="749">
        <f t="shared" si="1422"/>
        <v>257.19212061100671</v>
      </c>
      <c r="DO376" s="752">
        <f t="shared" ref="DO376:DX377" si="1423">DO359-DH359</f>
        <v>365</v>
      </c>
      <c r="DP376" s="749">
        <f t="shared" si="1423"/>
        <v>-40</v>
      </c>
      <c r="DQ376" s="749">
        <f t="shared" si="1423"/>
        <v>43.192120611006715</v>
      </c>
      <c r="DR376" s="749">
        <f t="shared" si="1423"/>
        <v>-14.096060305503357</v>
      </c>
      <c r="DS376" s="750">
        <f t="shared" si="1423"/>
        <v>-39.096060305503357</v>
      </c>
      <c r="DT376" s="749">
        <f t="shared" si="1423"/>
        <v>3.1921206110067146</v>
      </c>
      <c r="DU376" s="749">
        <f t="shared" si="1423"/>
        <v>-53.192120611006715</v>
      </c>
      <c r="DV376" s="752">
        <f t="shared" si="1423"/>
        <v>-50</v>
      </c>
      <c r="DW376" s="749">
        <f t="shared" si="1423"/>
        <v>50</v>
      </c>
      <c r="DX376" s="749">
        <f t="shared" si="1423"/>
        <v>62.5</v>
      </c>
      <c r="DY376" s="749">
        <f t="shared" ref="DY376:EH377" si="1424">DY359-DR359</f>
        <v>62.5</v>
      </c>
      <c r="DZ376" s="750">
        <f t="shared" si="1424"/>
        <v>75</v>
      </c>
      <c r="EA376" s="749">
        <f t="shared" si="1424"/>
        <v>112.5</v>
      </c>
      <c r="EB376" s="749">
        <f t="shared" si="1424"/>
        <v>137.5</v>
      </c>
      <c r="EC376" s="752">
        <f t="shared" si="1424"/>
        <v>250</v>
      </c>
      <c r="ED376" s="749">
        <f t="shared" si="1424"/>
        <v>0</v>
      </c>
      <c r="EE376" s="749">
        <f t="shared" si="1424"/>
        <v>0</v>
      </c>
      <c r="EF376" s="749">
        <f t="shared" si="1424"/>
        <v>0</v>
      </c>
      <c r="EG376" s="750">
        <f t="shared" si="1424"/>
        <v>0</v>
      </c>
      <c r="EH376" s="749">
        <f t="shared" si="1424"/>
        <v>0</v>
      </c>
      <c r="EI376" s="749">
        <f t="shared" ref="EI376:EQ377" si="1425">EI359-EB359</f>
        <v>0</v>
      </c>
      <c r="EJ376" s="752">
        <f t="shared" si="1425"/>
        <v>0</v>
      </c>
      <c r="EK376" s="749">
        <f t="shared" si="1425"/>
        <v>0</v>
      </c>
      <c r="EL376" s="749">
        <f t="shared" si="1425"/>
        <v>0</v>
      </c>
      <c r="EM376" s="749">
        <f t="shared" si="1425"/>
        <v>0</v>
      </c>
      <c r="EN376" s="750">
        <f t="shared" si="1425"/>
        <v>0</v>
      </c>
      <c r="EO376" s="749">
        <f t="shared" si="1425"/>
        <v>0</v>
      </c>
      <c r="EP376" s="749">
        <f t="shared" si="1425"/>
        <v>0</v>
      </c>
      <c r="EQ376" s="752">
        <f t="shared" si="1425"/>
        <v>0</v>
      </c>
    </row>
    <row r="377" spans="1:147" ht="10.199999999999999" customHeight="1">
      <c r="A377" s="130" t="str">
        <f>A360</f>
        <v>FX</v>
      </c>
      <c r="B377" s="130"/>
      <c r="C377" s="605"/>
      <c r="D377" s="605"/>
      <c r="E377" s="605"/>
      <c r="F377" s="605"/>
      <c r="G377" s="605"/>
      <c r="H377" s="605"/>
      <c r="I377" s="605"/>
      <c r="J377" s="605"/>
      <c r="K377" s="605"/>
      <c r="L377" s="605"/>
      <c r="M377" s="605"/>
      <c r="N377" s="606"/>
      <c r="O377" s="749"/>
      <c r="P377" s="749"/>
      <c r="Q377" s="749"/>
      <c r="R377" s="750"/>
      <c r="S377" s="749"/>
      <c r="T377" s="749"/>
      <c r="U377" s="1336"/>
      <c r="V377" s="749"/>
      <c r="W377" s="749"/>
      <c r="X377" s="749"/>
      <c r="Y377" s="750"/>
      <c r="Z377" s="749"/>
      <c r="AA377" s="749"/>
      <c r="AB377" s="1336"/>
      <c r="AC377" s="749"/>
      <c r="AD377" s="749"/>
      <c r="AE377" s="749"/>
      <c r="AF377" s="750"/>
      <c r="AG377" s="749"/>
      <c r="AH377" s="749"/>
      <c r="AI377" s="1336"/>
      <c r="AJ377" s="749"/>
      <c r="AK377" s="749"/>
      <c r="AL377" s="749"/>
      <c r="AM377" s="750"/>
      <c r="AN377" s="749"/>
      <c r="AO377" s="749"/>
      <c r="AP377" s="1336"/>
      <c r="AQ377" s="749"/>
      <c r="AR377" s="749"/>
      <c r="AS377" s="749"/>
      <c r="AT377" s="750"/>
      <c r="AU377" s="749"/>
      <c r="AV377" s="749"/>
      <c r="AW377" s="1336"/>
      <c r="AX377" s="749"/>
      <c r="AY377" s="749"/>
      <c r="AZ377" s="749"/>
      <c r="BA377" s="750"/>
      <c r="BB377" s="749"/>
      <c r="BC377" s="749"/>
      <c r="BD377" s="1336"/>
      <c r="BE377" s="749"/>
      <c r="BF377" s="749"/>
      <c r="BG377" s="749"/>
      <c r="BH377" s="750"/>
      <c r="BI377" s="749"/>
      <c r="BJ377" s="749"/>
      <c r="BK377" s="1336"/>
      <c r="BL377" s="749"/>
      <c r="BM377" s="749"/>
      <c r="BN377" s="749"/>
      <c r="BO377" s="750"/>
      <c r="BP377" s="749"/>
      <c r="BQ377" s="749"/>
      <c r="BR377" s="1336"/>
      <c r="BS377" s="749"/>
      <c r="BT377" s="749"/>
      <c r="BU377" s="749"/>
      <c r="BV377" s="750"/>
      <c r="BW377" s="749"/>
      <c r="BX377" s="749"/>
      <c r="BY377" s="1336"/>
      <c r="BZ377" s="749"/>
      <c r="CA377" s="749"/>
      <c r="CB377" s="749"/>
      <c r="CC377" s="750"/>
      <c r="CD377" s="749"/>
      <c r="CE377" s="749"/>
      <c r="CF377" s="1336"/>
      <c r="CG377" s="749"/>
      <c r="CH377" s="749"/>
      <c r="CI377" s="749"/>
      <c r="CJ377" s="750"/>
      <c r="CK377" s="749"/>
      <c r="CL377" s="749"/>
      <c r="CM377" s="1336"/>
      <c r="CN377" s="749"/>
      <c r="CO377" s="749"/>
      <c r="CP377" s="749"/>
      <c r="CQ377" s="750"/>
      <c r="CR377" s="749"/>
      <c r="CS377" s="749"/>
      <c r="CT377" s="1336">
        <f>CT360-CM360</f>
        <v>626.25000000000136</v>
      </c>
      <c r="CU377" s="606">
        <f t="shared" si="1421"/>
        <v>34.956605593056914</v>
      </c>
      <c r="CV377" s="606">
        <f t="shared" si="1421"/>
        <v>-104.86981677917075</v>
      </c>
      <c r="CW377" s="606">
        <f t="shared" si="1421"/>
        <v>-179.86981677917075</v>
      </c>
      <c r="CX377" s="1781">
        <f>CX360-CQ360</f>
        <v>-98.966972034717344</v>
      </c>
      <c r="CY377" s="606">
        <f t="shared" si="1421"/>
        <v>-69.913211186113827</v>
      </c>
      <c r="CZ377" s="606">
        <f t="shared" si="1421"/>
        <v>-278.83678881388812</v>
      </c>
      <c r="DA377" s="1336">
        <f t="shared" si="1421"/>
        <v>-348.75000000000193</v>
      </c>
      <c r="DB377" s="606">
        <f t="shared" si="1421"/>
        <v>102.90037831021448</v>
      </c>
      <c r="DC377" s="606">
        <f t="shared" si="1421"/>
        <v>99.684741488019597</v>
      </c>
      <c r="DD377" s="606">
        <f t="shared" si="1421"/>
        <v>151.04035308953348</v>
      </c>
      <c r="DE377" s="1781">
        <f t="shared" si="1422"/>
        <v>96.374527112232869</v>
      </c>
      <c r="DF377" s="606">
        <f t="shared" si="1422"/>
        <v>202.58511979823408</v>
      </c>
      <c r="DG377" s="606">
        <f t="shared" si="1422"/>
        <v>247.41488020176635</v>
      </c>
      <c r="DH377" s="1336">
        <f t="shared" si="1422"/>
        <v>450.00000000000045</v>
      </c>
      <c r="DI377" s="606">
        <f t="shared" si="1422"/>
        <v>-148.76244727573174</v>
      </c>
      <c r="DJ377" s="606">
        <f t="shared" si="1422"/>
        <v>-265.63301735008866</v>
      </c>
      <c r="DK377" s="749">
        <f t="shared" si="1422"/>
        <v>-75.599525735466599</v>
      </c>
      <c r="DL377" s="750">
        <f t="shared" si="1422"/>
        <v>-131.27224304575816</v>
      </c>
      <c r="DM377" s="606">
        <f t="shared" si="1422"/>
        <v>-414.39546462582041</v>
      </c>
      <c r="DN377" s="749">
        <f t="shared" si="1422"/>
        <v>-206.87176878122474</v>
      </c>
      <c r="DO377" s="752">
        <f t="shared" si="1423"/>
        <v>-621.26723340704518</v>
      </c>
      <c r="DP377" s="749">
        <f t="shared" si="1423"/>
        <v>-35.18248641486008</v>
      </c>
      <c r="DQ377" s="749">
        <f t="shared" si="1423"/>
        <v>84.903720481691707</v>
      </c>
      <c r="DR377" s="749">
        <f t="shared" si="1423"/>
        <v>-81.485382734444244</v>
      </c>
      <c r="DS377" s="750">
        <f t="shared" si="1423"/>
        <v>-8.6468394468511462</v>
      </c>
      <c r="DT377" s="749">
        <f t="shared" si="1423"/>
        <v>49.721234066831641</v>
      </c>
      <c r="DU377" s="749">
        <f t="shared" si="1423"/>
        <v>-90.13222218129539</v>
      </c>
      <c r="DV377" s="752">
        <f t="shared" si="1423"/>
        <v>-40.410988114463748</v>
      </c>
      <c r="DW377" s="749">
        <f t="shared" si="1423"/>
        <v>155.8638778862906</v>
      </c>
      <c r="DX377" s="749">
        <f t="shared" si="1423"/>
        <v>155.8638778862906</v>
      </c>
      <c r="DY377" s="749">
        <f t="shared" si="1424"/>
        <v>155.8638778862906</v>
      </c>
      <c r="DZ377" s="750">
        <f t="shared" si="1424"/>
        <v>155.8638778862906</v>
      </c>
      <c r="EA377" s="749">
        <f t="shared" si="1424"/>
        <v>311.72775577258119</v>
      </c>
      <c r="EB377" s="749">
        <f t="shared" si="1424"/>
        <v>311.72775577258119</v>
      </c>
      <c r="EC377" s="752">
        <f t="shared" si="1424"/>
        <v>623.45551154516238</v>
      </c>
      <c r="ED377" s="749">
        <f t="shared" si="1424"/>
        <v>-142.64887710224576</v>
      </c>
      <c r="EE377" s="749">
        <f t="shared" si="1424"/>
        <v>-142.64887710224576</v>
      </c>
      <c r="EF377" s="749">
        <f t="shared" si="1424"/>
        <v>-142.64887710224576</v>
      </c>
      <c r="EG377" s="750">
        <f t="shared" si="1424"/>
        <v>-142.64887710224576</v>
      </c>
      <c r="EH377" s="749">
        <f t="shared" si="1424"/>
        <v>-285.29775420449153</v>
      </c>
      <c r="EI377" s="749">
        <f t="shared" si="1425"/>
        <v>-285.29775420449153</v>
      </c>
      <c r="EJ377" s="752">
        <f t="shared" si="1425"/>
        <v>-570.59550840898305</v>
      </c>
      <c r="EK377" s="749">
        <f t="shared" si="1425"/>
        <v>-17.230476665056059</v>
      </c>
      <c r="EL377" s="749">
        <f t="shared" si="1425"/>
        <v>-17.230476665056059</v>
      </c>
      <c r="EM377" s="749">
        <f t="shared" si="1425"/>
        <v>-17.230476665056059</v>
      </c>
      <c r="EN377" s="750">
        <f t="shared" si="1425"/>
        <v>-17.230476665056059</v>
      </c>
      <c r="EO377" s="749">
        <f t="shared" si="1425"/>
        <v>-34.460953330112119</v>
      </c>
      <c r="EP377" s="749">
        <f t="shared" si="1425"/>
        <v>-34.460953330112119</v>
      </c>
      <c r="EQ377" s="752">
        <f t="shared" si="1425"/>
        <v>-68.921906660224238</v>
      </c>
    </row>
    <row r="378" spans="1:147" ht="10.199999999999999" customHeight="1">
      <c r="A378" s="92" t="s">
        <v>762</v>
      </c>
      <c r="B378" s="92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1"/>
      <c r="O378" s="727"/>
      <c r="P378" s="727"/>
      <c r="Q378" s="727"/>
      <c r="R378" s="728"/>
      <c r="S378" s="727"/>
      <c r="T378" s="727"/>
      <c r="U378" s="729"/>
      <c r="V378" s="727"/>
      <c r="W378" s="727"/>
      <c r="X378" s="727"/>
      <c r="Y378" s="728"/>
      <c r="Z378" s="727"/>
      <c r="AA378" s="727"/>
      <c r="AB378" s="729"/>
      <c r="AC378" s="727"/>
      <c r="AD378" s="727"/>
      <c r="AE378" s="727"/>
      <c r="AF378" s="728"/>
      <c r="AG378" s="727"/>
      <c r="AH378" s="727"/>
      <c r="AI378" s="729"/>
      <c r="AJ378" s="727"/>
      <c r="AK378" s="727"/>
      <c r="AL378" s="727"/>
      <c r="AM378" s="728"/>
      <c r="AN378" s="727"/>
      <c r="AO378" s="727"/>
      <c r="AP378" s="729"/>
      <c r="AQ378" s="727"/>
      <c r="AR378" s="727"/>
      <c r="AS378" s="727"/>
      <c r="AT378" s="728"/>
      <c r="AU378" s="727"/>
      <c r="AV378" s="727"/>
      <c r="AW378" s="729"/>
      <c r="AX378" s="727"/>
      <c r="AY378" s="727"/>
      <c r="AZ378" s="727"/>
      <c r="BA378" s="728"/>
      <c r="BB378" s="727"/>
      <c r="BC378" s="727"/>
      <c r="BD378" s="729"/>
      <c r="BE378" s="727"/>
      <c r="BF378" s="727"/>
      <c r="BG378" s="727"/>
      <c r="BH378" s="728"/>
      <c r="BI378" s="727"/>
      <c r="BJ378" s="727"/>
      <c r="BK378" s="729"/>
      <c r="BL378" s="727"/>
      <c r="BM378" s="727"/>
      <c r="BN378" s="727"/>
      <c r="BO378" s="728"/>
      <c r="BP378" s="727"/>
      <c r="BQ378" s="727"/>
      <c r="BR378" s="729"/>
      <c r="BS378" s="727"/>
      <c r="BT378" s="727"/>
      <c r="BU378" s="727"/>
      <c r="BV378" s="728"/>
      <c r="BW378" s="727"/>
      <c r="BX378" s="727"/>
      <c r="BY378" s="729"/>
      <c r="BZ378" s="727"/>
      <c r="CA378" s="727"/>
      <c r="CB378" s="727"/>
      <c r="CC378" s="728"/>
      <c r="CD378" s="727"/>
      <c r="CE378" s="727"/>
      <c r="CF378" s="729"/>
      <c r="CG378" s="727"/>
      <c r="CH378" s="727"/>
      <c r="CI378" s="727"/>
      <c r="CJ378" s="728"/>
      <c r="CK378" s="727"/>
      <c r="CL378" s="727"/>
      <c r="CM378" s="729"/>
      <c r="CN378" s="727"/>
      <c r="CO378" s="727"/>
      <c r="CP378" s="727"/>
      <c r="CQ378" s="728"/>
      <c r="CR378" s="727"/>
      <c r="CS378" s="727"/>
      <c r="CT378" s="729">
        <f t="shared" ref="CT378:DY378" si="1426">SUM(CT366:CT377)</f>
        <v>4818</v>
      </c>
      <c r="CU378" s="621">
        <f t="shared" si="1426"/>
        <v>506.99999999999966</v>
      </c>
      <c r="CV378" s="621">
        <f t="shared" si="1426"/>
        <v>1447.0000000000009</v>
      </c>
      <c r="CW378" s="621">
        <f t="shared" si="1426"/>
        <v>1074.0000000000002</v>
      </c>
      <c r="CX378" s="1780">
        <f>SUM(CX366:CX377)</f>
        <v>2064.9999999999986</v>
      </c>
      <c r="CY378" s="621">
        <f t="shared" si="1426"/>
        <v>1954.0000000000002</v>
      </c>
      <c r="CZ378" s="621">
        <f t="shared" si="1426"/>
        <v>3138.9999999999991</v>
      </c>
      <c r="DA378" s="729">
        <f t="shared" si="1426"/>
        <v>5092.9999999999982</v>
      </c>
      <c r="DB378" s="621">
        <f t="shared" si="1426"/>
        <v>493.99999999999972</v>
      </c>
      <c r="DC378" s="621">
        <f t="shared" si="1426"/>
        <v>1220.0000000000007</v>
      </c>
      <c r="DD378" s="621">
        <f t="shared" si="1426"/>
        <v>1555.9999999999995</v>
      </c>
      <c r="DE378" s="1780">
        <f t="shared" si="1426"/>
        <v>2200.0000000000009</v>
      </c>
      <c r="DF378" s="621">
        <f t="shared" si="1426"/>
        <v>1714.0000000000005</v>
      </c>
      <c r="DG378" s="621">
        <f t="shared" si="1426"/>
        <v>3756.0000000000005</v>
      </c>
      <c r="DH378" s="729">
        <f t="shared" si="1426"/>
        <v>5470</v>
      </c>
      <c r="DI378" s="621">
        <f t="shared" si="1426"/>
        <v>81.000000000000114</v>
      </c>
      <c r="DJ378" s="621">
        <f t="shared" si="1426"/>
        <v>1906.0000000000005</v>
      </c>
      <c r="DK378" s="727">
        <f t="shared" si="1426"/>
        <v>1587.1267727593565</v>
      </c>
      <c r="DL378" s="728">
        <f t="shared" si="1426"/>
        <v>2343.5512639030439</v>
      </c>
      <c r="DM378" s="621">
        <f t="shared" si="1426"/>
        <v>1987.0000000000005</v>
      </c>
      <c r="DN378" s="727">
        <f t="shared" si="1426"/>
        <v>3930.6780366624012</v>
      </c>
      <c r="DO378" s="751">
        <f t="shared" si="1426"/>
        <v>5917.6780366624007</v>
      </c>
      <c r="DP378" s="727">
        <f t="shared" si="1426"/>
        <v>1717.4955710499455</v>
      </c>
      <c r="DQ378" s="727">
        <f t="shared" si="1426"/>
        <v>1876.7178219100479</v>
      </c>
      <c r="DR378" s="727">
        <f t="shared" si="1426"/>
        <v>1879.2566558143537</v>
      </c>
      <c r="DS378" s="728">
        <f t="shared" si="1426"/>
        <v>1839.2900791853829</v>
      </c>
      <c r="DT378" s="727">
        <f t="shared" si="1426"/>
        <v>3594.2133929599941</v>
      </c>
      <c r="DU378" s="727">
        <f t="shared" si="1426"/>
        <v>3718.5467349997375</v>
      </c>
      <c r="DV378" s="751">
        <f t="shared" si="1426"/>
        <v>7312.7601279597302</v>
      </c>
      <c r="DW378" s="727">
        <f t="shared" si="1426"/>
        <v>2205.2327436249648</v>
      </c>
      <c r="DX378" s="727">
        <f t="shared" si="1426"/>
        <v>2369.8904416688079</v>
      </c>
      <c r="DY378" s="727">
        <f t="shared" si="1426"/>
        <v>2372.9282472399582</v>
      </c>
      <c r="DZ378" s="728">
        <f t="shared" ref="DZ378:EQ378" si="1427">SUM(DZ366:DZ377)</f>
        <v>2420.1112747069301</v>
      </c>
      <c r="EA378" s="727">
        <f t="shared" si="1427"/>
        <v>4575.1231852937735</v>
      </c>
      <c r="EB378" s="727">
        <f t="shared" si="1427"/>
        <v>4793.0395219468874</v>
      </c>
      <c r="EC378" s="751">
        <f t="shared" si="1427"/>
        <v>9368.1627072406591</v>
      </c>
      <c r="ED378" s="727">
        <f t="shared" si="1427"/>
        <v>2529.8400900134993</v>
      </c>
      <c r="EE378" s="727">
        <f t="shared" si="1427"/>
        <v>2531.2487204615572</v>
      </c>
      <c r="EF378" s="727">
        <f t="shared" si="1427"/>
        <v>2534.4448985163476</v>
      </c>
      <c r="EG378" s="728">
        <f t="shared" si="1427"/>
        <v>2590.0988497615654</v>
      </c>
      <c r="EH378" s="727">
        <f t="shared" si="1427"/>
        <v>5061.0888104750575</v>
      </c>
      <c r="EI378" s="727">
        <f t="shared" si="1427"/>
        <v>5124.5437482779153</v>
      </c>
      <c r="EJ378" s="751">
        <f t="shared" si="1427"/>
        <v>10185.632558752972</v>
      </c>
      <c r="EK378" s="727">
        <f t="shared" si="1427"/>
        <v>2680.9431360907402</v>
      </c>
      <c r="EL378" s="727">
        <f t="shared" si="1427"/>
        <v>2683.3504286050688</v>
      </c>
      <c r="EM378" s="727">
        <f t="shared" si="1427"/>
        <v>2686.7178350070913</v>
      </c>
      <c r="EN378" s="728">
        <f t="shared" si="1427"/>
        <v>2742.4254564114881</v>
      </c>
      <c r="EO378" s="727">
        <f t="shared" si="1427"/>
        <v>5364.2935646958085</v>
      </c>
      <c r="EP378" s="727">
        <f t="shared" si="1427"/>
        <v>5429.1432914185789</v>
      </c>
      <c r="EQ378" s="751">
        <f t="shared" si="1427"/>
        <v>10793.436856114387</v>
      </c>
    </row>
    <row r="379" spans="1:147" ht="10.199999999999999" customHeight="1">
      <c r="A379" s="130" t="s">
        <v>482</v>
      </c>
      <c r="B379" s="617"/>
      <c r="C379" s="757"/>
      <c r="D379" s="757"/>
      <c r="E379" s="757"/>
      <c r="F379" s="757"/>
      <c r="G379" s="757"/>
      <c r="H379" s="757"/>
      <c r="I379" s="757"/>
      <c r="J379" s="757"/>
      <c r="K379" s="757"/>
      <c r="L379" s="757"/>
      <c r="M379" s="757"/>
      <c r="N379" s="749"/>
      <c r="O379" s="749"/>
      <c r="P379" s="749"/>
      <c r="Q379" s="749"/>
      <c r="R379" s="750"/>
      <c r="S379" s="749"/>
      <c r="T379" s="749"/>
      <c r="U379" s="1336"/>
      <c r="V379" s="749"/>
      <c r="W379" s="749"/>
      <c r="X379" s="749"/>
      <c r="Y379" s="750"/>
      <c r="Z379" s="749"/>
      <c r="AA379" s="749"/>
      <c r="AB379" s="1336"/>
      <c r="AC379" s="749"/>
      <c r="AD379" s="749"/>
      <c r="AE379" s="749"/>
      <c r="AF379" s="750"/>
      <c r="AG379" s="749"/>
      <c r="AH379" s="749"/>
      <c r="AI379" s="1336"/>
      <c r="AJ379" s="749"/>
      <c r="AK379" s="749"/>
      <c r="AL379" s="749"/>
      <c r="AM379" s="750"/>
      <c r="AN379" s="749"/>
      <c r="AO379" s="749"/>
      <c r="AP379" s="1336"/>
      <c r="AQ379" s="749"/>
      <c r="AR379" s="749"/>
      <c r="AS379" s="749"/>
      <c r="AT379" s="750"/>
      <c r="AU379" s="749"/>
      <c r="AV379" s="749"/>
      <c r="AW379" s="1336"/>
      <c r="AX379" s="749"/>
      <c r="AY379" s="749"/>
      <c r="AZ379" s="749"/>
      <c r="BA379" s="750"/>
      <c r="BB379" s="749"/>
      <c r="BC379" s="749"/>
      <c r="BD379" s="1336"/>
      <c r="BE379" s="749"/>
      <c r="BF379" s="749"/>
      <c r="BG379" s="749"/>
      <c r="BH379" s="750"/>
      <c r="BI379" s="749"/>
      <c r="BJ379" s="749"/>
      <c r="BK379" s="1336"/>
      <c r="BL379" s="749"/>
      <c r="BM379" s="749"/>
      <c r="BN379" s="749"/>
      <c r="BO379" s="750"/>
      <c r="BP379" s="749"/>
      <c r="BQ379" s="749"/>
      <c r="BR379" s="1336"/>
      <c r="BS379" s="749"/>
      <c r="BT379" s="749"/>
      <c r="BU379" s="749"/>
      <c r="BV379" s="750"/>
      <c r="BW379" s="749"/>
      <c r="BX379" s="749"/>
      <c r="BY379" s="1336"/>
      <c r="BZ379" s="749"/>
      <c r="CA379" s="749"/>
      <c r="CB379" s="749"/>
      <c r="CC379" s="750"/>
      <c r="CD379" s="749"/>
      <c r="CE379" s="749"/>
      <c r="CF379" s="1336"/>
      <c r="CG379" s="749"/>
      <c r="CH379" s="749"/>
      <c r="CI379" s="749"/>
      <c r="CJ379" s="750"/>
      <c r="CK379" s="749"/>
      <c r="CL379" s="749"/>
      <c r="CM379" s="1336"/>
      <c r="CN379" s="749"/>
      <c r="CO379" s="749"/>
      <c r="CP379" s="749"/>
      <c r="CQ379" s="750"/>
      <c r="CR379" s="749"/>
      <c r="CS379" s="749"/>
      <c r="CT379" s="1336">
        <f t="shared" ref="CT379:DY379" si="1428">CT378-CT361</f>
        <v>0</v>
      </c>
      <c r="CU379" s="606">
        <f t="shared" si="1428"/>
        <v>0</v>
      </c>
      <c r="CV379" s="606">
        <f t="shared" si="1428"/>
        <v>0</v>
      </c>
      <c r="CW379" s="606">
        <f t="shared" si="1428"/>
        <v>0</v>
      </c>
      <c r="CX379" s="1781">
        <f>CX378-CX361</f>
        <v>0</v>
      </c>
      <c r="CY379" s="606">
        <f t="shared" si="1428"/>
        <v>0</v>
      </c>
      <c r="CZ379" s="606">
        <f t="shared" si="1428"/>
        <v>0</v>
      </c>
      <c r="DA379" s="1336">
        <f t="shared" si="1428"/>
        <v>0</v>
      </c>
      <c r="DB379" s="606">
        <f t="shared" si="1428"/>
        <v>0</v>
      </c>
      <c r="DC379" s="606">
        <f t="shared" si="1428"/>
        <v>0</v>
      </c>
      <c r="DD379" s="606">
        <f t="shared" si="1428"/>
        <v>0</v>
      </c>
      <c r="DE379" s="1781">
        <f t="shared" si="1428"/>
        <v>0</v>
      </c>
      <c r="DF379" s="606">
        <f t="shared" si="1428"/>
        <v>0</v>
      </c>
      <c r="DG379" s="606">
        <f t="shared" si="1428"/>
        <v>0</v>
      </c>
      <c r="DH379" s="1336">
        <f t="shared" si="1428"/>
        <v>0</v>
      </c>
      <c r="DI379" s="606">
        <f t="shared" si="1428"/>
        <v>1.8474111129762605E-13</v>
      </c>
      <c r="DJ379" s="606">
        <f t="shared" si="1428"/>
        <v>0</v>
      </c>
      <c r="DK379" s="749">
        <f t="shared" si="1428"/>
        <v>0</v>
      </c>
      <c r="DL379" s="750">
        <f t="shared" si="1428"/>
        <v>0</v>
      </c>
      <c r="DM379" s="606">
        <f t="shared" si="1428"/>
        <v>0</v>
      </c>
      <c r="DN379" s="749">
        <f t="shared" si="1428"/>
        <v>0</v>
      </c>
      <c r="DO379" s="752">
        <f t="shared" si="1428"/>
        <v>0</v>
      </c>
      <c r="DP379" s="749">
        <f t="shared" si="1428"/>
        <v>0</v>
      </c>
      <c r="DQ379" s="749">
        <f t="shared" si="1428"/>
        <v>0</v>
      </c>
      <c r="DR379" s="749">
        <f t="shared" si="1428"/>
        <v>0</v>
      </c>
      <c r="DS379" s="750">
        <f t="shared" si="1428"/>
        <v>0</v>
      </c>
      <c r="DT379" s="749">
        <f t="shared" si="1428"/>
        <v>0</v>
      </c>
      <c r="DU379" s="749">
        <f t="shared" si="1428"/>
        <v>0</v>
      </c>
      <c r="DV379" s="752">
        <f t="shared" si="1428"/>
        <v>0</v>
      </c>
      <c r="DW379" s="749">
        <f t="shared" si="1428"/>
        <v>0</v>
      </c>
      <c r="DX379" s="749">
        <f t="shared" si="1428"/>
        <v>0</v>
      </c>
      <c r="DY379" s="749">
        <f t="shared" si="1428"/>
        <v>0</v>
      </c>
      <c r="DZ379" s="750">
        <f t="shared" ref="DZ379:EQ379" si="1429">DZ378-DZ361</f>
        <v>0</v>
      </c>
      <c r="EA379" s="749">
        <f t="shared" si="1429"/>
        <v>0</v>
      </c>
      <c r="EB379" s="749">
        <f t="shared" si="1429"/>
        <v>0</v>
      </c>
      <c r="EC379" s="752">
        <f t="shared" si="1429"/>
        <v>0</v>
      </c>
      <c r="ED379" s="749">
        <f t="shared" si="1429"/>
        <v>0</v>
      </c>
      <c r="EE379" s="749">
        <f t="shared" si="1429"/>
        <v>0</v>
      </c>
      <c r="EF379" s="749">
        <f t="shared" si="1429"/>
        <v>0</v>
      </c>
      <c r="EG379" s="750">
        <f t="shared" si="1429"/>
        <v>0</v>
      </c>
      <c r="EH379" s="749">
        <f t="shared" si="1429"/>
        <v>0</v>
      </c>
      <c r="EI379" s="749">
        <f t="shared" si="1429"/>
        <v>0</v>
      </c>
      <c r="EJ379" s="752">
        <f t="shared" si="1429"/>
        <v>0</v>
      </c>
      <c r="EK379" s="749">
        <f t="shared" si="1429"/>
        <v>0</v>
      </c>
      <c r="EL379" s="749">
        <f t="shared" si="1429"/>
        <v>0</v>
      </c>
      <c r="EM379" s="749">
        <f t="shared" si="1429"/>
        <v>0</v>
      </c>
      <c r="EN379" s="750">
        <f t="shared" si="1429"/>
        <v>0</v>
      </c>
      <c r="EO379" s="749">
        <f t="shared" si="1429"/>
        <v>0</v>
      </c>
      <c r="EP379" s="749">
        <f t="shared" si="1429"/>
        <v>0</v>
      </c>
      <c r="EQ379" s="752">
        <f t="shared" si="1429"/>
        <v>0</v>
      </c>
    </row>
    <row r="380" spans="1:147" ht="10.199999999999999" customHeight="1">
      <c r="A380" s="92"/>
      <c r="B380" s="92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1"/>
      <c r="O380" s="727"/>
      <c r="P380" s="727"/>
      <c r="Q380" s="727"/>
      <c r="R380" s="728"/>
      <c r="S380" s="727"/>
      <c r="T380" s="727"/>
      <c r="U380" s="729"/>
      <c r="V380" s="727"/>
      <c r="W380" s="727"/>
      <c r="X380" s="727"/>
      <c r="Y380" s="728"/>
      <c r="Z380" s="727"/>
      <c r="AA380" s="727"/>
      <c r="AB380" s="729"/>
      <c r="AC380" s="727"/>
      <c r="AD380" s="727"/>
      <c r="AE380" s="727"/>
      <c r="AF380" s="728"/>
      <c r="AG380" s="727"/>
      <c r="AH380" s="727"/>
      <c r="AI380" s="729"/>
      <c r="AJ380" s="727"/>
      <c r="AK380" s="727"/>
      <c r="AL380" s="727"/>
      <c r="AM380" s="728"/>
      <c r="AN380" s="727"/>
      <c r="AO380" s="727"/>
      <c r="AP380" s="729"/>
      <c r="AQ380" s="727"/>
      <c r="AR380" s="727"/>
      <c r="AS380" s="727"/>
      <c r="AT380" s="728"/>
      <c r="AU380" s="727"/>
      <c r="AV380" s="727"/>
      <c r="AW380" s="729"/>
      <c r="AX380" s="727"/>
      <c r="AY380" s="727"/>
      <c r="AZ380" s="727"/>
      <c r="BA380" s="728"/>
      <c r="BB380" s="727"/>
      <c r="BC380" s="727"/>
      <c r="BD380" s="729"/>
      <c r="BE380" s="727"/>
      <c r="BF380" s="727"/>
      <c r="BG380" s="727"/>
      <c r="BH380" s="728"/>
      <c r="BI380" s="727"/>
      <c r="BJ380" s="727"/>
      <c r="BK380" s="729"/>
      <c r="BL380" s="727"/>
      <c r="BM380" s="727"/>
      <c r="BN380" s="727"/>
      <c r="BO380" s="728"/>
      <c r="BP380" s="727"/>
      <c r="BQ380" s="727"/>
      <c r="BR380" s="729"/>
      <c r="BS380" s="727"/>
      <c r="BT380" s="727"/>
      <c r="BU380" s="727"/>
      <c r="BV380" s="728"/>
      <c r="BW380" s="727"/>
      <c r="BX380" s="727"/>
      <c r="BY380" s="729"/>
      <c r="BZ380" s="727"/>
      <c r="CA380" s="727"/>
      <c r="CB380" s="727"/>
      <c r="CC380" s="728"/>
      <c r="CD380" s="727"/>
      <c r="CE380" s="727"/>
      <c r="CF380" s="729"/>
      <c r="CG380" s="727"/>
      <c r="CH380" s="727"/>
      <c r="CI380" s="727"/>
      <c r="CJ380" s="728"/>
      <c r="CK380" s="727"/>
      <c r="CL380" s="727"/>
      <c r="CM380" s="729"/>
      <c r="CN380" s="727"/>
      <c r="CO380" s="727"/>
      <c r="CP380" s="727"/>
      <c r="CQ380" s="728"/>
      <c r="CR380" s="727"/>
      <c r="CS380" s="727"/>
      <c r="CT380" s="729"/>
      <c r="CU380" s="727"/>
      <c r="CV380" s="727"/>
      <c r="CW380" s="727"/>
      <c r="CX380" s="728"/>
      <c r="CY380" s="727"/>
      <c r="CZ380" s="727"/>
      <c r="DA380" s="729"/>
      <c r="DB380" s="727"/>
      <c r="DC380" s="727"/>
      <c r="DD380" s="727"/>
      <c r="DE380" s="728"/>
      <c r="DF380" s="727"/>
      <c r="DG380" s="727"/>
      <c r="DH380" s="729"/>
      <c r="DI380" s="727"/>
      <c r="DJ380" s="727"/>
      <c r="DK380" s="727"/>
      <c r="DL380" s="728"/>
      <c r="DM380" s="727"/>
      <c r="DN380" s="727"/>
      <c r="DO380" s="729"/>
      <c r="DP380" s="727"/>
      <c r="DQ380" s="727"/>
      <c r="DR380" s="727"/>
      <c r="DS380" s="728"/>
      <c r="DT380" s="727"/>
      <c r="DU380" s="727"/>
      <c r="DV380" s="729"/>
      <c r="DW380" s="727"/>
      <c r="DX380" s="727"/>
      <c r="DY380" s="727"/>
      <c r="DZ380" s="728"/>
      <c r="EA380" s="727"/>
      <c r="EB380" s="727"/>
      <c r="EC380" s="729"/>
      <c r="ED380" s="727"/>
      <c r="EE380" s="727"/>
      <c r="EF380" s="727"/>
      <c r="EG380" s="728"/>
      <c r="EH380" s="727"/>
      <c r="EI380" s="727"/>
      <c r="EJ380" s="729"/>
      <c r="EK380" s="727"/>
      <c r="EL380" s="727"/>
      <c r="EM380" s="727"/>
      <c r="EN380" s="728"/>
      <c r="EO380" s="727"/>
      <c r="EP380" s="727"/>
      <c r="EQ380" s="729"/>
    </row>
    <row r="381" spans="1:147" ht="10.199999999999999" customHeight="1">
      <c r="A381" s="48"/>
      <c r="B381" s="48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3"/>
      <c r="O381" s="323"/>
      <c r="P381" s="323"/>
      <c r="Q381" s="323"/>
      <c r="R381" s="441"/>
      <c r="S381" s="323"/>
      <c r="T381" s="323"/>
      <c r="U381" s="375"/>
      <c r="V381" s="323"/>
      <c r="W381" s="323"/>
      <c r="X381" s="323"/>
      <c r="Y381" s="441"/>
      <c r="Z381" s="323"/>
      <c r="AA381" s="323"/>
      <c r="AB381" s="375"/>
      <c r="AC381" s="323"/>
      <c r="AD381" s="323"/>
      <c r="AE381" s="323"/>
      <c r="AF381" s="441"/>
      <c r="AG381" s="323"/>
      <c r="AH381" s="323"/>
      <c r="AI381" s="375"/>
      <c r="AJ381" s="323"/>
      <c r="AK381" s="323"/>
      <c r="AL381" s="323"/>
      <c r="AM381" s="441"/>
      <c r="AN381" s="323"/>
      <c r="AO381" s="323"/>
      <c r="AP381" s="375"/>
      <c r="AQ381" s="323"/>
      <c r="AR381" s="323"/>
      <c r="AS381" s="323"/>
      <c r="AT381" s="441"/>
      <c r="AU381" s="323"/>
      <c r="AV381" s="323"/>
      <c r="AW381" s="375"/>
      <c r="AX381" s="323"/>
      <c r="AY381" s="323"/>
      <c r="AZ381" s="323"/>
      <c r="BA381" s="441"/>
      <c r="BB381" s="323"/>
      <c r="BC381" s="323"/>
      <c r="BD381" s="375"/>
      <c r="BE381" s="323"/>
      <c r="BF381" s="323"/>
      <c r="BG381" s="323"/>
      <c r="BH381" s="441"/>
      <c r="BI381" s="323"/>
      <c r="BJ381" s="323"/>
      <c r="BK381" s="375"/>
      <c r="BL381" s="323"/>
      <c r="BM381" s="323"/>
      <c r="BN381" s="323"/>
      <c r="BO381" s="441"/>
      <c r="BP381" s="323"/>
      <c r="BQ381" s="323"/>
      <c r="BR381" s="375"/>
      <c r="BS381" s="323"/>
      <c r="BT381" s="323"/>
      <c r="BU381" s="323"/>
      <c r="BV381" s="441"/>
      <c r="BW381" s="323"/>
      <c r="BX381" s="323"/>
      <c r="BY381" s="375"/>
      <c r="BZ381" s="323"/>
      <c r="CA381" s="323"/>
      <c r="CB381" s="323"/>
      <c r="CC381" s="441"/>
      <c r="CD381" s="323"/>
      <c r="CE381" s="323"/>
      <c r="CF381" s="375"/>
      <c r="CG381" s="323"/>
      <c r="CH381" s="323"/>
      <c r="CI381" s="323"/>
      <c r="CJ381" s="441"/>
      <c r="CK381" s="323"/>
      <c r="CL381" s="323"/>
      <c r="CM381" s="375"/>
      <c r="CN381" s="323"/>
      <c r="CO381" s="323"/>
      <c r="CP381" s="323"/>
      <c r="CQ381" s="441"/>
      <c r="CR381" s="323"/>
      <c r="CS381" s="323"/>
      <c r="CT381" s="375"/>
      <c r="CU381" s="323"/>
      <c r="CV381" s="323"/>
      <c r="CW381" s="323"/>
      <c r="CX381" s="441"/>
      <c r="CY381" s="323"/>
      <c r="CZ381" s="323"/>
      <c r="DA381" s="375"/>
      <c r="DB381" s="323"/>
      <c r="DC381" s="323"/>
      <c r="DD381" s="323"/>
      <c r="DE381" s="441"/>
      <c r="DF381" s="323"/>
      <c r="DG381" s="323"/>
      <c r="DH381" s="375"/>
      <c r="DI381" s="323"/>
      <c r="DJ381" s="323"/>
      <c r="DK381" s="323"/>
      <c r="DL381" s="441"/>
      <c r="DM381" s="323"/>
      <c r="DN381" s="323"/>
      <c r="DO381" s="375"/>
      <c r="DP381" s="323"/>
      <c r="DQ381" s="323"/>
      <c r="DR381" s="323"/>
      <c r="DS381" s="441"/>
      <c r="DT381" s="323"/>
      <c r="DU381" s="323"/>
      <c r="DV381" s="375"/>
      <c r="DW381" s="323"/>
      <c r="DX381" s="323"/>
      <c r="DY381" s="323"/>
      <c r="DZ381" s="441"/>
      <c r="EA381" s="323"/>
      <c r="EB381" s="323"/>
      <c r="EC381" s="375"/>
      <c r="ED381" s="323"/>
      <c r="EE381" s="323"/>
      <c r="EF381" s="323"/>
      <c r="EG381" s="441"/>
      <c r="EH381" s="323"/>
      <c r="EI381" s="323"/>
      <c r="EJ381" s="375"/>
      <c r="EK381" s="323"/>
      <c r="EL381" s="323"/>
      <c r="EM381" s="323"/>
      <c r="EN381" s="441"/>
      <c r="EO381" s="323"/>
      <c r="EP381" s="323"/>
      <c r="EQ381" s="375"/>
    </row>
    <row r="382" spans="1:147" ht="10.199999999999999" customHeight="1">
      <c r="A382" s="178" t="s">
        <v>209</v>
      </c>
      <c r="B382" s="196"/>
      <c r="C382" s="200"/>
      <c r="D382" s="200"/>
      <c r="E382" s="200"/>
      <c r="F382" s="196"/>
      <c r="G382" s="196"/>
      <c r="H382" s="196"/>
      <c r="I382" s="196"/>
      <c r="J382" s="196"/>
      <c r="K382" s="196"/>
      <c r="L382" s="196"/>
      <c r="M382" s="196"/>
      <c r="N382" s="196"/>
      <c r="O382" s="486"/>
      <c r="P382" s="486"/>
      <c r="Q382" s="486"/>
      <c r="R382" s="487"/>
      <c r="S382" s="486"/>
      <c r="T382" s="486"/>
      <c r="U382" s="362"/>
      <c r="V382" s="486"/>
      <c r="W382" s="486"/>
      <c r="X382" s="486"/>
      <c r="Y382" s="487"/>
      <c r="Z382" s="486"/>
      <c r="AA382" s="486"/>
      <c r="AB382" s="362"/>
      <c r="AC382" s="486"/>
      <c r="AD382" s="486"/>
      <c r="AE382" s="486"/>
      <c r="AF382" s="487"/>
      <c r="AG382" s="486"/>
      <c r="AH382" s="486"/>
      <c r="AI382" s="362"/>
      <c r="AJ382" s="486"/>
      <c r="AK382" s="486"/>
      <c r="AL382" s="486"/>
      <c r="AM382" s="487"/>
      <c r="AN382" s="486"/>
      <c r="AO382" s="486"/>
      <c r="AP382" s="362"/>
      <c r="AQ382" s="486"/>
      <c r="AR382" s="486"/>
      <c r="AS382" s="486"/>
      <c r="AT382" s="487"/>
      <c r="AU382" s="486"/>
      <c r="AV382" s="486"/>
      <c r="AW382" s="362"/>
      <c r="AX382" s="486"/>
      <c r="AY382" s="486"/>
      <c r="AZ382" s="486"/>
      <c r="BA382" s="487"/>
      <c r="BB382" s="486"/>
      <c r="BC382" s="486"/>
      <c r="BD382" s="362"/>
      <c r="BE382" s="486"/>
      <c r="BF382" s="486"/>
      <c r="BG382" s="486"/>
      <c r="BH382" s="487"/>
      <c r="BI382" s="486"/>
      <c r="BJ382" s="486"/>
      <c r="BK382" s="362"/>
      <c r="BL382" s="486"/>
      <c r="BM382" s="486"/>
      <c r="BN382" s="486"/>
      <c r="BO382" s="487"/>
      <c r="BP382" s="486"/>
      <c r="BQ382" s="486"/>
      <c r="BR382" s="362"/>
      <c r="BS382" s="486"/>
      <c r="BT382" s="486"/>
      <c r="BU382" s="486"/>
      <c r="BV382" s="487"/>
      <c r="BW382" s="486"/>
      <c r="BX382" s="486"/>
      <c r="BY382" s="362"/>
      <c r="BZ382" s="486"/>
      <c r="CA382" s="486"/>
      <c r="CB382" s="486"/>
      <c r="CC382" s="487"/>
      <c r="CD382" s="486"/>
      <c r="CE382" s="486"/>
      <c r="CF382" s="362"/>
      <c r="CG382" s="486"/>
      <c r="CH382" s="486"/>
      <c r="CI382" s="486"/>
      <c r="CJ382" s="487"/>
      <c r="CK382" s="486"/>
      <c r="CL382" s="486"/>
      <c r="CM382" s="362"/>
      <c r="CN382" s="486"/>
      <c r="CO382" s="486"/>
      <c r="CP382" s="486"/>
      <c r="CQ382" s="487"/>
      <c r="CR382" s="486"/>
      <c r="CS382" s="486"/>
      <c r="CT382" s="362"/>
      <c r="CU382" s="486"/>
      <c r="CV382" s="486"/>
      <c r="CW382" s="486"/>
      <c r="CX382" s="487"/>
      <c r="CY382" s="486"/>
      <c r="CZ382" s="486"/>
      <c r="DA382" s="362"/>
      <c r="DB382" s="486"/>
      <c r="DC382" s="486"/>
      <c r="DD382" s="486"/>
      <c r="DE382" s="487"/>
      <c r="DF382" s="486"/>
      <c r="DG382" s="486"/>
      <c r="DH382" s="362"/>
      <c r="DI382" s="486"/>
      <c r="DJ382" s="486"/>
      <c r="DK382" s="486"/>
      <c r="DL382" s="487"/>
      <c r="DM382" s="486"/>
      <c r="DN382" s="486"/>
      <c r="DO382" s="362"/>
      <c r="DP382" s="486"/>
      <c r="DQ382" s="486"/>
      <c r="DR382" s="486"/>
      <c r="DS382" s="487"/>
      <c r="DT382" s="486"/>
      <c r="DU382" s="486"/>
      <c r="DV382" s="362"/>
      <c r="DW382" s="486"/>
      <c r="DX382" s="486"/>
      <c r="DY382" s="486"/>
      <c r="DZ382" s="487"/>
      <c r="EA382" s="486"/>
      <c r="EB382" s="486"/>
      <c r="EC382" s="362"/>
      <c r="ED382" s="486"/>
      <c r="EE382" s="486"/>
      <c r="EF382" s="486"/>
      <c r="EG382" s="487"/>
      <c r="EH382" s="486"/>
      <c r="EI382" s="486"/>
      <c r="EJ382" s="362"/>
      <c r="EK382" s="486"/>
      <c r="EL382" s="486"/>
      <c r="EM382" s="486"/>
      <c r="EN382" s="487"/>
      <c r="EO382" s="486"/>
      <c r="EP382" s="486"/>
      <c r="EQ382" s="362"/>
    </row>
    <row r="383" spans="1:147" ht="10.199999999999999" customHeight="1">
      <c r="A383" s="108" t="s">
        <v>569</v>
      </c>
      <c r="B383" s="47"/>
      <c r="C383" s="201">
        <f t="shared" ref="C383:M383" si="1430">1-C384</f>
        <v>0.55000000000000004</v>
      </c>
      <c r="D383" s="201">
        <f t="shared" si="1430"/>
        <v>0.6</v>
      </c>
      <c r="E383" s="201">
        <f t="shared" si="1430"/>
        <v>0.62</v>
      </c>
      <c r="F383" s="201">
        <f t="shared" si="1430"/>
        <v>0.6</v>
      </c>
      <c r="G383" s="201">
        <f t="shared" si="1430"/>
        <v>0.55000000000000004</v>
      </c>
      <c r="H383" s="201">
        <f t="shared" si="1430"/>
        <v>0.55000000000000004</v>
      </c>
      <c r="I383" s="201">
        <f t="shared" si="1430"/>
        <v>0.65</v>
      </c>
      <c r="J383" s="201">
        <f t="shared" si="1430"/>
        <v>0.55000000000000004</v>
      </c>
      <c r="K383" s="201">
        <f t="shared" si="1430"/>
        <v>0.55000000000000004</v>
      </c>
      <c r="L383" s="201">
        <f t="shared" si="1430"/>
        <v>0.49</v>
      </c>
      <c r="M383" s="201">
        <f t="shared" si="1430"/>
        <v>0.5</v>
      </c>
      <c r="N383" s="201">
        <f t="shared" ref="N383:BY383" si="1431">1-N384</f>
        <v>0.58594454096476301</v>
      </c>
      <c r="O383" s="201"/>
      <c r="P383" s="201"/>
      <c r="Q383" s="201"/>
      <c r="R383" s="716"/>
      <c r="S383" s="201"/>
      <c r="T383" s="201"/>
      <c r="U383" s="1297">
        <f t="shared" si="1431"/>
        <v>0.53353183179620522</v>
      </c>
      <c r="V383" s="201"/>
      <c r="W383" s="201"/>
      <c r="X383" s="201"/>
      <c r="Y383" s="716"/>
      <c r="Z383" s="201"/>
      <c r="AA383" s="201"/>
      <c r="AB383" s="1297">
        <f t="shared" si="1431"/>
        <v>0.55543847628705589</v>
      </c>
      <c r="AC383" s="201"/>
      <c r="AD383" s="201"/>
      <c r="AE383" s="201"/>
      <c r="AF383" s="716"/>
      <c r="AG383" s="201"/>
      <c r="AH383" s="201"/>
      <c r="AI383" s="1297">
        <f t="shared" si="1431"/>
        <v>0.51692500190127033</v>
      </c>
      <c r="AJ383" s="201"/>
      <c r="AK383" s="201"/>
      <c r="AL383" s="201"/>
      <c r="AM383" s="716"/>
      <c r="AN383" s="201"/>
      <c r="AO383" s="201"/>
      <c r="AP383" s="1297">
        <f t="shared" si="1431"/>
        <v>0.58001214225308406</v>
      </c>
      <c r="AQ383" s="201"/>
      <c r="AR383" s="201"/>
      <c r="AS383" s="201"/>
      <c r="AT383" s="716"/>
      <c r="AU383" s="201"/>
      <c r="AV383" s="201"/>
      <c r="AW383" s="1297">
        <f t="shared" si="1431"/>
        <v>0.56205077733540498</v>
      </c>
      <c r="AX383" s="201"/>
      <c r="AY383" s="201"/>
      <c r="AZ383" s="201"/>
      <c r="BA383" s="716"/>
      <c r="BB383" s="201"/>
      <c r="BC383" s="201"/>
      <c r="BD383" s="1297">
        <f t="shared" si="1431"/>
        <v>0.4922991602167901</v>
      </c>
      <c r="BE383" s="201"/>
      <c r="BF383" s="201"/>
      <c r="BG383" s="201"/>
      <c r="BH383" s="716"/>
      <c r="BI383" s="201"/>
      <c r="BJ383" s="201"/>
      <c r="BK383" s="1297">
        <f t="shared" si="1431"/>
        <v>0.541302756470739</v>
      </c>
      <c r="BL383" s="201"/>
      <c r="BM383" s="201"/>
      <c r="BN383" s="201"/>
      <c r="BO383" s="716"/>
      <c r="BP383" s="201"/>
      <c r="BQ383" s="201"/>
      <c r="BR383" s="1297">
        <f t="shared" si="1431"/>
        <v>0.59270888624196894</v>
      </c>
      <c r="BS383" s="201"/>
      <c r="BT383" s="201"/>
      <c r="BU383" s="201"/>
      <c r="BV383" s="716"/>
      <c r="BW383" s="201"/>
      <c r="BX383" s="201"/>
      <c r="BY383" s="1297">
        <f t="shared" si="1431"/>
        <v>0.55262538262302807</v>
      </c>
      <c r="BZ383" s="201"/>
      <c r="CA383" s="201"/>
      <c r="CB383" s="201"/>
      <c r="CC383" s="716"/>
      <c r="CD383" s="201"/>
      <c r="CE383" s="201"/>
      <c r="CF383" s="1297">
        <f t="shared" ref="CF383:DJ383" si="1432">1-CF384</f>
        <v>0.48544171505474476</v>
      </c>
      <c r="CG383" s="201"/>
      <c r="CH383" s="201"/>
      <c r="CI383" s="201"/>
      <c r="CJ383" s="716"/>
      <c r="CK383" s="201"/>
      <c r="CL383" s="201"/>
      <c r="CM383" s="1297">
        <f t="shared" si="1432"/>
        <v>0.53325145380031325</v>
      </c>
      <c r="CN383" s="201">
        <f t="shared" si="1432"/>
        <v>0.5434975315373094</v>
      </c>
      <c r="CO383" s="201">
        <f t="shared" si="1432"/>
        <v>0.53019936605639151</v>
      </c>
      <c r="CP383" s="201">
        <f t="shared" si="1432"/>
        <v>0.51564319586293972</v>
      </c>
      <c r="CQ383" s="716">
        <f t="shared" si="1432"/>
        <v>0.57626233162018781</v>
      </c>
      <c r="CR383" s="201">
        <f t="shared" si="1432"/>
        <v>0.53536225848266161</v>
      </c>
      <c r="CS383" s="201">
        <f t="shared" si="1432"/>
        <v>0.55197938992938367</v>
      </c>
      <c r="CT383" s="1297">
        <f t="shared" si="1432"/>
        <v>0.54493178105383722</v>
      </c>
      <c r="CU383" s="201">
        <f t="shared" si="1432"/>
        <v>0.51114912532094936</v>
      </c>
      <c r="CV383" s="201">
        <f t="shared" si="1432"/>
        <v>0.52196344360975844</v>
      </c>
      <c r="CW383" s="201">
        <f t="shared" si="1432"/>
        <v>0.52884648606978546</v>
      </c>
      <c r="CX383" s="716">
        <f t="shared" si="1432"/>
        <v>0.60628495552496942</v>
      </c>
      <c r="CY383" s="201">
        <f t="shared" si="1432"/>
        <v>0.51734346337272696</v>
      </c>
      <c r="CZ383" s="201">
        <f t="shared" si="1432"/>
        <v>0.57578052015705738</v>
      </c>
      <c r="DA383" s="1297">
        <f t="shared" si="1432"/>
        <v>0.55143489196533091</v>
      </c>
      <c r="DB383" s="201">
        <f t="shared" si="1432"/>
        <v>0.55397368533292801</v>
      </c>
      <c r="DC383" s="201">
        <f t="shared" si="1432"/>
        <v>0.54671065230629834</v>
      </c>
      <c r="DD383" s="201">
        <f t="shared" si="1432"/>
        <v>0.57718699345051827</v>
      </c>
      <c r="DE383" s="716">
        <f t="shared" si="1432"/>
        <v>0.48282068128136602</v>
      </c>
      <c r="DF383" s="201">
        <f t="shared" si="1432"/>
        <v>0.54993212276454728</v>
      </c>
      <c r="DG383" s="201">
        <f t="shared" si="1432"/>
        <v>0.56337915269683037</v>
      </c>
      <c r="DH383" s="1297">
        <f t="shared" si="1432"/>
        <v>0.56337915269683037</v>
      </c>
      <c r="DI383" s="201">
        <f t="shared" si="1432"/>
        <v>0.59079899466238694</v>
      </c>
      <c r="DJ383" s="201">
        <f t="shared" si="1432"/>
        <v>0.53260308134997003</v>
      </c>
      <c r="DK383" s="333">
        <f>DO383</f>
        <v>0.6</v>
      </c>
      <c r="DL383" s="433">
        <f>DO383</f>
        <v>0.6</v>
      </c>
      <c r="DM383" s="201">
        <f t="shared" ref="DM383" si="1433">1-DM384</f>
        <v>0.55332844549335747</v>
      </c>
      <c r="DN383" s="333">
        <f>DO383</f>
        <v>0.6</v>
      </c>
      <c r="DO383" s="383">
        <v>0.6</v>
      </c>
      <c r="DP383" s="333">
        <f>DV383</f>
        <v>0.6</v>
      </c>
      <c r="DQ383" s="333">
        <f>DV383</f>
        <v>0.6</v>
      </c>
      <c r="DR383" s="333">
        <f>DV383</f>
        <v>0.6</v>
      </c>
      <c r="DS383" s="433">
        <f>DV383</f>
        <v>0.6</v>
      </c>
      <c r="DT383" s="333">
        <f>DV383</f>
        <v>0.6</v>
      </c>
      <c r="DU383" s="333">
        <f>DV383</f>
        <v>0.6</v>
      </c>
      <c r="DV383" s="383">
        <v>0.6</v>
      </c>
      <c r="DW383" s="333">
        <f>EC383</f>
        <v>0.6</v>
      </c>
      <c r="DX383" s="333">
        <f>EC383</f>
        <v>0.6</v>
      </c>
      <c r="DY383" s="333">
        <f>EC383</f>
        <v>0.6</v>
      </c>
      <c r="DZ383" s="433">
        <f>EC383</f>
        <v>0.6</v>
      </c>
      <c r="EA383" s="333">
        <f>EC383</f>
        <v>0.6</v>
      </c>
      <c r="EB383" s="333">
        <f>EC383</f>
        <v>0.6</v>
      </c>
      <c r="EC383" s="383">
        <v>0.6</v>
      </c>
      <c r="ED383" s="333">
        <f>EJ383</f>
        <v>0.6</v>
      </c>
      <c r="EE383" s="333">
        <f>EJ383</f>
        <v>0.6</v>
      </c>
      <c r="EF383" s="333">
        <f>EJ383</f>
        <v>0.6</v>
      </c>
      <c r="EG383" s="433">
        <f>EJ383</f>
        <v>0.6</v>
      </c>
      <c r="EH383" s="333">
        <f>EJ383</f>
        <v>0.6</v>
      </c>
      <c r="EI383" s="333">
        <f>EJ383</f>
        <v>0.6</v>
      </c>
      <c r="EJ383" s="383">
        <v>0.6</v>
      </c>
      <c r="EK383" s="333">
        <f>EQ383</f>
        <v>0.6</v>
      </c>
      <c r="EL383" s="333">
        <f>EQ383</f>
        <v>0.6</v>
      </c>
      <c r="EM383" s="333">
        <f>EQ383</f>
        <v>0.6</v>
      </c>
      <c r="EN383" s="433">
        <f>EQ383</f>
        <v>0.6</v>
      </c>
      <c r="EO383" s="333">
        <f>EQ383</f>
        <v>0.6</v>
      </c>
      <c r="EP383" s="333">
        <f>EQ383</f>
        <v>0.6</v>
      </c>
      <c r="EQ383" s="383">
        <v>0.6</v>
      </c>
    </row>
    <row r="384" spans="1:147" ht="10.199999999999999" customHeight="1">
      <c r="A384" s="108" t="s">
        <v>570</v>
      </c>
      <c r="B384" s="43"/>
      <c r="C384" s="201">
        <v>0.45</v>
      </c>
      <c r="D384" s="201">
        <v>0.4</v>
      </c>
      <c r="E384" s="201">
        <v>0.38</v>
      </c>
      <c r="F384" s="201">
        <v>0.4</v>
      </c>
      <c r="G384" s="201">
        <v>0.45</v>
      </c>
      <c r="H384" s="201">
        <v>0.45</v>
      </c>
      <c r="I384" s="201">
        <v>0.35</v>
      </c>
      <c r="J384" s="201">
        <v>0.45</v>
      </c>
      <c r="K384" s="201">
        <v>0.45</v>
      </c>
      <c r="L384" s="201">
        <v>0.51</v>
      </c>
      <c r="M384" s="201">
        <v>0.5</v>
      </c>
      <c r="N384" s="201">
        <f t="shared" ref="N384:CM384" si="1434">N385/N395</f>
        <v>0.41405545903523694</v>
      </c>
      <c r="O384" s="201"/>
      <c r="P384" s="201"/>
      <c r="Q384" s="201"/>
      <c r="R384" s="716"/>
      <c r="S384" s="201"/>
      <c r="T384" s="201"/>
      <c r="U384" s="1297">
        <f t="shared" si="1434"/>
        <v>0.46646816820379483</v>
      </c>
      <c r="V384" s="201"/>
      <c r="W384" s="201"/>
      <c r="X384" s="201"/>
      <c r="Y384" s="716"/>
      <c r="Z384" s="201"/>
      <c r="AA384" s="201"/>
      <c r="AB384" s="1297">
        <f t="shared" si="1434"/>
        <v>0.44456152371294405</v>
      </c>
      <c r="AC384" s="201"/>
      <c r="AD384" s="201"/>
      <c r="AE384" s="201"/>
      <c r="AF384" s="716"/>
      <c r="AG384" s="201"/>
      <c r="AH384" s="201"/>
      <c r="AI384" s="1297">
        <f t="shared" si="1434"/>
        <v>0.48307499809872972</v>
      </c>
      <c r="AJ384" s="201"/>
      <c r="AK384" s="201"/>
      <c r="AL384" s="201"/>
      <c r="AM384" s="716"/>
      <c r="AN384" s="201"/>
      <c r="AO384" s="201"/>
      <c r="AP384" s="1297">
        <f t="shared" si="1434"/>
        <v>0.41998785774691594</v>
      </c>
      <c r="AQ384" s="201"/>
      <c r="AR384" s="201"/>
      <c r="AS384" s="201"/>
      <c r="AT384" s="716"/>
      <c r="AU384" s="201"/>
      <c r="AV384" s="201"/>
      <c r="AW384" s="1297">
        <f t="shared" si="1434"/>
        <v>0.43794922266459502</v>
      </c>
      <c r="AX384" s="201"/>
      <c r="AY384" s="201"/>
      <c r="AZ384" s="201"/>
      <c r="BA384" s="716"/>
      <c r="BB384" s="201"/>
      <c r="BC384" s="201"/>
      <c r="BD384" s="1297">
        <f t="shared" si="1434"/>
        <v>0.5077008397832099</v>
      </c>
      <c r="BE384" s="201"/>
      <c r="BF384" s="201"/>
      <c r="BG384" s="201"/>
      <c r="BH384" s="716"/>
      <c r="BI384" s="201"/>
      <c r="BJ384" s="201"/>
      <c r="BK384" s="1297">
        <f t="shared" si="1434"/>
        <v>0.458697243529261</v>
      </c>
      <c r="BL384" s="201"/>
      <c r="BM384" s="201"/>
      <c r="BN384" s="201"/>
      <c r="BO384" s="716"/>
      <c r="BP384" s="201"/>
      <c r="BQ384" s="201"/>
      <c r="BR384" s="1297">
        <f t="shared" si="1434"/>
        <v>0.40729111375803106</v>
      </c>
      <c r="BS384" s="201"/>
      <c r="BT384" s="201"/>
      <c r="BU384" s="201"/>
      <c r="BV384" s="716"/>
      <c r="BW384" s="201"/>
      <c r="BX384" s="201"/>
      <c r="BY384" s="1297">
        <f t="shared" si="1434"/>
        <v>0.44737461737697198</v>
      </c>
      <c r="BZ384" s="201"/>
      <c r="CA384" s="201"/>
      <c r="CB384" s="201"/>
      <c r="CC384" s="716"/>
      <c r="CD384" s="201"/>
      <c r="CE384" s="201"/>
      <c r="CF384" s="1297">
        <f t="shared" si="1434"/>
        <v>0.51455828494525524</v>
      </c>
      <c r="CG384" s="201"/>
      <c r="CH384" s="201"/>
      <c r="CI384" s="201"/>
      <c r="CJ384" s="716"/>
      <c r="CK384" s="201"/>
      <c r="CL384" s="201"/>
      <c r="CM384" s="1297">
        <f t="shared" si="1434"/>
        <v>0.4667485461996867</v>
      </c>
      <c r="CN384" s="201">
        <f t="shared" ref="CN384:CT384" si="1435">CN385/CN395</f>
        <v>0.4565024684626906</v>
      </c>
      <c r="CO384" s="201">
        <f t="shared" si="1435"/>
        <v>0.46980063394360855</v>
      </c>
      <c r="CP384" s="201">
        <f t="shared" si="1435"/>
        <v>0.48435680413706023</v>
      </c>
      <c r="CQ384" s="716">
        <f t="shared" si="1435"/>
        <v>0.42373766837981225</v>
      </c>
      <c r="CR384" s="201">
        <f t="shared" si="1435"/>
        <v>0.46463774151733839</v>
      </c>
      <c r="CS384" s="201">
        <f t="shared" si="1435"/>
        <v>0.44802061007061633</v>
      </c>
      <c r="CT384" s="1297">
        <f t="shared" si="1435"/>
        <v>0.45506821894616278</v>
      </c>
      <c r="CU384" s="201">
        <f t="shared" ref="CU384:DE384" si="1436">CU385/CU395</f>
        <v>0.48885087467905064</v>
      </c>
      <c r="CV384" s="201">
        <f t="shared" si="1436"/>
        <v>0.47803655639024151</v>
      </c>
      <c r="CW384" s="201">
        <f t="shared" si="1436"/>
        <v>0.47115351393021448</v>
      </c>
      <c r="CX384" s="716">
        <f t="shared" si="1436"/>
        <v>0.39371504447503064</v>
      </c>
      <c r="CY384" s="201">
        <f t="shared" si="1436"/>
        <v>0.48265653662727309</v>
      </c>
      <c r="CZ384" s="201">
        <f t="shared" si="1436"/>
        <v>0.42421947984294267</v>
      </c>
      <c r="DA384" s="1297">
        <f t="shared" si="1436"/>
        <v>0.44856510803466915</v>
      </c>
      <c r="DB384" s="201">
        <f t="shared" ref="DB384:DD384" si="1437">DB385/DB395</f>
        <v>0.44602631466707204</v>
      </c>
      <c r="DC384" s="201">
        <f t="shared" si="1437"/>
        <v>0.45328934769370172</v>
      </c>
      <c r="DD384" s="201">
        <f t="shared" si="1437"/>
        <v>0.42281300654948178</v>
      </c>
      <c r="DE384" s="716">
        <f t="shared" si="1436"/>
        <v>0.51717931871863398</v>
      </c>
      <c r="DF384" s="201">
        <f t="shared" ref="DF384" si="1438">DF385/DF395</f>
        <v>0.45006787723545266</v>
      </c>
      <c r="DG384" s="201">
        <f>DH384</f>
        <v>0.43662084730316963</v>
      </c>
      <c r="DH384" s="1297">
        <f t="shared" ref="DH384:DJ384" si="1439">DH385/DH395</f>
        <v>0.43662084730316963</v>
      </c>
      <c r="DI384" s="201">
        <f t="shared" si="1439"/>
        <v>0.40920100533761306</v>
      </c>
      <c r="DJ384" s="201">
        <f t="shared" si="1439"/>
        <v>0.46739691865003002</v>
      </c>
      <c r="DK384" s="333">
        <f>DO384</f>
        <v>0.4</v>
      </c>
      <c r="DL384" s="433">
        <f>DO384</f>
        <v>0.4</v>
      </c>
      <c r="DM384" s="201">
        <f t="shared" ref="DM384" si="1440">DM385/DM395</f>
        <v>0.44667155450664253</v>
      </c>
      <c r="DN384" s="333">
        <f>DO384</f>
        <v>0.4</v>
      </c>
      <c r="DO384" s="384">
        <f>1-DO383</f>
        <v>0.4</v>
      </c>
      <c r="DP384" s="333">
        <f>DV384</f>
        <v>0.4</v>
      </c>
      <c r="DQ384" s="333">
        <f>DV384</f>
        <v>0.4</v>
      </c>
      <c r="DR384" s="333">
        <f>DV384</f>
        <v>0.4</v>
      </c>
      <c r="DS384" s="433">
        <f>DV384</f>
        <v>0.4</v>
      </c>
      <c r="DT384" s="333">
        <f>DV384</f>
        <v>0.4</v>
      </c>
      <c r="DU384" s="333">
        <f>DV384</f>
        <v>0.4</v>
      </c>
      <c r="DV384" s="384">
        <f>1-DV383</f>
        <v>0.4</v>
      </c>
      <c r="DW384" s="333">
        <f>EC384</f>
        <v>0.4</v>
      </c>
      <c r="DX384" s="333">
        <f>EC384</f>
        <v>0.4</v>
      </c>
      <c r="DY384" s="333">
        <f>EC384</f>
        <v>0.4</v>
      </c>
      <c r="DZ384" s="433">
        <f>EC384</f>
        <v>0.4</v>
      </c>
      <c r="EA384" s="333">
        <f>EC384</f>
        <v>0.4</v>
      </c>
      <c r="EB384" s="333">
        <f>EC384</f>
        <v>0.4</v>
      </c>
      <c r="EC384" s="384">
        <f>1-EC383</f>
        <v>0.4</v>
      </c>
      <c r="ED384" s="333">
        <f>EJ384</f>
        <v>0.4</v>
      </c>
      <c r="EE384" s="333">
        <f>EJ384</f>
        <v>0.4</v>
      </c>
      <c r="EF384" s="333">
        <f>EJ384</f>
        <v>0.4</v>
      </c>
      <c r="EG384" s="433">
        <f>EJ384</f>
        <v>0.4</v>
      </c>
      <c r="EH384" s="333">
        <f>EJ384</f>
        <v>0.4</v>
      </c>
      <c r="EI384" s="333">
        <f>EJ384</f>
        <v>0.4</v>
      </c>
      <c r="EJ384" s="384">
        <f>1-EJ383</f>
        <v>0.4</v>
      </c>
      <c r="EK384" s="333">
        <f>EQ384</f>
        <v>0.4</v>
      </c>
      <c r="EL384" s="333">
        <f>EQ384</f>
        <v>0.4</v>
      </c>
      <c r="EM384" s="333">
        <f>EQ384</f>
        <v>0.4</v>
      </c>
      <c r="EN384" s="433">
        <f>EQ384</f>
        <v>0.4</v>
      </c>
      <c r="EO384" s="333">
        <f>EQ384</f>
        <v>0.4</v>
      </c>
      <c r="EP384" s="333">
        <f>EQ384</f>
        <v>0.4</v>
      </c>
      <c r="EQ384" s="384">
        <f>1-EQ383</f>
        <v>0.4</v>
      </c>
    </row>
    <row r="385" spans="1:147" ht="10.199999999999999" customHeight="1">
      <c r="A385" s="108" t="s">
        <v>452</v>
      </c>
      <c r="B385" s="43"/>
      <c r="C385" s="64">
        <f t="shared" ref="C385:M385" si="1441">C384*C430</f>
        <v>7675.0061891640462</v>
      </c>
      <c r="D385" s="110">
        <f t="shared" si="1441"/>
        <v>6675.5436919119638</v>
      </c>
      <c r="E385" s="110">
        <f t="shared" si="1441"/>
        <v>6707.1647290640412</v>
      </c>
      <c r="F385" s="110">
        <f t="shared" si="1441"/>
        <v>7393.7135000000017</v>
      </c>
      <c r="G385" s="110">
        <f t="shared" si="1441"/>
        <v>9636.3516374999981</v>
      </c>
      <c r="H385" s="110">
        <f t="shared" si="1441"/>
        <v>11165.80840607531</v>
      </c>
      <c r="I385" s="110">
        <f t="shared" si="1441"/>
        <v>8900.8003762384196</v>
      </c>
      <c r="J385" s="110">
        <f t="shared" si="1441"/>
        <v>13115.837741953186</v>
      </c>
      <c r="K385" s="110">
        <f t="shared" si="1441"/>
        <v>13639.313023826366</v>
      </c>
      <c r="L385" s="64">
        <f t="shared" si="1441"/>
        <v>18726.973050000001</v>
      </c>
      <c r="M385" s="110">
        <f t="shared" si="1441"/>
        <v>20282.893499999998</v>
      </c>
      <c r="N385" s="67">
        <f t="shared" ref="N385:AW385" si="1442">N386</f>
        <v>19260</v>
      </c>
      <c r="O385" s="67"/>
      <c r="P385" s="197"/>
      <c r="Q385" s="67"/>
      <c r="R385" s="687"/>
      <c r="S385" s="67"/>
      <c r="T385" s="67"/>
      <c r="U385" s="339">
        <f t="shared" si="1442"/>
        <v>23500</v>
      </c>
      <c r="V385" s="67"/>
      <c r="W385" s="197"/>
      <c r="X385" s="67"/>
      <c r="Y385" s="687"/>
      <c r="Z385" s="67"/>
      <c r="AA385" s="67"/>
      <c r="AB385" s="339">
        <f t="shared" si="1442"/>
        <v>24300</v>
      </c>
      <c r="AC385" s="67"/>
      <c r="AD385" s="197"/>
      <c r="AE385" s="67"/>
      <c r="AF385" s="687"/>
      <c r="AG385" s="67"/>
      <c r="AH385" s="67"/>
      <c r="AI385" s="339">
        <f t="shared" si="1442"/>
        <v>25550</v>
      </c>
      <c r="AJ385" s="67"/>
      <c r="AK385" s="197"/>
      <c r="AL385" s="67"/>
      <c r="AM385" s="687"/>
      <c r="AN385" s="67"/>
      <c r="AO385" s="67"/>
      <c r="AP385" s="339">
        <f t="shared" si="1442"/>
        <v>23500</v>
      </c>
      <c r="AQ385" s="67"/>
      <c r="AR385" s="197"/>
      <c r="AS385" s="67"/>
      <c r="AT385" s="687"/>
      <c r="AU385" s="67"/>
      <c r="AV385" s="67"/>
      <c r="AW385" s="339">
        <f t="shared" si="1442"/>
        <v>25300</v>
      </c>
      <c r="AX385" s="67"/>
      <c r="AY385" s="197"/>
      <c r="AZ385" s="67"/>
      <c r="BA385" s="687"/>
      <c r="BB385" s="67"/>
      <c r="BC385" s="67"/>
      <c r="BD385" s="339">
        <f>+AW385</f>
        <v>25300</v>
      </c>
      <c r="BE385" s="67"/>
      <c r="BF385" s="197"/>
      <c r="BG385" s="67"/>
      <c r="BH385" s="687"/>
      <c r="BI385" s="67"/>
      <c r="BJ385" s="67"/>
      <c r="BK385" s="339">
        <f t="shared" ref="BK385:CW385" si="1443">BK386</f>
        <v>25400</v>
      </c>
      <c r="BL385" s="67"/>
      <c r="BM385" s="197"/>
      <c r="BN385" s="67"/>
      <c r="BO385" s="687"/>
      <c r="BP385" s="67"/>
      <c r="BQ385" s="67"/>
      <c r="BR385" s="339">
        <f t="shared" si="1443"/>
        <v>25500</v>
      </c>
      <c r="BS385" s="67"/>
      <c r="BT385" s="197"/>
      <c r="BU385" s="67"/>
      <c r="BV385" s="687"/>
      <c r="BW385" s="67"/>
      <c r="BX385" s="67"/>
      <c r="BY385" s="339">
        <f t="shared" si="1443"/>
        <v>17100</v>
      </c>
      <c r="BZ385" s="67"/>
      <c r="CA385" s="197"/>
      <c r="CB385" s="67"/>
      <c r="CC385" s="687"/>
      <c r="CD385" s="67"/>
      <c r="CE385" s="67"/>
      <c r="CF385" s="339">
        <f t="shared" si="1443"/>
        <v>20900</v>
      </c>
      <c r="CG385" s="67"/>
      <c r="CH385" s="197"/>
      <c r="CI385" s="67"/>
      <c r="CJ385" s="687"/>
      <c r="CK385" s="67"/>
      <c r="CL385" s="67"/>
      <c r="CM385" s="339">
        <f t="shared" si="1443"/>
        <v>20300</v>
      </c>
      <c r="CN385" s="67">
        <f t="shared" si="1443"/>
        <v>3700</v>
      </c>
      <c r="CO385" s="197">
        <f>CR385-CN385</f>
        <v>6000</v>
      </c>
      <c r="CP385" s="67">
        <f t="shared" si="1443"/>
        <v>5500</v>
      </c>
      <c r="CQ385" s="687">
        <f t="shared" si="1443"/>
        <v>7200</v>
      </c>
      <c r="CR385" s="67">
        <f t="shared" ref="CR385" si="1444">CR386</f>
        <v>9700</v>
      </c>
      <c r="CS385" s="67">
        <f t="shared" si="1443"/>
        <v>12700</v>
      </c>
      <c r="CT385" s="339">
        <f>CT386</f>
        <v>22400</v>
      </c>
      <c r="CU385" s="67">
        <f t="shared" si="1443"/>
        <v>4500</v>
      </c>
      <c r="CV385" s="197">
        <f>CY385-CU385</f>
        <v>5900</v>
      </c>
      <c r="CW385" s="67">
        <f t="shared" si="1443"/>
        <v>5600</v>
      </c>
      <c r="CX385" s="687">
        <f>CZ385-CW385</f>
        <v>7200</v>
      </c>
      <c r="CY385" s="67">
        <f t="shared" ref="CY385:CZ385" si="1445">CY386</f>
        <v>10400</v>
      </c>
      <c r="CZ385" s="67">
        <f t="shared" si="1445"/>
        <v>12800</v>
      </c>
      <c r="DA385" s="339">
        <f>DA386</f>
        <v>23200</v>
      </c>
      <c r="DB385" s="67">
        <f t="shared" ref="DB385" si="1446">DB386</f>
        <v>4000</v>
      </c>
      <c r="DC385" s="197">
        <f>DF385-DB385</f>
        <v>5100</v>
      </c>
      <c r="DD385" s="67">
        <f t="shared" ref="DD385" si="1447">DD386</f>
        <v>5700</v>
      </c>
      <c r="DE385" s="688">
        <f>DG385-DD385</f>
        <v>10560.956439314465</v>
      </c>
      <c r="DF385" s="197">
        <f t="shared" ref="DF385" si="1448">DF386</f>
        <v>9100</v>
      </c>
      <c r="DG385" s="197">
        <f t="shared" ref="DG385:DZ385" si="1449">DG273*DG384</f>
        <v>16260.956439314465</v>
      </c>
      <c r="DH385" s="339">
        <f>DH386</f>
        <v>23600</v>
      </c>
      <c r="DI385" s="67">
        <f t="shared" ref="DI385" si="1450">DI386</f>
        <v>3400</v>
      </c>
      <c r="DJ385" s="197">
        <f>DM385-DI385</f>
        <v>7600</v>
      </c>
      <c r="DK385" s="322">
        <f t="shared" si="1449"/>
        <v>6723.1668246429872</v>
      </c>
      <c r="DL385" s="430">
        <f t="shared" si="1449"/>
        <v>9269.7027594464871</v>
      </c>
      <c r="DM385" s="2023">
        <f t="shared" ref="DM385" si="1451">DM386</f>
        <v>11000</v>
      </c>
      <c r="DN385" s="322">
        <f t="shared" si="1449"/>
        <v>16005.188639996355</v>
      </c>
      <c r="DO385" s="385">
        <f t="shared" si="1449"/>
        <v>27442.228224928265</v>
      </c>
      <c r="DP385" s="322">
        <f t="shared" si="1449"/>
        <v>7633.1290688139843</v>
      </c>
      <c r="DQ385" s="322">
        <f t="shared" si="1449"/>
        <v>8057.8146400984915</v>
      </c>
      <c r="DR385" s="322">
        <f t="shared" si="1449"/>
        <v>8078.0958124776625</v>
      </c>
      <c r="DS385" s="430">
        <f t="shared" si="1449"/>
        <v>7916.0182727311467</v>
      </c>
      <c r="DT385" s="322">
        <f t="shared" si="1449"/>
        <v>15690.943708912477</v>
      </c>
      <c r="DU385" s="322">
        <f t="shared" si="1449"/>
        <v>15994.114085208808</v>
      </c>
      <c r="DV385" s="385">
        <f t="shared" si="1449"/>
        <v>31685.057794121283</v>
      </c>
      <c r="DW385" s="322">
        <f t="shared" si="1449"/>
        <v>8370.7771426547915</v>
      </c>
      <c r="DX385" s="322">
        <f t="shared" si="1449"/>
        <v>8864.7828180905108</v>
      </c>
      <c r="DY385" s="322">
        <f t="shared" si="1449"/>
        <v>8886.4950524139658</v>
      </c>
      <c r="DZ385" s="430">
        <f t="shared" si="1449"/>
        <v>8889.7417167209296</v>
      </c>
      <c r="EA385" s="322">
        <f t="shared" ref="EA385:EQ385" si="1452">EA273*EA384</f>
        <v>17235.5599607453</v>
      </c>
      <c r="EB385" s="322">
        <f t="shared" si="1452"/>
        <v>17776.236769134895</v>
      </c>
      <c r="EC385" s="385">
        <f t="shared" si="1452"/>
        <v>35011.796729880196</v>
      </c>
      <c r="ED385" s="322">
        <f t="shared" si="1452"/>
        <v>9196.4232058254693</v>
      </c>
      <c r="EE385" s="322">
        <f t="shared" si="1452"/>
        <v>9332.3880544653712</v>
      </c>
      <c r="EF385" s="322">
        <f t="shared" si="1452"/>
        <v>9355.6364297293294</v>
      </c>
      <c r="EG385" s="430">
        <f t="shared" si="1452"/>
        <v>9353.5601750648257</v>
      </c>
      <c r="EH385" s="322">
        <f t="shared" si="1452"/>
        <v>18528.811260290837</v>
      </c>
      <c r="EI385" s="322">
        <f t="shared" si="1452"/>
        <v>18709.19660479415</v>
      </c>
      <c r="EJ385" s="385">
        <f t="shared" si="1452"/>
        <v>37238.00786508499</v>
      </c>
      <c r="EK385" s="322">
        <f t="shared" si="1452"/>
        <v>9555.4548764592673</v>
      </c>
      <c r="EL385" s="322">
        <f t="shared" si="1452"/>
        <v>9701.7116722967621</v>
      </c>
      <c r="EM385" s="322">
        <f t="shared" si="1452"/>
        <v>9726.6090921559189</v>
      </c>
      <c r="EN385" s="430">
        <f t="shared" si="1452"/>
        <v>9715.1158882813234</v>
      </c>
      <c r="EO385" s="322">
        <f t="shared" si="1452"/>
        <v>19257.166548756028</v>
      </c>
      <c r="EP385" s="322">
        <f t="shared" si="1452"/>
        <v>19441.724980437237</v>
      </c>
      <c r="EQ385" s="385">
        <f t="shared" si="1452"/>
        <v>38698.891529193272</v>
      </c>
    </row>
    <row r="386" spans="1:147" ht="10.199999999999999" customHeight="1">
      <c r="A386" s="43" t="s">
        <v>303</v>
      </c>
      <c r="B386" s="43"/>
      <c r="C386" s="133">
        <v>8100</v>
      </c>
      <c r="D386" s="133">
        <v>8200</v>
      </c>
      <c r="E386" s="133">
        <v>9100</v>
      </c>
      <c r="F386" s="133">
        <v>8500</v>
      </c>
      <c r="G386" s="133">
        <v>9500</v>
      </c>
      <c r="H386" s="133">
        <v>11700</v>
      </c>
      <c r="I386" s="133">
        <v>14100</v>
      </c>
      <c r="J386" s="133">
        <v>14060</v>
      </c>
      <c r="K386" s="133">
        <v>13975</v>
      </c>
      <c r="L386" s="133">
        <v>14970</v>
      </c>
      <c r="M386" s="133">
        <v>13375</v>
      </c>
      <c r="N386" s="197">
        <v>19260</v>
      </c>
      <c r="O386" s="197"/>
      <c r="P386" s="197"/>
      <c r="Q386" s="197"/>
      <c r="R386" s="688"/>
      <c r="S386" s="197"/>
      <c r="T386" s="197"/>
      <c r="U386" s="1278">
        <v>23500</v>
      </c>
      <c r="V386" s="197"/>
      <c r="W386" s="197"/>
      <c r="X386" s="197"/>
      <c r="Y386" s="688"/>
      <c r="Z386" s="197"/>
      <c r="AA386" s="197"/>
      <c r="AB386" s="1278">
        <v>24300</v>
      </c>
      <c r="AC386" s="197"/>
      <c r="AD386" s="197"/>
      <c r="AE386" s="197"/>
      <c r="AF386" s="688"/>
      <c r="AG386" s="197"/>
      <c r="AH386" s="197"/>
      <c r="AI386" s="1278">
        <v>25550</v>
      </c>
      <c r="AJ386" s="197"/>
      <c r="AK386" s="197"/>
      <c r="AL386" s="197"/>
      <c r="AM386" s="688"/>
      <c r="AN386" s="197"/>
      <c r="AO386" s="197"/>
      <c r="AP386" s="1278">
        <v>23500</v>
      </c>
      <c r="AQ386" s="197"/>
      <c r="AR386" s="197"/>
      <c r="AS386" s="197"/>
      <c r="AT386" s="688"/>
      <c r="AU386" s="197"/>
      <c r="AV386" s="197"/>
      <c r="AW386" s="1278">
        <v>25300</v>
      </c>
      <c r="AX386" s="197"/>
      <c r="AY386" s="197"/>
      <c r="AZ386" s="197"/>
      <c r="BA386" s="688"/>
      <c r="BB386" s="197"/>
      <c r="BC386" s="197"/>
      <c r="BD386" s="1278">
        <f>+AW386</f>
        <v>25300</v>
      </c>
      <c r="BE386" s="197"/>
      <c r="BF386" s="197"/>
      <c r="BG386" s="197"/>
      <c r="BH386" s="688"/>
      <c r="BI386" s="197"/>
      <c r="BJ386" s="197"/>
      <c r="BK386" s="1278">
        <v>25400</v>
      </c>
      <c r="BL386" s="197"/>
      <c r="BM386" s="197"/>
      <c r="BN386" s="197"/>
      <c r="BO386" s="688"/>
      <c r="BP386" s="197"/>
      <c r="BQ386" s="197"/>
      <c r="BR386" s="1278">
        <v>25500</v>
      </c>
      <c r="BS386" s="197"/>
      <c r="BT386" s="197"/>
      <c r="BU386" s="197"/>
      <c r="BV386" s="688"/>
      <c r="BW386" s="197"/>
      <c r="BX386" s="197"/>
      <c r="BY386" s="1278">
        <v>17100</v>
      </c>
      <c r="BZ386" s="197"/>
      <c r="CA386" s="197"/>
      <c r="CB386" s="197"/>
      <c r="CC386" s="688"/>
      <c r="CD386" s="197"/>
      <c r="CE386" s="197"/>
      <c r="CF386" s="1278">
        <v>20900</v>
      </c>
      <c r="CG386" s="197"/>
      <c r="CH386" s="197"/>
      <c r="CI386" s="197"/>
      <c r="CJ386" s="688"/>
      <c r="CK386" s="197"/>
      <c r="CL386" s="197"/>
      <c r="CM386" s="1278">
        <v>20300</v>
      </c>
      <c r="CN386" s="197">
        <v>3700</v>
      </c>
      <c r="CO386" s="197">
        <f>CR386-CN386</f>
        <v>6000</v>
      </c>
      <c r="CP386" s="197">
        <f>15200-CN386-CO386</f>
        <v>5500</v>
      </c>
      <c r="CQ386" s="688">
        <f>CS386-CP386</f>
        <v>7200</v>
      </c>
      <c r="CR386" s="197">
        <v>9700</v>
      </c>
      <c r="CS386" s="197">
        <f>CT386-CR386</f>
        <v>12700</v>
      </c>
      <c r="CT386" s="1278">
        <v>22400</v>
      </c>
      <c r="CU386" s="197">
        <v>4500</v>
      </c>
      <c r="CV386" s="197">
        <f>CY386-CU386</f>
        <v>5900</v>
      </c>
      <c r="CW386" s="197">
        <f>16000-CU386-CV386</f>
        <v>5600</v>
      </c>
      <c r="CX386" s="688">
        <f>CZ386-CW386</f>
        <v>7200</v>
      </c>
      <c r="CY386" s="197">
        <v>10400</v>
      </c>
      <c r="CZ386" s="197">
        <f>DA386-CY386</f>
        <v>12800</v>
      </c>
      <c r="DA386" s="1278">
        <v>23200</v>
      </c>
      <c r="DB386" s="197">
        <v>4000</v>
      </c>
      <c r="DC386" s="197">
        <f>DF386-DB386</f>
        <v>5100</v>
      </c>
      <c r="DD386" s="197">
        <f>14800-DB386-DC386</f>
        <v>5700</v>
      </c>
      <c r="DE386" s="688">
        <f>DG386-DD386</f>
        <v>8800</v>
      </c>
      <c r="DF386" s="1802">
        <v>9100</v>
      </c>
      <c r="DG386" s="197">
        <f>DH386-DF386</f>
        <v>14500</v>
      </c>
      <c r="DH386" s="1278">
        <v>23600</v>
      </c>
      <c r="DI386" s="197">
        <v>3400</v>
      </c>
      <c r="DJ386" s="197">
        <f>DM386-DI386</f>
        <v>7600</v>
      </c>
      <c r="DK386" s="767">
        <v>6700</v>
      </c>
      <c r="DL386" s="430">
        <f>DN386-DK386</f>
        <v>9000</v>
      </c>
      <c r="DM386" s="2023">
        <v>11000</v>
      </c>
      <c r="DN386" s="322">
        <f>DO386-DM386</f>
        <v>15700</v>
      </c>
      <c r="DO386" s="386">
        <v>26700</v>
      </c>
      <c r="DP386" s="322">
        <f>DT386/2</f>
        <v>6325</v>
      </c>
      <c r="DQ386" s="322">
        <f>DT386-DP386</f>
        <v>6325</v>
      </c>
      <c r="DR386" s="322">
        <f>DU386/2</f>
        <v>6325</v>
      </c>
      <c r="DS386" s="430">
        <f>DU386-DR386</f>
        <v>6325</v>
      </c>
      <c r="DT386" s="322">
        <f>DV386/2</f>
        <v>12650</v>
      </c>
      <c r="DU386" s="322">
        <f>DV386-DT386</f>
        <v>12650</v>
      </c>
      <c r="DV386" s="386">
        <v>25300</v>
      </c>
      <c r="DW386" s="322">
        <f>EA386/2</f>
        <v>4850</v>
      </c>
      <c r="DX386" s="322">
        <f>EA386-DW386</f>
        <v>4850</v>
      </c>
      <c r="DY386" s="322">
        <f>EB386/2</f>
        <v>4850</v>
      </c>
      <c r="DZ386" s="430">
        <f>EB386-DY386</f>
        <v>4850</v>
      </c>
      <c r="EA386" s="322">
        <f>EC386/2</f>
        <v>9700</v>
      </c>
      <c r="EB386" s="322">
        <f>EC386-EA386</f>
        <v>9700</v>
      </c>
      <c r="EC386" s="386">
        <v>19400</v>
      </c>
      <c r="ED386" s="322">
        <f>EH386/2</f>
        <v>2350</v>
      </c>
      <c r="EE386" s="322">
        <f>EH386-ED386</f>
        <v>2350</v>
      </c>
      <c r="EF386" s="322">
        <f>EI386/2</f>
        <v>2350</v>
      </c>
      <c r="EG386" s="430">
        <f>EI386-EF386</f>
        <v>2350</v>
      </c>
      <c r="EH386" s="322">
        <f>EJ386/2</f>
        <v>4700</v>
      </c>
      <c r="EI386" s="322">
        <f>EJ386-EH386</f>
        <v>4700</v>
      </c>
      <c r="EJ386" s="386">
        <v>9400</v>
      </c>
      <c r="EK386" s="322">
        <f>EO386/2</f>
        <v>1050</v>
      </c>
      <c r="EL386" s="322">
        <f>EO386-EK386</f>
        <v>1050</v>
      </c>
      <c r="EM386" s="322">
        <f>EP386/2</f>
        <v>1050</v>
      </c>
      <c r="EN386" s="430">
        <f>EP386-EM386</f>
        <v>1050</v>
      </c>
      <c r="EO386" s="322">
        <f>EQ386/2</f>
        <v>2100</v>
      </c>
      <c r="EP386" s="322">
        <f>EQ386-EO386</f>
        <v>2100</v>
      </c>
      <c r="EQ386" s="386">
        <v>4200</v>
      </c>
    </row>
    <row r="387" spans="1:147" ht="10.199999999999999" customHeight="1">
      <c r="A387" s="108" t="s">
        <v>453</v>
      </c>
      <c r="B387" s="43"/>
      <c r="C387" s="77">
        <f t="shared" ref="C387:CS387" si="1453">C386/C385</f>
        <v>1.0553737417744342</v>
      </c>
      <c r="D387" s="77">
        <f t="shared" si="1453"/>
        <v>1.2283643667758561</v>
      </c>
      <c r="E387" s="77">
        <f t="shared" si="1453"/>
        <v>1.3567580889384045</v>
      </c>
      <c r="F387" s="77">
        <f t="shared" si="1453"/>
        <v>1.1496252864003993</v>
      </c>
      <c r="G387" s="77">
        <f t="shared" si="1453"/>
        <v>0.98585028415013587</v>
      </c>
      <c r="H387" s="77">
        <f t="shared" si="1453"/>
        <v>1.0478417302623639</v>
      </c>
      <c r="I387" s="77">
        <f t="shared" si="1453"/>
        <v>1.5841272024975828</v>
      </c>
      <c r="J387" s="77">
        <f t="shared" si="1453"/>
        <v>1.0719864240944941</v>
      </c>
      <c r="K387" s="77">
        <f t="shared" si="1453"/>
        <v>1.0246117216891515</v>
      </c>
      <c r="L387" s="77">
        <f t="shared" si="1453"/>
        <v>0.7993817238926394</v>
      </c>
      <c r="M387" s="77">
        <f t="shared" si="1453"/>
        <v>0.6594226804967448</v>
      </c>
      <c r="N387" s="77">
        <f t="shared" si="1453"/>
        <v>1</v>
      </c>
      <c r="O387" s="77"/>
      <c r="P387" s="223"/>
      <c r="Q387" s="223"/>
      <c r="R387" s="717"/>
      <c r="S387" s="223"/>
      <c r="T387" s="223"/>
      <c r="U387" s="1270">
        <f t="shared" si="1453"/>
        <v>1</v>
      </c>
      <c r="V387" s="77"/>
      <c r="W387" s="223"/>
      <c r="X387" s="223"/>
      <c r="Y387" s="717"/>
      <c r="Z387" s="223"/>
      <c r="AA387" s="223"/>
      <c r="AB387" s="1270">
        <f t="shared" si="1453"/>
        <v>1</v>
      </c>
      <c r="AC387" s="77"/>
      <c r="AD387" s="223"/>
      <c r="AE387" s="223"/>
      <c r="AF387" s="717"/>
      <c r="AG387" s="223"/>
      <c r="AH387" s="223"/>
      <c r="AI387" s="1270">
        <f t="shared" si="1453"/>
        <v>1</v>
      </c>
      <c r="AJ387" s="77"/>
      <c r="AK387" s="223"/>
      <c r="AL387" s="223"/>
      <c r="AM387" s="717"/>
      <c r="AN387" s="223"/>
      <c r="AO387" s="223"/>
      <c r="AP387" s="1270">
        <f t="shared" si="1453"/>
        <v>1</v>
      </c>
      <c r="AQ387" s="77"/>
      <c r="AR387" s="223"/>
      <c r="AS387" s="223"/>
      <c r="AT387" s="717"/>
      <c r="AU387" s="223"/>
      <c r="AV387" s="223"/>
      <c r="AW387" s="1270">
        <f t="shared" si="1453"/>
        <v>1</v>
      </c>
      <c r="AX387" s="77"/>
      <c r="AY387" s="223"/>
      <c r="AZ387" s="223"/>
      <c r="BA387" s="717"/>
      <c r="BB387" s="223"/>
      <c r="BC387" s="223"/>
      <c r="BD387" s="1270">
        <f t="shared" si="1453"/>
        <v>1</v>
      </c>
      <c r="BE387" s="77"/>
      <c r="BF387" s="223"/>
      <c r="BG387" s="223"/>
      <c r="BH387" s="717"/>
      <c r="BI387" s="223"/>
      <c r="BJ387" s="223"/>
      <c r="BK387" s="1270">
        <f t="shared" si="1453"/>
        <v>1</v>
      </c>
      <c r="BL387" s="77"/>
      <c r="BM387" s="223"/>
      <c r="BN387" s="223"/>
      <c r="BO387" s="717"/>
      <c r="BP387" s="223"/>
      <c r="BQ387" s="223"/>
      <c r="BR387" s="1270">
        <f t="shared" si="1453"/>
        <v>1</v>
      </c>
      <c r="BS387" s="77"/>
      <c r="BT387" s="223"/>
      <c r="BU387" s="223"/>
      <c r="BV387" s="717"/>
      <c r="BW387" s="223"/>
      <c r="BX387" s="223"/>
      <c r="BY387" s="1270">
        <f t="shared" si="1453"/>
        <v>1</v>
      </c>
      <c r="BZ387" s="77"/>
      <c r="CA387" s="223"/>
      <c r="CB387" s="223"/>
      <c r="CC387" s="717"/>
      <c r="CD387" s="223"/>
      <c r="CE387" s="223"/>
      <c r="CF387" s="1270">
        <f t="shared" si="1453"/>
        <v>1</v>
      </c>
      <c r="CG387" s="77"/>
      <c r="CH387" s="223"/>
      <c r="CI387" s="223"/>
      <c r="CJ387" s="717"/>
      <c r="CK387" s="223"/>
      <c r="CL387" s="223"/>
      <c r="CM387" s="1270">
        <f t="shared" si="1453"/>
        <v>1</v>
      </c>
      <c r="CN387" s="77">
        <f t="shared" si="1453"/>
        <v>1</v>
      </c>
      <c r="CO387" s="223">
        <f t="shared" si="1453"/>
        <v>1</v>
      </c>
      <c r="CP387" s="223">
        <f t="shared" si="1453"/>
        <v>1</v>
      </c>
      <c r="CQ387" s="717">
        <f t="shared" si="1453"/>
        <v>1</v>
      </c>
      <c r="CR387" s="223">
        <f t="shared" ref="CR387" si="1454">CR386/CR385</f>
        <v>1</v>
      </c>
      <c r="CS387" s="223">
        <f t="shared" si="1453"/>
        <v>1</v>
      </c>
      <c r="CT387" s="1270">
        <f t="shared" ref="CT387:CZ387" si="1455">CT386/CT385</f>
        <v>1</v>
      </c>
      <c r="CU387" s="77">
        <f t="shared" si="1455"/>
        <v>1</v>
      </c>
      <c r="CV387" s="223">
        <f t="shared" si="1455"/>
        <v>1</v>
      </c>
      <c r="CW387" s="223">
        <f t="shared" si="1455"/>
        <v>1</v>
      </c>
      <c r="CX387" s="717">
        <f t="shared" si="1455"/>
        <v>1</v>
      </c>
      <c r="CY387" s="223">
        <f t="shared" si="1455"/>
        <v>1</v>
      </c>
      <c r="CZ387" s="223">
        <f t="shared" si="1455"/>
        <v>1</v>
      </c>
      <c r="DA387" s="1270">
        <f t="shared" ref="DA387:DC387" si="1456">DA386/DA385</f>
        <v>1</v>
      </c>
      <c r="DB387" s="77">
        <f t="shared" si="1456"/>
        <v>1</v>
      </c>
      <c r="DC387" s="223">
        <f t="shared" si="1456"/>
        <v>1</v>
      </c>
      <c r="DD387" s="223">
        <f t="shared" ref="DD387:DG387" si="1457">DD386/DD385</f>
        <v>1</v>
      </c>
      <c r="DE387" s="717">
        <f t="shared" si="1457"/>
        <v>0.83325786358145681</v>
      </c>
      <c r="DF387" s="223">
        <f t="shared" si="1457"/>
        <v>1</v>
      </c>
      <c r="DG387" s="223">
        <f t="shared" si="1457"/>
        <v>0.89170646598271663</v>
      </c>
      <c r="DH387" s="1270">
        <f t="shared" ref="DH387:DN387" si="1458">DH386/DH385</f>
        <v>1</v>
      </c>
      <c r="DI387" s="77">
        <f t="shared" si="1458"/>
        <v>1</v>
      </c>
      <c r="DJ387" s="223">
        <f t="shared" si="1458"/>
        <v>1</v>
      </c>
      <c r="DK387" s="321">
        <f t="shared" si="1458"/>
        <v>0.99655417971214522</v>
      </c>
      <c r="DL387" s="444">
        <f t="shared" si="1458"/>
        <v>0.97090491826486658</v>
      </c>
      <c r="DM387" s="274">
        <f t="shared" si="1458"/>
        <v>1</v>
      </c>
      <c r="DN387" s="321">
        <f t="shared" si="1458"/>
        <v>0.98093189359644906</v>
      </c>
      <c r="DO387" s="387">
        <f t="shared" ref="DO387:DU387" si="1459">DO386/DO385</f>
        <v>0.97295306274531923</v>
      </c>
      <c r="DP387" s="321">
        <f t="shared" si="1459"/>
        <v>0.82862479370897912</v>
      </c>
      <c r="DQ387" s="321">
        <f t="shared" si="1459"/>
        <v>0.78495228328095279</v>
      </c>
      <c r="DR387" s="321">
        <f t="shared" si="1459"/>
        <v>0.78298155243841261</v>
      </c>
      <c r="DS387" s="444">
        <f t="shared" si="1459"/>
        <v>0.79901280948127207</v>
      </c>
      <c r="DT387" s="321">
        <f t="shared" si="1459"/>
        <v>0.80619752608090633</v>
      </c>
      <c r="DU387" s="321">
        <f t="shared" si="1459"/>
        <v>0.79091595399451287</v>
      </c>
      <c r="DV387" s="387">
        <f t="shared" ref="DV387:EB387" si="1460">DV386/DV385</f>
        <v>0.79848363112956222</v>
      </c>
      <c r="DW387" s="321">
        <f t="shared" si="1460"/>
        <v>0.57939662200370357</v>
      </c>
      <c r="DX387" s="321">
        <f t="shared" si="1460"/>
        <v>0.54710872217901652</v>
      </c>
      <c r="DY387" s="321">
        <f t="shared" si="1460"/>
        <v>0.54577197999817995</v>
      </c>
      <c r="DZ387" s="444">
        <f t="shared" si="1460"/>
        <v>0.54557265605113336</v>
      </c>
      <c r="EA387" s="321">
        <f t="shared" si="1460"/>
        <v>0.56278995414666833</v>
      </c>
      <c r="EB387" s="321">
        <f t="shared" si="1460"/>
        <v>0.54567229982232424</v>
      </c>
      <c r="EC387" s="387">
        <f t="shared" ref="EC387:EI387" si="1461">EC386/EC385</f>
        <v>0.55409895555127042</v>
      </c>
      <c r="ED387" s="321">
        <f t="shared" si="1461"/>
        <v>0.25553412967243544</v>
      </c>
      <c r="EE387" s="321">
        <f t="shared" si="1461"/>
        <v>0.25181121769530035</v>
      </c>
      <c r="EF387" s="321">
        <f t="shared" si="1461"/>
        <v>0.25118547708121963</v>
      </c>
      <c r="EG387" s="444">
        <f t="shared" si="1461"/>
        <v>0.25124123392767</v>
      </c>
      <c r="EH387" s="321">
        <f t="shared" si="1461"/>
        <v>0.25365901427646292</v>
      </c>
      <c r="EI387" s="321">
        <f t="shared" si="1461"/>
        <v>0.25121335241063453</v>
      </c>
      <c r="EJ387" s="387">
        <f t="shared" ref="EJ387:EP387" si="1462">EJ386/EJ385</f>
        <v>0.25243025980489159</v>
      </c>
      <c r="EK387" s="321">
        <f t="shared" si="1462"/>
        <v>0.10988487869758776</v>
      </c>
      <c r="EL387" s="321">
        <f t="shared" si="1462"/>
        <v>0.10822832459536753</v>
      </c>
      <c r="EM387" s="321">
        <f t="shared" si="1462"/>
        <v>0.10795129012090952</v>
      </c>
      <c r="EN387" s="444">
        <f t="shared" si="1462"/>
        <v>0.10807899896145787</v>
      </c>
      <c r="EO387" s="321">
        <f t="shared" si="1462"/>
        <v>0.10905031094180652</v>
      </c>
      <c r="EP387" s="321">
        <f t="shared" si="1462"/>
        <v>0.10801510679289383</v>
      </c>
      <c r="EQ387" s="387">
        <f>EQ386/EQ385</f>
        <v>0.10853024037734123</v>
      </c>
    </row>
    <row r="388" spans="1:147" ht="10.199999999999999" customHeight="1">
      <c r="A388" s="108"/>
      <c r="B388" s="43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321"/>
      <c r="P388" s="321"/>
      <c r="Q388" s="321"/>
      <c r="R388" s="444"/>
      <c r="S388" s="321"/>
      <c r="T388" s="321"/>
      <c r="U388" s="343"/>
      <c r="V388" s="321"/>
      <c r="W388" s="321"/>
      <c r="X388" s="321"/>
      <c r="Y388" s="444"/>
      <c r="Z388" s="321"/>
      <c r="AA388" s="321"/>
      <c r="AB388" s="343"/>
      <c r="AC388" s="321"/>
      <c r="AD388" s="321"/>
      <c r="AE388" s="321"/>
      <c r="AF388" s="444"/>
      <c r="AG388" s="321"/>
      <c r="AH388" s="321"/>
      <c r="AI388" s="343"/>
      <c r="AJ388" s="321"/>
      <c r="AK388" s="321"/>
      <c r="AL388" s="321"/>
      <c r="AM388" s="444"/>
      <c r="AN388" s="321"/>
      <c r="AO388" s="321"/>
      <c r="AP388" s="343"/>
      <c r="AQ388" s="321"/>
      <c r="AR388" s="321"/>
      <c r="AS388" s="321"/>
      <c r="AT388" s="444"/>
      <c r="AU388" s="321"/>
      <c r="AV388" s="321"/>
      <c r="AW388" s="343"/>
      <c r="AX388" s="321"/>
      <c r="AY388" s="321"/>
      <c r="AZ388" s="321"/>
      <c r="BA388" s="444"/>
      <c r="BB388" s="321"/>
      <c r="BC388" s="321"/>
      <c r="BD388" s="343"/>
      <c r="BE388" s="321"/>
      <c r="BF388" s="321"/>
      <c r="BG388" s="321"/>
      <c r="BH388" s="444"/>
      <c r="BI388" s="321"/>
      <c r="BJ388" s="321"/>
      <c r="BK388" s="343"/>
      <c r="BL388" s="321"/>
      <c r="BM388" s="321"/>
      <c r="BN388" s="321"/>
      <c r="BO388" s="444"/>
      <c r="BP388" s="321"/>
      <c r="BQ388" s="321"/>
      <c r="BR388" s="343"/>
      <c r="BS388" s="321"/>
      <c r="BT388" s="321"/>
      <c r="BU388" s="321"/>
      <c r="BV388" s="444"/>
      <c r="BW388" s="321"/>
      <c r="BX388" s="321"/>
      <c r="BY388" s="343"/>
      <c r="BZ388" s="321"/>
      <c r="CA388" s="321"/>
      <c r="CB388" s="321"/>
      <c r="CC388" s="444"/>
      <c r="CD388" s="321"/>
      <c r="CE388" s="321"/>
      <c r="CF388" s="343"/>
      <c r="CG388" s="321"/>
      <c r="CH388" s="321"/>
      <c r="CI388" s="321"/>
      <c r="CJ388" s="444"/>
      <c r="CK388" s="321"/>
      <c r="CL388" s="321"/>
      <c r="CM388" s="343"/>
      <c r="CN388" s="321"/>
      <c r="CO388" s="321"/>
      <c r="CP388" s="321"/>
      <c r="CQ388" s="444"/>
      <c r="CR388" s="321"/>
      <c r="CS388" s="321"/>
      <c r="CT388" s="343"/>
      <c r="CU388" s="321"/>
      <c r="CV388" s="321"/>
      <c r="CW388" s="321"/>
      <c r="CX388" s="444"/>
      <c r="CY388" s="321"/>
      <c r="CZ388" s="321"/>
      <c r="DA388" s="343"/>
      <c r="DB388" s="321"/>
      <c r="DC388" s="321"/>
      <c r="DD388" s="321"/>
      <c r="DE388" s="444"/>
      <c r="DF388" s="321"/>
      <c r="DG388" s="321"/>
      <c r="DH388" s="343"/>
      <c r="DI388" s="321"/>
      <c r="DJ388" s="321"/>
      <c r="DK388" s="321"/>
      <c r="DL388" s="444"/>
      <c r="DM388" s="274"/>
      <c r="DN388" s="321"/>
      <c r="DO388" s="343"/>
      <c r="DP388" s="321"/>
      <c r="DQ388" s="321"/>
      <c r="DR388" s="321"/>
      <c r="DS388" s="444"/>
      <c r="DT388" s="321"/>
      <c r="DU388" s="321"/>
      <c r="DV388" s="343"/>
      <c r="DW388" s="321"/>
      <c r="DX388" s="321"/>
      <c r="DY388" s="321"/>
      <c r="DZ388" s="444"/>
      <c r="EA388" s="321"/>
      <c r="EB388" s="321"/>
      <c r="EC388" s="343"/>
      <c r="ED388" s="321"/>
      <c r="EE388" s="321"/>
      <c r="EF388" s="321"/>
      <c r="EG388" s="444"/>
      <c r="EH388" s="321"/>
      <c r="EI388" s="321"/>
      <c r="EJ388" s="343"/>
      <c r="EK388" s="321"/>
      <c r="EL388" s="321"/>
      <c r="EM388" s="321"/>
      <c r="EN388" s="444"/>
      <c r="EO388" s="321"/>
      <c r="EP388" s="321"/>
      <c r="EQ388" s="343"/>
    </row>
    <row r="389" spans="1:147" ht="10.199999999999999" customHeight="1">
      <c r="A389" s="108" t="s">
        <v>559</v>
      </c>
      <c r="B389" s="43"/>
      <c r="C389" s="64">
        <f t="shared" ref="C389:CM389" si="1463">+C386/C400</f>
        <v>8140.8373974659162</v>
      </c>
      <c r="D389" s="64">
        <f t="shared" si="1463"/>
        <v>8197.9213345070293</v>
      </c>
      <c r="E389" s="64">
        <f t="shared" si="1463"/>
        <v>10120.011980485719</v>
      </c>
      <c r="F389" s="64">
        <f t="shared" si="1463"/>
        <v>9039.9435413613937</v>
      </c>
      <c r="G389" s="64">
        <f t="shared" si="1463"/>
        <v>9196.1976944159214</v>
      </c>
      <c r="H389" s="64">
        <f t="shared" si="1463"/>
        <v>10566.449885961518</v>
      </c>
      <c r="I389" s="64">
        <f t="shared" si="1463"/>
        <v>13803.338437042175</v>
      </c>
      <c r="J389" s="64">
        <f t="shared" si="1463"/>
        <v>12370.178972968706</v>
      </c>
      <c r="K389" s="64">
        <f t="shared" si="1463"/>
        <v>11120.05005871502</v>
      </c>
      <c r="L389" s="64">
        <f t="shared" si="1463"/>
        <v>11127.417827260244</v>
      </c>
      <c r="M389" s="64">
        <f t="shared" si="1463"/>
        <v>9910.5981734564812</v>
      </c>
      <c r="N389" s="80">
        <f t="shared" si="1463"/>
        <v>14161.764705882351</v>
      </c>
      <c r="O389" s="80"/>
      <c r="P389" s="197"/>
      <c r="Q389" s="80"/>
      <c r="R389" s="709"/>
      <c r="S389" s="80"/>
      <c r="T389" s="176"/>
      <c r="U389" s="1311">
        <f t="shared" si="1463"/>
        <v>17153.284671532845</v>
      </c>
      <c r="V389" s="80"/>
      <c r="W389" s="197"/>
      <c r="X389" s="80"/>
      <c r="Y389" s="709"/>
      <c r="Z389" s="80"/>
      <c r="AA389" s="176"/>
      <c r="AB389" s="1311">
        <f t="shared" si="1463"/>
        <v>18000</v>
      </c>
      <c r="AC389" s="80"/>
      <c r="AD389" s="197"/>
      <c r="AE389" s="80"/>
      <c r="AF389" s="709"/>
      <c r="AG389" s="80"/>
      <c r="AH389" s="176"/>
      <c r="AI389" s="1311">
        <f t="shared" si="1463"/>
        <v>19067.164179104475</v>
      </c>
      <c r="AJ389" s="80"/>
      <c r="AK389" s="197"/>
      <c r="AL389" s="80"/>
      <c r="AM389" s="709"/>
      <c r="AN389" s="80"/>
      <c r="AO389" s="176"/>
      <c r="AP389" s="1311">
        <f t="shared" si="1463"/>
        <v>17803.030303030304</v>
      </c>
      <c r="AQ389" s="80"/>
      <c r="AR389" s="197"/>
      <c r="AS389" s="80"/>
      <c r="AT389" s="709"/>
      <c r="AU389" s="80"/>
      <c r="AV389" s="176"/>
      <c r="AW389" s="1311">
        <f t="shared" si="1463"/>
        <v>19612.403100775195</v>
      </c>
      <c r="AX389" s="80"/>
      <c r="AY389" s="197"/>
      <c r="AZ389" s="80"/>
      <c r="BA389" s="709"/>
      <c r="BB389" s="80"/>
      <c r="BC389" s="176"/>
      <c r="BD389" s="1311">
        <f t="shared" si="1463"/>
        <v>19612.403100775195</v>
      </c>
      <c r="BE389" s="80"/>
      <c r="BF389" s="197"/>
      <c r="BG389" s="80"/>
      <c r="BH389" s="709"/>
      <c r="BI389" s="80"/>
      <c r="BJ389" s="176"/>
      <c r="BK389" s="1311">
        <f t="shared" si="1463"/>
        <v>20483.870967741936</v>
      </c>
      <c r="BL389" s="80"/>
      <c r="BM389" s="197"/>
      <c r="BN389" s="80"/>
      <c r="BO389" s="709"/>
      <c r="BP389" s="80"/>
      <c r="BQ389" s="176"/>
      <c r="BR389" s="1311">
        <f t="shared" si="1463"/>
        <v>21250</v>
      </c>
      <c r="BS389" s="80"/>
      <c r="BT389" s="197"/>
      <c r="BU389" s="80"/>
      <c r="BV389" s="709"/>
      <c r="BW389" s="80"/>
      <c r="BX389" s="176"/>
      <c r="BY389" s="1311">
        <f t="shared" si="1463"/>
        <v>14369.747899159665</v>
      </c>
      <c r="BZ389" s="80"/>
      <c r="CA389" s="197"/>
      <c r="CB389" s="80"/>
      <c r="CC389" s="709"/>
      <c r="CD389" s="80"/>
      <c r="CE389" s="176"/>
      <c r="CF389" s="1311">
        <f t="shared" si="1463"/>
        <v>17563.025210084033</v>
      </c>
      <c r="CG389" s="80"/>
      <c r="CH389" s="197"/>
      <c r="CI389" s="80"/>
      <c r="CJ389" s="709"/>
      <c r="CK389" s="80"/>
      <c r="CL389" s="176"/>
      <c r="CM389" s="1311">
        <f t="shared" si="1463"/>
        <v>16639.344262295082</v>
      </c>
      <c r="CN389" s="80">
        <f>+CN386/CN400</f>
        <v>3032.7868852459019</v>
      </c>
      <c r="CO389" s="197">
        <f t="shared" ref="CO389:CO390" si="1464">CR389-CN389</f>
        <v>4950.7522094043052</v>
      </c>
      <c r="CP389" s="80">
        <f>+CP386/CP400</f>
        <v>4661.016949152543</v>
      </c>
      <c r="CQ389" s="709">
        <f>CS389-CP389</f>
        <v>5983.3025840558803</v>
      </c>
      <c r="CR389" s="80">
        <f>+CR386/CR400</f>
        <v>7983.5390946502066</v>
      </c>
      <c r="CS389" s="176">
        <f>CT389-CR389</f>
        <v>10644.319533208423</v>
      </c>
      <c r="CT389" s="1311">
        <f>+CT386/CT400</f>
        <v>18627.85862785863</v>
      </c>
      <c r="CU389" s="80">
        <f>+CU386/CU400</f>
        <v>3658.5365853658536</v>
      </c>
      <c r="CV389" s="197">
        <f t="shared" ref="CV389:CV390" si="1465">CY389-CU389</f>
        <v>4901.1341965271513</v>
      </c>
      <c r="CW389" s="80">
        <f>+CW386/CW400</f>
        <v>4666.666666666667</v>
      </c>
      <c r="CX389" s="709">
        <f>CZ389-CW389</f>
        <v>5947.2162704485936</v>
      </c>
      <c r="CY389" s="80">
        <f>+CY386/CY400</f>
        <v>8559.6707818930045</v>
      </c>
      <c r="CZ389" s="176">
        <f>DA389-CY389</f>
        <v>10613.882937115261</v>
      </c>
      <c r="DA389" s="1311">
        <f>+DA386/DA400</f>
        <v>19173.553719008265</v>
      </c>
      <c r="DB389" s="80">
        <f>+DB386/DB400</f>
        <v>3361.3445378151264</v>
      </c>
      <c r="DC389" s="197">
        <f t="shared" ref="DC389:DC390" si="1466">DF389-DB389</f>
        <v>4350.5198689645349</v>
      </c>
      <c r="DD389" s="80">
        <f>+DD386/DD400</f>
        <v>4830.5084745762715</v>
      </c>
      <c r="DE389" s="709">
        <f t="shared" ref="DE389:DG389" si="1467">+DE393/DE400</f>
        <v>8774.4947392304693</v>
      </c>
      <c r="DF389" s="176">
        <f>+DF386/DF400</f>
        <v>7711.8644067796613</v>
      </c>
      <c r="DG389" s="176">
        <f t="shared" si="1467"/>
        <v>13638.393460223944</v>
      </c>
      <c r="DH389" s="339">
        <f t="shared" ref="DH389:DN389" si="1468">+DH393/DH400</f>
        <v>19873.684210526317</v>
      </c>
      <c r="DI389" s="80">
        <f t="shared" si="1468"/>
        <v>2809.9173553719011</v>
      </c>
      <c r="DJ389" s="176">
        <f t="shared" si="1468"/>
        <v>6280.9917355371899</v>
      </c>
      <c r="DK389" s="324">
        <f t="shared" si="1468"/>
        <v>5698.0981892485324</v>
      </c>
      <c r="DL389" s="445">
        <f t="shared" si="1468"/>
        <v>7611.3507553265108</v>
      </c>
      <c r="DM389" s="1760">
        <f>+DM386/DM400</f>
        <v>9090.9090909090919</v>
      </c>
      <c r="DN389" s="324">
        <f t="shared" si="1468"/>
        <v>13348.570855695803</v>
      </c>
      <c r="DO389" s="385">
        <f t="shared" ref="DO389:DU389" si="1469">+DO393/DO400</f>
        <v>22797.939760269117</v>
      </c>
      <c r="DP389" s="324">
        <f t="shared" si="1469"/>
        <v>6249.3317845544207</v>
      </c>
      <c r="DQ389" s="324">
        <f t="shared" si="1469"/>
        <v>6608.8418353175693</v>
      </c>
      <c r="DR389" s="324">
        <f t="shared" si="1469"/>
        <v>6626.011503232111</v>
      </c>
      <c r="DS389" s="445">
        <f t="shared" si="1469"/>
        <v>6488.8020958413881</v>
      </c>
      <c r="DT389" s="324">
        <f t="shared" si="1469"/>
        <v>12858.163335066718</v>
      </c>
      <c r="DU389" s="324">
        <f t="shared" si="1469"/>
        <v>13114.8121828442</v>
      </c>
      <c r="DV389" s="385">
        <f t="shared" ref="DV389:EB389" si="1470">+DV393/DV400</f>
        <v>25972.972970906209</v>
      </c>
      <c r="DW389" s="324">
        <f t="shared" si="1470"/>
        <v>6932.9987073222155</v>
      </c>
      <c r="DX389" s="324">
        <f t="shared" si="1470"/>
        <v>7348.0482184465454</v>
      </c>
      <c r="DY389" s="324">
        <f t="shared" si="1470"/>
        <v>7366.2904244604897</v>
      </c>
      <c r="DZ389" s="445">
        <f t="shared" si="1470"/>
        <v>7369.0182114103209</v>
      </c>
      <c r="EA389" s="324">
        <f t="shared" si="1470"/>
        <v>14281.044627904334</v>
      </c>
      <c r="EB389" s="324">
        <f t="shared" si="1470"/>
        <v>14735.3086357803</v>
      </c>
      <c r="EC389" s="385">
        <f t="shared" ref="EC389:EI389" si="1471">+EC393/EC400</f>
        <v>29016.351950081309</v>
      </c>
      <c r="ED389" s="324">
        <f t="shared" si="1471"/>
        <v>7553.8737141618913</v>
      </c>
      <c r="EE389" s="324">
        <f t="shared" si="1471"/>
        <v>7665.3198275930108</v>
      </c>
      <c r="EF389" s="324">
        <f t="shared" si="1471"/>
        <v>7684.3757915755023</v>
      </c>
      <c r="EG389" s="445">
        <f t="shared" si="1471"/>
        <v>7682.673950735486</v>
      </c>
      <c r="EH389" s="324">
        <f t="shared" si="1471"/>
        <v>15219.19353819726</v>
      </c>
      <c r="EI389" s="324">
        <f t="shared" si="1471"/>
        <v>15367.049742310181</v>
      </c>
      <c r="EJ389" s="385">
        <f t="shared" ref="EJ389:EP389" si="1472">+EJ393/EJ400</f>
        <v>30586.24327742192</v>
      </c>
      <c r="EK389" s="324">
        <f t="shared" si="1472"/>
        <v>7761.7283826350995</v>
      </c>
      <c r="EL389" s="324">
        <f t="shared" si="1472"/>
        <v>7880.6362534245745</v>
      </c>
      <c r="EM389" s="324">
        <f t="shared" si="1472"/>
        <v>7900.8780425837967</v>
      </c>
      <c r="EN389" s="445">
        <f t="shared" si="1472"/>
        <v>7891.5339815864418</v>
      </c>
      <c r="EO389" s="324">
        <f t="shared" si="1472"/>
        <v>15642.364635351645</v>
      </c>
      <c r="EP389" s="324">
        <f t="shared" si="1472"/>
        <v>15792.412024165982</v>
      </c>
      <c r="EQ389" s="385">
        <f>+EQ393/EQ400</f>
        <v>31434.776658961968</v>
      </c>
    </row>
    <row r="390" spans="1:147" ht="10.199999999999999" customHeight="1">
      <c r="A390" s="108" t="s">
        <v>560</v>
      </c>
      <c r="B390" s="43"/>
      <c r="C390" s="64">
        <f t="shared" ref="C390:AI390" si="1473">+C391-C389</f>
        <v>11852.60704697853</v>
      </c>
      <c r="D390" s="64">
        <f t="shared" si="1473"/>
        <v>10520.511847166867</v>
      </c>
      <c r="E390" s="64">
        <f t="shared" si="1473"/>
        <v>8231.3319685588667</v>
      </c>
      <c r="F390" s="64">
        <f t="shared" si="1473"/>
        <v>10520.177595398345</v>
      </c>
      <c r="G390" s="64">
        <f t="shared" si="1473"/>
        <v>12285.178631326224</v>
      </c>
      <c r="H390" s="64">
        <f t="shared" si="1473"/>
        <v>13862.258264696115</v>
      </c>
      <c r="I390" s="64">
        <f t="shared" si="1473"/>
        <v>10645.840623176804</v>
      </c>
      <c r="J390" s="64">
        <f t="shared" si="1473"/>
        <v>13375.639777031292</v>
      </c>
      <c r="K390" s="64">
        <f t="shared" si="1473"/>
        <v>14403.478746042609</v>
      </c>
      <c r="L390" s="64">
        <f t="shared" si="1473"/>
        <v>15479.438080443077</v>
      </c>
      <c r="M390" s="64">
        <f t="shared" si="1473"/>
        <v>20060.692892211457</v>
      </c>
      <c r="N390" s="80">
        <f t="shared" si="1473"/>
        <v>21194.018630222665</v>
      </c>
      <c r="O390" s="80"/>
      <c r="P390" s="197"/>
      <c r="Q390" s="80"/>
      <c r="R390" s="709"/>
      <c r="S390" s="80"/>
      <c r="T390" s="176"/>
      <c r="U390" s="1311">
        <f t="shared" si="1473"/>
        <v>20239.888235294118</v>
      </c>
      <c r="V390" s="80"/>
      <c r="W390" s="197"/>
      <c r="X390" s="80"/>
      <c r="Y390" s="709"/>
      <c r="Z390" s="80"/>
      <c r="AA390" s="176"/>
      <c r="AB390" s="1311">
        <f t="shared" si="1473"/>
        <v>22851.573722627734</v>
      </c>
      <c r="AC390" s="80"/>
      <c r="AD390" s="197"/>
      <c r="AE390" s="80"/>
      <c r="AF390" s="709"/>
      <c r="AG390" s="80"/>
      <c r="AH390" s="176"/>
      <c r="AI390" s="1311">
        <f t="shared" si="1473"/>
        <v>24635.374074074069</v>
      </c>
      <c r="AJ390" s="80"/>
      <c r="AK390" s="197"/>
      <c r="AL390" s="80"/>
      <c r="AM390" s="709"/>
      <c r="AN390" s="80"/>
      <c r="AO390" s="176"/>
      <c r="AP390" s="1311">
        <f t="shared" ref="AP390:CM390" si="1474">+AP391-AP389</f>
        <v>29237.836567164173</v>
      </c>
      <c r="AQ390" s="80"/>
      <c r="AR390" s="197"/>
      <c r="AS390" s="80"/>
      <c r="AT390" s="709"/>
      <c r="AU390" s="80"/>
      <c r="AV390" s="176"/>
      <c r="AW390" s="1311">
        <f t="shared" si="1474"/>
        <v>28733.853333333329</v>
      </c>
      <c r="AX390" s="80"/>
      <c r="AY390" s="197"/>
      <c r="AZ390" s="80"/>
      <c r="BA390" s="709"/>
      <c r="BB390" s="80"/>
      <c r="BC390" s="176"/>
      <c r="BD390" s="1311">
        <f t="shared" si="1474"/>
        <v>21710.173333333336</v>
      </c>
      <c r="BE390" s="80"/>
      <c r="BF390" s="197"/>
      <c r="BG390" s="80"/>
      <c r="BH390" s="709"/>
      <c r="BI390" s="80"/>
      <c r="BJ390" s="176"/>
      <c r="BK390" s="1311">
        <f t="shared" si="1474"/>
        <v>25401.877519379839</v>
      </c>
      <c r="BL390" s="80"/>
      <c r="BM390" s="197"/>
      <c r="BN390" s="80"/>
      <c r="BO390" s="709"/>
      <c r="BP390" s="80"/>
      <c r="BQ390" s="176"/>
      <c r="BR390" s="1311">
        <f t="shared" si="1474"/>
        <v>30923.983870967742</v>
      </c>
      <c r="BS390" s="80"/>
      <c r="BT390" s="197"/>
      <c r="BU390" s="80"/>
      <c r="BV390" s="709"/>
      <c r="BW390" s="80"/>
      <c r="BX390" s="176"/>
      <c r="BY390" s="1311">
        <f t="shared" si="1474"/>
        <v>17602.5</v>
      </c>
      <c r="BZ390" s="80"/>
      <c r="CA390" s="197"/>
      <c r="CB390" s="80"/>
      <c r="CC390" s="709"/>
      <c r="CD390" s="80"/>
      <c r="CE390" s="176"/>
      <c r="CF390" s="1311">
        <f t="shared" si="1474"/>
        <v>16431.134789915963</v>
      </c>
      <c r="CG390" s="80"/>
      <c r="CH390" s="197"/>
      <c r="CI390" s="80"/>
      <c r="CJ390" s="709"/>
      <c r="CK390" s="80"/>
      <c r="CL390" s="176"/>
      <c r="CM390" s="1311">
        <f t="shared" si="1474"/>
        <v>21474.41573770492</v>
      </c>
      <c r="CN390" s="80">
        <f>+CN391-CN389</f>
        <v>4104.0131147540978</v>
      </c>
      <c r="CO390" s="197">
        <f t="shared" si="1464"/>
        <v>6226.5477905956977</v>
      </c>
      <c r="CP390" s="80">
        <f>+CP391-CP389</f>
        <v>5381.1830508474577</v>
      </c>
      <c r="CQ390" s="709">
        <f>CS390-CP390</f>
        <v>9124.7274159441185</v>
      </c>
      <c r="CR390" s="80">
        <f>+CR391-CR389</f>
        <v>10330.560905349796</v>
      </c>
      <c r="CS390" s="176">
        <f>CT390-CR390</f>
        <v>14505.910466791576</v>
      </c>
      <c r="CT390" s="1311">
        <f>+CT391-CT389</f>
        <v>24836.471372141372</v>
      </c>
      <c r="CU390" s="80">
        <f>+CU391-CU389</f>
        <v>4316.7534146341459</v>
      </c>
      <c r="CV390" s="197">
        <f t="shared" si="1465"/>
        <v>6004.9258034728482</v>
      </c>
      <c r="CW390" s="80">
        <f>+CW391-CW389</f>
        <v>5714.293333333334</v>
      </c>
      <c r="CX390" s="709">
        <f>CZ390-CW390</f>
        <v>10371.873729551407</v>
      </c>
      <c r="CY390" s="80">
        <f>+CY391-CY389</f>
        <v>10321.679218106994</v>
      </c>
      <c r="CZ390" s="176">
        <f>DA390-CY390</f>
        <v>16086.167062884742</v>
      </c>
      <c r="DA390" s="1311">
        <f>+DA391-DA389</f>
        <v>26407.846280991736</v>
      </c>
      <c r="DB390" s="80">
        <f>+DB391-DB389</f>
        <v>4731.5054621848731</v>
      </c>
      <c r="DC390" s="197">
        <f t="shared" si="1466"/>
        <v>5469.5701310354643</v>
      </c>
      <c r="DD390" s="80">
        <f>+DD391-DD389</f>
        <v>6659.6515254237283</v>
      </c>
      <c r="DE390" s="709">
        <f t="shared" ref="DE390:DG390" si="1475">+DE394/DE399</f>
        <v>8415.2806265009458</v>
      </c>
      <c r="DF390" s="176">
        <f>+DF391-DF389</f>
        <v>10201.075593220337</v>
      </c>
      <c r="DG390" s="176">
        <f t="shared" si="1475"/>
        <v>15040.929456823387</v>
      </c>
      <c r="DH390" s="339">
        <f t="shared" ref="DH390:DN390" si="1476">+DH394/DH399</f>
        <v>26948.206317831482</v>
      </c>
      <c r="DI390" s="80">
        <f t="shared" si="1476"/>
        <v>4193.8274174454191</v>
      </c>
      <c r="DJ390" s="176">
        <f t="shared" si="1476"/>
        <v>7450.2992285375585</v>
      </c>
      <c r="DK390" s="324">
        <f t="shared" si="1476"/>
        <v>7010.8969968161709</v>
      </c>
      <c r="DL390" s="445">
        <f t="shared" si="1476"/>
        <v>10687.228812725865</v>
      </c>
      <c r="DM390" s="1760">
        <f>+DM391-DM389</f>
        <v>11682.08090909091</v>
      </c>
      <c r="DN390" s="324">
        <f t="shared" si="1476"/>
        <v>17709.564213427624</v>
      </c>
      <c r="DO390" s="385">
        <f t="shared" ref="DO390:DU390" si="1477">+DO394/DO399</f>
        <v>29213.625284215166</v>
      </c>
      <c r="DP390" s="324">
        <f t="shared" si="1477"/>
        <v>8152.7453374161123</v>
      </c>
      <c r="DQ390" s="324">
        <f t="shared" si="1477"/>
        <v>8439.8631351400145</v>
      </c>
      <c r="DR390" s="324">
        <f t="shared" si="1477"/>
        <v>8426.49036126582</v>
      </c>
      <c r="DS390" s="445">
        <f t="shared" si="1477"/>
        <v>8563.8442085086299</v>
      </c>
      <c r="DT390" s="324">
        <f t="shared" si="1477"/>
        <v>16592.608472556127</v>
      </c>
      <c r="DU390" s="324">
        <f t="shared" si="1477"/>
        <v>16990.334569774452</v>
      </c>
      <c r="DV390" s="385">
        <f t="shared" ref="DV390:EB390" si="1478">+DV394/DV399</f>
        <v>33582.943042330582</v>
      </c>
      <c r="DW390" s="324">
        <f t="shared" si="1478"/>
        <v>8898.7416395226719</v>
      </c>
      <c r="DX390" s="324">
        <f t="shared" si="1478"/>
        <v>9252.0289973966846</v>
      </c>
      <c r="DY390" s="324">
        <f t="shared" si="1478"/>
        <v>9237.660591820515</v>
      </c>
      <c r="DZ390" s="445">
        <f t="shared" si="1478"/>
        <v>9607.7894863828733</v>
      </c>
      <c r="EA390" s="324">
        <f t="shared" si="1478"/>
        <v>18150.770636919355</v>
      </c>
      <c r="EB390" s="324">
        <f t="shared" si="1478"/>
        <v>18845.450078203387</v>
      </c>
      <c r="EC390" s="385">
        <f t="shared" ref="EC390:EI390" si="1479">+EC394/EC399</f>
        <v>36996.220715122741</v>
      </c>
      <c r="ED390" s="324">
        <f t="shared" si="1479"/>
        <v>9574.157302103873</v>
      </c>
      <c r="EE390" s="324">
        <f t="shared" si="1479"/>
        <v>9458.8343298744367</v>
      </c>
      <c r="EF390" s="324">
        <f t="shared" si="1479"/>
        <v>9443.6546595597265</v>
      </c>
      <c r="EG390" s="445">
        <f t="shared" si="1479"/>
        <v>9824.9151187213338</v>
      </c>
      <c r="EH390" s="324">
        <f t="shared" si="1479"/>
        <v>19032.991631978315</v>
      </c>
      <c r="EI390" s="324">
        <f t="shared" si="1479"/>
        <v>19268.56977828106</v>
      </c>
      <c r="EJ390" s="385">
        <f t="shared" ref="EJ390:EP390" si="1480">+EJ394/EJ399</f>
        <v>38301.561410259375</v>
      </c>
      <c r="EK390" s="324">
        <f t="shared" si="1480"/>
        <v>9805.2497536622504</v>
      </c>
      <c r="EL390" s="324">
        <f t="shared" si="1480"/>
        <v>9682.4008083333829</v>
      </c>
      <c r="EM390" s="324">
        <f t="shared" si="1480"/>
        <v>9666.0999848031843</v>
      </c>
      <c r="EN390" s="445">
        <f t="shared" si="1480"/>
        <v>10061.328640921125</v>
      </c>
      <c r="EO390" s="324">
        <f t="shared" si="1480"/>
        <v>19487.65056199563</v>
      </c>
      <c r="EP390" s="324">
        <f t="shared" si="1480"/>
        <v>19727.428625724307</v>
      </c>
      <c r="EQ390" s="385">
        <f>+EQ394/EQ399</f>
        <v>39215.079187719944</v>
      </c>
    </row>
    <row r="391" spans="1:147" ht="10.199999999999999" customHeight="1">
      <c r="A391" s="48" t="s">
        <v>558</v>
      </c>
      <c r="B391" s="48"/>
      <c r="C391" s="222">
        <f t="shared" ref="C391:N391" si="1481">+C5+C10</f>
        <v>19993.444444444445</v>
      </c>
      <c r="D391" s="222">
        <f t="shared" si="1481"/>
        <v>18718.433181673896</v>
      </c>
      <c r="E391" s="222">
        <f t="shared" si="1481"/>
        <v>18351.343949044585</v>
      </c>
      <c r="F391" s="222">
        <f t="shared" si="1481"/>
        <v>19560.121136759739</v>
      </c>
      <c r="G391" s="222">
        <f t="shared" si="1481"/>
        <v>21481.376325742145</v>
      </c>
      <c r="H391" s="222">
        <f t="shared" si="1481"/>
        <v>24428.708150657632</v>
      </c>
      <c r="I391" s="222">
        <f t="shared" si="1481"/>
        <v>24449.179060218979</v>
      </c>
      <c r="J391" s="222">
        <f t="shared" si="1481"/>
        <v>25745.818749999999</v>
      </c>
      <c r="K391" s="222">
        <f t="shared" si="1481"/>
        <v>25523.528804757629</v>
      </c>
      <c r="L391" s="222">
        <f t="shared" si="1481"/>
        <v>26606.855907703321</v>
      </c>
      <c r="M391" s="222">
        <f t="shared" si="1481"/>
        <v>29971.291065667938</v>
      </c>
      <c r="N391" s="234">
        <f t="shared" si="1481"/>
        <v>35355.783336105014</v>
      </c>
      <c r="O391" s="222"/>
      <c r="P391" s="222"/>
      <c r="Q391" s="222"/>
      <c r="R391" s="689"/>
      <c r="S391" s="222"/>
      <c r="T391" s="222"/>
      <c r="U391" s="1745">
        <f>+U5+U10</f>
        <v>37393.172906826963</v>
      </c>
      <c r="V391" s="222"/>
      <c r="W391" s="222"/>
      <c r="X391" s="222"/>
      <c r="Y391" s="689"/>
      <c r="Z391" s="222"/>
      <c r="AA391" s="222"/>
      <c r="AB391" s="1745">
        <f>+AB5+AB10</f>
        <v>40851.573722627734</v>
      </c>
      <c r="AC391" s="222"/>
      <c r="AD391" s="222"/>
      <c r="AE391" s="222"/>
      <c r="AF391" s="689"/>
      <c r="AG391" s="222"/>
      <c r="AH391" s="222"/>
      <c r="AI391" s="1745">
        <f>+AI5+AI10</f>
        <v>43702.538253178544</v>
      </c>
      <c r="AJ391" s="222"/>
      <c r="AK391" s="222"/>
      <c r="AL391" s="222"/>
      <c r="AM391" s="689"/>
      <c r="AN391" s="222"/>
      <c r="AO391" s="222"/>
      <c r="AP391" s="1745">
        <f>+AP5+AP10</f>
        <v>47040.866870194477</v>
      </c>
      <c r="AQ391" s="222"/>
      <c r="AR391" s="222"/>
      <c r="AS391" s="222"/>
      <c r="AT391" s="689"/>
      <c r="AU391" s="222"/>
      <c r="AV391" s="222"/>
      <c r="AW391" s="1745">
        <f>+AW5+AW10</f>
        <v>48346.256434108524</v>
      </c>
      <c r="AX391" s="222"/>
      <c r="AY391" s="222"/>
      <c r="AZ391" s="222"/>
      <c r="BA391" s="689"/>
      <c r="BB391" s="222"/>
      <c r="BC391" s="222"/>
      <c r="BD391" s="1745">
        <f>+BD5+BD10</f>
        <v>41322.576434108531</v>
      </c>
      <c r="BE391" s="222"/>
      <c r="BF391" s="222"/>
      <c r="BG391" s="222"/>
      <c r="BH391" s="689"/>
      <c r="BI391" s="222"/>
      <c r="BJ391" s="222"/>
      <c r="BK391" s="1745">
        <f>+BK5+BK10</f>
        <v>45885.748487121775</v>
      </c>
      <c r="BL391" s="222"/>
      <c r="BM391" s="222"/>
      <c r="BN391" s="222"/>
      <c r="BO391" s="689"/>
      <c r="BP391" s="222"/>
      <c r="BQ391" s="222"/>
      <c r="BR391" s="1745">
        <f>+BR5+BR10</f>
        <v>52173.983870967742</v>
      </c>
      <c r="BS391" s="222"/>
      <c r="BT391" s="222"/>
      <c r="BU391" s="222"/>
      <c r="BV391" s="689"/>
      <c r="BW391" s="222"/>
      <c r="BX391" s="222"/>
      <c r="BY391" s="1745">
        <f>+BY5+BY10</f>
        <v>31972.247899159665</v>
      </c>
      <c r="BZ391" s="222"/>
      <c r="CA391" s="222"/>
      <c r="CB391" s="222"/>
      <c r="CC391" s="689"/>
      <c r="CD391" s="222"/>
      <c r="CE391" s="222"/>
      <c r="CF391" s="375">
        <f>+CF5</f>
        <v>33994.159999999996</v>
      </c>
      <c r="CG391" s="222"/>
      <c r="CH391" s="222"/>
      <c r="CI391" s="222"/>
      <c r="CJ391" s="689"/>
      <c r="CK391" s="222"/>
      <c r="CL391" s="222"/>
      <c r="CM391" s="375">
        <f>+CM5</f>
        <v>38113.760000000002</v>
      </c>
      <c r="CN391" s="222">
        <f>+CN5</f>
        <v>7136.8</v>
      </c>
      <c r="CO391" s="222">
        <f>+CO389+CO390</f>
        <v>11177.300000000003</v>
      </c>
      <c r="CP391" s="222">
        <f>+CP5</f>
        <v>10042.200000000001</v>
      </c>
      <c r="CQ391" s="689">
        <f>+CQ389+CQ390</f>
        <v>15108.029999999999</v>
      </c>
      <c r="CR391" s="222">
        <f>+CR5</f>
        <v>18314.100000000002</v>
      </c>
      <c r="CS391" s="222">
        <f>+CS389+CS390</f>
        <v>25150.23</v>
      </c>
      <c r="CT391" s="375">
        <f>+CT5</f>
        <v>43464.33</v>
      </c>
      <c r="CU391" s="222">
        <f>+CU5</f>
        <v>7975.29</v>
      </c>
      <c r="CV391" s="222">
        <f>+CV389+CV390</f>
        <v>10906.06</v>
      </c>
      <c r="CW391" s="222">
        <f>+CW5</f>
        <v>10380.960000000001</v>
      </c>
      <c r="CX391" s="689">
        <f>+CX389+CX390</f>
        <v>16319.09</v>
      </c>
      <c r="CY391" s="222">
        <f>+CY5</f>
        <v>18881.349999999999</v>
      </c>
      <c r="CZ391" s="222">
        <f>+CZ389+CZ390</f>
        <v>26700.050000000003</v>
      </c>
      <c r="DA391" s="375">
        <f>+DA5</f>
        <v>45581.4</v>
      </c>
      <c r="DB391" s="222">
        <f>+DB5</f>
        <v>8092.8499999999995</v>
      </c>
      <c r="DC391" s="222">
        <f>+DC389+DC390</f>
        <v>9820.09</v>
      </c>
      <c r="DD391" s="222">
        <f>+DD5</f>
        <v>11490.16</v>
      </c>
      <c r="DE391" s="689">
        <f t="shared" ref="DE391:DG391" si="1482">+DE389+DE390</f>
        <v>17189.775365731417</v>
      </c>
      <c r="DF391" s="222">
        <f>+DF5</f>
        <v>17912.939999999999</v>
      </c>
      <c r="DG391" s="222">
        <f t="shared" si="1482"/>
        <v>28679.322917047331</v>
      </c>
      <c r="DH391" s="375">
        <f t="shared" ref="DH391:DN391" si="1483">+DH389+DH390</f>
        <v>46821.890528357799</v>
      </c>
      <c r="DI391" s="222">
        <f t="shared" si="1483"/>
        <v>7003.7447728173202</v>
      </c>
      <c r="DJ391" s="222">
        <f t="shared" si="1483"/>
        <v>13731.290964074749</v>
      </c>
      <c r="DK391" s="323">
        <f t="shared" si="1483"/>
        <v>12708.995186064703</v>
      </c>
      <c r="DL391" s="441">
        <f t="shared" si="1483"/>
        <v>18298.579568052377</v>
      </c>
      <c r="DM391" s="2039">
        <f>+DM5</f>
        <v>20772.990000000002</v>
      </c>
      <c r="DN391" s="323">
        <f t="shared" si="1483"/>
        <v>31058.135069123426</v>
      </c>
      <c r="DO391" s="388">
        <f t="shared" ref="DO391:DU391" si="1484">+DO389+DO390</f>
        <v>52011.565044484283</v>
      </c>
      <c r="DP391" s="323">
        <f t="shared" si="1484"/>
        <v>14402.077121970533</v>
      </c>
      <c r="DQ391" s="323">
        <f t="shared" si="1484"/>
        <v>15048.704970457584</v>
      </c>
      <c r="DR391" s="323">
        <f t="shared" si="1484"/>
        <v>15052.501864497932</v>
      </c>
      <c r="DS391" s="441">
        <f t="shared" si="1484"/>
        <v>15052.646304350019</v>
      </c>
      <c r="DT391" s="323">
        <f t="shared" si="1484"/>
        <v>29450.771807622845</v>
      </c>
      <c r="DU391" s="323">
        <f t="shared" si="1484"/>
        <v>30105.146752618653</v>
      </c>
      <c r="DV391" s="388">
        <f t="shared" ref="DV391:EB391" si="1485">+DV389+DV390</f>
        <v>59555.916013236791</v>
      </c>
      <c r="DW391" s="323">
        <f t="shared" si="1485"/>
        <v>15831.740346844887</v>
      </c>
      <c r="DX391" s="323">
        <f t="shared" si="1485"/>
        <v>16600.07721584323</v>
      </c>
      <c r="DY391" s="323">
        <f t="shared" si="1485"/>
        <v>16603.951016281004</v>
      </c>
      <c r="DZ391" s="441">
        <f t="shared" si="1485"/>
        <v>16976.807697793192</v>
      </c>
      <c r="EA391" s="323">
        <f t="shared" si="1485"/>
        <v>32431.815264823686</v>
      </c>
      <c r="EB391" s="323">
        <f t="shared" si="1485"/>
        <v>33580.758713983683</v>
      </c>
      <c r="EC391" s="388">
        <f t="shared" ref="EC391:EI391" si="1486">+EC389+EC390</f>
        <v>66012.572665204047</v>
      </c>
      <c r="ED391" s="323">
        <f t="shared" si="1486"/>
        <v>17128.031016265762</v>
      </c>
      <c r="EE391" s="323">
        <f t="shared" si="1486"/>
        <v>17124.154157467448</v>
      </c>
      <c r="EF391" s="323">
        <f t="shared" si="1486"/>
        <v>17128.03045113523</v>
      </c>
      <c r="EG391" s="441">
        <f t="shared" si="1486"/>
        <v>17507.589069456819</v>
      </c>
      <c r="EH391" s="323">
        <f t="shared" si="1486"/>
        <v>34252.185170175573</v>
      </c>
      <c r="EI391" s="323">
        <f t="shared" si="1486"/>
        <v>34635.619520591237</v>
      </c>
      <c r="EJ391" s="388">
        <f t="shared" ref="EJ391:EP391" si="1487">+EJ389+EJ390</f>
        <v>68887.804687681288</v>
      </c>
      <c r="EK391" s="323">
        <f t="shared" si="1487"/>
        <v>17566.978136297352</v>
      </c>
      <c r="EL391" s="323">
        <f t="shared" si="1487"/>
        <v>17563.037061757957</v>
      </c>
      <c r="EM391" s="323">
        <f t="shared" si="1487"/>
        <v>17566.97802738698</v>
      </c>
      <c r="EN391" s="441">
        <f t="shared" si="1487"/>
        <v>17952.862622507568</v>
      </c>
      <c r="EO391" s="323">
        <f t="shared" si="1487"/>
        <v>35130.015197347275</v>
      </c>
      <c r="EP391" s="323">
        <f t="shared" si="1487"/>
        <v>35519.840649890291</v>
      </c>
      <c r="EQ391" s="388">
        <f>+EQ389+EQ390</f>
        <v>70649.855846681909</v>
      </c>
    </row>
    <row r="392" spans="1:147" ht="10.199999999999999" customHeight="1">
      <c r="A392" s="108"/>
      <c r="B392" s="43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223"/>
      <c r="P392" s="321"/>
      <c r="Q392" s="223"/>
      <c r="R392" s="444"/>
      <c r="S392" s="223"/>
      <c r="T392" s="321"/>
      <c r="U392" s="343"/>
      <c r="V392" s="223"/>
      <c r="W392" s="321"/>
      <c r="X392" s="223"/>
      <c r="Y392" s="444"/>
      <c r="Z392" s="223"/>
      <c r="AA392" s="321"/>
      <c r="AB392" s="343"/>
      <c r="AC392" s="223"/>
      <c r="AD392" s="321"/>
      <c r="AE392" s="223"/>
      <c r="AF392" s="444"/>
      <c r="AG392" s="223"/>
      <c r="AH392" s="321"/>
      <c r="AI392" s="343"/>
      <c r="AJ392" s="223"/>
      <c r="AK392" s="321"/>
      <c r="AL392" s="223"/>
      <c r="AM392" s="444"/>
      <c r="AN392" s="223"/>
      <c r="AO392" s="321"/>
      <c r="AP392" s="343"/>
      <c r="AQ392" s="223"/>
      <c r="AR392" s="321"/>
      <c r="AS392" s="223"/>
      <c r="AT392" s="444"/>
      <c r="AU392" s="223"/>
      <c r="AV392" s="321"/>
      <c r="AW392" s="343"/>
      <c r="AX392" s="223"/>
      <c r="AY392" s="321"/>
      <c r="AZ392" s="223"/>
      <c r="BA392" s="444"/>
      <c r="BB392" s="223"/>
      <c r="BC392" s="321"/>
      <c r="BD392" s="343"/>
      <c r="BE392" s="223"/>
      <c r="BF392" s="321"/>
      <c r="BG392" s="223"/>
      <c r="BH392" s="444"/>
      <c r="BI392" s="223"/>
      <c r="BJ392" s="321"/>
      <c r="BK392" s="343"/>
      <c r="BL392" s="223"/>
      <c r="BM392" s="321"/>
      <c r="BN392" s="223"/>
      <c r="BO392" s="444"/>
      <c r="BP392" s="223"/>
      <c r="BQ392" s="321"/>
      <c r="BR392" s="343"/>
      <c r="BS392" s="223"/>
      <c r="BT392" s="321"/>
      <c r="BU392" s="223"/>
      <c r="BV392" s="444"/>
      <c r="BW392" s="223"/>
      <c r="BX392" s="321"/>
      <c r="BY392" s="343"/>
      <c r="BZ392" s="223"/>
      <c r="CA392" s="321"/>
      <c r="CB392" s="223"/>
      <c r="CC392" s="444"/>
      <c r="CD392" s="223"/>
      <c r="CE392" s="321"/>
      <c r="CF392" s="343"/>
      <c r="CG392" s="223"/>
      <c r="CH392" s="321"/>
      <c r="CI392" s="223"/>
      <c r="CJ392" s="444"/>
      <c r="CK392" s="223"/>
      <c r="CL392" s="321"/>
      <c r="CM392" s="343"/>
      <c r="CN392" s="223"/>
      <c r="CO392" s="321"/>
      <c r="CP392" s="223"/>
      <c r="CQ392" s="444"/>
      <c r="CR392" s="223"/>
      <c r="CS392" s="321"/>
      <c r="CT392" s="343"/>
      <c r="CU392" s="223"/>
      <c r="CV392" s="321"/>
      <c r="CW392" s="223"/>
      <c r="CX392" s="444"/>
      <c r="CY392" s="223"/>
      <c r="CZ392" s="321"/>
      <c r="DA392" s="343"/>
      <c r="DB392" s="223"/>
      <c r="DC392" s="321"/>
      <c r="DD392" s="321"/>
      <c r="DE392" s="444"/>
      <c r="DF392" s="223"/>
      <c r="DG392" s="321"/>
      <c r="DH392" s="343"/>
      <c r="DI392" s="223"/>
      <c r="DJ392" s="223"/>
      <c r="DK392" s="321"/>
      <c r="DL392" s="444"/>
      <c r="DM392" s="274"/>
      <c r="DN392" s="321"/>
      <c r="DO392" s="343"/>
      <c r="DP392" s="321"/>
      <c r="DQ392" s="321"/>
      <c r="DR392" s="321"/>
      <c r="DS392" s="444"/>
      <c r="DT392" s="321"/>
      <c r="DU392" s="321"/>
      <c r="DV392" s="343"/>
      <c r="DW392" s="321"/>
      <c r="DX392" s="321"/>
      <c r="DY392" s="321"/>
      <c r="DZ392" s="444"/>
      <c r="EA392" s="321"/>
      <c r="EB392" s="321"/>
      <c r="EC392" s="343"/>
      <c r="ED392" s="321"/>
      <c r="EE392" s="321"/>
      <c r="EF392" s="321"/>
      <c r="EG392" s="444"/>
      <c r="EH392" s="321"/>
      <c r="EI392" s="321"/>
      <c r="EJ392" s="343"/>
      <c r="EK392" s="321"/>
      <c r="EL392" s="321"/>
      <c r="EM392" s="321"/>
      <c r="EN392" s="444"/>
      <c r="EO392" s="321"/>
      <c r="EP392" s="321"/>
      <c r="EQ392" s="343"/>
    </row>
    <row r="393" spans="1:147" ht="10.199999999999999" customHeight="1">
      <c r="A393" s="108" t="s">
        <v>561</v>
      </c>
      <c r="B393" s="43"/>
      <c r="C393" s="64">
        <f t="shared" ref="C393:AI393" si="1488">+C389*C400</f>
        <v>8100</v>
      </c>
      <c r="D393" s="64">
        <f t="shared" si="1488"/>
        <v>8200</v>
      </c>
      <c r="E393" s="64">
        <f t="shared" si="1488"/>
        <v>9100</v>
      </c>
      <c r="F393" s="64">
        <f t="shared" si="1488"/>
        <v>8500</v>
      </c>
      <c r="G393" s="64">
        <f t="shared" si="1488"/>
        <v>9500</v>
      </c>
      <c r="H393" s="64">
        <f t="shared" si="1488"/>
        <v>11700</v>
      </c>
      <c r="I393" s="64">
        <f t="shared" si="1488"/>
        <v>14100</v>
      </c>
      <c r="J393" s="64">
        <f t="shared" si="1488"/>
        <v>14060</v>
      </c>
      <c r="K393" s="64">
        <f t="shared" si="1488"/>
        <v>13975</v>
      </c>
      <c r="L393" s="64">
        <f t="shared" si="1488"/>
        <v>14970</v>
      </c>
      <c r="M393" s="64">
        <f t="shared" si="1488"/>
        <v>13375</v>
      </c>
      <c r="N393" s="80">
        <f t="shared" si="1488"/>
        <v>19260</v>
      </c>
      <c r="O393" s="80"/>
      <c r="P393" s="176"/>
      <c r="Q393" s="80"/>
      <c r="R393" s="709"/>
      <c r="S393" s="80"/>
      <c r="T393" s="176"/>
      <c r="U393" s="1311">
        <f t="shared" si="1488"/>
        <v>23500</v>
      </c>
      <c r="V393" s="80"/>
      <c r="W393" s="176"/>
      <c r="X393" s="80"/>
      <c r="Y393" s="709"/>
      <c r="Z393" s="80"/>
      <c r="AA393" s="176"/>
      <c r="AB393" s="1311">
        <f t="shared" si="1488"/>
        <v>24300</v>
      </c>
      <c r="AC393" s="80"/>
      <c r="AD393" s="176"/>
      <c r="AE393" s="80"/>
      <c r="AF393" s="709"/>
      <c r="AG393" s="80"/>
      <c r="AH393" s="176"/>
      <c r="AI393" s="1311">
        <f t="shared" si="1488"/>
        <v>25549.999999999996</v>
      </c>
      <c r="AJ393" s="80"/>
      <c r="AK393" s="176"/>
      <c r="AL393" s="80"/>
      <c r="AM393" s="709"/>
      <c r="AN393" s="80"/>
      <c r="AO393" s="176"/>
      <c r="AP393" s="1311">
        <f t="shared" ref="AP393:CM393" si="1489">+AP389*AP400</f>
        <v>23500.000000000004</v>
      </c>
      <c r="AQ393" s="80"/>
      <c r="AR393" s="176"/>
      <c r="AS393" s="80"/>
      <c r="AT393" s="709"/>
      <c r="AU393" s="80"/>
      <c r="AV393" s="176"/>
      <c r="AW393" s="1311">
        <f t="shared" si="1489"/>
        <v>25300</v>
      </c>
      <c r="AX393" s="80"/>
      <c r="AY393" s="176"/>
      <c r="AZ393" s="80"/>
      <c r="BA393" s="709"/>
      <c r="BB393" s="80"/>
      <c r="BC393" s="176"/>
      <c r="BD393" s="1311">
        <f t="shared" si="1489"/>
        <v>25300</v>
      </c>
      <c r="BE393" s="80"/>
      <c r="BF393" s="176"/>
      <c r="BG393" s="80"/>
      <c r="BH393" s="709"/>
      <c r="BI393" s="80"/>
      <c r="BJ393" s="176"/>
      <c r="BK393" s="1311">
        <f t="shared" si="1489"/>
        <v>25400</v>
      </c>
      <c r="BL393" s="80"/>
      <c r="BM393" s="176"/>
      <c r="BN393" s="80"/>
      <c r="BO393" s="709"/>
      <c r="BP393" s="80"/>
      <c r="BQ393" s="176"/>
      <c r="BR393" s="1311">
        <f t="shared" si="1489"/>
        <v>25500</v>
      </c>
      <c r="BS393" s="80"/>
      <c r="BT393" s="176"/>
      <c r="BU393" s="80"/>
      <c r="BV393" s="709"/>
      <c r="BW393" s="80"/>
      <c r="BX393" s="176"/>
      <c r="BY393" s="1311">
        <f t="shared" si="1489"/>
        <v>17100</v>
      </c>
      <c r="BZ393" s="80"/>
      <c r="CA393" s="176"/>
      <c r="CB393" s="80"/>
      <c r="CC393" s="709"/>
      <c r="CD393" s="80"/>
      <c r="CE393" s="176"/>
      <c r="CF393" s="1311">
        <f t="shared" si="1489"/>
        <v>20900</v>
      </c>
      <c r="CG393" s="80"/>
      <c r="CH393" s="176"/>
      <c r="CI393" s="80"/>
      <c r="CJ393" s="709"/>
      <c r="CK393" s="80"/>
      <c r="CL393" s="176"/>
      <c r="CM393" s="1311">
        <f t="shared" si="1489"/>
        <v>20300</v>
      </c>
      <c r="CN393" s="80">
        <f>+CN389*CN400</f>
        <v>3700</v>
      </c>
      <c r="CO393" s="176">
        <f>+CO385</f>
        <v>6000</v>
      </c>
      <c r="CP393" s="80">
        <f>+CP389*CP400</f>
        <v>5500.0000000000009</v>
      </c>
      <c r="CQ393" s="709">
        <f>CS393-CP393</f>
        <v>7199.9999999999991</v>
      </c>
      <c r="CR393" s="80">
        <f>+CR389*CR400</f>
        <v>9700</v>
      </c>
      <c r="CS393" s="176">
        <f>CT393-CR393</f>
        <v>12700</v>
      </c>
      <c r="CT393" s="1311">
        <f t="shared" ref="CT393" si="1490">+CT389*CT400</f>
        <v>22400</v>
      </c>
      <c r="CU393" s="80">
        <f>+CU389*CU400</f>
        <v>4500</v>
      </c>
      <c r="CV393" s="176">
        <f>+CV385</f>
        <v>5900</v>
      </c>
      <c r="CW393" s="80">
        <f>+CW389*CW400</f>
        <v>5600</v>
      </c>
      <c r="CX393" s="709">
        <f>CZ393-CW393</f>
        <v>7200</v>
      </c>
      <c r="CY393" s="80">
        <f>+CY389*CY400</f>
        <v>10400</v>
      </c>
      <c r="CZ393" s="176">
        <f>DA393-CY393</f>
        <v>12800</v>
      </c>
      <c r="DA393" s="1311">
        <f t="shared" ref="DA393" si="1491">+DA389*DA400</f>
        <v>23200</v>
      </c>
      <c r="DB393" s="80">
        <f>+DB389*DB400</f>
        <v>4000</v>
      </c>
      <c r="DC393" s="176">
        <f>+DC385</f>
        <v>5100</v>
      </c>
      <c r="DD393" s="80">
        <f>+DD389*DD400</f>
        <v>5700</v>
      </c>
      <c r="DE393" s="709">
        <f t="shared" ref="DE393:DG393" si="1492">+DE385</f>
        <v>10560.956439314465</v>
      </c>
      <c r="DF393" s="176">
        <f>+DF389*DF400</f>
        <v>9100</v>
      </c>
      <c r="DG393" s="176">
        <f t="shared" si="1492"/>
        <v>16260.956439314465</v>
      </c>
      <c r="DH393" s="339">
        <f t="shared" ref="DH393:DN393" si="1493">+DH385</f>
        <v>23600</v>
      </c>
      <c r="DI393" s="80">
        <f t="shared" si="1493"/>
        <v>3400</v>
      </c>
      <c r="DJ393" s="176">
        <f t="shared" si="1493"/>
        <v>7600</v>
      </c>
      <c r="DK393" s="324">
        <f t="shared" si="1493"/>
        <v>6723.1668246429872</v>
      </c>
      <c r="DL393" s="445">
        <f t="shared" si="1493"/>
        <v>9269.7027594464871</v>
      </c>
      <c r="DM393" s="1760">
        <f>+DM389*DM400</f>
        <v>11000</v>
      </c>
      <c r="DN393" s="324">
        <f t="shared" si="1493"/>
        <v>16005.188639996355</v>
      </c>
      <c r="DO393" s="385">
        <f t="shared" ref="DO393:DU393" si="1494">+DO385</f>
        <v>27442.228224928265</v>
      </c>
      <c r="DP393" s="324">
        <f t="shared" si="1494"/>
        <v>7633.1290688139843</v>
      </c>
      <c r="DQ393" s="324">
        <f t="shared" si="1494"/>
        <v>8057.8146400984915</v>
      </c>
      <c r="DR393" s="324">
        <f t="shared" si="1494"/>
        <v>8078.0958124776625</v>
      </c>
      <c r="DS393" s="445">
        <f t="shared" si="1494"/>
        <v>7916.0182727311467</v>
      </c>
      <c r="DT393" s="324">
        <f t="shared" si="1494"/>
        <v>15690.943708912477</v>
      </c>
      <c r="DU393" s="324">
        <f t="shared" si="1494"/>
        <v>15994.114085208808</v>
      </c>
      <c r="DV393" s="385">
        <f t="shared" ref="DV393:EB393" si="1495">+DV385</f>
        <v>31685.057794121283</v>
      </c>
      <c r="DW393" s="324">
        <f t="shared" si="1495"/>
        <v>8370.7771426547915</v>
      </c>
      <c r="DX393" s="324">
        <f t="shared" si="1495"/>
        <v>8864.7828180905108</v>
      </c>
      <c r="DY393" s="324">
        <f t="shared" si="1495"/>
        <v>8886.4950524139658</v>
      </c>
      <c r="DZ393" s="445">
        <f t="shared" si="1495"/>
        <v>8889.7417167209296</v>
      </c>
      <c r="EA393" s="324">
        <f t="shared" si="1495"/>
        <v>17235.5599607453</v>
      </c>
      <c r="EB393" s="324">
        <f t="shared" si="1495"/>
        <v>17776.236769134895</v>
      </c>
      <c r="EC393" s="385">
        <f t="shared" ref="EC393:EI393" si="1496">+EC385</f>
        <v>35011.796729880196</v>
      </c>
      <c r="ED393" s="324">
        <f t="shared" si="1496"/>
        <v>9196.4232058254693</v>
      </c>
      <c r="EE393" s="324">
        <f t="shared" si="1496"/>
        <v>9332.3880544653712</v>
      </c>
      <c r="EF393" s="324">
        <f t="shared" si="1496"/>
        <v>9355.6364297293294</v>
      </c>
      <c r="EG393" s="445">
        <f t="shared" si="1496"/>
        <v>9353.5601750648257</v>
      </c>
      <c r="EH393" s="324">
        <f t="shared" si="1496"/>
        <v>18528.811260290837</v>
      </c>
      <c r="EI393" s="324">
        <f t="shared" si="1496"/>
        <v>18709.19660479415</v>
      </c>
      <c r="EJ393" s="385">
        <f t="shared" ref="EJ393:EP393" si="1497">+EJ385</f>
        <v>37238.00786508499</v>
      </c>
      <c r="EK393" s="324">
        <f t="shared" si="1497"/>
        <v>9555.4548764592673</v>
      </c>
      <c r="EL393" s="324">
        <f t="shared" si="1497"/>
        <v>9701.7116722967621</v>
      </c>
      <c r="EM393" s="324">
        <f t="shared" si="1497"/>
        <v>9726.6090921559189</v>
      </c>
      <c r="EN393" s="445">
        <f t="shared" si="1497"/>
        <v>9715.1158882813234</v>
      </c>
      <c r="EO393" s="324">
        <f t="shared" si="1497"/>
        <v>19257.166548756028</v>
      </c>
      <c r="EP393" s="324">
        <f t="shared" si="1497"/>
        <v>19441.724980437237</v>
      </c>
      <c r="EQ393" s="385">
        <f>+EQ385</f>
        <v>38698.891529193272</v>
      </c>
    </row>
    <row r="394" spans="1:147" ht="10.199999999999999" customHeight="1">
      <c r="A394" s="108" t="s">
        <v>562</v>
      </c>
      <c r="B394" s="43"/>
      <c r="C394" s="64">
        <f t="shared" ref="C394:AI394" si="1498">+C390*C399</f>
        <v>10667.346342280678</v>
      </c>
      <c r="D394" s="64">
        <f t="shared" si="1498"/>
        <v>9942.9357467574064</v>
      </c>
      <c r="E394" s="64">
        <f t="shared" si="1498"/>
        <v>9304.6976572589429</v>
      </c>
      <c r="F394" s="64">
        <f t="shared" si="1498"/>
        <v>13103.101078919033</v>
      </c>
      <c r="G394" s="64">
        <f t="shared" si="1498"/>
        <v>15289.364206516744</v>
      </c>
      <c r="H394" s="64">
        <f t="shared" si="1498"/>
        <v>17390.202993061273</v>
      </c>
      <c r="I394" s="64">
        <f t="shared" si="1498"/>
        <v>14584.801653752224</v>
      </c>
      <c r="J394" s="64">
        <f t="shared" si="1498"/>
        <v>19862.82506889147</v>
      </c>
      <c r="K394" s="64">
        <f t="shared" si="1498"/>
        <v>20056.844153864335</v>
      </c>
      <c r="L394" s="64">
        <f t="shared" si="1498"/>
        <v>20536.570501323829</v>
      </c>
      <c r="M394" s="64">
        <f t="shared" si="1498"/>
        <v>26279.50768879701</v>
      </c>
      <c r="N394" s="80">
        <f t="shared" si="1498"/>
        <v>27255.507958466347</v>
      </c>
      <c r="O394" s="80"/>
      <c r="P394" s="176"/>
      <c r="Q394" s="80"/>
      <c r="R394" s="709"/>
      <c r="S394" s="80"/>
      <c r="T394" s="176"/>
      <c r="U394" s="1311">
        <f t="shared" si="1498"/>
        <v>26878.571576470589</v>
      </c>
      <c r="V394" s="80"/>
      <c r="W394" s="176"/>
      <c r="X394" s="80"/>
      <c r="Y394" s="709"/>
      <c r="Z394" s="80"/>
      <c r="AA394" s="176"/>
      <c r="AB394" s="1311">
        <f t="shared" si="1498"/>
        <v>30360.600847883208</v>
      </c>
      <c r="AC394" s="80"/>
      <c r="AD394" s="176"/>
      <c r="AE394" s="80"/>
      <c r="AF394" s="709"/>
      <c r="AG394" s="80"/>
      <c r="AH394" s="176"/>
      <c r="AI394" s="1311">
        <f t="shared" si="1498"/>
        <v>27340.338147407398</v>
      </c>
      <c r="AJ394" s="80"/>
      <c r="AK394" s="176"/>
      <c r="AL394" s="80"/>
      <c r="AM394" s="709"/>
      <c r="AN394" s="80"/>
      <c r="AO394" s="176"/>
      <c r="AP394" s="1311">
        <f t="shared" ref="AP394:CM394" si="1499">+AP390*AP399</f>
        <v>32453.998589552237</v>
      </c>
      <c r="AQ394" s="80"/>
      <c r="AR394" s="176"/>
      <c r="AS394" s="80"/>
      <c r="AT394" s="709"/>
      <c r="AU394" s="80"/>
      <c r="AV394" s="176"/>
      <c r="AW394" s="1311">
        <f t="shared" si="1499"/>
        <v>32469.25426666666</v>
      </c>
      <c r="AX394" s="80"/>
      <c r="AY394" s="176"/>
      <c r="AZ394" s="80"/>
      <c r="BA394" s="709"/>
      <c r="BB394" s="80"/>
      <c r="BC394" s="176"/>
      <c r="BD394" s="1311">
        <f t="shared" si="1499"/>
        <v>24532.495866666668</v>
      </c>
      <c r="BE394" s="80"/>
      <c r="BF394" s="176"/>
      <c r="BG394" s="80"/>
      <c r="BH394" s="709"/>
      <c r="BI394" s="80"/>
      <c r="BJ394" s="176"/>
      <c r="BK394" s="1311">
        <f t="shared" si="1499"/>
        <v>29974.215472868207</v>
      </c>
      <c r="BL394" s="80"/>
      <c r="BM394" s="176"/>
      <c r="BN394" s="80"/>
      <c r="BO394" s="709"/>
      <c r="BP394" s="80"/>
      <c r="BQ394" s="176"/>
      <c r="BR394" s="1311">
        <f t="shared" si="1499"/>
        <v>37108.780645161292</v>
      </c>
      <c r="BS394" s="80"/>
      <c r="BT394" s="176"/>
      <c r="BU394" s="80"/>
      <c r="BV394" s="709"/>
      <c r="BW394" s="80"/>
      <c r="BX394" s="176"/>
      <c r="BY394" s="1311">
        <f t="shared" si="1499"/>
        <v>21123</v>
      </c>
      <c r="BZ394" s="80"/>
      <c r="CA394" s="176"/>
      <c r="CB394" s="80"/>
      <c r="CC394" s="709"/>
      <c r="CD394" s="80"/>
      <c r="CE394" s="176"/>
      <c r="CF394" s="1311">
        <f t="shared" si="1499"/>
        <v>19717.361747899155</v>
      </c>
      <c r="CG394" s="80"/>
      <c r="CH394" s="176"/>
      <c r="CI394" s="80"/>
      <c r="CJ394" s="709"/>
      <c r="CK394" s="80"/>
      <c r="CL394" s="176"/>
      <c r="CM394" s="1311">
        <f t="shared" si="1499"/>
        <v>23192.368996721314</v>
      </c>
      <c r="CN394" s="80">
        <f>+CN390*CN399</f>
        <v>4405.1040369180319</v>
      </c>
      <c r="CO394" s="176">
        <f>CR394-CN394</f>
        <v>6771.3748481663315</v>
      </c>
      <c r="CP394" s="80">
        <f>+CP390*CP399</f>
        <v>5855.2652776271188</v>
      </c>
      <c r="CQ394" s="709">
        <f>CS394-CP394</f>
        <v>9791.6449192012005</v>
      </c>
      <c r="CR394" s="80">
        <f>+CR390*CR399</f>
        <v>11176.478885084363</v>
      </c>
      <c r="CS394" s="176">
        <f>CT394-CR394</f>
        <v>15646.910196828319</v>
      </c>
      <c r="CT394" s="1311">
        <f t="shared" ref="CT394" si="1500">+CT390*CT399</f>
        <v>26823.389081912683</v>
      </c>
      <c r="CU394" s="80">
        <f>+CU390*CU399</f>
        <v>4705.2612219512193</v>
      </c>
      <c r="CV394" s="176">
        <f>CY394-CU394</f>
        <v>6442.1523336043356</v>
      </c>
      <c r="CW394" s="80">
        <f>+CW390*CW399</f>
        <v>6285.7226666666675</v>
      </c>
      <c r="CX394" s="709">
        <f>CZ394-CW394</f>
        <v>11087.337761248855</v>
      </c>
      <c r="CY394" s="80">
        <f>+CY390*CY399</f>
        <v>11147.413555555555</v>
      </c>
      <c r="CZ394" s="176">
        <f>DA394-CY394</f>
        <v>17373.060427915523</v>
      </c>
      <c r="DA394" s="1311">
        <f t="shared" ref="DA394" si="1501">+DA390*DA399</f>
        <v>28520.473983471078</v>
      </c>
      <c r="DB394" s="80">
        <f>+DB390*DB399</f>
        <v>4968.0807352941165</v>
      </c>
      <c r="DC394" s="176">
        <f>DF394-DB394</f>
        <v>6151.0916613160525</v>
      </c>
      <c r="DD394" s="80">
        <f>+DD390*DD399</f>
        <v>7781.1368423050853</v>
      </c>
      <c r="DE394" s="709">
        <f t="shared" ref="DE394:DG394" si="1502">+DE395-DE393</f>
        <v>9859.3427820085017</v>
      </c>
      <c r="DF394" s="176">
        <f>+DF390*DF399</f>
        <v>11119.172396610169</v>
      </c>
      <c r="DG394" s="176">
        <f t="shared" si="1502"/>
        <v>17597.88746448336</v>
      </c>
      <c r="DH394" s="352">
        <f t="shared" ref="DH394:DN394" si="1503">+DH395-DH393</f>
        <v>30451.473139149573</v>
      </c>
      <c r="DI394" s="80">
        <f t="shared" si="1503"/>
        <v>4908.8749921198632</v>
      </c>
      <c r="DJ394" s="176">
        <f t="shared" si="1503"/>
        <v>8660.2697979928416</v>
      </c>
      <c r="DK394" s="324">
        <f t="shared" si="1503"/>
        <v>8062.5315463385959</v>
      </c>
      <c r="DL394" s="445">
        <f t="shared" si="1503"/>
        <v>12259.259959582252</v>
      </c>
      <c r="DM394" s="1760">
        <f>+DM390*DM399</f>
        <v>13626.596184638878</v>
      </c>
      <c r="DN394" s="324">
        <f t="shared" si="1503"/>
        <v>20340.270089781174</v>
      </c>
      <c r="DO394" s="389">
        <f t="shared" ref="DO394:DU394" si="1504">+DO395-DO393</f>
        <v>33814.771266479052</v>
      </c>
      <c r="DP394" s="324">
        <f t="shared" si="1504"/>
        <v>9620.2394981510115</v>
      </c>
      <c r="DQ394" s="324">
        <f t="shared" si="1504"/>
        <v>9959.0384994652159</v>
      </c>
      <c r="DR394" s="324">
        <f t="shared" si="1504"/>
        <v>9943.2586262936675</v>
      </c>
      <c r="DS394" s="445">
        <f t="shared" si="1504"/>
        <v>10105.336166040182</v>
      </c>
      <c r="DT394" s="324">
        <f t="shared" si="1504"/>
        <v>19579.277997616227</v>
      </c>
      <c r="DU394" s="324">
        <f t="shared" si="1504"/>
        <v>20048.594792333854</v>
      </c>
      <c r="DV394" s="389">
        <f t="shared" ref="DV394:EB394" si="1505">+DV395-DV393</f>
        <v>39627.872789950081</v>
      </c>
      <c r="DW394" s="324">
        <f t="shared" si="1505"/>
        <v>10589.502551031979</v>
      </c>
      <c r="DX394" s="324">
        <f t="shared" si="1505"/>
        <v>11009.914506902054</v>
      </c>
      <c r="DY394" s="324">
        <f t="shared" si="1505"/>
        <v>10992.816104266412</v>
      </c>
      <c r="DZ394" s="445">
        <f t="shared" si="1505"/>
        <v>11433.269488795619</v>
      </c>
      <c r="EA394" s="324">
        <f t="shared" si="1505"/>
        <v>21599.417057934032</v>
      </c>
      <c r="EB394" s="324">
        <f t="shared" si="1505"/>
        <v>22426.085593062027</v>
      </c>
      <c r="EC394" s="389">
        <f t="shared" ref="EC394:EI394" si="1506">+EC395-EC393</f>
        <v>44025.502650996059</v>
      </c>
      <c r="ED394" s="324">
        <f t="shared" si="1506"/>
        <v>11680.471908566726</v>
      </c>
      <c r="EE394" s="324">
        <f t="shared" si="1506"/>
        <v>11539.777882446813</v>
      </c>
      <c r="EF394" s="324">
        <f t="shared" si="1506"/>
        <v>11521.258684662866</v>
      </c>
      <c r="EG394" s="445">
        <f t="shared" si="1506"/>
        <v>11986.396444840027</v>
      </c>
      <c r="EH394" s="324">
        <f t="shared" si="1506"/>
        <v>23220.249791013543</v>
      </c>
      <c r="EI394" s="324">
        <f t="shared" si="1506"/>
        <v>23507.655129502895</v>
      </c>
      <c r="EJ394" s="389">
        <f t="shared" ref="EJ394:EP394" si="1507">+EJ395-EJ393</f>
        <v>46727.904920516434</v>
      </c>
      <c r="EK394" s="324">
        <f t="shared" si="1507"/>
        <v>12060.457197004567</v>
      </c>
      <c r="EL394" s="324">
        <f t="shared" si="1507"/>
        <v>11909.352994250061</v>
      </c>
      <c r="EM394" s="324">
        <f t="shared" si="1507"/>
        <v>11889.302981307916</v>
      </c>
      <c r="EN394" s="445">
        <f t="shared" si="1507"/>
        <v>12375.434228332984</v>
      </c>
      <c r="EO394" s="324">
        <f t="shared" si="1507"/>
        <v>23969.810191254623</v>
      </c>
      <c r="EP394" s="324">
        <f t="shared" si="1507"/>
        <v>24264.737209640898</v>
      </c>
      <c r="EQ394" s="389">
        <f>+EQ395-EQ393</f>
        <v>48234.547400895528</v>
      </c>
    </row>
    <row r="395" spans="1:147" ht="10.199999999999999" customHeight="1">
      <c r="A395" s="48" t="s">
        <v>563</v>
      </c>
      <c r="B395" s="48"/>
      <c r="C395" s="222">
        <f t="shared" ref="C395:AB395" si="1508">+C393+C394</f>
        <v>18767.346342280678</v>
      </c>
      <c r="D395" s="222">
        <f t="shared" si="1508"/>
        <v>18142.935746757408</v>
      </c>
      <c r="E395" s="222">
        <f t="shared" si="1508"/>
        <v>18404.697657258941</v>
      </c>
      <c r="F395" s="222">
        <f t="shared" si="1508"/>
        <v>21603.101078919033</v>
      </c>
      <c r="G395" s="222">
        <f t="shared" si="1508"/>
        <v>24789.364206516744</v>
      </c>
      <c r="H395" s="222">
        <f t="shared" si="1508"/>
        <v>29090.202993061273</v>
      </c>
      <c r="I395" s="222">
        <f t="shared" si="1508"/>
        <v>28684.801653752224</v>
      </c>
      <c r="J395" s="222">
        <f t="shared" si="1508"/>
        <v>33922.82506889147</v>
      </c>
      <c r="K395" s="222">
        <f t="shared" si="1508"/>
        <v>34031.844153864338</v>
      </c>
      <c r="L395" s="222">
        <f t="shared" si="1508"/>
        <v>35506.570501323833</v>
      </c>
      <c r="M395" s="222">
        <f t="shared" si="1508"/>
        <v>39654.507688797006</v>
      </c>
      <c r="N395" s="222">
        <f t="shared" si="1508"/>
        <v>46515.507958466347</v>
      </c>
      <c r="O395" s="331"/>
      <c r="P395" s="222"/>
      <c r="Q395" s="331"/>
      <c r="R395" s="720"/>
      <c r="S395" s="331"/>
      <c r="T395" s="331"/>
      <c r="U395" s="1312">
        <f t="shared" si="1508"/>
        <v>50378.571576470589</v>
      </c>
      <c r="V395" s="331"/>
      <c r="W395" s="222"/>
      <c r="X395" s="331"/>
      <c r="Y395" s="720"/>
      <c r="Z395" s="331"/>
      <c r="AA395" s="331"/>
      <c r="AB395" s="1312">
        <f t="shared" si="1508"/>
        <v>54660.600847883208</v>
      </c>
      <c r="AC395" s="331"/>
      <c r="AD395" s="222"/>
      <c r="AE395" s="331"/>
      <c r="AF395" s="720"/>
      <c r="AG395" s="331"/>
      <c r="AH395" s="331"/>
      <c r="AI395" s="1312">
        <f t="shared" ref="AI395:CM395" si="1509">+AI393+AI394</f>
        <v>52890.338147407398</v>
      </c>
      <c r="AJ395" s="331"/>
      <c r="AK395" s="222"/>
      <c r="AL395" s="331"/>
      <c r="AM395" s="720"/>
      <c r="AN395" s="331"/>
      <c r="AO395" s="331"/>
      <c r="AP395" s="1312">
        <f t="shared" si="1509"/>
        <v>55953.99858955224</v>
      </c>
      <c r="AQ395" s="331"/>
      <c r="AR395" s="222"/>
      <c r="AS395" s="331"/>
      <c r="AT395" s="720"/>
      <c r="AU395" s="331"/>
      <c r="AV395" s="331"/>
      <c r="AW395" s="1312">
        <f t="shared" si="1509"/>
        <v>57769.254266666656</v>
      </c>
      <c r="AX395" s="331"/>
      <c r="AY395" s="222"/>
      <c r="AZ395" s="331"/>
      <c r="BA395" s="720"/>
      <c r="BB395" s="331"/>
      <c r="BC395" s="331"/>
      <c r="BD395" s="1312">
        <f t="shared" si="1509"/>
        <v>49832.495866666664</v>
      </c>
      <c r="BE395" s="331"/>
      <c r="BF395" s="222"/>
      <c r="BG395" s="331"/>
      <c r="BH395" s="720"/>
      <c r="BI395" s="331"/>
      <c r="BJ395" s="331"/>
      <c r="BK395" s="1312">
        <f t="shared" si="1509"/>
        <v>55374.215472868207</v>
      </c>
      <c r="BL395" s="331"/>
      <c r="BM395" s="222"/>
      <c r="BN395" s="331"/>
      <c r="BO395" s="720"/>
      <c r="BP395" s="331"/>
      <c r="BQ395" s="331"/>
      <c r="BR395" s="1312">
        <f t="shared" si="1509"/>
        <v>62608.780645161292</v>
      </c>
      <c r="BS395" s="331"/>
      <c r="BT395" s="222"/>
      <c r="BU395" s="331"/>
      <c r="BV395" s="720"/>
      <c r="BW395" s="331"/>
      <c r="BX395" s="331"/>
      <c r="BY395" s="1312">
        <f t="shared" si="1509"/>
        <v>38223</v>
      </c>
      <c r="BZ395" s="331"/>
      <c r="CA395" s="222"/>
      <c r="CB395" s="331"/>
      <c r="CC395" s="720"/>
      <c r="CD395" s="331"/>
      <c r="CE395" s="331"/>
      <c r="CF395" s="1312">
        <f t="shared" si="1509"/>
        <v>40617.361747899151</v>
      </c>
      <c r="CG395" s="331"/>
      <c r="CH395" s="222"/>
      <c r="CI395" s="331"/>
      <c r="CJ395" s="720"/>
      <c r="CK395" s="331"/>
      <c r="CL395" s="331"/>
      <c r="CM395" s="1312">
        <f t="shared" si="1509"/>
        <v>43492.368996721314</v>
      </c>
      <c r="CN395" s="331">
        <f>+CN393+CN394</f>
        <v>8105.1040369180319</v>
      </c>
      <c r="CO395" s="222">
        <f>+CO393+CO394</f>
        <v>12771.374848166332</v>
      </c>
      <c r="CP395" s="331">
        <f>+CP393+CP394</f>
        <v>11355.265277627121</v>
      </c>
      <c r="CQ395" s="720">
        <f t="shared" ref="CQ395:CT395" si="1510">+CQ393+CQ394</f>
        <v>16991.644919201201</v>
      </c>
      <c r="CR395" s="331">
        <f>+CR393+CR394</f>
        <v>20876.478885084362</v>
      </c>
      <c r="CS395" s="331">
        <f t="shared" si="1510"/>
        <v>28346.910196828321</v>
      </c>
      <c r="CT395" s="1312">
        <f t="shared" si="1510"/>
        <v>49223.389081912683</v>
      </c>
      <c r="CU395" s="331">
        <f>+CU393+CU394</f>
        <v>9205.2612219512193</v>
      </c>
      <c r="CV395" s="222">
        <f>+CV393+CV394</f>
        <v>12342.152333604336</v>
      </c>
      <c r="CW395" s="331">
        <f>+CW393+CW394</f>
        <v>11885.722666666668</v>
      </c>
      <c r="CX395" s="720">
        <f t="shared" ref="CX395" si="1511">+CX393+CX394</f>
        <v>18287.337761248855</v>
      </c>
      <c r="CY395" s="331">
        <f>+CY393+CY394</f>
        <v>21547.413555555555</v>
      </c>
      <c r="CZ395" s="331">
        <f t="shared" ref="CZ395" si="1512">+CZ393+CZ394</f>
        <v>30173.060427915523</v>
      </c>
      <c r="DA395" s="1312">
        <f t="shared" ref="DA395" si="1513">+DA393+DA394</f>
        <v>51720.473983471078</v>
      </c>
      <c r="DB395" s="331">
        <f>+DB393+DB394</f>
        <v>8968.0807352941156</v>
      </c>
      <c r="DC395" s="222">
        <f>+DC393+DC394</f>
        <v>11251.091661316052</v>
      </c>
      <c r="DD395" s="331">
        <f>+DD393+DD394</f>
        <v>13481.136842305084</v>
      </c>
      <c r="DE395" s="689">
        <f t="shared" ref="DE395:DZ395" si="1514">+DE270</f>
        <v>20420.299221322966</v>
      </c>
      <c r="DF395" s="331">
        <f>+DF393+DF394</f>
        <v>20219.172396610171</v>
      </c>
      <c r="DG395" s="222">
        <f t="shared" si="1514"/>
        <v>33858.843903797824</v>
      </c>
      <c r="DH395" s="1936">
        <f t="shared" si="1514"/>
        <v>54051.473139149573</v>
      </c>
      <c r="DI395" s="331">
        <f t="shared" si="1514"/>
        <v>8308.8749921198632</v>
      </c>
      <c r="DJ395" s="222">
        <f t="shared" si="1514"/>
        <v>16260.269797992842</v>
      </c>
      <c r="DK395" s="323">
        <f t="shared" si="1514"/>
        <v>14785.698370981583</v>
      </c>
      <c r="DL395" s="441">
        <f t="shared" si="1514"/>
        <v>21528.962719028739</v>
      </c>
      <c r="DM395" s="2040">
        <f>+DM393+DM394</f>
        <v>24626.596184638878</v>
      </c>
      <c r="DN395" s="323">
        <f t="shared" si="1514"/>
        <v>36345.458729777529</v>
      </c>
      <c r="DO395" s="390">
        <f t="shared" si="1514"/>
        <v>61256.999491407318</v>
      </c>
      <c r="DP395" s="323">
        <f t="shared" si="1514"/>
        <v>17253.368566964997</v>
      </c>
      <c r="DQ395" s="323">
        <f t="shared" si="1514"/>
        <v>18016.853139563707</v>
      </c>
      <c r="DR395" s="323">
        <f t="shared" si="1514"/>
        <v>18021.35443877133</v>
      </c>
      <c r="DS395" s="441">
        <f t="shared" si="1514"/>
        <v>18021.35443877133</v>
      </c>
      <c r="DT395" s="323">
        <f t="shared" si="1514"/>
        <v>35270.221706528704</v>
      </c>
      <c r="DU395" s="323">
        <f t="shared" si="1514"/>
        <v>36042.70887754266</v>
      </c>
      <c r="DV395" s="390">
        <f t="shared" si="1514"/>
        <v>71312.930584071364</v>
      </c>
      <c r="DW395" s="323">
        <f t="shared" si="1514"/>
        <v>18960.279693686771</v>
      </c>
      <c r="DX395" s="323">
        <f t="shared" si="1514"/>
        <v>19874.697324992565</v>
      </c>
      <c r="DY395" s="323">
        <f t="shared" si="1514"/>
        <v>19879.311156680378</v>
      </c>
      <c r="DZ395" s="441">
        <f t="shared" si="1514"/>
        <v>20323.011205516548</v>
      </c>
      <c r="EA395" s="323">
        <f t="shared" ref="EA395:EQ395" si="1515">+EA270</f>
        <v>38834.977018679332</v>
      </c>
      <c r="EB395" s="323">
        <f t="shared" si="1515"/>
        <v>40202.322362196923</v>
      </c>
      <c r="EC395" s="390">
        <f t="shared" si="1515"/>
        <v>79037.299380876255</v>
      </c>
      <c r="ED395" s="323">
        <f t="shared" si="1515"/>
        <v>20876.895114392195</v>
      </c>
      <c r="EE395" s="323">
        <f t="shared" si="1515"/>
        <v>20872.165936912184</v>
      </c>
      <c r="EF395" s="323">
        <f t="shared" si="1515"/>
        <v>20876.895114392195</v>
      </c>
      <c r="EG395" s="441">
        <f t="shared" si="1515"/>
        <v>21339.956619904853</v>
      </c>
      <c r="EH395" s="323">
        <f t="shared" si="1515"/>
        <v>41749.061051304379</v>
      </c>
      <c r="EI395" s="323">
        <f t="shared" si="1515"/>
        <v>42216.851734297044</v>
      </c>
      <c r="EJ395" s="390">
        <f t="shared" si="1515"/>
        <v>83965.912785601424</v>
      </c>
      <c r="EK395" s="323">
        <f t="shared" si="1515"/>
        <v>21615.912073463835</v>
      </c>
      <c r="EL395" s="323">
        <f t="shared" si="1515"/>
        <v>21611.064666546823</v>
      </c>
      <c r="EM395" s="323">
        <f t="shared" si="1515"/>
        <v>21615.912073463835</v>
      </c>
      <c r="EN395" s="441">
        <f t="shared" si="1515"/>
        <v>22090.550116614308</v>
      </c>
      <c r="EO395" s="323">
        <f t="shared" si="1515"/>
        <v>43226.97674001065</v>
      </c>
      <c r="EP395" s="323">
        <f t="shared" si="1515"/>
        <v>43706.462190078135</v>
      </c>
      <c r="EQ395" s="390">
        <f t="shared" si="1515"/>
        <v>86933.4389300888</v>
      </c>
    </row>
    <row r="396" spans="1:147" ht="10.199999999999999" customHeight="1">
      <c r="A396" s="108" t="s">
        <v>571</v>
      </c>
      <c r="B396" s="48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3">
        <f t="shared" ref="N396" si="1516">N395/M395-1</f>
        <v>0.17301942880021381</v>
      </c>
      <c r="O396" s="321"/>
      <c r="P396" s="321"/>
      <c r="Q396" s="321"/>
      <c r="R396" s="444"/>
      <c r="S396" s="409"/>
      <c r="T396" s="409"/>
      <c r="U396" s="1270">
        <f>U395/N395-1</f>
        <v>8.3048939752599749E-2</v>
      </c>
      <c r="V396" s="321"/>
      <c r="W396" s="321"/>
      <c r="X396" s="321"/>
      <c r="Y396" s="444"/>
      <c r="Z396" s="409"/>
      <c r="AA396" s="409"/>
      <c r="AB396" s="1270">
        <f>AB395/U395-1</f>
        <v>8.4997036188547925E-2</v>
      </c>
      <c r="AC396" s="321"/>
      <c r="AD396" s="321"/>
      <c r="AE396" s="321"/>
      <c r="AF396" s="444"/>
      <c r="AG396" s="409"/>
      <c r="AH396" s="409"/>
      <c r="AI396" s="1270">
        <f>AI395/AB395-1</f>
        <v>-3.2386447880482172E-2</v>
      </c>
      <c r="AJ396" s="321"/>
      <c r="AK396" s="321"/>
      <c r="AL396" s="321"/>
      <c r="AM396" s="444"/>
      <c r="AN396" s="409"/>
      <c r="AO396" s="409"/>
      <c r="AP396" s="1270">
        <f>AP395/AI395-1</f>
        <v>5.7924765646351295E-2</v>
      </c>
      <c r="AQ396" s="321"/>
      <c r="AR396" s="321"/>
      <c r="AS396" s="321"/>
      <c r="AT396" s="444"/>
      <c r="AU396" s="409"/>
      <c r="AV396" s="409"/>
      <c r="AW396" s="1270">
        <f>AW395/AP395-1</f>
        <v>3.2441929493370658E-2</v>
      </c>
      <c r="AX396" s="321"/>
      <c r="AY396" s="321"/>
      <c r="AZ396" s="321"/>
      <c r="BA396" s="444"/>
      <c r="BB396" s="409"/>
      <c r="BC396" s="409"/>
      <c r="BD396" s="1270">
        <f>BD395/AW395-1</f>
        <v>-0.13738723999038305</v>
      </c>
      <c r="BE396" s="321"/>
      <c r="BF396" s="321"/>
      <c r="BG396" s="321"/>
      <c r="BH396" s="444"/>
      <c r="BI396" s="409"/>
      <c r="BJ396" s="409"/>
      <c r="BK396" s="1270">
        <f>BK395/AW395-1</f>
        <v>-4.1458710592710668E-2</v>
      </c>
      <c r="BL396" s="321"/>
      <c r="BM396" s="321"/>
      <c r="BN396" s="321"/>
      <c r="BO396" s="444"/>
      <c r="BP396" s="409"/>
      <c r="BQ396" s="409"/>
      <c r="BR396" s="1270">
        <f>BR395/BK395-1</f>
        <v>0.13064862608911931</v>
      </c>
      <c r="BS396" s="321"/>
      <c r="BT396" s="321"/>
      <c r="BU396" s="321"/>
      <c r="BV396" s="444"/>
      <c r="BW396" s="409"/>
      <c r="BX396" s="409"/>
      <c r="BY396" s="1270">
        <f>BY395/BR395-1</f>
        <v>-0.38949457877752081</v>
      </c>
      <c r="BZ396" s="321"/>
      <c r="CA396" s="321"/>
      <c r="CB396" s="321"/>
      <c r="CC396" s="444"/>
      <c r="CD396" s="409"/>
      <c r="CE396" s="409"/>
      <c r="CF396" s="1270">
        <f>CF395/BY395-1</f>
        <v>6.2641910574762649E-2</v>
      </c>
      <c r="CG396" s="321"/>
      <c r="CH396" s="321"/>
      <c r="CI396" s="321"/>
      <c r="CJ396" s="444"/>
      <c r="CK396" s="409"/>
      <c r="CL396" s="409"/>
      <c r="CM396" s="1270">
        <f>CM395/CF395-1</f>
        <v>7.078271766311528E-2</v>
      </c>
      <c r="CN396" s="321"/>
      <c r="CO396" s="321"/>
      <c r="CP396" s="321"/>
      <c r="CQ396" s="444"/>
      <c r="CR396" s="409"/>
      <c r="CS396" s="409"/>
      <c r="CT396" s="1270">
        <f>CT395/CM395-1</f>
        <v>0.1317707040888807</v>
      </c>
      <c r="CU396" s="321"/>
      <c r="CV396" s="321"/>
      <c r="CW396" s="321"/>
      <c r="CX396" s="444"/>
      <c r="CY396" s="321"/>
      <c r="CZ396" s="409"/>
      <c r="DA396" s="1270">
        <f>DA395/CT395-1</f>
        <v>5.0729641906675615E-2</v>
      </c>
      <c r="DB396" s="321"/>
      <c r="DC396" s="321"/>
      <c r="DD396" s="321"/>
      <c r="DE396" s="444"/>
      <c r="DF396" s="321"/>
      <c r="DG396" s="321"/>
      <c r="DH396" s="1270">
        <f>DH395/DA395-1</f>
        <v>4.5069176211019357E-2</v>
      </c>
      <c r="DI396" s="321"/>
      <c r="DJ396" s="321"/>
      <c r="DK396" s="321"/>
      <c r="DL396" s="444"/>
      <c r="DM396" s="274"/>
      <c r="DN396" s="321"/>
      <c r="DO396" s="387">
        <f>DO395/DH395-1</f>
        <v>0.13330860259271593</v>
      </c>
      <c r="DP396" s="321"/>
      <c r="DQ396" s="321"/>
      <c r="DR396" s="321"/>
      <c r="DS396" s="444"/>
      <c r="DT396" s="321"/>
      <c r="DU396" s="321"/>
      <c r="DV396" s="387">
        <f>DV395/DO395-1</f>
        <v>0.16415970707273408</v>
      </c>
      <c r="DW396" s="321"/>
      <c r="DX396" s="321"/>
      <c r="DY396" s="321"/>
      <c r="DZ396" s="444"/>
      <c r="EA396" s="321"/>
      <c r="EB396" s="321"/>
      <c r="EC396" s="387">
        <f>EC395/DV395-1</f>
        <v>0.10831652455649077</v>
      </c>
      <c r="ED396" s="321"/>
      <c r="EE396" s="321"/>
      <c r="EF396" s="321"/>
      <c r="EG396" s="444"/>
      <c r="EH396" s="321"/>
      <c r="EI396" s="321"/>
      <c r="EJ396" s="387">
        <f>EJ395/EC395-1</f>
        <v>6.2358069460021204E-2</v>
      </c>
      <c r="EK396" s="321"/>
      <c r="EL396" s="321"/>
      <c r="EM396" s="321"/>
      <c r="EN396" s="444"/>
      <c r="EO396" s="321"/>
      <c r="EP396" s="321"/>
      <c r="EQ396" s="387">
        <f>EQ395/EJ395-1</f>
        <v>3.5342033999733458E-2</v>
      </c>
    </row>
    <row r="397" spans="1:147" ht="10.199999999999999" customHeight="1">
      <c r="A397" s="108"/>
      <c r="B397" s="43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321"/>
      <c r="P397" s="321"/>
      <c r="Q397" s="321"/>
      <c r="R397" s="444"/>
      <c r="S397" s="321"/>
      <c r="T397" s="321"/>
      <c r="U397" s="343"/>
      <c r="V397" s="321"/>
      <c r="W397" s="321"/>
      <c r="X397" s="321"/>
      <c r="Y397" s="444"/>
      <c r="Z397" s="321"/>
      <c r="AA397" s="321"/>
      <c r="AB397" s="343"/>
      <c r="AC397" s="321"/>
      <c r="AD397" s="321"/>
      <c r="AE397" s="321"/>
      <c r="AF397" s="444"/>
      <c r="AG397" s="321"/>
      <c r="AH397" s="321"/>
      <c r="AI397" s="343"/>
      <c r="AJ397" s="321"/>
      <c r="AK397" s="321"/>
      <c r="AL397" s="321"/>
      <c r="AM397" s="444"/>
      <c r="AN397" s="321"/>
      <c r="AO397" s="321"/>
      <c r="AP397" s="343"/>
      <c r="AQ397" s="321"/>
      <c r="AR397" s="321"/>
      <c r="AS397" s="321"/>
      <c r="AT397" s="444"/>
      <c r="AU397" s="321"/>
      <c r="AV397" s="321"/>
      <c r="AW397" s="343"/>
      <c r="AX397" s="321"/>
      <c r="AY397" s="321"/>
      <c r="AZ397" s="321"/>
      <c r="BA397" s="444"/>
      <c r="BB397" s="321"/>
      <c r="BC397" s="321"/>
      <c r="BD397" s="343"/>
      <c r="BE397" s="321"/>
      <c r="BF397" s="321"/>
      <c r="BG397" s="321"/>
      <c r="BH397" s="444"/>
      <c r="BI397" s="321"/>
      <c r="BJ397" s="321"/>
      <c r="BK397" s="343"/>
      <c r="BL397" s="321"/>
      <c r="BM397" s="321"/>
      <c r="BN397" s="321"/>
      <c r="BO397" s="444"/>
      <c r="BP397" s="321"/>
      <c r="BQ397" s="321"/>
      <c r="BR397" s="343"/>
      <c r="BS397" s="321"/>
      <c r="BT397" s="321"/>
      <c r="BU397" s="321"/>
      <c r="BV397" s="444"/>
      <c r="BW397" s="321"/>
      <c r="BX397" s="321"/>
      <c r="BY397" s="343"/>
      <c r="BZ397" s="321"/>
      <c r="CA397" s="321"/>
      <c r="CB397" s="321"/>
      <c r="CC397" s="444"/>
      <c r="CD397" s="321"/>
      <c r="CE397" s="321"/>
      <c r="CF397" s="343"/>
      <c r="CG397" s="321"/>
      <c r="CH397" s="321"/>
      <c r="CI397" s="321"/>
      <c r="CJ397" s="444"/>
      <c r="CK397" s="321"/>
      <c r="CL397" s="321"/>
      <c r="CM397" s="343"/>
      <c r="CN397" s="321"/>
      <c r="CO397" s="321"/>
      <c r="CP397" s="321"/>
      <c r="CQ397" s="444"/>
      <c r="CR397" s="321"/>
      <c r="CS397" s="321"/>
      <c r="CT397" s="343"/>
      <c r="CU397" s="321"/>
      <c r="CV397" s="321"/>
      <c r="CW397" s="321"/>
      <c r="CX397" s="444"/>
      <c r="CY397" s="321"/>
      <c r="CZ397" s="321"/>
      <c r="DA397" s="343"/>
      <c r="DB397" s="321"/>
      <c r="DC397" s="321"/>
      <c r="DD397" s="321"/>
      <c r="DE397" s="444"/>
      <c r="DF397" s="321"/>
      <c r="DG397" s="321"/>
      <c r="DH397" s="343"/>
      <c r="DI397" s="321"/>
      <c r="DJ397" s="321"/>
      <c r="DK397" s="321"/>
      <c r="DL397" s="444"/>
      <c r="DM397" s="274"/>
      <c r="DN397" s="321"/>
      <c r="DO397" s="343"/>
      <c r="DP397" s="321"/>
      <c r="DQ397" s="321"/>
      <c r="DR397" s="321"/>
      <c r="DS397" s="444"/>
      <c r="DT397" s="321"/>
      <c r="DU397" s="321"/>
      <c r="DV397" s="343"/>
      <c r="DW397" s="321"/>
      <c r="DX397" s="321"/>
      <c r="DY397" s="321"/>
      <c r="DZ397" s="444"/>
      <c r="EA397" s="321"/>
      <c r="EB397" s="321"/>
      <c r="EC397" s="343"/>
      <c r="ED397" s="321"/>
      <c r="EE397" s="321"/>
      <c r="EF397" s="321"/>
      <c r="EG397" s="444"/>
      <c r="EH397" s="321"/>
      <c r="EI397" s="321"/>
      <c r="EJ397" s="343"/>
      <c r="EK397" s="321"/>
      <c r="EL397" s="321"/>
      <c r="EM397" s="321"/>
      <c r="EN397" s="444"/>
      <c r="EO397" s="321"/>
      <c r="EP397" s="321"/>
      <c r="EQ397" s="343"/>
    </row>
    <row r="398" spans="1:147" ht="10.199999999999999" customHeight="1">
      <c r="A398" s="108" t="s">
        <v>302</v>
      </c>
      <c r="B398" s="108"/>
      <c r="C398" s="229">
        <v>0.99</v>
      </c>
      <c r="D398" s="229">
        <v>0.99</v>
      </c>
      <c r="E398" s="229">
        <v>0.96</v>
      </c>
      <c r="F398" s="229">
        <v>0.98</v>
      </c>
      <c r="G398" s="229">
        <v>1.03</v>
      </c>
      <c r="H398" s="229">
        <v>1.1140000000000001</v>
      </c>
      <c r="I398" s="229">
        <v>1.1499999999999999</v>
      </c>
      <c r="J398" s="229">
        <v>1.1599999999999999</v>
      </c>
      <c r="K398" s="229">
        <v>1.26</v>
      </c>
      <c r="L398" s="229">
        <v>1.35</v>
      </c>
      <c r="M398" s="229">
        <v>1.37</v>
      </c>
      <c r="N398" s="229">
        <v>1.36</v>
      </c>
      <c r="O398" s="229"/>
      <c r="P398" s="229"/>
      <c r="Q398" s="229"/>
      <c r="R398" s="718"/>
      <c r="S398" s="229"/>
      <c r="T398" s="229"/>
      <c r="U398" s="1313">
        <v>1.37</v>
      </c>
      <c r="V398" s="229"/>
      <c r="W398" s="229"/>
      <c r="X398" s="229"/>
      <c r="Y398" s="718"/>
      <c r="Z398" s="229"/>
      <c r="AA398" s="229"/>
      <c r="AB398" s="1313">
        <v>1.35</v>
      </c>
      <c r="AC398" s="229"/>
      <c r="AD398" s="229"/>
      <c r="AE398" s="229"/>
      <c r="AF398" s="718"/>
      <c r="AG398" s="229"/>
      <c r="AH398" s="229"/>
      <c r="AI398" s="1313">
        <v>1.34</v>
      </c>
      <c r="AJ398" s="229"/>
      <c r="AK398" s="229"/>
      <c r="AL398" s="229"/>
      <c r="AM398" s="718"/>
      <c r="AN398" s="229"/>
      <c r="AO398" s="229"/>
      <c r="AP398" s="1313">
        <v>1.32</v>
      </c>
      <c r="AQ398" s="229"/>
      <c r="AR398" s="229"/>
      <c r="AS398" s="229"/>
      <c r="AT398" s="718"/>
      <c r="AU398" s="229"/>
      <c r="AV398" s="229"/>
      <c r="AW398" s="1313">
        <v>1.29</v>
      </c>
      <c r="AX398" s="229"/>
      <c r="AY398" s="229"/>
      <c r="AZ398" s="229"/>
      <c r="BA398" s="718"/>
      <c r="BB398" s="229"/>
      <c r="BC398" s="229"/>
      <c r="BD398" s="1313">
        <f>+AW398</f>
        <v>1.29</v>
      </c>
      <c r="BE398" s="229"/>
      <c r="BF398" s="229"/>
      <c r="BG398" s="229"/>
      <c r="BH398" s="718"/>
      <c r="BI398" s="229"/>
      <c r="BJ398" s="229"/>
      <c r="BK398" s="1313">
        <v>1.24</v>
      </c>
      <c r="BL398" s="229"/>
      <c r="BM398" s="229"/>
      <c r="BN398" s="229"/>
      <c r="BO398" s="718"/>
      <c r="BP398" s="229"/>
      <c r="BQ398" s="229"/>
      <c r="BR398" s="1313">
        <v>1.2</v>
      </c>
      <c r="BS398" s="229"/>
      <c r="BT398" s="229"/>
      <c r="BU398" s="229"/>
      <c r="BV398" s="718"/>
      <c r="BW398" s="229"/>
      <c r="BX398" s="229"/>
      <c r="BY398" s="1313">
        <v>1.19</v>
      </c>
      <c r="BZ398" s="229"/>
      <c r="CA398" s="229"/>
      <c r="CB398" s="229"/>
      <c r="CC398" s="718"/>
      <c r="CD398" s="229"/>
      <c r="CE398" s="229"/>
      <c r="CF398" s="1744">
        <v>1.19</v>
      </c>
      <c r="CG398" s="229"/>
      <c r="CH398" s="229"/>
      <c r="CI398" s="229"/>
      <c r="CJ398" s="718"/>
      <c r="CK398" s="229"/>
      <c r="CL398" s="229"/>
      <c r="CM398" s="1313">
        <v>1.22</v>
      </c>
      <c r="CN398" s="229">
        <v>1.22</v>
      </c>
      <c r="CO398" s="229">
        <v>1.21</v>
      </c>
      <c r="CP398" s="229">
        <v>1.18</v>
      </c>
      <c r="CQ398" s="718">
        <v>1.2</v>
      </c>
      <c r="CR398" s="229">
        <f>AVERAGE(CN398:CO398)</f>
        <v>1.2149999999999999</v>
      </c>
      <c r="CS398" s="229">
        <f>AVERAGE(CP398:CQ398)</f>
        <v>1.19</v>
      </c>
      <c r="CT398" s="1313">
        <f>AVERAGE(CN398:CQ398)</f>
        <v>1.2024999999999999</v>
      </c>
      <c r="CU398" s="229">
        <v>1.23</v>
      </c>
      <c r="CV398" s="229">
        <v>1.2</v>
      </c>
      <c r="CW398" s="229">
        <v>1.2</v>
      </c>
      <c r="CX398" s="718">
        <v>1.21</v>
      </c>
      <c r="CY398" s="229">
        <f>AVERAGE(CU398:CV398)</f>
        <v>1.2149999999999999</v>
      </c>
      <c r="CZ398" s="229">
        <f>AVERAGE(CW398:CX398)</f>
        <v>1.2050000000000001</v>
      </c>
      <c r="DA398" s="1313">
        <f>AVERAGE(CU398:CX398)</f>
        <v>1.21</v>
      </c>
      <c r="DB398" s="229">
        <v>1.19</v>
      </c>
      <c r="DC398" s="1816">
        <v>1.17</v>
      </c>
      <c r="DD398" s="229">
        <v>1.18</v>
      </c>
      <c r="DE398" s="718">
        <v>1.21</v>
      </c>
      <c r="DF398" s="229">
        <f>AVERAGE(DB398:DC398)</f>
        <v>1.18</v>
      </c>
      <c r="DG398" s="229">
        <f>AVERAGE(DD398:DE398)</f>
        <v>1.1949999999999998</v>
      </c>
      <c r="DH398" s="1313">
        <f>AVERAGE(DF398:DG398)</f>
        <v>1.1875</v>
      </c>
      <c r="DI398" s="229">
        <v>1.21</v>
      </c>
      <c r="DJ398" s="229">
        <v>1.21</v>
      </c>
      <c r="DK398" s="1938">
        <v>1.18</v>
      </c>
      <c r="DL398" s="1352">
        <v>1.22</v>
      </c>
      <c r="DM398" s="229">
        <f>AVERAGE(DI398:DJ398)</f>
        <v>1.21</v>
      </c>
      <c r="DN398" s="325">
        <f>AVERAGE(DK398:DL398)</f>
        <v>1.2</v>
      </c>
      <c r="DO398" s="391">
        <f>AVERAGE(DM398:DN398)</f>
        <v>1.2050000000000001</v>
      </c>
      <c r="DP398" s="325">
        <f>DV398</f>
        <v>1.23</v>
      </c>
      <c r="DQ398" s="325">
        <f>DV398</f>
        <v>1.23</v>
      </c>
      <c r="DR398" s="325">
        <f>DV398</f>
        <v>1.23</v>
      </c>
      <c r="DS398" s="520">
        <f>DV398</f>
        <v>1.23</v>
      </c>
      <c r="DT398" s="325">
        <f>DV398</f>
        <v>1.23</v>
      </c>
      <c r="DU398" s="325">
        <f>DV398</f>
        <v>1.23</v>
      </c>
      <c r="DV398" s="391">
        <v>1.23</v>
      </c>
      <c r="DW398" s="325">
        <f>EC398</f>
        <v>1.22</v>
      </c>
      <c r="DX398" s="325">
        <f>EC398</f>
        <v>1.22</v>
      </c>
      <c r="DY398" s="325">
        <f>EC398</f>
        <v>1.22</v>
      </c>
      <c r="DZ398" s="520">
        <f>EC398</f>
        <v>1.22</v>
      </c>
      <c r="EA398" s="325">
        <f>EC398</f>
        <v>1.22</v>
      </c>
      <c r="EB398" s="325">
        <f>EC398</f>
        <v>1.22</v>
      </c>
      <c r="EC398" s="391">
        <v>1.22</v>
      </c>
      <c r="ED398" s="325">
        <f>EJ398</f>
        <v>1.21</v>
      </c>
      <c r="EE398" s="325">
        <f>EJ398</f>
        <v>1.21</v>
      </c>
      <c r="EF398" s="325">
        <f>EJ398</f>
        <v>1.21</v>
      </c>
      <c r="EG398" s="520">
        <f>EJ398</f>
        <v>1.21</v>
      </c>
      <c r="EH398" s="325">
        <f>EJ398</f>
        <v>1.21</v>
      </c>
      <c r="EI398" s="325">
        <f>EJ398</f>
        <v>1.21</v>
      </c>
      <c r="EJ398" s="391">
        <v>1.21</v>
      </c>
      <c r="EK398" s="325">
        <f>EQ398</f>
        <v>1.24</v>
      </c>
      <c r="EL398" s="325">
        <f>EQ398</f>
        <v>1.24</v>
      </c>
      <c r="EM398" s="325">
        <f>EQ398</f>
        <v>1.24</v>
      </c>
      <c r="EN398" s="520">
        <f>EQ398</f>
        <v>1.24</v>
      </c>
      <c r="EO398" s="325">
        <f>EQ398</f>
        <v>1.24</v>
      </c>
      <c r="EP398" s="325">
        <f>EQ398</f>
        <v>1.24</v>
      </c>
      <c r="EQ398" s="391">
        <v>1.24</v>
      </c>
    </row>
    <row r="399" spans="1:147" ht="10.199999999999999" customHeight="1">
      <c r="A399" s="108" t="s">
        <v>583</v>
      </c>
      <c r="B399" s="108"/>
      <c r="C399" s="229">
        <v>0.9</v>
      </c>
      <c r="D399" s="229">
        <v>0.94510000000000005</v>
      </c>
      <c r="E399" s="229">
        <v>1.1304000000000001</v>
      </c>
      <c r="F399" s="229">
        <v>1.2455209011538446</v>
      </c>
      <c r="G399" s="229">
        <v>1.244537394639919</v>
      </c>
      <c r="H399" s="229">
        <v>1.2544999999999999</v>
      </c>
      <c r="I399" s="229">
        <v>1.37</v>
      </c>
      <c r="J399" s="229">
        <v>1.4850000000000001</v>
      </c>
      <c r="K399" s="229">
        <v>1.3925000000000001</v>
      </c>
      <c r="L399" s="229">
        <v>1.3267</v>
      </c>
      <c r="M399" s="229">
        <v>1.31</v>
      </c>
      <c r="N399" s="229">
        <v>1.286</v>
      </c>
      <c r="O399" s="229"/>
      <c r="P399" s="229"/>
      <c r="Q399" s="229"/>
      <c r="R399" s="718"/>
      <c r="S399" s="229"/>
      <c r="T399" s="229"/>
      <c r="U399" s="1313">
        <v>1.3280000000000001</v>
      </c>
      <c r="V399" s="229"/>
      <c r="W399" s="229"/>
      <c r="X399" s="229"/>
      <c r="Y399" s="718"/>
      <c r="Z399" s="229"/>
      <c r="AA399" s="229"/>
      <c r="AB399" s="1313">
        <v>1.3286</v>
      </c>
      <c r="AC399" s="229"/>
      <c r="AD399" s="229"/>
      <c r="AE399" s="229"/>
      <c r="AF399" s="718"/>
      <c r="AG399" s="229"/>
      <c r="AH399" s="229"/>
      <c r="AI399" s="1313">
        <v>1.1097999999999999</v>
      </c>
      <c r="AJ399" s="229"/>
      <c r="AK399" s="229"/>
      <c r="AL399" s="229"/>
      <c r="AM399" s="718"/>
      <c r="AN399" s="229"/>
      <c r="AO399" s="229"/>
      <c r="AP399" s="1313">
        <v>1.1100000000000001</v>
      </c>
      <c r="AQ399" s="229"/>
      <c r="AR399" s="229"/>
      <c r="AS399" s="229"/>
      <c r="AT399" s="718"/>
      <c r="AU399" s="229"/>
      <c r="AV399" s="229"/>
      <c r="AW399" s="1313">
        <v>1.1299999999999999</v>
      </c>
      <c r="AX399" s="229"/>
      <c r="AY399" s="229"/>
      <c r="AZ399" s="229"/>
      <c r="BA399" s="718"/>
      <c r="BB399" s="229"/>
      <c r="BC399" s="229"/>
      <c r="BD399" s="1313">
        <f>+AW399</f>
        <v>1.1299999999999999</v>
      </c>
      <c r="BE399" s="229"/>
      <c r="BF399" s="229"/>
      <c r="BG399" s="229"/>
      <c r="BH399" s="718"/>
      <c r="BI399" s="229"/>
      <c r="BJ399" s="229"/>
      <c r="BK399" s="1313">
        <v>1.18</v>
      </c>
      <c r="BL399" s="229"/>
      <c r="BM399" s="229"/>
      <c r="BN399" s="229"/>
      <c r="BO399" s="718"/>
      <c r="BP399" s="229"/>
      <c r="BQ399" s="229"/>
      <c r="BR399" s="1313">
        <v>1.2</v>
      </c>
      <c r="BS399" s="229"/>
      <c r="BT399" s="229"/>
      <c r="BU399" s="229"/>
      <c r="BV399" s="718"/>
      <c r="BW399" s="229"/>
      <c r="BX399" s="229"/>
      <c r="BY399" s="1313">
        <v>1.2</v>
      </c>
      <c r="BZ399" s="229"/>
      <c r="CA399" s="229"/>
      <c r="CB399" s="229"/>
      <c r="CC399" s="718"/>
      <c r="CD399" s="229"/>
      <c r="CE399" s="229"/>
      <c r="CF399" s="1313">
        <v>1.2</v>
      </c>
      <c r="CG399" s="229"/>
      <c r="CH399" s="229"/>
      <c r="CI399" s="229"/>
      <c r="CJ399" s="718"/>
      <c r="CK399" s="229"/>
      <c r="CL399" s="229"/>
      <c r="CM399" s="1313">
        <v>1.08</v>
      </c>
      <c r="CN399" s="229">
        <v>1.0733649999999999</v>
      </c>
      <c r="CO399" s="229">
        <f>(CR399*2)-CN399</f>
        <v>1.0904050000000001</v>
      </c>
      <c r="CP399" s="229">
        <v>1.0881000000000001</v>
      </c>
      <c r="CQ399" s="718">
        <f>(CS399*2)-CP399</f>
        <v>1.0681300000000002</v>
      </c>
      <c r="CR399" s="229">
        <v>1.081885</v>
      </c>
      <c r="CS399" s="229">
        <f>(CT399*2)-CR399</f>
        <v>1.0781150000000002</v>
      </c>
      <c r="CT399" s="1313">
        <v>1.08</v>
      </c>
      <c r="CU399" s="229">
        <v>1.0900000000000001</v>
      </c>
      <c r="CV399" s="229">
        <f>(CY399*2)-CU399</f>
        <v>1.07</v>
      </c>
      <c r="CW399" s="229">
        <v>1.1000000000000001</v>
      </c>
      <c r="CX399" s="718">
        <f>(CZ399*2)-CW399</f>
        <v>1.06</v>
      </c>
      <c r="CY399" s="229">
        <v>1.08</v>
      </c>
      <c r="CZ399" s="229">
        <f>(DA399*2)-CY399</f>
        <v>1.08</v>
      </c>
      <c r="DA399" s="1313">
        <v>1.08</v>
      </c>
      <c r="DB399" s="229">
        <v>1.05</v>
      </c>
      <c r="DC399" s="229">
        <f>(DF399*2)-DB399</f>
        <v>1.1300000000000001</v>
      </c>
      <c r="DD399" s="229">
        <v>1.1684000000000001</v>
      </c>
      <c r="DE399" s="718">
        <f>(DG399*2)-DD399</f>
        <v>1.1715999999999993</v>
      </c>
      <c r="DF399" s="1816">
        <v>1.0900000000000001</v>
      </c>
      <c r="DG399" s="229">
        <f>(DH399*2)-DF399</f>
        <v>1.1699999999999997</v>
      </c>
      <c r="DH399" s="1313">
        <v>1.1299999999999999</v>
      </c>
      <c r="DI399" s="229">
        <v>1.1705000000000001</v>
      </c>
      <c r="DJ399" s="229">
        <f>(DM399*2)-DI399</f>
        <v>1.1624056339671061</v>
      </c>
      <c r="DK399" s="1938">
        <v>1.1499999999999999</v>
      </c>
      <c r="DL399" s="520">
        <f>(DN399*2)-DK399</f>
        <v>1.1470943660328938</v>
      </c>
      <c r="DM399" s="2041">
        <v>1.1664528169835531</v>
      </c>
      <c r="DN399" s="325">
        <f>(DO399*2)-DM399</f>
        <v>1.1485471830164469</v>
      </c>
      <c r="DO399" s="391">
        <v>1.1575</v>
      </c>
      <c r="DP399" s="325">
        <f>DV399</f>
        <v>1.18</v>
      </c>
      <c r="DQ399" s="325">
        <f>DV399</f>
        <v>1.18</v>
      </c>
      <c r="DR399" s="325">
        <f>DV399</f>
        <v>1.18</v>
      </c>
      <c r="DS399" s="520">
        <f>DV399</f>
        <v>1.18</v>
      </c>
      <c r="DT399" s="325">
        <f>DV399</f>
        <v>1.18</v>
      </c>
      <c r="DU399" s="325">
        <f>DV399</f>
        <v>1.18</v>
      </c>
      <c r="DV399" s="391">
        <v>1.18</v>
      </c>
      <c r="DW399" s="325">
        <f>EC399</f>
        <v>1.19</v>
      </c>
      <c r="DX399" s="325">
        <f>EC399</f>
        <v>1.19</v>
      </c>
      <c r="DY399" s="325">
        <f>EC399</f>
        <v>1.19</v>
      </c>
      <c r="DZ399" s="520">
        <f>EC399</f>
        <v>1.19</v>
      </c>
      <c r="EA399" s="325">
        <f>EC399</f>
        <v>1.19</v>
      </c>
      <c r="EB399" s="325">
        <f>EC399</f>
        <v>1.19</v>
      </c>
      <c r="EC399" s="391">
        <v>1.19</v>
      </c>
      <c r="ED399" s="325">
        <f>EJ399</f>
        <v>1.22</v>
      </c>
      <c r="EE399" s="325">
        <f>EJ399</f>
        <v>1.22</v>
      </c>
      <c r="EF399" s="325">
        <f>EJ399</f>
        <v>1.22</v>
      </c>
      <c r="EG399" s="520">
        <f>EJ399</f>
        <v>1.22</v>
      </c>
      <c r="EH399" s="325">
        <f>EJ399</f>
        <v>1.22</v>
      </c>
      <c r="EI399" s="325">
        <f>EJ399</f>
        <v>1.22</v>
      </c>
      <c r="EJ399" s="391">
        <v>1.22</v>
      </c>
      <c r="EK399" s="325">
        <f>EQ399</f>
        <v>1.23</v>
      </c>
      <c r="EL399" s="325">
        <f>EQ399</f>
        <v>1.23</v>
      </c>
      <c r="EM399" s="325">
        <f>EQ399</f>
        <v>1.23</v>
      </c>
      <c r="EN399" s="520">
        <f>EQ399</f>
        <v>1.23</v>
      </c>
      <c r="EO399" s="325">
        <f>EQ399</f>
        <v>1.23</v>
      </c>
      <c r="EP399" s="325">
        <f>EQ399</f>
        <v>1.23</v>
      </c>
      <c r="EQ399" s="391">
        <v>1.23</v>
      </c>
    </row>
    <row r="400" spans="1:147" ht="10.199999999999999" customHeight="1">
      <c r="A400" s="48" t="s">
        <v>454</v>
      </c>
      <c r="B400" s="48"/>
      <c r="C400" s="329">
        <f t="shared" ref="C400:DB400" si="1517">(C398*C387)+((1-C387)*C399)</f>
        <v>0.99498363675969892</v>
      </c>
      <c r="D400" s="329">
        <f t="shared" si="1517"/>
        <v>1.0002535600682361</v>
      </c>
      <c r="E400" s="329">
        <f t="shared" si="1517"/>
        <v>0.89920842164489589</v>
      </c>
      <c r="F400" s="329">
        <f t="shared" si="1517"/>
        <v>0.94027135911956383</v>
      </c>
      <c r="G400" s="329">
        <f t="shared" si="1517"/>
        <v>1.033035643173325</v>
      </c>
      <c r="H400" s="329">
        <f t="shared" si="1517"/>
        <v>1.107278236898138</v>
      </c>
      <c r="I400" s="329">
        <f t="shared" si="1517"/>
        <v>1.0214920154505314</v>
      </c>
      <c r="J400" s="329">
        <f t="shared" si="1517"/>
        <v>1.1366044121692893</v>
      </c>
      <c r="K400" s="329">
        <f t="shared" si="1517"/>
        <v>1.2567389468761874</v>
      </c>
      <c r="L400" s="329">
        <f t="shared" si="1517"/>
        <v>1.3453255941666984</v>
      </c>
      <c r="M400" s="329">
        <f t="shared" si="1517"/>
        <v>1.3495653608298048</v>
      </c>
      <c r="N400" s="329">
        <f t="shared" si="1517"/>
        <v>1.36</v>
      </c>
      <c r="O400" s="329"/>
      <c r="P400" s="329"/>
      <c r="Q400" s="329"/>
      <c r="R400" s="719"/>
      <c r="S400" s="329"/>
      <c r="T400" s="329"/>
      <c r="U400" s="1314">
        <f t="shared" si="1517"/>
        <v>1.37</v>
      </c>
      <c r="V400" s="329"/>
      <c r="W400" s="329"/>
      <c r="X400" s="329"/>
      <c r="Y400" s="719"/>
      <c r="Z400" s="329"/>
      <c r="AA400" s="329"/>
      <c r="AB400" s="1314">
        <f>(AB398*AB387)+((1-AB387)*AB399)</f>
        <v>1.35</v>
      </c>
      <c r="AC400" s="329"/>
      <c r="AD400" s="329"/>
      <c r="AE400" s="329"/>
      <c r="AF400" s="719"/>
      <c r="AG400" s="329"/>
      <c r="AH400" s="329"/>
      <c r="AI400" s="1314">
        <f>(AI398*AI387)+((1-AI387)*AI399)</f>
        <v>1.34</v>
      </c>
      <c r="AJ400" s="329"/>
      <c r="AK400" s="329"/>
      <c r="AL400" s="329"/>
      <c r="AM400" s="719"/>
      <c r="AN400" s="329"/>
      <c r="AO400" s="329"/>
      <c r="AP400" s="1314">
        <f>(AP398*AP387)+((1-AP387)*AP399)</f>
        <v>1.32</v>
      </c>
      <c r="AQ400" s="329"/>
      <c r="AR400" s="329"/>
      <c r="AS400" s="329"/>
      <c r="AT400" s="719"/>
      <c r="AU400" s="329"/>
      <c r="AV400" s="329"/>
      <c r="AW400" s="1314">
        <f>(AW398*AW387)+((1-AW387)*AW399)</f>
        <v>1.29</v>
      </c>
      <c r="AX400" s="329"/>
      <c r="AY400" s="329"/>
      <c r="AZ400" s="329"/>
      <c r="BA400" s="719"/>
      <c r="BB400" s="329"/>
      <c r="BC400" s="329"/>
      <c r="BD400" s="1314">
        <f>+AW400</f>
        <v>1.29</v>
      </c>
      <c r="BE400" s="329"/>
      <c r="BF400" s="329"/>
      <c r="BG400" s="329"/>
      <c r="BH400" s="719"/>
      <c r="BI400" s="329"/>
      <c r="BJ400" s="329"/>
      <c r="BK400" s="1314">
        <f>(BK398*BK387)+((1-BK387)*BK399)</f>
        <v>1.24</v>
      </c>
      <c r="BL400" s="329"/>
      <c r="BM400" s="329"/>
      <c r="BN400" s="329"/>
      <c r="BO400" s="719"/>
      <c r="BP400" s="329"/>
      <c r="BQ400" s="329"/>
      <c r="BR400" s="1314">
        <f t="shared" si="1517"/>
        <v>1.2</v>
      </c>
      <c r="BS400" s="329"/>
      <c r="BT400" s="329"/>
      <c r="BU400" s="329"/>
      <c r="BV400" s="719"/>
      <c r="BW400" s="329"/>
      <c r="BX400" s="329"/>
      <c r="BY400" s="1314">
        <f>(BY398*BY387)+((1-BY387)*BY399)</f>
        <v>1.19</v>
      </c>
      <c r="BZ400" s="329"/>
      <c r="CA400" s="329"/>
      <c r="CB400" s="329"/>
      <c r="CC400" s="719"/>
      <c r="CD400" s="329"/>
      <c r="CE400" s="329"/>
      <c r="CF400" s="1314">
        <f>(CF398*CF387)+((1-CF387)*CF399)</f>
        <v>1.19</v>
      </c>
      <c r="CG400" s="329"/>
      <c r="CH400" s="329"/>
      <c r="CI400" s="329"/>
      <c r="CJ400" s="719"/>
      <c r="CK400" s="329"/>
      <c r="CL400" s="329"/>
      <c r="CM400" s="1314">
        <f t="shared" si="1517"/>
        <v>1.22</v>
      </c>
      <c r="CN400" s="329">
        <f t="shared" si="1517"/>
        <v>1.22</v>
      </c>
      <c r="CO400" s="329">
        <f t="shared" si="1517"/>
        <v>1.21</v>
      </c>
      <c r="CP400" s="329">
        <f t="shared" ref="CP400:CQ400" si="1518">(CP398*CP387)+((1-CP387)*CP399)</f>
        <v>1.18</v>
      </c>
      <c r="CQ400" s="719">
        <f t="shared" si="1518"/>
        <v>1.2</v>
      </c>
      <c r="CR400" s="329">
        <f t="shared" ref="CR400" si="1519">(CR398*CR387)+((1-CR387)*CR399)</f>
        <v>1.2149999999999999</v>
      </c>
      <c r="CS400" s="329">
        <f t="shared" si="1517"/>
        <v>1.19</v>
      </c>
      <c r="CT400" s="1314">
        <f t="shared" si="1517"/>
        <v>1.2024999999999999</v>
      </c>
      <c r="CU400" s="329">
        <f t="shared" si="1517"/>
        <v>1.23</v>
      </c>
      <c r="CV400" s="329">
        <f t="shared" ref="CV400:CX400" si="1520">(CV398*CV387)+((1-CV387)*CV399)</f>
        <v>1.2</v>
      </c>
      <c r="CW400" s="329">
        <f t="shared" si="1520"/>
        <v>1.2</v>
      </c>
      <c r="CX400" s="719">
        <f t="shared" si="1520"/>
        <v>1.21</v>
      </c>
      <c r="CY400" s="329">
        <f t="shared" si="1517"/>
        <v>1.2149999999999999</v>
      </c>
      <c r="CZ400" s="329">
        <f t="shared" ref="CZ400" si="1521">(CZ398*CZ387)+((1-CZ387)*CZ399)</f>
        <v>1.2050000000000001</v>
      </c>
      <c r="DA400" s="1314">
        <f t="shared" si="1517"/>
        <v>1.21</v>
      </c>
      <c r="DB400" s="329">
        <f t="shared" si="1517"/>
        <v>1.19</v>
      </c>
      <c r="DC400" s="329">
        <f t="shared" ref="DC400" si="1522">(DC398*DC387)+((1-DC387)*DC399)</f>
        <v>1.17</v>
      </c>
      <c r="DD400" s="329">
        <f t="shared" ref="DD400:DG400" si="1523">(DD398*DD387)+((1-DD387)*DD399)</f>
        <v>1.18</v>
      </c>
      <c r="DE400" s="719">
        <f t="shared" si="1523"/>
        <v>1.2035971019615277</v>
      </c>
      <c r="DF400" s="329">
        <f t="shared" si="1523"/>
        <v>1.18</v>
      </c>
      <c r="DG400" s="329">
        <f t="shared" si="1523"/>
        <v>1.1922926616495677</v>
      </c>
      <c r="DH400" s="1314">
        <f t="shared" ref="DH400:DN400" si="1524">(DH398*DH387)+((1-DH387)*DH399)</f>
        <v>1.1875</v>
      </c>
      <c r="DI400" s="329">
        <f t="shared" si="1524"/>
        <v>1.21</v>
      </c>
      <c r="DJ400" s="329">
        <f t="shared" si="1524"/>
        <v>1.21</v>
      </c>
      <c r="DK400" s="416">
        <f t="shared" si="1524"/>
        <v>1.1798966253913643</v>
      </c>
      <c r="DL400" s="521">
        <f t="shared" si="1524"/>
        <v>1.2178788046207754</v>
      </c>
      <c r="DM400" s="2042">
        <f t="shared" si="1524"/>
        <v>1.21</v>
      </c>
      <c r="DN400" s="416">
        <f t="shared" si="1524"/>
        <v>1.199018892210995</v>
      </c>
      <c r="DO400" s="392">
        <f t="shared" ref="DO400:DU400" si="1525">(DO398*DO387)+((1-DO387)*DO399)</f>
        <v>1.2037152704804026</v>
      </c>
      <c r="DP400" s="416">
        <f t="shared" si="1525"/>
        <v>1.2214312396854488</v>
      </c>
      <c r="DQ400" s="416">
        <f t="shared" si="1525"/>
        <v>1.2192476141640476</v>
      </c>
      <c r="DR400" s="416">
        <f t="shared" si="1525"/>
        <v>1.2191490776219205</v>
      </c>
      <c r="DS400" s="521">
        <f t="shared" si="1525"/>
        <v>1.2199506404740634</v>
      </c>
      <c r="DT400" s="416">
        <f t="shared" si="1525"/>
        <v>1.2203098763040452</v>
      </c>
      <c r="DU400" s="416">
        <f t="shared" si="1525"/>
        <v>1.2195457976997255</v>
      </c>
      <c r="DV400" s="392">
        <f t="shared" ref="DV400:EB400" si="1526">(DV398*DV387)+((1-DV387)*DV399)</f>
        <v>1.2199241815564781</v>
      </c>
      <c r="DW400" s="416">
        <f t="shared" si="1526"/>
        <v>1.207381898660111</v>
      </c>
      <c r="DX400" s="416">
        <f t="shared" si="1526"/>
        <v>1.2064132616653704</v>
      </c>
      <c r="DY400" s="416">
        <f t="shared" si="1526"/>
        <v>1.2063731593999454</v>
      </c>
      <c r="DZ400" s="521">
        <f t="shared" si="1526"/>
        <v>1.2063671796815338</v>
      </c>
      <c r="EA400" s="416">
        <f t="shared" si="1526"/>
        <v>1.2068836986244</v>
      </c>
      <c r="EB400" s="416">
        <f t="shared" si="1526"/>
        <v>1.2063701689946695</v>
      </c>
      <c r="EC400" s="392">
        <f t="shared" ref="EC400:EI400" si="1527">(EC398*EC387)+((1-EC387)*EC399)</f>
        <v>1.206622968666538</v>
      </c>
      <c r="ED400" s="416">
        <f t="shared" si="1527"/>
        <v>1.2174446587032757</v>
      </c>
      <c r="EE400" s="416">
        <f t="shared" si="1527"/>
        <v>1.2174818878230469</v>
      </c>
      <c r="EF400" s="416">
        <f t="shared" si="1527"/>
        <v>1.2174881452291877</v>
      </c>
      <c r="EG400" s="521">
        <f t="shared" si="1527"/>
        <v>1.2174875876607234</v>
      </c>
      <c r="EH400" s="416">
        <f t="shared" si="1527"/>
        <v>1.2174634098572352</v>
      </c>
      <c r="EI400" s="416">
        <f t="shared" si="1527"/>
        <v>1.2174878664758935</v>
      </c>
      <c r="EJ400" s="392">
        <f>(EJ398*EJ387)+((1-EJ387)*EJ399)</f>
        <v>1.2174756974019512</v>
      </c>
      <c r="EK400" s="416">
        <f t="shared" ref="EK400:EP400" si="1528">(EK398*EK387)+((1-EK387)*EK399)</f>
        <v>1.2310988487869758</v>
      </c>
      <c r="EL400" s="416">
        <f t="shared" si="1528"/>
        <v>1.2310822832459536</v>
      </c>
      <c r="EM400" s="416">
        <f t="shared" si="1528"/>
        <v>1.2310795129012091</v>
      </c>
      <c r="EN400" s="521">
        <f t="shared" si="1528"/>
        <v>1.2310807899896143</v>
      </c>
      <c r="EO400" s="416">
        <f t="shared" si="1528"/>
        <v>1.2310905031094181</v>
      </c>
      <c r="EP400" s="416">
        <f t="shared" si="1528"/>
        <v>1.231080151067929</v>
      </c>
      <c r="EQ400" s="392">
        <f>(EQ398*EQ387)+((1-EQ387)*EQ399)</f>
        <v>1.2310853024037733</v>
      </c>
    </row>
    <row r="401" spans="1:147" ht="10.199999999999999" customHeight="1">
      <c r="A401" s="108" t="s">
        <v>489</v>
      </c>
      <c r="B401" s="48"/>
      <c r="C401" s="221"/>
      <c r="D401" s="176">
        <f t="shared" ref="D401:N401" si="1529">-D402/((D400-C400)*100)</f>
        <v>50.306240397673086</v>
      </c>
      <c r="E401" s="176">
        <f t="shared" si="1529"/>
        <v>55.928061250505451</v>
      </c>
      <c r="F401" s="176">
        <f t="shared" si="1529"/>
        <v>65.585873666728176</v>
      </c>
      <c r="G401" s="176">
        <f t="shared" si="1529"/>
        <v>74.405559840616348</v>
      </c>
      <c r="H401" s="176">
        <f t="shared" si="1529"/>
        <v>73.211510011789812</v>
      </c>
      <c r="I401" s="176">
        <f t="shared" si="1529"/>
        <v>59.019915575680571</v>
      </c>
      <c r="J401" s="176">
        <f t="shared" si="1529"/>
        <v>84.725274545805064</v>
      </c>
      <c r="K401" s="176">
        <f t="shared" si="1529"/>
        <v>71.614233531282807</v>
      </c>
      <c r="L401" s="176">
        <f t="shared" si="1529"/>
        <v>83.072325877840512</v>
      </c>
      <c r="M401" s="176">
        <f t="shared" si="1529"/>
        <v>83.785689207680321</v>
      </c>
      <c r="N401" s="176">
        <f t="shared" si="1529"/>
        <v>78.701809024507796</v>
      </c>
      <c r="O401" s="326"/>
      <c r="P401" s="326"/>
      <c r="Q401" s="326"/>
      <c r="R401" s="522"/>
      <c r="S401" s="326"/>
      <c r="T401" s="326"/>
      <c r="U401" s="1315">
        <f>-U402/((U400-N400)*100)</f>
        <v>94.595319879776895</v>
      </c>
      <c r="V401" s="326"/>
      <c r="W401" s="326"/>
      <c r="X401" s="326"/>
      <c r="Y401" s="522"/>
      <c r="Z401" s="326"/>
      <c r="AA401" s="326"/>
      <c r="AB401" s="1315">
        <f>-AB402/((AB400-U400)*100)</f>
        <v>98.540145985401892</v>
      </c>
      <c r="AC401" s="326"/>
      <c r="AD401" s="326"/>
      <c r="AE401" s="326"/>
      <c r="AF401" s="522"/>
      <c r="AG401" s="326"/>
      <c r="AH401" s="326"/>
      <c r="AI401" s="1315">
        <f>-AI402/((AI400-AB400)*100)</f>
        <v>105.92868988391355</v>
      </c>
      <c r="AJ401" s="326"/>
      <c r="AK401" s="326"/>
      <c r="AL401" s="326"/>
      <c r="AM401" s="522"/>
      <c r="AN401" s="326"/>
      <c r="AO401" s="326"/>
      <c r="AP401" s="1315">
        <f>-AP402/((AP400-AI400)*100)</f>
        <v>99.643826322931005</v>
      </c>
      <c r="AQ401" s="326"/>
      <c r="AR401" s="326"/>
      <c r="AS401" s="326"/>
      <c r="AT401" s="522"/>
      <c r="AU401" s="326"/>
      <c r="AV401" s="326"/>
      <c r="AW401" s="1315">
        <f>-AW402/((AW400-AP400)*100)</f>
        <v>111.43410852713249</v>
      </c>
      <c r="AX401" s="326"/>
      <c r="AY401" s="326"/>
      <c r="AZ401" s="326"/>
      <c r="BA401" s="522"/>
      <c r="BB401" s="326"/>
      <c r="BC401" s="326"/>
      <c r="BD401" s="1315">
        <f>-BD402/((BD400-AP400)*100)</f>
        <v>111.43410852713249</v>
      </c>
      <c r="BE401" s="326"/>
      <c r="BF401" s="326"/>
      <c r="BG401" s="326"/>
      <c r="BH401" s="522"/>
      <c r="BI401" s="326"/>
      <c r="BJ401" s="326"/>
      <c r="BK401" s="1315">
        <f>-BK402/((BK400-BD400)*100)</f>
        <v>119.09227306826732</v>
      </c>
      <c r="BL401" s="326"/>
      <c r="BM401" s="326"/>
      <c r="BN401" s="326"/>
      <c r="BO401" s="522"/>
      <c r="BP401" s="326"/>
      <c r="BQ401" s="326"/>
      <c r="BR401" s="1315">
        <f>IFERROR(-BR402/((BR400-BK400)*100),"nm")</f>
        <v>128.52822580645159</v>
      </c>
      <c r="BS401" s="326"/>
      <c r="BT401" s="326"/>
      <c r="BU401" s="326"/>
      <c r="BV401" s="522"/>
      <c r="BW401" s="326"/>
      <c r="BX401" s="326"/>
      <c r="BY401" s="1315">
        <f>IFERROR(-BY402/((BY400-BR400)*100),"nm")</f>
        <v>89.81092436974896</v>
      </c>
      <c r="BZ401" s="326"/>
      <c r="CA401" s="326"/>
      <c r="CB401" s="326"/>
      <c r="CC401" s="522"/>
      <c r="CD401" s="326"/>
      <c r="CE401" s="326"/>
      <c r="CF401" s="1315" t="str">
        <f>IFERROR(-CF402/((CF400-BY400)*100),"nm")</f>
        <v>nm</v>
      </c>
      <c r="CG401" s="326"/>
      <c r="CH401" s="326"/>
      <c r="CI401" s="326"/>
      <c r="CJ401" s="522"/>
      <c r="CK401" s="326"/>
      <c r="CL401" s="326"/>
      <c r="CM401" s="1315">
        <f>IFERROR(-CM402/((CM400-CF400)*100),"nm")</f>
        <v>104.86981677917073</v>
      </c>
      <c r="CN401" s="326"/>
      <c r="CO401" s="326"/>
      <c r="CP401" s="326"/>
      <c r="CQ401" s="522"/>
      <c r="CR401" s="326"/>
      <c r="CS401" s="326"/>
      <c r="CT401" s="1315">
        <f>IFERROR(-CT402/((CT400-CM400)*100),"nm")</f>
        <v>114.51552435159054</v>
      </c>
      <c r="CU401" s="326"/>
      <c r="CV401" s="326"/>
      <c r="CW401" s="326"/>
      <c r="CX401" s="522"/>
      <c r="CY401" s="326"/>
      <c r="CZ401" s="326"/>
      <c r="DA401" s="1315">
        <f>IFERROR(-DA402/((DA400-CT400)*100),"nm")</f>
        <v>119.58557413102872</v>
      </c>
      <c r="DB401" s="326"/>
      <c r="DC401" s="326"/>
      <c r="DD401" s="326"/>
      <c r="DE401" s="723"/>
      <c r="DF401" s="139"/>
      <c r="DG401" s="139"/>
      <c r="DH401" s="1315">
        <f>IFERROR(-DH402/((DH400-DA400)*100),"nm")</f>
        <v>123.18399304045326</v>
      </c>
      <c r="DI401" s="326"/>
      <c r="DJ401" s="326"/>
      <c r="DK401" s="326"/>
      <c r="DL401" s="522"/>
      <c r="DM401" s="2043"/>
      <c r="DN401" s="326"/>
      <c r="DO401" s="393">
        <f>IFERROR(-DO402/((DO400-DH400)*100),"nm")</f>
        <v>143.98698795959393</v>
      </c>
      <c r="DP401" s="326"/>
      <c r="DQ401" s="326"/>
      <c r="DR401" s="326"/>
      <c r="DS401" s="522"/>
      <c r="DT401" s="326"/>
      <c r="DU401" s="326"/>
      <c r="DV401" s="393">
        <f>IFERROR(-DV402/((DV400-DO400)*100),"nm")</f>
        <v>161.83004574167472</v>
      </c>
      <c r="DW401" s="326"/>
      <c r="DX401" s="326"/>
      <c r="DY401" s="326"/>
      <c r="DZ401" s="522"/>
      <c r="EA401" s="326"/>
      <c r="EB401" s="326"/>
      <c r="EC401" s="393">
        <f>IFERROR(-EC402/((EC400-DV400)*100),"nm")</f>
        <v>178.39029909871121</v>
      </c>
      <c r="ED401" s="326"/>
      <c r="EE401" s="326"/>
      <c r="EF401" s="326"/>
      <c r="EG401" s="522"/>
      <c r="EH401" s="326"/>
      <c r="EI401" s="326"/>
      <c r="EJ401" s="393">
        <f>IFERROR(-EJ402/((EJ400-EC400)*100),"nm")</f>
        <v>190.11475045446471</v>
      </c>
      <c r="EK401" s="326"/>
      <c r="EL401" s="326"/>
      <c r="EM401" s="326"/>
      <c r="EN401" s="522"/>
      <c r="EO401" s="326"/>
      <c r="EP401" s="326"/>
      <c r="EQ401" s="393">
        <f>IFERROR(-EQ402/((EQ400-EJ400)*100),"nm")</f>
        <v>193.64725344852587</v>
      </c>
    </row>
    <row r="402" spans="1:147" ht="10.199999999999999" customHeight="1">
      <c r="A402" s="2" t="s">
        <v>455</v>
      </c>
      <c r="B402" s="2"/>
      <c r="C402" s="330"/>
      <c r="D402" s="331">
        <f t="shared" ref="D402:N402" si="1530">((D385/D400)-(D385/C400))*0.75</f>
        <v>-26.511002883657056</v>
      </c>
      <c r="E402" s="331">
        <f t="shared" si="1530"/>
        <v>565.12586908063713</v>
      </c>
      <c r="F402" s="331">
        <f t="shared" si="1530"/>
        <v>-269.31486295983291</v>
      </c>
      <c r="G402" s="331">
        <f t="shared" si="1530"/>
        <v>-690.2178488234058</v>
      </c>
      <c r="H402" s="331">
        <f t="shared" si="1530"/>
        <v>-543.5412393785391</v>
      </c>
      <c r="I402" s="331">
        <f t="shared" si="1530"/>
        <v>506.309554739438</v>
      </c>
      <c r="J402" s="331">
        <f t="shared" si="1530"/>
        <v>-975.29294156223978</v>
      </c>
      <c r="K402" s="331">
        <f t="shared" si="1530"/>
        <v>-860.33426236717969</v>
      </c>
      <c r="L402" s="331">
        <f t="shared" si="1530"/>
        <v>-735.90988321426494</v>
      </c>
      <c r="M402" s="331">
        <f t="shared" si="1530"/>
        <v>-35.523177194811979</v>
      </c>
      <c r="N402" s="331">
        <f t="shared" si="1530"/>
        <v>-82.122497921235663</v>
      </c>
      <c r="O402" s="332"/>
      <c r="P402" s="332"/>
      <c r="Q402" s="332"/>
      <c r="R402" s="523"/>
      <c r="S402" s="332"/>
      <c r="T402" s="332"/>
      <c r="U402" s="1312">
        <f>((U385/U400)-(U385/N400))*0.75</f>
        <v>-94.59531987977698</v>
      </c>
      <c r="V402" s="332"/>
      <c r="W402" s="332"/>
      <c r="X402" s="332"/>
      <c r="Y402" s="523"/>
      <c r="Z402" s="332"/>
      <c r="AA402" s="332"/>
      <c r="AB402" s="1312">
        <f>((AB385/AB400)-(AB385/U400))*0.75</f>
        <v>197.08029197080396</v>
      </c>
      <c r="AC402" s="332"/>
      <c r="AD402" s="332"/>
      <c r="AE402" s="332"/>
      <c r="AF402" s="523"/>
      <c r="AG402" s="332"/>
      <c r="AH402" s="332"/>
      <c r="AI402" s="1312">
        <f>((AI385/AI400)-(AI385/AB400))*0.75</f>
        <v>105.92868988391365</v>
      </c>
      <c r="AJ402" s="332"/>
      <c r="AK402" s="332"/>
      <c r="AL402" s="332"/>
      <c r="AM402" s="523"/>
      <c r="AN402" s="332"/>
      <c r="AO402" s="332"/>
      <c r="AP402" s="1312">
        <f>((AP385/AP400)-(AP385/AI400))*0.75</f>
        <v>199.28765264586218</v>
      </c>
      <c r="AQ402" s="332"/>
      <c r="AR402" s="332"/>
      <c r="AS402" s="332"/>
      <c r="AT402" s="523"/>
      <c r="AU402" s="332"/>
      <c r="AV402" s="332"/>
      <c r="AW402" s="1312">
        <f>((AW385/AW400)-(AW385/AP400))*0.75</f>
        <v>334.30232558139778</v>
      </c>
      <c r="AX402" s="332"/>
      <c r="AY402" s="332"/>
      <c r="AZ402" s="332"/>
      <c r="BA402" s="523"/>
      <c r="BB402" s="332"/>
      <c r="BC402" s="332"/>
      <c r="BD402" s="1312">
        <f>((BD385/BD400)-(BD385/AP400))*0.75</f>
        <v>334.30232558139778</v>
      </c>
      <c r="BE402" s="332"/>
      <c r="BF402" s="332"/>
      <c r="BG402" s="332"/>
      <c r="BH402" s="523"/>
      <c r="BI402" s="332"/>
      <c r="BJ402" s="332"/>
      <c r="BK402" s="1312">
        <f>((BK385/BK400)-(BK385/AW400))*0.75</f>
        <v>595.46136534133711</v>
      </c>
      <c r="BL402" s="332"/>
      <c r="BM402" s="332"/>
      <c r="BN402" s="332"/>
      <c r="BO402" s="523"/>
      <c r="BP402" s="332"/>
      <c r="BQ402" s="332"/>
      <c r="BR402" s="1312">
        <f>((BR385/BR400)-(BR385/BK400))*0.75</f>
        <v>514.1129032258068</v>
      </c>
      <c r="BS402" s="332"/>
      <c r="BT402" s="332"/>
      <c r="BU402" s="332"/>
      <c r="BV402" s="523"/>
      <c r="BW402" s="332"/>
      <c r="BX402" s="332"/>
      <c r="BY402" s="1312">
        <f>((BY385/BY400)-(BY385/BR400))*0.75</f>
        <v>89.810924369749046</v>
      </c>
      <c r="BZ402" s="332"/>
      <c r="CA402" s="332"/>
      <c r="CB402" s="332"/>
      <c r="CC402" s="523"/>
      <c r="CD402" s="332"/>
      <c r="CE402" s="332"/>
      <c r="CF402" s="1312">
        <f>((CF385/CF400)-(CF385/BY400))*0.75</f>
        <v>0</v>
      </c>
      <c r="CG402" s="332"/>
      <c r="CH402" s="332"/>
      <c r="CI402" s="332"/>
      <c r="CJ402" s="523"/>
      <c r="CK402" s="332"/>
      <c r="CL402" s="332"/>
      <c r="CM402" s="1312">
        <f>((CM385/CM400)-(CM385/CF400))*0.75</f>
        <v>-314.6094503375125</v>
      </c>
      <c r="CN402" s="332"/>
      <c r="CO402" s="332"/>
      <c r="CP402" s="332"/>
      <c r="CQ402" s="523"/>
      <c r="CR402" s="332"/>
      <c r="CS402" s="332"/>
      <c r="CT402" s="1312">
        <f>((CT385/CT400)-(CT385/CM400))*0.75</f>
        <v>200.40216761528427</v>
      </c>
      <c r="CU402" s="332"/>
      <c r="CV402" s="332"/>
      <c r="CW402" s="332"/>
      <c r="CX402" s="523"/>
      <c r="CY402" s="332"/>
      <c r="CZ402" s="332"/>
      <c r="DA402" s="1312">
        <f>((DA385/DA400)-(DA385/CT400))*0.75</f>
        <v>-89.689180598272287</v>
      </c>
      <c r="DB402" s="332"/>
      <c r="DC402" s="332"/>
      <c r="DD402" s="332"/>
      <c r="DE402" s="720"/>
      <c r="DF402" s="331"/>
      <c r="DG402" s="331"/>
      <c r="DH402" s="1312">
        <f>((DH385/DH400)-(DH385/DA400))*0.75</f>
        <v>277.16398434101939</v>
      </c>
      <c r="DI402" s="332"/>
      <c r="DJ402" s="332"/>
      <c r="DK402" s="332"/>
      <c r="DL402" s="523"/>
      <c r="DM402" s="2040"/>
      <c r="DN402" s="332"/>
      <c r="DO402" s="394">
        <f>((DO385/DO400)-(DO385/DH400))*0.75</f>
        <v>-233.47879554232895</v>
      </c>
      <c r="DP402" s="332"/>
      <c r="DQ402" s="332"/>
      <c r="DR402" s="332"/>
      <c r="DS402" s="523"/>
      <c r="DT402" s="332"/>
      <c r="DU402" s="332"/>
      <c r="DV402" s="394">
        <f>((DV385/DV400)-(DV385/DO400))*0.75</f>
        <v>-262.30888208640317</v>
      </c>
      <c r="DW402" s="332"/>
      <c r="DX402" s="332"/>
      <c r="DY402" s="332"/>
      <c r="DZ402" s="523"/>
      <c r="EA402" s="332"/>
      <c r="EB402" s="332"/>
      <c r="EC402" s="394">
        <f>((EC385/EC400)-(EC385/DV400))*0.75</f>
        <v>237.28073458120525</v>
      </c>
      <c r="ED402" s="332"/>
      <c r="EE402" s="332"/>
      <c r="EF402" s="332"/>
      <c r="EG402" s="523"/>
      <c r="EH402" s="332"/>
      <c r="EI402" s="332"/>
      <c r="EJ402" s="394">
        <f>((EJ385/EJ400)-(EJ385/EC400))*0.75</f>
        <v>-206.32638152830805</v>
      </c>
      <c r="EK402" s="332"/>
      <c r="EL402" s="332"/>
      <c r="EM402" s="332"/>
      <c r="EN402" s="523"/>
      <c r="EO402" s="332"/>
      <c r="EP402" s="332"/>
      <c r="EQ402" s="394">
        <f>((EQ385/EQ400)-(EQ385/EJ400))*0.75</f>
        <v>-263.54626291221848</v>
      </c>
    </row>
    <row r="403" spans="1:147" ht="10.199999999999999" customHeight="1">
      <c r="A403" s="108" t="s">
        <v>451</v>
      </c>
      <c r="B403" s="108"/>
      <c r="C403" s="224">
        <v>0.89025950130196763</v>
      </c>
      <c r="D403" s="224">
        <v>0.88492003144977249</v>
      </c>
      <c r="E403" s="224">
        <v>0.93594436859863095</v>
      </c>
      <c r="F403" s="224">
        <v>1.0125537685168866</v>
      </c>
      <c r="G403" s="224">
        <v>1.0637051186799931</v>
      </c>
      <c r="H403" s="224">
        <v>1.107941959306985</v>
      </c>
      <c r="I403" s="224">
        <v>1.1700861200999422</v>
      </c>
      <c r="J403" s="224">
        <v>1.2587303993412156</v>
      </c>
      <c r="K403" s="224">
        <v>1.2441432882272174</v>
      </c>
      <c r="L403" s="224">
        <v>1.2721801609110275</v>
      </c>
      <c r="M403" s="224">
        <v>1.2816238801932087</v>
      </c>
      <c r="N403" s="229">
        <v>1.2574645217721503</v>
      </c>
      <c r="O403" s="325"/>
      <c r="P403" s="325"/>
      <c r="Q403" s="325"/>
      <c r="R403" s="520"/>
      <c r="S403" s="325"/>
      <c r="T403" s="325"/>
      <c r="U403" s="1316">
        <v>1.3484499999999999</v>
      </c>
      <c r="V403" s="325"/>
      <c r="W403" s="325"/>
      <c r="X403" s="325"/>
      <c r="Y403" s="520"/>
      <c r="Z403" s="325"/>
      <c r="AA403" s="325"/>
      <c r="AB403" s="1316">
        <v>1.3421035056021708</v>
      </c>
      <c r="AC403" s="325"/>
      <c r="AD403" s="325"/>
      <c r="AE403" s="325"/>
      <c r="AF403" s="520"/>
      <c r="AG403" s="325"/>
      <c r="AH403" s="325"/>
      <c r="AI403" s="1316">
        <v>1.33906814270469</v>
      </c>
      <c r="AJ403" s="325"/>
      <c r="AK403" s="325"/>
      <c r="AL403" s="325"/>
      <c r="AM403" s="520"/>
      <c r="AN403" s="325"/>
      <c r="AO403" s="325"/>
      <c r="AP403" s="1316">
        <v>1.33</v>
      </c>
      <c r="AQ403" s="325"/>
      <c r="AR403" s="325"/>
      <c r="AS403" s="325"/>
      <c r="AT403" s="520"/>
      <c r="AU403" s="325"/>
      <c r="AV403" s="325"/>
      <c r="AW403" s="1316">
        <v>1.33</v>
      </c>
      <c r="AX403" s="325"/>
      <c r="AY403" s="325"/>
      <c r="AZ403" s="325"/>
      <c r="BA403" s="520"/>
      <c r="BB403" s="325"/>
      <c r="BC403" s="325"/>
      <c r="BD403" s="1316">
        <v>1.33</v>
      </c>
      <c r="BE403" s="325"/>
      <c r="BF403" s="325"/>
      <c r="BG403" s="325"/>
      <c r="BH403" s="520"/>
      <c r="BI403" s="325"/>
      <c r="BJ403" s="325"/>
      <c r="BK403" s="1316">
        <v>1.33</v>
      </c>
      <c r="BL403" s="325"/>
      <c r="BM403" s="325"/>
      <c r="BN403" s="325"/>
      <c r="BO403" s="520"/>
      <c r="BP403" s="325"/>
      <c r="BQ403" s="325"/>
      <c r="BR403" s="1316">
        <f>BR273/((BR273/BK403)+BR402)</f>
        <v>1.3163068410013834</v>
      </c>
      <c r="BS403" s="325"/>
      <c r="BT403" s="325"/>
      <c r="BU403" s="325"/>
      <c r="BV403" s="520"/>
      <c r="BW403" s="325"/>
      <c r="BX403" s="325"/>
      <c r="BY403" s="1316">
        <f>BY273/((BY273/BR403)+BY402)</f>
        <v>1.3125174301822213</v>
      </c>
      <c r="BZ403" s="325"/>
      <c r="CA403" s="325"/>
      <c r="CB403" s="325"/>
      <c r="CC403" s="520"/>
      <c r="CD403" s="325"/>
      <c r="CE403" s="325"/>
      <c r="CF403" s="1316">
        <f>CF273/((CF273/BY403)+CF402)</f>
        <v>1.3125174301822213</v>
      </c>
      <c r="CG403" s="325"/>
      <c r="CH403" s="325"/>
      <c r="CI403" s="325"/>
      <c r="CJ403" s="520"/>
      <c r="CK403" s="325"/>
      <c r="CL403" s="325"/>
      <c r="CM403" s="1316">
        <f>CM273/((CM273/CF403)+CM402)</f>
        <v>1.3240399568054351</v>
      </c>
      <c r="CN403" s="325"/>
      <c r="CO403" s="325"/>
      <c r="CP403" s="325"/>
      <c r="CQ403" s="520"/>
      <c r="CR403" s="325"/>
      <c r="CS403" s="325"/>
      <c r="CT403" s="1316">
        <f>CT273/((CT273/CM403)+CT402)</f>
        <v>1.3175951081744686</v>
      </c>
      <c r="CU403" s="325"/>
      <c r="CV403" s="325"/>
      <c r="CW403" s="325"/>
      <c r="CX403" s="520"/>
      <c r="CY403" s="325"/>
      <c r="CZ403" s="325"/>
      <c r="DA403" s="1316">
        <f>DA273/((DA273/CT403)+DA402)</f>
        <v>1.3203014840786955</v>
      </c>
      <c r="DB403" s="325"/>
      <c r="DC403" s="325"/>
      <c r="DD403" s="325"/>
      <c r="DE403" s="718"/>
      <c r="DF403" s="229"/>
      <c r="DG403" s="229"/>
      <c r="DH403" s="1316">
        <f>DH273/((DH273/DA403)+DH402)</f>
        <v>1.3123936689857556</v>
      </c>
      <c r="DI403" s="325"/>
      <c r="DJ403" s="325"/>
      <c r="DK403" s="325"/>
      <c r="DL403" s="520"/>
      <c r="DM403" s="2041"/>
      <c r="DN403" s="325"/>
      <c r="DO403" s="395">
        <f>DO273/((DO273/DH403)+DO402)</f>
        <v>1.318281568240161</v>
      </c>
      <c r="DP403" s="325"/>
      <c r="DQ403" s="325"/>
      <c r="DR403" s="325"/>
      <c r="DS403" s="520"/>
      <c r="DT403" s="325"/>
      <c r="DU403" s="325"/>
      <c r="DV403" s="395">
        <f>DV273/((DV273/DO403)+DV402)</f>
        <v>1.3240616618904659</v>
      </c>
      <c r="DW403" s="325"/>
      <c r="DX403" s="325"/>
      <c r="DY403" s="325"/>
      <c r="DZ403" s="520"/>
      <c r="EA403" s="325"/>
      <c r="EB403" s="325"/>
      <c r="EC403" s="395">
        <f>EC273/((EC273/DV403)+EC402)</f>
        <v>1.3193261334740694</v>
      </c>
      <c r="ED403" s="325"/>
      <c r="EE403" s="325"/>
      <c r="EF403" s="325"/>
      <c r="EG403" s="520"/>
      <c r="EH403" s="325"/>
      <c r="EI403" s="325"/>
      <c r="EJ403" s="395">
        <f>EJ273/((EJ273/EC403)+EJ402)</f>
        <v>1.3231951839033753</v>
      </c>
      <c r="EK403" s="325"/>
      <c r="EL403" s="325"/>
      <c r="EM403" s="325"/>
      <c r="EN403" s="520"/>
      <c r="EO403" s="325"/>
      <c r="EP403" s="325"/>
      <c r="EQ403" s="395">
        <f>EQ273/((EQ273/EJ403)+EQ402)</f>
        <v>1.3279818637779737</v>
      </c>
    </row>
    <row r="404" spans="1:147" ht="10.199999999999999" customHeight="1">
      <c r="A404" s="108" t="s">
        <v>490</v>
      </c>
      <c r="B404" s="43"/>
      <c r="C404" s="215"/>
      <c r="D404" s="215">
        <f t="shared" ref="D404:N404" si="1531">((D385/D400)-(D385/C400))</f>
        <v>-35.348003844876075</v>
      </c>
      <c r="E404" s="215">
        <f t="shared" si="1531"/>
        <v>753.50115877418284</v>
      </c>
      <c r="F404" s="215">
        <f t="shared" si="1531"/>
        <v>-359.08648394644388</v>
      </c>
      <c r="G404" s="215">
        <f t="shared" si="1531"/>
        <v>-920.2904650978744</v>
      </c>
      <c r="H404" s="215">
        <f t="shared" si="1531"/>
        <v>-724.7216525047188</v>
      </c>
      <c r="I404" s="215">
        <f t="shared" si="1531"/>
        <v>675.07940631925067</v>
      </c>
      <c r="J404" s="215">
        <f t="shared" si="1531"/>
        <v>-1300.390588749653</v>
      </c>
      <c r="K404" s="215">
        <f t="shared" si="1531"/>
        <v>-1147.1123498229063</v>
      </c>
      <c r="L404" s="215">
        <f t="shared" si="1531"/>
        <v>-981.21317761901992</v>
      </c>
      <c r="M404" s="215">
        <f t="shared" si="1531"/>
        <v>-47.364236259749305</v>
      </c>
      <c r="N404" s="1757">
        <f t="shared" si="1531"/>
        <v>-109.49666389498088</v>
      </c>
      <c r="O404" s="322"/>
      <c r="P404" s="322"/>
      <c r="Q404" s="322"/>
      <c r="R404" s="430"/>
      <c r="S404" s="322"/>
      <c r="T404" s="322"/>
      <c r="U404" s="339">
        <f>((U385/U400)-(U385/N400))</f>
        <v>-126.12709317303597</v>
      </c>
      <c r="V404" s="322"/>
      <c r="W404" s="322"/>
      <c r="X404" s="322"/>
      <c r="Y404" s="430"/>
      <c r="Z404" s="322"/>
      <c r="AA404" s="322"/>
      <c r="AB404" s="339">
        <f>((AB385/AB400)-(AB385/U400))</f>
        <v>262.77372262773861</v>
      </c>
      <c r="AC404" s="322"/>
      <c r="AD404" s="322"/>
      <c r="AE404" s="322"/>
      <c r="AF404" s="430"/>
      <c r="AG404" s="322"/>
      <c r="AH404" s="322"/>
      <c r="AI404" s="339">
        <f>((AI385/AI400)-(AI385/AB400))</f>
        <v>141.23825317855153</v>
      </c>
      <c r="AJ404" s="322"/>
      <c r="AK404" s="322"/>
      <c r="AL404" s="322"/>
      <c r="AM404" s="430"/>
      <c r="AN404" s="322"/>
      <c r="AO404" s="322"/>
      <c r="AP404" s="339">
        <f>((AP385/AP400)-(AP385/AI400))</f>
        <v>265.71687019448291</v>
      </c>
      <c r="AQ404" s="322"/>
      <c r="AR404" s="322"/>
      <c r="AS404" s="322"/>
      <c r="AT404" s="430"/>
      <c r="AU404" s="322"/>
      <c r="AV404" s="322"/>
      <c r="AW404" s="339">
        <f>((AW385/AW400)-(AW385/AP400))</f>
        <v>445.73643410853037</v>
      </c>
      <c r="AX404" s="322"/>
      <c r="AY404" s="322"/>
      <c r="AZ404" s="322"/>
      <c r="BA404" s="430"/>
      <c r="BB404" s="322"/>
      <c r="BC404" s="322"/>
      <c r="BD404" s="339">
        <f>((BD385/BD400)-(BD385/AP400))</f>
        <v>445.73643410853037</v>
      </c>
      <c r="BE404" s="322"/>
      <c r="BF404" s="322"/>
      <c r="BG404" s="322"/>
      <c r="BH404" s="430"/>
      <c r="BI404" s="322"/>
      <c r="BJ404" s="322"/>
      <c r="BK404" s="339">
        <f>((BK385/BK400)-(BK385/AW400))</f>
        <v>793.94848712178282</v>
      </c>
      <c r="BL404" s="322"/>
      <c r="BM404" s="322"/>
      <c r="BN404" s="322"/>
      <c r="BO404" s="430"/>
      <c r="BP404" s="322"/>
      <c r="BQ404" s="322"/>
      <c r="BR404" s="339">
        <f>((BR385/BR400)-(BR385/BK400))</f>
        <v>685.4838709677424</v>
      </c>
      <c r="BS404" s="322"/>
      <c r="BT404" s="322"/>
      <c r="BU404" s="322"/>
      <c r="BV404" s="430"/>
      <c r="BW404" s="322"/>
      <c r="BX404" s="322"/>
      <c r="BY404" s="339">
        <f>((BY385/BY400)-(BY385/BR400))</f>
        <v>119.74789915966539</v>
      </c>
      <c r="BZ404" s="322"/>
      <c r="CA404" s="322"/>
      <c r="CB404" s="322"/>
      <c r="CC404" s="430"/>
      <c r="CD404" s="322"/>
      <c r="CE404" s="322"/>
      <c r="CF404" s="339">
        <f>((CF385/CF400)-(CF385/BY400))</f>
        <v>0</v>
      </c>
      <c r="CG404" s="322"/>
      <c r="CH404" s="322"/>
      <c r="CI404" s="322"/>
      <c r="CJ404" s="430"/>
      <c r="CK404" s="322"/>
      <c r="CL404" s="322"/>
      <c r="CM404" s="339">
        <f>((CM385/CM400)-(CM385/CF400))</f>
        <v>-419.47926711668333</v>
      </c>
      <c r="CN404" s="322"/>
      <c r="CO404" s="322"/>
      <c r="CP404" s="322"/>
      <c r="CQ404" s="430"/>
      <c r="CR404" s="322"/>
      <c r="CS404" s="322"/>
      <c r="CT404" s="339">
        <f>((CT385/CT400)-(CT385/CM400))</f>
        <v>267.20289015371236</v>
      </c>
      <c r="CU404" s="322"/>
      <c r="CV404" s="322"/>
      <c r="CW404" s="322"/>
      <c r="CX404" s="430"/>
      <c r="CY404" s="322"/>
      <c r="CZ404" s="322"/>
      <c r="DA404" s="339">
        <f>((DA385/DA400)-(DA385/CT400))</f>
        <v>-119.58557413102972</v>
      </c>
      <c r="DB404" s="322"/>
      <c r="DC404" s="322"/>
      <c r="DD404" s="322"/>
      <c r="DE404" s="688"/>
      <c r="DF404" s="197"/>
      <c r="DG404" s="197"/>
      <c r="DH404" s="339">
        <f>((DH385/DH400)-(DH385/DA400))</f>
        <v>369.55197912135918</v>
      </c>
      <c r="DI404" s="322"/>
      <c r="DJ404" s="322"/>
      <c r="DK404" s="322"/>
      <c r="DL404" s="430"/>
      <c r="DM404" s="2023"/>
      <c r="DN404" s="322"/>
      <c r="DO404" s="385">
        <f>((DO385/DO400)-(DO385/DH400))</f>
        <v>-311.30506072310527</v>
      </c>
      <c r="DP404" s="322"/>
      <c r="DQ404" s="322"/>
      <c r="DR404" s="322"/>
      <c r="DS404" s="430"/>
      <c r="DT404" s="322"/>
      <c r="DU404" s="322"/>
      <c r="DV404" s="385">
        <f>((DV385/DV400)-(DV385/DO400))</f>
        <v>-349.74517611520423</v>
      </c>
      <c r="DW404" s="322"/>
      <c r="DX404" s="322"/>
      <c r="DY404" s="322"/>
      <c r="DZ404" s="430"/>
      <c r="EA404" s="322"/>
      <c r="EB404" s="322"/>
      <c r="EC404" s="385">
        <f>((EC385/EC400)-(EC385/DV400))</f>
        <v>316.37431277494034</v>
      </c>
      <c r="ED404" s="322"/>
      <c r="EE404" s="322"/>
      <c r="EF404" s="322"/>
      <c r="EG404" s="430"/>
      <c r="EH404" s="322"/>
      <c r="EI404" s="322"/>
      <c r="EJ404" s="385">
        <f>((EJ385/EJ400)-(EJ385/EC400))</f>
        <v>-275.10184203774406</v>
      </c>
      <c r="EK404" s="322"/>
      <c r="EL404" s="322"/>
      <c r="EM404" s="322"/>
      <c r="EN404" s="430"/>
      <c r="EO404" s="322"/>
      <c r="EP404" s="322"/>
      <c r="EQ404" s="385">
        <f>((EQ385/EQ400)-(EQ385/EJ400))</f>
        <v>-351.39501721629131</v>
      </c>
    </row>
    <row r="405" spans="1:147" ht="10.199999999999999" customHeight="1">
      <c r="A405" s="108" t="s">
        <v>482</v>
      </c>
      <c r="B405" s="47"/>
      <c r="C405" s="47"/>
      <c r="D405" s="223">
        <f t="shared" ref="D405:BK405" si="1532">D402/D404</f>
        <v>0.75</v>
      </c>
      <c r="E405" s="223">
        <f t="shared" si="1532"/>
        <v>0.75</v>
      </c>
      <c r="F405" s="223">
        <f t="shared" si="1532"/>
        <v>0.75</v>
      </c>
      <c r="G405" s="223">
        <f t="shared" si="1532"/>
        <v>0.75</v>
      </c>
      <c r="H405" s="223">
        <f t="shared" si="1532"/>
        <v>0.75</v>
      </c>
      <c r="I405" s="223">
        <f t="shared" si="1532"/>
        <v>0.75</v>
      </c>
      <c r="J405" s="223">
        <f t="shared" si="1532"/>
        <v>0.75</v>
      </c>
      <c r="K405" s="223">
        <f t="shared" si="1532"/>
        <v>0.75</v>
      </c>
      <c r="L405" s="223">
        <f t="shared" si="1532"/>
        <v>0.75</v>
      </c>
      <c r="M405" s="223">
        <f t="shared" si="1532"/>
        <v>0.75</v>
      </c>
      <c r="N405" s="223">
        <f t="shared" si="1532"/>
        <v>0.75</v>
      </c>
      <c r="O405" s="328"/>
      <c r="P405" s="328"/>
      <c r="Q405" s="328"/>
      <c r="R405" s="524"/>
      <c r="S405" s="328"/>
      <c r="T405" s="328"/>
      <c r="U405" s="1317">
        <f t="shared" si="1532"/>
        <v>0.75</v>
      </c>
      <c r="V405" s="328"/>
      <c r="W405" s="328"/>
      <c r="X405" s="328"/>
      <c r="Y405" s="524"/>
      <c r="Z405" s="328"/>
      <c r="AA405" s="328"/>
      <c r="AB405" s="1317">
        <f t="shared" si="1532"/>
        <v>0.75</v>
      </c>
      <c r="AC405" s="328"/>
      <c r="AD405" s="328"/>
      <c r="AE405" s="328"/>
      <c r="AF405" s="524"/>
      <c r="AG405" s="328"/>
      <c r="AH405" s="328"/>
      <c r="AI405" s="1317">
        <f t="shared" si="1532"/>
        <v>0.75</v>
      </c>
      <c r="AJ405" s="328"/>
      <c r="AK405" s="328"/>
      <c r="AL405" s="328"/>
      <c r="AM405" s="524"/>
      <c r="AN405" s="328"/>
      <c r="AO405" s="328"/>
      <c r="AP405" s="1317">
        <f t="shared" si="1532"/>
        <v>0.75</v>
      </c>
      <c r="AQ405" s="328"/>
      <c r="AR405" s="328"/>
      <c r="AS405" s="328"/>
      <c r="AT405" s="524"/>
      <c r="AU405" s="328"/>
      <c r="AV405" s="328"/>
      <c r="AW405" s="1317">
        <f t="shared" si="1532"/>
        <v>0.75</v>
      </c>
      <c r="AX405" s="328"/>
      <c r="AY405" s="328"/>
      <c r="AZ405" s="328"/>
      <c r="BA405" s="524"/>
      <c r="BB405" s="328"/>
      <c r="BC405" s="328"/>
      <c r="BD405" s="1317">
        <f t="shared" si="1532"/>
        <v>0.75</v>
      </c>
      <c r="BE405" s="328"/>
      <c r="BF405" s="328"/>
      <c r="BG405" s="328"/>
      <c r="BH405" s="524"/>
      <c r="BI405" s="328"/>
      <c r="BJ405" s="328"/>
      <c r="BK405" s="1317">
        <f t="shared" si="1532"/>
        <v>0.75</v>
      </c>
      <c r="BL405" s="328"/>
      <c r="BM405" s="328"/>
      <c r="BN405" s="328"/>
      <c r="BO405" s="524"/>
      <c r="BP405" s="328"/>
      <c r="BQ405" s="328"/>
      <c r="BR405" s="1317">
        <f>IFERROR(BR402/BR404,"nm")</f>
        <v>0.75</v>
      </c>
      <c r="BS405" s="328"/>
      <c r="BT405" s="328"/>
      <c r="BU405" s="328"/>
      <c r="BV405" s="524"/>
      <c r="BW405" s="328"/>
      <c r="BX405" s="328"/>
      <c r="BY405" s="1317">
        <f>IFERROR(BY402/BY404,"nm")</f>
        <v>0.75</v>
      </c>
      <c r="BZ405" s="328"/>
      <c r="CA405" s="328"/>
      <c r="CB405" s="328"/>
      <c r="CC405" s="524"/>
      <c r="CD405" s="328"/>
      <c r="CE405" s="328"/>
      <c r="CF405" s="1317" t="str">
        <f>IFERROR(CF402/CF404,"nm")</f>
        <v>nm</v>
      </c>
      <c r="CG405" s="328"/>
      <c r="CH405" s="328"/>
      <c r="CI405" s="328"/>
      <c r="CJ405" s="524"/>
      <c r="CK405" s="328"/>
      <c r="CL405" s="328"/>
      <c r="CM405" s="1317">
        <f>IFERROR(CM402/CM404,"nm")</f>
        <v>0.75</v>
      </c>
      <c r="CN405" s="328"/>
      <c r="CO405" s="328"/>
      <c r="CP405" s="328"/>
      <c r="CQ405" s="524"/>
      <c r="CR405" s="328"/>
      <c r="CS405" s="328"/>
      <c r="CT405" s="1317">
        <f>IFERROR(CT402/CT404,"nm")</f>
        <v>0.75</v>
      </c>
      <c r="CU405" s="328"/>
      <c r="CV405" s="328"/>
      <c r="CW405" s="328"/>
      <c r="CX405" s="524"/>
      <c r="CY405" s="328"/>
      <c r="CZ405" s="328"/>
      <c r="DA405" s="1317">
        <f>IFERROR(DA402/DA404,"nm")</f>
        <v>0.75</v>
      </c>
      <c r="DB405" s="328"/>
      <c r="DC405" s="328"/>
      <c r="DD405" s="328"/>
      <c r="DE405" s="1937"/>
      <c r="DF405" s="276"/>
      <c r="DG405" s="276"/>
      <c r="DH405" s="1317">
        <f>IFERROR(DH402/DH404,"nm")</f>
        <v>0.75</v>
      </c>
      <c r="DI405" s="328"/>
      <c r="DJ405" s="328"/>
      <c r="DK405" s="328"/>
      <c r="DL405" s="524"/>
      <c r="DM405" s="2044"/>
      <c r="DN405" s="328"/>
      <c r="DO405" s="396">
        <f>IFERROR(DO402/DO404,"nm")</f>
        <v>0.75</v>
      </c>
      <c r="DP405" s="328"/>
      <c r="DQ405" s="328"/>
      <c r="DR405" s="328"/>
      <c r="DS405" s="524"/>
      <c r="DT405" s="328"/>
      <c r="DU405" s="328"/>
      <c r="DV405" s="396">
        <f>IFERROR(DV402/DV404,"nm")</f>
        <v>0.75</v>
      </c>
      <c r="DW405" s="328"/>
      <c r="DX405" s="328"/>
      <c r="DY405" s="328"/>
      <c r="DZ405" s="524"/>
      <c r="EA405" s="328"/>
      <c r="EB405" s="328"/>
      <c r="EC405" s="396">
        <f>IFERROR(EC402/EC404,"nm")</f>
        <v>0.75</v>
      </c>
      <c r="ED405" s="328"/>
      <c r="EE405" s="328"/>
      <c r="EF405" s="328"/>
      <c r="EG405" s="524"/>
      <c r="EH405" s="328"/>
      <c r="EI405" s="328"/>
      <c r="EJ405" s="396">
        <f>IFERROR(EJ402/EJ404,"nm")</f>
        <v>0.75</v>
      </c>
      <c r="EK405" s="328"/>
      <c r="EL405" s="328"/>
      <c r="EM405" s="328"/>
      <c r="EN405" s="524"/>
      <c r="EO405" s="328"/>
      <c r="EP405" s="328"/>
      <c r="EQ405" s="396">
        <f>IFERROR(EQ402/EQ404,"nm")</f>
        <v>0.75</v>
      </c>
    </row>
    <row r="406" spans="1:147" ht="10.199999999999999" customHeight="1">
      <c r="A406" s="48" t="s">
        <v>549</v>
      </c>
      <c r="B406" s="163"/>
      <c r="C406" s="297">
        <f t="shared" ref="C406:CZ406" si="1533">(C383*C399)+(C384*C400)</f>
        <v>0.94274263654186452</v>
      </c>
      <c r="D406" s="297">
        <f t="shared" si="1533"/>
        <v>0.96716142402729444</v>
      </c>
      <c r="E406" s="297">
        <f t="shared" si="1533"/>
        <v>1.0425472002250604</v>
      </c>
      <c r="F406" s="297">
        <f t="shared" si="1533"/>
        <v>1.1234210843401322</v>
      </c>
      <c r="G406" s="297">
        <f t="shared" si="1533"/>
        <v>1.1493616064799517</v>
      </c>
      <c r="H406" s="297">
        <f t="shared" si="1533"/>
        <v>1.188250206604162</v>
      </c>
      <c r="I406" s="297">
        <f t="shared" si="1533"/>
        <v>1.2480222054076862</v>
      </c>
      <c r="J406" s="297">
        <f t="shared" si="1533"/>
        <v>1.3282219854761803</v>
      </c>
      <c r="K406" s="297">
        <f t="shared" si="1533"/>
        <v>1.3314075260942844</v>
      </c>
      <c r="L406" s="297">
        <f t="shared" si="1533"/>
        <v>1.3361990530250161</v>
      </c>
      <c r="M406" s="297">
        <f t="shared" si="1533"/>
        <v>1.3297826804149024</v>
      </c>
      <c r="N406" s="329">
        <f t="shared" si="1533"/>
        <v>1.3166401039686075</v>
      </c>
      <c r="O406" s="329"/>
      <c r="P406" s="329"/>
      <c r="Q406" s="329"/>
      <c r="R406" s="719"/>
      <c r="S406" s="329"/>
      <c r="T406" s="329"/>
      <c r="U406" s="1314">
        <f t="shared" si="1533"/>
        <v>1.3475916630645597</v>
      </c>
      <c r="V406" s="329"/>
      <c r="W406" s="329"/>
      <c r="X406" s="329"/>
      <c r="Y406" s="719"/>
      <c r="Z406" s="329"/>
      <c r="AA406" s="329"/>
      <c r="AB406" s="1314">
        <f t="shared" si="1533"/>
        <v>1.338113616607457</v>
      </c>
      <c r="AC406" s="329"/>
      <c r="AD406" s="329"/>
      <c r="AE406" s="329"/>
      <c r="AF406" s="719"/>
      <c r="AG406" s="329"/>
      <c r="AH406" s="329"/>
      <c r="AI406" s="1314">
        <f t="shared" si="1533"/>
        <v>1.2210038645623276</v>
      </c>
      <c r="AJ406" s="329"/>
      <c r="AK406" s="329"/>
      <c r="AL406" s="329"/>
      <c r="AM406" s="719"/>
      <c r="AN406" s="329"/>
      <c r="AO406" s="329"/>
      <c r="AP406" s="1314">
        <f t="shared" si="1533"/>
        <v>1.1981974501268524</v>
      </c>
      <c r="AQ406" s="329"/>
      <c r="AR406" s="329"/>
      <c r="AS406" s="329"/>
      <c r="AT406" s="719"/>
      <c r="AU406" s="329"/>
      <c r="AV406" s="329"/>
      <c r="AW406" s="1314">
        <f t="shared" si="1533"/>
        <v>1.2000718756263353</v>
      </c>
      <c r="AX406" s="329"/>
      <c r="AY406" s="329"/>
      <c r="AZ406" s="329"/>
      <c r="BA406" s="719"/>
      <c r="BB406" s="329"/>
      <c r="BC406" s="329"/>
      <c r="BD406" s="1314">
        <f t="shared" si="1533"/>
        <v>1.2112321343653134</v>
      </c>
      <c r="BE406" s="329"/>
      <c r="BF406" s="329"/>
      <c r="BG406" s="329"/>
      <c r="BH406" s="719"/>
      <c r="BI406" s="329"/>
      <c r="BJ406" s="329"/>
      <c r="BK406" s="1314">
        <f t="shared" si="1533"/>
        <v>1.2075218346117556</v>
      </c>
      <c r="BL406" s="329"/>
      <c r="BM406" s="329"/>
      <c r="BN406" s="329"/>
      <c r="BO406" s="719"/>
      <c r="BP406" s="329"/>
      <c r="BQ406" s="329"/>
      <c r="BR406" s="1314">
        <f t="shared" si="1533"/>
        <v>1.2</v>
      </c>
      <c r="BS406" s="329"/>
      <c r="BT406" s="329"/>
      <c r="BU406" s="329"/>
      <c r="BV406" s="719"/>
      <c r="BW406" s="329"/>
      <c r="BX406" s="329"/>
      <c r="BY406" s="1314">
        <f t="shared" si="1533"/>
        <v>1.1955262538262303</v>
      </c>
      <c r="BZ406" s="329"/>
      <c r="CA406" s="329"/>
      <c r="CB406" s="329"/>
      <c r="CC406" s="719"/>
      <c r="CD406" s="329"/>
      <c r="CE406" s="329"/>
      <c r="CF406" s="1314">
        <f t="shared" si="1533"/>
        <v>1.1948544171505473</v>
      </c>
      <c r="CG406" s="329"/>
      <c r="CH406" s="329"/>
      <c r="CI406" s="329"/>
      <c r="CJ406" s="719"/>
      <c r="CK406" s="329"/>
      <c r="CL406" s="329"/>
      <c r="CM406" s="1314">
        <f t="shared" si="1533"/>
        <v>1.1453447964679562</v>
      </c>
      <c r="CN406" s="329">
        <f>(CN383*CN399)+(CN384*CN400)</f>
        <v>1.1403042394630265</v>
      </c>
      <c r="CO406" s="329">
        <f t="shared" si="1533"/>
        <v>1.1465908068164858</v>
      </c>
      <c r="CP406" s="329">
        <f t="shared" ref="CP406:CU406" si="1534">(CP383*CP399)+(CP384*CP400)</f>
        <v>1.1326123903001957</v>
      </c>
      <c r="CQ406" s="719">
        <f t="shared" si="1534"/>
        <v>1.124008286329246</v>
      </c>
      <c r="CR406" s="329">
        <f t="shared" si="1534"/>
        <v>1.1437352529620806</v>
      </c>
      <c r="CS406" s="329">
        <f t="shared" si="1534"/>
        <v>1.1282417859577509</v>
      </c>
      <c r="CT406" s="1314">
        <f t="shared" si="1534"/>
        <v>1.1357458568209049</v>
      </c>
      <c r="CU406" s="329">
        <f t="shared" si="1534"/>
        <v>1.158439122455067</v>
      </c>
      <c r="CV406" s="329">
        <f t="shared" si="1533"/>
        <v>1.1321447523307313</v>
      </c>
      <c r="CW406" s="329">
        <f t="shared" si="1533"/>
        <v>1.1471153513930215</v>
      </c>
      <c r="CX406" s="719">
        <f t="shared" si="1533"/>
        <v>1.1190572566712547</v>
      </c>
      <c r="CY406" s="329">
        <f t="shared" si="1533"/>
        <v>1.1451586324446819</v>
      </c>
      <c r="CZ406" s="329">
        <f t="shared" si="1533"/>
        <v>1.133027434980368</v>
      </c>
      <c r="DA406" s="1314">
        <f t="shared" ref="DA406:DC406" si="1535">(DA383*DA399)+(DA384*DA400)</f>
        <v>1.138313464044507</v>
      </c>
      <c r="DB406" s="329">
        <f t="shared" si="1535"/>
        <v>1.1124436840533902</v>
      </c>
      <c r="DC406" s="329">
        <f t="shared" si="1535"/>
        <v>1.1481315739077482</v>
      </c>
      <c r="DD406" s="329">
        <f t="shared" ref="DD406:DG406" si="1536">(DD383*DD399)+(DD384*DD400)</f>
        <v>1.173304630875974</v>
      </c>
      <c r="DE406" s="719">
        <f t="shared" si="1536"/>
        <v>1.1881482393934333</v>
      </c>
      <c r="DF406" s="329">
        <f t="shared" si="1536"/>
        <v>1.1305061089511907</v>
      </c>
      <c r="DG406" s="329">
        <f t="shared" si="1536"/>
        <v>1.1797334408180769</v>
      </c>
      <c r="DH406" s="1314">
        <f t="shared" ref="DH406:DN406" si="1537">(DH383*DH399)+(DH384*DH400)</f>
        <v>1.1551056987199322</v>
      </c>
      <c r="DI406" s="329">
        <f t="shared" si="1537"/>
        <v>1.1866634397108358</v>
      </c>
      <c r="DJ406" s="416">
        <f t="shared" si="1537"/>
        <v>1.1846510939959825</v>
      </c>
      <c r="DK406" s="416">
        <f t="shared" si="1537"/>
        <v>1.1619586501565458</v>
      </c>
      <c r="DL406" s="521">
        <f t="shared" si="1537"/>
        <v>1.1754081414680464</v>
      </c>
      <c r="DM406" s="2042">
        <f>(DM383*DM399)+(DM384*DM400)</f>
        <v>1.1859041049158945</v>
      </c>
      <c r="DN406" s="416">
        <f t="shared" si="1537"/>
        <v>1.168735866694266</v>
      </c>
      <c r="DO406" s="392">
        <f t="shared" ref="DO406:DU406" si="1538">(DO383*DO399)+(DO384*DO400)</f>
        <v>1.175986108192161</v>
      </c>
      <c r="DP406" s="416">
        <f t="shared" si="1538"/>
        <v>1.1965724958741795</v>
      </c>
      <c r="DQ406" s="416">
        <f t="shared" si="1538"/>
        <v>1.1956990456656191</v>
      </c>
      <c r="DR406" s="416">
        <f t="shared" si="1538"/>
        <v>1.1956596310487682</v>
      </c>
      <c r="DS406" s="521">
        <f t="shared" si="1538"/>
        <v>1.1959802561896253</v>
      </c>
      <c r="DT406" s="416">
        <f t="shared" si="1538"/>
        <v>1.1961239505216181</v>
      </c>
      <c r="DU406" s="416">
        <f t="shared" si="1538"/>
        <v>1.1958183190798901</v>
      </c>
      <c r="DV406" s="392">
        <f t="shared" ref="DV406:EB406" si="1539">(DV383*DV399)+(DV384*DV400)</f>
        <v>1.1959696726225912</v>
      </c>
      <c r="DW406" s="416">
        <f t="shared" si="1539"/>
        <v>1.1969527594640443</v>
      </c>
      <c r="DX406" s="416">
        <f t="shared" si="1539"/>
        <v>1.1965653046661482</v>
      </c>
      <c r="DY406" s="416">
        <f t="shared" si="1539"/>
        <v>1.1965492637599782</v>
      </c>
      <c r="DZ406" s="521">
        <f t="shared" si="1539"/>
        <v>1.1965468718726135</v>
      </c>
      <c r="EA406" s="416">
        <f t="shared" si="1539"/>
        <v>1.1967534794497601</v>
      </c>
      <c r="EB406" s="416">
        <f t="shared" si="1539"/>
        <v>1.1965480675978677</v>
      </c>
      <c r="EC406" s="392">
        <f t="shared" ref="EC406:EI406" si="1540">(EC383*EC399)+(EC384*EC400)</f>
        <v>1.1966491874666152</v>
      </c>
      <c r="ED406" s="416">
        <f t="shared" si="1540"/>
        <v>1.2189778634813102</v>
      </c>
      <c r="EE406" s="416">
        <f t="shared" si="1540"/>
        <v>1.2189927551292188</v>
      </c>
      <c r="EF406" s="416">
        <f t="shared" si="1540"/>
        <v>1.2189952580916752</v>
      </c>
      <c r="EG406" s="521">
        <f t="shared" si="1540"/>
        <v>1.2189950350642893</v>
      </c>
      <c r="EH406" s="416">
        <f t="shared" si="1540"/>
        <v>1.218985363942894</v>
      </c>
      <c r="EI406" s="416">
        <f t="shared" si="1540"/>
        <v>1.2189951465903575</v>
      </c>
      <c r="EJ406" s="392">
        <f t="shared" ref="EJ406:EP406" si="1541">(EJ383*EJ399)+(EJ384*EJ400)</f>
        <v>1.2189902789607805</v>
      </c>
      <c r="EK406" s="416">
        <f t="shared" si="1541"/>
        <v>1.2304395395147902</v>
      </c>
      <c r="EL406" s="416">
        <f t="shared" si="1541"/>
        <v>1.2304329132983813</v>
      </c>
      <c r="EM406" s="416">
        <f t="shared" si="1541"/>
        <v>1.2304318051604837</v>
      </c>
      <c r="EN406" s="521">
        <f t="shared" si="1541"/>
        <v>1.2304323159958457</v>
      </c>
      <c r="EO406" s="416">
        <f t="shared" si="1541"/>
        <v>1.2304362012437673</v>
      </c>
      <c r="EP406" s="416">
        <f t="shared" si="1541"/>
        <v>1.2304320604271717</v>
      </c>
      <c r="EQ406" s="392">
        <f>(EQ383*EQ399)+(EQ384*EQ400)</f>
        <v>1.2304341209615093</v>
      </c>
    </row>
    <row r="407" spans="1:147" ht="10.199999999999999" customHeight="1">
      <c r="A407" s="108" t="s">
        <v>550</v>
      </c>
      <c r="B407" s="299"/>
      <c r="C407" s="299"/>
      <c r="D407" s="133">
        <f t="shared" ref="D407:N407" si="1542">((C11*C406)/D406)-C11</f>
        <v>-518.81893918872811</v>
      </c>
      <c r="E407" s="133">
        <f t="shared" si="1542"/>
        <v>-1410.8975256499398</v>
      </c>
      <c r="F407" s="133">
        <f t="shared" si="1542"/>
        <v>-1371.2451778744471</v>
      </c>
      <c r="G407" s="133">
        <f t="shared" si="1542"/>
        <v>-456.445662355487</v>
      </c>
      <c r="H407" s="133">
        <f t="shared" si="1542"/>
        <v>-725.86586340244321</v>
      </c>
      <c r="I407" s="133">
        <f t="shared" si="1542"/>
        <v>-1206.4341830912599</v>
      </c>
      <c r="J407" s="133">
        <f t="shared" si="1542"/>
        <v>-1522.5750486897159</v>
      </c>
      <c r="K407" s="133">
        <f t="shared" si="1542"/>
        <v>-63.461620652284182</v>
      </c>
      <c r="L407" s="133">
        <f t="shared" si="1542"/>
        <v>-94.56118448621055</v>
      </c>
      <c r="M407" s="133">
        <f t="shared" si="1542"/>
        <v>133.52578722432372</v>
      </c>
      <c r="N407" s="197">
        <f t="shared" si="1542"/>
        <v>311.02617811485834</v>
      </c>
      <c r="O407" s="322"/>
      <c r="P407" s="322"/>
      <c r="Q407" s="322"/>
      <c r="R407" s="430"/>
      <c r="S407" s="322"/>
      <c r="T407" s="322"/>
      <c r="U407" s="339">
        <f>((N11*N406)/U406)-N11</f>
        <v>-848.5088465755689</v>
      </c>
      <c r="V407" s="322"/>
      <c r="W407" s="322"/>
      <c r="X407" s="322"/>
      <c r="Y407" s="430"/>
      <c r="Z407" s="322"/>
      <c r="AA407" s="322"/>
      <c r="AB407" s="339">
        <f>((U11*U406)/AB406)-U11</f>
        <v>279.74154222109064</v>
      </c>
      <c r="AC407" s="322"/>
      <c r="AD407" s="322"/>
      <c r="AE407" s="322"/>
      <c r="AF407" s="430"/>
      <c r="AG407" s="322"/>
      <c r="AH407" s="322"/>
      <c r="AI407" s="339">
        <f>((AB11*AB406)/AI406)-AB11</f>
        <v>4055.1880793947494</v>
      </c>
      <c r="AJ407" s="322"/>
      <c r="AK407" s="322"/>
      <c r="AL407" s="322"/>
      <c r="AM407" s="430"/>
      <c r="AN407" s="322"/>
      <c r="AO407" s="322"/>
      <c r="AP407" s="339">
        <f>((AI11*AI406)/AP406)-AI11</f>
        <v>872.78213404106646</v>
      </c>
      <c r="AQ407" s="322"/>
      <c r="AR407" s="322"/>
      <c r="AS407" s="322"/>
      <c r="AT407" s="430"/>
      <c r="AU407" s="322"/>
      <c r="AV407" s="322"/>
      <c r="AW407" s="339">
        <f>((AP11*AP406)/AW406)-AP11</f>
        <v>-76.904633957754413</v>
      </c>
      <c r="AX407" s="322"/>
      <c r="AY407" s="322"/>
      <c r="AZ407" s="322"/>
      <c r="BA407" s="430"/>
      <c r="BB407" s="322"/>
      <c r="BC407" s="322"/>
      <c r="BD407" s="339">
        <f>((AW11*AW406)/BD406)-AW11</f>
        <v>-469.5255753917445</v>
      </c>
      <c r="BE407" s="322"/>
      <c r="BF407" s="322"/>
      <c r="BG407" s="322"/>
      <c r="BH407" s="430"/>
      <c r="BI407" s="322"/>
      <c r="BJ407" s="322"/>
      <c r="BK407" s="339">
        <f>((BD11*BD406)/BK406)-BD11</f>
        <v>133.61753838189907</v>
      </c>
      <c r="BL407" s="322"/>
      <c r="BM407" s="322"/>
      <c r="BN407" s="322"/>
      <c r="BO407" s="430"/>
      <c r="BP407" s="322"/>
      <c r="BQ407" s="322"/>
      <c r="BR407" s="339">
        <f>((BK11*BK406)/BR406)-BK11</f>
        <v>300.68533860492607</v>
      </c>
      <c r="BS407" s="322"/>
      <c r="BT407" s="322"/>
      <c r="BU407" s="322"/>
      <c r="BV407" s="430"/>
      <c r="BW407" s="322"/>
      <c r="BX407" s="322"/>
      <c r="BY407" s="339">
        <f>((BR11*BR406)/BY406)-BR11</f>
        <v>204.97203293023631</v>
      </c>
      <c r="BZ407" s="322"/>
      <c r="CA407" s="322"/>
      <c r="CB407" s="322"/>
      <c r="CC407" s="430"/>
      <c r="CD407" s="322"/>
      <c r="CE407" s="322"/>
      <c r="CF407" s="339">
        <f>((BY11*BY406)/CF406)-BY11</f>
        <v>19.25791612087778</v>
      </c>
      <c r="CG407" s="322"/>
      <c r="CH407" s="322"/>
      <c r="CI407" s="322"/>
      <c r="CJ407" s="430"/>
      <c r="CK407" s="322"/>
      <c r="CL407" s="322"/>
      <c r="CM407" s="339">
        <f>((CF11*CF406)/CM406)-CF11</f>
        <v>1563.2549498515291</v>
      </c>
      <c r="CN407" s="322"/>
      <c r="CO407" s="322"/>
      <c r="CP407" s="322"/>
      <c r="CQ407" s="430"/>
      <c r="CR407" s="322"/>
      <c r="CS407" s="322"/>
      <c r="CT407" s="339">
        <f>((CM11*CM406)/CT406)-CM11</f>
        <v>350.13543682311865</v>
      </c>
      <c r="CU407" s="322"/>
      <c r="CV407" s="322"/>
      <c r="CW407" s="322"/>
      <c r="CX407" s="430"/>
      <c r="CY407" s="322"/>
      <c r="CZ407" s="322"/>
      <c r="DA407" s="339">
        <f>((CT11*CT406)/DA406)-CT11</f>
        <v>-107.73537140215194</v>
      </c>
      <c r="DB407" s="322"/>
      <c r="DC407" s="322"/>
      <c r="DD407" s="322"/>
      <c r="DE407" s="688"/>
      <c r="DF407" s="197"/>
      <c r="DG407" s="197"/>
      <c r="DH407" s="339">
        <f>((DA11*DA406)/DH406)-DA11</f>
        <v>-736.26120822886878</v>
      </c>
      <c r="DI407" s="322"/>
      <c r="DJ407" s="322"/>
      <c r="DK407" s="322"/>
      <c r="DL407" s="430"/>
      <c r="DM407" s="2023"/>
      <c r="DN407" s="322"/>
      <c r="DO407" s="385">
        <f>((DH11*DH406)/DO406)-DH11</f>
        <v>-933.53933449865144</v>
      </c>
      <c r="DP407" s="322"/>
      <c r="DQ407" s="322"/>
      <c r="DR407" s="322"/>
      <c r="DS407" s="430"/>
      <c r="DT407" s="322"/>
      <c r="DU407" s="322"/>
      <c r="DV407" s="385">
        <f>((DO11*DO406)/DV406)-DO11</f>
        <v>-974.78755766780523</v>
      </c>
      <c r="DW407" s="322"/>
      <c r="DX407" s="322"/>
      <c r="DY407" s="322"/>
      <c r="DZ407" s="430"/>
      <c r="EA407" s="322"/>
      <c r="EB407" s="322"/>
      <c r="EC407" s="385">
        <f>((DV11*DV406)/EC406)-DV11</f>
        <v>-37.610269327982678</v>
      </c>
      <c r="ED407" s="322"/>
      <c r="EE407" s="322"/>
      <c r="EF407" s="322"/>
      <c r="EG407" s="430"/>
      <c r="EH407" s="322"/>
      <c r="EI407" s="322"/>
      <c r="EJ407" s="385">
        <f>((EC11*EC406)/EJ406)-EC11</f>
        <v>-1340.5768075459491</v>
      </c>
      <c r="EK407" s="322"/>
      <c r="EL407" s="322"/>
      <c r="EM407" s="322"/>
      <c r="EN407" s="430"/>
      <c r="EO407" s="322"/>
      <c r="EP407" s="322"/>
      <c r="EQ407" s="385">
        <f>((EJ11*EJ406)/EQ406)-EJ11</f>
        <v>-710.29652969508606</v>
      </c>
    </row>
    <row r="408" spans="1:147" ht="10.199999999999999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399"/>
      <c r="P408" s="399"/>
      <c r="Q408" s="399"/>
      <c r="R408" s="425"/>
      <c r="S408" s="399"/>
      <c r="T408" s="399"/>
      <c r="U408" s="338"/>
      <c r="V408" s="399"/>
      <c r="W408" s="399"/>
      <c r="X408" s="399"/>
      <c r="Y408" s="425"/>
      <c r="Z408" s="399"/>
      <c r="AA408" s="399"/>
      <c r="AB408" s="338"/>
      <c r="AC408" s="399"/>
      <c r="AD408" s="399"/>
      <c r="AE408" s="399"/>
      <c r="AF408" s="425"/>
      <c r="AG408" s="399"/>
      <c r="AH408" s="399"/>
      <c r="AI408" s="338"/>
      <c r="AJ408" s="399"/>
      <c r="AK408" s="399"/>
      <c r="AL408" s="399"/>
      <c r="AM408" s="425"/>
      <c r="AN408" s="399"/>
      <c r="AO408" s="399"/>
      <c r="AP408" s="338"/>
      <c r="AQ408" s="399"/>
      <c r="AR408" s="399"/>
      <c r="AS408" s="399"/>
      <c r="AT408" s="425"/>
      <c r="AU408" s="399"/>
      <c r="AV408" s="399"/>
      <c r="AW408" s="338"/>
      <c r="AX408" s="399"/>
      <c r="AY408" s="399"/>
      <c r="AZ408" s="399"/>
      <c r="BA408" s="425"/>
      <c r="BB408" s="399"/>
      <c r="BC408" s="399"/>
      <c r="BD408" s="338"/>
      <c r="BE408" s="399"/>
      <c r="BF408" s="399"/>
      <c r="BG408" s="399"/>
      <c r="BH408" s="425"/>
      <c r="BI408" s="399"/>
      <c r="BJ408" s="399"/>
      <c r="BK408" s="338"/>
      <c r="BL408" s="399"/>
      <c r="BM408" s="399"/>
      <c r="BN408" s="399"/>
      <c r="BO408" s="425"/>
      <c r="BP408" s="399"/>
      <c r="BQ408" s="399"/>
      <c r="BR408" s="338"/>
      <c r="BS408" s="399"/>
      <c r="BT408" s="399"/>
      <c r="BU408" s="399"/>
      <c r="BV408" s="425"/>
      <c r="BW408" s="399"/>
      <c r="BX408" s="399"/>
      <c r="BY408" s="338"/>
      <c r="BZ408" s="399"/>
      <c r="CA408" s="399"/>
      <c r="CB408" s="399"/>
      <c r="CC408" s="425"/>
      <c r="CD408" s="399"/>
      <c r="CE408" s="399"/>
      <c r="CF408" s="338"/>
      <c r="CG408" s="399"/>
      <c r="CH408" s="399"/>
      <c r="CI408" s="399"/>
      <c r="CJ408" s="425"/>
      <c r="CK408" s="399"/>
      <c r="CL408" s="399"/>
      <c r="CM408" s="338"/>
      <c r="CN408" s="399"/>
      <c r="CO408" s="399"/>
      <c r="CP408" s="399"/>
      <c r="CQ408" s="425"/>
      <c r="CR408" s="399"/>
      <c r="CS408" s="399"/>
      <c r="CT408" s="338"/>
      <c r="CU408" s="399"/>
      <c r="CV408" s="399"/>
      <c r="CW408" s="399"/>
      <c r="CX408" s="425"/>
      <c r="CY408" s="399"/>
      <c r="CZ408" s="399"/>
      <c r="DA408" s="338"/>
      <c r="DB408" s="399"/>
      <c r="DC408" s="399"/>
      <c r="DD408" s="399"/>
      <c r="DE408" s="425"/>
      <c r="DF408" s="399"/>
      <c r="DG408" s="399"/>
      <c r="DH408" s="338"/>
      <c r="DI408" s="399"/>
      <c r="DJ408" s="399"/>
      <c r="DK408" s="399"/>
      <c r="DL408" s="425"/>
      <c r="DM408" s="2045"/>
      <c r="DN408" s="399"/>
      <c r="DO408" s="338"/>
      <c r="DP408" s="399"/>
      <c r="DQ408" s="399"/>
      <c r="DR408" s="399"/>
      <c r="DS408" s="425"/>
      <c r="DT408" s="399"/>
      <c r="DU408" s="399"/>
      <c r="DV408" s="338"/>
      <c r="DW408" s="399"/>
      <c r="DX408" s="399"/>
      <c r="DY408" s="399"/>
      <c r="DZ408" s="425"/>
      <c r="EA408" s="399"/>
      <c r="EB408" s="399"/>
      <c r="EC408" s="338"/>
      <c r="ED408" s="399"/>
      <c r="EE408" s="399"/>
      <c r="EF408" s="399"/>
      <c r="EG408" s="425"/>
      <c r="EH408" s="399"/>
      <c r="EI408" s="399"/>
      <c r="EJ408" s="338"/>
      <c r="EK408" s="399"/>
      <c r="EL408" s="399"/>
      <c r="EM408" s="399"/>
      <c r="EN408" s="425"/>
      <c r="EO408" s="399"/>
      <c r="EP408" s="399"/>
      <c r="EQ408" s="338"/>
    </row>
    <row r="409" spans="1:147" ht="10.199999999999999" customHeight="1">
      <c r="A409" s="108" t="s">
        <v>573</v>
      </c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278"/>
      <c r="P409" s="278"/>
      <c r="Q409" s="278"/>
      <c r="R409" s="721"/>
      <c r="S409" s="278"/>
      <c r="T409" s="278"/>
      <c r="U409" s="1318"/>
      <c r="V409" s="278"/>
      <c r="W409" s="278"/>
      <c r="X409" s="278"/>
      <c r="Y409" s="721"/>
      <c r="Z409" s="278"/>
      <c r="AA409" s="278"/>
      <c r="AB409" s="1318"/>
      <c r="AC409" s="278"/>
      <c r="AD409" s="278"/>
      <c r="AE409" s="278"/>
      <c r="AF409" s="721"/>
      <c r="AG409" s="278"/>
      <c r="AH409" s="278"/>
      <c r="AI409" s="1318"/>
      <c r="AJ409" s="278"/>
      <c r="AK409" s="278"/>
      <c r="AL409" s="278"/>
      <c r="AM409" s="721"/>
      <c r="AN409" s="278"/>
      <c r="AO409" s="278"/>
      <c r="AP409" s="1318">
        <f t="shared" ref="AP409:CY409" si="1543">AP385/AP400</f>
        <v>17803.030303030304</v>
      </c>
      <c r="AQ409" s="278"/>
      <c r="AR409" s="278"/>
      <c r="AS409" s="278"/>
      <c r="AT409" s="721"/>
      <c r="AU409" s="278"/>
      <c r="AV409" s="278"/>
      <c r="AW409" s="1318">
        <f t="shared" si="1543"/>
        <v>19612.403100775195</v>
      </c>
      <c r="AX409" s="278"/>
      <c r="AY409" s="278"/>
      <c r="AZ409" s="278"/>
      <c r="BA409" s="721"/>
      <c r="BB409" s="278"/>
      <c r="BC409" s="278"/>
      <c r="BD409" s="1318">
        <f t="shared" si="1543"/>
        <v>19612.403100775195</v>
      </c>
      <c r="BE409" s="278"/>
      <c r="BF409" s="278"/>
      <c r="BG409" s="278"/>
      <c r="BH409" s="721"/>
      <c r="BI409" s="278"/>
      <c r="BJ409" s="278"/>
      <c r="BK409" s="1318">
        <f t="shared" si="1543"/>
        <v>20483.870967741936</v>
      </c>
      <c r="BL409" s="278"/>
      <c r="BM409" s="278"/>
      <c r="BN409" s="278"/>
      <c r="BO409" s="721"/>
      <c r="BP409" s="278"/>
      <c r="BQ409" s="278"/>
      <c r="BR409" s="1318">
        <f t="shared" si="1543"/>
        <v>21250</v>
      </c>
      <c r="BS409" s="278"/>
      <c r="BT409" s="278"/>
      <c r="BU409" s="278"/>
      <c r="BV409" s="721"/>
      <c r="BW409" s="278"/>
      <c r="BX409" s="278"/>
      <c r="BY409" s="1318">
        <f t="shared" si="1543"/>
        <v>14369.747899159665</v>
      </c>
      <c r="BZ409" s="278"/>
      <c r="CA409" s="278"/>
      <c r="CB409" s="278"/>
      <c r="CC409" s="721"/>
      <c r="CD409" s="278"/>
      <c r="CE409" s="278"/>
      <c r="CF409" s="1318">
        <f t="shared" si="1543"/>
        <v>17563.025210084033</v>
      </c>
      <c r="CG409" s="278"/>
      <c r="CH409" s="278"/>
      <c r="CI409" s="278"/>
      <c r="CJ409" s="721"/>
      <c r="CK409" s="278"/>
      <c r="CL409" s="278"/>
      <c r="CM409" s="1318">
        <f t="shared" si="1543"/>
        <v>16639.344262295082</v>
      </c>
      <c r="CN409" s="278">
        <f t="shared" si="1543"/>
        <v>3032.7868852459019</v>
      </c>
      <c r="CO409" s="278">
        <f>CR409-CN409</f>
        <v>4950.7522094043052</v>
      </c>
      <c r="CP409" s="278">
        <f>CP385/CP400</f>
        <v>4661.016949152543</v>
      </c>
      <c r="CQ409" s="721">
        <f t="shared" si="1543"/>
        <v>6000</v>
      </c>
      <c r="CR409" s="278">
        <f t="shared" si="1543"/>
        <v>7983.5390946502066</v>
      </c>
      <c r="CS409" s="278">
        <f>CT409-CR409</f>
        <v>10644.319533208423</v>
      </c>
      <c r="CT409" s="1318">
        <f>CT385/CT400</f>
        <v>18627.85862785863</v>
      </c>
      <c r="CU409" s="278">
        <f t="shared" ref="CU409" si="1544">CU385/CU400</f>
        <v>3658.5365853658536</v>
      </c>
      <c r="CV409" s="278">
        <f>CY409-CU409</f>
        <v>4901.1341965271513</v>
      </c>
      <c r="CW409" s="278">
        <f t="shared" ref="CW409" si="1545">CW385/CW400</f>
        <v>4666.666666666667</v>
      </c>
      <c r="CX409" s="721">
        <f>CZ409-CW409</f>
        <v>5947.2162704485936</v>
      </c>
      <c r="CY409" s="278">
        <f t="shared" si="1543"/>
        <v>8559.6707818930045</v>
      </c>
      <c r="CZ409" s="278">
        <f>DA409-CY409</f>
        <v>10613.882937115261</v>
      </c>
      <c r="DA409" s="1318">
        <f>DA385/DA400</f>
        <v>19173.553719008265</v>
      </c>
      <c r="DB409" s="278">
        <f t="shared" ref="DB409" si="1546">DB385/DB400</f>
        <v>3361.3445378151264</v>
      </c>
      <c r="DC409" s="278">
        <f>DF409-DB409</f>
        <v>4350.5198689645349</v>
      </c>
      <c r="DD409" s="278">
        <f t="shared" ref="DD409:DG409" si="1547">DD385/DD400</f>
        <v>4830.5084745762715</v>
      </c>
      <c r="DE409" s="721">
        <f t="shared" si="1547"/>
        <v>8774.4947392304693</v>
      </c>
      <c r="DF409" s="278">
        <f t="shared" si="1547"/>
        <v>7711.8644067796613</v>
      </c>
      <c r="DG409" s="278">
        <f t="shared" si="1547"/>
        <v>13638.393460223944</v>
      </c>
      <c r="DH409" s="1318">
        <f t="shared" ref="DH409:DN409" si="1548">DH385/DH400</f>
        <v>19873.684210526317</v>
      </c>
      <c r="DI409" s="278">
        <f t="shared" si="1548"/>
        <v>2809.9173553719011</v>
      </c>
      <c r="DJ409" s="334">
        <f t="shared" si="1548"/>
        <v>6280.9917355371899</v>
      </c>
      <c r="DK409" s="334">
        <f t="shared" si="1548"/>
        <v>5698.0981892485324</v>
      </c>
      <c r="DL409" s="525">
        <f t="shared" si="1548"/>
        <v>7611.3507553265108</v>
      </c>
      <c r="DM409" s="2046">
        <f t="shared" si="1548"/>
        <v>9090.9090909090919</v>
      </c>
      <c r="DN409" s="334">
        <f t="shared" si="1548"/>
        <v>13348.570855695803</v>
      </c>
      <c r="DO409" s="397">
        <f t="shared" ref="DO409:DU409" si="1549">DO385/DO400</f>
        <v>22797.939760269117</v>
      </c>
      <c r="DP409" s="334">
        <f t="shared" si="1549"/>
        <v>6249.3317845544207</v>
      </c>
      <c r="DQ409" s="334">
        <f t="shared" si="1549"/>
        <v>6608.8418353175693</v>
      </c>
      <c r="DR409" s="334">
        <f t="shared" si="1549"/>
        <v>6626.011503232111</v>
      </c>
      <c r="DS409" s="525">
        <f t="shared" si="1549"/>
        <v>6488.8020958413881</v>
      </c>
      <c r="DT409" s="334">
        <f t="shared" si="1549"/>
        <v>12858.163335066718</v>
      </c>
      <c r="DU409" s="334">
        <f t="shared" si="1549"/>
        <v>13114.8121828442</v>
      </c>
      <c r="DV409" s="397">
        <f t="shared" ref="DV409:EB409" si="1550">DV385/DV400</f>
        <v>25972.972970906209</v>
      </c>
      <c r="DW409" s="334">
        <f t="shared" si="1550"/>
        <v>6932.9987073222155</v>
      </c>
      <c r="DX409" s="334">
        <f t="shared" si="1550"/>
        <v>7348.0482184465454</v>
      </c>
      <c r="DY409" s="334">
        <f t="shared" si="1550"/>
        <v>7366.2904244604897</v>
      </c>
      <c r="DZ409" s="525">
        <f t="shared" si="1550"/>
        <v>7369.0182114103209</v>
      </c>
      <c r="EA409" s="334">
        <f t="shared" si="1550"/>
        <v>14281.044627904334</v>
      </c>
      <c r="EB409" s="334">
        <f t="shared" si="1550"/>
        <v>14735.3086357803</v>
      </c>
      <c r="EC409" s="397">
        <f t="shared" ref="EC409:EI409" si="1551">EC385/EC400</f>
        <v>29016.351950081309</v>
      </c>
      <c r="ED409" s="334">
        <f t="shared" si="1551"/>
        <v>7553.8737141618913</v>
      </c>
      <c r="EE409" s="334">
        <f t="shared" si="1551"/>
        <v>7665.3198275930108</v>
      </c>
      <c r="EF409" s="334">
        <f t="shared" si="1551"/>
        <v>7684.3757915755023</v>
      </c>
      <c r="EG409" s="525">
        <f t="shared" si="1551"/>
        <v>7682.673950735486</v>
      </c>
      <c r="EH409" s="334">
        <f t="shared" si="1551"/>
        <v>15219.19353819726</v>
      </c>
      <c r="EI409" s="334">
        <f t="shared" si="1551"/>
        <v>15367.049742310181</v>
      </c>
      <c r="EJ409" s="397">
        <f t="shared" ref="EJ409:EP409" si="1552">EJ385/EJ400</f>
        <v>30586.24327742192</v>
      </c>
      <c r="EK409" s="334">
        <f t="shared" si="1552"/>
        <v>7761.7283826350995</v>
      </c>
      <c r="EL409" s="334">
        <f t="shared" si="1552"/>
        <v>7880.6362534245745</v>
      </c>
      <c r="EM409" s="334">
        <f t="shared" si="1552"/>
        <v>7900.8780425837967</v>
      </c>
      <c r="EN409" s="525">
        <f t="shared" si="1552"/>
        <v>7891.5339815864418</v>
      </c>
      <c r="EO409" s="334">
        <f t="shared" si="1552"/>
        <v>15642.364635351645</v>
      </c>
      <c r="EP409" s="334">
        <f t="shared" si="1552"/>
        <v>15792.412024165982</v>
      </c>
      <c r="EQ409" s="397">
        <f>EQ385/EQ400</f>
        <v>31434.776658961968</v>
      </c>
    </row>
    <row r="410" spans="1:147" ht="10.199999999999999" customHeight="1">
      <c r="A410" s="108" t="s">
        <v>142</v>
      </c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334"/>
      <c r="P410" s="334"/>
      <c r="Q410" s="334"/>
      <c r="R410" s="525"/>
      <c r="S410" s="334"/>
      <c r="T410" s="334"/>
      <c r="U410" s="1318"/>
      <c r="V410" s="334"/>
      <c r="W410" s="334"/>
      <c r="X410" s="334"/>
      <c r="Y410" s="525"/>
      <c r="Z410" s="334"/>
      <c r="AA410" s="334"/>
      <c r="AB410" s="1318"/>
      <c r="AC410" s="334"/>
      <c r="AD410" s="334"/>
      <c r="AE410" s="334"/>
      <c r="AF410" s="525"/>
      <c r="AG410" s="334"/>
      <c r="AH410" s="334"/>
      <c r="AI410" s="1318"/>
      <c r="AJ410" s="334"/>
      <c r="AK410" s="334"/>
      <c r="AL410" s="334"/>
      <c r="AM410" s="525"/>
      <c r="AN410" s="334"/>
      <c r="AO410" s="334"/>
      <c r="AP410" s="1318"/>
      <c r="AQ410" s="334"/>
      <c r="AR410" s="334"/>
      <c r="AS410" s="334"/>
      <c r="AT410" s="525"/>
      <c r="AU410" s="334"/>
      <c r="AV410" s="334"/>
      <c r="AW410" s="1318">
        <f>AW409-AP409</f>
        <v>1809.3727977448907</v>
      </c>
      <c r="AX410" s="334"/>
      <c r="AY410" s="334"/>
      <c r="AZ410" s="334"/>
      <c r="BA410" s="525"/>
      <c r="BB410" s="334"/>
      <c r="BC410" s="334"/>
      <c r="BD410" s="1318">
        <f>BD409-AP409</f>
        <v>1809.3727977448907</v>
      </c>
      <c r="BE410" s="334"/>
      <c r="BF410" s="334"/>
      <c r="BG410" s="334"/>
      <c r="BH410" s="525"/>
      <c r="BI410" s="334"/>
      <c r="BJ410" s="334"/>
      <c r="BK410" s="1318">
        <f>BK409-BD409</f>
        <v>871.46786696674098</v>
      </c>
      <c r="BL410" s="334"/>
      <c r="BM410" s="334"/>
      <c r="BN410" s="334"/>
      <c r="BO410" s="525"/>
      <c r="BP410" s="334"/>
      <c r="BQ410" s="334"/>
      <c r="BR410" s="1318">
        <f>BR409-BK409</f>
        <v>766.1290322580644</v>
      </c>
      <c r="BS410" s="334"/>
      <c r="BT410" s="334"/>
      <c r="BU410" s="334"/>
      <c r="BV410" s="525"/>
      <c r="BW410" s="334"/>
      <c r="BX410" s="334"/>
      <c r="BY410" s="1318">
        <f>BY409-BR409</f>
        <v>-6880.2521008403346</v>
      </c>
      <c r="BZ410" s="334"/>
      <c r="CA410" s="334"/>
      <c r="CB410" s="334"/>
      <c r="CC410" s="525"/>
      <c r="CD410" s="334"/>
      <c r="CE410" s="334"/>
      <c r="CF410" s="1318">
        <f>CF409-BY409</f>
        <v>3193.2773109243681</v>
      </c>
      <c r="CG410" s="334"/>
      <c r="CH410" s="334"/>
      <c r="CI410" s="334"/>
      <c r="CJ410" s="525"/>
      <c r="CK410" s="334"/>
      <c r="CL410" s="334"/>
      <c r="CM410" s="1318">
        <f>CM409-CF409</f>
        <v>-923.68094778895102</v>
      </c>
      <c r="CN410" s="334"/>
      <c r="CO410" s="334"/>
      <c r="CP410" s="334"/>
      <c r="CQ410" s="525"/>
      <c r="CR410" s="334"/>
      <c r="CS410" s="334"/>
      <c r="CT410" s="1318">
        <f t="shared" ref="CT410:DC410" si="1553">CT409-CM409</f>
        <v>1988.5143655635475</v>
      </c>
      <c r="CU410" s="278">
        <f t="shared" si="1553"/>
        <v>625.74970011995174</v>
      </c>
      <c r="CV410" s="278">
        <f t="shared" si="1553"/>
        <v>-49.618012877153888</v>
      </c>
      <c r="CW410" s="278">
        <f t="shared" si="1553"/>
        <v>5.6497175141239495</v>
      </c>
      <c r="CX410" s="721">
        <f t="shared" si="1553"/>
        <v>-52.783729551406395</v>
      </c>
      <c r="CY410" s="278">
        <f t="shared" si="1553"/>
        <v>576.13168724279785</v>
      </c>
      <c r="CZ410" s="278">
        <f t="shared" si="1553"/>
        <v>-30.436596093162734</v>
      </c>
      <c r="DA410" s="1318">
        <f t="shared" si="1553"/>
        <v>545.69509114963512</v>
      </c>
      <c r="DB410" s="278">
        <f t="shared" si="1553"/>
        <v>-297.19204755072724</v>
      </c>
      <c r="DC410" s="278">
        <f t="shared" si="1553"/>
        <v>-550.61432756261638</v>
      </c>
      <c r="DD410" s="278"/>
      <c r="DE410" s="721"/>
      <c r="DF410" s="278">
        <f t="shared" ref="DF410" si="1554">DF409-CY409</f>
        <v>-847.80637511334317</v>
      </c>
      <c r="DG410" s="278"/>
      <c r="DH410" s="1318">
        <f>DH409-DA409</f>
        <v>700.13049151805171</v>
      </c>
      <c r="DI410" s="278"/>
      <c r="DJ410" s="334"/>
      <c r="DK410" s="334"/>
      <c r="DL410" s="525"/>
      <c r="DM410" s="2046"/>
      <c r="DN410" s="334"/>
      <c r="DO410" s="397">
        <f>DO409-DH409</f>
        <v>2924.2555497428002</v>
      </c>
      <c r="DP410" s="334"/>
      <c r="DQ410" s="334"/>
      <c r="DR410" s="334"/>
      <c r="DS410" s="525"/>
      <c r="DT410" s="334"/>
      <c r="DU410" s="334"/>
      <c r="DV410" s="397">
        <f>DV409-DO409</f>
        <v>3175.0332106370915</v>
      </c>
      <c r="DW410" s="334"/>
      <c r="DX410" s="334"/>
      <c r="DY410" s="334"/>
      <c r="DZ410" s="525"/>
      <c r="EA410" s="334"/>
      <c r="EB410" s="334"/>
      <c r="EC410" s="397">
        <f>EC409-DV409</f>
        <v>3043.3789791751005</v>
      </c>
      <c r="ED410" s="334"/>
      <c r="EE410" s="334"/>
      <c r="EF410" s="334"/>
      <c r="EG410" s="525"/>
      <c r="EH410" s="334"/>
      <c r="EI410" s="334"/>
      <c r="EJ410" s="397">
        <f>EJ409-EC409</f>
        <v>1569.8913273406106</v>
      </c>
      <c r="EK410" s="334"/>
      <c r="EL410" s="334"/>
      <c r="EM410" s="334"/>
      <c r="EN410" s="525"/>
      <c r="EO410" s="334"/>
      <c r="EP410" s="334"/>
      <c r="EQ410" s="397">
        <f>EQ409-EJ409</f>
        <v>848.53338154004814</v>
      </c>
    </row>
    <row r="411" spans="1:147" ht="10.199999999999999" customHeight="1">
      <c r="A411" s="108" t="s">
        <v>572</v>
      </c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334"/>
      <c r="P411" s="334"/>
      <c r="Q411" s="334"/>
      <c r="R411" s="525"/>
      <c r="S411" s="334"/>
      <c r="T411" s="334"/>
      <c r="U411" s="1318"/>
      <c r="V411" s="334"/>
      <c r="W411" s="334"/>
      <c r="X411" s="334"/>
      <c r="Y411" s="525"/>
      <c r="Z411" s="334"/>
      <c r="AA411" s="334"/>
      <c r="AB411" s="1318"/>
      <c r="AC411" s="334"/>
      <c r="AD411" s="334"/>
      <c r="AE411" s="334"/>
      <c r="AF411" s="525"/>
      <c r="AG411" s="334"/>
      <c r="AH411" s="334"/>
      <c r="AI411" s="1318"/>
      <c r="AJ411" s="334"/>
      <c r="AK411" s="334"/>
      <c r="AL411" s="334"/>
      <c r="AM411" s="525"/>
      <c r="AN411" s="334"/>
      <c r="AO411" s="334"/>
      <c r="AP411" s="1318"/>
      <c r="AQ411" s="334"/>
      <c r="AR411" s="334"/>
      <c r="AS411" s="334"/>
      <c r="AT411" s="525"/>
      <c r="AU411" s="334"/>
      <c r="AV411" s="334"/>
      <c r="AW411" s="1318">
        <f>(AW385/AP400)-AP409</f>
        <v>1363.6363636363603</v>
      </c>
      <c r="AX411" s="334"/>
      <c r="AY411" s="334"/>
      <c r="AZ411" s="334"/>
      <c r="BA411" s="525"/>
      <c r="BB411" s="334"/>
      <c r="BC411" s="334"/>
      <c r="BD411" s="1318">
        <f>(BD385/AP400)-AP409</f>
        <v>1363.6363636363603</v>
      </c>
      <c r="BE411" s="334"/>
      <c r="BF411" s="334"/>
      <c r="BG411" s="334"/>
      <c r="BH411" s="525"/>
      <c r="BI411" s="334"/>
      <c r="BJ411" s="334"/>
      <c r="BK411" s="1318">
        <f>(BK385/BD400)-BD409</f>
        <v>77.519379844958166</v>
      </c>
      <c r="BL411" s="334"/>
      <c r="BM411" s="334"/>
      <c r="BN411" s="334"/>
      <c r="BO411" s="525"/>
      <c r="BP411" s="334"/>
      <c r="BQ411" s="334"/>
      <c r="BR411" s="1318">
        <f>(BR385/BK400)-BK409</f>
        <v>80.645161290321994</v>
      </c>
      <c r="BS411" s="334"/>
      <c r="BT411" s="334"/>
      <c r="BU411" s="334"/>
      <c r="BV411" s="525"/>
      <c r="BW411" s="334"/>
      <c r="BX411" s="334"/>
      <c r="BY411" s="1318">
        <f>(BY385/BR400)-BR409</f>
        <v>-7000</v>
      </c>
      <c r="BZ411" s="334"/>
      <c r="CA411" s="334"/>
      <c r="CB411" s="334"/>
      <c r="CC411" s="525"/>
      <c r="CD411" s="334"/>
      <c r="CE411" s="334"/>
      <c r="CF411" s="1318">
        <f>(CF385/BY400)-BY409</f>
        <v>3193.2773109243681</v>
      </c>
      <c r="CG411" s="334"/>
      <c r="CH411" s="334"/>
      <c r="CI411" s="334"/>
      <c r="CJ411" s="525"/>
      <c r="CK411" s="334"/>
      <c r="CL411" s="334"/>
      <c r="CM411" s="1318">
        <f>(CM385/CF400)-CF409</f>
        <v>-504.20168067226768</v>
      </c>
      <c r="CN411" s="334"/>
      <c r="CO411" s="334"/>
      <c r="CP411" s="334"/>
      <c r="CQ411" s="525"/>
      <c r="CR411" s="334"/>
      <c r="CS411" s="334"/>
      <c r="CT411" s="1318">
        <f>(CT385/CM400)-CM409</f>
        <v>1721.3114754098351</v>
      </c>
      <c r="CU411" s="278">
        <f>(CU385/CN400)-CN409</f>
        <v>655.7377049180327</v>
      </c>
      <c r="CV411" s="278">
        <f>CY411-CU411</f>
        <v>-79.606017675234853</v>
      </c>
      <c r="CW411" s="278">
        <f>(CW385/CP400)-CP409</f>
        <v>84.74576271186379</v>
      </c>
      <c r="CX411" s="721">
        <f>CZ411-CW411</f>
        <v>4.4032153260031919</v>
      </c>
      <c r="CY411" s="278">
        <f>(CY385/CR400)-CR409</f>
        <v>576.13168724279785</v>
      </c>
      <c r="CZ411" s="278">
        <f>DA411-CY411</f>
        <v>89.148978037866982</v>
      </c>
      <c r="DA411" s="1318">
        <f>(DA385/CT400)-CT409</f>
        <v>665.28066528066483</v>
      </c>
      <c r="DB411" s="278">
        <f>(DB385/CU400)-CU409</f>
        <v>-406.5040650406504</v>
      </c>
      <c r="DC411" s="278">
        <f>DF411-DB411</f>
        <v>-663.4547826959747</v>
      </c>
      <c r="DD411" s="278"/>
      <c r="DE411" s="721"/>
      <c r="DF411" s="278">
        <f>(DF385/CY400)-CY409</f>
        <v>-1069.9588477366251</v>
      </c>
      <c r="DG411" s="278"/>
      <c r="DH411" s="1318">
        <f>(DH385/DA400)-DA409</f>
        <v>330.57851239669253</v>
      </c>
      <c r="DI411" s="278"/>
      <c r="DJ411" s="334"/>
      <c r="DK411" s="334"/>
      <c r="DL411" s="525"/>
      <c r="DM411" s="2046"/>
      <c r="DN411" s="334"/>
      <c r="DO411" s="397">
        <f>(DO385/DH400)-DH409</f>
        <v>3235.5606104659055</v>
      </c>
      <c r="DP411" s="334"/>
      <c r="DQ411" s="334"/>
      <c r="DR411" s="334"/>
      <c r="DS411" s="525"/>
      <c r="DT411" s="334"/>
      <c r="DU411" s="334"/>
      <c r="DV411" s="397">
        <f>(DV385/DO400)-DO409</f>
        <v>3524.7783867522958</v>
      </c>
      <c r="DW411" s="334"/>
      <c r="DX411" s="334"/>
      <c r="DY411" s="334"/>
      <c r="DZ411" s="525"/>
      <c r="EA411" s="334"/>
      <c r="EB411" s="334"/>
      <c r="EC411" s="397">
        <f>(EC385/DV400)-DV409</f>
        <v>2727.0046664001602</v>
      </c>
      <c r="ED411" s="334"/>
      <c r="EE411" s="334"/>
      <c r="EF411" s="334"/>
      <c r="EG411" s="525"/>
      <c r="EH411" s="334"/>
      <c r="EI411" s="334"/>
      <c r="EJ411" s="397">
        <f>(EJ385/EC400)-EC409</f>
        <v>1844.9931693783547</v>
      </c>
      <c r="EK411" s="334"/>
      <c r="EL411" s="334"/>
      <c r="EM411" s="334"/>
      <c r="EN411" s="525"/>
      <c r="EO411" s="334"/>
      <c r="EP411" s="334"/>
      <c r="EQ411" s="397">
        <f>(EQ385/EJ400)-EJ409</f>
        <v>1199.9283987563394</v>
      </c>
    </row>
    <row r="412" spans="1:147" ht="10.199999999999999" customHeight="1">
      <c r="A412" s="48" t="s">
        <v>576</v>
      </c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335"/>
      <c r="P412" s="335"/>
      <c r="Q412" s="335"/>
      <c r="R412" s="526"/>
      <c r="S412" s="335"/>
      <c r="T412" s="335"/>
      <c r="U412" s="1319"/>
      <c r="V412" s="335"/>
      <c r="W412" s="335"/>
      <c r="X412" s="335"/>
      <c r="Y412" s="526"/>
      <c r="Z412" s="335"/>
      <c r="AA412" s="335"/>
      <c r="AB412" s="1319"/>
      <c r="AC412" s="335"/>
      <c r="AD412" s="335"/>
      <c r="AE412" s="335"/>
      <c r="AF412" s="526"/>
      <c r="AG412" s="335"/>
      <c r="AH412" s="335"/>
      <c r="AI412" s="1319"/>
      <c r="AJ412" s="335"/>
      <c r="AK412" s="335"/>
      <c r="AL412" s="335"/>
      <c r="AM412" s="526"/>
      <c r="AN412" s="335"/>
      <c r="AO412" s="335"/>
      <c r="AP412" s="1319"/>
      <c r="AQ412" s="335"/>
      <c r="AR412" s="335"/>
      <c r="AS412" s="335"/>
      <c r="AT412" s="526"/>
      <c r="AU412" s="335"/>
      <c r="AV412" s="335"/>
      <c r="AW412" s="1319">
        <f t="shared" ref="AW412:CM412" si="1555">AW410-AW411</f>
        <v>445.73643410853037</v>
      </c>
      <c r="AX412" s="335"/>
      <c r="AY412" s="335"/>
      <c r="AZ412" s="335"/>
      <c r="BA412" s="526"/>
      <c r="BB412" s="335"/>
      <c r="BC412" s="335"/>
      <c r="BD412" s="1319">
        <f t="shared" si="1555"/>
        <v>445.73643410853037</v>
      </c>
      <c r="BE412" s="335"/>
      <c r="BF412" s="335"/>
      <c r="BG412" s="335"/>
      <c r="BH412" s="526"/>
      <c r="BI412" s="335"/>
      <c r="BJ412" s="335"/>
      <c r="BK412" s="1319">
        <f t="shared" si="1555"/>
        <v>793.94848712178282</v>
      </c>
      <c r="BL412" s="335"/>
      <c r="BM412" s="335"/>
      <c r="BN412" s="335"/>
      <c r="BO412" s="526"/>
      <c r="BP412" s="335"/>
      <c r="BQ412" s="335"/>
      <c r="BR412" s="1319">
        <f t="shared" si="1555"/>
        <v>685.4838709677424</v>
      </c>
      <c r="BS412" s="335"/>
      <c r="BT412" s="335"/>
      <c r="BU412" s="335"/>
      <c r="BV412" s="526"/>
      <c r="BW412" s="335"/>
      <c r="BX412" s="335"/>
      <c r="BY412" s="1319">
        <f t="shared" si="1555"/>
        <v>119.74789915966539</v>
      </c>
      <c r="BZ412" s="335"/>
      <c r="CA412" s="335"/>
      <c r="CB412" s="335"/>
      <c r="CC412" s="526"/>
      <c r="CD412" s="335"/>
      <c r="CE412" s="335"/>
      <c r="CF412" s="1319">
        <f t="shared" si="1555"/>
        <v>0</v>
      </c>
      <c r="CG412" s="335"/>
      <c r="CH412" s="335"/>
      <c r="CI412" s="335"/>
      <c r="CJ412" s="526"/>
      <c r="CK412" s="335"/>
      <c r="CL412" s="335"/>
      <c r="CM412" s="1319">
        <f t="shared" si="1555"/>
        <v>-419.47926711668333</v>
      </c>
      <c r="CN412" s="335"/>
      <c r="CO412" s="335"/>
      <c r="CP412" s="335"/>
      <c r="CQ412" s="526"/>
      <c r="CR412" s="335"/>
      <c r="CS412" s="335"/>
      <c r="CT412" s="1319">
        <f>CT410-CT411</f>
        <v>267.20289015371236</v>
      </c>
      <c r="CU412" s="279"/>
      <c r="CV412" s="279"/>
      <c r="CW412" s="335"/>
      <c r="CX412" s="526"/>
      <c r="CY412" s="279"/>
      <c r="CZ412" s="335"/>
      <c r="DA412" s="1319">
        <f>DA410-DA411</f>
        <v>-119.58557413102972</v>
      </c>
      <c r="DB412" s="279"/>
      <c r="DC412" s="279"/>
      <c r="DD412" s="279"/>
      <c r="DE412" s="722"/>
      <c r="DF412" s="279"/>
      <c r="DG412" s="279"/>
      <c r="DH412" s="1319">
        <f>DH410-DH411</f>
        <v>369.55197912135918</v>
      </c>
      <c r="DI412" s="279"/>
      <c r="DJ412" s="335"/>
      <c r="DK412" s="335"/>
      <c r="DL412" s="526"/>
      <c r="DM412" s="335"/>
      <c r="DN412" s="335"/>
      <c r="DO412" s="398">
        <f>DO410-DO411</f>
        <v>-311.30506072310527</v>
      </c>
      <c r="DP412" s="335"/>
      <c r="DQ412" s="335"/>
      <c r="DR412" s="335"/>
      <c r="DS412" s="526"/>
      <c r="DT412" s="335"/>
      <c r="DU412" s="335"/>
      <c r="DV412" s="398">
        <f>DV410-DV411</f>
        <v>-349.74517611520423</v>
      </c>
      <c r="DW412" s="335"/>
      <c r="DX412" s="335"/>
      <c r="DY412" s="335"/>
      <c r="DZ412" s="526"/>
      <c r="EA412" s="335"/>
      <c r="EB412" s="335"/>
      <c r="EC412" s="398">
        <f>EC410-EC411</f>
        <v>316.37431277494034</v>
      </c>
      <c r="ED412" s="335"/>
      <c r="EE412" s="335"/>
      <c r="EF412" s="335"/>
      <c r="EG412" s="526"/>
      <c r="EH412" s="335"/>
      <c r="EI412" s="335"/>
      <c r="EJ412" s="398">
        <f>EJ410-EJ411</f>
        <v>-275.10184203774406</v>
      </c>
      <c r="EK412" s="335"/>
      <c r="EL412" s="335"/>
      <c r="EM412" s="335"/>
      <c r="EN412" s="526"/>
      <c r="EO412" s="335"/>
      <c r="EP412" s="335"/>
      <c r="EQ412" s="398">
        <f>EQ410-EQ411</f>
        <v>-351.39501721629131</v>
      </c>
    </row>
    <row r="413" spans="1:147" ht="10.199999999999999" customHeight="1">
      <c r="A413" s="48" t="s">
        <v>574</v>
      </c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279"/>
      <c r="P413" s="279"/>
      <c r="Q413" s="279"/>
      <c r="R413" s="722"/>
      <c r="S413" s="279"/>
      <c r="T413" s="279"/>
      <c r="U413" s="1319"/>
      <c r="V413" s="279"/>
      <c r="W413" s="279"/>
      <c r="X413" s="279"/>
      <c r="Y413" s="722"/>
      <c r="Z413" s="279"/>
      <c r="AA413" s="279"/>
      <c r="AB413" s="1319"/>
      <c r="AC413" s="279"/>
      <c r="AD413" s="279"/>
      <c r="AE413" s="279"/>
      <c r="AF413" s="722"/>
      <c r="AG413" s="279"/>
      <c r="AH413" s="279"/>
      <c r="AI413" s="1319"/>
      <c r="AJ413" s="279"/>
      <c r="AK413" s="279"/>
      <c r="AL413" s="279"/>
      <c r="AM413" s="722"/>
      <c r="AN413" s="279"/>
      <c r="AO413" s="279"/>
      <c r="AP413" s="1319"/>
      <c r="AQ413" s="279"/>
      <c r="AR413" s="279"/>
      <c r="AS413" s="279"/>
      <c r="AT413" s="722"/>
      <c r="AU413" s="279"/>
      <c r="AV413" s="279"/>
      <c r="AW413" s="1319">
        <f>SUM($AW$412:AW412)</f>
        <v>445.73643410853037</v>
      </c>
      <c r="AX413" s="279"/>
      <c r="AY413" s="279"/>
      <c r="AZ413" s="279"/>
      <c r="BA413" s="722"/>
      <c r="BB413" s="279"/>
      <c r="BC413" s="279"/>
      <c r="BD413" s="1319">
        <f>+BD412</f>
        <v>445.73643410853037</v>
      </c>
      <c r="BE413" s="279"/>
      <c r="BF413" s="279"/>
      <c r="BG413" s="279"/>
      <c r="BH413" s="722"/>
      <c r="BI413" s="279"/>
      <c r="BJ413" s="279"/>
      <c r="BK413" s="1319">
        <f>SUM($BD$412:BK412)</f>
        <v>1239.6849212303132</v>
      </c>
      <c r="BL413" s="279"/>
      <c r="BM413" s="279"/>
      <c r="BN413" s="279"/>
      <c r="BO413" s="722"/>
      <c r="BP413" s="279"/>
      <c r="BQ413" s="279"/>
      <c r="BR413" s="1319">
        <f>SUM($AW$412:BR412)</f>
        <v>2370.905226306586</v>
      </c>
      <c r="BS413" s="279"/>
      <c r="BT413" s="279"/>
      <c r="BU413" s="279"/>
      <c r="BV413" s="722"/>
      <c r="BW413" s="279"/>
      <c r="BX413" s="279"/>
      <c r="BY413" s="1319">
        <f>SUM($AW$412:BY412)</f>
        <v>2490.6531254662514</v>
      </c>
      <c r="BZ413" s="279"/>
      <c r="CA413" s="279"/>
      <c r="CB413" s="279"/>
      <c r="CC413" s="722"/>
      <c r="CD413" s="279"/>
      <c r="CE413" s="279"/>
      <c r="CF413" s="1319">
        <f>SUM($AW$412:CF412)</f>
        <v>2490.6531254662514</v>
      </c>
      <c r="CG413" s="279"/>
      <c r="CH413" s="279"/>
      <c r="CI413" s="279"/>
      <c r="CJ413" s="722"/>
      <c r="CK413" s="279"/>
      <c r="CL413" s="279"/>
      <c r="CM413" s="1319">
        <f>SUM($AW$412:CM412)</f>
        <v>2071.173858349568</v>
      </c>
      <c r="CN413" s="279">
        <f>CT413*0.2</f>
        <v>467.67534970065611</v>
      </c>
      <c r="CO413" s="279">
        <f>CR413-CN413</f>
        <v>524.07011370627083</v>
      </c>
      <c r="CP413" s="279">
        <f>CT413*(CP395/CT395)</f>
        <v>539.43641007942836</v>
      </c>
      <c r="CQ413" s="722">
        <f>CS413-CP413</f>
        <v>807.19487501692527</v>
      </c>
      <c r="CR413" s="279">
        <f>CT413*(CR395/CT395)</f>
        <v>991.74546340692689</v>
      </c>
      <c r="CS413" s="279">
        <f>CT413-CR413</f>
        <v>1346.6312850963536</v>
      </c>
      <c r="CT413" s="1319">
        <f>SUM($AW$412:CT412)</f>
        <v>2338.3767485032804</v>
      </c>
      <c r="CU413" s="279">
        <f>DA413*0.2</f>
        <v>443.75823487445018</v>
      </c>
      <c r="CV413" s="279">
        <f>CY413-CU413</f>
        <v>554.69779359306267</v>
      </c>
      <c r="CW413" s="279">
        <f>DA413*0.25</f>
        <v>554.69779359306267</v>
      </c>
      <c r="CX413" s="722">
        <f>CZ413-CW413</f>
        <v>665.63735231167516</v>
      </c>
      <c r="CY413" s="279">
        <f>DA413*0.45</f>
        <v>998.45602846751285</v>
      </c>
      <c r="CZ413" s="279">
        <f>DA413-CY413</f>
        <v>1220.3351459047378</v>
      </c>
      <c r="DA413" s="1319">
        <f>SUM($AW$412:DA412)</f>
        <v>2218.7911743722507</v>
      </c>
      <c r="DB413" s="279">
        <f>DH413*0.2</f>
        <v>517.66863069872204</v>
      </c>
      <c r="DC413" s="279">
        <f>DF413-DB413</f>
        <v>647.08578837340235</v>
      </c>
      <c r="DD413" s="279">
        <f>DH413*0.25</f>
        <v>647.08578837340247</v>
      </c>
      <c r="DE413" s="722">
        <f>DG413-DD413</f>
        <v>776.502946048083</v>
      </c>
      <c r="DF413" s="279">
        <f>DH413*0.45</f>
        <v>1164.7544190721244</v>
      </c>
      <c r="DG413" s="279">
        <f>DH413-DF413</f>
        <v>1423.5887344214855</v>
      </c>
      <c r="DH413" s="1319">
        <f>SUM($AW$412:DH412)</f>
        <v>2588.3431534936099</v>
      </c>
      <c r="DI413" s="279">
        <f>DO413*0.2</f>
        <v>455.40761855410096</v>
      </c>
      <c r="DJ413" s="335">
        <f>DM413-DI413</f>
        <v>569.25952319262615</v>
      </c>
      <c r="DK413" s="335">
        <f>DO413*0.25</f>
        <v>569.25952319262615</v>
      </c>
      <c r="DL413" s="526">
        <f>DN413-DK413</f>
        <v>683.11142783115133</v>
      </c>
      <c r="DM413" s="335">
        <f>DO413*0.45</f>
        <v>1024.6671417467271</v>
      </c>
      <c r="DN413" s="335">
        <f>DO413-DM413</f>
        <v>1252.3709510237775</v>
      </c>
      <c r="DO413" s="398">
        <f>SUM($AW$412:DO412)</f>
        <v>2277.0380927705046</v>
      </c>
      <c r="DP413" s="335">
        <f>DV413*0.2</f>
        <v>385.45858333106008</v>
      </c>
      <c r="DQ413" s="335">
        <f>DT413-DP413</f>
        <v>481.82322916382515</v>
      </c>
      <c r="DR413" s="335">
        <f>DV413*0.25</f>
        <v>481.82322916382509</v>
      </c>
      <c r="DS413" s="526">
        <f>DU413-DR413</f>
        <v>578.18787499658993</v>
      </c>
      <c r="DT413" s="335">
        <f>DV413*0.45</f>
        <v>867.28181249488523</v>
      </c>
      <c r="DU413" s="335">
        <f>DV413-DT413</f>
        <v>1060.011104160415</v>
      </c>
      <c r="DV413" s="398">
        <f>SUM($AW$412:DV412)</f>
        <v>1927.2929166553004</v>
      </c>
      <c r="DW413" s="335">
        <f>EC413*0.2</f>
        <v>448.73344588604817</v>
      </c>
      <c r="DX413" s="335">
        <f>EA413-DW413</f>
        <v>560.91680735756017</v>
      </c>
      <c r="DY413" s="335">
        <f>EC413*0.25</f>
        <v>560.91680735756017</v>
      </c>
      <c r="DZ413" s="526">
        <f>EB413-DY413</f>
        <v>673.10016882907212</v>
      </c>
      <c r="EA413" s="335">
        <f>EC413*0.45</f>
        <v>1009.6502532436083</v>
      </c>
      <c r="EB413" s="335">
        <f>EC413-EA413</f>
        <v>1234.0169761866323</v>
      </c>
      <c r="EC413" s="398">
        <f>SUM($AW$412:EC412)</f>
        <v>2243.6672294302407</v>
      </c>
      <c r="ED413" s="335">
        <f>EJ413*0.2</f>
        <v>393.71307747849937</v>
      </c>
      <c r="EE413" s="335">
        <f>EH413-ED413</f>
        <v>492.14134684812416</v>
      </c>
      <c r="EF413" s="335">
        <f>EJ413*0.25</f>
        <v>492.14134684812416</v>
      </c>
      <c r="EG413" s="526">
        <f>EI413-EF413</f>
        <v>590.56961621774894</v>
      </c>
      <c r="EH413" s="335">
        <f>EJ413*0.45</f>
        <v>885.85442432662353</v>
      </c>
      <c r="EI413" s="335">
        <f>EJ413-EH413</f>
        <v>1082.7109630658731</v>
      </c>
      <c r="EJ413" s="398">
        <f>SUM($AW$412:EJ412)</f>
        <v>1968.5653873924966</v>
      </c>
      <c r="EK413" s="335">
        <f>EQ413*0.2</f>
        <v>323.43407403524111</v>
      </c>
      <c r="EL413" s="335">
        <f>EO413-EK413</f>
        <v>404.29259254405133</v>
      </c>
      <c r="EM413" s="335">
        <f>EQ413*0.25</f>
        <v>404.29259254405133</v>
      </c>
      <c r="EN413" s="526">
        <f>EP413-EM413</f>
        <v>485.15111105286155</v>
      </c>
      <c r="EO413" s="335">
        <f>EQ413*0.45</f>
        <v>727.72666657929244</v>
      </c>
      <c r="EP413" s="335">
        <f>EQ413-EO413</f>
        <v>889.44370359691288</v>
      </c>
      <c r="EQ413" s="398">
        <f>SUM($AW$412:EQ412)</f>
        <v>1617.1703701762053</v>
      </c>
    </row>
    <row r="414" spans="1:147" ht="10.199999999999999" customHeight="1">
      <c r="A414" s="108" t="s">
        <v>575</v>
      </c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326"/>
      <c r="P414" s="326"/>
      <c r="Q414" s="326"/>
      <c r="R414" s="522"/>
      <c r="S414" s="326"/>
      <c r="T414" s="326"/>
      <c r="U414" s="1315"/>
      <c r="V414" s="326"/>
      <c r="W414" s="326"/>
      <c r="X414" s="326"/>
      <c r="Y414" s="522"/>
      <c r="Z414" s="326"/>
      <c r="AA414" s="326"/>
      <c r="AB414" s="1315"/>
      <c r="AC414" s="326"/>
      <c r="AD414" s="326"/>
      <c r="AE414" s="326"/>
      <c r="AF414" s="522"/>
      <c r="AG414" s="326"/>
      <c r="AH414" s="326"/>
      <c r="AI414" s="1315"/>
      <c r="AJ414" s="326"/>
      <c r="AK414" s="326"/>
      <c r="AL414" s="326"/>
      <c r="AM414" s="522"/>
      <c r="AN414" s="326"/>
      <c r="AO414" s="326"/>
      <c r="AP414" s="1315"/>
      <c r="AQ414" s="326"/>
      <c r="AR414" s="326"/>
      <c r="AS414" s="326"/>
      <c r="AT414" s="522"/>
      <c r="AU414" s="326"/>
      <c r="AV414" s="326"/>
      <c r="AW414" s="1315">
        <f>IFERROR(AW412/((AP400-AW400)*100),"nm")</f>
        <v>148.57881136950999</v>
      </c>
      <c r="AX414" s="326"/>
      <c r="AY414" s="326"/>
      <c r="AZ414" s="326"/>
      <c r="BA414" s="522"/>
      <c r="BB414" s="326"/>
      <c r="BC414" s="326"/>
      <c r="BD414" s="1315">
        <f>IFERROR(BD412/((AP400-BD400)*100),"nm")</f>
        <v>148.57881136950999</v>
      </c>
      <c r="BE414" s="326"/>
      <c r="BF414" s="326"/>
      <c r="BG414" s="326"/>
      <c r="BH414" s="522"/>
      <c r="BI414" s="326"/>
      <c r="BJ414" s="326"/>
      <c r="BK414" s="1315">
        <f>IFERROR(BK412/((BD400-BK400)*100),"nm")</f>
        <v>158.78969742435643</v>
      </c>
      <c r="BL414" s="326"/>
      <c r="BM414" s="326"/>
      <c r="BN414" s="326"/>
      <c r="BO414" s="522"/>
      <c r="BP414" s="326"/>
      <c r="BQ414" s="326"/>
      <c r="BR414" s="1315">
        <f>IFERROR(BR412/((BK400-BR400)*100),"nm")</f>
        <v>171.37096774193546</v>
      </c>
      <c r="BS414" s="326"/>
      <c r="BT414" s="326"/>
      <c r="BU414" s="326"/>
      <c r="BV414" s="522"/>
      <c r="BW414" s="326"/>
      <c r="BX414" s="326"/>
      <c r="BY414" s="1315">
        <f>IFERROR(BY412/((BR400-BY400)*100),"nm")</f>
        <v>119.74789915966529</v>
      </c>
      <c r="BZ414" s="326"/>
      <c r="CA414" s="326"/>
      <c r="CB414" s="326"/>
      <c r="CC414" s="522"/>
      <c r="CD414" s="326"/>
      <c r="CE414" s="326"/>
      <c r="CF414" s="1315" t="str">
        <f>IFERROR(CF412/((BY400-CF400)*100),"nm")</f>
        <v>nm</v>
      </c>
      <c r="CG414" s="326"/>
      <c r="CH414" s="326"/>
      <c r="CI414" s="326"/>
      <c r="CJ414" s="522"/>
      <c r="CK414" s="326"/>
      <c r="CL414" s="326"/>
      <c r="CM414" s="1315">
        <f>IFERROR(CM412/((CF400-CM400)*100),"nm")</f>
        <v>139.82642237222765</v>
      </c>
      <c r="CN414" s="326"/>
      <c r="CO414" s="326"/>
      <c r="CP414" s="326"/>
      <c r="CQ414" s="522"/>
      <c r="CR414" s="326"/>
      <c r="CS414" s="326"/>
      <c r="CT414" s="1315">
        <f>IFERROR(CT412/((CM400-CT400)*100),"nm")</f>
        <v>152.68736580212072</v>
      </c>
      <c r="CU414" s="139">
        <f>DA415</f>
        <v>150</v>
      </c>
      <c r="CV414" s="326"/>
      <c r="CW414" s="326"/>
      <c r="CX414" s="522"/>
      <c r="CY414" s="326"/>
      <c r="CZ414" s="326"/>
      <c r="DA414" s="1315">
        <f>IFERROR(DA412/((CT400-DA400)*100),"nm")</f>
        <v>159.44743217470497</v>
      </c>
      <c r="DB414" s="139">
        <f>DH415</f>
        <v>150</v>
      </c>
      <c r="DC414" s="399"/>
      <c r="DD414" s="399"/>
      <c r="DE414" s="722"/>
      <c r="DF414" s="279"/>
      <c r="DG414" s="299"/>
      <c r="DH414" s="1315">
        <f>IFERROR(DH412/((DA400-DH400)*100),"nm")</f>
        <v>164.24532405393768</v>
      </c>
      <c r="DI414" s="139"/>
      <c r="DJ414" s="399"/>
      <c r="DK414" s="399"/>
      <c r="DL414" s="526"/>
      <c r="DM414" s="335"/>
      <c r="DN414" s="399"/>
      <c r="DO414" s="393">
        <f>IFERROR(DO412/((DH400-DO400)*100),"nm")</f>
        <v>191.9826506127919</v>
      </c>
      <c r="DP414" s="399"/>
      <c r="DQ414" s="399"/>
      <c r="DR414" s="399"/>
      <c r="DS414" s="526"/>
      <c r="DT414" s="335"/>
      <c r="DU414" s="399"/>
      <c r="DV414" s="393">
        <f>IFERROR(DV412/((DO400-DV400)*100),"nm")</f>
        <v>215.77339432223297</v>
      </c>
      <c r="DW414" s="399"/>
      <c r="DX414" s="399"/>
      <c r="DY414" s="399"/>
      <c r="DZ414" s="526"/>
      <c r="EA414" s="335"/>
      <c r="EB414" s="399"/>
      <c r="EC414" s="393">
        <f>IFERROR(EC412/((DV400-EC400)*100),"nm")</f>
        <v>237.85373213161495</v>
      </c>
      <c r="ED414" s="399"/>
      <c r="EE414" s="399"/>
      <c r="EF414" s="399"/>
      <c r="EG414" s="526"/>
      <c r="EH414" s="335"/>
      <c r="EI414" s="399"/>
      <c r="EJ414" s="393">
        <f>IFERROR(EJ412/((EC400-EJ400)*100),"nm")</f>
        <v>253.48633393928628</v>
      </c>
      <c r="EK414" s="399"/>
      <c r="EL414" s="399"/>
      <c r="EM414" s="399"/>
      <c r="EN414" s="526"/>
      <c r="EO414" s="335"/>
      <c r="EP414" s="399"/>
      <c r="EQ414" s="393">
        <f>IFERROR(EQ412/((EJ400-EQ400)*100),"nm")</f>
        <v>258.19633793136785</v>
      </c>
    </row>
    <row r="415" spans="1:147" ht="10.199999999999999" customHeight="1">
      <c r="A415" s="108" t="s">
        <v>865</v>
      </c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326"/>
      <c r="P415" s="326"/>
      <c r="Q415" s="326"/>
      <c r="R415" s="522"/>
      <c r="S415" s="326"/>
      <c r="T415" s="326"/>
      <c r="U415" s="1315"/>
      <c r="V415" s="326"/>
      <c r="W415" s="326"/>
      <c r="X415" s="326"/>
      <c r="Y415" s="522"/>
      <c r="Z415" s="326"/>
      <c r="AA415" s="326"/>
      <c r="AB415" s="1315"/>
      <c r="AC415" s="326"/>
      <c r="AD415" s="326"/>
      <c r="AE415" s="326"/>
      <c r="AF415" s="522"/>
      <c r="AG415" s="326"/>
      <c r="AH415" s="326"/>
      <c r="AI415" s="1315"/>
      <c r="AJ415" s="326"/>
      <c r="AK415" s="326"/>
      <c r="AL415" s="326"/>
      <c r="AM415" s="522"/>
      <c r="AN415" s="326"/>
      <c r="AO415" s="326"/>
      <c r="AP415" s="1315"/>
      <c r="AQ415" s="326"/>
      <c r="AR415" s="326"/>
      <c r="AS415" s="326"/>
      <c r="AT415" s="522"/>
      <c r="AU415" s="326"/>
      <c r="AV415" s="326"/>
      <c r="AW415" s="1315"/>
      <c r="AX415" s="326"/>
      <c r="AY415" s="326"/>
      <c r="AZ415" s="326"/>
      <c r="BA415" s="522"/>
      <c r="BB415" s="326"/>
      <c r="BC415" s="326"/>
      <c r="BD415" s="1315"/>
      <c r="BE415" s="326"/>
      <c r="BF415" s="326"/>
      <c r="BG415" s="326"/>
      <c r="BH415" s="522"/>
      <c r="BI415" s="326"/>
      <c r="BJ415" s="326"/>
      <c r="BK415" s="1315"/>
      <c r="BL415" s="326"/>
      <c r="BM415" s="326"/>
      <c r="BN415" s="326"/>
      <c r="BO415" s="522"/>
      <c r="BP415" s="326"/>
      <c r="BQ415" s="326"/>
      <c r="BR415" s="1315"/>
      <c r="BS415" s="326"/>
      <c r="BT415" s="326"/>
      <c r="BU415" s="326"/>
      <c r="BV415" s="522"/>
      <c r="BW415" s="326"/>
      <c r="BX415" s="326"/>
      <c r="BY415" s="1315"/>
      <c r="BZ415" s="326"/>
      <c r="CA415" s="326"/>
      <c r="CB415" s="326"/>
      <c r="CC415" s="522"/>
      <c r="CD415" s="326"/>
      <c r="CE415" s="326"/>
      <c r="CF415" s="1315"/>
      <c r="CG415" s="326"/>
      <c r="CH415" s="326"/>
      <c r="CI415" s="326"/>
      <c r="CJ415" s="522"/>
      <c r="CK415" s="326"/>
      <c r="CL415" s="326"/>
      <c r="CM415" s="1315">
        <v>130</v>
      </c>
      <c r="CN415" s="326"/>
      <c r="CO415" s="326"/>
      <c r="CP415" s="326"/>
      <c r="CQ415" s="522"/>
      <c r="CR415" s="326"/>
      <c r="CS415" s="326"/>
      <c r="CT415" s="1315">
        <v>135</v>
      </c>
      <c r="CU415" s="139"/>
      <c r="CV415" s="326"/>
      <c r="CW415" s="326"/>
      <c r="CX415" s="522"/>
      <c r="CY415" s="326"/>
      <c r="CZ415" s="326"/>
      <c r="DA415" s="1315">
        <v>150</v>
      </c>
      <c r="DB415" s="139"/>
      <c r="DC415" s="399"/>
      <c r="DD415" s="399"/>
      <c r="DE415" s="722"/>
      <c r="DF415" s="279"/>
      <c r="DG415" s="299"/>
      <c r="DH415" s="1315">
        <v>150</v>
      </c>
      <c r="DI415" s="399"/>
      <c r="DJ415" s="399"/>
      <c r="DK415" s="399"/>
      <c r="DL415" s="526"/>
      <c r="DM415" s="335"/>
      <c r="DN415" s="399"/>
      <c r="DO415" s="2061">
        <v>175</v>
      </c>
      <c r="DP415" s="399"/>
      <c r="DQ415" s="399"/>
      <c r="DR415" s="399"/>
      <c r="DS415" s="526"/>
      <c r="DT415" s="335"/>
      <c r="DU415" s="399"/>
      <c r="DV415" s="2061">
        <v>200</v>
      </c>
      <c r="DW415" s="399"/>
      <c r="DX415" s="399"/>
      <c r="DY415" s="399"/>
      <c r="DZ415" s="526"/>
      <c r="EA415" s="335"/>
      <c r="EB415" s="399"/>
      <c r="EC415" s="2061">
        <v>225</v>
      </c>
      <c r="ED415" s="399"/>
      <c r="EE415" s="399"/>
      <c r="EF415" s="399"/>
      <c r="EG415" s="526"/>
      <c r="EH415" s="335"/>
      <c r="EI415" s="399"/>
      <c r="EJ415" s="2061">
        <v>250</v>
      </c>
      <c r="EK415" s="399"/>
      <c r="EL415" s="399"/>
      <c r="EM415" s="399"/>
      <c r="EN415" s="526"/>
      <c r="EO415" s="335"/>
      <c r="EP415" s="399"/>
      <c r="EQ415" s="393">
        <f>EJ415</f>
        <v>250</v>
      </c>
    </row>
    <row r="416" spans="1:147" ht="10.199999999999999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326"/>
      <c r="P416" s="326"/>
      <c r="Q416" s="326"/>
      <c r="R416" s="522"/>
      <c r="S416" s="326"/>
      <c r="T416" s="326"/>
      <c r="U416" s="393"/>
      <c r="V416" s="326"/>
      <c r="W416" s="326"/>
      <c r="X416" s="326"/>
      <c r="Y416" s="522"/>
      <c r="Z416" s="326"/>
      <c r="AA416" s="326"/>
      <c r="AB416" s="393"/>
      <c r="AC416" s="326"/>
      <c r="AD416" s="326"/>
      <c r="AE416" s="326"/>
      <c r="AF416" s="522"/>
      <c r="AG416" s="326"/>
      <c r="AH416" s="326"/>
      <c r="AI416" s="393"/>
      <c r="AJ416" s="326"/>
      <c r="AK416" s="326"/>
      <c r="AL416" s="326"/>
      <c r="AM416" s="522"/>
      <c r="AN416" s="326"/>
      <c r="AO416" s="326"/>
      <c r="AP416" s="393"/>
      <c r="AQ416" s="326"/>
      <c r="AR416" s="326"/>
      <c r="AS416" s="326"/>
      <c r="AT416" s="522"/>
      <c r="AU416" s="326"/>
      <c r="AV416" s="326"/>
      <c r="AW416" s="393"/>
      <c r="AX416" s="326"/>
      <c r="AY416" s="326"/>
      <c r="AZ416" s="326"/>
      <c r="BA416" s="522"/>
      <c r="BB416" s="326"/>
      <c r="BC416" s="326"/>
      <c r="BD416" s="393"/>
      <c r="BE416" s="326"/>
      <c r="BF416" s="326"/>
      <c r="BG416" s="326"/>
      <c r="BH416" s="522"/>
      <c r="BI416" s="326"/>
      <c r="BJ416" s="326"/>
      <c r="BK416" s="393"/>
      <c r="BL416" s="326"/>
      <c r="BM416" s="326"/>
      <c r="BN416" s="326"/>
      <c r="BO416" s="522"/>
      <c r="BP416" s="326"/>
      <c r="BQ416" s="326"/>
      <c r="BR416" s="393"/>
      <c r="BS416" s="326"/>
      <c r="BT416" s="326"/>
      <c r="BU416" s="326"/>
      <c r="BV416" s="522"/>
      <c r="BW416" s="326"/>
      <c r="BX416" s="326"/>
      <c r="BY416" s="393"/>
      <c r="BZ416" s="326"/>
      <c r="CA416" s="326"/>
      <c r="CB416" s="326"/>
      <c r="CC416" s="522"/>
      <c r="CD416" s="326"/>
      <c r="CE416" s="326"/>
      <c r="CF416" s="393"/>
      <c r="CG416" s="326"/>
      <c r="CH416" s="326"/>
      <c r="CI416" s="326"/>
      <c r="CJ416" s="522"/>
      <c r="CK416" s="326"/>
      <c r="CL416" s="326"/>
      <c r="CM416" s="393"/>
      <c r="CN416" s="326"/>
      <c r="CO416" s="326"/>
      <c r="CP416" s="326"/>
      <c r="CQ416" s="522"/>
      <c r="CR416" s="326"/>
      <c r="CS416" s="326"/>
      <c r="CT416" s="393"/>
      <c r="CU416" s="326"/>
      <c r="CV416" s="326"/>
      <c r="CW416" s="326"/>
      <c r="CX416" s="522"/>
      <c r="CY416" s="326"/>
      <c r="CZ416" s="326"/>
      <c r="DA416" s="393"/>
      <c r="DB416" s="326"/>
      <c r="DC416" s="326"/>
      <c r="DD416" s="326"/>
      <c r="DE416" s="522"/>
      <c r="DF416" s="326"/>
      <c r="DG416" s="326"/>
      <c r="DH416" s="393"/>
      <c r="DI416" s="326"/>
      <c r="DJ416" s="326"/>
      <c r="DK416" s="326"/>
      <c r="DL416" s="522"/>
      <c r="DM416" s="326"/>
      <c r="DN416" s="326"/>
      <c r="DO416" s="393"/>
      <c r="DP416" s="326"/>
      <c r="DQ416" s="326"/>
      <c r="DR416" s="326"/>
      <c r="DS416" s="522"/>
      <c r="DT416" s="326"/>
      <c r="DU416" s="326"/>
      <c r="DV416" s="393"/>
      <c r="DW416" s="326"/>
      <c r="DX416" s="326"/>
      <c r="DY416" s="326"/>
      <c r="DZ416" s="522"/>
      <c r="EA416" s="326"/>
      <c r="EB416" s="326"/>
      <c r="EC416" s="393"/>
      <c r="ED416" s="326"/>
      <c r="EE416" s="326"/>
      <c r="EF416" s="326"/>
      <c r="EG416" s="522"/>
      <c r="EH416" s="326"/>
      <c r="EI416" s="326"/>
      <c r="EJ416" s="393"/>
      <c r="EK416" s="326"/>
      <c r="EL416" s="326"/>
      <c r="EM416" s="326"/>
      <c r="EN416" s="522"/>
      <c r="EO416" s="326"/>
      <c r="EP416" s="326"/>
      <c r="EQ416" s="393"/>
    </row>
    <row r="417" spans="1:147" ht="10.199999999999999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326"/>
      <c r="P417" s="326"/>
      <c r="Q417" s="326"/>
      <c r="R417" s="522"/>
      <c r="S417" s="326"/>
      <c r="T417" s="326"/>
      <c r="U417" s="393"/>
      <c r="V417" s="326"/>
      <c r="W417" s="326"/>
      <c r="X417" s="326"/>
      <c r="Y417" s="522"/>
      <c r="Z417" s="326"/>
      <c r="AA417" s="326"/>
      <c r="AB417" s="393"/>
      <c r="AC417" s="326"/>
      <c r="AD417" s="326"/>
      <c r="AE417" s="326"/>
      <c r="AF417" s="522"/>
      <c r="AG417" s="326"/>
      <c r="AH417" s="326"/>
      <c r="AI417" s="393"/>
      <c r="AJ417" s="326"/>
      <c r="AK417" s="326"/>
      <c r="AL417" s="326"/>
      <c r="AM417" s="522"/>
      <c r="AN417" s="326"/>
      <c r="AO417" s="326"/>
      <c r="AP417" s="393"/>
      <c r="AQ417" s="326"/>
      <c r="AR417" s="326"/>
      <c r="AS417" s="326"/>
      <c r="AT417" s="522"/>
      <c r="AU417" s="326"/>
      <c r="AV417" s="326"/>
      <c r="AW417" s="393"/>
      <c r="AX417" s="326"/>
      <c r="AY417" s="326"/>
      <c r="AZ417" s="326"/>
      <c r="BA417" s="522"/>
      <c r="BB417" s="326"/>
      <c r="BC417" s="326"/>
      <c r="BD417" s="393"/>
      <c r="BE417" s="326"/>
      <c r="BF417" s="326"/>
      <c r="BG417" s="326"/>
      <c r="BH417" s="522"/>
      <c r="BI417" s="326"/>
      <c r="BJ417" s="326"/>
      <c r="BK417" s="393"/>
      <c r="BL417" s="326"/>
      <c r="BM417" s="326"/>
      <c r="BN417" s="326"/>
      <c r="BO417" s="522"/>
      <c r="BP417" s="326"/>
      <c r="BQ417" s="326"/>
      <c r="BR417" s="393"/>
      <c r="BS417" s="326"/>
      <c r="BT417" s="326"/>
      <c r="BU417" s="326"/>
      <c r="BV417" s="522"/>
      <c r="BW417" s="326"/>
      <c r="BX417" s="326"/>
      <c r="BY417" s="393"/>
      <c r="BZ417" s="326"/>
      <c r="CA417" s="326"/>
      <c r="CB417" s="326"/>
      <c r="CC417" s="522"/>
      <c r="CD417" s="326"/>
      <c r="CE417" s="326"/>
      <c r="CF417" s="393"/>
      <c r="CG417" s="326"/>
      <c r="CH417" s="326"/>
      <c r="CI417" s="326"/>
      <c r="CJ417" s="522"/>
      <c r="CK417" s="326"/>
      <c r="CL417" s="326"/>
      <c r="CM417" s="393"/>
      <c r="CN417" s="326"/>
      <c r="CO417" s="326"/>
      <c r="CP417" s="326"/>
      <c r="CQ417" s="522"/>
      <c r="CR417" s="326"/>
      <c r="CS417" s="326"/>
      <c r="CT417" s="393"/>
      <c r="CU417" s="326"/>
      <c r="CV417" s="326"/>
      <c r="CW417" s="326"/>
      <c r="CX417" s="522"/>
      <c r="CY417" s="326"/>
      <c r="CZ417" s="326"/>
      <c r="DA417" s="393"/>
      <c r="DB417" s="326"/>
      <c r="DC417" s="326"/>
      <c r="DD417" s="326"/>
      <c r="DE417" s="522"/>
      <c r="DF417" s="326"/>
      <c r="DG417" s="326"/>
      <c r="DH417" s="393"/>
      <c r="DI417" s="326"/>
      <c r="DJ417" s="326"/>
      <c r="DK417" s="326"/>
      <c r="DL417" s="522"/>
      <c r="DM417" s="326"/>
      <c r="DN417" s="326"/>
      <c r="DO417" s="393"/>
      <c r="DP417" s="326"/>
      <c r="DQ417" s="326"/>
      <c r="DR417" s="326"/>
      <c r="DS417" s="522"/>
      <c r="DT417" s="326"/>
      <c r="DU417" s="326"/>
      <c r="DV417" s="393"/>
      <c r="DW417" s="326"/>
      <c r="DX417" s="326"/>
      <c r="DY417" s="326"/>
      <c r="DZ417" s="522"/>
      <c r="EA417" s="326"/>
      <c r="EB417" s="326"/>
      <c r="EC417" s="393"/>
      <c r="ED417" s="326"/>
      <c r="EE417" s="326"/>
      <c r="EF417" s="326"/>
      <c r="EG417" s="522"/>
      <c r="EH417" s="326"/>
      <c r="EI417" s="326"/>
      <c r="EJ417" s="393"/>
      <c r="EK417" s="326"/>
      <c r="EL417" s="326"/>
      <c r="EM417" s="326"/>
      <c r="EN417" s="522"/>
      <c r="EO417" s="326"/>
      <c r="EP417" s="326"/>
      <c r="EQ417" s="393"/>
    </row>
    <row r="418" spans="1:147" ht="10.199999999999999" customHeight="1">
      <c r="A418" s="769" t="s">
        <v>736</v>
      </c>
      <c r="B418" s="769"/>
      <c r="C418" s="769"/>
      <c r="D418" s="769"/>
      <c r="E418" s="769"/>
      <c r="F418" s="769"/>
      <c r="G418" s="769"/>
      <c r="H418" s="769"/>
      <c r="I418" s="769"/>
      <c r="J418" s="769"/>
      <c r="K418" s="769"/>
      <c r="L418" s="769"/>
      <c r="M418" s="769"/>
      <c r="N418" s="769"/>
      <c r="O418" s="1219"/>
      <c r="P418" s="1219"/>
      <c r="Q418" s="1219"/>
      <c r="R418" s="1220"/>
      <c r="S418" s="1219"/>
      <c r="T418" s="1219"/>
      <c r="U418" s="1221"/>
      <c r="V418" s="1219"/>
      <c r="W418" s="1219"/>
      <c r="X418" s="1219"/>
      <c r="Y418" s="1220"/>
      <c r="Z418" s="1219"/>
      <c r="AA418" s="1219"/>
      <c r="AB418" s="1221"/>
      <c r="AC418" s="1219"/>
      <c r="AD418" s="1219"/>
      <c r="AE418" s="1219"/>
      <c r="AF418" s="1220"/>
      <c r="AG418" s="1219"/>
      <c r="AH418" s="1219"/>
      <c r="AI418" s="1221"/>
      <c r="AJ418" s="1219"/>
      <c r="AK418" s="1219"/>
      <c r="AL418" s="1219"/>
      <c r="AM418" s="1220"/>
      <c r="AN418" s="1219"/>
      <c r="AO418" s="1219"/>
      <c r="AP418" s="1221"/>
      <c r="AQ418" s="1219"/>
      <c r="AR418" s="1219"/>
      <c r="AS418" s="1219"/>
      <c r="AT418" s="1220"/>
      <c r="AU418" s="1219"/>
      <c r="AV418" s="1219"/>
      <c r="AW418" s="1221"/>
      <c r="AX418" s="1219"/>
      <c r="AY418" s="1219"/>
      <c r="AZ418" s="1219"/>
      <c r="BA418" s="1220"/>
      <c r="BB418" s="1219"/>
      <c r="BC418" s="1219"/>
      <c r="BD418" s="1221"/>
      <c r="BE418" s="1219"/>
      <c r="BF418" s="1219"/>
      <c r="BG418" s="1219"/>
      <c r="BH418" s="1220"/>
      <c r="BI418" s="1219"/>
      <c r="BJ418" s="1219"/>
      <c r="BK418" s="1221"/>
      <c r="BL418" s="1219"/>
      <c r="BM418" s="1219"/>
      <c r="BN418" s="1219"/>
      <c r="BO418" s="1220"/>
      <c r="BP418" s="1219"/>
      <c r="BQ418" s="1219"/>
      <c r="BR418" s="1221"/>
      <c r="BS418" s="1219"/>
      <c r="BT418" s="1219"/>
      <c r="BU418" s="1219"/>
      <c r="BV418" s="1220"/>
      <c r="BW418" s="1219"/>
      <c r="BX418" s="1219"/>
      <c r="BY418" s="1221"/>
      <c r="BZ418" s="1219"/>
      <c r="CA418" s="1219"/>
      <c r="CB418" s="1219"/>
      <c r="CC418" s="1220"/>
      <c r="CD418" s="1219"/>
      <c r="CE418" s="1219"/>
      <c r="CF418" s="1221"/>
      <c r="CG418" s="1219"/>
      <c r="CH418" s="1219"/>
      <c r="CI418" s="1219"/>
      <c r="CJ418" s="1220"/>
      <c r="CK418" s="1219"/>
      <c r="CL418" s="1219"/>
      <c r="CM418" s="1221"/>
      <c r="CN418" s="1219"/>
      <c r="CO418" s="1219"/>
      <c r="CP418" s="1219"/>
      <c r="CQ418" s="1220"/>
      <c r="CR418" s="1219"/>
      <c r="CS418" s="1219"/>
      <c r="CT418" s="1221"/>
      <c r="CU418" s="1219"/>
      <c r="CV418" s="1219"/>
      <c r="CW418" s="1219"/>
      <c r="CX418" s="1220"/>
      <c r="CY418" s="1219"/>
      <c r="CZ418" s="1219"/>
      <c r="DA418" s="1221"/>
      <c r="DB418" s="1219"/>
      <c r="DC418" s="1219"/>
      <c r="DD418" s="1219"/>
      <c r="DE418" s="1220"/>
      <c r="DF418" s="1219"/>
      <c r="DG418" s="1219"/>
      <c r="DH418" s="1221"/>
      <c r="DI418" s="1219"/>
      <c r="DJ418" s="1219"/>
      <c r="DK418" s="1219"/>
      <c r="DL418" s="1220"/>
      <c r="DM418" s="1219"/>
      <c r="DN418" s="1219"/>
      <c r="DO418" s="1221"/>
      <c r="DP418" s="1219"/>
      <c r="DQ418" s="1219"/>
      <c r="DR418" s="1219"/>
      <c r="DS418" s="1220"/>
      <c r="DT418" s="1219"/>
      <c r="DU418" s="1219"/>
      <c r="DV418" s="1221"/>
      <c r="DW418" s="1219"/>
      <c r="DX418" s="1219"/>
      <c r="DY418" s="1219"/>
      <c r="DZ418" s="1220"/>
      <c r="EA418" s="1219"/>
      <c r="EB418" s="1219"/>
      <c r="EC418" s="1221"/>
      <c r="ED418" s="1219"/>
      <c r="EE418" s="1219"/>
      <c r="EF418" s="1219"/>
      <c r="EG418" s="1220"/>
      <c r="EH418" s="1219"/>
      <c r="EI418" s="1219"/>
      <c r="EJ418" s="1221"/>
      <c r="EK418" s="1219"/>
      <c r="EL418" s="1219"/>
      <c r="EM418" s="1219"/>
      <c r="EN418" s="1220"/>
      <c r="EO418" s="1219"/>
      <c r="EP418" s="1219"/>
      <c r="EQ418" s="1221"/>
    </row>
    <row r="419" spans="1:147" ht="10.199999999999999" hidden="1" customHeight="1" outlineLevel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326"/>
      <c r="P419" s="326"/>
      <c r="Q419" s="326"/>
      <c r="R419" s="522"/>
      <c r="S419" s="326"/>
      <c r="T419" s="326"/>
      <c r="U419" s="393"/>
      <c r="V419" s="326"/>
      <c r="W419" s="326"/>
      <c r="X419" s="326"/>
      <c r="Y419" s="522"/>
      <c r="Z419" s="326"/>
      <c r="AA419" s="326"/>
      <c r="AB419" s="393"/>
      <c r="AC419" s="326"/>
      <c r="AD419" s="326"/>
      <c r="AE419" s="326"/>
      <c r="AF419" s="522"/>
      <c r="AG419" s="326"/>
      <c r="AH419" s="326"/>
      <c r="AI419" s="393"/>
      <c r="AJ419" s="326"/>
      <c r="AK419" s="326"/>
      <c r="AL419" s="326"/>
      <c r="AM419" s="522"/>
      <c r="AN419" s="326"/>
      <c r="AO419" s="326"/>
      <c r="AP419" s="393"/>
      <c r="AQ419" s="326"/>
      <c r="AR419" s="326"/>
      <c r="AS419" s="326"/>
      <c r="AT419" s="522"/>
      <c r="AU419" s="326"/>
      <c r="AV419" s="326"/>
      <c r="AW419" s="393"/>
      <c r="AX419" s="326"/>
      <c r="AY419" s="326"/>
      <c r="AZ419" s="326"/>
      <c r="BA419" s="522"/>
      <c r="BB419" s="326"/>
      <c r="BC419" s="326"/>
      <c r="BD419" s="393"/>
      <c r="BE419" s="326"/>
      <c r="BF419" s="326"/>
      <c r="BG419" s="326"/>
      <c r="BH419" s="522"/>
      <c r="BI419" s="326"/>
      <c r="BJ419" s="326"/>
      <c r="BK419" s="393"/>
      <c r="BL419" s="326"/>
      <c r="BM419" s="326"/>
      <c r="BN419" s="326"/>
      <c r="BO419" s="522"/>
      <c r="BP419" s="326"/>
      <c r="BQ419" s="326"/>
      <c r="BR419" s="393"/>
      <c r="BS419" s="326"/>
      <c r="BT419" s="326"/>
      <c r="BU419" s="326"/>
      <c r="BV419" s="522"/>
      <c r="BW419" s="326"/>
      <c r="BX419" s="326"/>
      <c r="BY419" s="393"/>
      <c r="BZ419" s="326"/>
      <c r="CA419" s="326"/>
      <c r="CB419" s="326"/>
      <c r="CC419" s="522"/>
      <c r="CD419" s="326"/>
      <c r="CE419" s="326"/>
      <c r="CF419" s="393"/>
      <c r="CG419" s="326"/>
      <c r="CH419" s="326"/>
      <c r="CI419" s="326"/>
      <c r="CJ419" s="522"/>
      <c r="CK419" s="326"/>
      <c r="CL419" s="326"/>
      <c r="CM419" s="393"/>
      <c r="CN419" s="326"/>
      <c r="CO419" s="326"/>
      <c r="CP419" s="326"/>
      <c r="CQ419" s="522"/>
      <c r="CR419" s="326"/>
      <c r="CS419" s="326"/>
      <c r="CT419" s="393"/>
      <c r="CU419" s="326"/>
      <c r="CV419" s="326"/>
      <c r="CW419" s="326"/>
      <c r="CX419" s="522"/>
      <c r="CY419" s="326"/>
      <c r="CZ419" s="326"/>
      <c r="DA419" s="393"/>
      <c r="DB419" s="326"/>
      <c r="DC419" s="326"/>
      <c r="DD419" s="326"/>
      <c r="DE419" s="522"/>
      <c r="DF419" s="326"/>
      <c r="DG419" s="326"/>
      <c r="DH419" s="393"/>
      <c r="DI419" s="326"/>
      <c r="DJ419" s="326"/>
      <c r="DK419" s="326"/>
      <c r="DL419" s="522"/>
      <c r="DM419" s="326"/>
      <c r="DN419" s="326"/>
      <c r="DO419" s="393"/>
      <c r="DP419" s="326"/>
      <c r="DQ419" s="326"/>
      <c r="DR419" s="326"/>
      <c r="DS419" s="522"/>
      <c r="DT419" s="326"/>
      <c r="DU419" s="326"/>
      <c r="DV419" s="393"/>
      <c r="DW419" s="326"/>
      <c r="DX419" s="326"/>
      <c r="DY419" s="326"/>
      <c r="DZ419" s="522"/>
      <c r="EA419" s="326"/>
      <c r="EB419" s="326"/>
      <c r="EC419" s="393"/>
      <c r="ED419" s="326"/>
      <c r="EE419" s="326"/>
      <c r="EF419" s="326"/>
      <c r="EG419" s="522"/>
      <c r="EH419" s="326"/>
      <c r="EI419" s="326"/>
      <c r="EJ419" s="393"/>
      <c r="EK419" s="326"/>
      <c r="EL419" s="326"/>
      <c r="EM419" s="326"/>
      <c r="EN419" s="522"/>
      <c r="EO419" s="326"/>
      <c r="EP419" s="326"/>
      <c r="EQ419" s="393"/>
    </row>
    <row r="420" spans="1:147" ht="10.199999999999999" hidden="1" customHeight="1" outlineLevel="1">
      <c r="A420" s="252" t="s">
        <v>715</v>
      </c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399"/>
      <c r="P420" s="399"/>
      <c r="Q420" s="399"/>
      <c r="R420" s="425"/>
      <c r="S420" s="399"/>
      <c r="T420" s="399"/>
      <c r="U420" s="404"/>
      <c r="V420" s="399"/>
      <c r="W420" s="399"/>
      <c r="X420" s="399"/>
      <c r="Y420" s="425"/>
      <c r="Z420" s="399"/>
      <c r="AA420" s="399"/>
      <c r="AB420" s="404"/>
      <c r="AC420" s="399"/>
      <c r="AD420" s="399"/>
      <c r="AE420" s="399"/>
      <c r="AF420" s="425"/>
      <c r="AG420" s="399"/>
      <c r="AH420" s="399"/>
      <c r="AI420" s="404"/>
      <c r="AJ420" s="399"/>
      <c r="AK420" s="399"/>
      <c r="AL420" s="399"/>
      <c r="AM420" s="425"/>
      <c r="AN420" s="399"/>
      <c r="AO420" s="399"/>
      <c r="AP420" s="404"/>
      <c r="AQ420" s="399"/>
      <c r="AR420" s="399"/>
      <c r="AS420" s="399"/>
      <c r="AT420" s="425"/>
      <c r="AU420" s="399"/>
      <c r="AV420" s="399"/>
      <c r="AW420" s="404"/>
      <c r="AX420" s="399"/>
      <c r="AY420" s="399"/>
      <c r="AZ420" s="399"/>
      <c r="BA420" s="425"/>
      <c r="BB420" s="399"/>
      <c r="BC420" s="399"/>
      <c r="BD420" s="404"/>
      <c r="BE420" s="399"/>
      <c r="BF420" s="399"/>
      <c r="BG420" s="399"/>
      <c r="BH420" s="425"/>
      <c r="BI420" s="399"/>
      <c r="BJ420" s="399"/>
      <c r="BK420" s="404"/>
      <c r="BL420" s="399"/>
      <c r="BM420" s="399"/>
      <c r="BN420" s="399"/>
      <c r="BO420" s="425"/>
      <c r="BP420" s="399"/>
      <c r="BQ420" s="399"/>
      <c r="BR420" s="404"/>
      <c r="BS420" s="399"/>
      <c r="BT420" s="399"/>
      <c r="BU420" s="399"/>
      <c r="BV420" s="425"/>
      <c r="BW420" s="399"/>
      <c r="BX420" s="399"/>
      <c r="BY420" s="404"/>
      <c r="BZ420" s="399"/>
      <c r="CA420" s="399"/>
      <c r="CB420" s="399"/>
      <c r="CC420" s="425"/>
      <c r="CD420" s="399"/>
      <c r="CE420" s="399"/>
      <c r="CF420" s="404"/>
      <c r="CG420" s="399"/>
      <c r="CH420" s="399"/>
      <c r="CI420" s="399"/>
      <c r="CJ420" s="425"/>
      <c r="CK420" s="399"/>
      <c r="CL420" s="399"/>
      <c r="CM420" s="404"/>
      <c r="CN420" s="399"/>
      <c r="CO420" s="399"/>
      <c r="CP420" s="399"/>
      <c r="CQ420" s="425"/>
      <c r="CR420" s="399"/>
      <c r="CS420" s="399"/>
      <c r="CT420" s="404"/>
      <c r="CU420" s="399"/>
      <c r="CV420" s="399"/>
      <c r="CW420" s="399"/>
      <c r="CX420" s="425"/>
      <c r="CY420" s="399"/>
      <c r="CZ420" s="399"/>
      <c r="DA420" s="404"/>
      <c r="DB420" s="399"/>
      <c r="DC420" s="399"/>
      <c r="DD420" s="399"/>
      <c r="DE420" s="425"/>
      <c r="DF420" s="399"/>
      <c r="DG420" s="399"/>
      <c r="DH420" s="404"/>
      <c r="DI420" s="399"/>
      <c r="DJ420" s="399"/>
      <c r="DK420" s="399"/>
      <c r="DL420" s="425"/>
      <c r="DM420" s="399"/>
      <c r="DN420" s="399"/>
      <c r="DO420" s="404"/>
      <c r="DP420" s="399"/>
      <c r="DQ420" s="399"/>
      <c r="DR420" s="399"/>
      <c r="DS420" s="425"/>
      <c r="DT420" s="399"/>
      <c r="DU420" s="399"/>
      <c r="DV420" s="404"/>
      <c r="DW420" s="399"/>
      <c r="DX420" s="399"/>
      <c r="DY420" s="399"/>
      <c r="DZ420" s="425"/>
      <c r="EA420" s="399"/>
      <c r="EB420" s="399"/>
      <c r="EC420" s="404"/>
      <c r="ED420" s="399"/>
      <c r="EE420" s="399"/>
      <c r="EF420" s="399"/>
      <c r="EG420" s="425"/>
      <c r="EH420" s="399"/>
      <c r="EI420" s="399"/>
      <c r="EJ420" s="404"/>
      <c r="EK420" s="399"/>
      <c r="EL420" s="399"/>
      <c r="EM420" s="399"/>
      <c r="EN420" s="425"/>
      <c r="EO420" s="399"/>
      <c r="EP420" s="399"/>
      <c r="EQ420" s="404"/>
    </row>
    <row r="421" spans="1:147" ht="10.199999999999999" hidden="1" customHeight="1" outlineLevel="1">
      <c r="A421" s="108" t="s">
        <v>644</v>
      </c>
      <c r="B421" s="43"/>
      <c r="C421" s="67">
        <f t="shared" ref="C421:CV421" si="1556">C242+C243</f>
        <v>0</v>
      </c>
      <c r="D421" s="67">
        <f t="shared" si="1556"/>
        <v>0</v>
      </c>
      <c r="E421" s="67">
        <f t="shared" si="1556"/>
        <v>0</v>
      </c>
      <c r="F421" s="67">
        <f t="shared" si="1556"/>
        <v>0</v>
      </c>
      <c r="G421" s="67">
        <f t="shared" si="1556"/>
        <v>0</v>
      </c>
      <c r="H421" s="67">
        <f t="shared" si="1556"/>
        <v>0</v>
      </c>
      <c r="I421" s="67">
        <f t="shared" si="1556"/>
        <v>0</v>
      </c>
      <c r="J421" s="67">
        <f t="shared" si="1556"/>
        <v>0</v>
      </c>
      <c r="K421" s="67">
        <f t="shared" si="1556"/>
        <v>0</v>
      </c>
      <c r="L421" s="67">
        <f t="shared" si="1556"/>
        <v>0</v>
      </c>
      <c r="M421" s="67">
        <f t="shared" si="1556"/>
        <v>0</v>
      </c>
      <c r="N421" s="67">
        <f t="shared" si="1556"/>
        <v>0</v>
      </c>
      <c r="O421" s="322"/>
      <c r="P421" s="322"/>
      <c r="Q421" s="322"/>
      <c r="R421" s="430"/>
      <c r="S421" s="322"/>
      <c r="T421" s="322"/>
      <c r="U421" s="385">
        <f t="shared" si="1556"/>
        <v>0</v>
      </c>
      <c r="V421" s="322"/>
      <c r="W421" s="322"/>
      <c r="X421" s="322"/>
      <c r="Y421" s="430"/>
      <c r="Z421" s="322"/>
      <c r="AA421" s="322"/>
      <c r="AB421" s="385">
        <f t="shared" si="1556"/>
        <v>0</v>
      </c>
      <c r="AC421" s="322"/>
      <c r="AD421" s="322"/>
      <c r="AE421" s="322"/>
      <c r="AF421" s="430"/>
      <c r="AG421" s="322"/>
      <c r="AH421" s="322"/>
      <c r="AI421" s="385">
        <f t="shared" si="1556"/>
        <v>0</v>
      </c>
      <c r="AJ421" s="322"/>
      <c r="AK421" s="322"/>
      <c r="AL421" s="322"/>
      <c r="AM421" s="430"/>
      <c r="AN421" s="322"/>
      <c r="AO421" s="322"/>
      <c r="AP421" s="385">
        <f t="shared" si="1556"/>
        <v>0</v>
      </c>
      <c r="AQ421" s="322"/>
      <c r="AR421" s="322"/>
      <c r="AS421" s="322"/>
      <c r="AT421" s="430"/>
      <c r="AU421" s="322"/>
      <c r="AV421" s="322"/>
      <c r="AW421" s="385">
        <f t="shared" si="1556"/>
        <v>0</v>
      </c>
      <c r="AX421" s="322"/>
      <c r="AY421" s="322"/>
      <c r="AZ421" s="322"/>
      <c r="BA421" s="430"/>
      <c r="BB421" s="322"/>
      <c r="BC421" s="322"/>
      <c r="BD421" s="385">
        <f t="shared" si="1556"/>
        <v>0</v>
      </c>
      <c r="BE421" s="322"/>
      <c r="BF421" s="322"/>
      <c r="BG421" s="322"/>
      <c r="BH421" s="430"/>
      <c r="BI421" s="322"/>
      <c r="BJ421" s="322"/>
      <c r="BK421" s="385">
        <f t="shared" si="1556"/>
        <v>894</v>
      </c>
      <c r="BL421" s="322"/>
      <c r="BM421" s="322"/>
      <c r="BN421" s="322"/>
      <c r="BO421" s="430"/>
      <c r="BP421" s="322"/>
      <c r="BQ421" s="322"/>
      <c r="BR421" s="385">
        <f t="shared" si="1556"/>
        <v>2106.0450000000001</v>
      </c>
      <c r="BS421" s="322"/>
      <c r="BT421" s="322"/>
      <c r="BU421" s="322"/>
      <c r="BV421" s="430"/>
      <c r="BW421" s="322"/>
      <c r="BX421" s="322"/>
      <c r="BY421" s="385">
        <f t="shared" si="1556"/>
        <v>1754.1144000000002</v>
      </c>
      <c r="BZ421" s="322"/>
      <c r="CA421" s="322"/>
      <c r="CB421" s="322"/>
      <c r="CC421" s="430"/>
      <c r="CD421" s="322"/>
      <c r="CE421" s="322"/>
      <c r="CF421" s="385">
        <f t="shared" si="1556"/>
        <v>1928.6394192000002</v>
      </c>
      <c r="CG421" s="322"/>
      <c r="CH421" s="322"/>
      <c r="CI421" s="322"/>
      <c r="CJ421" s="430"/>
      <c r="CK421" s="322"/>
      <c r="CL421" s="322"/>
      <c r="CM421" s="385">
        <f t="shared" si="1556"/>
        <v>2072.4246135360004</v>
      </c>
      <c r="CN421" s="322">
        <f t="shared" si="1556"/>
        <v>410.03612652959998</v>
      </c>
      <c r="CO421" s="322">
        <f t="shared" si="1556"/>
        <v>615.05418979440003</v>
      </c>
      <c r="CP421" s="322">
        <f t="shared" si="1556"/>
        <v>656.05780244736002</v>
      </c>
      <c r="CQ421" s="430">
        <f t="shared" si="1556"/>
        <v>1092.9815438313601</v>
      </c>
      <c r="CR421" s="322">
        <f t="shared" si="1556"/>
        <v>1025.090316324</v>
      </c>
      <c r="CS421" s="322">
        <f t="shared" si="1556"/>
        <v>1749.0393462787199</v>
      </c>
      <c r="CT421" s="385">
        <f t="shared" si="1556"/>
        <v>2774.1296626027201</v>
      </c>
      <c r="CU421" s="322">
        <f t="shared" si="1556"/>
        <v>499.52146971690001</v>
      </c>
      <c r="CV421" s="322">
        <f t="shared" si="1556"/>
        <v>657.99034976502003</v>
      </c>
      <c r="CW421" s="322">
        <f t="shared" ref="CW421:EB421" si="1557">CW242+CW243</f>
        <v>704.84201864881197</v>
      </c>
      <c r="CX421" s="430">
        <f t="shared" si="1557"/>
        <v>1241.569225420488</v>
      </c>
      <c r="CY421" s="322">
        <f t="shared" si="1557"/>
        <v>1157.5118194819199</v>
      </c>
      <c r="CZ421" s="322">
        <f t="shared" si="1557"/>
        <v>1946.4112440692998</v>
      </c>
      <c r="DA421" s="385">
        <f t="shared" si="1557"/>
        <v>3103.9230635512199</v>
      </c>
      <c r="DB421" s="322">
        <f t="shared" si="1557"/>
        <v>727.40660917740286</v>
      </c>
      <c r="DC421" s="322">
        <f t="shared" si="1557"/>
        <v>1024.0190129196449</v>
      </c>
      <c r="DD421" s="322">
        <f t="shared" si="1557"/>
        <v>899.72429135146729</v>
      </c>
      <c r="DE421" s="430">
        <f t="shared" si="1557"/>
        <v>1330.5184967866282</v>
      </c>
      <c r="DF421" s="322">
        <f t="shared" si="1557"/>
        <v>1751.4256220970478</v>
      </c>
      <c r="DG421" s="322">
        <f t="shared" si="1557"/>
        <v>2230.2427881380954</v>
      </c>
      <c r="DH421" s="385">
        <f t="shared" si="1557"/>
        <v>3981.6684102351433</v>
      </c>
      <c r="DI421" s="322">
        <f t="shared" si="1557"/>
        <v>833.90458652104587</v>
      </c>
      <c r="DJ421" s="322">
        <f t="shared" si="1557"/>
        <v>1103.9101514275999</v>
      </c>
      <c r="DK421" s="322">
        <f t="shared" si="1557"/>
        <v>1091.242330017775</v>
      </c>
      <c r="DL421" s="430">
        <f t="shared" si="1557"/>
        <v>1728.7594909110778</v>
      </c>
      <c r="DM421" s="322">
        <f t="shared" si="1557"/>
        <v>1937.8147379486456</v>
      </c>
      <c r="DN421" s="322">
        <f t="shared" si="1557"/>
        <v>2820.0018209288523</v>
      </c>
      <c r="DO421" s="385">
        <f t="shared" si="1557"/>
        <v>4757.8165588774982</v>
      </c>
      <c r="DP421" s="322">
        <f t="shared" si="1557"/>
        <v>1414.9320861592971</v>
      </c>
      <c r="DQ421" s="322">
        <f t="shared" si="1557"/>
        <v>1286.301896508452</v>
      </c>
      <c r="DR421" s="322">
        <f t="shared" si="1557"/>
        <v>1286.301896508452</v>
      </c>
      <c r="DS421" s="430">
        <f t="shared" si="1557"/>
        <v>1286.3018965084523</v>
      </c>
      <c r="DT421" s="322">
        <f t="shared" si="1557"/>
        <v>2701.2339826677489</v>
      </c>
      <c r="DU421" s="322">
        <f t="shared" si="1557"/>
        <v>2572.6037930169041</v>
      </c>
      <c r="DV421" s="385">
        <f t="shared" si="1557"/>
        <v>5273.837775684653</v>
      </c>
      <c r="DW421" s="322">
        <f t="shared" si="1557"/>
        <v>1318.459443921163</v>
      </c>
      <c r="DX421" s="322">
        <f t="shared" si="1557"/>
        <v>1318.459443921163</v>
      </c>
      <c r="DY421" s="322">
        <f t="shared" si="1557"/>
        <v>1318.459443921163</v>
      </c>
      <c r="DZ421" s="430">
        <f t="shared" si="1557"/>
        <v>1318.459443921163</v>
      </c>
      <c r="EA421" s="322">
        <f t="shared" si="1557"/>
        <v>2636.9188878423261</v>
      </c>
      <c r="EB421" s="322">
        <f t="shared" si="1557"/>
        <v>2636.9188878423261</v>
      </c>
      <c r="EC421" s="385">
        <f t="shared" ref="EC421:EQ421" si="1558">EC242+EC243</f>
        <v>5273.8377756846521</v>
      </c>
      <c r="ED421" s="322">
        <f t="shared" si="1558"/>
        <v>1351.4209300191919</v>
      </c>
      <c r="EE421" s="322">
        <f t="shared" si="1558"/>
        <v>1351.4209300191919</v>
      </c>
      <c r="EF421" s="322">
        <f t="shared" si="1558"/>
        <v>1351.4209300191919</v>
      </c>
      <c r="EG421" s="430">
        <f t="shared" si="1558"/>
        <v>1351.4209300191919</v>
      </c>
      <c r="EH421" s="322">
        <f t="shared" si="1558"/>
        <v>2702.8418600383839</v>
      </c>
      <c r="EI421" s="322">
        <f t="shared" si="1558"/>
        <v>2702.8418600383839</v>
      </c>
      <c r="EJ421" s="385">
        <f t="shared" si="1558"/>
        <v>5405.6837200767677</v>
      </c>
      <c r="EK421" s="322">
        <f t="shared" si="1558"/>
        <v>1385.2064532696716</v>
      </c>
      <c r="EL421" s="322">
        <f t="shared" si="1558"/>
        <v>1385.2064532696716</v>
      </c>
      <c r="EM421" s="322">
        <f t="shared" si="1558"/>
        <v>1385.2064532696716</v>
      </c>
      <c r="EN421" s="430">
        <f t="shared" si="1558"/>
        <v>1385.2064532696716</v>
      </c>
      <c r="EO421" s="322">
        <f t="shared" si="1558"/>
        <v>2770.4129065393431</v>
      </c>
      <c r="EP421" s="322">
        <f t="shared" si="1558"/>
        <v>2770.4129065393431</v>
      </c>
      <c r="EQ421" s="385">
        <f t="shared" si="1558"/>
        <v>5540.8258130786862</v>
      </c>
    </row>
    <row r="422" spans="1:147" ht="10.199999999999999" hidden="1" customHeight="1" outlineLevel="2">
      <c r="A422" s="43" t="s">
        <v>309</v>
      </c>
      <c r="B422" s="43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399"/>
      <c r="P422" s="399"/>
      <c r="Q422" s="399"/>
      <c r="R422" s="425"/>
      <c r="S422" s="399"/>
      <c r="T422" s="399"/>
      <c r="U422" s="404"/>
      <c r="V422" s="399"/>
      <c r="W422" s="399"/>
      <c r="X422" s="399"/>
      <c r="Y422" s="425"/>
      <c r="Z422" s="399"/>
      <c r="AA422" s="399"/>
      <c r="AB422" s="404"/>
      <c r="AC422" s="399"/>
      <c r="AD422" s="399"/>
      <c r="AE422" s="399"/>
      <c r="AF422" s="425"/>
      <c r="AG422" s="399"/>
      <c r="AH422" s="399"/>
      <c r="AI422" s="404"/>
      <c r="AJ422" s="399"/>
      <c r="AK422" s="399"/>
      <c r="AL422" s="399"/>
      <c r="AM422" s="425"/>
      <c r="AN422" s="399"/>
      <c r="AO422" s="399"/>
      <c r="AP422" s="404"/>
      <c r="AQ422" s="399"/>
      <c r="AR422" s="399"/>
      <c r="AS422" s="399"/>
      <c r="AT422" s="425"/>
      <c r="AU422" s="399"/>
      <c r="AV422" s="399"/>
      <c r="AW422" s="404"/>
      <c r="AX422" s="399"/>
      <c r="AY422" s="399"/>
      <c r="AZ422" s="399"/>
      <c r="BA422" s="425"/>
      <c r="BB422" s="399"/>
      <c r="BC422" s="399"/>
      <c r="BD422" s="404"/>
      <c r="BE422" s="399"/>
      <c r="BF422" s="399"/>
      <c r="BG422" s="399"/>
      <c r="BH422" s="425"/>
      <c r="BI422" s="399"/>
      <c r="BJ422" s="399"/>
      <c r="BK422" s="404"/>
      <c r="BL422" s="399"/>
      <c r="BM422" s="399"/>
      <c r="BN422" s="399"/>
      <c r="BO422" s="425"/>
      <c r="BP422" s="399"/>
      <c r="BQ422" s="399"/>
      <c r="BR422" s="404"/>
      <c r="BS422" s="399"/>
      <c r="BT422" s="399"/>
      <c r="BU422" s="399"/>
      <c r="BV422" s="425"/>
      <c r="BW422" s="399"/>
      <c r="BX422" s="399"/>
      <c r="BY422" s="404"/>
      <c r="BZ422" s="399"/>
      <c r="CA422" s="399"/>
      <c r="CB422" s="399"/>
      <c r="CC422" s="425"/>
      <c r="CD422" s="399"/>
      <c r="CE422" s="399"/>
      <c r="CF422" s="404"/>
      <c r="CG422" s="399"/>
      <c r="CH422" s="399"/>
      <c r="CI422" s="399"/>
      <c r="CJ422" s="425"/>
      <c r="CK422" s="399"/>
      <c r="CL422" s="399"/>
      <c r="CM422" s="404"/>
      <c r="CN422" s="399"/>
      <c r="CO422" s="399"/>
      <c r="CP422" s="399"/>
      <c r="CQ422" s="425"/>
      <c r="CR422" s="399"/>
      <c r="CS422" s="399"/>
      <c r="CT422" s="404"/>
      <c r="CU422" s="399"/>
      <c r="CV422" s="399"/>
      <c r="CW422" s="399"/>
      <c r="CX422" s="425"/>
      <c r="CY422" s="399"/>
      <c r="CZ422" s="399"/>
      <c r="DA422" s="404"/>
      <c r="DB422" s="399"/>
      <c r="DC422" s="399"/>
      <c r="DD422" s="399"/>
      <c r="DE422" s="425"/>
      <c r="DF422" s="399"/>
      <c r="DG422" s="399"/>
      <c r="DH422" s="404"/>
      <c r="DI422" s="399"/>
      <c r="DJ422" s="399"/>
      <c r="DK422" s="399"/>
      <c r="DL422" s="425"/>
      <c r="DM422" s="399"/>
      <c r="DN422" s="399"/>
      <c r="DO422" s="404"/>
      <c r="DP422" s="399"/>
      <c r="DQ422" s="399"/>
      <c r="DR422" s="399"/>
      <c r="DS422" s="425"/>
      <c r="DT422" s="399"/>
      <c r="DU422" s="399"/>
      <c r="DV422" s="404"/>
      <c r="DW422" s="399"/>
      <c r="DX422" s="399"/>
      <c r="DY422" s="399"/>
      <c r="DZ422" s="425"/>
      <c r="EA422" s="399"/>
      <c r="EB422" s="399"/>
      <c r="EC422" s="404"/>
      <c r="ED422" s="399"/>
      <c r="EE422" s="399"/>
      <c r="EF422" s="399"/>
      <c r="EG422" s="425"/>
      <c r="EH422" s="399"/>
      <c r="EI422" s="399"/>
      <c r="EJ422" s="404"/>
      <c r="EK422" s="399"/>
      <c r="EL422" s="399"/>
      <c r="EM422" s="399"/>
      <c r="EN422" s="425"/>
      <c r="EO422" s="399"/>
      <c r="EP422" s="399"/>
      <c r="EQ422" s="404"/>
    </row>
    <row r="423" spans="1:147" ht="10.199999999999999" hidden="1" customHeight="1" outlineLevel="2" collapsed="1">
      <c r="A423" s="108" t="s">
        <v>377</v>
      </c>
      <c r="B423" s="43"/>
      <c r="C423" s="67">
        <f t="shared" ref="C423:CV423" si="1559">C246+C247+C248+C249</f>
        <v>10937.531341795227</v>
      </c>
      <c r="D423" s="67">
        <f t="shared" si="1559"/>
        <v>10207.944866412679</v>
      </c>
      <c r="E423" s="67">
        <f t="shared" si="1559"/>
        <v>10065.458128078819</v>
      </c>
      <c r="F423" s="67">
        <f t="shared" si="1559"/>
        <v>9771.5087500000009</v>
      </c>
      <c r="G423" s="67">
        <f t="shared" si="1559"/>
        <v>11968.321749999999</v>
      </c>
      <c r="H423" s="67">
        <f t="shared" si="1559"/>
        <v>14618.283887024996</v>
      </c>
      <c r="I423" s="67">
        <f t="shared" si="1559"/>
        <v>16837.032182197494</v>
      </c>
      <c r="J423" s="67">
        <f t="shared" si="1559"/>
        <v>18227.900072975768</v>
      </c>
      <c r="K423" s="67">
        <f t="shared" si="1559"/>
        <v>19374.834308620051</v>
      </c>
      <c r="L423" s="67">
        <f t="shared" si="1559"/>
        <v>21427.705000000002</v>
      </c>
      <c r="M423" s="67">
        <f t="shared" si="1559"/>
        <v>23278.399999999998</v>
      </c>
      <c r="N423" s="67">
        <f t="shared" si="1559"/>
        <v>19530.289999999997</v>
      </c>
      <c r="O423" s="322"/>
      <c r="P423" s="322"/>
      <c r="Q423" s="322"/>
      <c r="R423" s="430"/>
      <c r="S423" s="322"/>
      <c r="T423" s="322"/>
      <c r="U423" s="385">
        <f t="shared" si="1559"/>
        <v>21575.767500000002</v>
      </c>
      <c r="V423" s="322"/>
      <c r="W423" s="322"/>
      <c r="X423" s="322"/>
      <c r="Y423" s="430"/>
      <c r="Z423" s="322"/>
      <c r="AA423" s="322"/>
      <c r="AB423" s="385">
        <f t="shared" si="1559"/>
        <v>30592.968000000008</v>
      </c>
      <c r="AC423" s="322"/>
      <c r="AD423" s="322"/>
      <c r="AE423" s="322"/>
      <c r="AF423" s="430"/>
      <c r="AG423" s="322"/>
      <c r="AH423" s="322"/>
      <c r="AI423" s="385">
        <f t="shared" si="1559"/>
        <v>30199.817205640938</v>
      </c>
      <c r="AJ423" s="322"/>
      <c r="AK423" s="322"/>
      <c r="AL423" s="322"/>
      <c r="AM423" s="430"/>
      <c r="AN423" s="322"/>
      <c r="AO423" s="322"/>
      <c r="AP423" s="385">
        <f t="shared" si="1559"/>
        <v>28536.457851895837</v>
      </c>
      <c r="AQ423" s="322"/>
      <c r="AR423" s="322"/>
      <c r="AS423" s="322"/>
      <c r="AT423" s="430"/>
      <c r="AU423" s="322"/>
      <c r="AV423" s="322"/>
      <c r="AW423" s="385">
        <f t="shared" si="1559"/>
        <v>22835.044438166788</v>
      </c>
      <c r="AX423" s="322"/>
      <c r="AY423" s="322"/>
      <c r="AZ423" s="322"/>
      <c r="BA423" s="430"/>
      <c r="BB423" s="322"/>
      <c r="BC423" s="322"/>
      <c r="BD423" s="385">
        <f t="shared" si="1559"/>
        <v>17739.36739501002</v>
      </c>
      <c r="BE423" s="322"/>
      <c r="BF423" s="322"/>
      <c r="BG423" s="322"/>
      <c r="BH423" s="430"/>
      <c r="BI423" s="322"/>
      <c r="BJ423" s="322"/>
      <c r="BK423" s="385">
        <f t="shared" si="1559"/>
        <v>11647.394999999999</v>
      </c>
      <c r="BL423" s="322"/>
      <c r="BM423" s="322"/>
      <c r="BN423" s="322"/>
      <c r="BO423" s="430"/>
      <c r="BP423" s="322"/>
      <c r="BQ423" s="322"/>
      <c r="BR423" s="385">
        <f t="shared" si="1559"/>
        <v>4504.4423999999999</v>
      </c>
      <c r="BS423" s="322"/>
      <c r="BT423" s="322"/>
      <c r="BU423" s="322"/>
      <c r="BV423" s="430"/>
      <c r="BW423" s="322"/>
      <c r="BX423" s="322"/>
      <c r="BY423" s="385">
        <f t="shared" si="1559"/>
        <v>684.41673600000001</v>
      </c>
      <c r="BZ423" s="322"/>
      <c r="CA423" s="322"/>
      <c r="CB423" s="322"/>
      <c r="CC423" s="430"/>
      <c r="CD423" s="322"/>
      <c r="CE423" s="322"/>
      <c r="CF423" s="385">
        <f t="shared" si="1559"/>
        <v>1183.1195750400002</v>
      </c>
      <c r="CG423" s="322"/>
      <c r="CH423" s="322"/>
      <c r="CI423" s="322"/>
      <c r="CJ423" s="430"/>
      <c r="CK423" s="322"/>
      <c r="CL423" s="322"/>
      <c r="CM423" s="385">
        <f t="shared" si="1559"/>
        <v>0</v>
      </c>
      <c r="CN423" s="322">
        <f t="shared" si="1559"/>
        <v>0</v>
      </c>
      <c r="CO423" s="322">
        <f t="shared" si="1559"/>
        <v>0</v>
      </c>
      <c r="CP423" s="322">
        <f t="shared" si="1559"/>
        <v>0</v>
      </c>
      <c r="CQ423" s="430">
        <f t="shared" si="1559"/>
        <v>0</v>
      </c>
      <c r="CR423" s="322">
        <f t="shared" si="1559"/>
        <v>0</v>
      </c>
      <c r="CS423" s="322">
        <f t="shared" si="1559"/>
        <v>0</v>
      </c>
      <c r="CT423" s="385">
        <f t="shared" si="1559"/>
        <v>0</v>
      </c>
      <c r="CU423" s="322">
        <f t="shared" si="1559"/>
        <v>0</v>
      </c>
      <c r="CV423" s="322">
        <f t="shared" si="1559"/>
        <v>0</v>
      </c>
      <c r="CW423" s="322">
        <f t="shared" ref="CW423:EB423" si="1560">CW246+CW247+CW248+CW249</f>
        <v>0</v>
      </c>
      <c r="CX423" s="430">
        <f t="shared" si="1560"/>
        <v>0</v>
      </c>
      <c r="CY423" s="322">
        <f t="shared" si="1560"/>
        <v>0</v>
      </c>
      <c r="CZ423" s="322">
        <f t="shared" si="1560"/>
        <v>0</v>
      </c>
      <c r="DA423" s="385">
        <f t="shared" si="1560"/>
        <v>0</v>
      </c>
      <c r="DB423" s="322">
        <f t="shared" si="1560"/>
        <v>0</v>
      </c>
      <c r="DC423" s="322">
        <f t="shared" si="1560"/>
        <v>0</v>
      </c>
      <c r="DD423" s="322">
        <f t="shared" si="1560"/>
        <v>0</v>
      </c>
      <c r="DE423" s="430">
        <f t="shared" si="1560"/>
        <v>0</v>
      </c>
      <c r="DF423" s="322">
        <f t="shared" si="1560"/>
        <v>0</v>
      </c>
      <c r="DG423" s="322">
        <f t="shared" si="1560"/>
        <v>0</v>
      </c>
      <c r="DH423" s="385">
        <f t="shared" si="1560"/>
        <v>0</v>
      </c>
      <c r="DI423" s="322">
        <f t="shared" si="1560"/>
        <v>0</v>
      </c>
      <c r="DJ423" s="322">
        <f t="shared" si="1560"/>
        <v>0</v>
      </c>
      <c r="DK423" s="322">
        <f t="shared" si="1560"/>
        <v>0</v>
      </c>
      <c r="DL423" s="430">
        <f t="shared" si="1560"/>
        <v>0</v>
      </c>
      <c r="DM423" s="322">
        <f t="shared" si="1560"/>
        <v>0</v>
      </c>
      <c r="DN423" s="322">
        <f t="shared" si="1560"/>
        <v>0</v>
      </c>
      <c r="DO423" s="385">
        <f t="shared" si="1560"/>
        <v>0</v>
      </c>
      <c r="DP423" s="322">
        <f t="shared" si="1560"/>
        <v>0</v>
      </c>
      <c r="DQ423" s="322">
        <f t="shared" si="1560"/>
        <v>0</v>
      </c>
      <c r="DR423" s="322">
        <f t="shared" si="1560"/>
        <v>0</v>
      </c>
      <c r="DS423" s="430">
        <f t="shared" si="1560"/>
        <v>0</v>
      </c>
      <c r="DT423" s="322">
        <f t="shared" si="1560"/>
        <v>0</v>
      </c>
      <c r="DU423" s="322">
        <f t="shared" si="1560"/>
        <v>0</v>
      </c>
      <c r="DV423" s="385">
        <f t="shared" si="1560"/>
        <v>0</v>
      </c>
      <c r="DW423" s="322">
        <f t="shared" si="1560"/>
        <v>0</v>
      </c>
      <c r="DX423" s="322">
        <f t="shared" si="1560"/>
        <v>0</v>
      </c>
      <c r="DY423" s="322">
        <f t="shared" si="1560"/>
        <v>0</v>
      </c>
      <c r="DZ423" s="430">
        <f t="shared" si="1560"/>
        <v>0</v>
      </c>
      <c r="EA423" s="322">
        <f t="shared" si="1560"/>
        <v>0</v>
      </c>
      <c r="EB423" s="322">
        <f t="shared" si="1560"/>
        <v>0</v>
      </c>
      <c r="EC423" s="385">
        <f t="shared" ref="EC423:EQ423" si="1561">EC246+EC247+EC248+EC249</f>
        <v>0</v>
      </c>
      <c r="ED423" s="322">
        <f t="shared" si="1561"/>
        <v>0</v>
      </c>
      <c r="EE423" s="322">
        <f t="shared" si="1561"/>
        <v>0</v>
      </c>
      <c r="EF423" s="322">
        <f t="shared" si="1561"/>
        <v>0</v>
      </c>
      <c r="EG423" s="430">
        <f t="shared" si="1561"/>
        <v>0</v>
      </c>
      <c r="EH423" s="322">
        <f t="shared" si="1561"/>
        <v>0</v>
      </c>
      <c r="EI423" s="322">
        <f t="shared" si="1561"/>
        <v>0</v>
      </c>
      <c r="EJ423" s="385">
        <f t="shared" si="1561"/>
        <v>0</v>
      </c>
      <c r="EK423" s="322">
        <f t="shared" si="1561"/>
        <v>0</v>
      </c>
      <c r="EL423" s="322">
        <f t="shared" si="1561"/>
        <v>0</v>
      </c>
      <c r="EM423" s="322">
        <f t="shared" si="1561"/>
        <v>0</v>
      </c>
      <c r="EN423" s="430">
        <f t="shared" si="1561"/>
        <v>0</v>
      </c>
      <c r="EO423" s="322">
        <f t="shared" si="1561"/>
        <v>0</v>
      </c>
      <c r="EP423" s="322">
        <f t="shared" si="1561"/>
        <v>0</v>
      </c>
      <c r="EQ423" s="385">
        <f t="shared" si="1561"/>
        <v>0</v>
      </c>
    </row>
    <row r="424" spans="1:147" ht="10.199999999999999" hidden="1" customHeight="1" outlineLevel="1">
      <c r="A424" s="108" t="s">
        <v>378</v>
      </c>
      <c r="B424" s="43"/>
      <c r="C424" s="67">
        <f t="shared" ref="C424:CV424" si="1562">C251+C252+C253</f>
        <v>0</v>
      </c>
      <c r="D424" s="67">
        <f t="shared" si="1562"/>
        <v>0</v>
      </c>
      <c r="E424" s="67">
        <f t="shared" si="1562"/>
        <v>0</v>
      </c>
      <c r="F424" s="67">
        <f t="shared" si="1562"/>
        <v>0</v>
      </c>
      <c r="G424" s="67">
        <f t="shared" si="1562"/>
        <v>0</v>
      </c>
      <c r="H424" s="67">
        <f t="shared" si="1562"/>
        <v>0</v>
      </c>
      <c r="I424" s="67">
        <f t="shared" si="1562"/>
        <v>0</v>
      </c>
      <c r="J424" s="67">
        <f t="shared" si="1562"/>
        <v>0</v>
      </c>
      <c r="K424" s="67">
        <f t="shared" si="1562"/>
        <v>0</v>
      </c>
      <c r="L424" s="67">
        <f t="shared" si="1562"/>
        <v>0</v>
      </c>
      <c r="M424" s="67">
        <f t="shared" si="1562"/>
        <v>0</v>
      </c>
      <c r="N424" s="67">
        <f t="shared" si="1562"/>
        <v>0</v>
      </c>
      <c r="O424" s="322"/>
      <c r="P424" s="322"/>
      <c r="Q424" s="322"/>
      <c r="R424" s="430"/>
      <c r="S424" s="322"/>
      <c r="T424" s="322"/>
      <c r="U424" s="385">
        <f t="shared" si="1562"/>
        <v>0</v>
      </c>
      <c r="V424" s="322"/>
      <c r="W424" s="322"/>
      <c r="X424" s="322"/>
      <c r="Y424" s="430"/>
      <c r="Z424" s="322"/>
      <c r="AA424" s="322"/>
      <c r="AB424" s="385">
        <f t="shared" si="1562"/>
        <v>0</v>
      </c>
      <c r="AC424" s="322"/>
      <c r="AD424" s="322"/>
      <c r="AE424" s="322"/>
      <c r="AF424" s="430"/>
      <c r="AG424" s="322"/>
      <c r="AH424" s="322"/>
      <c r="AI424" s="385">
        <f t="shared" si="1562"/>
        <v>0</v>
      </c>
      <c r="AJ424" s="322"/>
      <c r="AK424" s="322"/>
      <c r="AL424" s="322"/>
      <c r="AM424" s="430"/>
      <c r="AN424" s="322"/>
      <c r="AO424" s="322"/>
      <c r="AP424" s="385">
        <f t="shared" si="1562"/>
        <v>4013.02</v>
      </c>
      <c r="AQ424" s="322"/>
      <c r="AR424" s="322"/>
      <c r="AS424" s="322"/>
      <c r="AT424" s="430"/>
      <c r="AU424" s="322"/>
      <c r="AV424" s="322"/>
      <c r="AW424" s="385">
        <f t="shared" si="1562"/>
        <v>10995.820000000002</v>
      </c>
      <c r="AX424" s="322"/>
      <c r="AY424" s="322"/>
      <c r="AZ424" s="322"/>
      <c r="BA424" s="430"/>
      <c r="BB424" s="322"/>
      <c r="BC424" s="322"/>
      <c r="BD424" s="385">
        <f t="shared" si="1562"/>
        <v>9996.2000000000007</v>
      </c>
      <c r="BE424" s="322"/>
      <c r="BF424" s="322"/>
      <c r="BG424" s="322"/>
      <c r="BH424" s="430"/>
      <c r="BI424" s="322"/>
      <c r="BJ424" s="322"/>
      <c r="BK424" s="385">
        <f t="shared" si="1562"/>
        <v>20197.865278325917</v>
      </c>
      <c r="BL424" s="322"/>
      <c r="BM424" s="322"/>
      <c r="BN424" s="322"/>
      <c r="BO424" s="430"/>
      <c r="BP424" s="322"/>
      <c r="BQ424" s="322"/>
      <c r="BR424" s="385">
        <f t="shared" si="1562"/>
        <v>30885.127586880022</v>
      </c>
      <c r="BS424" s="322"/>
      <c r="BT424" s="322"/>
      <c r="BU424" s="322"/>
      <c r="BV424" s="430"/>
      <c r="BW424" s="322"/>
      <c r="BX424" s="322"/>
      <c r="BY424" s="385">
        <f t="shared" si="1562"/>
        <v>22990.553019903593</v>
      </c>
      <c r="BZ424" s="322"/>
      <c r="CA424" s="322"/>
      <c r="CB424" s="322"/>
      <c r="CC424" s="430"/>
      <c r="CD424" s="322"/>
      <c r="CE424" s="322"/>
      <c r="CF424" s="385">
        <f t="shared" si="1562"/>
        <v>25921.593658762446</v>
      </c>
      <c r="CG424" s="322"/>
      <c r="CH424" s="322"/>
      <c r="CI424" s="322"/>
      <c r="CJ424" s="430"/>
      <c r="CK424" s="322"/>
      <c r="CL424" s="322"/>
      <c r="CM424" s="385">
        <f t="shared" si="1562"/>
        <v>28837.812161938928</v>
      </c>
      <c r="CN424" s="322">
        <f t="shared" si="1562"/>
        <v>6170.3700078397478</v>
      </c>
      <c r="CO424" s="322">
        <f t="shared" si="1562"/>
        <v>8441.4645980200421</v>
      </c>
      <c r="CP424" s="322">
        <f t="shared" si="1562"/>
        <v>7421.6760289058038</v>
      </c>
      <c r="CQ424" s="430">
        <f t="shared" si="1562"/>
        <v>10567.580358777821</v>
      </c>
      <c r="CR424" s="322">
        <f t="shared" si="1562"/>
        <v>14656.376372475228</v>
      </c>
      <c r="CS424" s="322">
        <f t="shared" si="1562"/>
        <v>17854.508266296682</v>
      </c>
      <c r="CT424" s="385">
        <f t="shared" si="1562"/>
        <v>32505.276427194254</v>
      </c>
      <c r="CU424" s="322">
        <f t="shared" si="1562"/>
        <v>6630.1370733281601</v>
      </c>
      <c r="CV424" s="322">
        <f t="shared" si="1562"/>
        <v>8767.864077217695</v>
      </c>
      <c r="CW424" s="322">
        <f t="shared" ref="CW424:EB424" si="1563">CW251+CW252+CW253</f>
        <v>7854.8605116921781</v>
      </c>
      <c r="CX424" s="430">
        <f t="shared" si="1563"/>
        <v>12139.975447722329</v>
      </c>
      <c r="CY424" s="322">
        <f t="shared" si="1563"/>
        <v>15345.91779251663</v>
      </c>
      <c r="CZ424" s="322">
        <f t="shared" si="1563"/>
        <v>19968.889588501432</v>
      </c>
      <c r="DA424" s="385">
        <f t="shared" si="1563"/>
        <v>35364.917618551146</v>
      </c>
      <c r="DB424" s="322">
        <f t="shared" si="1563"/>
        <v>6263.6919993493939</v>
      </c>
      <c r="DC424" s="322">
        <f t="shared" si="1563"/>
        <v>7195.1683571154081</v>
      </c>
      <c r="DD424" s="322">
        <f t="shared" si="1563"/>
        <v>9437.221377064674</v>
      </c>
      <c r="DE424" s="430">
        <f t="shared" si="1563"/>
        <v>12908.360575047793</v>
      </c>
      <c r="DF424" s="322">
        <f t="shared" si="1563"/>
        <v>13482.552136718568</v>
      </c>
      <c r="DG424" s="322">
        <f t="shared" si="1563"/>
        <v>22302.668697081437</v>
      </c>
      <c r="DH424" s="385">
        <f t="shared" si="1563"/>
        <v>35727.161969875611</v>
      </c>
      <c r="DI424" s="322">
        <f t="shared" si="1563"/>
        <v>5180.1312181019848</v>
      </c>
      <c r="DJ424" s="322">
        <f t="shared" si="1563"/>
        <v>11680.716631683172</v>
      </c>
      <c r="DK424" s="322">
        <f t="shared" si="1563"/>
        <v>9431.5139577570299</v>
      </c>
      <c r="DL424" s="430">
        <f t="shared" si="1563"/>
        <v>12700.03108686467</v>
      </c>
      <c r="DM424" s="322">
        <f t="shared" si="1563"/>
        <v>16926.477172049275</v>
      </c>
      <c r="DN424" s="322">
        <f t="shared" si="1563"/>
        <v>22162.342684388903</v>
      </c>
      <c r="DO424" s="385">
        <f t="shared" si="1563"/>
        <v>39365.586505691143</v>
      </c>
      <c r="DP424" s="322">
        <f t="shared" si="1563"/>
        <v>10754.891438278535</v>
      </c>
      <c r="DQ424" s="322">
        <f t="shared" si="1563"/>
        <v>11647.006200528092</v>
      </c>
      <c r="DR424" s="322">
        <f t="shared" si="1563"/>
        <v>11651.507499735715</v>
      </c>
      <c r="DS424" s="430">
        <f t="shared" si="1563"/>
        <v>11651.507499735713</v>
      </c>
      <c r="DT424" s="322">
        <f t="shared" si="1563"/>
        <v>22401.897638806626</v>
      </c>
      <c r="DU424" s="322">
        <f t="shared" si="1563"/>
        <v>23303.01499947143</v>
      </c>
      <c r="DV424" s="385">
        <f t="shared" si="1563"/>
        <v>45704.91263827806</v>
      </c>
      <c r="DW424" s="322">
        <f t="shared" si="1563"/>
        <v>11942.795187229107</v>
      </c>
      <c r="DX424" s="322">
        <f t="shared" si="1563"/>
        <v>12857.212818534901</v>
      </c>
      <c r="DY424" s="322">
        <f t="shared" si="1563"/>
        <v>12861.826650222716</v>
      </c>
      <c r="DZ424" s="430">
        <f t="shared" si="1563"/>
        <v>13305.526699058886</v>
      </c>
      <c r="EA424" s="322">
        <f t="shared" si="1563"/>
        <v>24800.008005764008</v>
      </c>
      <c r="EB424" s="322">
        <f t="shared" si="1563"/>
        <v>26167.353349281599</v>
      </c>
      <c r="EC424" s="385">
        <f t="shared" ref="EC424:EQ424" si="1564">EC251+EC252+EC253</f>
        <v>50967.361355045607</v>
      </c>
      <c r="ED424" s="322">
        <f t="shared" si="1564"/>
        <v>13183.372316478284</v>
      </c>
      <c r="EE424" s="322">
        <f t="shared" si="1564"/>
        <v>13178.643138998274</v>
      </c>
      <c r="EF424" s="322">
        <f t="shared" si="1564"/>
        <v>13183.372316478284</v>
      </c>
      <c r="EG424" s="430">
        <f t="shared" si="1564"/>
        <v>13646.43382199094</v>
      </c>
      <c r="EH424" s="322">
        <f t="shared" si="1564"/>
        <v>26362.015455476558</v>
      </c>
      <c r="EI424" s="322">
        <f t="shared" si="1564"/>
        <v>26829.806138469223</v>
      </c>
      <c r="EJ424" s="385">
        <f t="shared" si="1564"/>
        <v>53191.82159394578</v>
      </c>
      <c r="EK424" s="322">
        <f t="shared" si="1564"/>
        <v>13512.956624390237</v>
      </c>
      <c r="EL424" s="322">
        <f t="shared" si="1564"/>
        <v>13508.109217473228</v>
      </c>
      <c r="EM424" s="322">
        <f t="shared" si="1564"/>
        <v>13512.956624390237</v>
      </c>
      <c r="EN424" s="430">
        <f t="shared" si="1564"/>
        <v>13987.59466754071</v>
      </c>
      <c r="EO424" s="322">
        <f t="shared" si="1564"/>
        <v>27021.065841863467</v>
      </c>
      <c r="EP424" s="322">
        <f t="shared" si="1564"/>
        <v>27500.551291930948</v>
      </c>
      <c r="EQ424" s="385">
        <f t="shared" si="1564"/>
        <v>54521.617133794411</v>
      </c>
    </row>
    <row r="425" spans="1:147" ht="10.199999999999999" hidden="1" customHeight="1" outlineLevel="1">
      <c r="A425" s="108" t="s">
        <v>380</v>
      </c>
      <c r="B425" s="43"/>
      <c r="C425" s="67">
        <f t="shared" ref="C425:CV425" si="1565">C255+C256</f>
        <v>3593.361103981902</v>
      </c>
      <c r="D425" s="67">
        <f t="shared" si="1565"/>
        <v>4360.9891043218731</v>
      </c>
      <c r="E425" s="67">
        <f t="shared" si="1565"/>
        <v>3225.3694581280793</v>
      </c>
      <c r="F425" s="67">
        <f t="shared" si="1565"/>
        <v>4995.2250000000004</v>
      </c>
      <c r="G425" s="67">
        <f t="shared" si="1565"/>
        <v>6121.0589999999993</v>
      </c>
      <c r="H425" s="67">
        <f t="shared" si="1565"/>
        <v>6789.9232242187481</v>
      </c>
      <c r="I425" s="67">
        <f t="shared" si="1565"/>
        <v>6992.4905065640614</v>
      </c>
      <c r="J425" s="67">
        <f t="shared" si="1565"/>
        <v>7277.5376933589241</v>
      </c>
      <c r="K425" s="67">
        <f t="shared" si="1565"/>
        <v>7933.5503182060875</v>
      </c>
      <c r="L425" s="67">
        <f t="shared" si="1565"/>
        <v>11506.17</v>
      </c>
      <c r="M425" s="67">
        <f t="shared" si="1565"/>
        <v>12018.174999999999</v>
      </c>
      <c r="N425" s="67">
        <f t="shared" si="1565"/>
        <v>10637.078750000001</v>
      </c>
      <c r="O425" s="322"/>
      <c r="P425" s="322"/>
      <c r="Q425" s="322"/>
      <c r="R425" s="430"/>
      <c r="S425" s="322"/>
      <c r="T425" s="322"/>
      <c r="U425" s="385">
        <f t="shared" si="1565"/>
        <v>11505.681</v>
      </c>
      <c r="V425" s="322"/>
      <c r="W425" s="322"/>
      <c r="X425" s="322"/>
      <c r="Y425" s="430"/>
      <c r="Z425" s="322"/>
      <c r="AA425" s="322"/>
      <c r="AB425" s="385">
        <f t="shared" si="1565"/>
        <v>16109.467710163284</v>
      </c>
      <c r="AC425" s="322"/>
      <c r="AD425" s="322"/>
      <c r="AE425" s="322"/>
      <c r="AF425" s="430"/>
      <c r="AG425" s="322"/>
      <c r="AH425" s="322"/>
      <c r="AI425" s="385">
        <f t="shared" si="1565"/>
        <v>13923.8</v>
      </c>
      <c r="AJ425" s="322"/>
      <c r="AK425" s="322"/>
      <c r="AL425" s="322"/>
      <c r="AM425" s="430"/>
      <c r="AN425" s="322"/>
      <c r="AO425" s="322"/>
      <c r="AP425" s="385">
        <f t="shared" si="1565"/>
        <v>8978.64</v>
      </c>
      <c r="AQ425" s="322"/>
      <c r="AR425" s="322"/>
      <c r="AS425" s="322"/>
      <c r="AT425" s="430"/>
      <c r="AU425" s="322"/>
      <c r="AV425" s="322"/>
      <c r="AW425" s="385">
        <f t="shared" si="1565"/>
        <v>8449.7000000000007</v>
      </c>
      <c r="AX425" s="322"/>
      <c r="AY425" s="322"/>
      <c r="AZ425" s="322"/>
      <c r="BA425" s="430"/>
      <c r="BB425" s="322"/>
      <c r="BC425" s="322"/>
      <c r="BD425" s="385">
        <f t="shared" si="1565"/>
        <v>7604.7299999999987</v>
      </c>
      <c r="BE425" s="322"/>
      <c r="BF425" s="322"/>
      <c r="BG425" s="322"/>
      <c r="BH425" s="430"/>
      <c r="BI425" s="322"/>
      <c r="BJ425" s="322"/>
      <c r="BK425" s="385">
        <f t="shared" si="1565"/>
        <v>5307.0299999999988</v>
      </c>
      <c r="BL425" s="322"/>
      <c r="BM425" s="322"/>
      <c r="BN425" s="322"/>
      <c r="BO425" s="430"/>
      <c r="BP425" s="322"/>
      <c r="BQ425" s="322"/>
      <c r="BR425" s="385">
        <f t="shared" si="1565"/>
        <v>1372.6394999999998</v>
      </c>
      <c r="BS425" s="322"/>
      <c r="BT425" s="322"/>
      <c r="BU425" s="322"/>
      <c r="BV425" s="430"/>
      <c r="BW425" s="322"/>
      <c r="BX425" s="322"/>
      <c r="BY425" s="385">
        <f t="shared" si="1565"/>
        <v>606.22027200000002</v>
      </c>
      <c r="BZ425" s="322"/>
      <c r="CA425" s="322"/>
      <c r="CB425" s="322"/>
      <c r="CC425" s="430"/>
      <c r="CD425" s="322"/>
      <c r="CE425" s="322"/>
      <c r="CF425" s="385">
        <f t="shared" si="1565"/>
        <v>415.86619103999999</v>
      </c>
      <c r="CG425" s="322"/>
      <c r="CH425" s="322"/>
      <c r="CI425" s="322"/>
      <c r="CJ425" s="430"/>
      <c r="CK425" s="322"/>
      <c r="CL425" s="322"/>
      <c r="CM425" s="385">
        <f t="shared" si="1565"/>
        <v>852.15013012079976</v>
      </c>
      <c r="CN425" s="322">
        <f t="shared" si="1565"/>
        <v>93.518485415459978</v>
      </c>
      <c r="CO425" s="322">
        <f t="shared" si="1565"/>
        <v>93.518485415459978</v>
      </c>
      <c r="CP425" s="322">
        <f t="shared" si="1565"/>
        <v>0</v>
      </c>
      <c r="CQ425" s="430">
        <f t="shared" si="1565"/>
        <v>93.518485415459978</v>
      </c>
      <c r="CR425" s="322">
        <f t="shared" si="1565"/>
        <v>187.03697083091996</v>
      </c>
      <c r="CS425" s="322">
        <f t="shared" si="1565"/>
        <v>93.518485415459978</v>
      </c>
      <c r="CT425" s="385">
        <f t="shared" si="1565"/>
        <v>280.55545624637995</v>
      </c>
      <c r="CU425" s="322">
        <f t="shared" si="1565"/>
        <v>0</v>
      </c>
      <c r="CV425" s="322">
        <f t="shared" si="1565"/>
        <v>0</v>
      </c>
      <c r="CW425" s="322">
        <f t="shared" ref="CW425:EB425" si="1566">CW255+CW256</f>
        <v>0</v>
      </c>
      <c r="CX425" s="430">
        <f t="shared" si="1566"/>
        <v>191.71289510169294</v>
      </c>
      <c r="CY425" s="322">
        <f t="shared" si="1566"/>
        <v>0</v>
      </c>
      <c r="CZ425" s="322">
        <f t="shared" si="1566"/>
        <v>191.71289510169294</v>
      </c>
      <c r="DA425" s="385">
        <f t="shared" si="1566"/>
        <v>191.71289510169294</v>
      </c>
      <c r="DB425" s="322">
        <f t="shared" si="1566"/>
        <v>0</v>
      </c>
      <c r="DC425" s="322">
        <f t="shared" si="1566"/>
        <v>98.252858739617622</v>
      </c>
      <c r="DD425" s="322">
        <f t="shared" si="1566"/>
        <v>0</v>
      </c>
      <c r="DE425" s="430">
        <f t="shared" si="1566"/>
        <v>98.252858739617622</v>
      </c>
      <c r="DF425" s="322">
        <f t="shared" si="1566"/>
        <v>98.252858739617622</v>
      </c>
      <c r="DG425" s="322">
        <f t="shared" si="1566"/>
        <v>98.252858739617622</v>
      </c>
      <c r="DH425" s="385">
        <f t="shared" si="1566"/>
        <v>196.50571747923524</v>
      </c>
      <c r="DI425" s="322">
        <f t="shared" si="1566"/>
        <v>0</v>
      </c>
      <c r="DJ425" s="322">
        <f t="shared" si="1566"/>
        <v>100.70918020810805</v>
      </c>
      <c r="DK425" s="322">
        <f t="shared" si="1566"/>
        <v>106.13523037864972</v>
      </c>
      <c r="DL425" s="430">
        <f t="shared" si="1566"/>
        <v>106.13523037864972</v>
      </c>
      <c r="DM425" s="322">
        <f t="shared" si="1566"/>
        <v>100.70918020810805</v>
      </c>
      <c r="DN425" s="322">
        <f t="shared" si="1566"/>
        <v>212.27046075729945</v>
      </c>
      <c r="DO425" s="385">
        <f t="shared" si="1566"/>
        <v>312.9796409654075</v>
      </c>
      <c r="DP425" s="322">
        <f t="shared" si="1566"/>
        <v>80.201032997385681</v>
      </c>
      <c r="DQ425" s="322">
        <f t="shared" si="1566"/>
        <v>80.201032997385681</v>
      </c>
      <c r="DR425" s="322">
        <f t="shared" si="1566"/>
        <v>80.201032997385681</v>
      </c>
      <c r="DS425" s="430">
        <f t="shared" si="1566"/>
        <v>80.201032997385681</v>
      </c>
      <c r="DT425" s="322">
        <f t="shared" si="1566"/>
        <v>160.40206599477136</v>
      </c>
      <c r="DU425" s="322">
        <f t="shared" si="1566"/>
        <v>160.40206599477136</v>
      </c>
      <c r="DV425" s="385">
        <f t="shared" si="1566"/>
        <v>320.80413198954273</v>
      </c>
      <c r="DW425" s="322">
        <f t="shared" si="1566"/>
        <v>82.206058822320301</v>
      </c>
      <c r="DX425" s="322">
        <f t="shared" si="1566"/>
        <v>82.206058822320301</v>
      </c>
      <c r="DY425" s="322">
        <f t="shared" si="1566"/>
        <v>82.206058822320301</v>
      </c>
      <c r="DZ425" s="430">
        <f t="shared" si="1566"/>
        <v>82.206058822320301</v>
      </c>
      <c r="EA425" s="322">
        <f t="shared" si="1566"/>
        <v>164.4121176446406</v>
      </c>
      <c r="EB425" s="322">
        <f t="shared" si="1566"/>
        <v>164.4121176446406</v>
      </c>
      <c r="EC425" s="385">
        <f t="shared" ref="EC425:EQ425" si="1567">EC255+EC256</f>
        <v>328.82423528928121</v>
      </c>
      <c r="ED425" s="322">
        <f t="shared" si="1567"/>
        <v>84.261210292878303</v>
      </c>
      <c r="EE425" s="322">
        <f t="shared" si="1567"/>
        <v>84.261210292878303</v>
      </c>
      <c r="EF425" s="322">
        <f t="shared" si="1567"/>
        <v>84.261210292878303</v>
      </c>
      <c r="EG425" s="430">
        <f t="shared" si="1567"/>
        <v>84.261210292878303</v>
      </c>
      <c r="EH425" s="322">
        <f t="shared" si="1567"/>
        <v>168.52242058575661</v>
      </c>
      <c r="EI425" s="322">
        <f t="shared" si="1567"/>
        <v>168.52242058575661</v>
      </c>
      <c r="EJ425" s="385">
        <f t="shared" si="1567"/>
        <v>337.04484117151321</v>
      </c>
      <c r="EK425" s="322">
        <f t="shared" si="1567"/>
        <v>86.367740550200253</v>
      </c>
      <c r="EL425" s="322">
        <f t="shared" si="1567"/>
        <v>86.367740550200253</v>
      </c>
      <c r="EM425" s="322">
        <f t="shared" si="1567"/>
        <v>86.367740550200253</v>
      </c>
      <c r="EN425" s="430">
        <f t="shared" si="1567"/>
        <v>86.367740550200253</v>
      </c>
      <c r="EO425" s="322">
        <f t="shared" si="1567"/>
        <v>172.73548110040051</v>
      </c>
      <c r="EP425" s="322">
        <f t="shared" si="1567"/>
        <v>172.73548110040051</v>
      </c>
      <c r="EQ425" s="385">
        <f t="shared" si="1567"/>
        <v>345.47096220080101</v>
      </c>
    </row>
    <row r="426" spans="1:147" ht="10.199999999999999" hidden="1" customHeight="1" outlineLevel="1">
      <c r="A426" s="108" t="s">
        <v>381</v>
      </c>
      <c r="B426" s="43"/>
      <c r="C426" s="67">
        <f t="shared" ref="C426:CV426" si="1568">C259+C258</f>
        <v>0</v>
      </c>
      <c r="D426" s="67">
        <f t="shared" si="1568"/>
        <v>0</v>
      </c>
      <c r="E426" s="67">
        <f t="shared" si="1568"/>
        <v>0</v>
      </c>
      <c r="F426" s="67">
        <f t="shared" si="1568"/>
        <v>0</v>
      </c>
      <c r="G426" s="67">
        <f t="shared" si="1568"/>
        <v>0</v>
      </c>
      <c r="H426" s="67">
        <f t="shared" si="1568"/>
        <v>0</v>
      </c>
      <c r="I426" s="67">
        <f t="shared" si="1568"/>
        <v>0</v>
      </c>
      <c r="J426" s="67">
        <f t="shared" si="1568"/>
        <v>0</v>
      </c>
      <c r="K426" s="67">
        <f t="shared" si="1568"/>
        <v>0</v>
      </c>
      <c r="L426" s="67">
        <f t="shared" si="1568"/>
        <v>0</v>
      </c>
      <c r="M426" s="67">
        <f t="shared" si="1568"/>
        <v>0</v>
      </c>
      <c r="N426" s="67">
        <f t="shared" si="1568"/>
        <v>0</v>
      </c>
      <c r="O426" s="322"/>
      <c r="P426" s="322"/>
      <c r="Q426" s="322"/>
      <c r="R426" s="430"/>
      <c r="S426" s="322"/>
      <c r="T426" s="322"/>
      <c r="U426" s="385">
        <f t="shared" si="1568"/>
        <v>0</v>
      </c>
      <c r="V426" s="322"/>
      <c r="W426" s="322"/>
      <c r="X426" s="322"/>
      <c r="Y426" s="430"/>
      <c r="Z426" s="322"/>
      <c r="AA426" s="322"/>
      <c r="AB426" s="385">
        <f t="shared" si="1568"/>
        <v>0</v>
      </c>
      <c r="AC426" s="322"/>
      <c r="AD426" s="322"/>
      <c r="AE426" s="322"/>
      <c r="AF426" s="430"/>
      <c r="AG426" s="322"/>
      <c r="AH426" s="322"/>
      <c r="AI426" s="385">
        <f t="shared" si="1568"/>
        <v>0</v>
      </c>
      <c r="AJ426" s="322"/>
      <c r="AK426" s="322"/>
      <c r="AL426" s="322"/>
      <c r="AM426" s="430"/>
      <c r="AN426" s="322"/>
      <c r="AO426" s="322"/>
      <c r="AP426" s="385">
        <f t="shared" si="1568"/>
        <v>0</v>
      </c>
      <c r="AQ426" s="322"/>
      <c r="AR426" s="322"/>
      <c r="AS426" s="322"/>
      <c r="AT426" s="430"/>
      <c r="AU426" s="322"/>
      <c r="AV426" s="322"/>
      <c r="AW426" s="385">
        <f t="shared" si="1568"/>
        <v>0</v>
      </c>
      <c r="AX426" s="322"/>
      <c r="AY426" s="322"/>
      <c r="AZ426" s="322"/>
      <c r="BA426" s="430"/>
      <c r="BB426" s="322"/>
      <c r="BC426" s="322"/>
      <c r="BD426" s="385">
        <f t="shared" si="1568"/>
        <v>0</v>
      </c>
      <c r="BE426" s="322"/>
      <c r="BF426" s="322"/>
      <c r="BG426" s="322"/>
      <c r="BH426" s="430"/>
      <c r="BI426" s="322"/>
      <c r="BJ426" s="322"/>
      <c r="BK426" s="385">
        <f t="shared" si="1568"/>
        <v>355.68</v>
      </c>
      <c r="BL426" s="322"/>
      <c r="BM426" s="322"/>
      <c r="BN426" s="322"/>
      <c r="BO426" s="430"/>
      <c r="BP426" s="322"/>
      <c r="BQ426" s="322"/>
      <c r="BR426" s="385">
        <f t="shared" si="1568"/>
        <v>4958.1791999999996</v>
      </c>
      <c r="BS426" s="322"/>
      <c r="BT426" s="322"/>
      <c r="BU426" s="322"/>
      <c r="BV426" s="430"/>
      <c r="BW426" s="322"/>
      <c r="BX426" s="322"/>
      <c r="BY426" s="385">
        <f t="shared" si="1568"/>
        <v>1557.9781919999998</v>
      </c>
      <c r="BZ426" s="322"/>
      <c r="CA426" s="322"/>
      <c r="CB426" s="322"/>
      <c r="CC426" s="430"/>
      <c r="CD426" s="322"/>
      <c r="CE426" s="322"/>
      <c r="CF426" s="385">
        <f t="shared" si="1568"/>
        <v>1745.9418499200001</v>
      </c>
      <c r="CG426" s="322"/>
      <c r="CH426" s="322"/>
      <c r="CI426" s="322"/>
      <c r="CJ426" s="430"/>
      <c r="CK426" s="322"/>
      <c r="CL426" s="322"/>
      <c r="CM426" s="385">
        <f t="shared" si="1568"/>
        <v>2904.2520798528003</v>
      </c>
      <c r="CN426" s="322">
        <f t="shared" si="1568"/>
        <v>664.12408690367999</v>
      </c>
      <c r="CO426" s="322">
        <f t="shared" si="1568"/>
        <v>929.77372166515192</v>
      </c>
      <c r="CP426" s="322">
        <f t="shared" si="1568"/>
        <v>796.9489042844159</v>
      </c>
      <c r="CQ426" s="430">
        <f t="shared" si="1568"/>
        <v>1461.072991188096</v>
      </c>
      <c r="CR426" s="322">
        <f t="shared" si="1568"/>
        <v>1593.8978085688318</v>
      </c>
      <c r="CS426" s="322">
        <f t="shared" si="1568"/>
        <v>2258.0218954725119</v>
      </c>
      <c r="CT426" s="385">
        <f t="shared" si="1568"/>
        <v>3851.9197040413437</v>
      </c>
      <c r="CU426" s="322">
        <f t="shared" si="1568"/>
        <v>953.01806470678071</v>
      </c>
      <c r="CV426" s="322">
        <f t="shared" si="1568"/>
        <v>816.87262689152635</v>
      </c>
      <c r="CW426" s="322">
        <f t="shared" ref="CW426:EB426" si="1569">CW259+CW258</f>
        <v>953.01806470678071</v>
      </c>
      <c r="CX426" s="430">
        <f t="shared" si="1569"/>
        <v>1361.4543781525438</v>
      </c>
      <c r="CY426" s="322">
        <f t="shared" si="1569"/>
        <v>1769.8906915983071</v>
      </c>
      <c r="CZ426" s="322">
        <f t="shared" si="1569"/>
        <v>2314.4724428593245</v>
      </c>
      <c r="DA426" s="385">
        <f t="shared" si="1569"/>
        <v>4084.3631344576315</v>
      </c>
      <c r="DB426" s="322">
        <f t="shared" si="1569"/>
        <v>558.19629504254294</v>
      </c>
      <c r="DC426" s="322">
        <f t="shared" si="1569"/>
        <v>976.84351632445009</v>
      </c>
      <c r="DD426" s="322">
        <f t="shared" si="1569"/>
        <v>1116.3925900850859</v>
      </c>
      <c r="DE426" s="430">
        <f t="shared" si="1569"/>
        <v>2076.0514195260566</v>
      </c>
      <c r="DF426" s="322">
        <f t="shared" si="1569"/>
        <v>1535.039811366993</v>
      </c>
      <c r="DG426" s="322">
        <f t="shared" si="1569"/>
        <v>3192.4440096111425</v>
      </c>
      <c r="DH426" s="385">
        <f t="shared" si="1569"/>
        <v>4727.4838209781365</v>
      </c>
      <c r="DI426" s="322">
        <f t="shared" si="1569"/>
        <v>429.11340181395485</v>
      </c>
      <c r="DJ426" s="322">
        <f t="shared" si="1569"/>
        <v>858.2268036279097</v>
      </c>
      <c r="DK426" s="322">
        <f t="shared" si="1569"/>
        <v>1126.6881007816469</v>
      </c>
      <c r="DL426" s="430">
        <f t="shared" si="1569"/>
        <v>2235.7618975077276</v>
      </c>
      <c r="DM426" s="322">
        <f t="shared" si="1569"/>
        <v>1287.3402054418646</v>
      </c>
      <c r="DN426" s="322">
        <f t="shared" si="1569"/>
        <v>3362.449998289374</v>
      </c>
      <c r="DO426" s="385">
        <f t="shared" si="1569"/>
        <v>4649.7902037312388</v>
      </c>
      <c r="DP426" s="322">
        <f t="shared" si="1569"/>
        <v>1191.5087397061297</v>
      </c>
      <c r="DQ426" s="322">
        <f t="shared" si="1569"/>
        <v>1191.5087397061297</v>
      </c>
      <c r="DR426" s="322">
        <f t="shared" si="1569"/>
        <v>1191.5087397061297</v>
      </c>
      <c r="DS426" s="430">
        <f t="shared" si="1569"/>
        <v>1191.5087397061297</v>
      </c>
      <c r="DT426" s="322">
        <f t="shared" si="1569"/>
        <v>2383.0174794122595</v>
      </c>
      <c r="DU426" s="322">
        <f t="shared" si="1569"/>
        <v>2383.0174794122595</v>
      </c>
      <c r="DV426" s="385">
        <f t="shared" si="1569"/>
        <v>4766.034958824519</v>
      </c>
      <c r="DW426" s="322">
        <f t="shared" si="1569"/>
        <v>1221.2964581987831</v>
      </c>
      <c r="DX426" s="322">
        <f t="shared" si="1569"/>
        <v>1221.2964581987831</v>
      </c>
      <c r="DY426" s="322">
        <f t="shared" si="1569"/>
        <v>1221.2964581987831</v>
      </c>
      <c r="DZ426" s="430">
        <f t="shared" si="1569"/>
        <v>1221.2964581987831</v>
      </c>
      <c r="EA426" s="322">
        <f t="shared" si="1569"/>
        <v>2442.5929163975661</v>
      </c>
      <c r="EB426" s="322">
        <f t="shared" si="1569"/>
        <v>2442.5929163975661</v>
      </c>
      <c r="EC426" s="385">
        <f t="shared" ref="EC426:EQ426" si="1570">EC259+EC258</f>
        <v>4885.1858327951322</v>
      </c>
      <c r="ED426" s="322">
        <f t="shared" si="1570"/>
        <v>1251.8288696537525</v>
      </c>
      <c r="EE426" s="322">
        <f t="shared" si="1570"/>
        <v>1251.8288696537525</v>
      </c>
      <c r="EF426" s="322">
        <f t="shared" si="1570"/>
        <v>1251.8288696537525</v>
      </c>
      <c r="EG426" s="430">
        <f t="shared" si="1570"/>
        <v>1251.8288696537525</v>
      </c>
      <c r="EH426" s="322">
        <f t="shared" si="1570"/>
        <v>2503.6577393075049</v>
      </c>
      <c r="EI426" s="322">
        <f t="shared" si="1570"/>
        <v>2503.6577393075049</v>
      </c>
      <c r="EJ426" s="385">
        <f t="shared" si="1570"/>
        <v>5007.3154786150099</v>
      </c>
      <c r="EK426" s="322">
        <f t="shared" si="1570"/>
        <v>1500.2191726069327</v>
      </c>
      <c r="EL426" s="322">
        <f t="shared" si="1570"/>
        <v>1500.2191726069327</v>
      </c>
      <c r="EM426" s="322">
        <f t="shared" si="1570"/>
        <v>1500.2191726069327</v>
      </c>
      <c r="EN426" s="430">
        <f t="shared" si="1570"/>
        <v>1500.2191726069327</v>
      </c>
      <c r="EO426" s="322">
        <f t="shared" si="1570"/>
        <v>3000.4383452138654</v>
      </c>
      <c r="EP426" s="322">
        <f t="shared" si="1570"/>
        <v>3000.4383452138654</v>
      </c>
      <c r="EQ426" s="385">
        <f t="shared" si="1570"/>
        <v>6000.8766904277309</v>
      </c>
    </row>
    <row r="427" spans="1:147" ht="10.199999999999999" hidden="1" customHeight="1" outlineLevel="2">
      <c r="A427" s="108" t="s">
        <v>738</v>
      </c>
      <c r="B427" s="43"/>
      <c r="C427" s="67">
        <f t="shared" ref="C427:CM427" si="1571">C261+C262+C263</f>
        <v>2524.6768634763062</v>
      </c>
      <c r="D427" s="67">
        <f t="shared" si="1571"/>
        <v>2119.9252590453543</v>
      </c>
      <c r="E427" s="67">
        <f t="shared" si="1571"/>
        <v>4359.6059113300489</v>
      </c>
      <c r="F427" s="67">
        <f t="shared" si="1571"/>
        <v>3717.55</v>
      </c>
      <c r="G427" s="67">
        <f t="shared" si="1571"/>
        <v>3324.7339999999995</v>
      </c>
      <c r="H427" s="67">
        <f t="shared" si="1571"/>
        <v>3404.7004578124993</v>
      </c>
      <c r="I427" s="67">
        <f t="shared" si="1571"/>
        <v>1461.3355290624995</v>
      </c>
      <c r="J427" s="67">
        <f t="shared" si="1571"/>
        <v>1720.8683268946088</v>
      </c>
      <c r="K427" s="67">
        <f t="shared" si="1571"/>
        <v>1377.1998705657843</v>
      </c>
      <c r="L427" s="67">
        <f t="shared" si="1571"/>
        <v>668.98</v>
      </c>
      <c r="M427" s="67">
        <f t="shared" si="1571"/>
        <v>0</v>
      </c>
      <c r="N427" s="67">
        <f t="shared" si="1571"/>
        <v>266.86259999999993</v>
      </c>
      <c r="O427" s="322"/>
      <c r="P427" s="322"/>
      <c r="Q427" s="322"/>
      <c r="R427" s="430"/>
      <c r="S427" s="322"/>
      <c r="T427" s="322"/>
      <c r="U427" s="385">
        <f t="shared" si="1571"/>
        <v>0</v>
      </c>
      <c r="V427" s="322"/>
      <c r="W427" s="322"/>
      <c r="X427" s="322"/>
      <c r="Y427" s="430"/>
      <c r="Z427" s="322"/>
      <c r="AA427" s="322"/>
      <c r="AB427" s="385">
        <f t="shared" si="1571"/>
        <v>0</v>
      </c>
      <c r="AC427" s="322"/>
      <c r="AD427" s="322"/>
      <c r="AE427" s="322"/>
      <c r="AF427" s="430"/>
      <c r="AG427" s="322"/>
      <c r="AH427" s="322"/>
      <c r="AI427" s="385">
        <f t="shared" si="1571"/>
        <v>0</v>
      </c>
      <c r="AJ427" s="322"/>
      <c r="AK427" s="322"/>
      <c r="AL427" s="322"/>
      <c r="AM427" s="430"/>
      <c r="AN427" s="322"/>
      <c r="AO427" s="322"/>
      <c r="AP427" s="385">
        <f t="shared" si="1571"/>
        <v>0</v>
      </c>
      <c r="AQ427" s="322"/>
      <c r="AR427" s="322"/>
      <c r="AS427" s="322"/>
      <c r="AT427" s="430"/>
      <c r="AU427" s="322"/>
      <c r="AV427" s="322"/>
      <c r="AW427" s="385">
        <f t="shared" si="1571"/>
        <v>0</v>
      </c>
      <c r="AX427" s="322"/>
      <c r="AY427" s="322"/>
      <c r="AZ427" s="322"/>
      <c r="BA427" s="430"/>
      <c r="BB427" s="322"/>
      <c r="BC427" s="322"/>
      <c r="BD427" s="385">
        <f t="shared" si="1571"/>
        <v>0</v>
      </c>
      <c r="BE427" s="322"/>
      <c r="BF427" s="322"/>
      <c r="BG427" s="322"/>
      <c r="BH427" s="430"/>
      <c r="BI427" s="322"/>
      <c r="BJ427" s="322"/>
      <c r="BK427" s="385">
        <f t="shared" si="1571"/>
        <v>0</v>
      </c>
      <c r="BL427" s="322"/>
      <c r="BM427" s="322"/>
      <c r="BN427" s="322"/>
      <c r="BO427" s="430"/>
      <c r="BP427" s="322"/>
      <c r="BQ427" s="322"/>
      <c r="BR427" s="385">
        <f t="shared" si="1571"/>
        <v>0</v>
      </c>
      <c r="BS427" s="322"/>
      <c r="BT427" s="322"/>
      <c r="BU427" s="322"/>
      <c r="BV427" s="430"/>
      <c r="BW427" s="322"/>
      <c r="BX427" s="322"/>
      <c r="BY427" s="385">
        <f t="shared" si="1571"/>
        <v>0</v>
      </c>
      <c r="BZ427" s="322"/>
      <c r="CA427" s="322"/>
      <c r="CB427" s="322"/>
      <c r="CC427" s="430"/>
      <c r="CD427" s="322"/>
      <c r="CE427" s="322"/>
      <c r="CF427" s="385">
        <f t="shared" si="1571"/>
        <v>0</v>
      </c>
      <c r="CG427" s="322"/>
      <c r="CH427" s="322"/>
      <c r="CI427" s="322"/>
      <c r="CJ427" s="430"/>
      <c r="CK427" s="322"/>
      <c r="CL427" s="322"/>
      <c r="CM427" s="385">
        <f t="shared" si="1571"/>
        <v>0</v>
      </c>
      <c r="CN427" s="322"/>
      <c r="CO427" s="322"/>
      <c r="CP427" s="322"/>
      <c r="CQ427" s="430"/>
      <c r="CR427" s="322"/>
      <c r="CS427" s="322"/>
      <c r="CT427" s="385"/>
      <c r="CU427" s="322"/>
      <c r="CV427" s="322"/>
      <c r="CW427" s="322"/>
      <c r="CX427" s="430"/>
      <c r="CY427" s="322"/>
      <c r="CZ427" s="322"/>
      <c r="DA427" s="385"/>
      <c r="DB427" s="322"/>
      <c r="DC427" s="322"/>
      <c r="DD427" s="322"/>
      <c r="DE427" s="430"/>
      <c r="DF427" s="322"/>
      <c r="DG427" s="322"/>
      <c r="DH427" s="385"/>
      <c r="DI427" s="322"/>
      <c r="DJ427" s="322"/>
      <c r="DK427" s="322"/>
      <c r="DL427" s="430"/>
      <c r="DM427" s="322"/>
      <c r="DN427" s="322"/>
      <c r="DO427" s="385"/>
      <c r="DP427" s="322"/>
      <c r="DQ427" s="322"/>
      <c r="DR427" s="322"/>
      <c r="DS427" s="430"/>
      <c r="DT427" s="322"/>
      <c r="DU427" s="322"/>
      <c r="DV427" s="385"/>
      <c r="DW427" s="322"/>
      <c r="DX427" s="322"/>
      <c r="DY427" s="322"/>
      <c r="DZ427" s="430"/>
      <c r="EA427" s="322"/>
      <c r="EB427" s="322"/>
      <c r="EC427" s="385"/>
      <c r="ED427" s="322"/>
      <c r="EE427" s="322"/>
      <c r="EF427" s="322"/>
      <c r="EG427" s="430"/>
      <c r="EH427" s="322"/>
      <c r="EI427" s="322"/>
      <c r="EJ427" s="385"/>
      <c r="EK427" s="322"/>
      <c r="EL427" s="322"/>
      <c r="EM427" s="322"/>
      <c r="EN427" s="430"/>
      <c r="EO427" s="322"/>
      <c r="EP427" s="322"/>
      <c r="EQ427" s="385"/>
    </row>
    <row r="428" spans="1:147" ht="10.199999999999999" hidden="1" customHeight="1" outlineLevel="1">
      <c r="A428" s="43" t="s">
        <v>238</v>
      </c>
      <c r="B428" s="43"/>
      <c r="C428" s="67">
        <f t="shared" ref="C428:CV428" si="1572">C266+C265+C267</f>
        <v>0</v>
      </c>
      <c r="D428" s="67">
        <f t="shared" si="1572"/>
        <v>0</v>
      </c>
      <c r="E428" s="67">
        <f t="shared" si="1572"/>
        <v>0</v>
      </c>
      <c r="F428" s="67">
        <f t="shared" si="1572"/>
        <v>0</v>
      </c>
      <c r="G428" s="67">
        <f t="shared" si="1572"/>
        <v>0</v>
      </c>
      <c r="H428" s="67">
        <f t="shared" si="1572"/>
        <v>0</v>
      </c>
      <c r="I428" s="67">
        <f t="shared" si="1572"/>
        <v>0</v>
      </c>
      <c r="J428" s="67">
        <f t="shared" si="1572"/>
        <v>0</v>
      </c>
      <c r="K428" s="67">
        <f t="shared" si="1572"/>
        <v>0</v>
      </c>
      <c r="L428" s="67">
        <f t="shared" si="1572"/>
        <v>0</v>
      </c>
      <c r="M428" s="67">
        <f t="shared" si="1572"/>
        <v>0</v>
      </c>
      <c r="N428" s="67">
        <f t="shared" si="1572"/>
        <v>0</v>
      </c>
      <c r="O428" s="322"/>
      <c r="P428" s="322"/>
      <c r="Q428" s="322"/>
      <c r="R428" s="430"/>
      <c r="S428" s="322"/>
      <c r="T428" s="322"/>
      <c r="U428" s="385">
        <f t="shared" si="1572"/>
        <v>0</v>
      </c>
      <c r="V428" s="322"/>
      <c r="W428" s="322"/>
      <c r="X428" s="322"/>
      <c r="Y428" s="430"/>
      <c r="Z428" s="322"/>
      <c r="AA428" s="322"/>
      <c r="AB428" s="385">
        <f t="shared" si="1572"/>
        <v>147.6</v>
      </c>
      <c r="AC428" s="322"/>
      <c r="AD428" s="322"/>
      <c r="AE428" s="322"/>
      <c r="AF428" s="430"/>
      <c r="AG428" s="322"/>
      <c r="AH428" s="322"/>
      <c r="AI428" s="385">
        <f t="shared" si="1572"/>
        <v>2133.6</v>
      </c>
      <c r="AJ428" s="322"/>
      <c r="AK428" s="322"/>
      <c r="AL428" s="322"/>
      <c r="AM428" s="430"/>
      <c r="AN428" s="322"/>
      <c r="AO428" s="322"/>
      <c r="AP428" s="385">
        <f t="shared" si="1572"/>
        <v>7548.4500000000007</v>
      </c>
      <c r="AQ428" s="322"/>
      <c r="AR428" s="322"/>
      <c r="AS428" s="322"/>
      <c r="AT428" s="430"/>
      <c r="AU428" s="322"/>
      <c r="AV428" s="322"/>
      <c r="AW428" s="385">
        <f t="shared" si="1572"/>
        <v>12136.8</v>
      </c>
      <c r="AX428" s="322"/>
      <c r="AY428" s="322"/>
      <c r="AZ428" s="322"/>
      <c r="BA428" s="430"/>
      <c r="BB428" s="322"/>
      <c r="BC428" s="322"/>
      <c r="BD428" s="385">
        <f t="shared" si="1572"/>
        <v>10923.119999999999</v>
      </c>
      <c r="BE428" s="322"/>
      <c r="BF428" s="322"/>
      <c r="BG428" s="322"/>
      <c r="BH428" s="430"/>
      <c r="BI428" s="322"/>
      <c r="BJ428" s="322"/>
      <c r="BK428" s="385">
        <f t="shared" si="1572"/>
        <v>13592.519999999997</v>
      </c>
      <c r="BL428" s="322"/>
      <c r="BM428" s="322"/>
      <c r="BN428" s="322"/>
      <c r="BO428" s="430"/>
      <c r="BP428" s="322"/>
      <c r="BQ428" s="322"/>
      <c r="BR428" s="385">
        <f t="shared" si="1572"/>
        <v>16880.321699999997</v>
      </c>
      <c r="BS428" s="322"/>
      <c r="BT428" s="322"/>
      <c r="BU428" s="322"/>
      <c r="BV428" s="430"/>
      <c r="BW428" s="322"/>
      <c r="BX428" s="322"/>
      <c r="BY428" s="385">
        <f t="shared" si="1572"/>
        <v>9089.2465199999988</v>
      </c>
      <c r="BZ428" s="322"/>
      <c r="CA428" s="322"/>
      <c r="CB428" s="322"/>
      <c r="CC428" s="430"/>
      <c r="CD428" s="322"/>
      <c r="CE428" s="322"/>
      <c r="CF428" s="385">
        <f t="shared" si="1572"/>
        <v>8477.1629697600001</v>
      </c>
      <c r="CG428" s="322"/>
      <c r="CH428" s="322"/>
      <c r="CI428" s="322"/>
      <c r="CJ428" s="430"/>
      <c r="CK428" s="322"/>
      <c r="CL428" s="322"/>
      <c r="CM428" s="385">
        <f t="shared" si="1572"/>
        <v>8986.7577043800011</v>
      </c>
      <c r="CN428" s="322">
        <f t="shared" si="1572"/>
        <v>800.07458951123999</v>
      </c>
      <c r="CO428" s="322">
        <f t="shared" si="1572"/>
        <v>2684.0057385626278</v>
      </c>
      <c r="CP428" s="322">
        <f t="shared" si="1572"/>
        <v>2499.2374102350477</v>
      </c>
      <c r="CQ428" s="430">
        <f t="shared" si="1572"/>
        <v>3542.5272808636223</v>
      </c>
      <c r="CR428" s="322">
        <f t="shared" si="1572"/>
        <v>3484.0803280738678</v>
      </c>
      <c r="CS428" s="322">
        <f t="shared" si="1572"/>
        <v>6270.1469713546576</v>
      </c>
      <c r="CT428" s="385">
        <f t="shared" si="1572"/>
        <v>9952.5514669118638</v>
      </c>
      <c r="CU428" s="322">
        <f t="shared" si="1572"/>
        <v>1156.2113411728296</v>
      </c>
      <c r="CV428" s="322">
        <f t="shared" si="1572"/>
        <v>2192.6092999397119</v>
      </c>
      <c r="CW428" s="322">
        <f t="shared" ref="CW428:EB428" si="1573">CW266+CW265+CW267</f>
        <v>2395.4379831491278</v>
      </c>
      <c r="CX428" s="430">
        <f t="shared" si="1573"/>
        <v>3396.74599407492</v>
      </c>
      <c r="CY428" s="322">
        <f t="shared" si="1573"/>
        <v>3348.8206411125411</v>
      </c>
      <c r="CZ428" s="322">
        <f t="shared" si="1573"/>
        <v>5792.1839772240482</v>
      </c>
      <c r="DA428" s="385">
        <f t="shared" si="1573"/>
        <v>9141.0046183365885</v>
      </c>
      <c r="DB428" s="322">
        <f t="shared" si="1573"/>
        <v>1453.5449649221382</v>
      </c>
      <c r="DC428" s="322">
        <f t="shared" si="1573"/>
        <v>1929.8727054317778</v>
      </c>
      <c r="DD428" s="322">
        <f t="shared" si="1573"/>
        <v>2028.1196790046547</v>
      </c>
      <c r="DE428" s="430">
        <f t="shared" si="1573"/>
        <v>4007.1158712228707</v>
      </c>
      <c r="DF428" s="322">
        <f t="shared" si="1573"/>
        <v>3383.417670353916</v>
      </c>
      <c r="DG428" s="322">
        <f t="shared" si="1573"/>
        <v>6035.2355502275259</v>
      </c>
      <c r="DH428" s="385">
        <f t="shared" si="1573"/>
        <v>9418.6532205814401</v>
      </c>
      <c r="DI428" s="322">
        <f t="shared" si="1573"/>
        <v>1865.7257856828778</v>
      </c>
      <c r="DJ428" s="322">
        <f t="shared" si="1573"/>
        <v>2516.7070310460522</v>
      </c>
      <c r="DK428" s="322">
        <f t="shared" si="1573"/>
        <v>3030.1187520464823</v>
      </c>
      <c r="DL428" s="430">
        <f t="shared" si="1573"/>
        <v>4758.2750133666159</v>
      </c>
      <c r="DM428" s="322">
        <f t="shared" si="1573"/>
        <v>4382.4328167289295</v>
      </c>
      <c r="DN428" s="322">
        <f t="shared" si="1573"/>
        <v>7788.3937654130987</v>
      </c>
      <c r="DO428" s="385">
        <f t="shared" si="1573"/>
        <v>12170.826582142028</v>
      </c>
      <c r="DP428" s="322">
        <f t="shared" si="1573"/>
        <v>3811.8352698236486</v>
      </c>
      <c r="DQ428" s="322">
        <f t="shared" si="1573"/>
        <v>3811.8352698236486</v>
      </c>
      <c r="DR428" s="322">
        <f t="shared" si="1573"/>
        <v>3811.8352698236486</v>
      </c>
      <c r="DS428" s="430">
        <f t="shared" si="1573"/>
        <v>3811.8352698236486</v>
      </c>
      <c r="DT428" s="322">
        <f t="shared" si="1573"/>
        <v>7623.6705396472971</v>
      </c>
      <c r="DU428" s="322">
        <f t="shared" si="1573"/>
        <v>7623.6705396472971</v>
      </c>
      <c r="DV428" s="385">
        <f t="shared" si="1573"/>
        <v>15247.341079294594</v>
      </c>
      <c r="DW428" s="322">
        <f t="shared" si="1573"/>
        <v>4395.522545515395</v>
      </c>
      <c r="DX428" s="322">
        <f t="shared" si="1573"/>
        <v>4395.522545515395</v>
      </c>
      <c r="DY428" s="322">
        <f t="shared" si="1573"/>
        <v>4395.522545515395</v>
      </c>
      <c r="DZ428" s="430">
        <f t="shared" si="1573"/>
        <v>4395.522545515395</v>
      </c>
      <c r="EA428" s="322">
        <f t="shared" si="1573"/>
        <v>8791.04509103079</v>
      </c>
      <c r="EB428" s="322">
        <f t="shared" si="1573"/>
        <v>8791.04509103079</v>
      </c>
      <c r="EC428" s="385">
        <f t="shared" ref="EC428:EQ428" si="1574">EC266+EC265+EC267</f>
        <v>17582.09018206158</v>
      </c>
      <c r="ED428" s="322">
        <f t="shared" si="1574"/>
        <v>5006.0117879480886</v>
      </c>
      <c r="EE428" s="322">
        <f t="shared" si="1574"/>
        <v>5006.0117879480886</v>
      </c>
      <c r="EF428" s="322">
        <f t="shared" si="1574"/>
        <v>5006.0117879480886</v>
      </c>
      <c r="EG428" s="430">
        <f t="shared" si="1574"/>
        <v>5006.0117879480886</v>
      </c>
      <c r="EH428" s="322">
        <f t="shared" si="1574"/>
        <v>10012.023575896177</v>
      </c>
      <c r="EI428" s="322">
        <f t="shared" si="1574"/>
        <v>10012.023575896177</v>
      </c>
      <c r="EJ428" s="385">
        <f t="shared" si="1574"/>
        <v>20024.047151792354</v>
      </c>
      <c r="EK428" s="322">
        <f t="shared" si="1574"/>
        <v>5131.1620826467897</v>
      </c>
      <c r="EL428" s="322">
        <f t="shared" si="1574"/>
        <v>5131.1620826467897</v>
      </c>
      <c r="EM428" s="322">
        <f t="shared" si="1574"/>
        <v>5131.1620826467897</v>
      </c>
      <c r="EN428" s="430">
        <f t="shared" si="1574"/>
        <v>5131.1620826467897</v>
      </c>
      <c r="EO428" s="322">
        <f t="shared" si="1574"/>
        <v>10262.324165293579</v>
      </c>
      <c r="EP428" s="322">
        <f t="shared" si="1574"/>
        <v>10262.324165293579</v>
      </c>
      <c r="EQ428" s="385">
        <f t="shared" si="1574"/>
        <v>20524.648330587159</v>
      </c>
    </row>
    <row r="429" spans="1:147" ht="10.199999999999999" hidden="1" customHeight="1" outlineLevel="1">
      <c r="A429" s="43" t="s">
        <v>133</v>
      </c>
      <c r="B429" s="43"/>
      <c r="C429" s="67">
        <f t="shared" ref="C429:CV429" si="1575">C269</f>
        <v>0</v>
      </c>
      <c r="D429" s="67">
        <f t="shared" si="1575"/>
        <v>0</v>
      </c>
      <c r="E429" s="67">
        <f t="shared" si="1575"/>
        <v>0</v>
      </c>
      <c r="F429" s="67">
        <f t="shared" si="1575"/>
        <v>0</v>
      </c>
      <c r="G429" s="67">
        <f t="shared" si="1575"/>
        <v>0</v>
      </c>
      <c r="H429" s="67">
        <f t="shared" si="1575"/>
        <v>0</v>
      </c>
      <c r="I429" s="67">
        <f t="shared" si="1575"/>
        <v>140</v>
      </c>
      <c r="J429" s="67">
        <f t="shared" si="1575"/>
        <v>1920</v>
      </c>
      <c r="K429" s="67">
        <f t="shared" si="1575"/>
        <v>1623.9999999999998</v>
      </c>
      <c r="L429" s="67">
        <f t="shared" si="1575"/>
        <v>3116.7000000000003</v>
      </c>
      <c r="M429" s="67">
        <f t="shared" si="1575"/>
        <v>5269.2120000000004</v>
      </c>
      <c r="N429" s="67">
        <f t="shared" si="1575"/>
        <v>6725.7749999999987</v>
      </c>
      <c r="O429" s="322"/>
      <c r="P429" s="322"/>
      <c r="Q429" s="322"/>
      <c r="R429" s="430"/>
      <c r="S429" s="322"/>
      <c r="T429" s="322"/>
      <c r="U429" s="385">
        <f t="shared" si="1575"/>
        <v>6260.45</v>
      </c>
      <c r="V429" s="322"/>
      <c r="W429" s="322"/>
      <c r="X429" s="322"/>
      <c r="Y429" s="430"/>
      <c r="Z429" s="322"/>
      <c r="AA429" s="322"/>
      <c r="AB429" s="385">
        <f t="shared" si="1575"/>
        <v>7459.2</v>
      </c>
      <c r="AC429" s="322"/>
      <c r="AD429" s="322"/>
      <c r="AE429" s="322"/>
      <c r="AF429" s="430"/>
      <c r="AG429" s="322"/>
      <c r="AH429" s="322"/>
      <c r="AI429" s="385">
        <f t="shared" si="1575"/>
        <v>6933.6</v>
      </c>
      <c r="AJ429" s="322"/>
      <c r="AK429" s="322"/>
      <c r="AL429" s="322"/>
      <c r="AM429" s="430"/>
      <c r="AN429" s="322"/>
      <c r="AO429" s="322"/>
      <c r="AP429" s="385">
        <f t="shared" si="1575"/>
        <v>6964.8600000000006</v>
      </c>
      <c r="AQ429" s="322"/>
      <c r="AR429" s="322"/>
      <c r="AS429" s="322"/>
      <c r="AT429" s="430"/>
      <c r="AU429" s="322"/>
      <c r="AV429" s="322"/>
      <c r="AW429" s="385">
        <f t="shared" si="1575"/>
        <v>3604.4250000000002</v>
      </c>
      <c r="AX429" s="322"/>
      <c r="AY429" s="322"/>
      <c r="AZ429" s="322"/>
      <c r="BA429" s="430"/>
      <c r="BB429" s="322"/>
      <c r="BC429" s="322"/>
      <c r="BD429" s="385">
        <f t="shared" si="1575"/>
        <v>3276.75</v>
      </c>
      <c r="BE429" s="322"/>
      <c r="BF429" s="322"/>
      <c r="BG429" s="322"/>
      <c r="BH429" s="430"/>
      <c r="BI429" s="322"/>
      <c r="BJ429" s="322"/>
      <c r="BK429" s="385">
        <f t="shared" si="1575"/>
        <v>2673.6000000000004</v>
      </c>
      <c r="BL429" s="322"/>
      <c r="BM429" s="322"/>
      <c r="BN429" s="322"/>
      <c r="BO429" s="430"/>
      <c r="BP429" s="322"/>
      <c r="BQ429" s="322"/>
      <c r="BR429" s="385">
        <f t="shared" si="1575"/>
        <v>1636.2432000000001</v>
      </c>
      <c r="BS429" s="322"/>
      <c r="BT429" s="322"/>
      <c r="BU429" s="322"/>
      <c r="BV429" s="430"/>
      <c r="BW429" s="322"/>
      <c r="BX429" s="322"/>
      <c r="BY429" s="385">
        <f t="shared" si="1575"/>
        <v>741.76358400000015</v>
      </c>
      <c r="BZ429" s="322"/>
      <c r="CA429" s="322"/>
      <c r="CB429" s="322"/>
      <c r="CC429" s="430"/>
      <c r="CD429" s="322"/>
      <c r="CE429" s="322"/>
      <c r="CF429" s="385">
        <f t="shared" si="1575"/>
        <v>945.74856960000022</v>
      </c>
      <c r="CG429" s="322"/>
      <c r="CH429" s="322"/>
      <c r="CI429" s="322"/>
      <c r="CJ429" s="430"/>
      <c r="CK429" s="322"/>
      <c r="CL429" s="322"/>
      <c r="CM429" s="385">
        <f t="shared" si="1575"/>
        <v>0</v>
      </c>
      <c r="CN429" s="322">
        <f t="shared" si="1575"/>
        <v>0</v>
      </c>
      <c r="CO429" s="322">
        <f t="shared" si="1575"/>
        <v>0</v>
      </c>
      <c r="CP429" s="322">
        <f t="shared" si="1575"/>
        <v>0</v>
      </c>
      <c r="CQ429" s="430">
        <f t="shared" si="1575"/>
        <v>0</v>
      </c>
      <c r="CR429" s="322">
        <f t="shared" si="1575"/>
        <v>0</v>
      </c>
      <c r="CS429" s="322">
        <f t="shared" si="1575"/>
        <v>0</v>
      </c>
      <c r="CT429" s="385">
        <f t="shared" si="1575"/>
        <v>0</v>
      </c>
      <c r="CU429" s="322">
        <f t="shared" si="1575"/>
        <v>0</v>
      </c>
      <c r="CV429" s="322">
        <f t="shared" si="1575"/>
        <v>0</v>
      </c>
      <c r="CW429" s="322">
        <f t="shared" ref="CW429:EB429" si="1576">CW269</f>
        <v>0</v>
      </c>
      <c r="CX429" s="430">
        <f t="shared" si="1576"/>
        <v>0</v>
      </c>
      <c r="CY429" s="322">
        <f t="shared" si="1576"/>
        <v>0</v>
      </c>
      <c r="CZ429" s="322">
        <f t="shared" si="1576"/>
        <v>0</v>
      </c>
      <c r="DA429" s="385">
        <f t="shared" si="1576"/>
        <v>0</v>
      </c>
      <c r="DB429" s="322">
        <f t="shared" si="1576"/>
        <v>0</v>
      </c>
      <c r="DC429" s="322">
        <f t="shared" si="1576"/>
        <v>0</v>
      </c>
      <c r="DD429" s="322">
        <f t="shared" si="1576"/>
        <v>0</v>
      </c>
      <c r="DE429" s="430">
        <f t="shared" si="1576"/>
        <v>0</v>
      </c>
      <c r="DF429" s="322">
        <f t="shared" si="1576"/>
        <v>0</v>
      </c>
      <c r="DG429" s="322">
        <f t="shared" si="1576"/>
        <v>0</v>
      </c>
      <c r="DH429" s="385">
        <f t="shared" si="1576"/>
        <v>0</v>
      </c>
      <c r="DI429" s="322">
        <f t="shared" si="1576"/>
        <v>0</v>
      </c>
      <c r="DJ429" s="322">
        <f t="shared" si="1576"/>
        <v>0</v>
      </c>
      <c r="DK429" s="322">
        <f t="shared" si="1576"/>
        <v>0</v>
      </c>
      <c r="DL429" s="430">
        <f t="shared" si="1576"/>
        <v>0</v>
      </c>
      <c r="DM429" s="322">
        <f t="shared" si="1576"/>
        <v>0</v>
      </c>
      <c r="DN429" s="322">
        <f t="shared" si="1576"/>
        <v>0</v>
      </c>
      <c r="DO429" s="385">
        <f t="shared" si="1576"/>
        <v>0</v>
      </c>
      <c r="DP429" s="322">
        <f t="shared" si="1576"/>
        <v>0</v>
      </c>
      <c r="DQ429" s="322">
        <f t="shared" si="1576"/>
        <v>0</v>
      </c>
      <c r="DR429" s="322">
        <f t="shared" si="1576"/>
        <v>0</v>
      </c>
      <c r="DS429" s="430">
        <f t="shared" si="1576"/>
        <v>0</v>
      </c>
      <c r="DT429" s="322">
        <f t="shared" si="1576"/>
        <v>0</v>
      </c>
      <c r="DU429" s="322">
        <f t="shared" si="1576"/>
        <v>0</v>
      </c>
      <c r="DV429" s="385">
        <f t="shared" si="1576"/>
        <v>0</v>
      </c>
      <c r="DW429" s="322">
        <f t="shared" si="1576"/>
        <v>0</v>
      </c>
      <c r="DX429" s="322">
        <f t="shared" si="1576"/>
        <v>0</v>
      </c>
      <c r="DY429" s="322">
        <f t="shared" si="1576"/>
        <v>0</v>
      </c>
      <c r="DZ429" s="430">
        <f t="shared" si="1576"/>
        <v>0</v>
      </c>
      <c r="EA429" s="322">
        <f t="shared" si="1576"/>
        <v>0</v>
      </c>
      <c r="EB429" s="322">
        <f t="shared" si="1576"/>
        <v>0</v>
      </c>
      <c r="EC429" s="385">
        <f t="shared" ref="EC429:EQ429" si="1577">EC269</f>
        <v>0</v>
      </c>
      <c r="ED429" s="322">
        <f t="shared" si="1577"/>
        <v>0</v>
      </c>
      <c r="EE429" s="322">
        <f t="shared" si="1577"/>
        <v>0</v>
      </c>
      <c r="EF429" s="322">
        <f t="shared" si="1577"/>
        <v>0</v>
      </c>
      <c r="EG429" s="430">
        <f t="shared" si="1577"/>
        <v>0</v>
      </c>
      <c r="EH429" s="322">
        <f t="shared" si="1577"/>
        <v>0</v>
      </c>
      <c r="EI429" s="322">
        <f t="shared" si="1577"/>
        <v>0</v>
      </c>
      <c r="EJ429" s="385">
        <f t="shared" si="1577"/>
        <v>0</v>
      </c>
      <c r="EK429" s="322">
        <f t="shared" si="1577"/>
        <v>0</v>
      </c>
      <c r="EL429" s="322">
        <f t="shared" si="1577"/>
        <v>0</v>
      </c>
      <c r="EM429" s="322">
        <f t="shared" si="1577"/>
        <v>0</v>
      </c>
      <c r="EN429" s="430">
        <f t="shared" si="1577"/>
        <v>0</v>
      </c>
      <c r="EO429" s="322">
        <f t="shared" si="1577"/>
        <v>0</v>
      </c>
      <c r="EP429" s="322">
        <f t="shared" si="1577"/>
        <v>0</v>
      </c>
      <c r="EQ429" s="385">
        <f t="shared" si="1577"/>
        <v>0</v>
      </c>
    </row>
    <row r="430" spans="1:147" ht="10.199999999999999" hidden="1" customHeight="1" outlineLevel="1">
      <c r="A430" s="48" t="s">
        <v>719</v>
      </c>
      <c r="B430" s="48"/>
      <c r="C430" s="111">
        <f t="shared" ref="C430:CF430" si="1578">SUM(C421:C429)</f>
        <v>17055.569309253435</v>
      </c>
      <c r="D430" s="111">
        <f t="shared" si="1578"/>
        <v>16688.859229779908</v>
      </c>
      <c r="E430" s="111">
        <f t="shared" si="1578"/>
        <v>17650.433497536949</v>
      </c>
      <c r="F430" s="111">
        <f t="shared" si="1578"/>
        <v>18484.283750000002</v>
      </c>
      <c r="G430" s="111">
        <f t="shared" si="1578"/>
        <v>21414.114749999997</v>
      </c>
      <c r="H430" s="111">
        <f t="shared" si="1578"/>
        <v>24812.907569056242</v>
      </c>
      <c r="I430" s="111">
        <f t="shared" si="1578"/>
        <v>25430.858217824058</v>
      </c>
      <c r="J430" s="111">
        <f t="shared" si="1578"/>
        <v>29146.306093229301</v>
      </c>
      <c r="K430" s="111">
        <f t="shared" si="1578"/>
        <v>30309.584497391923</v>
      </c>
      <c r="L430" s="111">
        <f t="shared" si="1578"/>
        <v>36719.555</v>
      </c>
      <c r="M430" s="111">
        <f t="shared" si="1578"/>
        <v>40565.786999999997</v>
      </c>
      <c r="N430" s="111">
        <f t="shared" si="1578"/>
        <v>37160.006349999996</v>
      </c>
      <c r="O430" s="401"/>
      <c r="P430" s="401"/>
      <c r="Q430" s="401"/>
      <c r="R430" s="431"/>
      <c r="S430" s="401"/>
      <c r="T430" s="401"/>
      <c r="U430" s="400">
        <f t="shared" si="1578"/>
        <v>39341.898499999996</v>
      </c>
      <c r="V430" s="401"/>
      <c r="W430" s="401"/>
      <c r="X430" s="401"/>
      <c r="Y430" s="431"/>
      <c r="Z430" s="401"/>
      <c r="AA430" s="401"/>
      <c r="AB430" s="400">
        <f t="shared" si="1578"/>
        <v>54309.235710163288</v>
      </c>
      <c r="AC430" s="401"/>
      <c r="AD430" s="401"/>
      <c r="AE430" s="401"/>
      <c r="AF430" s="431"/>
      <c r="AG430" s="401"/>
      <c r="AH430" s="401"/>
      <c r="AI430" s="400">
        <f t="shared" si="1578"/>
        <v>53190.817205640938</v>
      </c>
      <c r="AJ430" s="401"/>
      <c r="AK430" s="401"/>
      <c r="AL430" s="401"/>
      <c r="AM430" s="431"/>
      <c r="AN430" s="401"/>
      <c r="AO430" s="401"/>
      <c r="AP430" s="400">
        <f t="shared" si="1578"/>
        <v>56041.427851895831</v>
      </c>
      <c r="AQ430" s="401"/>
      <c r="AR430" s="401"/>
      <c r="AS430" s="401"/>
      <c r="AT430" s="431"/>
      <c r="AU430" s="401"/>
      <c r="AV430" s="401"/>
      <c r="AW430" s="400">
        <f t="shared" si="1578"/>
        <v>58021.789438166801</v>
      </c>
      <c r="AX430" s="401"/>
      <c r="AY430" s="401"/>
      <c r="AZ430" s="401"/>
      <c r="BA430" s="431"/>
      <c r="BB430" s="401"/>
      <c r="BC430" s="401"/>
      <c r="BD430" s="400">
        <f t="shared" si="1578"/>
        <v>49540.167395010023</v>
      </c>
      <c r="BE430" s="401"/>
      <c r="BF430" s="401"/>
      <c r="BG430" s="401"/>
      <c r="BH430" s="431"/>
      <c r="BI430" s="401"/>
      <c r="BJ430" s="401"/>
      <c r="BK430" s="400">
        <f t="shared" si="1578"/>
        <v>54668.090278325908</v>
      </c>
      <c r="BL430" s="401"/>
      <c r="BM430" s="401"/>
      <c r="BN430" s="401"/>
      <c r="BO430" s="431"/>
      <c r="BP430" s="401"/>
      <c r="BQ430" s="401"/>
      <c r="BR430" s="400">
        <f t="shared" si="1578"/>
        <v>62342.998586880014</v>
      </c>
      <c r="BS430" s="401"/>
      <c r="BT430" s="401"/>
      <c r="BU430" s="401"/>
      <c r="BV430" s="431"/>
      <c r="BW430" s="401"/>
      <c r="BX430" s="401"/>
      <c r="BY430" s="400">
        <f t="shared" si="1578"/>
        <v>37424.292723903593</v>
      </c>
      <c r="BZ430" s="401"/>
      <c r="CA430" s="401"/>
      <c r="CB430" s="401"/>
      <c r="CC430" s="431"/>
      <c r="CD430" s="401"/>
      <c r="CE430" s="401"/>
      <c r="CF430" s="400">
        <f t="shared" si="1578"/>
        <v>40618.072233322448</v>
      </c>
      <c r="CG430" s="401"/>
      <c r="CH430" s="401"/>
      <c r="CI430" s="401"/>
      <c r="CJ430" s="431"/>
      <c r="CK430" s="401"/>
      <c r="CL430" s="401"/>
      <c r="CM430" s="400">
        <f t="shared" ref="CM430:CT430" si="1579">SUM(CM421:CM429)</f>
        <v>43653.396689828529</v>
      </c>
      <c r="CN430" s="401">
        <f t="shared" si="1579"/>
        <v>8138.1232961997284</v>
      </c>
      <c r="CO430" s="401">
        <f t="shared" si="1579"/>
        <v>12763.816733457681</v>
      </c>
      <c r="CP430" s="401">
        <f t="shared" si="1579"/>
        <v>11373.920145872627</v>
      </c>
      <c r="CQ430" s="431">
        <f t="shared" si="1579"/>
        <v>16757.680660076359</v>
      </c>
      <c r="CR430" s="401">
        <f t="shared" si="1579"/>
        <v>20946.481796272848</v>
      </c>
      <c r="CS430" s="401">
        <f t="shared" si="1579"/>
        <v>28225.234964818035</v>
      </c>
      <c r="CT430" s="400">
        <f t="shared" si="1579"/>
        <v>49364.432716996562</v>
      </c>
      <c r="CU430" s="401">
        <f t="shared" ref="CU430:CZ430" si="1580">SUM(CU421:CU429)</f>
        <v>9238.8879489246719</v>
      </c>
      <c r="CV430" s="401">
        <f t="shared" si="1580"/>
        <v>12435.336353813953</v>
      </c>
      <c r="CW430" s="401">
        <f t="shared" si="1580"/>
        <v>11908.158578196899</v>
      </c>
      <c r="CX430" s="431">
        <f t="shared" si="1580"/>
        <v>18331.457940471973</v>
      </c>
      <c r="CY430" s="401">
        <f t="shared" si="1580"/>
        <v>21622.140944709397</v>
      </c>
      <c r="CZ430" s="401">
        <f t="shared" si="1580"/>
        <v>30213.670147755798</v>
      </c>
      <c r="DA430" s="400">
        <f>SUM(DA421:DA429)</f>
        <v>51885.92132999828</v>
      </c>
      <c r="DB430" s="401">
        <f t="shared" ref="DB430:DG430" si="1581">SUM(DB421:DB429)</f>
        <v>9002.8398684914791</v>
      </c>
      <c r="DC430" s="401">
        <f t="shared" si="1581"/>
        <v>11224.1564505309</v>
      </c>
      <c r="DD430" s="401">
        <f t="shared" si="1581"/>
        <v>13481.457937505882</v>
      </c>
      <c r="DE430" s="431">
        <f t="shared" si="1581"/>
        <v>20420.299221322966</v>
      </c>
      <c r="DF430" s="401">
        <f t="shared" si="1581"/>
        <v>20250.688099276143</v>
      </c>
      <c r="DG430" s="401">
        <f t="shared" si="1581"/>
        <v>33858.843903797824</v>
      </c>
      <c r="DH430" s="400">
        <f>SUM(DH421:DH429)</f>
        <v>54051.473139149573</v>
      </c>
      <c r="DI430" s="401">
        <f t="shared" ref="DI430:DN430" si="1582">SUM(DI421:DI429)</f>
        <v>8308.8749921198632</v>
      </c>
      <c r="DJ430" s="401">
        <f t="shared" si="1582"/>
        <v>16260.269797992842</v>
      </c>
      <c r="DK430" s="401">
        <f t="shared" si="1582"/>
        <v>14785.698370981583</v>
      </c>
      <c r="DL430" s="431">
        <f t="shared" si="1582"/>
        <v>21528.962719028739</v>
      </c>
      <c r="DM430" s="401">
        <f t="shared" si="1582"/>
        <v>24634.774112376828</v>
      </c>
      <c r="DN430" s="401">
        <f t="shared" si="1582"/>
        <v>36345.458729777529</v>
      </c>
      <c r="DO430" s="400">
        <f>SUM(DO421:DO429)</f>
        <v>61256.999491407318</v>
      </c>
      <c r="DP430" s="401">
        <f t="shared" ref="DP430:DU430" si="1583">SUM(DP421:DP429)</f>
        <v>17253.368566964997</v>
      </c>
      <c r="DQ430" s="401">
        <f t="shared" si="1583"/>
        <v>18016.853139563707</v>
      </c>
      <c r="DR430" s="401">
        <f t="shared" si="1583"/>
        <v>18021.35443877133</v>
      </c>
      <c r="DS430" s="431">
        <f t="shared" si="1583"/>
        <v>18021.35443877133</v>
      </c>
      <c r="DT430" s="401">
        <f t="shared" si="1583"/>
        <v>35270.221706528704</v>
      </c>
      <c r="DU430" s="401">
        <f t="shared" si="1583"/>
        <v>36042.70887754266</v>
      </c>
      <c r="DV430" s="400">
        <f>SUM(DV421:DV429)</f>
        <v>71312.930584071364</v>
      </c>
      <c r="DW430" s="401">
        <f t="shared" ref="DW430:EB430" si="1584">SUM(DW421:DW429)</f>
        <v>18960.279693686771</v>
      </c>
      <c r="DX430" s="401">
        <f t="shared" si="1584"/>
        <v>19874.697324992565</v>
      </c>
      <c r="DY430" s="401">
        <f t="shared" si="1584"/>
        <v>19879.311156680378</v>
      </c>
      <c r="DZ430" s="431">
        <f t="shared" si="1584"/>
        <v>20323.011205516548</v>
      </c>
      <c r="EA430" s="401">
        <f t="shared" si="1584"/>
        <v>38834.977018679332</v>
      </c>
      <c r="EB430" s="401">
        <f t="shared" si="1584"/>
        <v>40202.322362196923</v>
      </c>
      <c r="EC430" s="400">
        <f>SUM(EC421:EC429)</f>
        <v>79037.299380876255</v>
      </c>
      <c r="ED430" s="401">
        <f t="shared" ref="ED430:EI430" si="1585">SUM(ED421:ED429)</f>
        <v>20876.895114392195</v>
      </c>
      <c r="EE430" s="401">
        <f t="shared" si="1585"/>
        <v>20872.165936912184</v>
      </c>
      <c r="EF430" s="401">
        <f t="shared" si="1585"/>
        <v>20876.895114392195</v>
      </c>
      <c r="EG430" s="431">
        <f t="shared" si="1585"/>
        <v>21339.956619904853</v>
      </c>
      <c r="EH430" s="401">
        <f t="shared" si="1585"/>
        <v>41749.061051304379</v>
      </c>
      <c r="EI430" s="401">
        <f t="shared" si="1585"/>
        <v>42216.851734297044</v>
      </c>
      <c r="EJ430" s="400">
        <f>SUM(EJ421:EJ429)</f>
        <v>83965.912785601424</v>
      </c>
      <c r="EK430" s="401">
        <f t="shared" ref="EK430:EP430" si="1586">SUM(EK421:EK429)</f>
        <v>21615.912073463835</v>
      </c>
      <c r="EL430" s="401">
        <f t="shared" si="1586"/>
        <v>21611.064666546823</v>
      </c>
      <c r="EM430" s="401">
        <f t="shared" si="1586"/>
        <v>21615.912073463835</v>
      </c>
      <c r="EN430" s="431">
        <f t="shared" si="1586"/>
        <v>22090.550116614308</v>
      </c>
      <c r="EO430" s="401">
        <f t="shared" si="1586"/>
        <v>43226.97674001065</v>
      </c>
      <c r="EP430" s="401">
        <f t="shared" si="1586"/>
        <v>43706.462190078135</v>
      </c>
      <c r="EQ430" s="400">
        <f>SUM(EQ421:EQ429)</f>
        <v>86933.4389300888</v>
      </c>
    </row>
    <row r="431" spans="1:147" ht="10.199999999999999" hidden="1" customHeight="1" outlineLevel="1">
      <c r="A431" s="51" t="s">
        <v>319</v>
      </c>
      <c r="B431" s="48"/>
      <c r="C431" s="258"/>
      <c r="D431" s="258">
        <f>D430/C430-1</f>
        <v>-2.1500899373354199E-2</v>
      </c>
      <c r="E431" s="258">
        <f>E430/D430-1</f>
        <v>5.7617734952260191E-2</v>
      </c>
      <c r="F431" s="258">
        <f t="shared" ref="F431:N431" si="1587">F430/E430-1</f>
        <v>4.7242480054635161E-2</v>
      </c>
      <c r="G431" s="258">
        <f t="shared" si="1587"/>
        <v>0.15850389658728292</v>
      </c>
      <c r="H431" s="258">
        <f t="shared" si="1587"/>
        <v>0.1587174094626651</v>
      </c>
      <c r="I431" s="258">
        <f t="shared" si="1587"/>
        <v>2.4904402962369954E-2</v>
      </c>
      <c r="J431" s="258">
        <f t="shared" si="1587"/>
        <v>0.14609997993701795</v>
      </c>
      <c r="K431" s="258">
        <f t="shared" si="1587"/>
        <v>3.9911692426535472E-2</v>
      </c>
      <c r="L431" s="258">
        <f t="shared" si="1587"/>
        <v>0.21148328520173676</v>
      </c>
      <c r="M431" s="258">
        <f t="shared" si="1587"/>
        <v>0.10474614956526551</v>
      </c>
      <c r="N431" s="258">
        <f t="shared" si="1587"/>
        <v>-8.3956972164745625E-2</v>
      </c>
      <c r="O431" s="527"/>
      <c r="P431" s="527"/>
      <c r="Q431" s="527"/>
      <c r="R431" s="528"/>
      <c r="S431" s="527"/>
      <c r="T431" s="527"/>
      <c r="U431" s="402">
        <f>U430/N430-1</f>
        <v>5.8716140396999794E-2</v>
      </c>
      <c r="V431" s="527"/>
      <c r="W431" s="527"/>
      <c r="X431" s="527"/>
      <c r="Y431" s="528"/>
      <c r="Z431" s="527"/>
      <c r="AA431" s="527"/>
      <c r="AB431" s="402">
        <f t="shared" ref="AB431" si="1588">AB430/U430-1</f>
        <v>0.38044267767513285</v>
      </c>
      <c r="AC431" s="527"/>
      <c r="AD431" s="527"/>
      <c r="AE431" s="527"/>
      <c r="AF431" s="528"/>
      <c r="AG431" s="527"/>
      <c r="AH431" s="527"/>
      <c r="AI431" s="402">
        <f>AI430/AB430-1</f>
        <v>-2.0593523180681639E-2</v>
      </c>
      <c r="AJ431" s="527"/>
      <c r="AK431" s="527"/>
      <c r="AL431" s="527"/>
      <c r="AM431" s="528"/>
      <c r="AN431" s="527"/>
      <c r="AO431" s="527"/>
      <c r="AP431" s="402">
        <f>AP430/AI430-1</f>
        <v>5.3592157368708149E-2</v>
      </c>
      <c r="AQ431" s="527"/>
      <c r="AR431" s="527"/>
      <c r="AS431" s="527"/>
      <c r="AT431" s="528"/>
      <c r="AU431" s="527"/>
      <c r="AV431" s="527"/>
      <c r="AW431" s="402">
        <f>AW430/AP430-1</f>
        <v>3.5337457701909214E-2</v>
      </c>
      <c r="AX431" s="527"/>
      <c r="AY431" s="527"/>
      <c r="AZ431" s="527"/>
      <c r="BA431" s="528"/>
      <c r="BB431" s="527"/>
      <c r="BC431" s="527"/>
      <c r="BD431" s="402">
        <f>BD430/AW430-1</f>
        <v>-0.14617994593557915</v>
      </c>
      <c r="BE431" s="527"/>
      <c r="BF431" s="527"/>
      <c r="BG431" s="527"/>
      <c r="BH431" s="528"/>
      <c r="BI431" s="527"/>
      <c r="BJ431" s="527"/>
      <c r="BK431" s="402">
        <f>BK430/AW430-1</f>
        <v>-5.780068474818234E-2</v>
      </c>
      <c r="BL431" s="527"/>
      <c r="BM431" s="527"/>
      <c r="BN431" s="527"/>
      <c r="BO431" s="528"/>
      <c r="BP431" s="527"/>
      <c r="BQ431" s="527"/>
      <c r="BR431" s="402">
        <f>BR430/BK430-1</f>
        <v>0.1403910081636226</v>
      </c>
      <c r="BS431" s="527"/>
      <c r="BT431" s="527"/>
      <c r="BU431" s="527"/>
      <c r="BV431" s="528"/>
      <c r="BW431" s="527"/>
      <c r="BX431" s="527"/>
      <c r="BY431" s="402">
        <f>BY430/BR430-1</f>
        <v>-0.39970335767937415</v>
      </c>
      <c r="BZ431" s="527"/>
      <c r="CA431" s="527"/>
      <c r="CB431" s="527"/>
      <c r="CC431" s="528"/>
      <c r="CD431" s="527"/>
      <c r="CE431" s="527"/>
      <c r="CF431" s="402">
        <f>CF430/BY430-1</f>
        <v>8.5339742636710625E-2</v>
      </c>
      <c r="CG431" s="527"/>
      <c r="CH431" s="527"/>
      <c r="CI431" s="527"/>
      <c r="CJ431" s="528"/>
      <c r="CK431" s="527"/>
      <c r="CL431" s="527"/>
      <c r="CM431" s="402">
        <f>CM430/CF430-1</f>
        <v>7.4728422340436529E-2</v>
      </c>
      <c r="CN431" s="527"/>
      <c r="CO431" s="527"/>
      <c r="CP431" s="527"/>
      <c r="CQ431" s="528"/>
      <c r="CR431" s="527"/>
      <c r="CS431" s="527"/>
      <c r="CT431" s="402">
        <f t="shared" ref="CT431:DY431" si="1589">CT430/CM430-1</f>
        <v>0.13082684190068394</v>
      </c>
      <c r="CU431" s="539">
        <f t="shared" si="1589"/>
        <v>0.13526025751403514</v>
      </c>
      <c r="CV431" s="539">
        <f t="shared" si="1589"/>
        <v>-2.5735278600693579E-2</v>
      </c>
      <c r="CW431" s="539">
        <f t="shared" si="1589"/>
        <v>4.697047504049312E-2</v>
      </c>
      <c r="CX431" s="540">
        <f t="shared" si="1589"/>
        <v>9.3913788687058242E-2</v>
      </c>
      <c r="CY431" s="539">
        <f t="shared" si="1589"/>
        <v>3.2256450272082127E-2</v>
      </c>
      <c r="CZ431" s="539">
        <f t="shared" si="1589"/>
        <v>7.0448844284778822E-2</v>
      </c>
      <c r="DA431" s="402">
        <f t="shared" si="1589"/>
        <v>5.107905579422467E-2</v>
      </c>
      <c r="DB431" s="539">
        <f t="shared" si="1589"/>
        <v>-2.5549403969193807E-2</v>
      </c>
      <c r="DC431" s="539">
        <f t="shared" si="1589"/>
        <v>-9.7398242300987814E-2</v>
      </c>
      <c r="DD431" s="539">
        <f t="shared" si="1589"/>
        <v>0.13211944978542678</v>
      </c>
      <c r="DE431" s="540">
        <f t="shared" si="1589"/>
        <v>0.11394845339820314</v>
      </c>
      <c r="DF431" s="539">
        <f t="shared" si="1589"/>
        <v>-6.3428170639541981E-2</v>
      </c>
      <c r="DG431" s="539">
        <f t="shared" si="1589"/>
        <v>0.12064650663808152</v>
      </c>
      <c r="DH431" s="402">
        <f t="shared" si="1589"/>
        <v>4.1736790128062307E-2</v>
      </c>
      <c r="DI431" s="539">
        <f t="shared" si="1589"/>
        <v>-7.708288567926036E-2</v>
      </c>
      <c r="DJ431" s="539">
        <f t="shared" si="1589"/>
        <v>0.44868524148411493</v>
      </c>
      <c r="DK431" s="539">
        <f t="shared" si="1589"/>
        <v>9.6743278028354807E-2</v>
      </c>
      <c r="DL431" s="540">
        <f t="shared" si="1589"/>
        <v>5.4292225872385913E-2</v>
      </c>
      <c r="DM431" s="539">
        <f t="shared" si="1589"/>
        <v>0.21649071832069722</v>
      </c>
      <c r="DN431" s="539">
        <f t="shared" si="1589"/>
        <v>7.3440629959039772E-2</v>
      </c>
      <c r="DO431" s="402">
        <f t="shared" si="1589"/>
        <v>0.13330860259271593</v>
      </c>
      <c r="DP431" s="539">
        <f t="shared" si="1589"/>
        <v>1.0764987538418969</v>
      </c>
      <c r="DQ431" s="539">
        <f t="shared" si="1589"/>
        <v>0.10802916331607837</v>
      </c>
      <c r="DR431" s="539">
        <f t="shared" si="1589"/>
        <v>0.21883687781295791</v>
      </c>
      <c r="DS431" s="540">
        <f t="shared" si="1589"/>
        <v>-0.1629250942571957</v>
      </c>
      <c r="DT431" s="539">
        <f t="shared" si="1589"/>
        <v>0.43172498946554128</v>
      </c>
      <c r="DU431" s="539">
        <f t="shared" si="1589"/>
        <v>-8.3297848703950406E-3</v>
      </c>
      <c r="DV431" s="402">
        <f t="shared" si="1589"/>
        <v>0.16415970707273408</v>
      </c>
      <c r="DW431" s="539">
        <f t="shared" si="1589"/>
        <v>9.8932050289008089E-2</v>
      </c>
      <c r="DX431" s="539">
        <f t="shared" si="1589"/>
        <v>0.10311701888434488</v>
      </c>
      <c r="DY431" s="539">
        <f t="shared" si="1589"/>
        <v>0.10309750713918708</v>
      </c>
      <c r="DZ431" s="540">
        <f t="shared" ref="DZ431:EQ431" si="1590">DZ430/DS430-1</f>
        <v>0.12771830078395263</v>
      </c>
      <c r="EA431" s="539">
        <f t="shared" si="1590"/>
        <v>0.10106983000593872</v>
      </c>
      <c r="EB431" s="539">
        <f t="shared" si="1590"/>
        <v>0.11540790396156986</v>
      </c>
      <c r="EC431" s="402">
        <f t="shared" si="1590"/>
        <v>0.10831652455649077</v>
      </c>
      <c r="ED431" s="539">
        <f t="shared" si="1590"/>
        <v>0.10108582002319322</v>
      </c>
      <c r="EE431" s="539">
        <f t="shared" si="1590"/>
        <v>5.0187864278330219E-2</v>
      </c>
      <c r="EF431" s="539">
        <f t="shared" si="1590"/>
        <v>5.0182018373236437E-2</v>
      </c>
      <c r="EG431" s="540">
        <f t="shared" si="1590"/>
        <v>5.0039111040408368E-2</v>
      </c>
      <c r="EH431" s="539">
        <f t="shared" si="1590"/>
        <v>7.5037614448011603E-2</v>
      </c>
      <c r="EI431" s="539">
        <f t="shared" si="1590"/>
        <v>5.01097760957816E-2</v>
      </c>
      <c r="EJ431" s="402">
        <f t="shared" si="1590"/>
        <v>6.2358069460021204E-2</v>
      </c>
      <c r="EK431" s="539">
        <f t="shared" si="1590"/>
        <v>3.5398796373804275E-2</v>
      </c>
      <c r="EL431" s="539">
        <f t="shared" si="1590"/>
        <v>3.5401152514215273E-2</v>
      </c>
      <c r="EM431" s="539">
        <f t="shared" si="1590"/>
        <v>3.5398796373804275E-2</v>
      </c>
      <c r="EN431" s="540">
        <f t="shared" si="1590"/>
        <v>3.5173150071417636E-2</v>
      </c>
      <c r="EO431" s="539">
        <f t="shared" si="1590"/>
        <v>3.5399974310562188E-2</v>
      </c>
      <c r="EP431" s="539">
        <f t="shared" si="1590"/>
        <v>3.5284735705929604E-2</v>
      </c>
      <c r="EQ431" s="402">
        <f t="shared" si="1590"/>
        <v>3.5342033999733458E-2</v>
      </c>
    </row>
    <row r="432" spans="1:147" ht="10.199999999999999" hidden="1" customHeight="1" outlineLevel="1">
      <c r="A432" s="48" t="s">
        <v>717</v>
      </c>
      <c r="B432" s="48"/>
      <c r="C432" s="111">
        <f t="shared" ref="C432:CV432" si="1591">C271</f>
        <v>500</v>
      </c>
      <c r="D432" s="111">
        <f t="shared" si="1591"/>
        <v>750</v>
      </c>
      <c r="E432" s="111">
        <f t="shared" si="1591"/>
        <v>787.5</v>
      </c>
      <c r="F432" s="111">
        <f t="shared" si="1591"/>
        <v>826.875</v>
      </c>
      <c r="G432" s="111">
        <f t="shared" si="1591"/>
        <v>868.21875</v>
      </c>
      <c r="H432" s="111">
        <f t="shared" si="1591"/>
        <v>955.04062500000009</v>
      </c>
      <c r="I432" s="111">
        <f t="shared" si="1591"/>
        <v>1050.5446875000002</v>
      </c>
      <c r="J432" s="111">
        <f t="shared" si="1591"/>
        <v>1155.5991562500003</v>
      </c>
      <c r="K432" s="111">
        <f t="shared" si="1591"/>
        <v>1178.7111393750004</v>
      </c>
      <c r="L432" s="111">
        <f t="shared" si="1591"/>
        <v>1414.4533672500004</v>
      </c>
      <c r="M432" s="111">
        <f t="shared" si="1591"/>
        <v>1555.8987039750004</v>
      </c>
      <c r="N432" s="111">
        <f t="shared" si="1591"/>
        <v>1950.5904000000019</v>
      </c>
      <c r="O432" s="401"/>
      <c r="P432" s="401"/>
      <c r="Q432" s="401"/>
      <c r="R432" s="431"/>
      <c r="S432" s="401"/>
      <c r="T432" s="401"/>
      <c r="U432" s="400">
        <f t="shared" si="1591"/>
        <v>2665.8450000000025</v>
      </c>
      <c r="V432" s="401"/>
      <c r="W432" s="401"/>
      <c r="X432" s="401"/>
      <c r="Y432" s="431"/>
      <c r="Z432" s="401"/>
      <c r="AA432" s="401"/>
      <c r="AB432" s="400">
        <f t="shared" si="1591"/>
        <v>2266.2080000000019</v>
      </c>
      <c r="AC432" s="401"/>
      <c r="AD432" s="401"/>
      <c r="AE432" s="401"/>
      <c r="AF432" s="431"/>
      <c r="AG432" s="401"/>
      <c r="AH432" s="401"/>
      <c r="AI432" s="400">
        <f t="shared" si="1591"/>
        <v>2797.0940000000023</v>
      </c>
      <c r="AJ432" s="401"/>
      <c r="AK432" s="401"/>
      <c r="AL432" s="401"/>
      <c r="AM432" s="431"/>
      <c r="AN432" s="401"/>
      <c r="AO432" s="401"/>
      <c r="AP432" s="400">
        <f t="shared" si="1591"/>
        <v>2954.2200000000025</v>
      </c>
      <c r="AQ432" s="401"/>
      <c r="AR432" s="401"/>
      <c r="AS432" s="401"/>
      <c r="AT432" s="431"/>
      <c r="AU432" s="401"/>
      <c r="AV432" s="401"/>
      <c r="AW432" s="400">
        <f t="shared" si="1591"/>
        <v>3131.4732000000026</v>
      </c>
      <c r="AX432" s="401"/>
      <c r="AY432" s="401"/>
      <c r="AZ432" s="401"/>
      <c r="BA432" s="431"/>
      <c r="BB432" s="401"/>
      <c r="BC432" s="401"/>
      <c r="BD432" s="400">
        <f t="shared" si="1591"/>
        <v>3131.4732000000026</v>
      </c>
      <c r="BE432" s="401"/>
      <c r="BF432" s="401"/>
      <c r="BG432" s="401"/>
      <c r="BH432" s="431"/>
      <c r="BI432" s="401"/>
      <c r="BJ432" s="401"/>
      <c r="BK432" s="400">
        <f t="shared" si="1591"/>
        <v>3256.7321280000028</v>
      </c>
      <c r="BL432" s="401"/>
      <c r="BM432" s="401"/>
      <c r="BN432" s="401"/>
      <c r="BO432" s="431"/>
      <c r="BP432" s="401"/>
      <c r="BQ432" s="401"/>
      <c r="BR432" s="400">
        <f t="shared" si="1591"/>
        <v>3387.0014131200032</v>
      </c>
      <c r="BS432" s="401"/>
      <c r="BT432" s="401"/>
      <c r="BU432" s="401"/>
      <c r="BV432" s="431"/>
      <c r="BW432" s="401"/>
      <c r="BX432" s="401"/>
      <c r="BY432" s="400">
        <f t="shared" si="1591"/>
        <v>3522.4814696448034</v>
      </c>
      <c r="BZ432" s="401"/>
      <c r="CA432" s="401"/>
      <c r="CB432" s="401"/>
      <c r="CC432" s="431"/>
      <c r="CD432" s="401"/>
      <c r="CE432" s="401"/>
      <c r="CF432" s="400">
        <f t="shared" si="1591"/>
        <v>2592.6429085099458</v>
      </c>
      <c r="CG432" s="401"/>
      <c r="CH432" s="401"/>
      <c r="CI432" s="401"/>
      <c r="CJ432" s="431"/>
      <c r="CK432" s="401"/>
      <c r="CL432" s="401"/>
      <c r="CM432" s="400">
        <f t="shared" si="1591"/>
        <v>3795.9475382459573</v>
      </c>
      <c r="CN432" s="401">
        <f t="shared" si="1591"/>
        <v>1109.7440858454172</v>
      </c>
      <c r="CO432" s="401">
        <f t="shared" si="1591"/>
        <v>1217.6427804071202</v>
      </c>
      <c r="CP432" s="401">
        <f t="shared" si="1591"/>
        <v>1263.768905096958</v>
      </c>
      <c r="CQ432" s="431">
        <f t="shared" si="1591"/>
        <v>1291.040870990822</v>
      </c>
      <c r="CR432" s="401">
        <f t="shared" si="1591"/>
        <v>2327.3868662525374</v>
      </c>
      <c r="CS432" s="401">
        <f t="shared" si="1591"/>
        <v>2554.8097760877799</v>
      </c>
      <c r="CT432" s="400">
        <f t="shared" si="1591"/>
        <v>4882.1966423403173</v>
      </c>
      <c r="CU432" s="401">
        <f t="shared" si="1591"/>
        <v>1380.523486620928</v>
      </c>
      <c r="CV432" s="401">
        <f t="shared" si="1591"/>
        <v>1291.8759559836035</v>
      </c>
      <c r="CW432" s="401">
        <f t="shared" ref="CW432:EB432" si="1592">CW271</f>
        <v>1471.7948804513019</v>
      </c>
      <c r="CX432" s="431">
        <f t="shared" si="1592"/>
        <v>1620.9080469439753</v>
      </c>
      <c r="CY432" s="401">
        <f t="shared" si="1592"/>
        <v>2672.3994426045315</v>
      </c>
      <c r="CZ432" s="401">
        <f t="shared" si="1592"/>
        <v>3092.7029273952771</v>
      </c>
      <c r="DA432" s="400">
        <f t="shared" si="1592"/>
        <v>5765.1023699998086</v>
      </c>
      <c r="DB432" s="401">
        <f t="shared" si="1592"/>
        <v>1588.7364473808495</v>
      </c>
      <c r="DC432" s="401">
        <f t="shared" si="1592"/>
        <v>1707.8871966873601</v>
      </c>
      <c r="DD432" s="401">
        <f t="shared" si="1592"/>
        <v>1838.380627841711</v>
      </c>
      <c r="DE432" s="431">
        <f t="shared" si="1592"/>
        <v>1545.5148834658453</v>
      </c>
      <c r="DF432" s="401">
        <f t="shared" si="1592"/>
        <v>3296.6236440682096</v>
      </c>
      <c r="DG432" s="401">
        <f t="shared" si="1592"/>
        <v>3383.8955113075563</v>
      </c>
      <c r="DH432" s="400">
        <f t="shared" si="1592"/>
        <v>6680.5191553757659</v>
      </c>
      <c r="DI432" s="401">
        <f t="shared" si="1592"/>
        <v>1701.8177721581042</v>
      </c>
      <c r="DJ432" s="401">
        <f t="shared" si="1592"/>
        <v>1979.2404285418816</v>
      </c>
      <c r="DK432" s="401">
        <f t="shared" si="1592"/>
        <v>2022.2186906258823</v>
      </c>
      <c r="DL432" s="431">
        <f t="shared" si="1592"/>
        <v>1645.2941795874747</v>
      </c>
      <c r="DM432" s="401">
        <f t="shared" si="1592"/>
        <v>3681.0582006999857</v>
      </c>
      <c r="DN432" s="401">
        <f t="shared" si="1592"/>
        <v>3667.512870213357</v>
      </c>
      <c r="DO432" s="400">
        <f t="shared" si="1592"/>
        <v>7348.5710709133427</v>
      </c>
      <c r="DP432" s="401">
        <f t="shared" si="1592"/>
        <v>1829.454105069962</v>
      </c>
      <c r="DQ432" s="401">
        <f t="shared" si="1592"/>
        <v>2127.6834606825223</v>
      </c>
      <c r="DR432" s="401">
        <f t="shared" si="1592"/>
        <v>2173.8850924228236</v>
      </c>
      <c r="DS432" s="431">
        <f t="shared" si="1592"/>
        <v>1768.6912430565349</v>
      </c>
      <c r="DT432" s="401">
        <f t="shared" si="1592"/>
        <v>3957.1375657524845</v>
      </c>
      <c r="DU432" s="401">
        <f t="shared" si="1592"/>
        <v>3942.5763354793585</v>
      </c>
      <c r="DV432" s="400">
        <f t="shared" si="1592"/>
        <v>7899.713901231843</v>
      </c>
      <c r="DW432" s="401">
        <f t="shared" si="1592"/>
        <v>1966.663162950209</v>
      </c>
      <c r="DX432" s="401">
        <f t="shared" si="1592"/>
        <v>2287.259720233712</v>
      </c>
      <c r="DY432" s="401">
        <f t="shared" si="1592"/>
        <v>2336.9264743545355</v>
      </c>
      <c r="DZ432" s="431">
        <f t="shared" si="1592"/>
        <v>1901.3430862857749</v>
      </c>
      <c r="EA432" s="401">
        <f t="shared" si="1592"/>
        <v>4253.9228831839209</v>
      </c>
      <c r="EB432" s="401">
        <f t="shared" si="1592"/>
        <v>4238.2695606403104</v>
      </c>
      <c r="EC432" s="400">
        <f t="shared" ref="EC432:EQ432" si="1593">EC271</f>
        <v>8492.1924438242313</v>
      </c>
      <c r="ED432" s="401">
        <f t="shared" si="1593"/>
        <v>2114.1629001714746</v>
      </c>
      <c r="EE432" s="401">
        <f t="shared" si="1593"/>
        <v>2458.8041992512399</v>
      </c>
      <c r="EF432" s="401">
        <f t="shared" si="1593"/>
        <v>2512.1959599311253</v>
      </c>
      <c r="EG432" s="431">
        <f t="shared" si="1593"/>
        <v>2043.9438177572079</v>
      </c>
      <c r="EH432" s="401">
        <f t="shared" si="1593"/>
        <v>4572.9670994227145</v>
      </c>
      <c r="EI432" s="401">
        <f t="shared" si="1593"/>
        <v>4556.1397776883332</v>
      </c>
      <c r="EJ432" s="400">
        <f t="shared" si="1593"/>
        <v>9129.1068771110477</v>
      </c>
      <c r="EK432" s="401">
        <f t="shared" si="1593"/>
        <v>2272.7251176843351</v>
      </c>
      <c r="EL432" s="401">
        <f t="shared" si="1593"/>
        <v>2643.2145141950828</v>
      </c>
      <c r="EM432" s="401">
        <f t="shared" si="1593"/>
        <v>2700.6106569259596</v>
      </c>
      <c r="EN432" s="431">
        <f t="shared" si="1593"/>
        <v>2197.2396040889985</v>
      </c>
      <c r="EO432" s="401">
        <f t="shared" si="1593"/>
        <v>4915.9396318794179</v>
      </c>
      <c r="EP432" s="401">
        <f t="shared" si="1593"/>
        <v>4897.8502610149581</v>
      </c>
      <c r="EQ432" s="400">
        <f t="shared" si="1593"/>
        <v>9813.789892894376</v>
      </c>
    </row>
    <row r="433" spans="1:147" ht="10.199999999999999" hidden="1" customHeight="1" outlineLevel="1">
      <c r="A433" s="48" t="s">
        <v>716</v>
      </c>
      <c r="B433" s="4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>
        <f t="shared" ref="N433:CF433" si="1594">N430+N432</f>
        <v>39110.596749999997</v>
      </c>
      <c r="O433" s="401"/>
      <c r="P433" s="401"/>
      <c r="Q433" s="401"/>
      <c r="R433" s="431"/>
      <c r="S433" s="401"/>
      <c r="T433" s="401"/>
      <c r="U433" s="400">
        <f t="shared" si="1594"/>
        <v>42007.743499999997</v>
      </c>
      <c r="V433" s="401"/>
      <c r="W433" s="401"/>
      <c r="X433" s="401"/>
      <c r="Y433" s="431"/>
      <c r="Z433" s="401"/>
      <c r="AA433" s="401"/>
      <c r="AB433" s="400">
        <f t="shared" si="1594"/>
        <v>56575.443710163287</v>
      </c>
      <c r="AC433" s="401"/>
      <c r="AD433" s="401"/>
      <c r="AE433" s="401"/>
      <c r="AF433" s="431"/>
      <c r="AG433" s="401"/>
      <c r="AH433" s="401"/>
      <c r="AI433" s="400">
        <f t="shared" si="1594"/>
        <v>55987.911205640943</v>
      </c>
      <c r="AJ433" s="401"/>
      <c r="AK433" s="401"/>
      <c r="AL433" s="401"/>
      <c r="AM433" s="431"/>
      <c r="AN433" s="401"/>
      <c r="AO433" s="401"/>
      <c r="AP433" s="400">
        <f t="shared" si="1594"/>
        <v>58995.647851895832</v>
      </c>
      <c r="AQ433" s="401"/>
      <c r="AR433" s="401"/>
      <c r="AS433" s="401"/>
      <c r="AT433" s="431"/>
      <c r="AU433" s="401"/>
      <c r="AV433" s="401"/>
      <c r="AW433" s="400">
        <f t="shared" si="1594"/>
        <v>61153.262638166801</v>
      </c>
      <c r="AX433" s="401"/>
      <c r="AY433" s="401"/>
      <c r="AZ433" s="401"/>
      <c r="BA433" s="431"/>
      <c r="BB433" s="401"/>
      <c r="BC433" s="401"/>
      <c r="BD433" s="400">
        <f t="shared" si="1594"/>
        <v>52671.640595010023</v>
      </c>
      <c r="BE433" s="401"/>
      <c r="BF433" s="401"/>
      <c r="BG433" s="401"/>
      <c r="BH433" s="431"/>
      <c r="BI433" s="401"/>
      <c r="BJ433" s="401"/>
      <c r="BK433" s="400">
        <f t="shared" si="1594"/>
        <v>57924.822406325911</v>
      </c>
      <c r="BL433" s="401"/>
      <c r="BM433" s="401"/>
      <c r="BN433" s="401"/>
      <c r="BO433" s="431"/>
      <c r="BP433" s="401"/>
      <c r="BQ433" s="401"/>
      <c r="BR433" s="400">
        <f t="shared" si="1594"/>
        <v>65730.000000000015</v>
      </c>
      <c r="BS433" s="401"/>
      <c r="BT433" s="401"/>
      <c r="BU433" s="401"/>
      <c r="BV433" s="431"/>
      <c r="BW433" s="401"/>
      <c r="BX433" s="401"/>
      <c r="BY433" s="400">
        <f t="shared" si="1594"/>
        <v>40946.774193548394</v>
      </c>
      <c r="BZ433" s="401"/>
      <c r="CA433" s="401"/>
      <c r="CB433" s="401"/>
      <c r="CC433" s="431"/>
      <c r="CD433" s="401"/>
      <c r="CE433" s="401"/>
      <c r="CF433" s="400">
        <f t="shared" si="1594"/>
        <v>43210.715141832392</v>
      </c>
      <c r="CG433" s="401"/>
      <c r="CH433" s="401"/>
      <c r="CI433" s="401"/>
      <c r="CJ433" s="431"/>
      <c r="CK433" s="401"/>
      <c r="CL433" s="401"/>
      <c r="CM433" s="400">
        <f t="shared" ref="CM433:CS433" si="1595">CM430+CM432</f>
        <v>47449.344228074486</v>
      </c>
      <c r="CN433" s="401">
        <f t="shared" si="1595"/>
        <v>9247.8673820451459</v>
      </c>
      <c r="CO433" s="401">
        <f t="shared" si="1595"/>
        <v>13981.459513864802</v>
      </c>
      <c r="CP433" s="401">
        <f t="shared" si="1595"/>
        <v>12637.689050969586</v>
      </c>
      <c r="CQ433" s="431">
        <f t="shared" si="1595"/>
        <v>18048.721531067182</v>
      </c>
      <c r="CR433" s="401">
        <f t="shared" si="1595"/>
        <v>23273.868662525387</v>
      </c>
      <c r="CS433" s="401">
        <f t="shared" si="1595"/>
        <v>30780.044740905814</v>
      </c>
      <c r="CT433" s="400">
        <f t="shared" ref="CT433:CZ433" si="1596">CT430+CT432</f>
        <v>54246.629359336875</v>
      </c>
      <c r="CU433" s="401">
        <f t="shared" si="1596"/>
        <v>10619.4114355456</v>
      </c>
      <c r="CV433" s="401">
        <f t="shared" si="1596"/>
        <v>13727.212309797556</v>
      </c>
      <c r="CW433" s="401">
        <f t="shared" si="1596"/>
        <v>13379.9534586482</v>
      </c>
      <c r="CX433" s="431">
        <f t="shared" si="1596"/>
        <v>19952.365987415949</v>
      </c>
      <c r="CY433" s="401">
        <f t="shared" si="1596"/>
        <v>24294.540387313929</v>
      </c>
      <c r="CZ433" s="401">
        <f t="shared" si="1596"/>
        <v>33306.373075151074</v>
      </c>
      <c r="DA433" s="400">
        <f t="shared" ref="DA433:EQ433" si="1597">DA430+DA432</f>
        <v>57651.023699998092</v>
      </c>
      <c r="DB433" s="401">
        <f t="shared" si="1597"/>
        <v>10591.576315872329</v>
      </c>
      <c r="DC433" s="401">
        <f t="shared" si="1597"/>
        <v>12932.043647218259</v>
      </c>
      <c r="DD433" s="401">
        <f t="shared" si="1597"/>
        <v>15319.838565347593</v>
      </c>
      <c r="DE433" s="431">
        <f t="shared" si="1597"/>
        <v>21965.814104788813</v>
      </c>
      <c r="DF433" s="401">
        <f t="shared" si="1597"/>
        <v>23547.311743344355</v>
      </c>
      <c r="DG433" s="401">
        <f t="shared" si="1597"/>
        <v>37242.739415105381</v>
      </c>
      <c r="DH433" s="400">
        <f t="shared" si="1597"/>
        <v>60731.992294525342</v>
      </c>
      <c r="DI433" s="401">
        <f t="shared" si="1597"/>
        <v>10010.692764277966</v>
      </c>
      <c r="DJ433" s="401">
        <f t="shared" si="1597"/>
        <v>18239.510226534723</v>
      </c>
      <c r="DK433" s="401">
        <f t="shared" si="1597"/>
        <v>16807.917061607466</v>
      </c>
      <c r="DL433" s="431">
        <f t="shared" si="1597"/>
        <v>23174.256898616215</v>
      </c>
      <c r="DM433" s="401">
        <f t="shared" si="1597"/>
        <v>28315.832313076815</v>
      </c>
      <c r="DN433" s="401">
        <f t="shared" si="1597"/>
        <v>40012.971599990888</v>
      </c>
      <c r="DO433" s="400">
        <f t="shared" si="1597"/>
        <v>68605.57056232066</v>
      </c>
      <c r="DP433" s="401">
        <f t="shared" si="1597"/>
        <v>19082.822672034959</v>
      </c>
      <c r="DQ433" s="401">
        <f t="shared" si="1597"/>
        <v>20144.536600246229</v>
      </c>
      <c r="DR433" s="401">
        <f t="shared" si="1597"/>
        <v>20195.239531194155</v>
      </c>
      <c r="DS433" s="431">
        <f t="shared" si="1597"/>
        <v>19790.045681827865</v>
      </c>
      <c r="DT433" s="401">
        <f t="shared" si="1597"/>
        <v>39227.359272281188</v>
      </c>
      <c r="DU433" s="401">
        <f t="shared" si="1597"/>
        <v>39985.28521302202</v>
      </c>
      <c r="DV433" s="400">
        <f t="shared" si="1597"/>
        <v>79212.644485303201</v>
      </c>
      <c r="DW433" s="401">
        <f t="shared" si="1597"/>
        <v>20926.942856636979</v>
      </c>
      <c r="DX433" s="401">
        <f t="shared" si="1597"/>
        <v>22161.957045226278</v>
      </c>
      <c r="DY433" s="401">
        <f t="shared" si="1597"/>
        <v>22216.237631034914</v>
      </c>
      <c r="DZ433" s="431">
        <f t="shared" si="1597"/>
        <v>22224.354291802323</v>
      </c>
      <c r="EA433" s="401">
        <f t="shared" si="1597"/>
        <v>43088.899901863253</v>
      </c>
      <c r="EB433" s="401">
        <f t="shared" si="1597"/>
        <v>44440.591922837237</v>
      </c>
      <c r="EC433" s="400">
        <f t="shared" si="1597"/>
        <v>87529.491824700483</v>
      </c>
      <c r="ED433" s="401">
        <f t="shared" si="1597"/>
        <v>22991.05801456367</v>
      </c>
      <c r="EE433" s="401">
        <f t="shared" si="1597"/>
        <v>23330.970136163425</v>
      </c>
      <c r="EF433" s="401">
        <f t="shared" si="1597"/>
        <v>23389.091074323322</v>
      </c>
      <c r="EG433" s="431">
        <f t="shared" si="1597"/>
        <v>23383.900437662061</v>
      </c>
      <c r="EH433" s="401">
        <f t="shared" si="1597"/>
        <v>46322.028150727092</v>
      </c>
      <c r="EI433" s="401">
        <f t="shared" si="1597"/>
        <v>46772.991511985376</v>
      </c>
      <c r="EJ433" s="400">
        <f t="shared" si="1597"/>
        <v>93095.019662712468</v>
      </c>
      <c r="EK433" s="401">
        <f t="shared" si="1597"/>
        <v>23888.637191148169</v>
      </c>
      <c r="EL433" s="401">
        <f t="shared" si="1597"/>
        <v>24254.279180741905</v>
      </c>
      <c r="EM433" s="401">
        <f t="shared" si="1597"/>
        <v>24316.522730389795</v>
      </c>
      <c r="EN433" s="431">
        <f t="shared" si="1597"/>
        <v>24287.789720703306</v>
      </c>
      <c r="EO433" s="401">
        <f t="shared" si="1597"/>
        <v>48142.916371890067</v>
      </c>
      <c r="EP433" s="401">
        <f t="shared" si="1597"/>
        <v>48604.312451093094</v>
      </c>
      <c r="EQ433" s="400">
        <f t="shared" si="1597"/>
        <v>96747.228822983176</v>
      </c>
    </row>
    <row r="434" spans="1:147" ht="10.199999999999999" hidden="1" customHeight="1" outlineLevel="1">
      <c r="A434" s="108" t="s">
        <v>482</v>
      </c>
      <c r="B434" s="4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>
        <f t="shared" ref="N434:DG434" si="1598">N433-N273</f>
        <v>0</v>
      </c>
      <c r="O434" s="401"/>
      <c r="P434" s="401"/>
      <c r="Q434" s="401"/>
      <c r="R434" s="431"/>
      <c r="S434" s="401"/>
      <c r="T434" s="401"/>
      <c r="U434" s="400">
        <f t="shared" si="1598"/>
        <v>0</v>
      </c>
      <c r="V434" s="401"/>
      <c r="W434" s="401"/>
      <c r="X434" s="401"/>
      <c r="Y434" s="431"/>
      <c r="Z434" s="401"/>
      <c r="AA434" s="401"/>
      <c r="AB434" s="400">
        <f t="shared" si="1598"/>
        <v>0</v>
      </c>
      <c r="AC434" s="401"/>
      <c r="AD434" s="401"/>
      <c r="AE434" s="401"/>
      <c r="AF434" s="431"/>
      <c r="AG434" s="401"/>
      <c r="AH434" s="401"/>
      <c r="AI434" s="400">
        <f t="shared" si="1598"/>
        <v>0</v>
      </c>
      <c r="AJ434" s="401"/>
      <c r="AK434" s="401"/>
      <c r="AL434" s="401"/>
      <c r="AM434" s="431"/>
      <c r="AN434" s="401"/>
      <c r="AO434" s="401"/>
      <c r="AP434" s="400">
        <f t="shared" si="1598"/>
        <v>0</v>
      </c>
      <c r="AQ434" s="401"/>
      <c r="AR434" s="401"/>
      <c r="AS434" s="401"/>
      <c r="AT434" s="431"/>
      <c r="AU434" s="401"/>
      <c r="AV434" s="401"/>
      <c r="AW434" s="400">
        <f t="shared" si="1598"/>
        <v>0</v>
      </c>
      <c r="AX434" s="401"/>
      <c r="AY434" s="401"/>
      <c r="AZ434" s="401"/>
      <c r="BA434" s="431"/>
      <c r="BB434" s="401"/>
      <c r="BC434" s="401"/>
      <c r="BD434" s="400">
        <f t="shared" si="1598"/>
        <v>0</v>
      </c>
      <c r="BE434" s="401"/>
      <c r="BF434" s="401"/>
      <c r="BG434" s="401"/>
      <c r="BH434" s="431"/>
      <c r="BI434" s="401"/>
      <c r="BJ434" s="401"/>
      <c r="BK434" s="400">
        <f t="shared" si="1598"/>
        <v>0</v>
      </c>
      <c r="BL434" s="401"/>
      <c r="BM434" s="401"/>
      <c r="BN434" s="401"/>
      <c r="BO434" s="431"/>
      <c r="BP434" s="401"/>
      <c r="BQ434" s="401"/>
      <c r="BR434" s="400">
        <f t="shared" si="1598"/>
        <v>0</v>
      </c>
      <c r="BS434" s="401"/>
      <c r="BT434" s="401"/>
      <c r="BU434" s="401"/>
      <c r="BV434" s="431"/>
      <c r="BW434" s="401"/>
      <c r="BX434" s="401"/>
      <c r="BY434" s="400">
        <f t="shared" si="1598"/>
        <v>0</v>
      </c>
      <c r="BZ434" s="401"/>
      <c r="CA434" s="401"/>
      <c r="CB434" s="401"/>
      <c r="CC434" s="431"/>
      <c r="CD434" s="401"/>
      <c r="CE434" s="401"/>
      <c r="CF434" s="400">
        <f t="shared" si="1598"/>
        <v>0</v>
      </c>
      <c r="CG434" s="401"/>
      <c r="CH434" s="401"/>
      <c r="CI434" s="401"/>
      <c r="CJ434" s="431"/>
      <c r="CK434" s="401"/>
      <c r="CL434" s="401"/>
      <c r="CM434" s="400">
        <f t="shared" si="1598"/>
        <v>0</v>
      </c>
      <c r="CN434" s="401">
        <f t="shared" si="1598"/>
        <v>0</v>
      </c>
      <c r="CO434" s="401">
        <f t="shared" si="1598"/>
        <v>0</v>
      </c>
      <c r="CP434" s="401">
        <f t="shared" si="1598"/>
        <v>0</v>
      </c>
      <c r="CQ434" s="431">
        <f t="shared" si="1598"/>
        <v>0</v>
      </c>
      <c r="CR434" s="401">
        <f t="shared" si="1598"/>
        <v>0</v>
      </c>
      <c r="CS434" s="401">
        <f t="shared" si="1598"/>
        <v>0</v>
      </c>
      <c r="CT434" s="400">
        <f t="shared" si="1598"/>
        <v>0</v>
      </c>
      <c r="CU434" s="401">
        <f t="shared" si="1598"/>
        <v>0</v>
      </c>
      <c r="CV434" s="401">
        <f t="shared" si="1598"/>
        <v>0</v>
      </c>
      <c r="CW434" s="401">
        <f t="shared" si="1598"/>
        <v>0</v>
      </c>
      <c r="CX434" s="431">
        <f t="shared" si="1598"/>
        <v>0</v>
      </c>
      <c r="CY434" s="401">
        <f t="shared" si="1598"/>
        <v>0</v>
      </c>
      <c r="CZ434" s="401">
        <f t="shared" si="1598"/>
        <v>0</v>
      </c>
      <c r="DA434" s="400">
        <f t="shared" si="1598"/>
        <v>0</v>
      </c>
      <c r="DB434" s="401">
        <f t="shared" si="1598"/>
        <v>0</v>
      </c>
      <c r="DC434" s="401">
        <f t="shared" si="1598"/>
        <v>0</v>
      </c>
      <c r="DD434" s="401">
        <f t="shared" si="1598"/>
        <v>0</v>
      </c>
      <c r="DE434" s="431">
        <f t="shared" si="1598"/>
        <v>0</v>
      </c>
      <c r="DF434" s="401">
        <f t="shared" si="1598"/>
        <v>0</v>
      </c>
      <c r="DG434" s="401">
        <f t="shared" si="1598"/>
        <v>0</v>
      </c>
      <c r="DH434" s="400">
        <f t="shared" ref="DH434:EM434" si="1599">DH433-DH273</f>
        <v>0</v>
      </c>
      <c r="DI434" s="401">
        <f t="shared" si="1599"/>
        <v>0</v>
      </c>
      <c r="DJ434" s="401">
        <f t="shared" si="1599"/>
        <v>0</v>
      </c>
      <c r="DK434" s="401">
        <f t="shared" si="1599"/>
        <v>0</v>
      </c>
      <c r="DL434" s="431">
        <f t="shared" si="1599"/>
        <v>0</v>
      </c>
      <c r="DM434" s="401">
        <f t="shared" si="1599"/>
        <v>0</v>
      </c>
      <c r="DN434" s="401">
        <f t="shared" si="1599"/>
        <v>0</v>
      </c>
      <c r="DO434" s="400">
        <f t="shared" si="1599"/>
        <v>0</v>
      </c>
      <c r="DP434" s="401">
        <f t="shared" si="1599"/>
        <v>0</v>
      </c>
      <c r="DQ434" s="401">
        <f t="shared" si="1599"/>
        <v>0</v>
      </c>
      <c r="DR434" s="401">
        <f t="shared" si="1599"/>
        <v>0</v>
      </c>
      <c r="DS434" s="431">
        <f t="shared" si="1599"/>
        <v>0</v>
      </c>
      <c r="DT434" s="401">
        <f t="shared" si="1599"/>
        <v>0</v>
      </c>
      <c r="DU434" s="401">
        <f t="shared" si="1599"/>
        <v>0</v>
      </c>
      <c r="DV434" s="400">
        <f t="shared" si="1599"/>
        <v>0</v>
      </c>
      <c r="DW434" s="401">
        <f t="shared" si="1599"/>
        <v>0</v>
      </c>
      <c r="DX434" s="401">
        <f t="shared" si="1599"/>
        <v>0</v>
      </c>
      <c r="DY434" s="401">
        <f t="shared" si="1599"/>
        <v>0</v>
      </c>
      <c r="DZ434" s="431">
        <f t="shared" si="1599"/>
        <v>0</v>
      </c>
      <c r="EA434" s="401">
        <f t="shared" si="1599"/>
        <v>0</v>
      </c>
      <c r="EB434" s="401">
        <f t="shared" si="1599"/>
        <v>0</v>
      </c>
      <c r="EC434" s="400">
        <f t="shared" si="1599"/>
        <v>0</v>
      </c>
      <c r="ED434" s="401">
        <f t="shared" si="1599"/>
        <v>0</v>
      </c>
      <c r="EE434" s="401">
        <f t="shared" si="1599"/>
        <v>0</v>
      </c>
      <c r="EF434" s="401">
        <f t="shared" si="1599"/>
        <v>0</v>
      </c>
      <c r="EG434" s="431">
        <f t="shared" si="1599"/>
        <v>0</v>
      </c>
      <c r="EH434" s="401">
        <f t="shared" si="1599"/>
        <v>0</v>
      </c>
      <c r="EI434" s="401">
        <f t="shared" si="1599"/>
        <v>0</v>
      </c>
      <c r="EJ434" s="400">
        <f t="shared" si="1599"/>
        <v>0</v>
      </c>
      <c r="EK434" s="401">
        <f t="shared" si="1599"/>
        <v>0</v>
      </c>
      <c r="EL434" s="401">
        <f t="shared" si="1599"/>
        <v>0</v>
      </c>
      <c r="EM434" s="401">
        <f t="shared" si="1599"/>
        <v>0</v>
      </c>
      <c r="EN434" s="431">
        <f t="shared" ref="EN434:EQ434" si="1600">EN433-EN273</f>
        <v>0</v>
      </c>
      <c r="EO434" s="401">
        <f t="shared" si="1600"/>
        <v>0</v>
      </c>
      <c r="EP434" s="401">
        <f t="shared" si="1600"/>
        <v>0</v>
      </c>
      <c r="EQ434" s="400">
        <f t="shared" si="1600"/>
        <v>0</v>
      </c>
    </row>
    <row r="435" spans="1:147" ht="10.199999999999999" hidden="1" customHeight="1" outlineLevel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326"/>
      <c r="P435" s="326"/>
      <c r="Q435" s="326"/>
      <c r="R435" s="522"/>
      <c r="S435" s="326"/>
      <c r="T435" s="326"/>
      <c r="U435" s="393"/>
      <c r="V435" s="326"/>
      <c r="W435" s="326"/>
      <c r="X435" s="326"/>
      <c r="Y435" s="522"/>
      <c r="Z435" s="326"/>
      <c r="AA435" s="326"/>
      <c r="AB435" s="393"/>
      <c r="AC435" s="326"/>
      <c r="AD435" s="326"/>
      <c r="AE435" s="326"/>
      <c r="AF435" s="522"/>
      <c r="AG435" s="326"/>
      <c r="AH435" s="326"/>
      <c r="AI435" s="393"/>
      <c r="AJ435" s="326"/>
      <c r="AK435" s="326"/>
      <c r="AL435" s="326"/>
      <c r="AM435" s="522"/>
      <c r="AN435" s="326"/>
      <c r="AO435" s="326"/>
      <c r="AP435" s="393"/>
      <c r="AQ435" s="326"/>
      <c r="AR435" s="326"/>
      <c r="AS435" s="326"/>
      <c r="AT435" s="522"/>
      <c r="AU435" s="326"/>
      <c r="AV435" s="326"/>
      <c r="AW435" s="393"/>
      <c r="AX435" s="326"/>
      <c r="AY435" s="326"/>
      <c r="AZ435" s="326"/>
      <c r="BA435" s="522"/>
      <c r="BB435" s="326"/>
      <c r="BC435" s="326"/>
      <c r="BD435" s="393"/>
      <c r="BE435" s="326"/>
      <c r="BF435" s="326"/>
      <c r="BG435" s="326"/>
      <c r="BH435" s="522"/>
      <c r="BI435" s="326"/>
      <c r="BJ435" s="326"/>
      <c r="BK435" s="393"/>
      <c r="BL435" s="326"/>
      <c r="BM435" s="326"/>
      <c r="BN435" s="326"/>
      <c r="BO435" s="522"/>
      <c r="BP435" s="326"/>
      <c r="BQ435" s="326"/>
      <c r="BR435" s="393"/>
      <c r="BS435" s="326"/>
      <c r="BT435" s="326"/>
      <c r="BU435" s="326"/>
      <c r="BV435" s="522"/>
      <c r="BW435" s="326"/>
      <c r="BX435" s="326"/>
      <c r="BY435" s="393"/>
      <c r="BZ435" s="326"/>
      <c r="CA435" s="326"/>
      <c r="CB435" s="326"/>
      <c r="CC435" s="522"/>
      <c r="CD435" s="326"/>
      <c r="CE435" s="326"/>
      <c r="CF435" s="393"/>
      <c r="CG435" s="326"/>
      <c r="CH435" s="326"/>
      <c r="CI435" s="326"/>
      <c r="CJ435" s="522"/>
      <c r="CK435" s="326"/>
      <c r="CL435" s="326"/>
      <c r="CM435" s="393"/>
      <c r="CN435" s="326"/>
      <c r="CO435" s="326"/>
      <c r="CP435" s="326"/>
      <c r="CQ435" s="522"/>
      <c r="CR435" s="326"/>
      <c r="CS435" s="326"/>
      <c r="CT435" s="393"/>
      <c r="CU435" s="326"/>
      <c r="CV435" s="326"/>
      <c r="CW435" s="326"/>
      <c r="CX435" s="522"/>
      <c r="CY435" s="326"/>
      <c r="CZ435" s="326"/>
      <c r="DA435" s="393"/>
      <c r="DB435" s="326"/>
      <c r="DC435" s="326"/>
      <c r="DD435" s="326"/>
      <c r="DE435" s="522"/>
      <c r="DF435" s="326"/>
      <c r="DG435" s="326"/>
      <c r="DH435" s="393"/>
      <c r="DI435" s="326"/>
      <c r="DJ435" s="326"/>
      <c r="DK435" s="326"/>
      <c r="DL435" s="522"/>
      <c r="DM435" s="326"/>
      <c r="DN435" s="326"/>
      <c r="DO435" s="393"/>
      <c r="DP435" s="326"/>
      <c r="DQ435" s="326"/>
      <c r="DR435" s="326"/>
      <c r="DS435" s="522"/>
      <c r="DT435" s="326"/>
      <c r="DU435" s="326"/>
      <c r="DV435" s="393"/>
      <c r="DW435" s="326"/>
      <c r="DX435" s="326"/>
      <c r="DY435" s="326"/>
      <c r="DZ435" s="522"/>
      <c r="EA435" s="326"/>
      <c r="EB435" s="326"/>
      <c r="EC435" s="393"/>
      <c r="ED435" s="326"/>
      <c r="EE435" s="326"/>
      <c r="EF435" s="326"/>
      <c r="EG435" s="522"/>
      <c r="EH435" s="326"/>
      <c r="EI435" s="326"/>
      <c r="EJ435" s="393"/>
      <c r="EK435" s="326"/>
      <c r="EL435" s="326"/>
      <c r="EM435" s="326"/>
      <c r="EN435" s="522"/>
      <c r="EO435" s="326"/>
      <c r="EP435" s="326"/>
      <c r="EQ435" s="393"/>
    </row>
    <row r="436" spans="1:147" ht="10.199999999999999" hidden="1" customHeight="1" outlineLevel="1">
      <c r="A436" s="228" t="s">
        <v>718</v>
      </c>
      <c r="B436" s="48"/>
      <c r="C436" s="111"/>
      <c r="D436" s="111"/>
      <c r="E436" s="111">
        <f t="shared" ref="E436:CX436" si="1601">+E395</f>
        <v>18404.697657258941</v>
      </c>
      <c r="F436" s="111">
        <f t="shared" si="1601"/>
        <v>21603.101078919033</v>
      </c>
      <c r="G436" s="111">
        <f t="shared" si="1601"/>
        <v>24789.364206516744</v>
      </c>
      <c r="H436" s="111">
        <f t="shared" si="1601"/>
        <v>29090.202993061273</v>
      </c>
      <c r="I436" s="111">
        <f t="shared" si="1601"/>
        <v>28684.801653752224</v>
      </c>
      <c r="J436" s="111">
        <f t="shared" si="1601"/>
        <v>33922.82506889147</v>
      </c>
      <c r="K436" s="111">
        <f t="shared" si="1601"/>
        <v>34031.844153864338</v>
      </c>
      <c r="L436" s="111">
        <f t="shared" si="1601"/>
        <v>35506.570501323833</v>
      </c>
      <c r="M436" s="111">
        <f t="shared" si="1601"/>
        <v>39654.507688797006</v>
      </c>
      <c r="N436" s="111">
        <f t="shared" si="1601"/>
        <v>46515.507958466347</v>
      </c>
      <c r="O436" s="401"/>
      <c r="P436" s="401"/>
      <c r="Q436" s="401"/>
      <c r="R436" s="431"/>
      <c r="S436" s="401"/>
      <c r="T436" s="401"/>
      <c r="U436" s="400">
        <f t="shared" si="1601"/>
        <v>50378.571576470589</v>
      </c>
      <c r="V436" s="401"/>
      <c r="W436" s="401"/>
      <c r="X436" s="401"/>
      <c r="Y436" s="431"/>
      <c r="Z436" s="401"/>
      <c r="AA436" s="401"/>
      <c r="AB436" s="400">
        <f t="shared" si="1601"/>
        <v>54660.600847883208</v>
      </c>
      <c r="AC436" s="401"/>
      <c r="AD436" s="401"/>
      <c r="AE436" s="401"/>
      <c r="AF436" s="431"/>
      <c r="AG436" s="401"/>
      <c r="AH436" s="401"/>
      <c r="AI436" s="400">
        <f t="shared" si="1601"/>
        <v>52890.338147407398</v>
      </c>
      <c r="AJ436" s="401"/>
      <c r="AK436" s="401"/>
      <c r="AL436" s="401"/>
      <c r="AM436" s="431"/>
      <c r="AN436" s="401"/>
      <c r="AO436" s="401"/>
      <c r="AP436" s="400">
        <f t="shared" si="1601"/>
        <v>55953.99858955224</v>
      </c>
      <c r="AQ436" s="401"/>
      <c r="AR436" s="401"/>
      <c r="AS436" s="401"/>
      <c r="AT436" s="431"/>
      <c r="AU436" s="401"/>
      <c r="AV436" s="401"/>
      <c r="AW436" s="400">
        <f t="shared" si="1601"/>
        <v>57769.254266666656</v>
      </c>
      <c r="AX436" s="401"/>
      <c r="AY436" s="401"/>
      <c r="AZ436" s="401"/>
      <c r="BA436" s="431"/>
      <c r="BB436" s="401"/>
      <c r="BC436" s="401"/>
      <c r="BD436" s="400">
        <f t="shared" si="1601"/>
        <v>49832.495866666664</v>
      </c>
      <c r="BE436" s="401"/>
      <c r="BF436" s="401"/>
      <c r="BG436" s="401"/>
      <c r="BH436" s="431"/>
      <c r="BI436" s="401"/>
      <c r="BJ436" s="401"/>
      <c r="BK436" s="400">
        <f t="shared" si="1601"/>
        <v>55374.215472868207</v>
      </c>
      <c r="BL436" s="401"/>
      <c r="BM436" s="401"/>
      <c r="BN436" s="401"/>
      <c r="BO436" s="431"/>
      <c r="BP436" s="401"/>
      <c r="BQ436" s="401"/>
      <c r="BR436" s="400">
        <f t="shared" si="1601"/>
        <v>62608.780645161292</v>
      </c>
      <c r="BS436" s="401"/>
      <c r="BT436" s="401"/>
      <c r="BU436" s="401"/>
      <c r="BV436" s="431"/>
      <c r="BW436" s="401"/>
      <c r="BX436" s="401"/>
      <c r="BY436" s="400">
        <f t="shared" si="1601"/>
        <v>38223</v>
      </c>
      <c r="BZ436" s="401"/>
      <c r="CA436" s="401"/>
      <c r="CB436" s="401"/>
      <c r="CC436" s="431"/>
      <c r="CD436" s="401"/>
      <c r="CE436" s="401"/>
      <c r="CF436" s="400">
        <f t="shared" si="1601"/>
        <v>40617.361747899151</v>
      </c>
      <c r="CG436" s="401"/>
      <c r="CH436" s="401"/>
      <c r="CI436" s="401"/>
      <c r="CJ436" s="431"/>
      <c r="CK436" s="401"/>
      <c r="CL436" s="401"/>
      <c r="CM436" s="400">
        <f t="shared" si="1601"/>
        <v>43492.368996721314</v>
      </c>
      <c r="CN436" s="401">
        <f t="shared" si="1601"/>
        <v>8105.1040369180319</v>
      </c>
      <c r="CO436" s="401">
        <f t="shared" si="1601"/>
        <v>12771.374848166332</v>
      </c>
      <c r="CP436" s="401">
        <f t="shared" si="1601"/>
        <v>11355.265277627121</v>
      </c>
      <c r="CQ436" s="431">
        <f t="shared" si="1601"/>
        <v>16991.644919201201</v>
      </c>
      <c r="CR436" s="401">
        <f t="shared" si="1601"/>
        <v>20876.478885084362</v>
      </c>
      <c r="CS436" s="401">
        <f t="shared" si="1601"/>
        <v>28346.910196828321</v>
      </c>
      <c r="CT436" s="400">
        <f t="shared" si="1601"/>
        <v>49223.389081912683</v>
      </c>
      <c r="CU436" s="401">
        <f t="shared" si="1601"/>
        <v>9205.2612219512193</v>
      </c>
      <c r="CV436" s="401">
        <f t="shared" si="1601"/>
        <v>12342.152333604336</v>
      </c>
      <c r="CW436" s="401">
        <f t="shared" si="1601"/>
        <v>11885.722666666668</v>
      </c>
      <c r="CX436" s="431">
        <f t="shared" si="1601"/>
        <v>18287.337761248855</v>
      </c>
      <c r="CY436" s="401">
        <f t="shared" ref="CY436:ED436" si="1602">+CY395</f>
        <v>21547.413555555555</v>
      </c>
      <c r="CZ436" s="401">
        <f t="shared" si="1602"/>
        <v>30173.060427915523</v>
      </c>
      <c r="DA436" s="400">
        <f t="shared" si="1602"/>
        <v>51720.473983471078</v>
      </c>
      <c r="DB436" s="401">
        <f t="shared" si="1602"/>
        <v>8968.0807352941156</v>
      </c>
      <c r="DC436" s="401">
        <f t="shared" si="1602"/>
        <v>11251.091661316052</v>
      </c>
      <c r="DD436" s="401">
        <f t="shared" si="1602"/>
        <v>13481.136842305084</v>
      </c>
      <c r="DE436" s="431">
        <f t="shared" si="1602"/>
        <v>20420.299221322966</v>
      </c>
      <c r="DF436" s="401">
        <f t="shared" si="1602"/>
        <v>20219.172396610171</v>
      </c>
      <c r="DG436" s="401">
        <f t="shared" si="1602"/>
        <v>33858.843903797824</v>
      </c>
      <c r="DH436" s="400">
        <f t="shared" si="1602"/>
        <v>54051.473139149573</v>
      </c>
      <c r="DI436" s="401">
        <f t="shared" si="1602"/>
        <v>8308.8749921198632</v>
      </c>
      <c r="DJ436" s="401">
        <f t="shared" si="1602"/>
        <v>16260.269797992842</v>
      </c>
      <c r="DK436" s="401">
        <f t="shared" si="1602"/>
        <v>14785.698370981583</v>
      </c>
      <c r="DL436" s="431">
        <f t="shared" si="1602"/>
        <v>21528.962719028739</v>
      </c>
      <c r="DM436" s="401">
        <f t="shared" si="1602"/>
        <v>24626.596184638878</v>
      </c>
      <c r="DN436" s="401">
        <f t="shared" si="1602"/>
        <v>36345.458729777529</v>
      </c>
      <c r="DO436" s="400">
        <f t="shared" si="1602"/>
        <v>61256.999491407318</v>
      </c>
      <c r="DP436" s="401">
        <f t="shared" si="1602"/>
        <v>17253.368566964997</v>
      </c>
      <c r="DQ436" s="401">
        <f t="shared" si="1602"/>
        <v>18016.853139563707</v>
      </c>
      <c r="DR436" s="401">
        <f t="shared" si="1602"/>
        <v>18021.35443877133</v>
      </c>
      <c r="DS436" s="431">
        <f t="shared" si="1602"/>
        <v>18021.35443877133</v>
      </c>
      <c r="DT436" s="401">
        <f t="shared" si="1602"/>
        <v>35270.221706528704</v>
      </c>
      <c r="DU436" s="401">
        <f t="shared" si="1602"/>
        <v>36042.70887754266</v>
      </c>
      <c r="DV436" s="400">
        <f t="shared" si="1602"/>
        <v>71312.930584071364</v>
      </c>
      <c r="DW436" s="401">
        <f t="shared" si="1602"/>
        <v>18960.279693686771</v>
      </c>
      <c r="DX436" s="401">
        <f t="shared" si="1602"/>
        <v>19874.697324992565</v>
      </c>
      <c r="DY436" s="401">
        <f t="shared" si="1602"/>
        <v>19879.311156680378</v>
      </c>
      <c r="DZ436" s="431">
        <f t="shared" si="1602"/>
        <v>20323.011205516548</v>
      </c>
      <c r="EA436" s="401">
        <f t="shared" si="1602"/>
        <v>38834.977018679332</v>
      </c>
      <c r="EB436" s="401">
        <f t="shared" si="1602"/>
        <v>40202.322362196923</v>
      </c>
      <c r="EC436" s="400">
        <f t="shared" si="1602"/>
        <v>79037.299380876255</v>
      </c>
      <c r="ED436" s="401">
        <f t="shared" si="1602"/>
        <v>20876.895114392195</v>
      </c>
      <c r="EE436" s="401">
        <f t="shared" ref="EE436:EQ436" si="1603">+EE395</f>
        <v>20872.165936912184</v>
      </c>
      <c r="EF436" s="401">
        <f t="shared" si="1603"/>
        <v>20876.895114392195</v>
      </c>
      <c r="EG436" s="431">
        <f t="shared" si="1603"/>
        <v>21339.956619904853</v>
      </c>
      <c r="EH436" s="401">
        <f t="shared" si="1603"/>
        <v>41749.061051304379</v>
      </c>
      <c r="EI436" s="401">
        <f t="shared" si="1603"/>
        <v>42216.851734297044</v>
      </c>
      <c r="EJ436" s="400">
        <f t="shared" si="1603"/>
        <v>83965.912785601424</v>
      </c>
      <c r="EK436" s="401">
        <f t="shared" si="1603"/>
        <v>21615.912073463835</v>
      </c>
      <c r="EL436" s="401">
        <f t="shared" si="1603"/>
        <v>21611.064666546823</v>
      </c>
      <c r="EM436" s="401">
        <f t="shared" si="1603"/>
        <v>21615.912073463835</v>
      </c>
      <c r="EN436" s="431">
        <f t="shared" si="1603"/>
        <v>22090.550116614308</v>
      </c>
      <c r="EO436" s="401">
        <f t="shared" si="1603"/>
        <v>43226.97674001065</v>
      </c>
      <c r="EP436" s="401">
        <f t="shared" si="1603"/>
        <v>43706.462190078135</v>
      </c>
      <c r="EQ436" s="400">
        <f t="shared" si="1603"/>
        <v>86933.4389300888</v>
      </c>
    </row>
    <row r="437" spans="1:147" ht="10.199999999999999" hidden="1" customHeight="1" outlineLevel="1">
      <c r="A437" s="529" t="s">
        <v>557</v>
      </c>
      <c r="B437" s="51"/>
      <c r="C437" s="114"/>
      <c r="D437" s="114"/>
      <c r="E437" s="114">
        <f t="shared" ref="E437:CX437" si="1604">+E430-E436</f>
        <v>-754.26415972199175</v>
      </c>
      <c r="F437" s="114">
        <f t="shared" si="1604"/>
        <v>-3118.8173289190308</v>
      </c>
      <c r="G437" s="114">
        <f t="shared" si="1604"/>
        <v>-3375.2494565167472</v>
      </c>
      <c r="H437" s="114">
        <f t="shared" si="1604"/>
        <v>-4277.2954240050312</v>
      </c>
      <c r="I437" s="114">
        <f t="shared" si="1604"/>
        <v>-3253.9434359281659</v>
      </c>
      <c r="J437" s="114">
        <f t="shared" si="1604"/>
        <v>-4776.5189756621694</v>
      </c>
      <c r="K437" s="114">
        <f t="shared" si="1604"/>
        <v>-3722.2596564724154</v>
      </c>
      <c r="L437" s="114">
        <f t="shared" si="1604"/>
        <v>1212.9844986761673</v>
      </c>
      <c r="M437" s="114">
        <f t="shared" si="1604"/>
        <v>911.27931120299036</v>
      </c>
      <c r="N437" s="114">
        <f t="shared" si="1604"/>
        <v>-9355.5016084663512</v>
      </c>
      <c r="O437" s="406"/>
      <c r="P437" s="406"/>
      <c r="Q437" s="406"/>
      <c r="R437" s="435"/>
      <c r="S437" s="406"/>
      <c r="T437" s="406"/>
      <c r="U437" s="405">
        <f t="shared" si="1604"/>
        <v>-11036.673076470594</v>
      </c>
      <c r="V437" s="406"/>
      <c r="W437" s="406"/>
      <c r="X437" s="406"/>
      <c r="Y437" s="435"/>
      <c r="Z437" s="406"/>
      <c r="AA437" s="406"/>
      <c r="AB437" s="405">
        <f t="shared" si="1604"/>
        <v>-351.36513771992031</v>
      </c>
      <c r="AC437" s="406"/>
      <c r="AD437" s="406"/>
      <c r="AE437" s="406"/>
      <c r="AF437" s="435"/>
      <c r="AG437" s="406"/>
      <c r="AH437" s="406"/>
      <c r="AI437" s="405">
        <f t="shared" si="1604"/>
        <v>300.47905823354085</v>
      </c>
      <c r="AJ437" s="406"/>
      <c r="AK437" s="406"/>
      <c r="AL437" s="406"/>
      <c r="AM437" s="435"/>
      <c r="AN437" s="406"/>
      <c r="AO437" s="406"/>
      <c r="AP437" s="405">
        <f t="shared" si="1604"/>
        <v>87.429262343590381</v>
      </c>
      <c r="AQ437" s="406"/>
      <c r="AR437" s="406"/>
      <c r="AS437" s="406"/>
      <c r="AT437" s="435"/>
      <c r="AU437" s="406"/>
      <c r="AV437" s="406"/>
      <c r="AW437" s="405">
        <f t="shared" si="1604"/>
        <v>252.53517150014522</v>
      </c>
      <c r="AX437" s="406"/>
      <c r="AY437" s="406"/>
      <c r="AZ437" s="406"/>
      <c r="BA437" s="435"/>
      <c r="BB437" s="406"/>
      <c r="BC437" s="406"/>
      <c r="BD437" s="405">
        <f t="shared" si="1604"/>
        <v>-292.32847165664134</v>
      </c>
      <c r="BE437" s="406"/>
      <c r="BF437" s="406"/>
      <c r="BG437" s="406"/>
      <c r="BH437" s="435"/>
      <c r="BI437" s="406"/>
      <c r="BJ437" s="406"/>
      <c r="BK437" s="405">
        <f t="shared" si="1604"/>
        <v>-706.12519454229914</v>
      </c>
      <c r="BL437" s="406"/>
      <c r="BM437" s="406"/>
      <c r="BN437" s="406"/>
      <c r="BO437" s="435"/>
      <c r="BP437" s="406"/>
      <c r="BQ437" s="406"/>
      <c r="BR437" s="405">
        <f t="shared" si="1604"/>
        <v>-265.7820582812783</v>
      </c>
      <c r="BS437" s="406"/>
      <c r="BT437" s="406"/>
      <c r="BU437" s="406"/>
      <c r="BV437" s="435"/>
      <c r="BW437" s="406"/>
      <c r="BX437" s="406"/>
      <c r="BY437" s="405">
        <f t="shared" si="1604"/>
        <v>-798.70727609640744</v>
      </c>
      <c r="BZ437" s="406"/>
      <c r="CA437" s="406"/>
      <c r="CB437" s="406"/>
      <c r="CC437" s="435"/>
      <c r="CD437" s="406"/>
      <c r="CE437" s="406"/>
      <c r="CF437" s="405">
        <f t="shared" si="1604"/>
        <v>0.71048542329663178</v>
      </c>
      <c r="CG437" s="406"/>
      <c r="CH437" s="406"/>
      <c r="CI437" s="406"/>
      <c r="CJ437" s="435"/>
      <c r="CK437" s="406"/>
      <c r="CL437" s="406"/>
      <c r="CM437" s="405">
        <f t="shared" si="1604"/>
        <v>161.02769310721487</v>
      </c>
      <c r="CN437" s="406">
        <f t="shared" si="1604"/>
        <v>33.019259281696577</v>
      </c>
      <c r="CO437" s="406">
        <f t="shared" si="1604"/>
        <v>-7.5581147086504643</v>
      </c>
      <c r="CP437" s="406">
        <f t="shared" si="1604"/>
        <v>18.654868245506805</v>
      </c>
      <c r="CQ437" s="435">
        <f t="shared" si="1604"/>
        <v>-233.96425912484119</v>
      </c>
      <c r="CR437" s="406">
        <f t="shared" si="1604"/>
        <v>70.002911188486905</v>
      </c>
      <c r="CS437" s="406">
        <f t="shared" si="1604"/>
        <v>-121.67523201028598</v>
      </c>
      <c r="CT437" s="405">
        <f t="shared" si="1604"/>
        <v>141.04363508387905</v>
      </c>
      <c r="CU437" s="406">
        <f t="shared" si="1604"/>
        <v>33.626726973452605</v>
      </c>
      <c r="CV437" s="406">
        <f t="shared" si="1604"/>
        <v>93.184020209617302</v>
      </c>
      <c r="CW437" s="406">
        <f t="shared" si="1604"/>
        <v>22.435911530230442</v>
      </c>
      <c r="CX437" s="435">
        <f t="shared" si="1604"/>
        <v>44.120179223118612</v>
      </c>
      <c r="CY437" s="406">
        <f t="shared" ref="CY437:ED437" si="1605">+CY430-CY436</f>
        <v>74.727389153842523</v>
      </c>
      <c r="CZ437" s="406">
        <f t="shared" si="1605"/>
        <v>40.60971984027492</v>
      </c>
      <c r="DA437" s="405">
        <f t="shared" si="1605"/>
        <v>165.44734652720217</v>
      </c>
      <c r="DB437" s="406">
        <f t="shared" si="1605"/>
        <v>34.759133197363553</v>
      </c>
      <c r="DC437" s="406">
        <f t="shared" si="1605"/>
        <v>-26.935210785151867</v>
      </c>
      <c r="DD437" s="406">
        <f t="shared" si="1605"/>
        <v>0.32109520079757203</v>
      </c>
      <c r="DE437" s="435">
        <f t="shared" si="1605"/>
        <v>0</v>
      </c>
      <c r="DF437" s="406">
        <f t="shared" si="1605"/>
        <v>31.51570266597264</v>
      </c>
      <c r="DG437" s="406">
        <f t="shared" si="1605"/>
        <v>0</v>
      </c>
      <c r="DH437" s="405">
        <f t="shared" si="1605"/>
        <v>0</v>
      </c>
      <c r="DI437" s="406">
        <f t="shared" si="1605"/>
        <v>0</v>
      </c>
      <c r="DJ437" s="406">
        <f t="shared" si="1605"/>
        <v>0</v>
      </c>
      <c r="DK437" s="406">
        <f t="shared" si="1605"/>
        <v>0</v>
      </c>
      <c r="DL437" s="435">
        <f t="shared" si="1605"/>
        <v>0</v>
      </c>
      <c r="DM437" s="406">
        <f t="shared" si="1605"/>
        <v>8.1779277379500854</v>
      </c>
      <c r="DN437" s="406">
        <f t="shared" si="1605"/>
        <v>0</v>
      </c>
      <c r="DO437" s="405">
        <f t="shared" si="1605"/>
        <v>0</v>
      </c>
      <c r="DP437" s="406">
        <f t="shared" si="1605"/>
        <v>0</v>
      </c>
      <c r="DQ437" s="406">
        <f t="shared" si="1605"/>
        <v>0</v>
      </c>
      <c r="DR437" s="406">
        <f t="shared" si="1605"/>
        <v>0</v>
      </c>
      <c r="DS437" s="435">
        <f t="shared" si="1605"/>
        <v>0</v>
      </c>
      <c r="DT437" s="406">
        <f t="shared" si="1605"/>
        <v>0</v>
      </c>
      <c r="DU437" s="406">
        <f t="shared" si="1605"/>
        <v>0</v>
      </c>
      <c r="DV437" s="405">
        <f t="shared" si="1605"/>
        <v>0</v>
      </c>
      <c r="DW437" s="406">
        <f t="shared" si="1605"/>
        <v>0</v>
      </c>
      <c r="DX437" s="406">
        <f t="shared" si="1605"/>
        <v>0</v>
      </c>
      <c r="DY437" s="406">
        <f t="shared" si="1605"/>
        <v>0</v>
      </c>
      <c r="DZ437" s="435">
        <f t="shared" si="1605"/>
        <v>0</v>
      </c>
      <c r="EA437" s="406">
        <f t="shared" si="1605"/>
        <v>0</v>
      </c>
      <c r="EB437" s="406">
        <f t="shared" si="1605"/>
        <v>0</v>
      </c>
      <c r="EC437" s="405">
        <f t="shared" si="1605"/>
        <v>0</v>
      </c>
      <c r="ED437" s="406">
        <f t="shared" si="1605"/>
        <v>0</v>
      </c>
      <c r="EE437" s="406">
        <f t="shared" ref="EE437:EQ437" si="1606">+EE430-EE436</f>
        <v>0</v>
      </c>
      <c r="EF437" s="406">
        <f t="shared" si="1606"/>
        <v>0</v>
      </c>
      <c r="EG437" s="435">
        <f t="shared" si="1606"/>
        <v>0</v>
      </c>
      <c r="EH437" s="406">
        <f t="shared" si="1606"/>
        <v>0</v>
      </c>
      <c r="EI437" s="406">
        <f t="shared" si="1606"/>
        <v>0</v>
      </c>
      <c r="EJ437" s="405">
        <f t="shared" si="1606"/>
        <v>0</v>
      </c>
      <c r="EK437" s="406">
        <f t="shared" si="1606"/>
        <v>0</v>
      </c>
      <c r="EL437" s="406">
        <f t="shared" si="1606"/>
        <v>0</v>
      </c>
      <c r="EM437" s="406">
        <f t="shared" si="1606"/>
        <v>0</v>
      </c>
      <c r="EN437" s="435">
        <f t="shared" si="1606"/>
        <v>0</v>
      </c>
      <c r="EO437" s="406">
        <f t="shared" si="1606"/>
        <v>0</v>
      </c>
      <c r="EP437" s="406">
        <f t="shared" si="1606"/>
        <v>0</v>
      </c>
      <c r="EQ437" s="405">
        <f t="shared" si="1606"/>
        <v>0</v>
      </c>
    </row>
    <row r="438" spans="1:147" ht="10.199999999999999" hidden="1" customHeight="1" outlineLevel="1">
      <c r="A438" s="19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399"/>
      <c r="P438" s="399"/>
      <c r="Q438" s="399"/>
      <c r="R438" s="425"/>
      <c r="S438" s="399"/>
      <c r="T438" s="399"/>
      <c r="U438" s="404"/>
      <c r="V438" s="399"/>
      <c r="W438" s="399"/>
      <c r="X438" s="399"/>
      <c r="Y438" s="425"/>
      <c r="Z438" s="399"/>
      <c r="AA438" s="399"/>
      <c r="AB438" s="404"/>
      <c r="AC438" s="399"/>
      <c r="AD438" s="399"/>
      <c r="AE438" s="399"/>
      <c r="AF438" s="425"/>
      <c r="AG438" s="399"/>
      <c r="AH438" s="399"/>
      <c r="AI438" s="404"/>
      <c r="AJ438" s="399"/>
      <c r="AK438" s="399"/>
      <c r="AL438" s="399"/>
      <c r="AM438" s="425"/>
      <c r="AN438" s="399"/>
      <c r="AO438" s="399"/>
      <c r="AP438" s="404"/>
      <c r="AQ438" s="399"/>
      <c r="AR438" s="399"/>
      <c r="AS438" s="399"/>
      <c r="AT438" s="425"/>
      <c r="AU438" s="399"/>
      <c r="AV438" s="399"/>
      <c r="AW438" s="404"/>
      <c r="AX438" s="399"/>
      <c r="AY438" s="399"/>
      <c r="AZ438" s="399"/>
      <c r="BA438" s="425"/>
      <c r="BB438" s="399"/>
      <c r="BC438" s="399"/>
      <c r="BD438" s="404"/>
      <c r="BE438" s="399"/>
      <c r="BF438" s="399"/>
      <c r="BG438" s="399"/>
      <c r="BH438" s="425"/>
      <c r="BI438" s="399"/>
      <c r="BJ438" s="399"/>
      <c r="BK438" s="404"/>
      <c r="BL438" s="399"/>
      <c r="BM438" s="399"/>
      <c r="BN438" s="399"/>
      <c r="BO438" s="425"/>
      <c r="BP438" s="399"/>
      <c r="BQ438" s="399"/>
      <c r="BR438" s="404"/>
      <c r="BS438" s="399"/>
      <c r="BT438" s="399"/>
      <c r="BU438" s="399"/>
      <c r="BV438" s="425"/>
      <c r="BW438" s="399"/>
      <c r="BX438" s="399"/>
      <c r="BY438" s="404"/>
      <c r="BZ438" s="399"/>
      <c r="CA438" s="399"/>
      <c r="CB438" s="399"/>
      <c r="CC438" s="425"/>
      <c r="CD438" s="399"/>
      <c r="CE438" s="399"/>
      <c r="CF438" s="404"/>
      <c r="CG438" s="399"/>
      <c r="CH438" s="399"/>
      <c r="CI438" s="399"/>
      <c r="CJ438" s="425"/>
      <c r="CK438" s="399"/>
      <c r="CL438" s="399"/>
      <c r="CM438" s="404"/>
      <c r="CN438" s="399"/>
      <c r="CO438" s="399"/>
      <c r="CP438" s="399"/>
      <c r="CQ438" s="425"/>
      <c r="CR438" s="399"/>
      <c r="CS438" s="399"/>
      <c r="CT438" s="404"/>
      <c r="CU438" s="399"/>
      <c r="CV438" s="399"/>
      <c r="CW438" s="399"/>
      <c r="CX438" s="425"/>
      <c r="CY438" s="399"/>
      <c r="CZ438" s="399"/>
      <c r="DA438" s="404"/>
      <c r="DB438" s="399"/>
      <c r="DC438" s="399"/>
      <c r="DD438" s="399"/>
      <c r="DE438" s="425"/>
      <c r="DF438" s="399"/>
      <c r="DG438" s="399"/>
      <c r="DH438" s="404"/>
      <c r="DI438" s="399"/>
      <c r="DJ438" s="399"/>
      <c r="DK438" s="399"/>
      <c r="DL438" s="425"/>
      <c r="DM438" s="399"/>
      <c r="DN438" s="399"/>
      <c r="DO438" s="404"/>
      <c r="DP438" s="399"/>
      <c r="DQ438" s="399"/>
      <c r="DR438" s="399"/>
      <c r="DS438" s="425"/>
      <c r="DT438" s="399"/>
      <c r="DU438" s="399"/>
      <c r="DV438" s="404"/>
      <c r="DW438" s="399"/>
      <c r="DX438" s="399"/>
      <c r="DY438" s="399"/>
      <c r="DZ438" s="425"/>
      <c r="EA438" s="399"/>
      <c r="EB438" s="399"/>
      <c r="EC438" s="404"/>
      <c r="ED438" s="399"/>
      <c r="EE438" s="399"/>
      <c r="EF438" s="399"/>
      <c r="EG438" s="425"/>
      <c r="EH438" s="399"/>
      <c r="EI438" s="399"/>
      <c r="EJ438" s="404"/>
      <c r="EK438" s="399"/>
      <c r="EL438" s="399"/>
      <c r="EM438" s="399"/>
      <c r="EN438" s="425"/>
      <c r="EO438" s="399"/>
      <c r="EP438" s="399"/>
      <c r="EQ438" s="404"/>
    </row>
    <row r="439" spans="1:147" ht="10.199999999999999" hidden="1" customHeight="1" outlineLevel="1">
      <c r="A439" s="252" t="s">
        <v>713</v>
      </c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436"/>
      <c r="P439" s="436"/>
      <c r="Q439" s="436"/>
      <c r="R439" s="437"/>
      <c r="S439" s="436"/>
      <c r="T439" s="436"/>
      <c r="U439" s="407"/>
      <c r="V439" s="436"/>
      <c r="W439" s="436"/>
      <c r="X439" s="436"/>
      <c r="Y439" s="437"/>
      <c r="Z439" s="436"/>
      <c r="AA439" s="436"/>
      <c r="AB439" s="407"/>
      <c r="AC439" s="436"/>
      <c r="AD439" s="436"/>
      <c r="AE439" s="436"/>
      <c r="AF439" s="437"/>
      <c r="AG439" s="436"/>
      <c r="AH439" s="436"/>
      <c r="AI439" s="407"/>
      <c r="AJ439" s="436"/>
      <c r="AK439" s="436"/>
      <c r="AL439" s="436"/>
      <c r="AM439" s="437"/>
      <c r="AN439" s="436"/>
      <c r="AO439" s="436"/>
      <c r="AP439" s="407"/>
      <c r="AQ439" s="436"/>
      <c r="AR439" s="436"/>
      <c r="AS439" s="436"/>
      <c r="AT439" s="437"/>
      <c r="AU439" s="436"/>
      <c r="AV439" s="436"/>
      <c r="AW439" s="407"/>
      <c r="AX439" s="436"/>
      <c r="AY439" s="436"/>
      <c r="AZ439" s="436"/>
      <c r="BA439" s="437"/>
      <c r="BB439" s="436"/>
      <c r="BC439" s="436"/>
      <c r="BD439" s="407"/>
      <c r="BE439" s="436"/>
      <c r="BF439" s="436"/>
      <c r="BG439" s="436"/>
      <c r="BH439" s="437"/>
      <c r="BI439" s="436"/>
      <c r="BJ439" s="436"/>
      <c r="BK439" s="407"/>
      <c r="BL439" s="436"/>
      <c r="BM439" s="436"/>
      <c r="BN439" s="436"/>
      <c r="BO439" s="437"/>
      <c r="BP439" s="436"/>
      <c r="BQ439" s="436"/>
      <c r="BR439" s="407"/>
      <c r="BS439" s="436"/>
      <c r="BT439" s="436"/>
      <c r="BU439" s="436"/>
      <c r="BV439" s="437"/>
      <c r="BW439" s="436"/>
      <c r="BX439" s="436"/>
      <c r="BY439" s="407"/>
      <c r="BZ439" s="436"/>
      <c r="CA439" s="436"/>
      <c r="CB439" s="436"/>
      <c r="CC439" s="437"/>
      <c r="CD439" s="436"/>
      <c r="CE439" s="436"/>
      <c r="CF439" s="407"/>
      <c r="CG439" s="436"/>
      <c r="CH439" s="436"/>
      <c r="CI439" s="436"/>
      <c r="CJ439" s="437"/>
      <c r="CK439" s="436"/>
      <c r="CL439" s="436"/>
      <c r="CM439" s="407"/>
      <c r="CN439" s="436"/>
      <c r="CO439" s="436"/>
      <c r="CP439" s="436"/>
      <c r="CQ439" s="437"/>
      <c r="CR439" s="436"/>
      <c r="CS439" s="436"/>
      <c r="CT439" s="407"/>
      <c r="CU439" s="436"/>
      <c r="CV439" s="436"/>
      <c r="CW439" s="436"/>
      <c r="CX439" s="437"/>
      <c r="CY439" s="436"/>
      <c r="CZ439" s="436"/>
      <c r="DA439" s="407"/>
      <c r="DB439" s="436"/>
      <c r="DC439" s="436"/>
      <c r="DD439" s="436"/>
      <c r="DE439" s="437"/>
      <c r="DF439" s="436"/>
      <c r="DG439" s="436"/>
      <c r="DH439" s="407"/>
      <c r="DI439" s="436"/>
      <c r="DJ439" s="436"/>
      <c r="DK439" s="436"/>
      <c r="DL439" s="437"/>
      <c r="DM439" s="436"/>
      <c r="DN439" s="436"/>
      <c r="DO439" s="407"/>
      <c r="DP439" s="436"/>
      <c r="DQ439" s="436"/>
      <c r="DR439" s="436"/>
      <c r="DS439" s="437"/>
      <c r="DT439" s="436"/>
      <c r="DU439" s="436"/>
      <c r="DV439" s="407"/>
      <c r="DW439" s="436"/>
      <c r="DX439" s="436"/>
      <c r="DY439" s="436"/>
      <c r="DZ439" s="437"/>
      <c r="EA439" s="436"/>
      <c r="EB439" s="436"/>
      <c r="EC439" s="407"/>
      <c r="ED439" s="436"/>
      <c r="EE439" s="436"/>
      <c r="EF439" s="436"/>
      <c r="EG439" s="437"/>
      <c r="EH439" s="436"/>
      <c r="EI439" s="436"/>
      <c r="EJ439" s="407"/>
      <c r="EK439" s="436"/>
      <c r="EL439" s="436"/>
      <c r="EM439" s="436"/>
      <c r="EN439" s="437"/>
      <c r="EO439" s="436"/>
      <c r="EP439" s="436"/>
      <c r="EQ439" s="407"/>
    </row>
    <row r="440" spans="1:147" ht="10.199999999999999" hidden="1" customHeight="1" outlineLevel="1">
      <c r="A440" s="108" t="s">
        <v>644</v>
      </c>
      <c r="B440" s="4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409"/>
      <c r="P440" s="409"/>
      <c r="Q440" s="409"/>
      <c r="R440" s="438"/>
      <c r="S440" s="409"/>
      <c r="T440" s="409"/>
      <c r="U440" s="408"/>
      <c r="V440" s="409"/>
      <c r="W440" s="409"/>
      <c r="X440" s="409"/>
      <c r="Y440" s="438"/>
      <c r="Z440" s="409"/>
      <c r="AA440" s="409"/>
      <c r="AB440" s="408"/>
      <c r="AC440" s="409"/>
      <c r="AD440" s="409"/>
      <c r="AE440" s="409"/>
      <c r="AF440" s="438"/>
      <c r="AG440" s="409"/>
      <c r="AH440" s="409"/>
      <c r="AI440" s="408"/>
      <c r="AJ440" s="409"/>
      <c r="AK440" s="409"/>
      <c r="AL440" s="409"/>
      <c r="AM440" s="438"/>
      <c r="AN440" s="409"/>
      <c r="AO440" s="409"/>
      <c r="AP440" s="408"/>
      <c r="AQ440" s="409"/>
      <c r="AR440" s="409"/>
      <c r="AS440" s="409"/>
      <c r="AT440" s="438"/>
      <c r="AU440" s="409"/>
      <c r="AV440" s="409"/>
      <c r="AW440" s="408"/>
      <c r="AX440" s="409"/>
      <c r="AY440" s="409"/>
      <c r="AZ440" s="409"/>
      <c r="BA440" s="438"/>
      <c r="BB440" s="409"/>
      <c r="BC440" s="409"/>
      <c r="BD440" s="408"/>
      <c r="BE440" s="409"/>
      <c r="BF440" s="409"/>
      <c r="BG440" s="409"/>
      <c r="BH440" s="438"/>
      <c r="BI440" s="409"/>
      <c r="BJ440" s="409"/>
      <c r="BK440" s="408">
        <f>BK640</f>
        <v>-61.561312701742949</v>
      </c>
      <c r="BL440" s="409"/>
      <c r="BM440" s="409"/>
      <c r="BN440" s="409"/>
      <c r="BO440" s="438"/>
      <c r="BP440" s="409"/>
      <c r="BQ440" s="409"/>
      <c r="BR440" s="408">
        <f>BR640</f>
        <v>-221.56425443521786</v>
      </c>
      <c r="BS440" s="409"/>
      <c r="BT440" s="409"/>
      <c r="BU440" s="409"/>
      <c r="BV440" s="438"/>
      <c r="BW440" s="409"/>
      <c r="BX440" s="409"/>
      <c r="BY440" s="408">
        <f>BY640</f>
        <v>-186.36604875000003</v>
      </c>
      <c r="BZ440" s="409"/>
      <c r="CA440" s="409"/>
      <c r="CB440" s="409"/>
      <c r="CC440" s="438"/>
      <c r="CD440" s="409"/>
      <c r="CE440" s="409"/>
      <c r="CF440" s="408">
        <f>CF640</f>
        <v>-425.42706466898414</v>
      </c>
      <c r="CG440" s="409"/>
      <c r="CH440" s="409"/>
      <c r="CI440" s="409"/>
      <c r="CJ440" s="438"/>
      <c r="CK440" s="409"/>
      <c r="CL440" s="409"/>
      <c r="CM440" s="408">
        <f>CM640</f>
        <v>-186.41939347187858</v>
      </c>
      <c r="CN440" s="409"/>
      <c r="CO440" s="409"/>
      <c r="CP440" s="409"/>
      <c r="CQ440" s="438"/>
      <c r="CR440" s="409"/>
      <c r="CS440" s="409"/>
      <c r="CT440" s="408">
        <f>CT640</f>
        <v>-127.13244325996625</v>
      </c>
      <c r="CU440" s="409"/>
      <c r="CV440" s="409"/>
      <c r="CW440" s="409"/>
      <c r="CX440" s="438"/>
      <c r="CY440" s="409"/>
      <c r="CZ440" s="409"/>
      <c r="DA440" s="408">
        <f>DA640</f>
        <v>0</v>
      </c>
      <c r="DB440" s="409"/>
      <c r="DC440" s="409"/>
      <c r="DD440" s="409"/>
      <c r="DE440" s="438"/>
      <c r="DF440" s="409"/>
      <c r="DG440" s="409"/>
      <c r="DH440" s="408">
        <f>DH640</f>
        <v>0</v>
      </c>
      <c r="DI440" s="409"/>
      <c r="DJ440" s="409"/>
      <c r="DK440" s="409"/>
      <c r="DL440" s="438"/>
      <c r="DM440" s="409"/>
      <c r="DN440" s="409"/>
      <c r="DO440" s="408">
        <f>DO640</f>
        <v>0</v>
      </c>
      <c r="DP440" s="409"/>
      <c r="DQ440" s="409"/>
      <c r="DR440" s="409"/>
      <c r="DS440" s="438"/>
      <c r="DT440" s="409"/>
      <c r="DU440" s="409"/>
      <c r="DV440" s="408">
        <f>DV640</f>
        <v>0</v>
      </c>
      <c r="DW440" s="409"/>
      <c r="DX440" s="409"/>
      <c r="DY440" s="409"/>
      <c r="DZ440" s="438"/>
      <c r="EA440" s="409"/>
      <c r="EB440" s="409"/>
      <c r="EC440" s="408">
        <f>EC640</f>
        <v>0</v>
      </c>
      <c r="ED440" s="409"/>
      <c r="EE440" s="409"/>
      <c r="EF440" s="409"/>
      <c r="EG440" s="438"/>
      <c r="EH440" s="409"/>
      <c r="EI440" s="409"/>
      <c r="EJ440" s="408">
        <f>EJ640</f>
        <v>0</v>
      </c>
      <c r="EK440" s="409"/>
      <c r="EL440" s="409"/>
      <c r="EM440" s="409"/>
      <c r="EN440" s="438"/>
      <c r="EO440" s="409"/>
      <c r="EP440" s="409"/>
      <c r="EQ440" s="408">
        <f>EQ640</f>
        <v>0</v>
      </c>
    </row>
    <row r="441" spans="1:147" ht="10.199999999999999" hidden="1" customHeight="1" outlineLevel="1">
      <c r="A441" s="108" t="s">
        <v>377</v>
      </c>
      <c r="B441" s="4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409"/>
      <c r="P441" s="409"/>
      <c r="Q441" s="409"/>
      <c r="R441" s="438"/>
      <c r="S441" s="409"/>
      <c r="T441" s="409"/>
      <c r="U441" s="408">
        <f>(U423/U$403)*U456</f>
        <v>3040.0799621787983</v>
      </c>
      <c r="V441" s="409"/>
      <c r="W441" s="409"/>
      <c r="X441" s="409"/>
      <c r="Y441" s="438"/>
      <c r="Z441" s="409"/>
      <c r="AA441" s="409"/>
      <c r="AB441" s="408">
        <f>(AB423/U$403)*AB456</f>
        <v>4310.6262152842164</v>
      </c>
      <c r="AC441" s="409"/>
      <c r="AD441" s="409"/>
      <c r="AE441" s="409"/>
      <c r="AF441" s="438"/>
      <c r="AG441" s="409"/>
      <c r="AH441" s="409"/>
      <c r="AI441" s="408">
        <f>+AI624</f>
        <v>4965.1686544267859</v>
      </c>
      <c r="AJ441" s="409"/>
      <c r="AK441" s="409"/>
      <c r="AL441" s="409"/>
      <c r="AM441" s="438"/>
      <c r="AN441" s="409"/>
      <c r="AO441" s="409"/>
      <c r="AP441" s="408">
        <f>+AP624</f>
        <v>4308.2373964156113</v>
      </c>
      <c r="AQ441" s="409"/>
      <c r="AR441" s="409"/>
      <c r="AS441" s="409"/>
      <c r="AT441" s="438"/>
      <c r="AU441" s="409"/>
      <c r="AV441" s="409"/>
      <c r="AW441" s="408">
        <f>+AW624+AW652</f>
        <v>4054.6459588260491</v>
      </c>
      <c r="AX441" s="409"/>
      <c r="AY441" s="409"/>
      <c r="AZ441" s="409"/>
      <c r="BA441" s="438"/>
      <c r="BB441" s="409"/>
      <c r="BC441" s="409"/>
      <c r="BD441" s="408"/>
      <c r="BE441" s="409"/>
      <c r="BF441" s="409"/>
      <c r="BG441" s="409"/>
      <c r="BH441" s="438"/>
      <c r="BI441" s="409"/>
      <c r="BJ441" s="409"/>
      <c r="BK441" s="408">
        <f>+BK624+BK652</f>
        <v>2075.4690997065818</v>
      </c>
      <c r="BL441" s="409"/>
      <c r="BM441" s="409"/>
      <c r="BN441" s="409"/>
      <c r="BO441" s="438"/>
      <c r="BP441" s="409"/>
      <c r="BQ441" s="409"/>
      <c r="BR441" s="408">
        <f>+BR624+BR652</f>
        <v>923.78254706863538</v>
      </c>
      <c r="BS441" s="409"/>
      <c r="BT441" s="409"/>
      <c r="BU441" s="409"/>
      <c r="BV441" s="438"/>
      <c r="BW441" s="409"/>
      <c r="BX441" s="409"/>
      <c r="BY441" s="408">
        <f>+BY624+BY652</f>
        <v>109.34026218544189</v>
      </c>
      <c r="BZ441" s="409"/>
      <c r="CA441" s="409"/>
      <c r="CB441" s="409"/>
      <c r="CC441" s="438"/>
      <c r="CD441" s="409"/>
      <c r="CE441" s="409"/>
      <c r="CF441" s="408">
        <f>+CF624+CF652</f>
        <v>68.194670180798127</v>
      </c>
      <c r="CG441" s="409"/>
      <c r="CH441" s="409"/>
      <c r="CI441" s="409"/>
      <c r="CJ441" s="438"/>
      <c r="CK441" s="409"/>
      <c r="CL441" s="409"/>
      <c r="CM441" s="408">
        <f>+CM624+CM652</f>
        <v>0</v>
      </c>
      <c r="CN441" s="409"/>
      <c r="CO441" s="409"/>
      <c r="CP441" s="409"/>
      <c r="CQ441" s="438"/>
      <c r="CR441" s="409"/>
      <c r="CS441" s="409"/>
      <c r="CT441" s="408">
        <f>+CT624+CT652</f>
        <v>0</v>
      </c>
      <c r="CU441" s="409"/>
      <c r="CV441" s="409"/>
      <c r="CW441" s="409"/>
      <c r="CX441" s="438"/>
      <c r="CY441" s="409"/>
      <c r="CZ441" s="409"/>
      <c r="DA441" s="408">
        <f>+DA624+DA652</f>
        <v>0</v>
      </c>
      <c r="DB441" s="409"/>
      <c r="DC441" s="409"/>
      <c r="DD441" s="409"/>
      <c r="DE441" s="438"/>
      <c r="DF441" s="409"/>
      <c r="DG441" s="409"/>
      <c r="DH441" s="408">
        <f>+DH624+DH652</f>
        <v>0</v>
      </c>
      <c r="DI441" s="409"/>
      <c r="DJ441" s="409"/>
      <c r="DK441" s="409"/>
      <c r="DL441" s="438"/>
      <c r="DM441" s="409"/>
      <c r="DN441" s="409"/>
      <c r="DO441" s="408">
        <f>+DO624+DO652</f>
        <v>0</v>
      </c>
      <c r="DP441" s="409"/>
      <c r="DQ441" s="409"/>
      <c r="DR441" s="409"/>
      <c r="DS441" s="438"/>
      <c r="DT441" s="409"/>
      <c r="DU441" s="409"/>
      <c r="DV441" s="408">
        <f>+DV624+DV652</f>
        <v>0</v>
      </c>
      <c r="DW441" s="409"/>
      <c r="DX441" s="409"/>
      <c r="DY441" s="409"/>
      <c r="DZ441" s="438"/>
      <c r="EA441" s="409"/>
      <c r="EB441" s="409"/>
      <c r="EC441" s="408">
        <f>+EC624+EC652</f>
        <v>0</v>
      </c>
      <c r="ED441" s="409"/>
      <c r="EE441" s="409"/>
      <c r="EF441" s="409"/>
      <c r="EG441" s="438"/>
      <c r="EH441" s="409"/>
      <c r="EI441" s="409"/>
      <c r="EJ441" s="408">
        <f>+EJ624+EJ652</f>
        <v>0</v>
      </c>
      <c r="EK441" s="409"/>
      <c r="EL441" s="409"/>
      <c r="EM441" s="409"/>
      <c r="EN441" s="438"/>
      <c r="EO441" s="409"/>
      <c r="EP441" s="409"/>
      <c r="EQ441" s="408">
        <f>+EQ624+EQ652</f>
        <v>0</v>
      </c>
    </row>
    <row r="442" spans="1:147" ht="10.199999999999999" hidden="1" customHeight="1" outlineLevel="1">
      <c r="A442" s="108" t="s">
        <v>378</v>
      </c>
      <c r="B442" s="4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409"/>
      <c r="P442" s="409"/>
      <c r="Q442" s="409"/>
      <c r="R442" s="438"/>
      <c r="S442" s="409"/>
      <c r="T442" s="409"/>
      <c r="U442" s="408"/>
      <c r="V442" s="409"/>
      <c r="W442" s="409"/>
      <c r="X442" s="409"/>
      <c r="Y442" s="438"/>
      <c r="Z442" s="409"/>
      <c r="AA442" s="409"/>
      <c r="AB442" s="408"/>
      <c r="AC442" s="409"/>
      <c r="AD442" s="409"/>
      <c r="AE442" s="409"/>
      <c r="AF442" s="438"/>
      <c r="AG442" s="409"/>
      <c r="AH442" s="409"/>
      <c r="AI442" s="408"/>
      <c r="AJ442" s="409"/>
      <c r="AK442" s="409"/>
      <c r="AL442" s="409"/>
      <c r="AM442" s="438"/>
      <c r="AN442" s="409"/>
      <c r="AO442" s="409"/>
      <c r="AP442" s="408">
        <f>+AP628</f>
        <v>624.46469018614528</v>
      </c>
      <c r="AQ442" s="409"/>
      <c r="AR442" s="409"/>
      <c r="AS442" s="409"/>
      <c r="AT442" s="438"/>
      <c r="AU442" s="409"/>
      <c r="AV442" s="409"/>
      <c r="AW442" s="408">
        <f>+AW628+AW653</f>
        <v>2083.1492207536671</v>
      </c>
      <c r="AX442" s="409"/>
      <c r="AY442" s="409"/>
      <c r="AZ442" s="409"/>
      <c r="BA442" s="438"/>
      <c r="BB442" s="409"/>
      <c r="BC442" s="409"/>
      <c r="BD442" s="408"/>
      <c r="BE442" s="409"/>
      <c r="BF442" s="409"/>
      <c r="BG442" s="409"/>
      <c r="BH442" s="438"/>
      <c r="BI442" s="409"/>
      <c r="BJ442" s="409"/>
      <c r="BK442" s="408">
        <f>+BK628+BK653</f>
        <v>4486.8707663107807</v>
      </c>
      <c r="BL442" s="409"/>
      <c r="BM442" s="409"/>
      <c r="BN442" s="409"/>
      <c r="BO442" s="438"/>
      <c r="BP442" s="409"/>
      <c r="BQ442" s="409"/>
      <c r="BR442" s="408">
        <f>+BR628+BR653</f>
        <v>8057.2769206508137</v>
      </c>
      <c r="BS442" s="409"/>
      <c r="BT442" s="409"/>
      <c r="BU442" s="409"/>
      <c r="BV442" s="438"/>
      <c r="BW442" s="409"/>
      <c r="BX442" s="409"/>
      <c r="BY442" s="408">
        <f>+BY628+BY653</f>
        <v>4234.6623552536466</v>
      </c>
      <c r="BZ442" s="409"/>
      <c r="CA442" s="409"/>
      <c r="CB442" s="409"/>
      <c r="CC442" s="438"/>
      <c r="CD442" s="409"/>
      <c r="CE442" s="409"/>
      <c r="CF442" s="408">
        <f>+CF628+CF653</f>
        <v>5133.0823006576011</v>
      </c>
      <c r="CG442" s="409"/>
      <c r="CH442" s="409"/>
      <c r="CI442" s="409"/>
      <c r="CJ442" s="438"/>
      <c r="CK442" s="409"/>
      <c r="CL442" s="409"/>
      <c r="CM442" s="408">
        <f>+CM628+CM653</f>
        <v>3841.3955857371966</v>
      </c>
      <c r="CN442" s="409"/>
      <c r="CO442" s="409"/>
      <c r="CP442" s="409"/>
      <c r="CQ442" s="438"/>
      <c r="CR442" s="409"/>
      <c r="CS442" s="409"/>
      <c r="CT442" s="408">
        <f>+CT628+CT653</f>
        <v>3013.9793360077606</v>
      </c>
      <c r="CU442" s="409"/>
      <c r="CV442" s="409"/>
      <c r="CW442" s="409"/>
      <c r="CX442" s="438"/>
      <c r="CY442" s="409"/>
      <c r="CZ442" s="409"/>
      <c r="DA442" s="408">
        <f>+DA628+DA653</f>
        <v>1856.0242022078392</v>
      </c>
      <c r="DB442" s="409"/>
      <c r="DC442" s="409"/>
      <c r="DD442" s="409"/>
      <c r="DE442" s="438"/>
      <c r="DF442" s="409"/>
      <c r="DG442" s="409"/>
      <c r="DH442" s="408">
        <f>+DH628+DH653</f>
        <v>-245.61712622496793</v>
      </c>
      <c r="DI442" s="409"/>
      <c r="DJ442" s="409"/>
      <c r="DK442" s="409"/>
      <c r="DL442" s="438"/>
      <c r="DM442" s="409"/>
      <c r="DN442" s="409"/>
      <c r="DO442" s="408">
        <f>+DO628+DO653</f>
        <v>-2259.0673636305864</v>
      </c>
      <c r="DP442" s="409"/>
      <c r="DQ442" s="409"/>
      <c r="DR442" s="409"/>
      <c r="DS442" s="438"/>
      <c r="DT442" s="409"/>
      <c r="DU442" s="409"/>
      <c r="DV442" s="408">
        <f>+DV628+DV653</f>
        <v>-4872.3236073311637</v>
      </c>
      <c r="DW442" s="409"/>
      <c r="DX442" s="409"/>
      <c r="DY442" s="409"/>
      <c r="DZ442" s="438"/>
      <c r="EA442" s="409"/>
      <c r="EB442" s="409"/>
      <c r="EC442" s="408">
        <f>+EC628+EC653</f>
        <v>-7492.8964244268955</v>
      </c>
      <c r="ED442" s="409"/>
      <c r="EE442" s="409"/>
      <c r="EF442" s="409"/>
      <c r="EG442" s="438"/>
      <c r="EH442" s="409"/>
      <c r="EI442" s="409"/>
      <c r="EJ442" s="408">
        <f>+EJ628+EJ653</f>
        <v>-10301.590159593936</v>
      </c>
      <c r="EK442" s="409"/>
      <c r="EL442" s="409"/>
      <c r="EM442" s="409"/>
      <c r="EN442" s="438"/>
      <c r="EO442" s="409"/>
      <c r="EP442" s="409"/>
      <c r="EQ442" s="408">
        <f>+EQ628+EQ653</f>
        <v>-12943.995607458741</v>
      </c>
    </row>
    <row r="443" spans="1:147" ht="10.199999999999999" hidden="1" customHeight="1" outlineLevel="1">
      <c r="A443" s="108" t="s">
        <v>380</v>
      </c>
      <c r="B443" s="4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409"/>
      <c r="P443" s="409"/>
      <c r="Q443" s="409"/>
      <c r="R443" s="438"/>
      <c r="S443" s="409"/>
      <c r="T443" s="409"/>
      <c r="U443" s="408">
        <f>(U425/U$403)*U458</f>
        <v>1109.2280247691797</v>
      </c>
      <c r="V443" s="409"/>
      <c r="W443" s="409"/>
      <c r="X443" s="409"/>
      <c r="Y443" s="438"/>
      <c r="Z443" s="409"/>
      <c r="AA443" s="409"/>
      <c r="AB443" s="408">
        <f>(AB425/U$403)*AB458</f>
        <v>1553.0652247552575</v>
      </c>
      <c r="AC443" s="409"/>
      <c r="AD443" s="409"/>
      <c r="AE443" s="409"/>
      <c r="AF443" s="438"/>
      <c r="AG443" s="409"/>
      <c r="AH443" s="409"/>
      <c r="AI443" s="408">
        <f>+AI631</f>
        <v>1274.6791295080036</v>
      </c>
      <c r="AJ443" s="409"/>
      <c r="AK443" s="409"/>
      <c r="AL443" s="409"/>
      <c r="AM443" s="438"/>
      <c r="AN443" s="409"/>
      <c r="AO443" s="409"/>
      <c r="AP443" s="408">
        <f>+AP631</f>
        <v>777.81776111775855</v>
      </c>
      <c r="AQ443" s="409"/>
      <c r="AR443" s="409"/>
      <c r="AS443" s="409"/>
      <c r="AT443" s="438"/>
      <c r="AU443" s="409"/>
      <c r="AV443" s="409"/>
      <c r="AW443" s="408">
        <f>+AW631+AW654</f>
        <v>246.02598411039753</v>
      </c>
      <c r="AX443" s="409"/>
      <c r="AY443" s="409"/>
      <c r="AZ443" s="409"/>
      <c r="BA443" s="438"/>
      <c r="BB443" s="409"/>
      <c r="BC443" s="409"/>
      <c r="BD443" s="408"/>
      <c r="BE443" s="409"/>
      <c r="BF443" s="409"/>
      <c r="BG443" s="409"/>
      <c r="BH443" s="438"/>
      <c r="BI443" s="409"/>
      <c r="BJ443" s="409"/>
      <c r="BK443" s="408">
        <f>+BK631+BK654</f>
        <v>458.24862884753867</v>
      </c>
      <c r="BL443" s="409"/>
      <c r="BM443" s="409"/>
      <c r="BN443" s="409"/>
      <c r="BO443" s="438"/>
      <c r="BP443" s="409"/>
      <c r="BQ443" s="409"/>
      <c r="BR443" s="408">
        <f>+BR631+BR654</f>
        <v>137.55991197880829</v>
      </c>
      <c r="BS443" s="409"/>
      <c r="BT443" s="409"/>
      <c r="BU443" s="409"/>
      <c r="BV443" s="438"/>
      <c r="BW443" s="409"/>
      <c r="BX443" s="409"/>
      <c r="BY443" s="408">
        <f>+BY631+BY654</f>
        <v>36.874319037705774</v>
      </c>
      <c r="BZ443" s="409"/>
      <c r="CA443" s="409"/>
      <c r="CB443" s="409"/>
      <c r="CC443" s="438"/>
      <c r="CD443" s="409"/>
      <c r="CE443" s="409"/>
      <c r="CF443" s="408">
        <f>+CF631+CF654</f>
        <v>23.970406994879419</v>
      </c>
      <c r="CG443" s="409"/>
      <c r="CH443" s="409"/>
      <c r="CI443" s="409"/>
      <c r="CJ443" s="438"/>
      <c r="CK443" s="409"/>
      <c r="CL443" s="409"/>
      <c r="CM443" s="408">
        <f>+CM631+CM654</f>
        <v>37.196532462320306</v>
      </c>
      <c r="CN443" s="409"/>
      <c r="CO443" s="409"/>
      <c r="CP443" s="409"/>
      <c r="CQ443" s="438"/>
      <c r="CR443" s="409"/>
      <c r="CS443" s="409"/>
      <c r="CT443" s="408">
        <f>+CT631+CT654</f>
        <v>12.093734915888311</v>
      </c>
      <c r="CU443" s="409"/>
      <c r="CV443" s="409"/>
      <c r="CW443" s="409"/>
      <c r="CX443" s="438"/>
      <c r="CY443" s="409"/>
      <c r="CZ443" s="409"/>
      <c r="DA443" s="408">
        <f>+DA631+DA654</f>
        <v>7.3783751330855107</v>
      </c>
      <c r="DB443" s="409"/>
      <c r="DC443" s="409"/>
      <c r="DD443" s="409"/>
      <c r="DE443" s="438"/>
      <c r="DF443" s="409"/>
      <c r="DG443" s="409"/>
      <c r="DH443" s="408">
        <f>+DH631+DH654</f>
        <v>8.3748977967511493</v>
      </c>
      <c r="DI443" s="409"/>
      <c r="DJ443" s="409"/>
      <c r="DK443" s="409"/>
      <c r="DL443" s="438"/>
      <c r="DM443" s="409"/>
      <c r="DN443" s="409"/>
      <c r="DO443" s="408">
        <f>+DO631+DO654</f>
        <v>10.387881900821583</v>
      </c>
      <c r="DP443" s="409"/>
      <c r="DQ443" s="409"/>
      <c r="DR443" s="409"/>
      <c r="DS443" s="438"/>
      <c r="DT443" s="409"/>
      <c r="DU443" s="409"/>
      <c r="DV443" s="408">
        <f>+DV631+DV654</f>
        <v>7.8053640960302957</v>
      </c>
      <c r="DW443" s="409"/>
      <c r="DX443" s="409"/>
      <c r="DY443" s="409"/>
      <c r="DZ443" s="438"/>
      <c r="EA443" s="409"/>
      <c r="EB443" s="409"/>
      <c r="EC443" s="408">
        <f>+EC631+EC654</f>
        <v>8.4288409035732883</v>
      </c>
      <c r="ED443" s="409"/>
      <c r="EE443" s="409"/>
      <c r="EF443" s="409"/>
      <c r="EG443" s="438"/>
      <c r="EH443" s="409"/>
      <c r="EI443" s="409"/>
      <c r="EJ443" s="408">
        <f>+EJ631+EJ654</f>
        <v>7.1270709296084211</v>
      </c>
      <c r="EK443" s="409"/>
      <c r="EL443" s="409"/>
      <c r="EM443" s="409"/>
      <c r="EN443" s="438"/>
      <c r="EO443" s="409"/>
      <c r="EP443" s="409"/>
      <c r="EQ443" s="408">
        <f>+EQ631+EQ654</f>
        <v>5.7746915402571037</v>
      </c>
    </row>
    <row r="444" spans="1:147" ht="10.199999999999999" hidden="1" customHeight="1" outlineLevel="1">
      <c r="A444" s="108" t="s">
        <v>381</v>
      </c>
      <c r="B444" s="4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409"/>
      <c r="P444" s="409"/>
      <c r="Q444" s="409"/>
      <c r="R444" s="438"/>
      <c r="S444" s="409"/>
      <c r="T444" s="409"/>
      <c r="U444" s="408"/>
      <c r="V444" s="409"/>
      <c r="W444" s="409"/>
      <c r="X444" s="409"/>
      <c r="Y444" s="438"/>
      <c r="Z444" s="409"/>
      <c r="AA444" s="409"/>
      <c r="AB444" s="408"/>
      <c r="AC444" s="409"/>
      <c r="AD444" s="409"/>
      <c r="AE444" s="409"/>
      <c r="AF444" s="438"/>
      <c r="AG444" s="409"/>
      <c r="AH444" s="409"/>
      <c r="AI444" s="408"/>
      <c r="AJ444" s="409"/>
      <c r="AK444" s="409"/>
      <c r="AL444" s="409"/>
      <c r="AM444" s="438"/>
      <c r="AN444" s="409"/>
      <c r="AO444" s="409"/>
      <c r="AP444" s="408"/>
      <c r="AQ444" s="409"/>
      <c r="AR444" s="409"/>
      <c r="AS444" s="409"/>
      <c r="AT444" s="438"/>
      <c r="AU444" s="409"/>
      <c r="AV444" s="409"/>
      <c r="AW444" s="408">
        <f>+AW634+AW655</f>
        <v>0</v>
      </c>
      <c r="AX444" s="409"/>
      <c r="AY444" s="409"/>
      <c r="AZ444" s="409"/>
      <c r="BA444" s="438"/>
      <c r="BB444" s="409"/>
      <c r="BC444" s="409"/>
      <c r="BD444" s="408"/>
      <c r="BE444" s="409"/>
      <c r="BF444" s="409"/>
      <c r="BG444" s="409"/>
      <c r="BH444" s="438"/>
      <c r="BI444" s="409"/>
      <c r="BJ444" s="409"/>
      <c r="BK444" s="408">
        <f>+BK634+BK655</f>
        <v>32.8046185479906</v>
      </c>
      <c r="BL444" s="409"/>
      <c r="BM444" s="409"/>
      <c r="BN444" s="409"/>
      <c r="BO444" s="438"/>
      <c r="BP444" s="409"/>
      <c r="BQ444" s="409"/>
      <c r="BR444" s="408">
        <f>+BR634+BR655</f>
        <v>491.02606134271383</v>
      </c>
      <c r="BS444" s="409"/>
      <c r="BT444" s="409"/>
      <c r="BU444" s="409"/>
      <c r="BV444" s="438"/>
      <c r="BW444" s="409"/>
      <c r="BX444" s="409"/>
      <c r="BY444" s="408">
        <f>+BY634+BY655</f>
        <v>-241.07007403146918</v>
      </c>
      <c r="BZ444" s="409"/>
      <c r="CA444" s="409"/>
      <c r="CB444" s="409"/>
      <c r="CC444" s="438"/>
      <c r="CD444" s="409"/>
      <c r="CE444" s="409"/>
      <c r="CF444" s="408">
        <f>+CF634+CF655</f>
        <v>6.5633663486315328</v>
      </c>
      <c r="CG444" s="409"/>
      <c r="CH444" s="409"/>
      <c r="CI444" s="409"/>
      <c r="CJ444" s="438"/>
      <c r="CK444" s="409"/>
      <c r="CL444" s="409"/>
      <c r="CM444" s="408">
        <f>+CM634+CM655</f>
        <v>27.750592152493994</v>
      </c>
      <c r="CN444" s="409"/>
      <c r="CO444" s="409"/>
      <c r="CP444" s="409"/>
      <c r="CQ444" s="438"/>
      <c r="CR444" s="409"/>
      <c r="CS444" s="409"/>
      <c r="CT444" s="408">
        <f>+CT634+CT655</f>
        <v>201.71423858764777</v>
      </c>
      <c r="CU444" s="409"/>
      <c r="CV444" s="409"/>
      <c r="CW444" s="409"/>
      <c r="CX444" s="438"/>
      <c r="CY444" s="409"/>
      <c r="CZ444" s="409"/>
      <c r="DA444" s="408">
        <f>+DA634+DA655</f>
        <v>282.11906810065659</v>
      </c>
      <c r="DB444" s="409"/>
      <c r="DC444" s="409"/>
      <c r="DD444" s="409"/>
      <c r="DE444" s="438"/>
      <c r="DF444" s="409"/>
      <c r="DG444" s="409"/>
      <c r="DH444" s="408">
        <f>+DH634+DH655</f>
        <v>429.31015221903158</v>
      </c>
      <c r="DI444" s="409"/>
      <c r="DJ444" s="409"/>
      <c r="DK444" s="409"/>
      <c r="DL444" s="438"/>
      <c r="DM444" s="409"/>
      <c r="DN444" s="409"/>
      <c r="DO444" s="408">
        <f>+DO634+DO655</f>
        <v>425.3534230377345</v>
      </c>
      <c r="DP444" s="409"/>
      <c r="DQ444" s="409"/>
      <c r="DR444" s="409"/>
      <c r="DS444" s="438"/>
      <c r="DT444" s="409"/>
      <c r="DU444" s="409"/>
      <c r="DV444" s="408">
        <f>+DV634+DV655</f>
        <v>481.02269029139342</v>
      </c>
      <c r="DW444" s="409"/>
      <c r="DX444" s="409"/>
      <c r="DY444" s="409"/>
      <c r="DZ444" s="438"/>
      <c r="EA444" s="409"/>
      <c r="EB444" s="409"/>
      <c r="EC444" s="408">
        <f>+EC634+EC655</f>
        <v>583.812537336172</v>
      </c>
      <c r="ED444" s="409"/>
      <c r="EE444" s="409"/>
      <c r="EF444" s="409"/>
      <c r="EG444" s="438"/>
      <c r="EH444" s="409"/>
      <c r="EI444" s="409"/>
      <c r="EJ444" s="408">
        <f>+EJ634+EJ655</f>
        <v>666.27203935526211</v>
      </c>
      <c r="EK444" s="409"/>
      <c r="EL444" s="409"/>
      <c r="EM444" s="409"/>
      <c r="EN444" s="438"/>
      <c r="EO444" s="409"/>
      <c r="EP444" s="409"/>
      <c r="EQ444" s="408">
        <f>+EQ634+EQ655</f>
        <v>872.55437837245313</v>
      </c>
    </row>
    <row r="445" spans="1:147" ht="10.199999999999999" hidden="1" customHeight="1" outlineLevel="1">
      <c r="A445" s="108" t="s">
        <v>238</v>
      </c>
      <c r="B445" s="4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409"/>
      <c r="P445" s="409"/>
      <c r="Q445" s="409"/>
      <c r="R445" s="438"/>
      <c r="S445" s="409"/>
      <c r="T445" s="409"/>
      <c r="U445" s="408">
        <v>-350</v>
      </c>
      <c r="V445" s="409"/>
      <c r="W445" s="409"/>
      <c r="X445" s="409"/>
      <c r="Y445" s="438"/>
      <c r="Z445" s="409"/>
      <c r="AA445" s="409"/>
      <c r="AB445" s="408">
        <v>-700</v>
      </c>
      <c r="AC445" s="409"/>
      <c r="AD445" s="409"/>
      <c r="AE445" s="409"/>
      <c r="AF445" s="438"/>
      <c r="AG445" s="409"/>
      <c r="AH445" s="409"/>
      <c r="AI445" s="408">
        <f>AI592/AB406</f>
        <v>-1148.0280754445459</v>
      </c>
      <c r="AJ445" s="409"/>
      <c r="AK445" s="409"/>
      <c r="AL445" s="409"/>
      <c r="AM445" s="438"/>
      <c r="AN445" s="409"/>
      <c r="AO445" s="409"/>
      <c r="AP445" s="408">
        <f>AP592/AI406</f>
        <v>-1286.6323896223887</v>
      </c>
      <c r="AQ445" s="409"/>
      <c r="AR445" s="409"/>
      <c r="AS445" s="409"/>
      <c r="AT445" s="438"/>
      <c r="AU445" s="409"/>
      <c r="AV445" s="409"/>
      <c r="AW445" s="408">
        <f>AW638+AW656</f>
        <v>-1003.6105291606686</v>
      </c>
      <c r="AX445" s="409"/>
      <c r="AY445" s="409"/>
      <c r="AZ445" s="409"/>
      <c r="BA445" s="438"/>
      <c r="BB445" s="409"/>
      <c r="BC445" s="409"/>
      <c r="BD445" s="408"/>
      <c r="BE445" s="409"/>
      <c r="BF445" s="409"/>
      <c r="BG445" s="409"/>
      <c r="BH445" s="438"/>
      <c r="BI445" s="409"/>
      <c r="BJ445" s="409"/>
      <c r="BK445" s="408">
        <f t="shared" ref="BK445:CM446" si="1607">BK638+BK656</f>
        <v>59.824542572190353</v>
      </c>
      <c r="BL445" s="409"/>
      <c r="BM445" s="409"/>
      <c r="BN445" s="409"/>
      <c r="BO445" s="438"/>
      <c r="BP445" s="409"/>
      <c r="BQ445" s="409"/>
      <c r="BR445" s="408">
        <f t="shared" si="1607"/>
        <v>883.07136065430564</v>
      </c>
      <c r="BS445" s="409"/>
      <c r="BT445" s="409"/>
      <c r="BU445" s="409"/>
      <c r="BV445" s="438"/>
      <c r="BW445" s="409"/>
      <c r="BX445" s="409"/>
      <c r="BY445" s="408">
        <f t="shared" si="1607"/>
        <v>119.01641030948343</v>
      </c>
      <c r="BZ445" s="409"/>
      <c r="CA445" s="409"/>
      <c r="CB445" s="409"/>
      <c r="CC445" s="438"/>
      <c r="CD445" s="409"/>
      <c r="CE445" s="409"/>
      <c r="CF445" s="408">
        <f t="shared" si="1607"/>
        <v>449.96616495425286</v>
      </c>
      <c r="CG445" s="409"/>
      <c r="CH445" s="409"/>
      <c r="CI445" s="409"/>
      <c r="CJ445" s="438"/>
      <c r="CK445" s="409"/>
      <c r="CL445" s="409"/>
      <c r="CM445" s="408">
        <f t="shared" si="1607"/>
        <v>-93.564256512394195</v>
      </c>
      <c r="CN445" s="409"/>
      <c r="CO445" s="409"/>
      <c r="CP445" s="409"/>
      <c r="CQ445" s="438"/>
      <c r="CR445" s="409"/>
      <c r="CS445" s="409"/>
      <c r="CT445" s="408">
        <f>CT638+CT656</f>
        <v>1.7806626772765526</v>
      </c>
      <c r="CU445" s="409"/>
      <c r="CV445" s="409"/>
      <c r="CW445" s="409"/>
      <c r="CX445" s="438"/>
      <c r="CY445" s="409"/>
      <c r="CZ445" s="409"/>
      <c r="DA445" s="408">
        <f>DA638+DA656</f>
        <v>-2.7195662432814061</v>
      </c>
      <c r="DB445" s="409"/>
      <c r="DC445" s="409"/>
      <c r="DD445" s="409"/>
      <c r="DE445" s="438"/>
      <c r="DF445" s="409"/>
      <c r="DG445" s="409"/>
      <c r="DH445" s="408">
        <f>DH638+DH656</f>
        <v>79.084482730149944</v>
      </c>
      <c r="DI445" s="409"/>
      <c r="DJ445" s="409"/>
      <c r="DK445" s="409"/>
      <c r="DL445" s="438"/>
      <c r="DM445" s="409"/>
      <c r="DN445" s="409"/>
      <c r="DO445" s="408">
        <f>DO638+DO656</f>
        <v>46.891846024032645</v>
      </c>
      <c r="DP445" s="409"/>
      <c r="DQ445" s="409"/>
      <c r="DR445" s="409"/>
      <c r="DS445" s="438"/>
      <c r="DT445" s="409"/>
      <c r="DU445" s="409"/>
      <c r="DV445" s="408">
        <f>DV638+DV656</f>
        <v>-3.0087026024388024</v>
      </c>
      <c r="DW445" s="409"/>
      <c r="DX445" s="409"/>
      <c r="DY445" s="409"/>
      <c r="DZ445" s="438"/>
      <c r="EA445" s="409"/>
      <c r="EB445" s="409"/>
      <c r="EC445" s="408">
        <f>EC638+EC656</f>
        <v>100.42101510794259</v>
      </c>
      <c r="ED445" s="409"/>
      <c r="EE445" s="409"/>
      <c r="EF445" s="409"/>
      <c r="EG445" s="438"/>
      <c r="EH445" s="409"/>
      <c r="EI445" s="409"/>
      <c r="EJ445" s="408">
        <f>EJ638+EJ656</f>
        <v>108.30816318277442</v>
      </c>
      <c r="EK445" s="409"/>
      <c r="EL445" s="409"/>
      <c r="EM445" s="409"/>
      <c r="EN445" s="438"/>
      <c r="EO445" s="409"/>
      <c r="EP445" s="409"/>
      <c r="EQ445" s="408">
        <f>EQ638+EQ656</f>
        <v>109.68467983797458</v>
      </c>
    </row>
    <row r="446" spans="1:147" ht="10.199999999999999" hidden="1" customHeight="1" outlineLevel="1">
      <c r="A446" s="108" t="s">
        <v>133</v>
      </c>
      <c r="B446" s="4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409"/>
      <c r="P446" s="409"/>
      <c r="Q446" s="409"/>
      <c r="R446" s="438"/>
      <c r="S446" s="409"/>
      <c r="T446" s="409"/>
      <c r="U446" s="408">
        <v>-700</v>
      </c>
      <c r="V446" s="409"/>
      <c r="W446" s="409"/>
      <c r="X446" s="409"/>
      <c r="Y446" s="438"/>
      <c r="Z446" s="409"/>
      <c r="AA446" s="409"/>
      <c r="AB446" s="408">
        <v>-400</v>
      </c>
      <c r="AC446" s="409"/>
      <c r="AD446" s="409"/>
      <c r="AE446" s="409"/>
      <c r="AF446" s="438"/>
      <c r="AG446" s="409"/>
      <c r="AH446" s="409"/>
      <c r="AI446" s="408">
        <f>AI593/AB406</f>
        <v>0</v>
      </c>
      <c r="AJ446" s="409"/>
      <c r="AK446" s="409"/>
      <c r="AL446" s="409"/>
      <c r="AM446" s="438"/>
      <c r="AN446" s="409"/>
      <c r="AO446" s="409"/>
      <c r="AP446" s="408">
        <f>AP593/AI406</f>
        <v>-55.824660110902897</v>
      </c>
      <c r="AQ446" s="409"/>
      <c r="AR446" s="409"/>
      <c r="AS446" s="409"/>
      <c r="AT446" s="438"/>
      <c r="AU446" s="409"/>
      <c r="AV446" s="409"/>
      <c r="AW446" s="408">
        <f>AW639+AW657</f>
        <v>-172.87642449440298</v>
      </c>
      <c r="AX446" s="409"/>
      <c r="AY446" s="409"/>
      <c r="AZ446" s="409"/>
      <c r="BA446" s="438"/>
      <c r="BB446" s="409"/>
      <c r="BC446" s="409"/>
      <c r="BD446" s="408"/>
      <c r="BE446" s="409"/>
      <c r="BF446" s="409"/>
      <c r="BG446" s="409"/>
      <c r="BH446" s="438"/>
      <c r="BI446" s="409"/>
      <c r="BJ446" s="409"/>
      <c r="BK446" s="408">
        <f t="shared" si="1607"/>
        <v>23.401851984443844</v>
      </c>
      <c r="BL446" s="409"/>
      <c r="BM446" s="409"/>
      <c r="BN446" s="409"/>
      <c r="BO446" s="438"/>
      <c r="BP446" s="409"/>
      <c r="BQ446" s="409"/>
      <c r="BR446" s="408">
        <f t="shared" si="1607"/>
        <v>59.019892809806969</v>
      </c>
      <c r="BS446" s="409"/>
      <c r="BT446" s="409"/>
      <c r="BU446" s="409"/>
      <c r="BV446" s="438"/>
      <c r="BW446" s="409"/>
      <c r="BX446" s="409"/>
      <c r="BY446" s="408">
        <f t="shared" si="1607"/>
        <v>45.118958092130697</v>
      </c>
      <c r="BZ446" s="409"/>
      <c r="CA446" s="409"/>
      <c r="CB446" s="409"/>
      <c r="CC446" s="438"/>
      <c r="CD446" s="409"/>
      <c r="CE446" s="409"/>
      <c r="CF446" s="408">
        <f t="shared" si="1607"/>
        <v>54.512674068175315</v>
      </c>
      <c r="CG446" s="409"/>
      <c r="CH446" s="409"/>
      <c r="CI446" s="409"/>
      <c r="CJ446" s="438"/>
      <c r="CK446" s="409"/>
      <c r="CL446" s="409"/>
      <c r="CM446" s="408">
        <f t="shared" si="1607"/>
        <v>0</v>
      </c>
      <c r="CN446" s="409"/>
      <c r="CO446" s="409"/>
      <c r="CP446" s="409"/>
      <c r="CQ446" s="438"/>
      <c r="CR446" s="409"/>
      <c r="CS446" s="409"/>
      <c r="CT446" s="408">
        <f>CT639+CT657</f>
        <v>0</v>
      </c>
      <c r="CU446" s="409"/>
      <c r="CV446" s="409"/>
      <c r="CW446" s="409"/>
      <c r="CX446" s="438"/>
      <c r="CY446" s="409"/>
      <c r="CZ446" s="409"/>
      <c r="DA446" s="408">
        <f>DA639+DA657</f>
        <v>0</v>
      </c>
      <c r="DB446" s="409"/>
      <c r="DC446" s="409"/>
      <c r="DD446" s="409"/>
      <c r="DE446" s="438"/>
      <c r="DF446" s="409"/>
      <c r="DG446" s="409"/>
      <c r="DH446" s="408">
        <f>DH639+DH657</f>
        <v>0</v>
      </c>
      <c r="DI446" s="409"/>
      <c r="DJ446" s="409"/>
      <c r="DK446" s="409"/>
      <c r="DL446" s="438"/>
      <c r="DM446" s="409"/>
      <c r="DN446" s="409"/>
      <c r="DO446" s="408">
        <f>DO639+DO657</f>
        <v>0</v>
      </c>
      <c r="DP446" s="409"/>
      <c r="DQ446" s="409"/>
      <c r="DR446" s="409"/>
      <c r="DS446" s="438"/>
      <c r="DT446" s="409"/>
      <c r="DU446" s="409"/>
      <c r="DV446" s="408">
        <f>DV639+DV657</f>
        <v>0</v>
      </c>
      <c r="DW446" s="409"/>
      <c r="DX446" s="409"/>
      <c r="DY446" s="409"/>
      <c r="DZ446" s="438"/>
      <c r="EA446" s="409"/>
      <c r="EB446" s="409"/>
      <c r="EC446" s="408">
        <f>EC639+EC657</f>
        <v>0</v>
      </c>
      <c r="ED446" s="409"/>
      <c r="EE446" s="409"/>
      <c r="EF446" s="409"/>
      <c r="EG446" s="438"/>
      <c r="EH446" s="409"/>
      <c r="EI446" s="409"/>
      <c r="EJ446" s="408">
        <f>EJ639+EJ657</f>
        <v>0</v>
      </c>
      <c r="EK446" s="409"/>
      <c r="EL446" s="409"/>
      <c r="EM446" s="409"/>
      <c r="EN446" s="438"/>
      <c r="EO446" s="409"/>
      <c r="EP446" s="409"/>
      <c r="EQ446" s="408">
        <f>EQ639+EQ657</f>
        <v>0</v>
      </c>
    </row>
    <row r="447" spans="1:147" ht="10.199999999999999" hidden="1" customHeight="1" outlineLevel="1">
      <c r="A447" s="48" t="s">
        <v>720</v>
      </c>
      <c r="B447" s="4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323"/>
      <c r="P447" s="323"/>
      <c r="Q447" s="323"/>
      <c r="R447" s="441"/>
      <c r="S447" s="323"/>
      <c r="T447" s="323"/>
      <c r="U447" s="388">
        <f t="shared" ref="U447:CF447" si="1608">U440+U441+U442+U443+U444+U445+U446</f>
        <v>3099.307986947978</v>
      </c>
      <c r="V447" s="323"/>
      <c r="W447" s="323"/>
      <c r="X447" s="323"/>
      <c r="Y447" s="441"/>
      <c r="Z447" s="323"/>
      <c r="AA447" s="323"/>
      <c r="AB447" s="388">
        <f t="shared" si="1608"/>
        <v>4763.6914400394744</v>
      </c>
      <c r="AC447" s="323"/>
      <c r="AD447" s="323"/>
      <c r="AE447" s="323"/>
      <c r="AF447" s="441"/>
      <c r="AG447" s="323"/>
      <c r="AH447" s="323"/>
      <c r="AI447" s="388">
        <f t="shared" si="1608"/>
        <v>5091.819708490244</v>
      </c>
      <c r="AJ447" s="323"/>
      <c r="AK447" s="323"/>
      <c r="AL447" s="323"/>
      <c r="AM447" s="441"/>
      <c r="AN447" s="323"/>
      <c r="AO447" s="323"/>
      <c r="AP447" s="388">
        <f t="shared" si="1608"/>
        <v>4368.0627979862238</v>
      </c>
      <c r="AQ447" s="323"/>
      <c r="AR447" s="323"/>
      <c r="AS447" s="323"/>
      <c r="AT447" s="441"/>
      <c r="AU447" s="323"/>
      <c r="AV447" s="323"/>
      <c r="AW447" s="388">
        <f t="shared" si="1608"/>
        <v>5207.3342100350419</v>
      </c>
      <c r="AX447" s="323"/>
      <c r="AY447" s="323"/>
      <c r="AZ447" s="323"/>
      <c r="BA447" s="441"/>
      <c r="BB447" s="323"/>
      <c r="BC447" s="323"/>
      <c r="BD447" s="388">
        <f t="shared" si="1608"/>
        <v>0</v>
      </c>
      <c r="BE447" s="323"/>
      <c r="BF447" s="323"/>
      <c r="BG447" s="323"/>
      <c r="BH447" s="441"/>
      <c r="BI447" s="323"/>
      <c r="BJ447" s="323"/>
      <c r="BK447" s="388">
        <f t="shared" si="1608"/>
        <v>7075.058195267783</v>
      </c>
      <c r="BL447" s="323"/>
      <c r="BM447" s="323"/>
      <c r="BN447" s="323"/>
      <c r="BO447" s="441"/>
      <c r="BP447" s="323"/>
      <c r="BQ447" s="323"/>
      <c r="BR447" s="388">
        <f t="shared" si="1608"/>
        <v>10330.172440069866</v>
      </c>
      <c r="BS447" s="323"/>
      <c r="BT447" s="323"/>
      <c r="BU447" s="323"/>
      <c r="BV447" s="441"/>
      <c r="BW447" s="323"/>
      <c r="BX447" s="323"/>
      <c r="BY447" s="388">
        <f t="shared" si="1608"/>
        <v>4117.5761820969392</v>
      </c>
      <c r="BZ447" s="323"/>
      <c r="CA447" s="323"/>
      <c r="CB447" s="323"/>
      <c r="CC447" s="441"/>
      <c r="CD447" s="323"/>
      <c r="CE447" s="323"/>
      <c r="CF447" s="388">
        <f t="shared" si="1608"/>
        <v>5310.862518535354</v>
      </c>
      <c r="CG447" s="323"/>
      <c r="CH447" s="323"/>
      <c r="CI447" s="323"/>
      <c r="CJ447" s="441"/>
      <c r="CK447" s="323"/>
      <c r="CL447" s="323"/>
      <c r="CM447" s="388">
        <f>CM440+CM441+CM442+CM443+CM444+CM445+CM446</f>
        <v>3626.3590603677376</v>
      </c>
      <c r="CN447" s="323"/>
      <c r="CO447" s="323"/>
      <c r="CP447" s="323"/>
      <c r="CQ447" s="441"/>
      <c r="CR447" s="323"/>
      <c r="CS447" s="323"/>
      <c r="CT447" s="388">
        <f>CT440+CT441+CT442+CT443+CT444+CT445+CT446</f>
        <v>3102.4355289286073</v>
      </c>
      <c r="CU447" s="323"/>
      <c r="CV447" s="323"/>
      <c r="CW447" s="323"/>
      <c r="CX447" s="441"/>
      <c r="CY447" s="323"/>
      <c r="CZ447" s="323"/>
      <c r="DA447" s="388">
        <f>DA440+DA441+DA442+DA443+DA444+DA445+DA446</f>
        <v>2142.8020791982999</v>
      </c>
      <c r="DB447" s="323"/>
      <c r="DC447" s="323"/>
      <c r="DD447" s="323"/>
      <c r="DE447" s="441"/>
      <c r="DF447" s="323"/>
      <c r="DG447" s="323"/>
      <c r="DH447" s="388">
        <f>DH440+DH441+DH442+DH443+DH444+DH445+DH446</f>
        <v>271.15240652096475</v>
      </c>
      <c r="DI447" s="323"/>
      <c r="DJ447" s="323"/>
      <c r="DK447" s="323"/>
      <c r="DL447" s="441"/>
      <c r="DM447" s="323"/>
      <c r="DN447" s="323"/>
      <c r="DO447" s="388">
        <f>DO440+DO441+DO442+DO443+DO444+DO445+DO446</f>
        <v>-1776.4342126679978</v>
      </c>
      <c r="DP447" s="323"/>
      <c r="DQ447" s="323"/>
      <c r="DR447" s="323"/>
      <c r="DS447" s="441"/>
      <c r="DT447" s="323"/>
      <c r="DU447" s="323"/>
      <c r="DV447" s="388">
        <f>DV440+DV441+DV442+DV443+DV444+DV445+DV446</f>
        <v>-4386.5042555461778</v>
      </c>
      <c r="DW447" s="323"/>
      <c r="DX447" s="323"/>
      <c r="DY447" s="323"/>
      <c r="DZ447" s="441"/>
      <c r="EA447" s="323"/>
      <c r="EB447" s="323"/>
      <c r="EC447" s="388">
        <f>EC440+EC441+EC442+EC443+EC444+EC445+EC446</f>
        <v>-6800.2340310792079</v>
      </c>
      <c r="ED447" s="323"/>
      <c r="EE447" s="323"/>
      <c r="EF447" s="323"/>
      <c r="EG447" s="441"/>
      <c r="EH447" s="323"/>
      <c r="EI447" s="323"/>
      <c r="EJ447" s="388">
        <f>EJ440+EJ441+EJ442+EJ443+EJ444+EJ445+EJ446</f>
        <v>-9519.8828861262919</v>
      </c>
      <c r="EK447" s="323"/>
      <c r="EL447" s="323"/>
      <c r="EM447" s="323"/>
      <c r="EN447" s="441"/>
      <c r="EO447" s="323"/>
      <c r="EP447" s="323"/>
      <c r="EQ447" s="388">
        <f>EQ440+EQ441+EQ442+EQ443+EQ444+EQ445+EQ446</f>
        <v>-11955.981857708057</v>
      </c>
    </row>
    <row r="448" spans="1:147" ht="10.199999999999999" hidden="1" customHeight="1" outlineLevel="1">
      <c r="A448" s="531" t="s">
        <v>638</v>
      </c>
      <c r="B448" s="228"/>
      <c r="C448" s="532"/>
      <c r="D448" s="532"/>
      <c r="E448" s="532"/>
      <c r="F448" s="532"/>
      <c r="G448" s="532"/>
      <c r="H448" s="532"/>
      <c r="I448" s="532"/>
      <c r="J448" s="532"/>
      <c r="K448" s="532"/>
      <c r="L448" s="532"/>
      <c r="M448" s="532"/>
      <c r="N448" s="532"/>
      <c r="O448" s="409"/>
      <c r="P448" s="409"/>
      <c r="Q448" s="409"/>
      <c r="R448" s="438"/>
      <c r="S448" s="409"/>
      <c r="T448" s="409"/>
      <c r="U448" s="408">
        <f>U451-U446-U445-U443-U441-U450-U442</f>
        <v>1547.692013052022</v>
      </c>
      <c r="V448" s="409"/>
      <c r="W448" s="409"/>
      <c r="X448" s="409"/>
      <c r="Y448" s="438"/>
      <c r="Z448" s="409"/>
      <c r="AA448" s="409"/>
      <c r="AB448" s="408">
        <f>AB451-AB446-AB445-AB443-AB441-AB450-AB442</f>
        <v>432.30855996052651</v>
      </c>
      <c r="AC448" s="409"/>
      <c r="AD448" s="409"/>
      <c r="AE448" s="409"/>
      <c r="AF448" s="438"/>
      <c r="AG448" s="409"/>
      <c r="AH448" s="409"/>
      <c r="AI448" s="408">
        <f>AI451-AI446-AI445-AI443-AI441-AI450-AI442</f>
        <v>390.18029150975599</v>
      </c>
      <c r="AJ448" s="409"/>
      <c r="AK448" s="409"/>
      <c r="AL448" s="409"/>
      <c r="AM448" s="438"/>
      <c r="AN448" s="409"/>
      <c r="AO448" s="409"/>
      <c r="AP448" s="408">
        <f>AP451-AP446-AP445-AP443-AP441-AP450-AP442</f>
        <v>589.93720201377607</v>
      </c>
      <c r="AQ448" s="409"/>
      <c r="AR448" s="409"/>
      <c r="AS448" s="409"/>
      <c r="AT448" s="438"/>
      <c r="AU448" s="409"/>
      <c r="AV448" s="409"/>
      <c r="AW448" s="408">
        <f>AW451-AW446-AW445-AW443-AW441-AW450-AW442</f>
        <v>357.66578996495809</v>
      </c>
      <c r="AX448" s="409"/>
      <c r="AY448" s="409"/>
      <c r="AZ448" s="409"/>
      <c r="BA448" s="438"/>
      <c r="BB448" s="409"/>
      <c r="BC448" s="409"/>
      <c r="BD448" s="408"/>
      <c r="BE448" s="409"/>
      <c r="BF448" s="409"/>
      <c r="BG448" s="409"/>
      <c r="BH448" s="438"/>
      <c r="BI448" s="409"/>
      <c r="BJ448" s="409"/>
      <c r="BK448" s="408">
        <f>BK451-BK446-BK445-BK443-BK441-BK450-BK442-BK444-BK440</f>
        <v>-53.058195267783205</v>
      </c>
      <c r="BL448" s="409"/>
      <c r="BM448" s="409"/>
      <c r="BN448" s="409"/>
      <c r="BO448" s="438"/>
      <c r="BP448" s="409"/>
      <c r="BQ448" s="409"/>
      <c r="BR448" s="408">
        <f>BR451-BR446-BR445-BR443-BR441-BR450-BR442-BR444-BR440</f>
        <v>-1567.1724400698668</v>
      </c>
      <c r="BS448" s="409"/>
      <c r="BT448" s="409"/>
      <c r="BU448" s="409"/>
      <c r="BV448" s="438"/>
      <c r="BW448" s="409"/>
      <c r="BX448" s="409"/>
      <c r="BY448" s="408">
        <f>BY451-BY446-BY445-BY443-BY441-BY450-BY442-BY444-BY440</f>
        <v>-1063.5761820969396</v>
      </c>
      <c r="BZ448" s="409"/>
      <c r="CA448" s="409"/>
      <c r="CB448" s="409"/>
      <c r="CC448" s="438"/>
      <c r="CD448" s="409"/>
      <c r="CE448" s="409"/>
      <c r="CF448" s="408">
        <f>CF451-CF446-CF445-CF443-CF441-CF450-CF442-CF444-CF440</f>
        <v>511.13748146464542</v>
      </c>
      <c r="CG448" s="409"/>
      <c r="CH448" s="409"/>
      <c r="CI448" s="409"/>
      <c r="CJ448" s="438"/>
      <c r="CK448" s="409"/>
      <c r="CL448" s="409"/>
      <c r="CM448" s="408">
        <f>CM451-CM446-CM445-CM443-CM441-CM450-CM442-CM444-CM440</f>
        <v>3580.640939632262</v>
      </c>
      <c r="CN448" s="409"/>
      <c r="CO448" s="409"/>
      <c r="CP448" s="409"/>
      <c r="CQ448" s="438"/>
      <c r="CR448" s="409"/>
      <c r="CS448" s="409"/>
      <c r="CT448" s="408">
        <f>+CT641+CT658</f>
        <v>-69.963357689221993</v>
      </c>
      <c r="CU448" s="409"/>
      <c r="CV448" s="409"/>
      <c r="CW448" s="409"/>
      <c r="CX448" s="438"/>
      <c r="CY448" s="409"/>
      <c r="CZ448" s="409"/>
      <c r="DA448" s="408">
        <f>+DA641+DA658</f>
        <v>-58.661475646152212</v>
      </c>
      <c r="DB448" s="409"/>
      <c r="DC448" s="409"/>
      <c r="DD448" s="409"/>
      <c r="DE448" s="438"/>
      <c r="DF448" s="409"/>
      <c r="DG448" s="409"/>
      <c r="DH448" s="408">
        <f>+DH641+DH658</f>
        <v>54.412890867758961</v>
      </c>
      <c r="DI448" s="409"/>
      <c r="DJ448" s="409"/>
      <c r="DK448" s="409"/>
      <c r="DL448" s="438"/>
      <c r="DM448" s="409"/>
      <c r="DN448" s="409"/>
      <c r="DO448" s="408">
        <f>+DO641+DO658</f>
        <v>1.8143945590836665</v>
      </c>
      <c r="DP448" s="409"/>
      <c r="DQ448" s="409"/>
      <c r="DR448" s="409"/>
      <c r="DS448" s="438"/>
      <c r="DT448" s="409"/>
      <c r="DU448" s="409"/>
      <c r="DV448" s="408">
        <f>+DV641+DV658</f>
        <v>-79.479292743163569</v>
      </c>
      <c r="DW448" s="409"/>
      <c r="DX448" s="409"/>
      <c r="DY448" s="409"/>
      <c r="DZ448" s="438"/>
      <c r="EA448" s="409"/>
      <c r="EB448" s="409"/>
      <c r="EC448" s="408">
        <f>+EC641+EC658</f>
        <v>-47.131609712574345</v>
      </c>
      <c r="ED448" s="409"/>
      <c r="EE448" s="409"/>
      <c r="EF448" s="409"/>
      <c r="EG448" s="438"/>
      <c r="EH448" s="409"/>
      <c r="EI448" s="409"/>
      <c r="EJ448" s="408">
        <f>+EJ641+EJ658</f>
        <v>-92.650736996598653</v>
      </c>
      <c r="EK448" s="409"/>
      <c r="EL448" s="409"/>
      <c r="EM448" s="409"/>
      <c r="EN448" s="438"/>
      <c r="EO448" s="409"/>
      <c r="EP448" s="409"/>
      <c r="EQ448" s="408">
        <f>+EQ641+EQ658</f>
        <v>-143.34118023602741</v>
      </c>
    </row>
    <row r="449" spans="1:147" ht="10.199999999999999" hidden="1" customHeight="1" outlineLevel="1">
      <c r="A449" s="529" t="s">
        <v>31</v>
      </c>
      <c r="B449" s="228"/>
      <c r="C449" s="532"/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532"/>
      <c r="O449" s="413"/>
      <c r="P449" s="413"/>
      <c r="Q449" s="413"/>
      <c r="R449" s="440"/>
      <c r="S449" s="413"/>
      <c r="T449" s="413"/>
      <c r="U449" s="412">
        <f>U448/(U432/U$403)</f>
        <v>0.78286070457959744</v>
      </c>
      <c r="V449" s="413"/>
      <c r="W449" s="413"/>
      <c r="X449" s="413"/>
      <c r="Y449" s="440"/>
      <c r="Z449" s="413"/>
      <c r="AA449" s="413"/>
      <c r="AB449" s="412">
        <f>AB448/(AB432/AB$403)</f>
        <v>0.25602364558983481</v>
      </c>
      <c r="AC449" s="413"/>
      <c r="AD449" s="413"/>
      <c r="AE449" s="413"/>
      <c r="AF449" s="440"/>
      <c r="AG449" s="413"/>
      <c r="AH449" s="413"/>
      <c r="AI449" s="412">
        <f>AI448/(AI432/AI$403)</f>
        <v>0.18679314970177729</v>
      </c>
      <c r="AJ449" s="413"/>
      <c r="AK449" s="413"/>
      <c r="AL449" s="413"/>
      <c r="AM449" s="440"/>
      <c r="AN449" s="413"/>
      <c r="AO449" s="413"/>
      <c r="AP449" s="412">
        <f>AP448/(AP432/AP$403)</f>
        <v>0.26559175642921701</v>
      </c>
      <c r="AQ449" s="413"/>
      <c r="AR449" s="413"/>
      <c r="AS449" s="413"/>
      <c r="AT449" s="440"/>
      <c r="AU449" s="413"/>
      <c r="AV449" s="413"/>
      <c r="AW449" s="412">
        <f>AW448/(AW432/AW$403)</f>
        <v>0.15190789455052461</v>
      </c>
      <c r="AX449" s="413"/>
      <c r="AY449" s="413"/>
      <c r="AZ449" s="413"/>
      <c r="BA449" s="440"/>
      <c r="BB449" s="413"/>
      <c r="BC449" s="413"/>
      <c r="BD449" s="412"/>
      <c r="BE449" s="413"/>
      <c r="BF449" s="413"/>
      <c r="BG449" s="413"/>
      <c r="BH449" s="440"/>
      <c r="BI449" s="413"/>
      <c r="BJ449" s="413"/>
      <c r="BK449" s="412">
        <f>BK448/(BK432/BK$403)</f>
        <v>-2.1668162112395754E-2</v>
      </c>
      <c r="BL449" s="413"/>
      <c r="BM449" s="413"/>
      <c r="BN449" s="413"/>
      <c r="BO449" s="440"/>
      <c r="BP449" s="413"/>
      <c r="BQ449" s="413"/>
      <c r="BR449" s="412">
        <f>BR448/(BR432/BR$403)</f>
        <v>-0.6090578515562336</v>
      </c>
      <c r="BS449" s="413"/>
      <c r="BT449" s="413"/>
      <c r="BU449" s="413"/>
      <c r="BV449" s="440"/>
      <c r="BW449" s="413"/>
      <c r="BX449" s="413"/>
      <c r="BY449" s="412">
        <f>BY448/(BY432/BY$403)</f>
        <v>-0.3963008150244885</v>
      </c>
      <c r="BZ449" s="413"/>
      <c r="CA449" s="413"/>
      <c r="CB449" s="413"/>
      <c r="CC449" s="440"/>
      <c r="CD449" s="413"/>
      <c r="CE449" s="413"/>
      <c r="CF449" s="412">
        <f>CF448/(CF432/CF$403)</f>
        <v>0.25876176446811888</v>
      </c>
      <c r="CG449" s="413"/>
      <c r="CH449" s="413"/>
      <c r="CI449" s="413"/>
      <c r="CJ449" s="440"/>
      <c r="CK449" s="413"/>
      <c r="CL449" s="413"/>
      <c r="CM449" s="412">
        <f>CM448/(CM432/CM$403)</f>
        <v>1.2489402520133794</v>
      </c>
      <c r="CN449" s="413"/>
      <c r="CO449" s="413"/>
      <c r="CP449" s="413"/>
      <c r="CQ449" s="440"/>
      <c r="CR449" s="413"/>
      <c r="CS449" s="413"/>
      <c r="CT449" s="412">
        <f>CT448/(CT432/CT$403)</f>
        <v>-1.888153726610051E-2</v>
      </c>
      <c r="CU449" s="413"/>
      <c r="CV449" s="413"/>
      <c r="CW449" s="413"/>
      <c r="CX449" s="440"/>
      <c r="CY449" s="413"/>
      <c r="CZ449" s="413"/>
      <c r="DA449" s="412">
        <f>DA448/(DA432/DA$403)</f>
        <v>-1.3434424643853042E-2</v>
      </c>
      <c r="DB449" s="413"/>
      <c r="DC449" s="413"/>
      <c r="DD449" s="413"/>
      <c r="DE449" s="440"/>
      <c r="DF449" s="413"/>
      <c r="DG449" s="413"/>
      <c r="DH449" s="412">
        <f>DH448/(DH432/DH$403)</f>
        <v>1.0689458682054025E-2</v>
      </c>
      <c r="DI449" s="413"/>
      <c r="DJ449" s="413"/>
      <c r="DK449" s="413"/>
      <c r="DL449" s="440"/>
      <c r="DM449" s="413"/>
      <c r="DN449" s="413"/>
      <c r="DO449" s="412">
        <f>DO448/(DO432/DO$403)</f>
        <v>3.2548952465366138E-4</v>
      </c>
      <c r="DP449" s="413"/>
      <c r="DQ449" s="413"/>
      <c r="DR449" s="413"/>
      <c r="DS449" s="440"/>
      <c r="DT449" s="413"/>
      <c r="DU449" s="413"/>
      <c r="DV449" s="412">
        <f>DV448/(DV432/DV$403)</f>
        <v>-1.3321429832918645E-2</v>
      </c>
      <c r="DW449" s="413"/>
      <c r="DX449" s="413"/>
      <c r="DY449" s="413"/>
      <c r="DZ449" s="440"/>
      <c r="EA449" s="413"/>
      <c r="EB449" s="413"/>
      <c r="EC449" s="412">
        <f>EC448/(EC432/EC$403)</f>
        <v>-7.3222509755675796E-3</v>
      </c>
      <c r="ED449" s="413"/>
      <c r="EE449" s="413"/>
      <c r="EF449" s="413"/>
      <c r="EG449" s="440"/>
      <c r="EH449" s="413"/>
      <c r="EI449" s="413"/>
      <c r="EJ449" s="412">
        <f>EJ448/(EJ432/EJ$403)</f>
        <v>-1.3429025492775635E-2</v>
      </c>
      <c r="EK449" s="413"/>
      <c r="EL449" s="413"/>
      <c r="EM449" s="413"/>
      <c r="EN449" s="440"/>
      <c r="EO449" s="413"/>
      <c r="EP449" s="413"/>
      <c r="EQ449" s="412">
        <f>EQ448/(EQ432/EQ$403)</f>
        <v>-1.9396633692331168E-2</v>
      </c>
    </row>
    <row r="450" spans="1:147" ht="10.199999999999999" hidden="1" customHeight="1" outlineLevel="1">
      <c r="A450" s="531" t="s">
        <v>209</v>
      </c>
      <c r="B450" s="228"/>
      <c r="C450" s="532"/>
      <c r="D450" s="532"/>
      <c r="E450" s="532"/>
      <c r="F450" s="532"/>
      <c r="G450" s="532"/>
      <c r="H450" s="532"/>
      <c r="I450" s="532"/>
      <c r="J450" s="532"/>
      <c r="K450" s="532"/>
      <c r="L450" s="532"/>
      <c r="M450" s="532"/>
      <c r="N450" s="533"/>
      <c r="O450" s="322"/>
      <c r="P450" s="322"/>
      <c r="Q450" s="322"/>
      <c r="R450" s="430"/>
      <c r="S450" s="322"/>
      <c r="T450" s="322"/>
      <c r="U450" s="385"/>
      <c r="V450" s="322"/>
      <c r="W450" s="322"/>
      <c r="X450" s="322"/>
      <c r="Y450" s="430"/>
      <c r="Z450" s="322"/>
      <c r="AA450" s="322"/>
      <c r="AB450" s="385"/>
      <c r="AC450" s="322"/>
      <c r="AD450" s="322"/>
      <c r="AE450" s="322"/>
      <c r="AF450" s="430"/>
      <c r="AG450" s="322"/>
      <c r="AH450" s="322"/>
      <c r="AI450" s="385"/>
      <c r="AJ450" s="322"/>
      <c r="AK450" s="322"/>
      <c r="AL450" s="322"/>
      <c r="AM450" s="430"/>
      <c r="AN450" s="322"/>
      <c r="AO450" s="322"/>
      <c r="AP450" s="385"/>
      <c r="AQ450" s="322"/>
      <c r="AR450" s="322"/>
      <c r="AS450" s="322"/>
      <c r="AT450" s="430"/>
      <c r="AU450" s="322"/>
      <c r="AV450" s="322"/>
      <c r="AW450" s="385"/>
      <c r="AX450" s="322"/>
      <c r="AY450" s="322"/>
      <c r="AZ450" s="322"/>
      <c r="BA450" s="430"/>
      <c r="BB450" s="322"/>
      <c r="BC450" s="322"/>
      <c r="BD450" s="385"/>
      <c r="BE450" s="322"/>
      <c r="BF450" s="322"/>
      <c r="BG450" s="322"/>
      <c r="BH450" s="430"/>
      <c r="BI450" s="322"/>
      <c r="BJ450" s="322"/>
      <c r="BK450" s="385"/>
      <c r="BL450" s="322"/>
      <c r="BM450" s="322"/>
      <c r="BN450" s="322"/>
      <c r="BO450" s="430"/>
      <c r="BP450" s="322"/>
      <c r="BQ450" s="322"/>
      <c r="BR450" s="385"/>
      <c r="BS450" s="322"/>
      <c r="BT450" s="322"/>
      <c r="BU450" s="322"/>
      <c r="BV450" s="430"/>
      <c r="BW450" s="322"/>
      <c r="BX450" s="322"/>
      <c r="BY450" s="385"/>
      <c r="BZ450" s="322"/>
      <c r="CA450" s="322"/>
      <c r="CB450" s="322"/>
      <c r="CC450" s="430"/>
      <c r="CD450" s="322"/>
      <c r="CE450" s="322"/>
      <c r="CF450" s="385"/>
      <c r="CG450" s="322"/>
      <c r="CH450" s="322"/>
      <c r="CI450" s="322"/>
      <c r="CJ450" s="430"/>
      <c r="CK450" s="322"/>
      <c r="CL450" s="322"/>
      <c r="CM450" s="385"/>
      <c r="CN450" s="322"/>
      <c r="CO450" s="322"/>
      <c r="CP450" s="322"/>
      <c r="CQ450" s="430"/>
      <c r="CR450" s="322"/>
      <c r="CS450" s="322"/>
      <c r="CT450" s="385"/>
      <c r="CU450" s="322"/>
      <c r="CV450" s="322"/>
      <c r="CW450" s="322"/>
      <c r="CX450" s="430"/>
      <c r="CY450" s="322"/>
      <c r="CZ450" s="322"/>
      <c r="DA450" s="385"/>
      <c r="DB450" s="322"/>
      <c r="DC450" s="322"/>
      <c r="DD450" s="322"/>
      <c r="DE450" s="430"/>
      <c r="DF450" s="322"/>
      <c r="DG450" s="322"/>
      <c r="DH450" s="385"/>
      <c r="DI450" s="322"/>
      <c r="DJ450" s="322"/>
      <c r="DK450" s="322"/>
      <c r="DL450" s="430"/>
      <c r="DM450" s="322"/>
      <c r="DN450" s="322"/>
      <c r="DO450" s="385"/>
      <c r="DP450" s="322"/>
      <c r="DQ450" s="322"/>
      <c r="DR450" s="322"/>
      <c r="DS450" s="430"/>
      <c r="DT450" s="322"/>
      <c r="DU450" s="322"/>
      <c r="DV450" s="385"/>
      <c r="DW450" s="322"/>
      <c r="DX450" s="322"/>
      <c r="DY450" s="322"/>
      <c r="DZ450" s="430"/>
      <c r="EA450" s="322"/>
      <c r="EB450" s="322"/>
      <c r="EC450" s="385"/>
      <c r="ED450" s="322"/>
      <c r="EE450" s="322"/>
      <c r="EF450" s="322"/>
      <c r="EG450" s="430"/>
      <c r="EH450" s="322"/>
      <c r="EI450" s="322"/>
      <c r="EJ450" s="385"/>
      <c r="EK450" s="322"/>
      <c r="EL450" s="322"/>
      <c r="EM450" s="322"/>
      <c r="EN450" s="430"/>
      <c r="EO450" s="322"/>
      <c r="EP450" s="322"/>
      <c r="EQ450" s="385"/>
    </row>
    <row r="451" spans="1:147" ht="10.199999999999999" hidden="1" customHeight="1" outlineLevel="1">
      <c r="A451" s="48" t="s">
        <v>722</v>
      </c>
      <c r="B451" s="4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222">
        <f>N45+N42</f>
        <v>4078</v>
      </c>
      <c r="O451" s="323"/>
      <c r="P451" s="323"/>
      <c r="Q451" s="323"/>
      <c r="R451" s="441"/>
      <c r="S451" s="323"/>
      <c r="T451" s="323"/>
      <c r="U451" s="400">
        <f>U45+U42</f>
        <v>4647</v>
      </c>
      <c r="V451" s="323"/>
      <c r="W451" s="323"/>
      <c r="X451" s="323"/>
      <c r="Y451" s="441"/>
      <c r="Z451" s="323"/>
      <c r="AA451" s="323"/>
      <c r="AB451" s="400">
        <f>AB45+AB42</f>
        <v>5196</v>
      </c>
      <c r="AC451" s="323"/>
      <c r="AD451" s="323"/>
      <c r="AE451" s="323"/>
      <c r="AF451" s="441"/>
      <c r="AG451" s="323"/>
      <c r="AH451" s="323"/>
      <c r="AI451" s="400">
        <f>AI45+AI42</f>
        <v>5482</v>
      </c>
      <c r="AJ451" s="323"/>
      <c r="AK451" s="323"/>
      <c r="AL451" s="323"/>
      <c r="AM451" s="441"/>
      <c r="AN451" s="323"/>
      <c r="AO451" s="323"/>
      <c r="AP451" s="400">
        <f>AP45+AP42</f>
        <v>4958</v>
      </c>
      <c r="AQ451" s="323"/>
      <c r="AR451" s="323"/>
      <c r="AS451" s="323"/>
      <c r="AT451" s="441"/>
      <c r="AU451" s="323"/>
      <c r="AV451" s="323"/>
      <c r="AW451" s="400">
        <f>AW45+AW42</f>
        <v>5565</v>
      </c>
      <c r="AX451" s="323"/>
      <c r="AY451" s="323"/>
      <c r="AZ451" s="323"/>
      <c r="BA451" s="441"/>
      <c r="BB451" s="323"/>
      <c r="BC451" s="323"/>
      <c r="BD451" s="400">
        <f>BD45+BD42</f>
        <v>4225</v>
      </c>
      <c r="BE451" s="323"/>
      <c r="BF451" s="323"/>
      <c r="BG451" s="323"/>
      <c r="BH451" s="441"/>
      <c r="BI451" s="323"/>
      <c r="BJ451" s="323"/>
      <c r="BK451" s="400">
        <f>BK45+BK42</f>
        <v>7022</v>
      </c>
      <c r="BL451" s="323"/>
      <c r="BM451" s="323"/>
      <c r="BN451" s="323"/>
      <c r="BO451" s="441"/>
      <c r="BP451" s="323"/>
      <c r="BQ451" s="323"/>
      <c r="BR451" s="400">
        <f>BR45+BR42</f>
        <v>8763</v>
      </c>
      <c r="BS451" s="323"/>
      <c r="BT451" s="323"/>
      <c r="BU451" s="323"/>
      <c r="BV451" s="441"/>
      <c r="BW451" s="323"/>
      <c r="BX451" s="323"/>
      <c r="BY451" s="400">
        <f>BY45+BY42</f>
        <v>3054</v>
      </c>
      <c r="BZ451" s="323"/>
      <c r="CA451" s="323"/>
      <c r="CB451" s="323"/>
      <c r="CC451" s="441"/>
      <c r="CD451" s="323"/>
      <c r="CE451" s="323"/>
      <c r="CF451" s="400">
        <f>CF45+CF42</f>
        <v>5822</v>
      </c>
      <c r="CG451" s="323"/>
      <c r="CH451" s="323"/>
      <c r="CI451" s="323"/>
      <c r="CJ451" s="441"/>
      <c r="CK451" s="323"/>
      <c r="CL451" s="323"/>
      <c r="CM451" s="400">
        <f>CM45+CM42</f>
        <v>7207</v>
      </c>
      <c r="CN451" s="323"/>
      <c r="CO451" s="323"/>
      <c r="CP451" s="323"/>
      <c r="CQ451" s="441"/>
      <c r="CR451" s="323"/>
      <c r="CS451" s="323"/>
      <c r="CT451" s="400">
        <f>CT441+CT442+CT443+CT444+CT445+CT446+CT440+CT448+CT450</f>
        <v>3032.4721712393853</v>
      </c>
      <c r="CU451" s="323"/>
      <c r="CV451" s="323"/>
      <c r="CW451" s="323"/>
      <c r="CX451" s="441"/>
      <c r="CY451" s="323"/>
      <c r="CZ451" s="323"/>
      <c r="DA451" s="400">
        <f>DA441+DA442+DA443+DA444+DA445+DA446+DA440+DA448+DA450</f>
        <v>2084.1406035521477</v>
      </c>
      <c r="DB451" s="323"/>
      <c r="DC451" s="323"/>
      <c r="DD451" s="323"/>
      <c r="DE451" s="441"/>
      <c r="DF451" s="323"/>
      <c r="DG451" s="323"/>
      <c r="DH451" s="400">
        <f>DH441+DH442+DH443+DH444+DH445+DH446+DH440+DH448+DH450</f>
        <v>325.56529738872371</v>
      </c>
      <c r="DI451" s="323"/>
      <c r="DJ451" s="323"/>
      <c r="DK451" s="323"/>
      <c r="DL451" s="441"/>
      <c r="DM451" s="323"/>
      <c r="DN451" s="323"/>
      <c r="DO451" s="400">
        <f>DO441+DO442+DO443+DO444+DO445+DO446+DO440+DO448+DO450</f>
        <v>-1774.6198181089142</v>
      </c>
      <c r="DP451" s="323"/>
      <c r="DQ451" s="323"/>
      <c r="DR451" s="323"/>
      <c r="DS451" s="441"/>
      <c r="DT451" s="323"/>
      <c r="DU451" s="323"/>
      <c r="DV451" s="400">
        <f>DV441+DV442+DV443+DV444+DV445+DV446+DV440+DV448+DV450</f>
        <v>-4465.9835482893413</v>
      </c>
      <c r="DW451" s="323"/>
      <c r="DX451" s="323"/>
      <c r="DY451" s="323"/>
      <c r="DZ451" s="441"/>
      <c r="EA451" s="323"/>
      <c r="EB451" s="323"/>
      <c r="EC451" s="400">
        <f>EC441+EC442+EC443+EC444+EC445+EC446+EC440+EC448+EC450</f>
        <v>-6847.3656407917824</v>
      </c>
      <c r="ED451" s="323"/>
      <c r="EE451" s="323"/>
      <c r="EF451" s="323"/>
      <c r="EG451" s="441"/>
      <c r="EH451" s="323"/>
      <c r="EI451" s="323"/>
      <c r="EJ451" s="400">
        <f>EJ441+EJ442+EJ443+EJ444+EJ445+EJ446+EJ440+EJ448+EJ450</f>
        <v>-9612.5336231228903</v>
      </c>
      <c r="EK451" s="323"/>
      <c r="EL451" s="323"/>
      <c r="EM451" s="323"/>
      <c r="EN451" s="441"/>
      <c r="EO451" s="323"/>
      <c r="EP451" s="323"/>
      <c r="EQ451" s="400">
        <f>EQ441+EQ442+EQ443+EQ444+EQ445+EQ446+EQ440+EQ448+EQ450</f>
        <v>-12099.323037944085</v>
      </c>
    </row>
    <row r="452" spans="1:147" ht="10.199999999999999" hidden="1" customHeight="1" outlineLevel="1">
      <c r="A452" s="51" t="s">
        <v>31</v>
      </c>
      <c r="B452" s="4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5">
        <f>N451/N11</f>
        <v>0.11038627074141244</v>
      </c>
      <c r="O452" s="403"/>
      <c r="P452" s="403"/>
      <c r="Q452" s="403"/>
      <c r="R452" s="432"/>
      <c r="S452" s="403"/>
      <c r="T452" s="403"/>
      <c r="U452" s="402">
        <f>U451/U11</f>
        <v>0.11766344254823517</v>
      </c>
      <c r="V452" s="403"/>
      <c r="W452" s="403"/>
      <c r="X452" s="403"/>
      <c r="Y452" s="432"/>
      <c r="Z452" s="403"/>
      <c r="AA452" s="403"/>
      <c r="AB452" s="402">
        <f>AB451/AB11</f>
        <v>0.12289498580889309</v>
      </c>
      <c r="AC452" s="403"/>
      <c r="AD452" s="403"/>
      <c r="AE452" s="403"/>
      <c r="AF452" s="432"/>
      <c r="AG452" s="403"/>
      <c r="AH452" s="403"/>
      <c r="AI452" s="402">
        <f>AI451/AI11</f>
        <v>0.11955336502813277</v>
      </c>
      <c r="AJ452" s="403"/>
      <c r="AK452" s="403"/>
      <c r="AL452" s="403"/>
      <c r="AM452" s="432"/>
      <c r="AN452" s="403"/>
      <c r="AO452" s="403"/>
      <c r="AP452" s="402">
        <f>AP451/AP11</f>
        <v>0.10069663058269188</v>
      </c>
      <c r="AQ452" s="403"/>
      <c r="AR452" s="403"/>
      <c r="AS452" s="403"/>
      <c r="AT452" s="432"/>
      <c r="AU452" s="403"/>
      <c r="AV452" s="403"/>
      <c r="AW452" s="402">
        <f>AW451/AW11</f>
        <v>0.10920758271517721</v>
      </c>
      <c r="AX452" s="403"/>
      <c r="AY452" s="403"/>
      <c r="AZ452" s="403"/>
      <c r="BA452" s="432"/>
      <c r="BB452" s="403"/>
      <c r="BC452" s="403"/>
      <c r="BD452" s="402">
        <f>BD451/BD11</f>
        <v>9.7157705928344759E-2</v>
      </c>
      <c r="BE452" s="403"/>
      <c r="BF452" s="403"/>
      <c r="BG452" s="403"/>
      <c r="BH452" s="432"/>
      <c r="BI452" s="403"/>
      <c r="BJ452" s="403"/>
      <c r="BK452" s="402">
        <f>BK451/BK11</f>
        <v>0.14638315613925371</v>
      </c>
      <c r="BL452" s="403"/>
      <c r="BM452" s="403"/>
      <c r="BN452" s="403"/>
      <c r="BO452" s="432"/>
      <c r="BP452" s="403"/>
      <c r="BQ452" s="403"/>
      <c r="BR452" s="402">
        <f>BR451/BR11</f>
        <v>0.15998174349612049</v>
      </c>
      <c r="BS452" s="403"/>
      <c r="BT452" s="403"/>
      <c r="BU452" s="403"/>
      <c r="BV452" s="432"/>
      <c r="BW452" s="403"/>
      <c r="BX452" s="403"/>
      <c r="BY452" s="402">
        <f>BY451/BY11</f>
        <v>8.9167883211678831E-2</v>
      </c>
      <c r="BZ452" s="403"/>
      <c r="CA452" s="403"/>
      <c r="CB452" s="403"/>
      <c r="CC452" s="432"/>
      <c r="CD452" s="403"/>
      <c r="CE452" s="403"/>
      <c r="CF452" s="402">
        <f>CF451/CF11</f>
        <v>0.16098882866939498</v>
      </c>
      <c r="CG452" s="403"/>
      <c r="CH452" s="403"/>
      <c r="CI452" s="403"/>
      <c r="CJ452" s="432"/>
      <c r="CK452" s="403"/>
      <c r="CL452" s="403"/>
      <c r="CM452" s="402">
        <f>CM451/CM11</f>
        <v>0.17396446847542724</v>
      </c>
      <c r="CN452" s="403"/>
      <c r="CO452" s="403"/>
      <c r="CP452" s="403"/>
      <c r="CQ452" s="432"/>
      <c r="CR452" s="403"/>
      <c r="CS452" s="403"/>
      <c r="CT452" s="402">
        <f>CT451/CT11</f>
        <v>6.3489985370252813E-2</v>
      </c>
      <c r="CU452" s="403"/>
      <c r="CV452" s="403"/>
      <c r="CW452" s="403"/>
      <c r="CX452" s="432"/>
      <c r="CY452" s="403"/>
      <c r="CZ452" s="403"/>
      <c r="DA452" s="402">
        <f>DA451/DA11</f>
        <v>4.1151139350632776E-2</v>
      </c>
      <c r="DB452" s="403"/>
      <c r="DC452" s="403"/>
      <c r="DD452" s="403"/>
      <c r="DE452" s="432"/>
      <c r="DF452" s="403"/>
      <c r="DG452" s="403"/>
      <c r="DH452" s="402">
        <f>DH451/DH11</f>
        <v>6.1921619222991744E-3</v>
      </c>
      <c r="DI452" s="403"/>
      <c r="DJ452" s="403"/>
      <c r="DK452" s="403"/>
      <c r="DL452" s="432"/>
      <c r="DM452" s="403"/>
      <c r="DN452" s="403"/>
      <c r="DO452" s="402">
        <f>DO451/DO11</f>
        <v>-3.041922450776554E-2</v>
      </c>
      <c r="DP452" s="403"/>
      <c r="DQ452" s="403"/>
      <c r="DR452" s="403"/>
      <c r="DS452" s="432"/>
      <c r="DT452" s="403"/>
      <c r="DU452" s="403"/>
      <c r="DV452" s="402">
        <f>DV451/DV11</f>
        <v>-6.7428387436004142E-2</v>
      </c>
      <c r="DW452" s="403"/>
      <c r="DX452" s="403"/>
      <c r="DY452" s="403"/>
      <c r="DZ452" s="432"/>
      <c r="EA452" s="403"/>
      <c r="EB452" s="403"/>
      <c r="EC452" s="402">
        <f>EC451/EC11</f>
        <v>-9.3612956724924326E-2</v>
      </c>
      <c r="ED452" s="403"/>
      <c r="EE452" s="403"/>
      <c r="EF452" s="403"/>
      <c r="EG452" s="432"/>
      <c r="EH452" s="403"/>
      <c r="EI452" s="403"/>
      <c r="EJ452" s="402">
        <f>EJ451/EJ11</f>
        <v>-0.12586693772904073</v>
      </c>
      <c r="EK452" s="403"/>
      <c r="EL452" s="403"/>
      <c r="EM452" s="403"/>
      <c r="EN452" s="432"/>
      <c r="EO452" s="403"/>
      <c r="EP452" s="403"/>
      <c r="EQ452" s="402">
        <f>EQ451/EQ11</f>
        <v>-0.15387954867070497</v>
      </c>
    </row>
    <row r="453" spans="1:147" ht="10.199999999999999" hidden="1" customHeight="1" outlineLevel="1">
      <c r="A453" s="43"/>
      <c r="B453" s="43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77"/>
      <c r="O453" s="442"/>
      <c r="P453" s="442"/>
      <c r="Q453" s="442"/>
      <c r="R453" s="443"/>
      <c r="S453" s="442"/>
      <c r="T453" s="442"/>
      <c r="U453" s="342"/>
      <c r="V453" s="442"/>
      <c r="W453" s="442"/>
      <c r="X453" s="442"/>
      <c r="Y453" s="443"/>
      <c r="Z453" s="442"/>
      <c r="AA453" s="442"/>
      <c r="AB453" s="342"/>
      <c r="AC453" s="442"/>
      <c r="AD453" s="442"/>
      <c r="AE453" s="442"/>
      <c r="AF453" s="443"/>
      <c r="AG453" s="442"/>
      <c r="AH453" s="442"/>
      <c r="AI453" s="342"/>
      <c r="AJ453" s="442"/>
      <c r="AK453" s="442"/>
      <c r="AL453" s="442"/>
      <c r="AM453" s="443"/>
      <c r="AN453" s="442"/>
      <c r="AO453" s="442"/>
      <c r="AP453" s="342"/>
      <c r="AQ453" s="442"/>
      <c r="AR453" s="442"/>
      <c r="AS453" s="442"/>
      <c r="AT453" s="443"/>
      <c r="AU453" s="442"/>
      <c r="AV453" s="442"/>
      <c r="AW453" s="342"/>
      <c r="AX453" s="442"/>
      <c r="AY453" s="442"/>
      <c r="AZ453" s="442"/>
      <c r="BA453" s="443"/>
      <c r="BB453" s="442"/>
      <c r="BC453" s="442"/>
      <c r="BD453" s="342"/>
      <c r="BE453" s="442"/>
      <c r="BF453" s="442"/>
      <c r="BG453" s="442"/>
      <c r="BH453" s="443"/>
      <c r="BI453" s="442"/>
      <c r="BJ453" s="442"/>
      <c r="BK453" s="342"/>
      <c r="BL453" s="442"/>
      <c r="BM453" s="442"/>
      <c r="BN453" s="442"/>
      <c r="BO453" s="443"/>
      <c r="BP453" s="442"/>
      <c r="BQ453" s="442"/>
      <c r="BR453" s="342"/>
      <c r="BS453" s="442"/>
      <c r="BT453" s="442"/>
      <c r="BU453" s="442"/>
      <c r="BV453" s="443"/>
      <c r="BW453" s="442"/>
      <c r="BX453" s="442"/>
      <c r="BY453" s="342"/>
      <c r="BZ453" s="442"/>
      <c r="CA453" s="442"/>
      <c r="CB453" s="442"/>
      <c r="CC453" s="443"/>
      <c r="CD453" s="442"/>
      <c r="CE453" s="442"/>
      <c r="CF453" s="342"/>
      <c r="CG453" s="442"/>
      <c r="CH453" s="442"/>
      <c r="CI453" s="442"/>
      <c r="CJ453" s="443"/>
      <c r="CK453" s="442"/>
      <c r="CL453" s="442"/>
      <c r="CM453" s="342"/>
      <c r="CN453" s="442"/>
      <c r="CO453" s="442"/>
      <c r="CP453" s="442"/>
      <c r="CQ453" s="443"/>
      <c r="CR453" s="442"/>
      <c r="CS453" s="442"/>
      <c r="CT453" s="342"/>
      <c r="CU453" s="442"/>
      <c r="CV453" s="442"/>
      <c r="CW453" s="442"/>
      <c r="CX453" s="443"/>
      <c r="CY453" s="442"/>
      <c r="CZ453" s="442"/>
      <c r="DA453" s="342"/>
      <c r="DB453" s="442"/>
      <c r="DC453" s="442"/>
      <c r="DD453" s="442"/>
      <c r="DE453" s="443"/>
      <c r="DF453" s="442"/>
      <c r="DG453" s="442"/>
      <c r="DH453" s="342"/>
      <c r="DI453" s="442"/>
      <c r="DJ453" s="442"/>
      <c r="DK453" s="442"/>
      <c r="DL453" s="443"/>
      <c r="DM453" s="442"/>
      <c r="DN453" s="442"/>
      <c r="DO453" s="342"/>
      <c r="DP453" s="442"/>
      <c r="DQ453" s="442"/>
      <c r="DR453" s="442"/>
      <c r="DS453" s="443"/>
      <c r="DT453" s="442"/>
      <c r="DU453" s="442"/>
      <c r="DV453" s="342"/>
      <c r="DW453" s="442"/>
      <c r="DX453" s="442"/>
      <c r="DY453" s="442"/>
      <c r="DZ453" s="443"/>
      <c r="EA453" s="442"/>
      <c r="EB453" s="442"/>
      <c r="EC453" s="342"/>
      <c r="ED453" s="442"/>
      <c r="EE453" s="442"/>
      <c r="EF453" s="442"/>
      <c r="EG453" s="443"/>
      <c r="EH453" s="442"/>
      <c r="EI453" s="442"/>
      <c r="EJ453" s="342"/>
      <c r="EK453" s="442"/>
      <c r="EL453" s="442"/>
      <c r="EM453" s="442"/>
      <c r="EN453" s="443"/>
      <c r="EO453" s="442"/>
      <c r="EP453" s="442"/>
      <c r="EQ453" s="342"/>
    </row>
    <row r="454" spans="1:147" ht="10.199999999999999" hidden="1" customHeight="1" outlineLevel="1">
      <c r="A454" s="48" t="s">
        <v>712</v>
      </c>
      <c r="B454" s="43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77"/>
      <c r="O454" s="442"/>
      <c r="P454" s="442"/>
      <c r="Q454" s="442"/>
      <c r="R454" s="443"/>
      <c r="S454" s="442"/>
      <c r="T454" s="442"/>
      <c r="U454" s="342"/>
      <c r="V454" s="442"/>
      <c r="W454" s="442"/>
      <c r="X454" s="442"/>
      <c r="Y454" s="443"/>
      <c r="Z454" s="442"/>
      <c r="AA454" s="442"/>
      <c r="AB454" s="342"/>
      <c r="AC454" s="442"/>
      <c r="AD454" s="442"/>
      <c r="AE454" s="442"/>
      <c r="AF454" s="443"/>
      <c r="AG454" s="442"/>
      <c r="AH454" s="442"/>
      <c r="AI454" s="342"/>
      <c r="AJ454" s="442"/>
      <c r="AK454" s="442"/>
      <c r="AL454" s="442"/>
      <c r="AM454" s="443"/>
      <c r="AN454" s="442"/>
      <c r="AO454" s="442"/>
      <c r="AP454" s="342"/>
      <c r="AQ454" s="442"/>
      <c r="AR454" s="442"/>
      <c r="AS454" s="442"/>
      <c r="AT454" s="443"/>
      <c r="AU454" s="442"/>
      <c r="AV454" s="442"/>
      <c r="AW454" s="342"/>
      <c r="AX454" s="442"/>
      <c r="AY454" s="442"/>
      <c r="AZ454" s="442"/>
      <c r="BA454" s="443"/>
      <c r="BB454" s="442"/>
      <c r="BC454" s="442"/>
      <c r="BD454" s="342"/>
      <c r="BE454" s="442"/>
      <c r="BF454" s="442"/>
      <c r="BG454" s="442"/>
      <c r="BH454" s="443"/>
      <c r="BI454" s="442"/>
      <c r="BJ454" s="442"/>
      <c r="BK454" s="342"/>
      <c r="BL454" s="442"/>
      <c r="BM454" s="442"/>
      <c r="BN454" s="442"/>
      <c r="BO454" s="443"/>
      <c r="BP454" s="442"/>
      <c r="BQ454" s="442"/>
      <c r="BR454" s="342"/>
      <c r="BS454" s="442"/>
      <c r="BT454" s="442"/>
      <c r="BU454" s="442"/>
      <c r="BV454" s="443"/>
      <c r="BW454" s="442"/>
      <c r="BX454" s="442"/>
      <c r="BY454" s="342"/>
      <c r="BZ454" s="442"/>
      <c r="CA454" s="442"/>
      <c r="CB454" s="442"/>
      <c r="CC454" s="443"/>
      <c r="CD454" s="442"/>
      <c r="CE454" s="442"/>
      <c r="CF454" s="342"/>
      <c r="CG454" s="442"/>
      <c r="CH454" s="442"/>
      <c r="CI454" s="442"/>
      <c r="CJ454" s="443"/>
      <c r="CK454" s="442"/>
      <c r="CL454" s="442"/>
      <c r="CM454" s="342"/>
      <c r="CN454" s="442"/>
      <c r="CO454" s="442"/>
      <c r="CP454" s="442"/>
      <c r="CQ454" s="443"/>
      <c r="CR454" s="442"/>
      <c r="CS454" s="442"/>
      <c r="CT454" s="342"/>
      <c r="CU454" s="442"/>
      <c r="CV454" s="442"/>
      <c r="CW454" s="442"/>
      <c r="CX454" s="443"/>
      <c r="CY454" s="442"/>
      <c r="CZ454" s="442"/>
      <c r="DA454" s="342"/>
      <c r="DB454" s="442"/>
      <c r="DC454" s="442"/>
      <c r="DD454" s="442"/>
      <c r="DE454" s="443"/>
      <c r="DF454" s="442"/>
      <c r="DG454" s="442"/>
      <c r="DH454" s="342"/>
      <c r="DI454" s="442"/>
      <c r="DJ454" s="442"/>
      <c r="DK454" s="442"/>
      <c r="DL454" s="443"/>
      <c r="DM454" s="442"/>
      <c r="DN454" s="442"/>
      <c r="DO454" s="342"/>
      <c r="DP454" s="442"/>
      <c r="DQ454" s="442"/>
      <c r="DR454" s="442"/>
      <c r="DS454" s="443"/>
      <c r="DT454" s="442"/>
      <c r="DU454" s="442"/>
      <c r="DV454" s="342"/>
      <c r="DW454" s="442"/>
      <c r="DX454" s="442"/>
      <c r="DY454" s="442"/>
      <c r="DZ454" s="443"/>
      <c r="EA454" s="442"/>
      <c r="EB454" s="442"/>
      <c r="EC454" s="342"/>
      <c r="ED454" s="442"/>
      <c r="EE454" s="442"/>
      <c r="EF454" s="442"/>
      <c r="EG454" s="443"/>
      <c r="EH454" s="442"/>
      <c r="EI454" s="442"/>
      <c r="EJ454" s="342"/>
      <c r="EK454" s="442"/>
      <c r="EL454" s="442"/>
      <c r="EM454" s="442"/>
      <c r="EN454" s="443"/>
      <c r="EO454" s="442"/>
      <c r="EP454" s="442"/>
      <c r="EQ454" s="342"/>
    </row>
    <row r="455" spans="1:147" ht="10.199999999999999" hidden="1" customHeight="1" outlineLevel="1">
      <c r="A455" s="51" t="str">
        <f t="shared" ref="A455:A461" si="1609">A440</f>
        <v>A220</v>
      </c>
      <c r="B455" s="4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413"/>
      <c r="P455" s="413"/>
      <c r="Q455" s="413"/>
      <c r="R455" s="440"/>
      <c r="S455" s="413"/>
      <c r="T455" s="413"/>
      <c r="U455" s="412"/>
      <c r="V455" s="413"/>
      <c r="W455" s="413"/>
      <c r="X455" s="413"/>
      <c r="Y455" s="440"/>
      <c r="Z455" s="413"/>
      <c r="AA455" s="413"/>
      <c r="AB455" s="412"/>
      <c r="AC455" s="413"/>
      <c r="AD455" s="413"/>
      <c r="AE455" s="413"/>
      <c r="AF455" s="440"/>
      <c r="AG455" s="413"/>
      <c r="AH455" s="413"/>
      <c r="AI455" s="412"/>
      <c r="AJ455" s="413"/>
      <c r="AK455" s="413"/>
      <c r="AL455" s="413"/>
      <c r="AM455" s="440"/>
      <c r="AN455" s="413"/>
      <c r="AO455" s="413"/>
      <c r="AP455" s="412"/>
      <c r="AQ455" s="413"/>
      <c r="AR455" s="413"/>
      <c r="AS455" s="413"/>
      <c r="AT455" s="440"/>
      <c r="AU455" s="413"/>
      <c r="AV455" s="413"/>
      <c r="AW455" s="412"/>
      <c r="AX455" s="413"/>
      <c r="AY455" s="413"/>
      <c r="AZ455" s="413"/>
      <c r="BA455" s="440"/>
      <c r="BB455" s="413"/>
      <c r="BC455" s="413"/>
      <c r="BD455" s="412"/>
      <c r="BE455" s="413"/>
      <c r="BF455" s="413"/>
      <c r="BG455" s="413"/>
      <c r="BH455" s="440"/>
      <c r="BI455" s="413"/>
      <c r="BJ455" s="413"/>
      <c r="BK455" s="412">
        <f>BK617</f>
        <v>0</v>
      </c>
      <c r="BL455" s="413"/>
      <c r="BM455" s="413"/>
      <c r="BN455" s="413"/>
      <c r="BO455" s="440"/>
      <c r="BP455" s="413"/>
      <c r="BQ455" s="413"/>
      <c r="BR455" s="412">
        <f>BR617</f>
        <v>0</v>
      </c>
      <c r="BS455" s="413"/>
      <c r="BT455" s="413"/>
      <c r="BU455" s="413"/>
      <c r="BV455" s="440"/>
      <c r="BW455" s="413"/>
      <c r="BX455" s="413"/>
      <c r="BY455" s="412">
        <f>BY617</f>
        <v>0</v>
      </c>
      <c r="BZ455" s="413"/>
      <c r="CA455" s="413"/>
      <c r="CB455" s="413"/>
      <c r="CC455" s="440"/>
      <c r="CD455" s="413"/>
      <c r="CE455" s="413"/>
      <c r="CF455" s="412">
        <f>CF617</f>
        <v>0</v>
      </c>
      <c r="CG455" s="413"/>
      <c r="CH455" s="413"/>
      <c r="CI455" s="413"/>
      <c r="CJ455" s="440"/>
      <c r="CK455" s="413"/>
      <c r="CL455" s="413"/>
      <c r="CM455" s="412">
        <f>CM617</f>
        <v>0</v>
      </c>
      <c r="CN455" s="413"/>
      <c r="CO455" s="413"/>
      <c r="CP455" s="413"/>
      <c r="CQ455" s="440"/>
      <c r="CR455" s="413"/>
      <c r="CS455" s="413"/>
      <c r="CT455" s="412">
        <f>CT617</f>
        <v>0</v>
      </c>
      <c r="CU455" s="413"/>
      <c r="CV455" s="413"/>
      <c r="CW455" s="413"/>
      <c r="CX455" s="440"/>
      <c r="CY455" s="413"/>
      <c r="CZ455" s="413"/>
      <c r="DA455" s="412">
        <f>DA617</f>
        <v>0</v>
      </c>
      <c r="DB455" s="413"/>
      <c r="DC455" s="413"/>
      <c r="DD455" s="413"/>
      <c r="DE455" s="440"/>
      <c r="DF455" s="413"/>
      <c r="DG455" s="413"/>
      <c r="DH455" s="412">
        <f>DH617</f>
        <v>0</v>
      </c>
      <c r="DI455" s="413"/>
      <c r="DJ455" s="413"/>
      <c r="DK455" s="413"/>
      <c r="DL455" s="440"/>
      <c r="DM455" s="413"/>
      <c r="DN455" s="413"/>
      <c r="DO455" s="412">
        <f>DO617</f>
        <v>0</v>
      </c>
      <c r="DP455" s="413"/>
      <c r="DQ455" s="413"/>
      <c r="DR455" s="413"/>
      <c r="DS455" s="440"/>
      <c r="DT455" s="413"/>
      <c r="DU455" s="413"/>
      <c r="DV455" s="412">
        <f>DV617</f>
        <v>0</v>
      </c>
      <c r="DW455" s="413"/>
      <c r="DX455" s="413"/>
      <c r="DY455" s="413"/>
      <c r="DZ455" s="440"/>
      <c r="EA455" s="413"/>
      <c r="EB455" s="413"/>
      <c r="EC455" s="412">
        <f>EC617</f>
        <v>0</v>
      </c>
      <c r="ED455" s="413"/>
      <c r="EE455" s="413"/>
      <c r="EF455" s="413"/>
      <c r="EG455" s="440"/>
      <c r="EH455" s="413"/>
      <c r="EI455" s="413"/>
      <c r="EJ455" s="412">
        <f>EJ617</f>
        <v>0</v>
      </c>
      <c r="EK455" s="413"/>
      <c r="EL455" s="413"/>
      <c r="EM455" s="413"/>
      <c r="EN455" s="440"/>
      <c r="EO455" s="413"/>
      <c r="EP455" s="413"/>
      <c r="EQ455" s="412">
        <f>EQ617</f>
        <v>0</v>
      </c>
    </row>
    <row r="456" spans="1:147" ht="10.199999999999999" hidden="1" customHeight="1" outlineLevel="1">
      <c r="A456" s="51" t="str">
        <f t="shared" si="1609"/>
        <v>A320ceo</v>
      </c>
      <c r="B456" s="4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225"/>
      <c r="O456" s="411"/>
      <c r="P456" s="411"/>
      <c r="Q456" s="411"/>
      <c r="R456" s="439"/>
      <c r="S456" s="411"/>
      <c r="T456" s="411"/>
      <c r="U456" s="410">
        <v>0.19</v>
      </c>
      <c r="V456" s="411"/>
      <c r="W456" s="411"/>
      <c r="X456" s="411"/>
      <c r="Y456" s="439"/>
      <c r="Z456" s="411"/>
      <c r="AA456" s="411"/>
      <c r="AB456" s="410">
        <v>0.19</v>
      </c>
      <c r="AC456" s="411"/>
      <c r="AD456" s="411"/>
      <c r="AE456" s="411"/>
      <c r="AF456" s="439"/>
      <c r="AG456" s="411"/>
      <c r="AH456" s="411"/>
      <c r="AI456" s="410">
        <f>AI601</f>
        <v>0.22000000000000003</v>
      </c>
      <c r="AJ456" s="411"/>
      <c r="AK456" s="411"/>
      <c r="AL456" s="411"/>
      <c r="AM456" s="439"/>
      <c r="AN456" s="411"/>
      <c r="AO456" s="411"/>
      <c r="AP456" s="410">
        <f>AP601</f>
        <v>0.18433873390232017</v>
      </c>
      <c r="AQ456" s="411"/>
      <c r="AR456" s="411"/>
      <c r="AS456" s="411"/>
      <c r="AT456" s="439"/>
      <c r="AU456" s="411"/>
      <c r="AV456" s="411"/>
      <c r="AW456" s="410">
        <f>AW601</f>
        <v>0.20402137856222122</v>
      </c>
      <c r="AX456" s="411"/>
      <c r="AY456" s="411"/>
      <c r="AZ456" s="411"/>
      <c r="BA456" s="439"/>
      <c r="BB456" s="411"/>
      <c r="BC456" s="411"/>
      <c r="BD456" s="410"/>
      <c r="BE456" s="411"/>
      <c r="BF456" s="411"/>
      <c r="BG456" s="411"/>
      <c r="BH456" s="439"/>
      <c r="BI456" s="411"/>
      <c r="BJ456" s="411"/>
      <c r="BK456" s="410">
        <f>BK601</f>
        <v>0.18815936615858206</v>
      </c>
      <c r="BL456" s="411"/>
      <c r="BM456" s="411"/>
      <c r="BN456" s="411"/>
      <c r="BO456" s="439"/>
      <c r="BP456" s="411"/>
      <c r="BQ456" s="411"/>
      <c r="BR456" s="410">
        <f>BR601</f>
        <v>0.20408590480388311</v>
      </c>
      <c r="BS456" s="411"/>
      <c r="BT456" s="411"/>
      <c r="BU456" s="411"/>
      <c r="BV456" s="439"/>
      <c r="BW456" s="411"/>
      <c r="BX456" s="411"/>
      <c r="BY456" s="410">
        <f>BY601</f>
        <v>0.11871629856169669</v>
      </c>
      <c r="BZ456" s="411"/>
      <c r="CA456" s="411"/>
      <c r="CB456" s="411"/>
      <c r="CC456" s="439"/>
      <c r="CD456" s="411"/>
      <c r="CE456" s="411"/>
      <c r="CF456" s="410">
        <f>CF601</f>
        <v>0</v>
      </c>
      <c r="CG456" s="411"/>
      <c r="CH456" s="411"/>
      <c r="CI456" s="411"/>
      <c r="CJ456" s="439"/>
      <c r="CK456" s="411"/>
      <c r="CL456" s="411"/>
      <c r="CM456" s="410">
        <f>CM601</f>
        <v>0</v>
      </c>
      <c r="CN456" s="411"/>
      <c r="CO456" s="411"/>
      <c r="CP456" s="411"/>
      <c r="CQ456" s="439"/>
      <c r="CR456" s="411"/>
      <c r="CS456" s="411"/>
      <c r="CT456" s="410"/>
      <c r="CU456" s="411"/>
      <c r="CV456" s="411"/>
      <c r="CW456" s="411"/>
      <c r="CX456" s="439"/>
      <c r="CY456" s="411"/>
      <c r="CZ456" s="411"/>
      <c r="DA456" s="410"/>
      <c r="DB456" s="411"/>
      <c r="DC456" s="411"/>
      <c r="DD456" s="411"/>
      <c r="DE456" s="439"/>
      <c r="DF456" s="411"/>
      <c r="DG456" s="411"/>
      <c r="DH456" s="410"/>
      <c r="DI456" s="411"/>
      <c r="DJ456" s="411"/>
      <c r="DK456" s="411"/>
      <c r="DL456" s="439"/>
      <c r="DM456" s="411"/>
      <c r="DN456" s="411"/>
      <c r="DO456" s="410"/>
      <c r="DP456" s="411"/>
      <c r="DQ456" s="411"/>
      <c r="DR456" s="411"/>
      <c r="DS456" s="439"/>
      <c r="DT456" s="411"/>
      <c r="DU456" s="411"/>
      <c r="DV456" s="410"/>
      <c r="DW456" s="411"/>
      <c r="DX456" s="411"/>
      <c r="DY456" s="411"/>
      <c r="DZ456" s="439"/>
      <c r="EA456" s="411"/>
      <c r="EB456" s="411"/>
      <c r="EC456" s="410"/>
      <c r="ED456" s="411"/>
      <c r="EE456" s="411"/>
      <c r="EF456" s="411"/>
      <c r="EG456" s="439"/>
      <c r="EH456" s="411"/>
      <c r="EI456" s="411"/>
      <c r="EJ456" s="410"/>
      <c r="EK456" s="411"/>
      <c r="EL456" s="411"/>
      <c r="EM456" s="411"/>
      <c r="EN456" s="439"/>
      <c r="EO456" s="411"/>
      <c r="EP456" s="411"/>
      <c r="EQ456" s="410"/>
    </row>
    <row r="457" spans="1:147" ht="10.199999999999999" hidden="1" customHeight="1" outlineLevel="1">
      <c r="A457" s="51" t="str">
        <f t="shared" si="1609"/>
        <v>A320neo</v>
      </c>
      <c r="B457" s="4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413"/>
      <c r="P457" s="413"/>
      <c r="Q457" s="413"/>
      <c r="R457" s="440"/>
      <c r="S457" s="413"/>
      <c r="T457" s="413"/>
      <c r="U457" s="412"/>
      <c r="V457" s="413"/>
      <c r="W457" s="413"/>
      <c r="X457" s="413"/>
      <c r="Y457" s="440"/>
      <c r="Z457" s="413"/>
      <c r="AA457" s="413"/>
      <c r="AB457" s="412"/>
      <c r="AC457" s="413"/>
      <c r="AD457" s="413"/>
      <c r="AE457" s="413"/>
      <c r="AF457" s="440"/>
      <c r="AG457" s="413"/>
      <c r="AH457" s="413"/>
      <c r="AI457" s="412"/>
      <c r="AJ457" s="413"/>
      <c r="AK457" s="413"/>
      <c r="AL457" s="413"/>
      <c r="AM457" s="440"/>
      <c r="AN457" s="413"/>
      <c r="AO457" s="413"/>
      <c r="AP457" s="412">
        <f>AP605</f>
        <v>0.19</v>
      </c>
      <c r="AQ457" s="413"/>
      <c r="AR457" s="413"/>
      <c r="AS457" s="413"/>
      <c r="AT457" s="440"/>
      <c r="AU457" s="413"/>
      <c r="AV457" s="413"/>
      <c r="AW457" s="412">
        <f>AW605</f>
        <v>0.21826406826568279</v>
      </c>
      <c r="AX457" s="413"/>
      <c r="AY457" s="413"/>
      <c r="AZ457" s="413"/>
      <c r="BA457" s="440"/>
      <c r="BB457" s="413"/>
      <c r="BC457" s="413"/>
      <c r="BD457" s="412"/>
      <c r="BE457" s="413"/>
      <c r="BF457" s="413"/>
      <c r="BG457" s="413"/>
      <c r="BH457" s="440"/>
      <c r="BI457" s="413"/>
      <c r="BJ457" s="413"/>
      <c r="BK457" s="412">
        <f>BK605</f>
        <v>0.24090743667450218</v>
      </c>
      <c r="BL457" s="413"/>
      <c r="BM457" s="413"/>
      <c r="BN457" s="413"/>
      <c r="BO457" s="440"/>
      <c r="BP457" s="413"/>
      <c r="BQ457" s="413"/>
      <c r="BR457" s="412">
        <f>BR605</f>
        <v>0.27146116559403194</v>
      </c>
      <c r="BS457" s="413"/>
      <c r="BT457" s="413"/>
      <c r="BU457" s="413"/>
      <c r="BV457" s="440"/>
      <c r="BW457" s="413"/>
      <c r="BX457" s="413"/>
      <c r="BY457" s="412">
        <f>BY605</f>
        <v>0.14803776878285763</v>
      </c>
      <c r="BZ457" s="413"/>
      <c r="CA457" s="413"/>
      <c r="CB457" s="413"/>
      <c r="CC457" s="440"/>
      <c r="CD457" s="413"/>
      <c r="CE457" s="413"/>
      <c r="CF457" s="412">
        <f>CF605</f>
        <v>0.16783239481945847</v>
      </c>
      <c r="CG457" s="413"/>
      <c r="CH457" s="413"/>
      <c r="CI457" s="413"/>
      <c r="CJ457" s="440"/>
      <c r="CK457" s="413"/>
      <c r="CL457" s="413"/>
      <c r="CM457" s="412">
        <f>CM605</f>
        <v>0.10700720719790197</v>
      </c>
      <c r="CN457" s="413"/>
      <c r="CO457" s="413"/>
      <c r="CP457" s="413"/>
      <c r="CQ457" s="440"/>
      <c r="CR457" s="413"/>
      <c r="CS457" s="413"/>
      <c r="CT457" s="412">
        <f>CT605</f>
        <v>5.6827856806093494E-2</v>
      </c>
      <c r="CU457" s="413"/>
      <c r="CV457" s="413"/>
      <c r="CW457" s="413"/>
      <c r="CX457" s="440"/>
      <c r="CY457" s="413"/>
      <c r="CZ457" s="413"/>
      <c r="DA457" s="412">
        <f>DA605</f>
        <v>1.5895315000358255E-2</v>
      </c>
      <c r="DB457" s="413"/>
      <c r="DC457" s="413"/>
      <c r="DD457" s="413"/>
      <c r="DE457" s="440"/>
      <c r="DF457" s="413"/>
      <c r="DG457" s="413"/>
      <c r="DH457" s="412">
        <f>DH605</f>
        <v>-5.6339579449117778E-2</v>
      </c>
      <c r="DI457" s="413"/>
      <c r="DJ457" s="413"/>
      <c r="DK457" s="413"/>
      <c r="DL457" s="440"/>
      <c r="DM457" s="413"/>
      <c r="DN457" s="413"/>
      <c r="DO457" s="412">
        <f>DO605</f>
        <v>-0.10462616940984544</v>
      </c>
      <c r="DP457" s="413"/>
      <c r="DQ457" s="413"/>
      <c r="DR457" s="413"/>
      <c r="DS457" s="440"/>
      <c r="DT457" s="413"/>
      <c r="DU457" s="413"/>
      <c r="DV457" s="412">
        <f>DV605</f>
        <v>-0.15397722203781034</v>
      </c>
      <c r="DW457" s="413"/>
      <c r="DX457" s="413"/>
      <c r="DY457" s="413"/>
      <c r="DZ457" s="440"/>
      <c r="EA457" s="413"/>
      <c r="EB457" s="413"/>
      <c r="EC457" s="412">
        <f>EC605</f>
        <v>-0.20648044936856663</v>
      </c>
      <c r="ED457" s="413"/>
      <c r="EE457" s="413"/>
      <c r="EF457" s="413"/>
      <c r="EG457" s="440"/>
      <c r="EH457" s="413"/>
      <c r="EI457" s="413"/>
      <c r="EJ457" s="412">
        <f>EJ605</f>
        <v>-0.25705753719939722</v>
      </c>
      <c r="EK457" s="413"/>
      <c r="EL457" s="413"/>
      <c r="EM457" s="413"/>
      <c r="EN457" s="440"/>
      <c r="EO457" s="413"/>
      <c r="EP457" s="413"/>
      <c r="EQ457" s="412">
        <f>EQ605</f>
        <v>-0.30977682743732698</v>
      </c>
    </row>
    <row r="458" spans="1:147" ht="10.199999999999999" hidden="1" customHeight="1" outlineLevel="1">
      <c r="A458" s="51" t="str">
        <f t="shared" si="1609"/>
        <v>A330ceo</v>
      </c>
      <c r="B458" s="4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225"/>
      <c r="O458" s="413"/>
      <c r="P458" s="413"/>
      <c r="Q458" s="413"/>
      <c r="R458" s="440"/>
      <c r="S458" s="413"/>
      <c r="T458" s="413"/>
      <c r="U458" s="412">
        <v>0.13</v>
      </c>
      <c r="V458" s="413"/>
      <c r="W458" s="413"/>
      <c r="X458" s="413"/>
      <c r="Y458" s="440"/>
      <c r="Z458" s="413"/>
      <c r="AA458" s="413"/>
      <c r="AB458" s="412">
        <v>0.13</v>
      </c>
      <c r="AC458" s="413"/>
      <c r="AD458" s="413"/>
      <c r="AE458" s="413"/>
      <c r="AF458" s="440"/>
      <c r="AG458" s="413"/>
      <c r="AH458" s="413"/>
      <c r="AI458" s="412">
        <f>AI608</f>
        <v>0.1225</v>
      </c>
      <c r="AJ458" s="413"/>
      <c r="AK458" s="413"/>
      <c r="AL458" s="413"/>
      <c r="AM458" s="440"/>
      <c r="AN458" s="413"/>
      <c r="AO458" s="413"/>
      <c r="AP458" s="412">
        <f>AP608</f>
        <v>0.10577531700235231</v>
      </c>
      <c r="AQ458" s="413"/>
      <c r="AR458" s="413"/>
      <c r="AS458" s="413"/>
      <c r="AT458" s="440"/>
      <c r="AU458" s="413"/>
      <c r="AV458" s="413"/>
      <c r="AW458" s="412">
        <f>AW608</f>
        <v>2.6153886543309281E-2</v>
      </c>
      <c r="AX458" s="413"/>
      <c r="AY458" s="413"/>
      <c r="AZ458" s="413"/>
      <c r="BA458" s="440"/>
      <c r="BB458" s="413"/>
      <c r="BC458" s="413"/>
      <c r="BD458" s="412"/>
      <c r="BE458" s="413"/>
      <c r="BF458" s="413"/>
      <c r="BG458" s="413"/>
      <c r="BH458" s="440"/>
      <c r="BI458" s="413"/>
      <c r="BJ458" s="413"/>
      <c r="BK458" s="412">
        <f>BK608</f>
        <v>7.7939693858900289E-2</v>
      </c>
      <c r="BL458" s="413"/>
      <c r="BM458" s="413"/>
      <c r="BN458" s="413"/>
      <c r="BO458" s="440"/>
      <c r="BP458" s="413"/>
      <c r="BQ458" s="413"/>
      <c r="BR458" s="412">
        <f>BR608</f>
        <v>7.7456787759550075E-2</v>
      </c>
      <c r="BS458" s="413"/>
      <c r="BT458" s="413"/>
      <c r="BU458" s="413"/>
      <c r="BV458" s="440"/>
      <c r="BW458" s="413"/>
      <c r="BX458" s="413"/>
      <c r="BY458" s="412"/>
      <c r="BZ458" s="413"/>
      <c r="CA458" s="413"/>
      <c r="CB458" s="413"/>
      <c r="CC458" s="440"/>
      <c r="CD458" s="413"/>
      <c r="CE458" s="413"/>
      <c r="CF458" s="412"/>
      <c r="CG458" s="413"/>
      <c r="CH458" s="413"/>
      <c r="CI458" s="413"/>
      <c r="CJ458" s="440"/>
      <c r="CK458" s="413"/>
      <c r="CL458" s="413"/>
      <c r="CM458" s="412"/>
      <c r="CN458" s="413"/>
      <c r="CO458" s="413"/>
      <c r="CP458" s="413"/>
      <c r="CQ458" s="440"/>
      <c r="CR458" s="413"/>
      <c r="CS458" s="413"/>
      <c r="CT458" s="412"/>
      <c r="CU458" s="413"/>
      <c r="CV458" s="413"/>
      <c r="CW458" s="413"/>
      <c r="CX458" s="440"/>
      <c r="CY458" s="413"/>
      <c r="CZ458" s="413"/>
      <c r="DA458" s="412"/>
      <c r="DB458" s="413"/>
      <c r="DC458" s="413"/>
      <c r="DD458" s="413"/>
      <c r="DE458" s="440"/>
      <c r="DF458" s="413"/>
      <c r="DG458" s="413"/>
      <c r="DH458" s="412"/>
      <c r="DI458" s="413"/>
      <c r="DJ458" s="413"/>
      <c r="DK458" s="413"/>
      <c r="DL458" s="440"/>
      <c r="DM458" s="413"/>
      <c r="DN458" s="413"/>
      <c r="DO458" s="412"/>
      <c r="DP458" s="413"/>
      <c r="DQ458" s="413"/>
      <c r="DR458" s="413"/>
      <c r="DS458" s="440"/>
      <c r="DT458" s="413"/>
      <c r="DU458" s="413"/>
      <c r="DV458" s="412"/>
      <c r="DW458" s="413"/>
      <c r="DX458" s="413"/>
      <c r="DY458" s="413"/>
      <c r="DZ458" s="440"/>
      <c r="EA458" s="413"/>
      <c r="EB458" s="413"/>
      <c r="EC458" s="412"/>
      <c r="ED458" s="413"/>
      <c r="EE458" s="413"/>
      <c r="EF458" s="413"/>
      <c r="EG458" s="440"/>
      <c r="EH458" s="413"/>
      <c r="EI458" s="413"/>
      <c r="EJ458" s="412"/>
      <c r="EK458" s="413"/>
      <c r="EL458" s="413"/>
      <c r="EM458" s="413"/>
      <c r="EN458" s="440"/>
      <c r="EO458" s="413"/>
      <c r="EP458" s="413"/>
      <c r="EQ458" s="412"/>
    </row>
    <row r="459" spans="1:147" ht="10.199999999999999" hidden="1" customHeight="1" outlineLevel="1">
      <c r="A459" s="51" t="str">
        <f t="shared" si="1609"/>
        <v>A330neo</v>
      </c>
      <c r="B459" s="4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413"/>
      <c r="P459" s="413"/>
      <c r="Q459" s="413"/>
      <c r="R459" s="440"/>
      <c r="S459" s="413"/>
      <c r="T459" s="413"/>
      <c r="U459" s="412"/>
      <c r="V459" s="413"/>
      <c r="W459" s="413"/>
      <c r="X459" s="413"/>
      <c r="Y459" s="440"/>
      <c r="Z459" s="413"/>
      <c r="AA459" s="413"/>
      <c r="AB459" s="412"/>
      <c r="AC459" s="413"/>
      <c r="AD459" s="413"/>
      <c r="AE459" s="413"/>
      <c r="AF459" s="440"/>
      <c r="AG459" s="413"/>
      <c r="AH459" s="413"/>
      <c r="AI459" s="412"/>
      <c r="AJ459" s="413"/>
      <c r="AK459" s="413"/>
      <c r="AL459" s="413"/>
      <c r="AM459" s="440"/>
      <c r="AN459" s="413"/>
      <c r="AO459" s="413"/>
      <c r="AP459" s="412"/>
      <c r="AQ459" s="413"/>
      <c r="AR459" s="413"/>
      <c r="AS459" s="413"/>
      <c r="AT459" s="440"/>
      <c r="AU459" s="413"/>
      <c r="AV459" s="413"/>
      <c r="AW459" s="412"/>
      <c r="AX459" s="413"/>
      <c r="AY459" s="413"/>
      <c r="AZ459" s="413"/>
      <c r="BA459" s="440"/>
      <c r="BB459" s="413"/>
      <c r="BC459" s="413"/>
      <c r="BD459" s="412"/>
      <c r="BE459" s="413"/>
      <c r="BF459" s="413"/>
      <c r="BG459" s="413"/>
      <c r="BH459" s="440"/>
      <c r="BI459" s="413"/>
      <c r="BJ459" s="413"/>
      <c r="BK459" s="412">
        <f>BK611</f>
        <v>8.5000000000000006E-2</v>
      </c>
      <c r="BL459" s="413"/>
      <c r="BM459" s="413"/>
      <c r="BN459" s="413"/>
      <c r="BO459" s="440"/>
      <c r="BP459" s="413"/>
      <c r="BQ459" s="413"/>
      <c r="BR459" s="412">
        <f>BR611</f>
        <v>7.6029411764705776E-2</v>
      </c>
      <c r="BS459" s="413"/>
      <c r="BT459" s="413"/>
      <c r="BU459" s="413"/>
      <c r="BV459" s="440"/>
      <c r="BW459" s="413"/>
      <c r="BX459" s="413"/>
      <c r="BY459" s="412">
        <f>BY611</f>
        <v>-0.25867108645638875</v>
      </c>
      <c r="BZ459" s="413"/>
      <c r="CA459" s="413"/>
      <c r="CB459" s="413"/>
      <c r="CC459" s="440"/>
      <c r="CD459" s="413"/>
      <c r="CE459" s="413"/>
      <c r="CF459" s="412">
        <f>CF611</f>
        <v>-6.4415550374231204E-2</v>
      </c>
      <c r="CG459" s="413"/>
      <c r="CH459" s="413"/>
      <c r="CI459" s="413"/>
      <c r="CJ459" s="440"/>
      <c r="CK459" s="413"/>
      <c r="CL459" s="413"/>
      <c r="CM459" s="412">
        <f>CM611</f>
        <v>-4.0738622033083545E-2</v>
      </c>
      <c r="CN459" s="413"/>
      <c r="CO459" s="413"/>
      <c r="CP459" s="413"/>
      <c r="CQ459" s="440"/>
      <c r="CR459" s="413"/>
      <c r="CS459" s="413"/>
      <c r="CT459" s="412">
        <f>CT611</f>
        <v>1.0606809118039984E-2</v>
      </c>
      <c r="CU459" s="413"/>
      <c r="CV459" s="413"/>
      <c r="CW459" s="413"/>
      <c r="CX459" s="440"/>
      <c r="CY459" s="413"/>
      <c r="CZ459" s="413"/>
      <c r="DA459" s="412">
        <f>DA611</f>
        <v>3.473835035906335E-2</v>
      </c>
      <c r="DB459" s="413"/>
      <c r="DC459" s="413"/>
      <c r="DD459" s="413"/>
      <c r="DE459" s="440"/>
      <c r="DF459" s="413"/>
      <c r="DG459" s="413"/>
      <c r="DH459" s="412">
        <f>DH611</f>
        <v>5.4858113599787567E-2</v>
      </c>
      <c r="DI459" s="413"/>
      <c r="DJ459" s="413"/>
      <c r="DK459" s="413"/>
      <c r="DL459" s="440"/>
      <c r="DM459" s="413"/>
      <c r="DN459" s="413"/>
      <c r="DO459" s="412">
        <f>DO611</f>
        <v>6.7328456430335332E-2</v>
      </c>
      <c r="DP459" s="413"/>
      <c r="DQ459" s="413"/>
      <c r="DR459" s="413"/>
      <c r="DS459" s="440"/>
      <c r="DT459" s="413"/>
      <c r="DU459" s="413"/>
      <c r="DV459" s="412">
        <f>DV611</f>
        <v>9.0076542858863642E-2</v>
      </c>
      <c r="DW459" s="413"/>
      <c r="DX459" s="413"/>
      <c r="DY459" s="413"/>
      <c r="DZ459" s="440"/>
      <c r="EA459" s="413"/>
      <c r="EB459" s="413"/>
      <c r="EC459" s="412">
        <f>EC611</f>
        <v>0.11226979791108639</v>
      </c>
      <c r="ED459" s="413"/>
      <c r="EE459" s="413"/>
      <c r="EF459" s="413"/>
      <c r="EG459" s="440"/>
      <c r="EH459" s="413"/>
      <c r="EI459" s="413"/>
      <c r="EJ459" s="412">
        <f>EJ611</f>
        <v>0.1339217540595965</v>
      </c>
      <c r="EK459" s="413"/>
      <c r="EL459" s="413"/>
      <c r="EM459" s="413"/>
      <c r="EN459" s="440"/>
      <c r="EO459" s="413"/>
      <c r="EP459" s="413"/>
      <c r="EQ459" s="412">
        <f>EQ611</f>
        <v>0.15687072039135538</v>
      </c>
    </row>
    <row r="460" spans="1:147" ht="10.199999999999999" hidden="1" customHeight="1" outlineLevel="1">
      <c r="A460" s="51" t="str">
        <f t="shared" si="1609"/>
        <v>A350</v>
      </c>
      <c r="B460" s="4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413"/>
      <c r="P460" s="413"/>
      <c r="Q460" s="413"/>
      <c r="R460" s="440"/>
      <c r="S460" s="413"/>
      <c r="T460" s="413"/>
      <c r="U460" s="412"/>
      <c r="V460" s="413"/>
      <c r="W460" s="413"/>
      <c r="X460" s="413"/>
      <c r="Y460" s="440"/>
      <c r="Z460" s="413"/>
      <c r="AA460" s="413"/>
      <c r="AB460" s="412"/>
      <c r="AC460" s="413"/>
      <c r="AD460" s="413"/>
      <c r="AE460" s="413"/>
      <c r="AF460" s="440"/>
      <c r="AG460" s="413"/>
      <c r="AH460" s="413"/>
      <c r="AI460" s="412">
        <f t="shared" ref="AI460:AW461" si="1610">AI615</f>
        <v>-0.72</v>
      </c>
      <c r="AJ460" s="413"/>
      <c r="AK460" s="413"/>
      <c r="AL460" s="413"/>
      <c r="AM460" s="440"/>
      <c r="AN460" s="413"/>
      <c r="AO460" s="413"/>
      <c r="AP460" s="412">
        <f t="shared" si="1610"/>
        <v>-0.20811996105160646</v>
      </c>
      <c r="AQ460" s="413"/>
      <c r="AR460" s="413"/>
      <c r="AS460" s="413"/>
      <c r="AT460" s="440"/>
      <c r="AU460" s="413"/>
      <c r="AV460" s="413"/>
      <c r="AW460" s="412">
        <f t="shared" si="1610"/>
        <v>-0.10781424843187654</v>
      </c>
      <c r="AX460" s="413"/>
      <c r="AY460" s="413"/>
      <c r="AZ460" s="413"/>
      <c r="BA460" s="440"/>
      <c r="BB460" s="413"/>
      <c r="BC460" s="413"/>
      <c r="BD460" s="412"/>
      <c r="BE460" s="413"/>
      <c r="BF460" s="413"/>
      <c r="BG460" s="413"/>
      <c r="BH460" s="440"/>
      <c r="BI460" s="413"/>
      <c r="BJ460" s="413"/>
      <c r="BK460" s="412">
        <f t="shared" ref="BK460:CM461" si="1611">BK615</f>
        <v>-2.0401622539802756E-2</v>
      </c>
      <c r="BL460" s="413"/>
      <c r="BM460" s="413"/>
      <c r="BN460" s="413"/>
      <c r="BO460" s="440"/>
      <c r="BP460" s="413"/>
      <c r="BQ460" s="413"/>
      <c r="BR460" s="412">
        <f t="shared" si="1611"/>
        <v>1.9614127363718856E-2</v>
      </c>
      <c r="BS460" s="413"/>
      <c r="BT460" s="413"/>
      <c r="BU460" s="413"/>
      <c r="BV460" s="440"/>
      <c r="BW460" s="413"/>
      <c r="BX460" s="413"/>
      <c r="BY460" s="412">
        <f t="shared" si="1611"/>
        <v>-5.7278882254812959E-2</v>
      </c>
      <c r="BZ460" s="413"/>
      <c r="CA460" s="413"/>
      <c r="CB460" s="413"/>
      <c r="CC460" s="440"/>
      <c r="CD460" s="413"/>
      <c r="CE460" s="413"/>
      <c r="CF460" s="412">
        <f t="shared" si="1611"/>
        <v>-5.4514860658512873E-3</v>
      </c>
      <c r="CG460" s="413"/>
      <c r="CH460" s="413"/>
      <c r="CI460" s="413"/>
      <c r="CJ460" s="440"/>
      <c r="CK460" s="413"/>
      <c r="CL460" s="413"/>
      <c r="CM460" s="412">
        <f t="shared" si="1611"/>
        <v>-6.4595691128548294E-2</v>
      </c>
      <c r="CN460" s="413"/>
      <c r="CO460" s="413"/>
      <c r="CP460" s="413"/>
      <c r="CQ460" s="440"/>
      <c r="CR460" s="413"/>
      <c r="CS460" s="413"/>
      <c r="CT460" s="412">
        <f>CT615</f>
        <v>-4.9166768068714381E-2</v>
      </c>
      <c r="CU460" s="413"/>
      <c r="CV460" s="413"/>
      <c r="CW460" s="413"/>
      <c r="CX460" s="440"/>
      <c r="CY460" s="413"/>
      <c r="CZ460" s="413"/>
      <c r="DA460" s="412">
        <f>DA615</f>
        <v>-4.4048881395208454E-2</v>
      </c>
      <c r="DB460" s="413"/>
      <c r="DC460" s="413"/>
      <c r="DD460" s="413"/>
      <c r="DE460" s="440"/>
      <c r="DF460" s="413"/>
      <c r="DG460" s="413"/>
      <c r="DH460" s="412">
        <f>DH615</f>
        <v>-3.8955960022549016E-2</v>
      </c>
      <c r="DI460" s="413"/>
      <c r="DJ460" s="413"/>
      <c r="DK460" s="413"/>
      <c r="DL460" s="440"/>
      <c r="DM460" s="413"/>
      <c r="DN460" s="413"/>
      <c r="DO460" s="412">
        <f>DO615</f>
        <v>-3.3887882168780491E-2</v>
      </c>
      <c r="DP460" s="413"/>
      <c r="DQ460" s="413"/>
      <c r="DR460" s="413"/>
      <c r="DS460" s="440"/>
      <c r="DT460" s="413"/>
      <c r="DU460" s="413"/>
      <c r="DV460" s="412">
        <f>DV615</f>
        <v>-2.8844526646006188E-2</v>
      </c>
      <c r="DW460" s="413"/>
      <c r="DX460" s="413"/>
      <c r="DY460" s="413"/>
      <c r="DZ460" s="440"/>
      <c r="EA460" s="413"/>
      <c r="EB460" s="413"/>
      <c r="EC460" s="412">
        <f>EC615</f>
        <v>-2.3825772857489116E-2</v>
      </c>
      <c r="ED460" s="413"/>
      <c r="EE460" s="413"/>
      <c r="EF460" s="413"/>
      <c r="EG460" s="440"/>
      <c r="EH460" s="413"/>
      <c r="EI460" s="413"/>
      <c r="EJ460" s="412">
        <f>EJ615</f>
        <v>-1.8831500794769741E-2</v>
      </c>
      <c r="EK460" s="413"/>
      <c r="EL460" s="413"/>
      <c r="EM460" s="413"/>
      <c r="EN460" s="440"/>
      <c r="EO460" s="413"/>
      <c r="EP460" s="413"/>
      <c r="EQ460" s="412">
        <f>EQ615</f>
        <v>-1.3861591034795491E-2</v>
      </c>
    </row>
    <row r="461" spans="1:147" ht="10.199999999999999" hidden="1" customHeight="1" outlineLevel="1">
      <c r="A461" s="51" t="str">
        <f t="shared" si="1609"/>
        <v>A380</v>
      </c>
      <c r="B461" s="4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413"/>
      <c r="P461" s="413"/>
      <c r="Q461" s="413"/>
      <c r="R461" s="440"/>
      <c r="S461" s="413"/>
      <c r="T461" s="413"/>
      <c r="U461" s="412"/>
      <c r="V461" s="413"/>
      <c r="W461" s="413"/>
      <c r="X461" s="413"/>
      <c r="Y461" s="440"/>
      <c r="Z461" s="413"/>
      <c r="AA461" s="413"/>
      <c r="AB461" s="412"/>
      <c r="AC461" s="413"/>
      <c r="AD461" s="413"/>
      <c r="AE461" s="413"/>
      <c r="AF461" s="440"/>
      <c r="AG461" s="413"/>
      <c r="AH461" s="413"/>
      <c r="AI461" s="412">
        <f t="shared" si="1610"/>
        <v>0</v>
      </c>
      <c r="AJ461" s="413"/>
      <c r="AK461" s="413"/>
      <c r="AL461" s="413"/>
      <c r="AM461" s="440"/>
      <c r="AN461" s="413"/>
      <c r="AO461" s="413"/>
      <c r="AP461" s="412">
        <f t="shared" si="1610"/>
        <v>-9.786575140532737E-3</v>
      </c>
      <c r="AQ461" s="413"/>
      <c r="AR461" s="413"/>
      <c r="AS461" s="413"/>
      <c r="AT461" s="440"/>
      <c r="AU461" s="413"/>
      <c r="AV461" s="413"/>
      <c r="AW461" s="412">
        <f t="shared" si="1610"/>
        <v>-6.6201747293944749E-2</v>
      </c>
      <c r="AX461" s="413"/>
      <c r="AY461" s="413"/>
      <c r="AZ461" s="413"/>
      <c r="BA461" s="440"/>
      <c r="BB461" s="413"/>
      <c r="BC461" s="413"/>
      <c r="BD461" s="412"/>
      <c r="BE461" s="413"/>
      <c r="BF461" s="413"/>
      <c r="BG461" s="413"/>
      <c r="BH461" s="440"/>
      <c r="BI461" s="413"/>
      <c r="BJ461" s="413"/>
      <c r="BK461" s="412">
        <f t="shared" si="1611"/>
        <v>-1.5273558644517146E-2</v>
      </c>
      <c r="BL461" s="413"/>
      <c r="BM461" s="413"/>
      <c r="BN461" s="413"/>
      <c r="BO461" s="440"/>
      <c r="BP461" s="413"/>
      <c r="BQ461" s="413"/>
      <c r="BR461" s="412">
        <f t="shared" si="1611"/>
        <v>0</v>
      </c>
      <c r="BS461" s="413"/>
      <c r="BT461" s="413"/>
      <c r="BU461" s="413"/>
      <c r="BV461" s="440"/>
      <c r="BW461" s="413"/>
      <c r="BX461" s="413"/>
      <c r="BY461" s="412">
        <f t="shared" si="1611"/>
        <v>0</v>
      </c>
      <c r="BZ461" s="413"/>
      <c r="CA461" s="413"/>
      <c r="CB461" s="413"/>
      <c r="CC461" s="440"/>
      <c r="CD461" s="413"/>
      <c r="CE461" s="413"/>
      <c r="CF461" s="412">
        <f t="shared" si="1611"/>
        <v>0</v>
      </c>
      <c r="CG461" s="413"/>
      <c r="CH461" s="413"/>
      <c r="CI461" s="413"/>
      <c r="CJ461" s="440"/>
      <c r="CK461" s="413"/>
      <c r="CL461" s="413"/>
      <c r="CM461" s="412">
        <f t="shared" si="1611"/>
        <v>0</v>
      </c>
      <c r="CN461" s="413"/>
      <c r="CO461" s="413"/>
      <c r="CP461" s="413"/>
      <c r="CQ461" s="440"/>
      <c r="CR461" s="413"/>
      <c r="CS461" s="413"/>
      <c r="CT461" s="412">
        <f>CT616</f>
        <v>0</v>
      </c>
      <c r="CU461" s="413"/>
      <c r="CV461" s="413"/>
      <c r="CW461" s="413"/>
      <c r="CX461" s="440"/>
      <c r="CY461" s="413"/>
      <c r="CZ461" s="413"/>
      <c r="DA461" s="412">
        <f>DA616</f>
        <v>0</v>
      </c>
      <c r="DB461" s="413"/>
      <c r="DC461" s="413"/>
      <c r="DD461" s="413"/>
      <c r="DE461" s="440"/>
      <c r="DF461" s="413"/>
      <c r="DG461" s="413"/>
      <c r="DH461" s="412">
        <f>DH616</f>
        <v>0</v>
      </c>
      <c r="DI461" s="413"/>
      <c r="DJ461" s="413"/>
      <c r="DK461" s="413"/>
      <c r="DL461" s="440"/>
      <c r="DM461" s="413"/>
      <c r="DN461" s="413"/>
      <c r="DO461" s="412">
        <f>DO616</f>
        <v>0</v>
      </c>
      <c r="DP461" s="413"/>
      <c r="DQ461" s="413"/>
      <c r="DR461" s="413"/>
      <c r="DS461" s="440"/>
      <c r="DT461" s="413"/>
      <c r="DU461" s="413"/>
      <c r="DV461" s="412">
        <f>DV616</f>
        <v>0</v>
      </c>
      <c r="DW461" s="413"/>
      <c r="DX461" s="413"/>
      <c r="DY461" s="413"/>
      <c r="DZ461" s="440"/>
      <c r="EA461" s="413"/>
      <c r="EB461" s="413"/>
      <c r="EC461" s="412">
        <f>EC616</f>
        <v>0</v>
      </c>
      <c r="ED461" s="413"/>
      <c r="EE461" s="413"/>
      <c r="EF461" s="413"/>
      <c r="EG461" s="440"/>
      <c r="EH461" s="413"/>
      <c r="EI461" s="413"/>
      <c r="EJ461" s="412">
        <f>EJ616</f>
        <v>0</v>
      </c>
      <c r="EK461" s="413"/>
      <c r="EL461" s="413"/>
      <c r="EM461" s="413"/>
      <c r="EN461" s="440"/>
      <c r="EO461" s="413"/>
      <c r="EP461" s="413"/>
      <c r="EQ461" s="412">
        <f>EQ616</f>
        <v>0</v>
      </c>
    </row>
    <row r="462" spans="1:147" ht="10.199999999999999" hidden="1" customHeight="1" outlineLevel="1">
      <c r="A462" s="48" t="s">
        <v>721</v>
      </c>
      <c r="B462" s="48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12"/>
      <c r="O462" s="446"/>
      <c r="P462" s="446"/>
      <c r="Q462" s="446"/>
      <c r="R462" s="447"/>
      <c r="S462" s="446"/>
      <c r="T462" s="446"/>
      <c r="U462" s="534">
        <f>U447/U5</f>
        <v>8.2605698585740628E-2</v>
      </c>
      <c r="V462" s="446"/>
      <c r="W462" s="446"/>
      <c r="X462" s="446"/>
      <c r="Y462" s="447"/>
      <c r="Z462" s="446"/>
      <c r="AA462" s="446"/>
      <c r="AB462" s="534">
        <f>AB447/AB5</f>
        <v>0.11736467794168527</v>
      </c>
      <c r="AC462" s="446"/>
      <c r="AD462" s="446"/>
      <c r="AE462" s="446"/>
      <c r="AF462" s="447"/>
      <c r="AG462" s="446"/>
      <c r="AH462" s="446"/>
      <c r="AI462" s="534">
        <f>AI447/AI5</f>
        <v>0.11688860774334661</v>
      </c>
      <c r="AJ462" s="446"/>
      <c r="AK462" s="446"/>
      <c r="AL462" s="446"/>
      <c r="AM462" s="447"/>
      <c r="AN462" s="446"/>
      <c r="AO462" s="446"/>
      <c r="AP462" s="534">
        <f>AP447/AP5</f>
        <v>9.3384260616721157E-2</v>
      </c>
      <c r="AQ462" s="446"/>
      <c r="AR462" s="446"/>
      <c r="AS462" s="446"/>
      <c r="AT462" s="447"/>
      <c r="AU462" s="446"/>
      <c r="AV462" s="446"/>
      <c r="AW462" s="534">
        <f>AW447/AW5</f>
        <v>0.10871143382232681</v>
      </c>
      <c r="AX462" s="446"/>
      <c r="AY462" s="446"/>
      <c r="AZ462" s="446"/>
      <c r="BA462" s="447"/>
      <c r="BB462" s="446"/>
      <c r="BC462" s="446"/>
      <c r="BD462" s="534">
        <f>BD447/BD5</f>
        <v>0</v>
      </c>
      <c r="BE462" s="446"/>
      <c r="BF462" s="446"/>
      <c r="BG462" s="446"/>
      <c r="BH462" s="447"/>
      <c r="BI462" s="446"/>
      <c r="BJ462" s="446"/>
      <c r="BK462" s="534">
        <f>BK447/BK5</f>
        <v>0.15690343244820087</v>
      </c>
      <c r="BL462" s="446"/>
      <c r="BM462" s="446"/>
      <c r="BN462" s="446"/>
      <c r="BO462" s="447"/>
      <c r="BP462" s="446"/>
      <c r="BQ462" s="446"/>
      <c r="BR462" s="534">
        <f>BR447/BR5</f>
        <v>0.20063067364692827</v>
      </c>
      <c r="BS462" s="446"/>
      <c r="BT462" s="446"/>
      <c r="BU462" s="446"/>
      <c r="BV462" s="447"/>
      <c r="BW462" s="446"/>
      <c r="BX462" s="446"/>
      <c r="BY462" s="534">
        <f>BY447/BY5</f>
        <v>0.12927011010429132</v>
      </c>
      <c r="BZ462" s="446"/>
      <c r="CA462" s="446"/>
      <c r="CB462" s="446"/>
      <c r="CC462" s="447"/>
      <c r="CD462" s="446"/>
      <c r="CE462" s="446"/>
      <c r="CF462" s="534">
        <f>CF447/CF5</f>
        <v>0.15622867335258039</v>
      </c>
      <c r="CG462" s="446"/>
      <c r="CH462" s="446"/>
      <c r="CI462" s="446"/>
      <c r="CJ462" s="447"/>
      <c r="CK462" s="446"/>
      <c r="CL462" s="446"/>
      <c r="CM462" s="534">
        <f>CM447/CM5</f>
        <v>9.5145665512081132E-2</v>
      </c>
      <c r="CN462" s="446"/>
      <c r="CO462" s="446"/>
      <c r="CP462" s="446"/>
      <c r="CQ462" s="447"/>
      <c r="CR462" s="446"/>
      <c r="CS462" s="446"/>
      <c r="CT462" s="534">
        <f>CT447/CT5</f>
        <v>7.1378887674757835E-2</v>
      </c>
      <c r="CU462" s="446"/>
      <c r="CV462" s="446"/>
      <c r="CW462" s="446"/>
      <c r="CX462" s="447"/>
      <c r="CY462" s="446"/>
      <c r="CZ462" s="446"/>
      <c r="DA462" s="534">
        <f>DA447/DA5</f>
        <v>4.701044898134546E-2</v>
      </c>
      <c r="DB462" s="446"/>
      <c r="DC462" s="446"/>
      <c r="DD462" s="446"/>
      <c r="DE462" s="447"/>
      <c r="DF462" s="446"/>
      <c r="DG462" s="446"/>
      <c r="DH462" s="534">
        <f>DH447/DH5</f>
        <v>5.7946559389933771E-3</v>
      </c>
      <c r="DI462" s="446"/>
      <c r="DJ462" s="446"/>
      <c r="DK462" s="446"/>
      <c r="DL462" s="447"/>
      <c r="DM462" s="446"/>
      <c r="DN462" s="446"/>
      <c r="DO462" s="534">
        <f>DO447/DO5</f>
        <v>-3.4103236749424573E-2</v>
      </c>
      <c r="DP462" s="446"/>
      <c r="DQ462" s="446"/>
      <c r="DR462" s="446"/>
      <c r="DS462" s="447"/>
      <c r="DT462" s="446"/>
      <c r="DU462" s="446"/>
      <c r="DV462" s="534">
        <f>DV447/DV5</f>
        <v>-7.3564864260885585E-2</v>
      </c>
      <c r="DW462" s="446"/>
      <c r="DX462" s="446"/>
      <c r="DY462" s="446"/>
      <c r="DZ462" s="447"/>
      <c r="EA462" s="446"/>
      <c r="EB462" s="446"/>
      <c r="EC462" s="534">
        <f>EC447/EC5</f>
        <v>-0.10295764900391693</v>
      </c>
      <c r="ED462" s="446"/>
      <c r="EE462" s="446"/>
      <c r="EF462" s="446"/>
      <c r="EG462" s="447"/>
      <c r="EH462" s="446"/>
      <c r="EI462" s="446"/>
      <c r="EJ462" s="534">
        <f>EJ447/EJ5</f>
        <v>-0.13820661635233275</v>
      </c>
      <c r="EK462" s="446"/>
      <c r="EL462" s="446"/>
      <c r="EM462" s="446"/>
      <c r="EN462" s="447"/>
      <c r="EO462" s="446"/>
      <c r="EP462" s="446"/>
      <c r="EQ462" s="534">
        <f>EQ447/EQ5</f>
        <v>-0.16922197267671968</v>
      </c>
    </row>
    <row r="463" spans="1:147" ht="10.199999999999999" hidden="1" customHeight="1" outlineLevel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326"/>
      <c r="P463" s="326"/>
      <c r="Q463" s="326"/>
      <c r="R463" s="522"/>
      <c r="S463" s="326"/>
      <c r="T463" s="326"/>
      <c r="U463" s="393"/>
      <c r="V463" s="326"/>
      <c r="W463" s="326"/>
      <c r="X463" s="326"/>
      <c r="Y463" s="522"/>
      <c r="Z463" s="326"/>
      <c r="AA463" s="326"/>
      <c r="AB463" s="393"/>
      <c r="AC463" s="326"/>
      <c r="AD463" s="326"/>
      <c r="AE463" s="326"/>
      <c r="AF463" s="522"/>
      <c r="AG463" s="326"/>
      <c r="AH463" s="326"/>
      <c r="AI463" s="393"/>
      <c r="AJ463" s="326"/>
      <c r="AK463" s="326"/>
      <c r="AL463" s="326"/>
      <c r="AM463" s="522"/>
      <c r="AN463" s="326"/>
      <c r="AO463" s="326"/>
      <c r="AP463" s="393"/>
      <c r="AQ463" s="326"/>
      <c r="AR463" s="326"/>
      <c r="AS463" s="326"/>
      <c r="AT463" s="522"/>
      <c r="AU463" s="326"/>
      <c r="AV463" s="326"/>
      <c r="AW463" s="393"/>
      <c r="AX463" s="326"/>
      <c r="AY463" s="326"/>
      <c r="AZ463" s="326"/>
      <c r="BA463" s="522"/>
      <c r="BB463" s="326"/>
      <c r="BC463" s="326"/>
      <c r="BD463" s="393"/>
      <c r="BE463" s="326"/>
      <c r="BF463" s="326"/>
      <c r="BG463" s="326"/>
      <c r="BH463" s="522"/>
      <c r="BI463" s="326"/>
      <c r="BJ463" s="326"/>
      <c r="BK463" s="393"/>
      <c r="BL463" s="326"/>
      <c r="BM463" s="326"/>
      <c r="BN463" s="326"/>
      <c r="BO463" s="522"/>
      <c r="BP463" s="326"/>
      <c r="BQ463" s="326"/>
      <c r="BR463" s="393"/>
      <c r="BS463" s="326"/>
      <c r="BT463" s="326"/>
      <c r="BU463" s="326"/>
      <c r="BV463" s="522"/>
      <c r="BW463" s="326"/>
      <c r="BX463" s="326"/>
      <c r="BY463" s="393"/>
      <c r="BZ463" s="326"/>
      <c r="CA463" s="326"/>
      <c r="CB463" s="326"/>
      <c r="CC463" s="522"/>
      <c r="CD463" s="326"/>
      <c r="CE463" s="326"/>
      <c r="CF463" s="393"/>
      <c r="CG463" s="326"/>
      <c r="CH463" s="326"/>
      <c r="CI463" s="326"/>
      <c r="CJ463" s="522"/>
      <c r="CK463" s="326"/>
      <c r="CL463" s="326"/>
      <c r="CM463" s="393"/>
      <c r="CN463" s="326"/>
      <c r="CO463" s="326"/>
      <c r="CP463" s="326"/>
      <c r="CQ463" s="522"/>
      <c r="CR463" s="326"/>
      <c r="CS463" s="326"/>
      <c r="CT463" s="393"/>
      <c r="CU463" s="326"/>
      <c r="CV463" s="326"/>
      <c r="CW463" s="326"/>
      <c r="CX463" s="522"/>
      <c r="CY463" s="326"/>
      <c r="CZ463" s="326"/>
      <c r="DA463" s="393"/>
      <c r="DB463" s="326"/>
      <c r="DC463" s="326"/>
      <c r="DD463" s="326"/>
      <c r="DE463" s="522"/>
      <c r="DF463" s="326"/>
      <c r="DG463" s="326"/>
      <c r="DH463" s="393"/>
      <c r="DI463" s="326"/>
      <c r="DJ463" s="326"/>
      <c r="DK463" s="326"/>
      <c r="DL463" s="522"/>
      <c r="DM463" s="326"/>
      <c r="DN463" s="326"/>
      <c r="DO463" s="393"/>
      <c r="DP463" s="326"/>
      <c r="DQ463" s="326"/>
      <c r="DR463" s="326"/>
      <c r="DS463" s="522"/>
      <c r="DT463" s="326"/>
      <c r="DU463" s="326"/>
      <c r="DV463" s="393"/>
      <c r="DW463" s="326"/>
      <c r="DX463" s="326"/>
      <c r="DY463" s="326"/>
      <c r="DZ463" s="522"/>
      <c r="EA463" s="326"/>
      <c r="EB463" s="326"/>
      <c r="EC463" s="393"/>
      <c r="ED463" s="326"/>
      <c r="EE463" s="326"/>
      <c r="EF463" s="326"/>
      <c r="EG463" s="522"/>
      <c r="EH463" s="326"/>
      <c r="EI463" s="326"/>
      <c r="EJ463" s="393"/>
      <c r="EK463" s="326"/>
      <c r="EL463" s="326"/>
      <c r="EM463" s="326"/>
      <c r="EN463" s="522"/>
      <c r="EO463" s="326"/>
      <c r="EP463" s="326"/>
      <c r="EQ463" s="393"/>
    </row>
    <row r="464" spans="1:147" ht="10.199999999999999" hidden="1" customHeight="1" outlineLevel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326"/>
      <c r="P464" s="326"/>
      <c r="Q464" s="326"/>
      <c r="R464" s="522"/>
      <c r="S464" s="326"/>
      <c r="T464" s="326"/>
      <c r="U464" s="393"/>
      <c r="V464" s="326"/>
      <c r="W464" s="326"/>
      <c r="X464" s="326"/>
      <c r="Y464" s="522"/>
      <c r="Z464" s="326"/>
      <c r="AA464" s="326"/>
      <c r="AB464" s="393"/>
      <c r="AC464" s="326"/>
      <c r="AD464" s="326"/>
      <c r="AE464" s="326"/>
      <c r="AF464" s="522"/>
      <c r="AG464" s="326"/>
      <c r="AH464" s="326"/>
      <c r="AI464" s="393"/>
      <c r="AJ464" s="326"/>
      <c r="AK464" s="326"/>
      <c r="AL464" s="326"/>
      <c r="AM464" s="522"/>
      <c r="AN464" s="326"/>
      <c r="AO464" s="326"/>
      <c r="AP464" s="393"/>
      <c r="AQ464" s="326"/>
      <c r="AR464" s="326"/>
      <c r="AS464" s="326"/>
      <c r="AT464" s="522"/>
      <c r="AU464" s="326"/>
      <c r="AV464" s="326"/>
      <c r="AW464" s="393"/>
      <c r="AX464" s="326"/>
      <c r="AY464" s="326"/>
      <c r="AZ464" s="326"/>
      <c r="BA464" s="522"/>
      <c r="BB464" s="326"/>
      <c r="BC464" s="326"/>
      <c r="BD464" s="393"/>
      <c r="BE464" s="326"/>
      <c r="BF464" s="326"/>
      <c r="BG464" s="326"/>
      <c r="BH464" s="522"/>
      <c r="BI464" s="326"/>
      <c r="BJ464" s="326"/>
      <c r="BK464" s="393"/>
      <c r="BL464" s="326"/>
      <c r="BM464" s="326"/>
      <c r="BN464" s="326"/>
      <c r="BO464" s="522"/>
      <c r="BP464" s="326"/>
      <c r="BQ464" s="326"/>
      <c r="BR464" s="393"/>
      <c r="BS464" s="326"/>
      <c r="BT464" s="326"/>
      <c r="BU464" s="326"/>
      <c r="BV464" s="522"/>
      <c r="BW464" s="326"/>
      <c r="BX464" s="326"/>
      <c r="BY464" s="393"/>
      <c r="BZ464" s="326"/>
      <c r="CA464" s="326"/>
      <c r="CB464" s="326"/>
      <c r="CC464" s="522"/>
      <c r="CD464" s="326"/>
      <c r="CE464" s="326"/>
      <c r="CF464" s="393"/>
      <c r="CG464" s="326"/>
      <c r="CH464" s="326"/>
      <c r="CI464" s="326"/>
      <c r="CJ464" s="522"/>
      <c r="CK464" s="326"/>
      <c r="CL464" s="326"/>
      <c r="CM464" s="393"/>
      <c r="CN464" s="326"/>
      <c r="CO464" s="326"/>
      <c r="CP464" s="326"/>
      <c r="CQ464" s="522"/>
      <c r="CR464" s="326"/>
      <c r="CS464" s="326"/>
      <c r="CT464" s="393"/>
      <c r="CU464" s="326"/>
      <c r="CV464" s="326"/>
      <c r="CW464" s="326"/>
      <c r="CX464" s="522"/>
      <c r="CY464" s="326"/>
      <c r="CZ464" s="326"/>
      <c r="DA464" s="393"/>
      <c r="DB464" s="326"/>
      <c r="DC464" s="326"/>
      <c r="DD464" s="326"/>
      <c r="DE464" s="522"/>
      <c r="DF464" s="326"/>
      <c r="DG464" s="326"/>
      <c r="DH464" s="393"/>
      <c r="DI464" s="326"/>
      <c r="DJ464" s="326"/>
      <c r="DK464" s="326"/>
      <c r="DL464" s="522"/>
      <c r="DM464" s="326"/>
      <c r="DN464" s="326"/>
      <c r="DO464" s="393"/>
      <c r="DP464" s="326"/>
      <c r="DQ464" s="326"/>
      <c r="DR464" s="326"/>
      <c r="DS464" s="522"/>
      <c r="DT464" s="326"/>
      <c r="DU464" s="326"/>
      <c r="DV464" s="393"/>
      <c r="DW464" s="326"/>
      <c r="DX464" s="326"/>
      <c r="DY464" s="326"/>
      <c r="DZ464" s="522"/>
      <c r="EA464" s="326"/>
      <c r="EB464" s="326"/>
      <c r="EC464" s="393"/>
      <c r="ED464" s="326"/>
      <c r="EE464" s="326"/>
      <c r="EF464" s="326"/>
      <c r="EG464" s="522"/>
      <c r="EH464" s="326"/>
      <c r="EI464" s="326"/>
      <c r="EJ464" s="393"/>
      <c r="EK464" s="326"/>
      <c r="EL464" s="326"/>
      <c r="EM464" s="326"/>
      <c r="EN464" s="522"/>
      <c r="EO464" s="326"/>
      <c r="EP464" s="326"/>
      <c r="EQ464" s="393"/>
    </row>
    <row r="465" spans="1:147" ht="10.199999999999999" hidden="1" customHeight="1" outlineLevel="1">
      <c r="A465" s="48" t="s">
        <v>555</v>
      </c>
      <c r="B465" s="119"/>
      <c r="C465" s="119">
        <f t="shared" ref="C465:J465" si="1612">+SUM(C468:C485)</f>
        <v>22179.860035835598</v>
      </c>
      <c r="D465" s="119">
        <f t="shared" si="1612"/>
        <v>21230.313766410254</v>
      </c>
      <c r="E465" s="119">
        <f t="shared" si="1612"/>
        <v>23017.73399014779</v>
      </c>
      <c r="F465" s="119">
        <f t="shared" si="1612"/>
        <v>24702</v>
      </c>
      <c r="G465" s="119">
        <f t="shared" si="1612"/>
        <v>28254.554999999997</v>
      </c>
      <c r="H465" s="119">
        <f t="shared" si="1612"/>
        <v>32702.432174999994</v>
      </c>
      <c r="I465" s="119">
        <f t="shared" si="1612"/>
        <v>33964.43749387499</v>
      </c>
      <c r="J465" s="119">
        <f t="shared" si="1612"/>
        <v>40417.772045189362</v>
      </c>
      <c r="K465" s="119">
        <f t="shared" ref="K465:CT465" si="1613">+SUM(K468:K485)</f>
        <v>42102.402168097738</v>
      </c>
      <c r="L465" s="119">
        <f t="shared" si="1613"/>
        <v>57930.100000000006</v>
      </c>
      <c r="M465" s="119">
        <f t="shared" si="1613"/>
        <v>64619.8</v>
      </c>
      <c r="N465" s="119">
        <f t="shared" si="1613"/>
        <v>75769.065999999992</v>
      </c>
      <c r="O465" s="462"/>
      <c r="P465" s="462"/>
      <c r="Q465" s="462"/>
      <c r="R465" s="463"/>
      <c r="S465" s="462"/>
      <c r="T465" s="462"/>
      <c r="U465" s="349">
        <f t="shared" si="1613"/>
        <v>81240.399999999994</v>
      </c>
      <c r="V465" s="462"/>
      <c r="W465" s="462"/>
      <c r="X465" s="462"/>
      <c r="Y465" s="463"/>
      <c r="Z465" s="462"/>
      <c r="AA465" s="462"/>
      <c r="AB465" s="349">
        <f t="shared" si="1613"/>
        <v>86680.05</v>
      </c>
      <c r="AC465" s="462"/>
      <c r="AD465" s="462"/>
      <c r="AE465" s="462"/>
      <c r="AF465" s="463"/>
      <c r="AG465" s="462"/>
      <c r="AH465" s="462"/>
      <c r="AI465" s="349">
        <f t="shared" si="1613"/>
        <v>91614.7</v>
      </c>
      <c r="AJ465" s="462"/>
      <c r="AK465" s="462"/>
      <c r="AL465" s="462"/>
      <c r="AM465" s="463"/>
      <c r="AN465" s="462"/>
      <c r="AO465" s="462"/>
      <c r="AP465" s="349">
        <f t="shared" si="1613"/>
        <v>101227.50000000001</v>
      </c>
      <c r="AQ465" s="462"/>
      <c r="AR465" s="462"/>
      <c r="AS465" s="462"/>
      <c r="AT465" s="463"/>
      <c r="AU465" s="462"/>
      <c r="AV465" s="462"/>
      <c r="AW465" s="349">
        <f>+SUM(AW468:AW485)</f>
        <v>108067.9</v>
      </c>
      <c r="AX465" s="462"/>
      <c r="AY465" s="462"/>
      <c r="AZ465" s="462"/>
      <c r="BA465" s="463"/>
      <c r="BB465" s="462"/>
      <c r="BC465" s="462"/>
      <c r="BD465" s="349">
        <f>+SUM(BD468:BD485)</f>
        <v>108067.9</v>
      </c>
      <c r="BE465" s="462"/>
      <c r="BF465" s="462"/>
      <c r="BG465" s="462"/>
      <c r="BH465" s="463"/>
      <c r="BI465" s="462"/>
      <c r="BJ465" s="462"/>
      <c r="BK465" s="349">
        <f t="shared" si="1613"/>
        <v>118737.89999999998</v>
      </c>
      <c r="BL465" s="462"/>
      <c r="BM465" s="462"/>
      <c r="BN465" s="462"/>
      <c r="BO465" s="463"/>
      <c r="BP465" s="462"/>
      <c r="BQ465" s="462"/>
      <c r="BR465" s="349">
        <f t="shared" si="1613"/>
        <v>131983.10399999999</v>
      </c>
      <c r="BS465" s="462"/>
      <c r="BT465" s="462"/>
      <c r="BU465" s="462"/>
      <c r="BV465" s="463"/>
      <c r="BW465" s="462"/>
      <c r="BX465" s="462"/>
      <c r="BY465" s="349">
        <f t="shared" si="1613"/>
        <v>82268.797680000003</v>
      </c>
      <c r="BZ465" s="462"/>
      <c r="CA465" s="462"/>
      <c r="CB465" s="462"/>
      <c r="CC465" s="463"/>
      <c r="CD465" s="462"/>
      <c r="CE465" s="462"/>
      <c r="CF465" s="349">
        <f t="shared" si="1613"/>
        <v>87409.474423200008</v>
      </c>
      <c r="CG465" s="462"/>
      <c r="CH465" s="462"/>
      <c r="CI465" s="462"/>
      <c r="CJ465" s="463"/>
      <c r="CK465" s="462"/>
      <c r="CL465" s="462"/>
      <c r="CM465" s="349">
        <f t="shared" si="1613"/>
        <v>97956.430210656006</v>
      </c>
      <c r="CN465" s="462"/>
      <c r="CO465" s="462"/>
      <c r="CP465" s="462"/>
      <c r="CQ465" s="463"/>
      <c r="CR465" s="462"/>
      <c r="CS465" s="462"/>
      <c r="CT465" s="349">
        <f t="shared" si="1613"/>
        <v>111240.89658809495</v>
      </c>
      <c r="CU465" s="462"/>
      <c r="CV465" s="462"/>
      <c r="CW465" s="462"/>
      <c r="CX465" s="463"/>
      <c r="CY465" s="462"/>
      <c r="CZ465" s="462"/>
      <c r="DA465" s="349">
        <f>+SUM(DA468:DA485)</f>
        <v>116464.63640597384</v>
      </c>
      <c r="DB465" s="462"/>
      <c r="DC465" s="462"/>
      <c r="DD465" s="462"/>
      <c r="DE465" s="463"/>
      <c r="DF465" s="462"/>
      <c r="DG465" s="462"/>
      <c r="DH465" s="349">
        <f>+SUM(DH468:DH485)</f>
        <v>122009.39361934447</v>
      </c>
      <c r="DI465" s="462"/>
      <c r="DJ465" s="462"/>
      <c r="DK465" s="462"/>
      <c r="DL465" s="463"/>
      <c r="DM465" s="462"/>
      <c r="DN465" s="462"/>
      <c r="DO465" s="349">
        <f>+SUM(DO468:DO485)</f>
        <v>137912.04415677779</v>
      </c>
      <c r="DP465" s="462"/>
      <c r="DQ465" s="462"/>
      <c r="DR465" s="462"/>
      <c r="DS465" s="463"/>
      <c r="DT465" s="462"/>
      <c r="DU465" s="462"/>
      <c r="DV465" s="349">
        <f>+SUM(DV468:DV485)</f>
        <v>160915.47224900359</v>
      </c>
      <c r="DW465" s="462"/>
      <c r="DX465" s="462"/>
      <c r="DY465" s="462"/>
      <c r="DZ465" s="463"/>
      <c r="EA465" s="462"/>
      <c r="EB465" s="462"/>
      <c r="EC465" s="349">
        <f>+SUM(EC468:EC485)</f>
        <v>179507.15449444207</v>
      </c>
      <c r="ED465" s="462"/>
      <c r="EE465" s="462"/>
      <c r="EF465" s="462"/>
      <c r="EG465" s="463"/>
      <c r="EH465" s="462"/>
      <c r="EI465" s="462"/>
      <c r="EJ465" s="349">
        <f>+SUM(EJ468:EJ485)</f>
        <v>191036.71585513515</v>
      </c>
      <c r="EK465" s="462"/>
      <c r="EL465" s="462"/>
      <c r="EM465" s="462"/>
      <c r="EN465" s="463"/>
      <c r="EO465" s="462"/>
      <c r="EP465" s="462"/>
      <c r="EQ465" s="349">
        <f>+SUM(EQ468:EQ485)</f>
        <v>197983.57956363188</v>
      </c>
    </row>
    <row r="466" spans="1:147" ht="10.199999999999999" hidden="1" customHeight="1" outlineLevel="1">
      <c r="A466" s="254" t="s">
        <v>556</v>
      </c>
      <c r="B466" s="256"/>
      <c r="C466" s="256">
        <f>+C423+C424+C425+C426+C428+C429</f>
        <v>14530.89244577713</v>
      </c>
      <c r="D466" s="256">
        <f>+D423+D424+D425+D426+D428+D429</f>
        <v>14568.933970734553</v>
      </c>
      <c r="E466" s="256">
        <f t="shared" ref="E466:BY466" si="1614">E436</f>
        <v>18404.697657258941</v>
      </c>
      <c r="F466" s="256">
        <f t="shared" si="1614"/>
        <v>21603.101078919033</v>
      </c>
      <c r="G466" s="256">
        <f t="shared" si="1614"/>
        <v>24789.364206516744</v>
      </c>
      <c r="H466" s="256">
        <f t="shared" si="1614"/>
        <v>29090.202993061273</v>
      </c>
      <c r="I466" s="256">
        <f t="shared" si="1614"/>
        <v>28684.801653752224</v>
      </c>
      <c r="J466" s="256">
        <f t="shared" si="1614"/>
        <v>33922.82506889147</v>
      </c>
      <c r="K466" s="256">
        <f t="shared" si="1614"/>
        <v>34031.844153864338</v>
      </c>
      <c r="L466" s="256">
        <f t="shared" si="1614"/>
        <v>35506.570501323833</v>
      </c>
      <c r="M466" s="256">
        <f t="shared" si="1614"/>
        <v>39654.507688797006</v>
      </c>
      <c r="N466" s="256">
        <f t="shared" si="1614"/>
        <v>46515.507958466347</v>
      </c>
      <c r="O466" s="327"/>
      <c r="P466" s="327"/>
      <c r="Q466" s="327"/>
      <c r="R466" s="453"/>
      <c r="S466" s="327"/>
      <c r="T466" s="327"/>
      <c r="U466" s="354">
        <f t="shared" si="1614"/>
        <v>50378.571576470589</v>
      </c>
      <c r="V466" s="327"/>
      <c r="W466" s="327"/>
      <c r="X466" s="327"/>
      <c r="Y466" s="453"/>
      <c r="Z466" s="327"/>
      <c r="AA466" s="327"/>
      <c r="AB466" s="354">
        <f t="shared" si="1614"/>
        <v>54660.600847883208</v>
      </c>
      <c r="AC466" s="327"/>
      <c r="AD466" s="327"/>
      <c r="AE466" s="327"/>
      <c r="AF466" s="453"/>
      <c r="AG466" s="327"/>
      <c r="AH466" s="327"/>
      <c r="AI466" s="354">
        <f t="shared" si="1614"/>
        <v>52890.338147407398</v>
      </c>
      <c r="AJ466" s="327"/>
      <c r="AK466" s="327"/>
      <c r="AL466" s="327"/>
      <c r="AM466" s="453"/>
      <c r="AN466" s="327"/>
      <c r="AO466" s="327"/>
      <c r="AP466" s="354">
        <f t="shared" si="1614"/>
        <v>55953.99858955224</v>
      </c>
      <c r="AQ466" s="327"/>
      <c r="AR466" s="327"/>
      <c r="AS466" s="327"/>
      <c r="AT466" s="453"/>
      <c r="AU466" s="327"/>
      <c r="AV466" s="327"/>
      <c r="AW466" s="354">
        <f t="shared" si="1614"/>
        <v>57769.254266666656</v>
      </c>
      <c r="AX466" s="327"/>
      <c r="AY466" s="327"/>
      <c r="AZ466" s="327"/>
      <c r="BA466" s="453"/>
      <c r="BB466" s="327"/>
      <c r="BC466" s="327"/>
      <c r="BD466" s="354">
        <f t="shared" si="1614"/>
        <v>49832.495866666664</v>
      </c>
      <c r="BE466" s="327"/>
      <c r="BF466" s="327"/>
      <c r="BG466" s="327"/>
      <c r="BH466" s="453"/>
      <c r="BI466" s="327"/>
      <c r="BJ466" s="327"/>
      <c r="BK466" s="354">
        <f t="shared" si="1614"/>
        <v>55374.215472868207</v>
      </c>
      <c r="BL466" s="327"/>
      <c r="BM466" s="327"/>
      <c r="BN466" s="327"/>
      <c r="BO466" s="453"/>
      <c r="BP466" s="327"/>
      <c r="BQ466" s="327"/>
      <c r="BR466" s="354">
        <f t="shared" si="1614"/>
        <v>62608.780645161292</v>
      </c>
      <c r="BS466" s="327"/>
      <c r="BT466" s="327"/>
      <c r="BU466" s="327"/>
      <c r="BV466" s="453"/>
      <c r="BW466" s="327"/>
      <c r="BX466" s="327"/>
      <c r="BY466" s="354">
        <f t="shared" si="1614"/>
        <v>38223</v>
      </c>
      <c r="BZ466" s="327"/>
      <c r="CA466" s="327"/>
      <c r="CB466" s="327"/>
      <c r="CC466" s="453"/>
      <c r="CD466" s="327"/>
      <c r="CE466" s="327"/>
      <c r="CF466" s="354">
        <f>+CF423+CF424+CF425+CF426+CF428+CF429</f>
        <v>38689.432814122447</v>
      </c>
      <c r="CG466" s="327"/>
      <c r="CH466" s="327"/>
      <c r="CI466" s="327"/>
      <c r="CJ466" s="453"/>
      <c r="CK466" s="327"/>
      <c r="CL466" s="327"/>
      <c r="CM466" s="354">
        <f>+CM423+CM424+CM425+CM426+CM428+CM429</f>
        <v>41580.972076292528</v>
      </c>
      <c r="CN466" s="327"/>
      <c r="CO466" s="327"/>
      <c r="CP466" s="327"/>
      <c r="CQ466" s="453"/>
      <c r="CR466" s="327"/>
      <c r="CS466" s="327"/>
      <c r="CT466" s="354">
        <f>+CT423+CT424+CT425+CT426+CT428+CT429</f>
        <v>46590.303054393837</v>
      </c>
      <c r="CU466" s="327"/>
      <c r="CV466" s="327"/>
      <c r="CW466" s="327"/>
      <c r="CX466" s="453"/>
      <c r="CY466" s="327"/>
      <c r="CZ466" s="327"/>
      <c r="DA466" s="354">
        <f>+DA423+DA424+DA425+DA426+DA428+DA429</f>
        <v>48781.998266447059</v>
      </c>
      <c r="DB466" s="327"/>
      <c r="DC466" s="327"/>
      <c r="DD466" s="327"/>
      <c r="DE466" s="453"/>
      <c r="DF466" s="327"/>
      <c r="DG466" s="327"/>
      <c r="DH466" s="354">
        <f>+DH423+DH424+DH425+DH426+DH428+DH429</f>
        <v>50069.804728914431</v>
      </c>
      <c r="DI466" s="327"/>
      <c r="DJ466" s="327"/>
      <c r="DK466" s="327"/>
      <c r="DL466" s="453"/>
      <c r="DM466" s="327"/>
      <c r="DN466" s="327"/>
      <c r="DO466" s="354">
        <f>+DO423+DO424+DO425+DO426+DO428+DO429</f>
        <v>56499.182932529817</v>
      </c>
      <c r="DP466" s="327"/>
      <c r="DQ466" s="327"/>
      <c r="DR466" s="327"/>
      <c r="DS466" s="453"/>
      <c r="DT466" s="327"/>
      <c r="DU466" s="327"/>
      <c r="DV466" s="354">
        <f>+DV423+DV424+DV425+DV426+DV428+DV429</f>
        <v>66039.092808386718</v>
      </c>
      <c r="DW466" s="327"/>
      <c r="DX466" s="327"/>
      <c r="DY466" s="327"/>
      <c r="DZ466" s="453"/>
      <c r="EA466" s="327"/>
      <c r="EB466" s="327"/>
      <c r="EC466" s="354">
        <f>+EC423+EC424+EC425+EC426+EC428+EC429</f>
        <v>73763.461605191609</v>
      </c>
      <c r="ED466" s="327"/>
      <c r="EE466" s="327"/>
      <c r="EF466" s="327"/>
      <c r="EG466" s="453"/>
      <c r="EH466" s="327"/>
      <c r="EI466" s="327"/>
      <c r="EJ466" s="354">
        <f>+EJ423+EJ424+EJ425+EJ426+EJ428+EJ429</f>
        <v>78560.229065524662</v>
      </c>
      <c r="EK466" s="327"/>
      <c r="EL466" s="327"/>
      <c r="EM466" s="327"/>
      <c r="EN466" s="453"/>
      <c r="EO466" s="327"/>
      <c r="EP466" s="327"/>
      <c r="EQ466" s="354">
        <f>+EQ423+EQ424+EQ425+EQ426+EQ428+EQ429</f>
        <v>81392.6131170101</v>
      </c>
    </row>
    <row r="467" spans="1:147" ht="10.199999999999999" hidden="1" customHeight="1" outlineLevel="1">
      <c r="A467" s="255" t="s">
        <v>564</v>
      </c>
      <c r="B467" s="257"/>
      <c r="C467" s="257">
        <f t="shared" ref="C467:AI467" si="1615">-(C466/C465-1)</f>
        <v>0.34486094942439538</v>
      </c>
      <c r="D467" s="257">
        <f t="shared" si="1615"/>
        <v>0.3137673738112654</v>
      </c>
      <c r="E467" s="257">
        <f t="shared" si="1615"/>
        <v>0.20041227059376709</v>
      </c>
      <c r="F467" s="257">
        <f t="shared" si="1615"/>
        <v>0.12545133677762799</v>
      </c>
      <c r="G467" s="257">
        <f t="shared" si="1615"/>
        <v>0.12264184636718767</v>
      </c>
      <c r="H467" s="257">
        <f t="shared" si="1615"/>
        <v>0.11045750856109593</v>
      </c>
      <c r="I467" s="257">
        <f t="shared" si="1615"/>
        <v>0.15544599674512127</v>
      </c>
      <c r="J467" s="257">
        <f t="shared" si="1615"/>
        <v>0.16069532405289866</v>
      </c>
      <c r="K467" s="257">
        <f>-(K466/K465-1)</f>
        <v>0.19168877780443383</v>
      </c>
      <c r="L467" s="257">
        <f t="shared" si="1615"/>
        <v>0.38707907458602986</v>
      </c>
      <c r="M467" s="257">
        <f t="shared" si="1615"/>
        <v>0.38634121911864472</v>
      </c>
      <c r="N467" s="257">
        <f>-(N466/N465-1)</f>
        <v>0.38608840765614882</v>
      </c>
      <c r="O467" s="424"/>
      <c r="P467" s="424"/>
      <c r="Q467" s="424"/>
      <c r="R467" s="478"/>
      <c r="S467" s="424"/>
      <c r="T467" s="424"/>
      <c r="U467" s="355">
        <f>-(U466/U465-1)</f>
        <v>0.37988277290029848</v>
      </c>
      <c r="V467" s="424"/>
      <c r="W467" s="424"/>
      <c r="X467" s="424"/>
      <c r="Y467" s="478"/>
      <c r="Z467" s="424"/>
      <c r="AA467" s="424"/>
      <c r="AB467" s="355">
        <f t="shared" si="1615"/>
        <v>0.36939813892720175</v>
      </c>
      <c r="AC467" s="424"/>
      <c r="AD467" s="424"/>
      <c r="AE467" s="424"/>
      <c r="AF467" s="478"/>
      <c r="AG467" s="424"/>
      <c r="AH467" s="424"/>
      <c r="AI467" s="355">
        <f t="shared" si="1615"/>
        <v>0.42268720906789636</v>
      </c>
      <c r="AJ467" s="424"/>
      <c r="AK467" s="424"/>
      <c r="AL467" s="424"/>
      <c r="AM467" s="478"/>
      <c r="AN467" s="424"/>
      <c r="AO467" s="424"/>
      <c r="AP467" s="355">
        <f>-(AP466/AP465-1)</f>
        <v>0.44724508073841363</v>
      </c>
      <c r="AQ467" s="424"/>
      <c r="AR467" s="424"/>
      <c r="AS467" s="424"/>
      <c r="AT467" s="478"/>
      <c r="AU467" s="424"/>
      <c r="AV467" s="424"/>
      <c r="AW467" s="355">
        <f t="shared" ref="AW467:CT467" si="1616">-(AW466/AW465-1)</f>
        <v>0.46543558016148501</v>
      </c>
      <c r="AX467" s="424"/>
      <c r="AY467" s="424"/>
      <c r="AZ467" s="424"/>
      <c r="BA467" s="478"/>
      <c r="BB467" s="424"/>
      <c r="BC467" s="424"/>
      <c r="BD467" s="355">
        <f t="shared" si="1616"/>
        <v>0.53887791040015887</v>
      </c>
      <c r="BE467" s="424"/>
      <c r="BF467" s="424"/>
      <c r="BG467" s="424"/>
      <c r="BH467" s="478"/>
      <c r="BI467" s="424"/>
      <c r="BJ467" s="424"/>
      <c r="BK467" s="355">
        <f t="shared" si="1616"/>
        <v>0.53364329777713593</v>
      </c>
      <c r="BL467" s="424"/>
      <c r="BM467" s="424"/>
      <c r="BN467" s="424"/>
      <c r="BO467" s="478"/>
      <c r="BP467" s="424"/>
      <c r="BQ467" s="424"/>
      <c r="BR467" s="355">
        <f t="shared" si="1616"/>
        <v>0.52563033640153445</v>
      </c>
      <c r="BS467" s="424"/>
      <c r="BT467" s="424"/>
      <c r="BU467" s="424"/>
      <c r="BV467" s="478"/>
      <c r="BW467" s="424"/>
      <c r="BX467" s="424"/>
      <c r="BY467" s="355">
        <f t="shared" si="1616"/>
        <v>0.53538885849923856</v>
      </c>
      <c r="BZ467" s="424"/>
      <c r="CA467" s="424"/>
      <c r="CB467" s="424"/>
      <c r="CC467" s="478"/>
      <c r="CD467" s="424"/>
      <c r="CE467" s="424"/>
      <c r="CF467" s="355">
        <f t="shared" si="1616"/>
        <v>0.55737712565568764</v>
      </c>
      <c r="CG467" s="424"/>
      <c r="CH467" s="424"/>
      <c r="CI467" s="424"/>
      <c r="CJ467" s="478"/>
      <c r="CK467" s="424"/>
      <c r="CL467" s="424"/>
      <c r="CM467" s="355">
        <f t="shared" si="1616"/>
        <v>0.57551564520192966</v>
      </c>
      <c r="CN467" s="424"/>
      <c r="CO467" s="424"/>
      <c r="CP467" s="424"/>
      <c r="CQ467" s="478"/>
      <c r="CR467" s="424"/>
      <c r="CS467" s="424"/>
      <c r="CT467" s="355">
        <f t="shared" si="1616"/>
        <v>0.58117648739465522</v>
      </c>
      <c r="CU467" s="424"/>
      <c r="CV467" s="424"/>
      <c r="CW467" s="424"/>
      <c r="CX467" s="478"/>
      <c r="CY467" s="424"/>
      <c r="CZ467" s="424"/>
      <c r="DA467" s="355">
        <f>-(DA466/DA465-1)</f>
        <v>0.58114325711366854</v>
      </c>
      <c r="DB467" s="424"/>
      <c r="DC467" s="424"/>
      <c r="DD467" s="424"/>
      <c r="DE467" s="478"/>
      <c r="DF467" s="424"/>
      <c r="DG467" s="424"/>
      <c r="DH467" s="355">
        <f>-(DH466/DH465-1)</f>
        <v>0.58962336223777512</v>
      </c>
      <c r="DI467" s="424"/>
      <c r="DJ467" s="424"/>
      <c r="DK467" s="424"/>
      <c r="DL467" s="478"/>
      <c r="DM467" s="424"/>
      <c r="DN467" s="424"/>
      <c r="DO467" s="355">
        <f>-(DO466/DO465-1)</f>
        <v>0.59032451967500532</v>
      </c>
      <c r="DP467" s="424"/>
      <c r="DQ467" s="424"/>
      <c r="DR467" s="424"/>
      <c r="DS467" s="478"/>
      <c r="DT467" s="424"/>
      <c r="DU467" s="424"/>
      <c r="DV467" s="355">
        <f>-(DV466/DV465-1)</f>
        <v>0.58960383432740016</v>
      </c>
      <c r="DW467" s="424"/>
      <c r="DX467" s="424"/>
      <c r="DY467" s="424"/>
      <c r="DZ467" s="478"/>
      <c r="EA467" s="424"/>
      <c r="EB467" s="424"/>
      <c r="EC467" s="355">
        <f>-(EC466/EC465-1)</f>
        <v>0.58907787373190468</v>
      </c>
      <c r="ED467" s="424"/>
      <c r="EE467" s="424"/>
      <c r="EF467" s="424"/>
      <c r="EG467" s="478"/>
      <c r="EH467" s="424"/>
      <c r="EI467" s="424"/>
      <c r="EJ467" s="355">
        <f>-(EJ466/EJ465-1)</f>
        <v>0.58876895096386817</v>
      </c>
      <c r="EK467" s="424"/>
      <c r="EL467" s="424"/>
      <c r="EM467" s="424"/>
      <c r="EN467" s="478"/>
      <c r="EO467" s="424"/>
      <c r="EP467" s="424"/>
      <c r="EQ467" s="355">
        <f>-(EQ466/EQ465-1)</f>
        <v>0.58889210258545444</v>
      </c>
    </row>
    <row r="468" spans="1:147" ht="10.199999999999999" hidden="1" customHeight="1" outlineLevel="1">
      <c r="A468" s="108" t="s">
        <v>379</v>
      </c>
      <c r="B468" s="86"/>
      <c r="C468" s="86">
        <f t="shared" ref="C468:N468" si="1617">+C173*C108</f>
        <v>0</v>
      </c>
      <c r="D468" s="86">
        <f t="shared" si="1617"/>
        <v>0</v>
      </c>
      <c r="E468" s="86">
        <f t="shared" si="1617"/>
        <v>399.01477832512319</v>
      </c>
      <c r="F468" s="86">
        <f t="shared" si="1617"/>
        <v>450</v>
      </c>
      <c r="G468" s="86">
        <f t="shared" si="1617"/>
        <v>411.07499999999999</v>
      </c>
      <c r="H468" s="86">
        <f t="shared" si="1617"/>
        <v>370.88099999999991</v>
      </c>
      <c r="I468" s="86">
        <f t="shared" si="1617"/>
        <v>799.94395687499969</v>
      </c>
      <c r="J468" s="86">
        <f t="shared" si="1617"/>
        <v>620.89767711562467</v>
      </c>
      <c r="K468" s="86">
        <f t="shared" si="1617"/>
        <v>290.86668104878106</v>
      </c>
      <c r="L468" s="86">
        <f t="shared" si="1617"/>
        <v>125</v>
      </c>
      <c r="M468" s="86">
        <f t="shared" si="1617"/>
        <v>130.4</v>
      </c>
      <c r="N468" s="86">
        <f t="shared" si="1617"/>
        <v>135.4</v>
      </c>
      <c r="O468" s="327"/>
      <c r="P468" s="327"/>
      <c r="Q468" s="327"/>
      <c r="R468" s="453"/>
      <c r="S468" s="327"/>
      <c r="T468" s="327"/>
      <c r="U468" s="356">
        <f>+U173*U108</f>
        <v>70.099999999999994</v>
      </c>
      <c r="V468" s="327"/>
      <c r="W468" s="327"/>
      <c r="X468" s="327"/>
      <c r="Y468" s="453"/>
      <c r="Z468" s="327"/>
      <c r="AA468" s="327"/>
      <c r="AB468" s="356">
        <f>+AB173*AB108</f>
        <v>0</v>
      </c>
      <c r="AC468" s="327"/>
      <c r="AD468" s="327"/>
      <c r="AE468" s="327"/>
      <c r="AF468" s="453"/>
      <c r="AG468" s="327"/>
      <c r="AH468" s="327"/>
      <c r="AI468" s="356">
        <f>+AI173*AI108</f>
        <v>74.3</v>
      </c>
      <c r="AJ468" s="327"/>
      <c r="AK468" s="327"/>
      <c r="AL468" s="327"/>
      <c r="AM468" s="453"/>
      <c r="AN468" s="327"/>
      <c r="AO468" s="327"/>
      <c r="AP468" s="356">
        <f>+AP173*AP108</f>
        <v>0</v>
      </c>
      <c r="AQ468" s="327"/>
      <c r="AR468" s="327"/>
      <c r="AS468" s="327"/>
      <c r="AT468" s="453"/>
      <c r="AU468" s="327"/>
      <c r="AV468" s="327"/>
      <c r="AW468" s="356">
        <f>+AW173*AW108</f>
        <v>0</v>
      </c>
      <c r="AX468" s="327"/>
      <c r="AY468" s="327"/>
      <c r="AZ468" s="327"/>
      <c r="BA468" s="453"/>
      <c r="BB468" s="327"/>
      <c r="BC468" s="327"/>
      <c r="BD468" s="356">
        <f>+BD173*BD108</f>
        <v>0</v>
      </c>
      <c r="BE468" s="327"/>
      <c r="BF468" s="327"/>
      <c r="BG468" s="327"/>
      <c r="BH468" s="453"/>
      <c r="BI468" s="327"/>
      <c r="BJ468" s="327"/>
      <c r="BK468" s="356">
        <f>+BK173*BK108</f>
        <v>0</v>
      </c>
      <c r="BL468" s="327"/>
      <c r="BM468" s="327"/>
      <c r="BN468" s="327"/>
      <c r="BO468" s="453"/>
      <c r="BP468" s="327"/>
      <c r="BQ468" s="327"/>
      <c r="BR468" s="356">
        <f>+BR173*BR108</f>
        <v>0</v>
      </c>
      <c r="BS468" s="327"/>
      <c r="BT468" s="327"/>
      <c r="BU468" s="327"/>
      <c r="BV468" s="453"/>
      <c r="BW468" s="327"/>
      <c r="BX468" s="327"/>
      <c r="BY468" s="356">
        <f>+BY173*BY108</f>
        <v>0</v>
      </c>
      <c r="BZ468" s="327"/>
      <c r="CA468" s="327"/>
      <c r="CB468" s="327"/>
      <c r="CC468" s="453"/>
      <c r="CD468" s="327"/>
      <c r="CE468" s="327"/>
      <c r="CF468" s="356">
        <f>+CF173*CF108</f>
        <v>0</v>
      </c>
      <c r="CG468" s="327"/>
      <c r="CH468" s="327"/>
      <c r="CI468" s="327"/>
      <c r="CJ468" s="453"/>
      <c r="CK468" s="327"/>
      <c r="CL468" s="327"/>
      <c r="CM468" s="356">
        <f>+CM173*CM108</f>
        <v>0</v>
      </c>
      <c r="CN468" s="327"/>
      <c r="CO468" s="327"/>
      <c r="CP468" s="327"/>
      <c r="CQ468" s="453"/>
      <c r="CR468" s="327"/>
      <c r="CS468" s="327"/>
      <c r="CT468" s="356">
        <f>+CT173*CT108</f>
        <v>0</v>
      </c>
      <c r="CU468" s="327"/>
      <c r="CV468" s="327"/>
      <c r="CW468" s="327"/>
      <c r="CX468" s="453"/>
      <c r="CY468" s="327"/>
      <c r="CZ468" s="327"/>
      <c r="DA468" s="356">
        <f>+DA173*DA108</f>
        <v>0</v>
      </c>
      <c r="DB468" s="327"/>
      <c r="DC468" s="327"/>
      <c r="DD468" s="327"/>
      <c r="DE468" s="453"/>
      <c r="DF468" s="327"/>
      <c r="DG468" s="327"/>
      <c r="DH468" s="356">
        <f>+DH173*DH108</f>
        <v>0</v>
      </c>
      <c r="DI468" s="327"/>
      <c r="DJ468" s="327"/>
      <c r="DK468" s="327"/>
      <c r="DL468" s="453"/>
      <c r="DM468" s="327"/>
      <c r="DN468" s="327"/>
      <c r="DO468" s="356">
        <f>+DO173*DO108</f>
        <v>0</v>
      </c>
      <c r="DP468" s="327"/>
      <c r="DQ468" s="327"/>
      <c r="DR468" s="327"/>
      <c r="DS468" s="453"/>
      <c r="DT468" s="327"/>
      <c r="DU468" s="327"/>
      <c r="DV468" s="356">
        <f>+DV173*DV108</f>
        <v>0</v>
      </c>
      <c r="DW468" s="327"/>
      <c r="DX468" s="327"/>
      <c r="DY468" s="327"/>
      <c r="DZ468" s="453"/>
      <c r="EA468" s="327"/>
      <c r="EB468" s="327"/>
      <c r="EC468" s="356">
        <f>+EC173*EC108</f>
        <v>0</v>
      </c>
      <c r="ED468" s="327"/>
      <c r="EE468" s="327"/>
      <c r="EF468" s="327"/>
      <c r="EG468" s="453"/>
      <c r="EH468" s="327"/>
      <c r="EI468" s="327"/>
      <c r="EJ468" s="356">
        <f>+EJ173*EJ108</f>
        <v>0</v>
      </c>
      <c r="EK468" s="327"/>
      <c r="EL468" s="327"/>
      <c r="EM468" s="327"/>
      <c r="EN468" s="453"/>
      <c r="EO468" s="327"/>
      <c r="EP468" s="327"/>
      <c r="EQ468" s="356">
        <f>+EQ173*EQ108</f>
        <v>0</v>
      </c>
    </row>
    <row r="469" spans="1:147" ht="10.199999999999999" hidden="1" customHeight="1" outlineLevel="1">
      <c r="A469" s="108" t="s">
        <v>382</v>
      </c>
      <c r="B469" s="86"/>
      <c r="C469" s="86">
        <f t="shared" ref="C469:N469" si="1618">+C174*C109</f>
        <v>4255.610622147562</v>
      </c>
      <c r="D469" s="86">
        <f t="shared" si="1618"/>
        <v>4125.3124317503471</v>
      </c>
      <c r="E469" s="86">
        <f t="shared" si="1618"/>
        <v>3546.7980295566508</v>
      </c>
      <c r="F469" s="86">
        <f t="shared" si="1618"/>
        <v>4350</v>
      </c>
      <c r="G469" s="86">
        <f t="shared" si="1618"/>
        <v>7206.4999999999991</v>
      </c>
      <c r="H469" s="86">
        <f t="shared" si="1618"/>
        <v>7057.0412499999984</v>
      </c>
      <c r="I469" s="86">
        <f t="shared" si="1618"/>
        <v>5489.8114687499983</v>
      </c>
      <c r="J469" s="86">
        <f t="shared" si="1618"/>
        <v>5200.6813980624984</v>
      </c>
      <c r="K469" s="86">
        <f t="shared" si="1618"/>
        <v>4740.0496170912475</v>
      </c>
      <c r="L469" s="86">
        <f t="shared" si="1618"/>
        <v>3794.4</v>
      </c>
      <c r="M469" s="86">
        <f t="shared" si="1618"/>
        <v>3651.9</v>
      </c>
      <c r="N469" s="86">
        <f t="shared" si="1618"/>
        <v>3066.6</v>
      </c>
      <c r="O469" s="327"/>
      <c r="P469" s="327"/>
      <c r="Q469" s="327"/>
      <c r="R469" s="453"/>
      <c r="S469" s="327"/>
      <c r="T469" s="327"/>
      <c r="U469" s="356">
        <f>+U174*U109</f>
        <v>3176.7999999999997</v>
      </c>
      <c r="V469" s="327"/>
      <c r="W469" s="327"/>
      <c r="X469" s="327"/>
      <c r="Y469" s="453"/>
      <c r="Z469" s="327"/>
      <c r="AA469" s="327"/>
      <c r="AB469" s="356">
        <f>+AB174*AB109</f>
        <v>2917.2</v>
      </c>
      <c r="AC469" s="327"/>
      <c r="AD469" s="327"/>
      <c r="AE469" s="327"/>
      <c r="AF469" s="453"/>
      <c r="AG469" s="327"/>
      <c r="AH469" s="327"/>
      <c r="AI469" s="356">
        <f>+AI174*AI109</f>
        <v>2126.3999999999996</v>
      </c>
      <c r="AJ469" s="327"/>
      <c r="AK469" s="327"/>
      <c r="AL469" s="327"/>
      <c r="AM469" s="453"/>
      <c r="AN469" s="327"/>
      <c r="AO469" s="327"/>
      <c r="AP469" s="356">
        <f>+AP174*AP109</f>
        <v>358.4</v>
      </c>
      <c r="AQ469" s="327"/>
      <c r="AR469" s="327"/>
      <c r="AS469" s="327"/>
      <c r="AT469" s="453"/>
      <c r="AU469" s="327"/>
      <c r="AV469" s="327"/>
      <c r="AW469" s="356">
        <f>+AW174*AW109</f>
        <v>905</v>
      </c>
      <c r="AX469" s="327"/>
      <c r="AY469" s="327"/>
      <c r="AZ469" s="327"/>
      <c r="BA469" s="453"/>
      <c r="BB469" s="327"/>
      <c r="BC469" s="327"/>
      <c r="BD469" s="356">
        <f>+BD174*BD109</f>
        <v>905</v>
      </c>
      <c r="BE469" s="327"/>
      <c r="BF469" s="327"/>
      <c r="BG469" s="327"/>
      <c r="BH469" s="453"/>
      <c r="BI469" s="327"/>
      <c r="BJ469" s="327"/>
      <c r="BK469" s="356">
        <f>+BK174*BK109</f>
        <v>738.4</v>
      </c>
      <c r="BL469" s="327"/>
      <c r="BM469" s="327"/>
      <c r="BN469" s="327"/>
      <c r="BO469" s="453"/>
      <c r="BP469" s="327"/>
      <c r="BQ469" s="327"/>
      <c r="BR469" s="356">
        <f>+BR174*BR109</f>
        <v>376.584</v>
      </c>
      <c r="BS469" s="327"/>
      <c r="BT469" s="327"/>
      <c r="BU469" s="327"/>
      <c r="BV469" s="453"/>
      <c r="BW469" s="327"/>
      <c r="BX469" s="327"/>
      <c r="BY469" s="356">
        <f>+BY174*BY109</f>
        <v>288.08676000000003</v>
      </c>
      <c r="BZ469" s="327"/>
      <c r="CA469" s="327"/>
      <c r="CB469" s="327"/>
      <c r="CC469" s="453"/>
      <c r="CD469" s="327"/>
      <c r="CE469" s="327"/>
      <c r="CF469" s="356">
        <f>+CF174*CF109</f>
        <v>195.89899679999999</v>
      </c>
      <c r="CG469" s="327"/>
      <c r="CH469" s="327"/>
      <c r="CI469" s="327"/>
      <c r="CJ469" s="453"/>
      <c r="CK469" s="327"/>
      <c r="CL469" s="327"/>
      <c r="CM469" s="356">
        <f>+CM174*CM109</f>
        <v>0</v>
      </c>
      <c r="CN469" s="327"/>
      <c r="CO469" s="327"/>
      <c r="CP469" s="327"/>
      <c r="CQ469" s="453"/>
      <c r="CR469" s="327"/>
      <c r="CS469" s="327"/>
      <c r="CT469" s="356">
        <f>+CT174*CT109</f>
        <v>0</v>
      </c>
      <c r="CU469" s="327"/>
      <c r="CV469" s="327"/>
      <c r="CW469" s="327"/>
      <c r="CX469" s="453"/>
      <c r="CY469" s="327"/>
      <c r="CZ469" s="327"/>
      <c r="DA469" s="356">
        <f>+DA174*DA109</f>
        <v>0</v>
      </c>
      <c r="DB469" s="327"/>
      <c r="DC469" s="327"/>
      <c r="DD469" s="327"/>
      <c r="DE469" s="453"/>
      <c r="DF469" s="327"/>
      <c r="DG469" s="327"/>
      <c r="DH469" s="356">
        <f>+DH174*DH109</f>
        <v>0</v>
      </c>
      <c r="DI469" s="327"/>
      <c r="DJ469" s="327"/>
      <c r="DK469" s="327"/>
      <c r="DL469" s="453"/>
      <c r="DM469" s="327"/>
      <c r="DN469" s="327"/>
      <c r="DO469" s="356">
        <f>+DO174*DO109</f>
        <v>0</v>
      </c>
      <c r="DP469" s="327"/>
      <c r="DQ469" s="327"/>
      <c r="DR469" s="327"/>
      <c r="DS469" s="453"/>
      <c r="DT469" s="327"/>
      <c r="DU469" s="327"/>
      <c r="DV469" s="356">
        <f>+DV174*DV109</f>
        <v>0</v>
      </c>
      <c r="DW469" s="327"/>
      <c r="DX469" s="327"/>
      <c r="DY469" s="327"/>
      <c r="DZ469" s="453"/>
      <c r="EA469" s="327"/>
      <c r="EB469" s="327"/>
      <c r="EC469" s="356">
        <f>+EC174*EC109</f>
        <v>0</v>
      </c>
      <c r="ED469" s="327"/>
      <c r="EE469" s="327"/>
      <c r="EF469" s="327"/>
      <c r="EG469" s="453"/>
      <c r="EH469" s="327"/>
      <c r="EI469" s="327"/>
      <c r="EJ469" s="356">
        <f>+EJ174*EJ109</f>
        <v>0</v>
      </c>
      <c r="EK469" s="327"/>
      <c r="EL469" s="327"/>
      <c r="EM469" s="327"/>
      <c r="EN469" s="453"/>
      <c r="EO469" s="327"/>
      <c r="EP469" s="327"/>
      <c r="EQ469" s="356">
        <f>+EQ174*EQ109</f>
        <v>0</v>
      </c>
    </row>
    <row r="470" spans="1:147" ht="10.199999999999999" hidden="1" customHeight="1" outlineLevel="1">
      <c r="A470" s="108" t="s">
        <v>377</v>
      </c>
      <c r="B470" s="86"/>
      <c r="C470" s="86">
        <f t="shared" ref="C470:N470" si="1619">+C175*C110</f>
        <v>6486.6981685453729</v>
      </c>
      <c r="D470" s="86">
        <f t="shared" si="1619"/>
        <v>6418.0154820548923</v>
      </c>
      <c r="E470" s="86">
        <f t="shared" si="1619"/>
        <v>6682.7586206896558</v>
      </c>
      <c r="F470" s="86">
        <f t="shared" si="1619"/>
        <v>5757</v>
      </c>
      <c r="G470" s="86">
        <f t="shared" si="1619"/>
        <v>7000.4549999999999</v>
      </c>
      <c r="H470" s="86">
        <f t="shared" si="1619"/>
        <v>9630.5432999999994</v>
      </c>
      <c r="I470" s="86">
        <f t="shared" si="1619"/>
        <v>11563.111470749998</v>
      </c>
      <c r="J470" s="86">
        <f t="shared" si="1619"/>
        <v>12644.023978595622</v>
      </c>
      <c r="K470" s="86">
        <f t="shared" si="1619"/>
        <v>13570.546596931466</v>
      </c>
      <c r="L470" s="86">
        <f t="shared" si="1619"/>
        <v>24175.800000000003</v>
      </c>
      <c r="M470" s="86">
        <f t="shared" si="1619"/>
        <v>26010</v>
      </c>
      <c r="N470" s="86">
        <f t="shared" si="1619"/>
        <v>29315.599999999999</v>
      </c>
      <c r="O470" s="327"/>
      <c r="P470" s="327"/>
      <c r="Q470" s="327"/>
      <c r="R470" s="453"/>
      <c r="S470" s="327"/>
      <c r="T470" s="327"/>
      <c r="U470" s="356">
        <f>+U175*U110</f>
        <v>32208</v>
      </c>
      <c r="V470" s="327"/>
      <c r="W470" s="327"/>
      <c r="X470" s="327"/>
      <c r="Y470" s="453"/>
      <c r="Z470" s="327"/>
      <c r="AA470" s="327"/>
      <c r="AB470" s="356">
        <f>+AB175*AB110</f>
        <v>28733.4</v>
      </c>
      <c r="AC470" s="327"/>
      <c r="AD470" s="327"/>
      <c r="AE470" s="327"/>
      <c r="AF470" s="453"/>
      <c r="AG470" s="327"/>
      <c r="AH470" s="327"/>
      <c r="AI470" s="356">
        <f>+AI175*AI110</f>
        <v>27354</v>
      </c>
      <c r="AJ470" s="327"/>
      <c r="AK470" s="327"/>
      <c r="AL470" s="327"/>
      <c r="AM470" s="453"/>
      <c r="AN470" s="327"/>
      <c r="AO470" s="327"/>
      <c r="AP470" s="356">
        <f>+AP175*AP110</f>
        <v>24990</v>
      </c>
      <c r="AQ470" s="327"/>
      <c r="AR470" s="327"/>
      <c r="AS470" s="327"/>
      <c r="AT470" s="453"/>
      <c r="AU470" s="327"/>
      <c r="AV470" s="327"/>
      <c r="AW470" s="356">
        <f>+AW175*AW110</f>
        <v>18216</v>
      </c>
      <c r="AX470" s="327"/>
      <c r="AY470" s="327"/>
      <c r="AZ470" s="327"/>
      <c r="BA470" s="453"/>
      <c r="BB470" s="327"/>
      <c r="BC470" s="327"/>
      <c r="BD470" s="356">
        <f>+BD175*BD110</f>
        <v>18216</v>
      </c>
      <c r="BE470" s="327"/>
      <c r="BF470" s="327"/>
      <c r="BG470" s="327"/>
      <c r="BH470" s="453"/>
      <c r="BI470" s="327"/>
      <c r="BJ470" s="327"/>
      <c r="BK470" s="356">
        <f>+BK175*BK110</f>
        <v>13433</v>
      </c>
      <c r="BL470" s="327"/>
      <c r="BM470" s="327"/>
      <c r="BN470" s="327"/>
      <c r="BO470" s="453"/>
      <c r="BP470" s="327"/>
      <c r="BQ470" s="327"/>
      <c r="BR470" s="356">
        <f>+BR175*BR110</f>
        <v>5047.9799999999996</v>
      </c>
      <c r="BS470" s="327"/>
      <c r="BT470" s="327"/>
      <c r="BU470" s="327"/>
      <c r="BV470" s="453"/>
      <c r="BW470" s="327"/>
      <c r="BX470" s="327"/>
      <c r="BY470" s="356">
        <f>+BY175*BY110</f>
        <v>315.24119999999999</v>
      </c>
      <c r="BZ470" s="327"/>
      <c r="CA470" s="327"/>
      <c r="CB470" s="327"/>
      <c r="CC470" s="453"/>
      <c r="CD470" s="327"/>
      <c r="CE470" s="327"/>
      <c r="CF470" s="356">
        <f>+CF175*CF110</f>
        <v>0</v>
      </c>
      <c r="CG470" s="327"/>
      <c r="CH470" s="327"/>
      <c r="CI470" s="327"/>
      <c r="CJ470" s="453"/>
      <c r="CK470" s="327"/>
      <c r="CL470" s="327"/>
      <c r="CM470" s="356">
        <f>+CM175*CM110</f>
        <v>0</v>
      </c>
      <c r="CN470" s="327"/>
      <c r="CO470" s="327"/>
      <c r="CP470" s="327"/>
      <c r="CQ470" s="453"/>
      <c r="CR470" s="327"/>
      <c r="CS470" s="327"/>
      <c r="CT470" s="356">
        <f>+CT175*CT110</f>
        <v>0</v>
      </c>
      <c r="CU470" s="327"/>
      <c r="CV470" s="327"/>
      <c r="CW470" s="327"/>
      <c r="CX470" s="453"/>
      <c r="CY470" s="327"/>
      <c r="CZ470" s="327"/>
      <c r="DA470" s="356">
        <f>+DA175*DA110</f>
        <v>0</v>
      </c>
      <c r="DB470" s="327"/>
      <c r="DC470" s="327"/>
      <c r="DD470" s="327"/>
      <c r="DE470" s="453"/>
      <c r="DF470" s="327"/>
      <c r="DG470" s="327"/>
      <c r="DH470" s="356">
        <f>+DH175*DH110</f>
        <v>0</v>
      </c>
      <c r="DI470" s="327"/>
      <c r="DJ470" s="327"/>
      <c r="DK470" s="327"/>
      <c r="DL470" s="453"/>
      <c r="DM470" s="327"/>
      <c r="DN470" s="327"/>
      <c r="DO470" s="356">
        <f>+DO175*DO110</f>
        <v>0</v>
      </c>
      <c r="DP470" s="327"/>
      <c r="DQ470" s="327"/>
      <c r="DR470" s="327"/>
      <c r="DS470" s="453"/>
      <c r="DT470" s="327"/>
      <c r="DU470" s="327"/>
      <c r="DV470" s="356">
        <f>+DV175*DV110</f>
        <v>0</v>
      </c>
      <c r="DW470" s="327"/>
      <c r="DX470" s="327"/>
      <c r="DY470" s="327"/>
      <c r="DZ470" s="453"/>
      <c r="EA470" s="327"/>
      <c r="EB470" s="327"/>
      <c r="EC470" s="356">
        <f>+EC175*EC110</f>
        <v>0</v>
      </c>
      <c r="ED470" s="327"/>
      <c r="EE470" s="327"/>
      <c r="EF470" s="327"/>
      <c r="EG470" s="453"/>
      <c r="EH470" s="327"/>
      <c r="EI470" s="327"/>
      <c r="EJ470" s="356">
        <f>+EJ175*EJ110</f>
        <v>0</v>
      </c>
      <c r="EK470" s="327"/>
      <c r="EL470" s="327"/>
      <c r="EM470" s="327"/>
      <c r="EN470" s="453"/>
      <c r="EO470" s="327"/>
      <c r="EP470" s="327"/>
      <c r="EQ470" s="356">
        <f>+EQ175*EQ110</f>
        <v>0</v>
      </c>
    </row>
    <row r="471" spans="1:147" ht="10.199999999999999" hidden="1" customHeight="1" outlineLevel="1">
      <c r="A471" s="108" t="s">
        <v>383</v>
      </c>
      <c r="B471" s="86"/>
      <c r="C471" s="86">
        <f t="shared" ref="C471:N471" si="1620">+C176*C111</f>
        <v>3280.1672885317162</v>
      </c>
      <c r="D471" s="86">
        <f t="shared" si="1620"/>
        <v>2378.121284185494</v>
      </c>
      <c r="E471" s="86">
        <f t="shared" si="1620"/>
        <v>2275.8620689655177</v>
      </c>
      <c r="F471" s="86">
        <f t="shared" si="1620"/>
        <v>2450</v>
      </c>
      <c r="G471" s="86">
        <f t="shared" si="1620"/>
        <v>1207.8499999999999</v>
      </c>
      <c r="H471" s="86">
        <f t="shared" si="1620"/>
        <v>2163.4724999999999</v>
      </c>
      <c r="I471" s="86">
        <f t="shared" si="1620"/>
        <v>3733.0717987499993</v>
      </c>
      <c r="J471" s="86">
        <f t="shared" si="1620"/>
        <v>4903.4996038874979</v>
      </c>
      <c r="K471" s="86">
        <f t="shared" si="1620"/>
        <v>6560.6595836558408</v>
      </c>
      <c r="L471" s="86">
        <f t="shared" si="1620"/>
        <v>4870.5</v>
      </c>
      <c r="M471" s="86">
        <f t="shared" si="1620"/>
        <v>6580.2</v>
      </c>
      <c r="N471" s="86">
        <f t="shared" si="1620"/>
        <v>8598.7999999999993</v>
      </c>
      <c r="O471" s="327"/>
      <c r="P471" s="327"/>
      <c r="Q471" s="327"/>
      <c r="R471" s="453"/>
      <c r="S471" s="327"/>
      <c r="T471" s="327"/>
      <c r="U471" s="356">
        <f>+U176*U111</f>
        <v>10944.6</v>
      </c>
      <c r="V471" s="327"/>
      <c r="W471" s="327"/>
      <c r="X471" s="327"/>
      <c r="Y471" s="453"/>
      <c r="Z471" s="327"/>
      <c r="AA471" s="327"/>
      <c r="AB471" s="356">
        <f>+AB176*AB111</f>
        <v>16515</v>
      </c>
      <c r="AC471" s="327"/>
      <c r="AD471" s="327"/>
      <c r="AE471" s="327"/>
      <c r="AF471" s="453"/>
      <c r="AG471" s="327"/>
      <c r="AH471" s="327"/>
      <c r="AI471" s="356">
        <f>+AI176*AI111</f>
        <v>20920.8</v>
      </c>
      <c r="AJ471" s="327"/>
      <c r="AK471" s="327"/>
      <c r="AL471" s="327"/>
      <c r="AM471" s="453"/>
      <c r="AN471" s="327"/>
      <c r="AO471" s="327"/>
      <c r="AP471" s="356">
        <f>+AP176*AP111</f>
        <v>25048.2</v>
      </c>
      <c r="AQ471" s="327"/>
      <c r="AR471" s="327"/>
      <c r="AS471" s="327"/>
      <c r="AT471" s="453"/>
      <c r="AU471" s="327"/>
      <c r="AV471" s="327"/>
      <c r="AW471" s="356">
        <f>+AW176*AW111</f>
        <v>21228</v>
      </c>
      <c r="AX471" s="327"/>
      <c r="AY471" s="327"/>
      <c r="AZ471" s="327"/>
      <c r="BA471" s="453"/>
      <c r="BB471" s="327"/>
      <c r="BC471" s="327"/>
      <c r="BD471" s="356">
        <f>+BD176*BD111</f>
        <v>21228</v>
      </c>
      <c r="BE471" s="327"/>
      <c r="BF471" s="327"/>
      <c r="BG471" s="327"/>
      <c r="BH471" s="453"/>
      <c r="BI471" s="327"/>
      <c r="BJ471" s="327"/>
      <c r="BK471" s="356">
        <f>+BK176*BK111</f>
        <v>11711.699999999999</v>
      </c>
      <c r="BL471" s="327"/>
      <c r="BM471" s="327"/>
      <c r="BN471" s="327"/>
      <c r="BO471" s="453"/>
      <c r="BP471" s="327"/>
      <c r="BQ471" s="327"/>
      <c r="BR471" s="356">
        <f>+BR176*BR111</f>
        <v>4585.308</v>
      </c>
      <c r="BS471" s="327"/>
      <c r="BT471" s="327"/>
      <c r="BU471" s="327"/>
      <c r="BV471" s="453"/>
      <c r="BW471" s="327"/>
      <c r="BX471" s="327"/>
      <c r="BY471" s="356">
        <f>+BY176*BY111</f>
        <v>1107.71388</v>
      </c>
      <c r="BZ471" s="327"/>
      <c r="CA471" s="327"/>
      <c r="CB471" s="327"/>
      <c r="CC471" s="453"/>
      <c r="CD471" s="327"/>
      <c r="CE471" s="327"/>
      <c r="CF471" s="356">
        <f>+CF176*CF111</f>
        <v>2761.8999408</v>
      </c>
      <c r="CG471" s="327"/>
      <c r="CH471" s="327"/>
      <c r="CI471" s="327"/>
      <c r="CJ471" s="453"/>
      <c r="CK471" s="327"/>
      <c r="CL471" s="327"/>
      <c r="CM471" s="356">
        <f>+CM176*CM111</f>
        <v>0</v>
      </c>
      <c r="CN471" s="327"/>
      <c r="CO471" s="327"/>
      <c r="CP471" s="327"/>
      <c r="CQ471" s="453"/>
      <c r="CR471" s="327"/>
      <c r="CS471" s="327"/>
      <c r="CT471" s="356">
        <f>+CT176*CT111</f>
        <v>0</v>
      </c>
      <c r="CU471" s="327"/>
      <c r="CV471" s="327"/>
      <c r="CW471" s="327"/>
      <c r="CX471" s="453"/>
      <c r="CY471" s="327"/>
      <c r="CZ471" s="327"/>
      <c r="DA471" s="356">
        <f>+DA176*DA111</f>
        <v>0</v>
      </c>
      <c r="DB471" s="327"/>
      <c r="DC471" s="327"/>
      <c r="DD471" s="327"/>
      <c r="DE471" s="453"/>
      <c r="DF471" s="327"/>
      <c r="DG471" s="327"/>
      <c r="DH471" s="356">
        <f>+DH176*DH111</f>
        <v>0</v>
      </c>
      <c r="DI471" s="327"/>
      <c r="DJ471" s="327"/>
      <c r="DK471" s="327"/>
      <c r="DL471" s="453"/>
      <c r="DM471" s="327"/>
      <c r="DN471" s="327"/>
      <c r="DO471" s="356">
        <f>+DO176*DO111</f>
        <v>0</v>
      </c>
      <c r="DP471" s="327"/>
      <c r="DQ471" s="327"/>
      <c r="DR471" s="327"/>
      <c r="DS471" s="453"/>
      <c r="DT471" s="327"/>
      <c r="DU471" s="327"/>
      <c r="DV471" s="356">
        <f>+DV176*DV111</f>
        <v>0</v>
      </c>
      <c r="DW471" s="327"/>
      <c r="DX471" s="327"/>
      <c r="DY471" s="327"/>
      <c r="DZ471" s="453"/>
      <c r="EA471" s="327"/>
      <c r="EB471" s="327"/>
      <c r="EC471" s="356">
        <f>+EC176*EC111</f>
        <v>0</v>
      </c>
      <c r="ED471" s="327"/>
      <c r="EE471" s="327"/>
      <c r="EF471" s="327"/>
      <c r="EG471" s="453"/>
      <c r="EH471" s="327"/>
      <c r="EI471" s="327"/>
      <c r="EJ471" s="356">
        <f>+EJ176*EJ111</f>
        <v>0</v>
      </c>
      <c r="EK471" s="327"/>
      <c r="EL471" s="327"/>
      <c r="EM471" s="327"/>
      <c r="EN471" s="453"/>
      <c r="EO471" s="327"/>
      <c r="EP471" s="327"/>
      <c r="EQ471" s="356">
        <f>+EQ176*EQ111</f>
        <v>0</v>
      </c>
    </row>
    <row r="472" spans="1:147" ht="10.199999999999999" hidden="1" customHeight="1" outlineLevel="1">
      <c r="A472" s="108" t="s">
        <v>366</v>
      </c>
      <c r="B472" s="86"/>
      <c r="C472" s="86">
        <f t="shared" ref="C472:N472" si="1621">+C114*C177</f>
        <v>0</v>
      </c>
      <c r="D472" s="86">
        <f t="shared" si="1621"/>
        <v>0</v>
      </c>
      <c r="E472" s="86">
        <f t="shared" si="1621"/>
        <v>0</v>
      </c>
      <c r="F472" s="86">
        <f t="shared" si="1621"/>
        <v>0</v>
      </c>
      <c r="G472" s="86">
        <f t="shared" si="1621"/>
        <v>0</v>
      </c>
      <c r="H472" s="86">
        <f t="shared" si="1621"/>
        <v>0</v>
      </c>
      <c r="I472" s="86">
        <f t="shared" si="1621"/>
        <v>0</v>
      </c>
      <c r="J472" s="86">
        <f t="shared" si="1621"/>
        <v>0</v>
      </c>
      <c r="K472" s="86">
        <f t="shared" si="1621"/>
        <v>0</v>
      </c>
      <c r="L472" s="86">
        <f t="shared" si="1621"/>
        <v>0</v>
      </c>
      <c r="M472" s="86">
        <f t="shared" si="1621"/>
        <v>0</v>
      </c>
      <c r="N472" s="86">
        <f t="shared" si="1621"/>
        <v>0</v>
      </c>
      <c r="O472" s="327"/>
      <c r="P472" s="327"/>
      <c r="Q472" s="327"/>
      <c r="R472" s="453"/>
      <c r="S472" s="327"/>
      <c r="T472" s="327"/>
      <c r="U472" s="356">
        <f>+U114*U177</f>
        <v>0</v>
      </c>
      <c r="V472" s="327"/>
      <c r="W472" s="327"/>
      <c r="X472" s="327"/>
      <c r="Y472" s="453"/>
      <c r="Z472" s="327"/>
      <c r="AA472" s="327"/>
      <c r="AB472" s="356">
        <f>+AB114*AB177</f>
        <v>0</v>
      </c>
      <c r="AC472" s="327"/>
      <c r="AD472" s="327"/>
      <c r="AE472" s="327"/>
      <c r="AF472" s="453"/>
      <c r="AG472" s="327"/>
      <c r="AH472" s="327"/>
      <c r="AI472" s="356">
        <f>+AI114*AI177</f>
        <v>0</v>
      </c>
      <c r="AJ472" s="327"/>
      <c r="AK472" s="327"/>
      <c r="AL472" s="327"/>
      <c r="AM472" s="453"/>
      <c r="AN472" s="327"/>
      <c r="AO472" s="327"/>
      <c r="AP472" s="356">
        <f>+AP114*AP177</f>
        <v>0</v>
      </c>
      <c r="AQ472" s="327"/>
      <c r="AR472" s="327"/>
      <c r="AS472" s="327"/>
      <c r="AT472" s="453"/>
      <c r="AU472" s="327"/>
      <c r="AV472" s="327"/>
      <c r="AW472" s="356">
        <f>+AW114*AW177</f>
        <v>0</v>
      </c>
      <c r="AX472" s="327"/>
      <c r="AY472" s="327"/>
      <c r="AZ472" s="327"/>
      <c r="BA472" s="453"/>
      <c r="BB472" s="327"/>
      <c r="BC472" s="327"/>
      <c r="BD472" s="356">
        <f>+BD114*BD177</f>
        <v>0</v>
      </c>
      <c r="BE472" s="327"/>
      <c r="BF472" s="327"/>
      <c r="BG472" s="327"/>
      <c r="BH472" s="453"/>
      <c r="BI472" s="327"/>
      <c r="BJ472" s="327"/>
      <c r="BK472" s="356">
        <f>+BK114*BK177</f>
        <v>0</v>
      </c>
      <c r="BL472" s="327"/>
      <c r="BM472" s="327"/>
      <c r="BN472" s="327"/>
      <c r="BO472" s="453"/>
      <c r="BP472" s="327"/>
      <c r="BQ472" s="327"/>
      <c r="BR472" s="356">
        <f>+BR114*BR177</f>
        <v>207.06</v>
      </c>
      <c r="BS472" s="327"/>
      <c r="BT472" s="327"/>
      <c r="BU472" s="327"/>
      <c r="BV472" s="453"/>
      <c r="BW472" s="327"/>
      <c r="BX472" s="327"/>
      <c r="BY472" s="356">
        <f>+BY114*BY177</f>
        <v>0</v>
      </c>
      <c r="BZ472" s="327"/>
      <c r="CA472" s="327"/>
      <c r="CB472" s="327"/>
      <c r="CC472" s="453"/>
      <c r="CD472" s="327"/>
      <c r="CE472" s="327"/>
      <c r="CF472" s="356">
        <f>+CF114*CF177</f>
        <v>215.42522400000001</v>
      </c>
      <c r="CG472" s="327"/>
      <c r="CH472" s="327"/>
      <c r="CI472" s="327"/>
      <c r="CJ472" s="453"/>
      <c r="CK472" s="327"/>
      <c r="CL472" s="327"/>
      <c r="CM472" s="356">
        <f>+CM114*CM177</f>
        <v>659.20118544000002</v>
      </c>
      <c r="CN472" s="327"/>
      <c r="CO472" s="327"/>
      <c r="CP472" s="327"/>
      <c r="CQ472" s="453"/>
      <c r="CR472" s="327"/>
      <c r="CS472" s="327"/>
      <c r="CT472" s="356">
        <f>+CT114*CT177</f>
        <v>795.98543141880009</v>
      </c>
      <c r="CU472" s="327"/>
      <c r="CV472" s="327"/>
      <c r="CW472" s="327"/>
      <c r="CX472" s="453"/>
      <c r="CY472" s="327"/>
      <c r="CZ472" s="327"/>
      <c r="DA472" s="356">
        <f>+DA114*DA177</f>
        <v>1048.9950864054899</v>
      </c>
      <c r="DB472" s="327"/>
      <c r="DC472" s="327"/>
      <c r="DD472" s="327"/>
      <c r="DE472" s="453"/>
      <c r="DF472" s="327"/>
      <c r="DG472" s="327"/>
      <c r="DH472" s="356">
        <f>+DH114*DH177</f>
        <v>1792.0332726093786</v>
      </c>
      <c r="DI472" s="327"/>
      <c r="DJ472" s="327"/>
      <c r="DK472" s="327"/>
      <c r="DL472" s="453"/>
      <c r="DM472" s="327"/>
      <c r="DN472" s="327"/>
      <c r="DO472" s="356">
        <f>+DO114*DO177</f>
        <v>612.27803480820421</v>
      </c>
      <c r="DP472" s="327"/>
      <c r="DQ472" s="327"/>
      <c r="DR472" s="327"/>
      <c r="DS472" s="453"/>
      <c r="DT472" s="327"/>
      <c r="DU472" s="327"/>
      <c r="DV472" s="356">
        <f>+DV114*DV177</f>
        <v>627.58498567840934</v>
      </c>
      <c r="DW472" s="327"/>
      <c r="DX472" s="327"/>
      <c r="DY472" s="327"/>
      <c r="DZ472" s="453"/>
      <c r="EA472" s="327"/>
      <c r="EB472" s="327"/>
      <c r="EC472" s="356">
        <f>+EC114*EC177</f>
        <v>643.27461032036945</v>
      </c>
      <c r="ED472" s="327"/>
      <c r="EE472" s="327"/>
      <c r="EF472" s="327"/>
      <c r="EG472" s="453"/>
      <c r="EH472" s="327"/>
      <c r="EI472" s="327"/>
      <c r="EJ472" s="356">
        <f>+EJ114*EJ177</f>
        <v>659.35647557837865</v>
      </c>
      <c r="EK472" s="327"/>
      <c r="EL472" s="327"/>
      <c r="EM472" s="327"/>
      <c r="EN472" s="453"/>
      <c r="EO472" s="327"/>
      <c r="EP472" s="327"/>
      <c r="EQ472" s="356">
        <f>+EQ114*EQ177</f>
        <v>675.84038746783801</v>
      </c>
    </row>
    <row r="473" spans="1:147" ht="10.199999999999999" hidden="1" customHeight="1" outlineLevel="1">
      <c r="A473" s="108" t="s">
        <v>367</v>
      </c>
      <c r="B473" s="86"/>
      <c r="C473" s="86">
        <f t="shared" ref="C473:N473" si="1622">+C115*C178</f>
        <v>0</v>
      </c>
      <c r="D473" s="86">
        <f t="shared" si="1622"/>
        <v>0</v>
      </c>
      <c r="E473" s="86">
        <f t="shared" si="1622"/>
        <v>0</v>
      </c>
      <c r="F473" s="86">
        <f t="shared" si="1622"/>
        <v>0</v>
      </c>
      <c r="G473" s="86">
        <f t="shared" si="1622"/>
        <v>0</v>
      </c>
      <c r="H473" s="86">
        <f t="shared" si="1622"/>
        <v>0</v>
      </c>
      <c r="I473" s="86">
        <f t="shared" si="1622"/>
        <v>0</v>
      </c>
      <c r="J473" s="86">
        <f t="shared" si="1622"/>
        <v>0</v>
      </c>
      <c r="K473" s="86">
        <f t="shared" si="1622"/>
        <v>0</v>
      </c>
      <c r="L473" s="86">
        <f t="shared" si="1622"/>
        <v>0</v>
      </c>
      <c r="M473" s="86">
        <f t="shared" si="1622"/>
        <v>0</v>
      </c>
      <c r="N473" s="86">
        <f t="shared" si="1622"/>
        <v>0</v>
      </c>
      <c r="O473" s="327"/>
      <c r="P473" s="327"/>
      <c r="Q473" s="327"/>
      <c r="R473" s="453"/>
      <c r="S473" s="327"/>
      <c r="T473" s="327"/>
      <c r="U473" s="356">
        <f>+U115*U178</f>
        <v>0</v>
      </c>
      <c r="V473" s="327"/>
      <c r="W473" s="327"/>
      <c r="X473" s="327"/>
      <c r="Y473" s="453"/>
      <c r="Z473" s="327"/>
      <c r="AA473" s="327"/>
      <c r="AB473" s="356">
        <f>+AB115*AB178</f>
        <v>0</v>
      </c>
      <c r="AC473" s="327"/>
      <c r="AD473" s="327"/>
      <c r="AE473" s="327"/>
      <c r="AF473" s="453"/>
      <c r="AG473" s="327"/>
      <c r="AH473" s="327"/>
      <c r="AI473" s="356">
        <f>+AI115*AI178</f>
        <v>0</v>
      </c>
      <c r="AJ473" s="327"/>
      <c r="AK473" s="327"/>
      <c r="AL473" s="327"/>
      <c r="AM473" s="453"/>
      <c r="AN473" s="327"/>
      <c r="AO473" s="327"/>
      <c r="AP473" s="356">
        <f>+AP115*AP178</f>
        <v>7296.4</v>
      </c>
      <c r="AQ473" s="327"/>
      <c r="AR473" s="327"/>
      <c r="AS473" s="327"/>
      <c r="AT473" s="453"/>
      <c r="AU473" s="327"/>
      <c r="AV473" s="327"/>
      <c r="AW473" s="356">
        <f>+AW115*AW178</f>
        <v>17452.400000000001</v>
      </c>
      <c r="AX473" s="327"/>
      <c r="AY473" s="327"/>
      <c r="AZ473" s="327"/>
      <c r="BA473" s="453"/>
      <c r="BB473" s="327"/>
      <c r="BC473" s="327"/>
      <c r="BD473" s="356">
        <f>+BD115*BD178</f>
        <v>17452.400000000001</v>
      </c>
      <c r="BE473" s="327"/>
      <c r="BF473" s="327"/>
      <c r="BG473" s="327"/>
      <c r="BH473" s="453"/>
      <c r="BI473" s="327"/>
      <c r="BJ473" s="327"/>
      <c r="BK473" s="356">
        <f>+BK115*BK178</f>
        <v>31410.399999999998</v>
      </c>
      <c r="BL473" s="327"/>
      <c r="BM473" s="327"/>
      <c r="BN473" s="327"/>
      <c r="BO473" s="453"/>
      <c r="BP473" s="327"/>
      <c r="BQ473" s="327"/>
      <c r="BR473" s="356">
        <f>+BR115*BR178</f>
        <v>42981.371999999996</v>
      </c>
      <c r="BS473" s="327"/>
      <c r="BT473" s="327"/>
      <c r="BU473" s="327"/>
      <c r="BV473" s="453"/>
      <c r="BW473" s="327"/>
      <c r="BX473" s="327"/>
      <c r="BY473" s="356">
        <f>+BY115*BY178</f>
        <v>29112.264719999999</v>
      </c>
      <c r="BZ473" s="327"/>
      <c r="CA473" s="327"/>
      <c r="CB473" s="327"/>
      <c r="CC473" s="453"/>
      <c r="CD473" s="327"/>
      <c r="CE473" s="327"/>
      <c r="CF473" s="356">
        <f>+CF115*CF178</f>
        <v>30281.358038400002</v>
      </c>
      <c r="CG473" s="327"/>
      <c r="CH473" s="327"/>
      <c r="CI473" s="327"/>
      <c r="CJ473" s="453"/>
      <c r="CK473" s="327"/>
      <c r="CL473" s="327"/>
      <c r="CM473" s="356">
        <f>+CM115*CM178</f>
        <v>29450.381236416004</v>
      </c>
      <c r="CN473" s="327"/>
      <c r="CO473" s="327"/>
      <c r="CP473" s="327"/>
      <c r="CQ473" s="453"/>
      <c r="CR473" s="327"/>
      <c r="CS473" s="327"/>
      <c r="CT473" s="356">
        <f>+CT115*CT178</f>
        <v>30605.051671477922</v>
      </c>
      <c r="CU473" s="327"/>
      <c r="CV473" s="327"/>
      <c r="CW473" s="327"/>
      <c r="CX473" s="453"/>
      <c r="CY473" s="327"/>
      <c r="CZ473" s="327"/>
      <c r="DA473" s="356">
        <f>+DA115*DA178</f>
        <v>29465.106427034207</v>
      </c>
      <c r="DB473" s="327"/>
      <c r="DC473" s="327"/>
      <c r="DD473" s="327"/>
      <c r="DE473" s="453"/>
      <c r="DF473" s="327"/>
      <c r="DG473" s="327"/>
      <c r="DH473" s="356">
        <f>+DH115*DH178</f>
        <v>26686.877103364492</v>
      </c>
      <c r="DI473" s="327"/>
      <c r="DJ473" s="327"/>
      <c r="DK473" s="327"/>
      <c r="DL473" s="453"/>
      <c r="DM473" s="327"/>
      <c r="DN473" s="327"/>
      <c r="DO473" s="356">
        <f>+DO115*DO178</f>
        <v>29829.256882285656</v>
      </c>
      <c r="DP473" s="327"/>
      <c r="DQ473" s="327"/>
      <c r="DR473" s="327"/>
      <c r="DS473" s="453"/>
      <c r="DT473" s="327"/>
      <c r="DU473" s="327"/>
      <c r="DV473" s="356">
        <f>+DV115*DV178</f>
        <v>29397.054567947569</v>
      </c>
      <c r="DW473" s="327"/>
      <c r="DX473" s="327"/>
      <c r="DY473" s="327"/>
      <c r="DZ473" s="453"/>
      <c r="EA473" s="327"/>
      <c r="EB473" s="327"/>
      <c r="EC473" s="356">
        <f>+EC115*EC178</f>
        <v>27008.383606670788</v>
      </c>
      <c r="ED473" s="327"/>
      <c r="EE473" s="327"/>
      <c r="EF473" s="327"/>
      <c r="EG473" s="453"/>
      <c r="EH473" s="327"/>
      <c r="EI473" s="327"/>
      <c r="EJ473" s="356">
        <f>+EJ115*EJ178</f>
        <v>28199.994367581483</v>
      </c>
      <c r="EK473" s="327"/>
      <c r="EL473" s="327"/>
      <c r="EM473" s="327"/>
      <c r="EN473" s="453"/>
      <c r="EO473" s="327"/>
      <c r="EP473" s="327"/>
      <c r="EQ473" s="356">
        <f>+EQ115*EQ178</f>
        <v>28904.994226771018</v>
      </c>
    </row>
    <row r="474" spans="1:147" ht="10.199999999999999" hidden="1" customHeight="1" outlineLevel="1">
      <c r="A474" s="108" t="s">
        <v>368</v>
      </c>
      <c r="B474" s="86"/>
      <c r="C474" s="86">
        <f t="shared" ref="C474:N474" si="1623">+C116*C179</f>
        <v>0</v>
      </c>
      <c r="D474" s="86">
        <f t="shared" si="1623"/>
        <v>0</v>
      </c>
      <c r="E474" s="86">
        <f t="shared" si="1623"/>
        <v>0</v>
      </c>
      <c r="F474" s="86">
        <f t="shared" si="1623"/>
        <v>0</v>
      </c>
      <c r="G474" s="86">
        <f t="shared" si="1623"/>
        <v>0</v>
      </c>
      <c r="H474" s="86">
        <f t="shared" si="1623"/>
        <v>0</v>
      </c>
      <c r="I474" s="86">
        <f t="shared" si="1623"/>
        <v>0</v>
      </c>
      <c r="J474" s="86">
        <f t="shared" si="1623"/>
        <v>0</v>
      </c>
      <c r="K474" s="86">
        <f t="shared" si="1623"/>
        <v>0</v>
      </c>
      <c r="L474" s="86">
        <f t="shared" si="1623"/>
        <v>0</v>
      </c>
      <c r="M474" s="86">
        <f t="shared" si="1623"/>
        <v>0</v>
      </c>
      <c r="N474" s="86">
        <f t="shared" si="1623"/>
        <v>0</v>
      </c>
      <c r="O474" s="327"/>
      <c r="P474" s="327"/>
      <c r="Q474" s="327"/>
      <c r="R474" s="453"/>
      <c r="S474" s="327"/>
      <c r="T474" s="327"/>
      <c r="U474" s="356">
        <f>+U116*U179</f>
        <v>0</v>
      </c>
      <c r="V474" s="327"/>
      <c r="W474" s="327"/>
      <c r="X474" s="327"/>
      <c r="Y474" s="453"/>
      <c r="Z474" s="327"/>
      <c r="AA474" s="327"/>
      <c r="AB474" s="356">
        <f>+AB116*AB179</f>
        <v>0</v>
      </c>
      <c r="AC474" s="327"/>
      <c r="AD474" s="327"/>
      <c r="AE474" s="327"/>
      <c r="AF474" s="453"/>
      <c r="AG474" s="327"/>
      <c r="AH474" s="327"/>
      <c r="AI474" s="356">
        <f>+AI116*AI179</f>
        <v>0</v>
      </c>
      <c r="AJ474" s="327"/>
      <c r="AK474" s="327"/>
      <c r="AL474" s="327"/>
      <c r="AM474" s="453"/>
      <c r="AN474" s="327"/>
      <c r="AO474" s="327"/>
      <c r="AP474" s="356">
        <f>+AP116*AP179</f>
        <v>0</v>
      </c>
      <c r="AQ474" s="327"/>
      <c r="AR474" s="327"/>
      <c r="AS474" s="327"/>
      <c r="AT474" s="453"/>
      <c r="AU474" s="327"/>
      <c r="AV474" s="327"/>
      <c r="AW474" s="356">
        <f>+AW116*AW179</f>
        <v>2540</v>
      </c>
      <c r="AX474" s="327"/>
      <c r="AY474" s="327"/>
      <c r="AZ474" s="327"/>
      <c r="BA474" s="453"/>
      <c r="BB474" s="327"/>
      <c r="BC474" s="327"/>
      <c r="BD474" s="356">
        <f>+BD116*BD179</f>
        <v>2540</v>
      </c>
      <c r="BE474" s="327"/>
      <c r="BF474" s="327"/>
      <c r="BG474" s="327"/>
      <c r="BH474" s="453"/>
      <c r="BI474" s="327"/>
      <c r="BJ474" s="327"/>
      <c r="BK474" s="356">
        <f>+BK116*BK179</f>
        <v>13209</v>
      </c>
      <c r="BL474" s="327"/>
      <c r="BM474" s="327"/>
      <c r="BN474" s="327"/>
      <c r="BO474" s="453"/>
      <c r="BP474" s="327"/>
      <c r="BQ474" s="327"/>
      <c r="BR474" s="356">
        <f>+BR116*BR179</f>
        <v>22191.119999999999</v>
      </c>
      <c r="BS474" s="327"/>
      <c r="BT474" s="327"/>
      <c r="BU474" s="327"/>
      <c r="BV474" s="453"/>
      <c r="BW474" s="327"/>
      <c r="BX474" s="327"/>
      <c r="BY474" s="356">
        <f>+BY116*BY179</f>
        <v>23982.260399999999</v>
      </c>
      <c r="BZ474" s="327"/>
      <c r="CA474" s="327"/>
      <c r="CB474" s="327"/>
      <c r="CC474" s="453"/>
      <c r="CD474" s="327"/>
      <c r="CE474" s="327"/>
      <c r="CF474" s="356">
        <f>+CF116*CF179</f>
        <v>27347.860763999997</v>
      </c>
      <c r="CG474" s="327"/>
      <c r="CH474" s="327"/>
      <c r="CI474" s="327"/>
      <c r="CJ474" s="453"/>
      <c r="CK474" s="327"/>
      <c r="CL474" s="327"/>
      <c r="CM474" s="356">
        <f>+CM116*CM179</f>
        <v>37006.190686080001</v>
      </c>
      <c r="CN474" s="327"/>
      <c r="CO474" s="327"/>
      <c r="CP474" s="327"/>
      <c r="CQ474" s="453"/>
      <c r="CR474" s="327"/>
      <c r="CS474" s="327"/>
      <c r="CT474" s="356">
        <f>+CT116*CT179</f>
        <v>45990.705049808392</v>
      </c>
      <c r="CU474" s="327"/>
      <c r="CV474" s="327"/>
      <c r="CW474" s="327"/>
      <c r="CX474" s="453"/>
      <c r="CY474" s="327"/>
      <c r="CZ474" s="327"/>
      <c r="DA474" s="356">
        <f>+DA116*DA179</f>
        <v>53683.629766736114</v>
      </c>
      <c r="DB474" s="327"/>
      <c r="DC474" s="327"/>
      <c r="DD474" s="327"/>
      <c r="DE474" s="453"/>
      <c r="DF474" s="327"/>
      <c r="DG474" s="327"/>
      <c r="DH474" s="356">
        <f>+DH116*DH179</f>
        <v>58988.791794238357</v>
      </c>
      <c r="DI474" s="327"/>
      <c r="DJ474" s="327"/>
      <c r="DK474" s="327"/>
      <c r="DL474" s="453"/>
      <c r="DM474" s="327"/>
      <c r="DN474" s="327"/>
      <c r="DO474" s="356">
        <f>+DO116*DO179</f>
        <v>66314.567167935602</v>
      </c>
      <c r="DP474" s="327"/>
      <c r="DQ474" s="327"/>
      <c r="DR474" s="327"/>
      <c r="DS474" s="453"/>
      <c r="DT474" s="327"/>
      <c r="DU474" s="327"/>
      <c r="DV474" s="356">
        <f>+DV116*DV179</f>
        <v>82183.065406896741</v>
      </c>
      <c r="DW474" s="327"/>
      <c r="DX474" s="327"/>
      <c r="DY474" s="327"/>
      <c r="DZ474" s="453"/>
      <c r="EA474" s="327"/>
      <c r="EB474" s="327"/>
      <c r="EC474" s="356">
        <f>+EC116*EC179</f>
        <v>97333.409922558902</v>
      </c>
      <c r="ED474" s="327"/>
      <c r="EE474" s="327"/>
      <c r="EF474" s="327"/>
      <c r="EG474" s="453"/>
      <c r="EH474" s="327"/>
      <c r="EI474" s="327"/>
      <c r="EJ474" s="356">
        <f>+EJ116*EJ179</f>
        <v>101580.6859919069</v>
      </c>
      <c r="EK474" s="327"/>
      <c r="EL474" s="327"/>
      <c r="EM474" s="327"/>
      <c r="EN474" s="453"/>
      <c r="EO474" s="327"/>
      <c r="EP474" s="327"/>
      <c r="EQ474" s="356">
        <f>+EQ116*EQ179</f>
        <v>104120.20314170457</v>
      </c>
    </row>
    <row r="475" spans="1:147" ht="10.199999999999999" hidden="1" customHeight="1" outlineLevel="1">
      <c r="A475" s="43" t="s">
        <v>198</v>
      </c>
      <c r="B475" s="86"/>
      <c r="C475" s="86">
        <f t="shared" ref="C475:N475" si="1624">+C121*C180</f>
        <v>2065.6447064806143</v>
      </c>
      <c r="D475" s="86">
        <f t="shared" si="1624"/>
        <v>4717.416098425103</v>
      </c>
      <c r="E475" s="86">
        <f t="shared" si="1624"/>
        <v>2527.0935960591137</v>
      </c>
      <c r="F475" s="86">
        <f t="shared" si="1624"/>
        <v>3105</v>
      </c>
      <c r="G475" s="86">
        <f t="shared" si="1624"/>
        <v>4247.7749999999996</v>
      </c>
      <c r="H475" s="86">
        <f t="shared" si="1624"/>
        <v>5424.1346249999988</v>
      </c>
      <c r="I475" s="86">
        <f t="shared" si="1624"/>
        <v>5928.996386249999</v>
      </c>
      <c r="J475" s="86">
        <f t="shared" si="1624"/>
        <v>7020.9198873843725</v>
      </c>
      <c r="K475" s="86">
        <f t="shared" si="1624"/>
        <v>5526.4669399268414</v>
      </c>
      <c r="L475" s="86">
        <f t="shared" si="1624"/>
        <v>7081.8</v>
      </c>
      <c r="M475" s="86">
        <f t="shared" si="1624"/>
        <v>8032</v>
      </c>
      <c r="N475" s="86">
        <f t="shared" si="1624"/>
        <v>9452.25</v>
      </c>
      <c r="O475" s="327"/>
      <c r="P475" s="327"/>
      <c r="Q475" s="327"/>
      <c r="R475" s="453"/>
      <c r="S475" s="327"/>
      <c r="T475" s="327"/>
      <c r="U475" s="356">
        <f>+U121*U180</f>
        <v>11097.6</v>
      </c>
      <c r="V475" s="327"/>
      <c r="W475" s="327"/>
      <c r="X475" s="327"/>
      <c r="Y475" s="453"/>
      <c r="Z475" s="327"/>
      <c r="AA475" s="327"/>
      <c r="AB475" s="356">
        <f>+AB121*AB180</f>
        <v>7367.25</v>
      </c>
      <c r="AC475" s="327"/>
      <c r="AD475" s="327"/>
      <c r="AE475" s="327"/>
      <c r="AF475" s="453"/>
      <c r="AG475" s="327"/>
      <c r="AH475" s="327"/>
      <c r="AI475" s="356">
        <f>+AI121*AI180</f>
        <v>7557</v>
      </c>
      <c r="AJ475" s="327"/>
      <c r="AK475" s="327"/>
      <c r="AL475" s="327"/>
      <c r="AM475" s="453"/>
      <c r="AN475" s="327"/>
      <c r="AO475" s="327"/>
      <c r="AP475" s="356">
        <f>+AP121*AP180</f>
        <v>5556</v>
      </c>
      <c r="AQ475" s="327"/>
      <c r="AR475" s="327"/>
      <c r="AS475" s="327"/>
      <c r="AT475" s="453"/>
      <c r="AU475" s="327"/>
      <c r="AV475" s="327"/>
      <c r="AW475" s="356">
        <f>+AW121*AW180</f>
        <v>4208.4000000000005</v>
      </c>
      <c r="AX475" s="327"/>
      <c r="AY475" s="327"/>
      <c r="AZ475" s="327"/>
      <c r="BA475" s="453"/>
      <c r="BB475" s="327"/>
      <c r="BC475" s="327"/>
      <c r="BD475" s="356">
        <f>+BD121*BD180</f>
        <v>4208.4000000000005</v>
      </c>
      <c r="BE475" s="327"/>
      <c r="BF475" s="327"/>
      <c r="BG475" s="327"/>
      <c r="BH475" s="453"/>
      <c r="BI475" s="327"/>
      <c r="BJ475" s="327"/>
      <c r="BK475" s="356">
        <f>+BK121*BK180</f>
        <v>3339</v>
      </c>
      <c r="BL475" s="327"/>
      <c r="BM475" s="327"/>
      <c r="BN475" s="327"/>
      <c r="BO475" s="453"/>
      <c r="BP475" s="327"/>
      <c r="BQ475" s="327"/>
      <c r="BR475" s="356">
        <f>+BR121*BR180</f>
        <v>1702.89</v>
      </c>
      <c r="BS475" s="327"/>
      <c r="BT475" s="327"/>
      <c r="BU475" s="327"/>
      <c r="BV475" s="453"/>
      <c r="BW475" s="327"/>
      <c r="BX475" s="327"/>
      <c r="BY475" s="356">
        <f>+BY121*BY180</f>
        <v>1240.6770000000001</v>
      </c>
      <c r="BZ475" s="327"/>
      <c r="CA475" s="327"/>
      <c r="CB475" s="327"/>
      <c r="CC475" s="453"/>
      <c r="CD475" s="327"/>
      <c r="CE475" s="327"/>
      <c r="CF475" s="356">
        <f>+CF121*CF180</f>
        <v>759.29432399999996</v>
      </c>
      <c r="CG475" s="327"/>
      <c r="CH475" s="327"/>
      <c r="CI475" s="327"/>
      <c r="CJ475" s="453"/>
      <c r="CK475" s="327"/>
      <c r="CL475" s="327"/>
      <c r="CM475" s="356">
        <f>+CM121*CM180</f>
        <v>1290.8003507999999</v>
      </c>
      <c r="CN475" s="327"/>
      <c r="CO475" s="327"/>
      <c r="CP475" s="327"/>
      <c r="CQ475" s="453"/>
      <c r="CR475" s="327"/>
      <c r="CS475" s="327"/>
      <c r="CT475" s="356">
        <f>+CT121*CT180</f>
        <v>801.58701784679988</v>
      </c>
      <c r="CU475" s="327"/>
      <c r="CV475" s="327"/>
      <c r="CW475" s="327"/>
      <c r="CX475" s="453"/>
      <c r="CY475" s="327"/>
      <c r="CZ475" s="327"/>
      <c r="DA475" s="356">
        <f>+DA121*DA180</f>
        <v>547.75112886197985</v>
      </c>
      <c r="DB475" s="327"/>
      <c r="DC475" s="327"/>
      <c r="DD475" s="327"/>
      <c r="DE475" s="453"/>
      <c r="DF475" s="327"/>
      <c r="DG475" s="327"/>
      <c r="DH475" s="356">
        <f>+DH121*DH180</f>
        <v>561.4449070835293</v>
      </c>
      <c r="DI475" s="327"/>
      <c r="DJ475" s="327"/>
      <c r="DK475" s="327"/>
      <c r="DL475" s="453"/>
      <c r="DM475" s="327"/>
      <c r="DN475" s="327"/>
      <c r="DO475" s="356">
        <f>+DO121*DO180</f>
        <v>575.4810297606175</v>
      </c>
      <c r="DP475" s="327"/>
      <c r="DQ475" s="327"/>
      <c r="DR475" s="327"/>
      <c r="DS475" s="453"/>
      <c r="DT475" s="327"/>
      <c r="DU475" s="327"/>
      <c r="DV475" s="356">
        <f>+DV121*DV180</f>
        <v>589.86805550463293</v>
      </c>
      <c r="DW475" s="327"/>
      <c r="DX475" s="327"/>
      <c r="DY475" s="327"/>
      <c r="DZ475" s="453"/>
      <c r="EA475" s="327"/>
      <c r="EB475" s="327"/>
      <c r="EC475" s="356">
        <f>+EC121*EC180</f>
        <v>604.61475689224869</v>
      </c>
      <c r="ED475" s="327"/>
      <c r="EE475" s="327"/>
      <c r="EF475" s="327"/>
      <c r="EG475" s="453"/>
      <c r="EH475" s="327"/>
      <c r="EI475" s="327"/>
      <c r="EJ475" s="356">
        <f>+EJ121*EJ180</f>
        <v>619.73012581455487</v>
      </c>
      <c r="EK475" s="327"/>
      <c r="EL475" s="327"/>
      <c r="EM475" s="327"/>
      <c r="EN475" s="453"/>
      <c r="EO475" s="327"/>
      <c r="EP475" s="327"/>
      <c r="EQ475" s="356">
        <f>+EQ121*EQ180</f>
        <v>635.2233789599187</v>
      </c>
    </row>
    <row r="476" spans="1:147" ht="10.199999999999999" hidden="1" customHeight="1" outlineLevel="1">
      <c r="A476" s="43" t="s">
        <v>199</v>
      </c>
      <c r="B476" s="86"/>
      <c r="C476" s="86">
        <f t="shared" ref="C476:N476" si="1625">+C122*C181</f>
        <v>2725.5034321619219</v>
      </c>
      <c r="D476" s="86">
        <f t="shared" si="1625"/>
        <v>873.59557378242653</v>
      </c>
      <c r="E476" s="86">
        <f t="shared" si="1625"/>
        <v>1773.3990147783254</v>
      </c>
      <c r="F476" s="86">
        <f t="shared" si="1625"/>
        <v>3600</v>
      </c>
      <c r="G476" s="86">
        <f t="shared" si="1625"/>
        <v>3806.2499999999991</v>
      </c>
      <c r="H476" s="86">
        <f t="shared" si="1625"/>
        <v>3554.2762499999994</v>
      </c>
      <c r="I476" s="86">
        <f t="shared" si="1625"/>
        <v>4078.1456624999992</v>
      </c>
      <c r="J476" s="86">
        <f t="shared" si="1625"/>
        <v>3661.704249656249</v>
      </c>
      <c r="K476" s="86">
        <f t="shared" si="1625"/>
        <v>6140.5188221409353</v>
      </c>
      <c r="L476" s="86">
        <f t="shared" si="1625"/>
        <v>10620</v>
      </c>
      <c r="M476" s="86">
        <f t="shared" si="1625"/>
        <v>10457.5</v>
      </c>
      <c r="N476" s="86">
        <f t="shared" si="1625"/>
        <v>12941.6</v>
      </c>
      <c r="O476" s="327"/>
      <c r="P476" s="327"/>
      <c r="Q476" s="327"/>
      <c r="R476" s="453"/>
      <c r="S476" s="327"/>
      <c r="T476" s="327"/>
      <c r="U476" s="356">
        <f>+U122*U181</f>
        <v>13645.800000000001</v>
      </c>
      <c r="V476" s="327"/>
      <c r="W476" s="327"/>
      <c r="X476" s="327"/>
      <c r="Y476" s="453"/>
      <c r="Z476" s="327"/>
      <c r="AA476" s="327"/>
      <c r="AB476" s="356">
        <f>+AB122*AB181</f>
        <v>18420</v>
      </c>
      <c r="AC476" s="327"/>
      <c r="AD476" s="327"/>
      <c r="AE476" s="327"/>
      <c r="AF476" s="453"/>
      <c r="AG476" s="327"/>
      <c r="AH476" s="327"/>
      <c r="AI476" s="356">
        <f>+AI122*AI181</f>
        <v>17759</v>
      </c>
      <c r="AJ476" s="327"/>
      <c r="AK476" s="327"/>
      <c r="AL476" s="327"/>
      <c r="AM476" s="453"/>
      <c r="AN476" s="327"/>
      <c r="AO476" s="327"/>
      <c r="AP476" s="356">
        <f>+AP122*AP181</f>
        <v>10768.8</v>
      </c>
      <c r="AQ476" s="327"/>
      <c r="AR476" s="327"/>
      <c r="AS476" s="327"/>
      <c r="AT476" s="453"/>
      <c r="AU476" s="327"/>
      <c r="AV476" s="327"/>
      <c r="AW476" s="356">
        <f>+AW122*AW181</f>
        <v>12691</v>
      </c>
      <c r="AX476" s="327"/>
      <c r="AY476" s="327"/>
      <c r="AZ476" s="327"/>
      <c r="BA476" s="453"/>
      <c r="BB476" s="327"/>
      <c r="BC476" s="327"/>
      <c r="BD476" s="356">
        <f>+BD122*BD181</f>
        <v>12691</v>
      </c>
      <c r="BE476" s="327"/>
      <c r="BF476" s="327"/>
      <c r="BG476" s="327"/>
      <c r="BH476" s="453"/>
      <c r="BI476" s="327"/>
      <c r="BJ476" s="327"/>
      <c r="BK476" s="356">
        <f>+BK122*BK181</f>
        <v>8454.4</v>
      </c>
      <c r="BL476" s="327"/>
      <c r="BM476" s="327"/>
      <c r="BN476" s="327"/>
      <c r="BO476" s="453"/>
      <c r="BP476" s="327"/>
      <c r="BQ476" s="327"/>
      <c r="BR476" s="356">
        <f>+BR122*BR181</f>
        <v>1347.4199999999998</v>
      </c>
      <c r="BS476" s="327"/>
      <c r="BT476" s="327"/>
      <c r="BU476" s="327"/>
      <c r="BV476" s="453"/>
      <c r="BW476" s="327"/>
      <c r="BX476" s="327"/>
      <c r="BY476" s="356">
        <f>+BY122*BY181</f>
        <v>274.87367999999998</v>
      </c>
      <c r="BZ476" s="327"/>
      <c r="CA476" s="327"/>
      <c r="CB476" s="327"/>
      <c r="CC476" s="453"/>
      <c r="CD476" s="327"/>
      <c r="CE476" s="327"/>
      <c r="CF476" s="356">
        <f>+CF122*CF181</f>
        <v>280.37115359999996</v>
      </c>
      <c r="CG476" s="327"/>
      <c r="CH476" s="327"/>
      <c r="CI476" s="327"/>
      <c r="CJ476" s="453"/>
      <c r="CK476" s="327"/>
      <c r="CL476" s="327"/>
      <c r="CM476" s="356">
        <f>+CM122*CM181</f>
        <v>1143.9143066879999</v>
      </c>
      <c r="CN476" s="327"/>
      <c r="CO476" s="327"/>
      <c r="CP476" s="327"/>
      <c r="CQ476" s="453"/>
      <c r="CR476" s="327"/>
      <c r="CS476" s="327"/>
      <c r="CT476" s="356">
        <f>+CT122*CT181</f>
        <v>0</v>
      </c>
      <c r="CU476" s="327"/>
      <c r="CV476" s="327"/>
      <c r="CW476" s="327"/>
      <c r="CX476" s="453"/>
      <c r="CY476" s="327"/>
      <c r="CZ476" s="327"/>
      <c r="DA476" s="356">
        <f>+DA122*DA181</f>
        <v>0</v>
      </c>
      <c r="DB476" s="327"/>
      <c r="DC476" s="327"/>
      <c r="DD476" s="327"/>
      <c r="DE476" s="453"/>
      <c r="DF476" s="327"/>
      <c r="DG476" s="327"/>
      <c r="DH476" s="356">
        <f>+DH122*DH181</f>
        <v>0</v>
      </c>
      <c r="DI476" s="327"/>
      <c r="DJ476" s="327"/>
      <c r="DK476" s="327"/>
      <c r="DL476" s="453"/>
      <c r="DM476" s="327"/>
      <c r="DN476" s="327"/>
      <c r="DO476" s="356">
        <f>+DO122*DO181</f>
        <v>318.74651585483258</v>
      </c>
      <c r="DP476" s="327"/>
      <c r="DQ476" s="327"/>
      <c r="DR476" s="327"/>
      <c r="DS476" s="453"/>
      <c r="DT476" s="327"/>
      <c r="DU476" s="327"/>
      <c r="DV476" s="356">
        <f>+DV122*DV181</f>
        <v>326.71517875120338</v>
      </c>
      <c r="DW476" s="327"/>
      <c r="DX476" s="327"/>
      <c r="DY476" s="327"/>
      <c r="DZ476" s="453"/>
      <c r="EA476" s="327"/>
      <c r="EB476" s="327"/>
      <c r="EC476" s="356">
        <f>+EC122*EC181</f>
        <v>334.88305821998341</v>
      </c>
      <c r="ED476" s="327"/>
      <c r="EE476" s="327"/>
      <c r="EF476" s="327"/>
      <c r="EG476" s="453"/>
      <c r="EH476" s="327"/>
      <c r="EI476" s="327"/>
      <c r="EJ476" s="356">
        <f>+EJ122*EJ181</f>
        <v>343.25513467548296</v>
      </c>
      <c r="EK476" s="327"/>
      <c r="EL476" s="327"/>
      <c r="EM476" s="327"/>
      <c r="EN476" s="453"/>
      <c r="EO476" s="327"/>
      <c r="EP476" s="327"/>
      <c r="EQ476" s="356">
        <f>+EQ122*EQ181</f>
        <v>351.83651304237003</v>
      </c>
    </row>
    <row r="477" spans="1:147" ht="10.199999999999999" hidden="1" customHeight="1" outlineLevel="1">
      <c r="A477" s="108" t="s">
        <v>384</v>
      </c>
      <c r="B477" s="86"/>
      <c r="C477" s="86">
        <f t="shared" ref="C477:N477" si="1626">+C182*C125</f>
        <v>0</v>
      </c>
      <c r="D477" s="86">
        <f t="shared" si="1626"/>
        <v>0</v>
      </c>
      <c r="E477" s="86">
        <f t="shared" si="1626"/>
        <v>0</v>
      </c>
      <c r="F477" s="86">
        <f t="shared" si="1626"/>
        <v>0</v>
      </c>
      <c r="G477" s="86">
        <f t="shared" si="1626"/>
        <v>0</v>
      </c>
      <c r="H477" s="86">
        <f t="shared" si="1626"/>
        <v>0</v>
      </c>
      <c r="I477" s="86">
        <f t="shared" si="1626"/>
        <v>0</v>
      </c>
      <c r="J477" s="86">
        <f t="shared" si="1626"/>
        <v>0</v>
      </c>
      <c r="K477" s="86">
        <f t="shared" si="1626"/>
        <v>0</v>
      </c>
      <c r="L477" s="86">
        <f t="shared" si="1626"/>
        <v>0</v>
      </c>
      <c r="M477" s="86">
        <f t="shared" si="1626"/>
        <v>0</v>
      </c>
      <c r="N477" s="86">
        <f t="shared" si="1626"/>
        <v>0</v>
      </c>
      <c r="O477" s="327"/>
      <c r="P477" s="327"/>
      <c r="Q477" s="327"/>
      <c r="R477" s="453"/>
      <c r="S477" s="327"/>
      <c r="T477" s="327"/>
      <c r="U477" s="356">
        <f>+U182*U125</f>
        <v>0</v>
      </c>
      <c r="V477" s="327"/>
      <c r="W477" s="327"/>
      <c r="X477" s="327"/>
      <c r="Y477" s="453"/>
      <c r="Z477" s="327"/>
      <c r="AA477" s="327"/>
      <c r="AB477" s="356">
        <f>+AB182*AB125</f>
        <v>0</v>
      </c>
      <c r="AC477" s="327"/>
      <c r="AD477" s="327"/>
      <c r="AE477" s="327"/>
      <c r="AF477" s="453"/>
      <c r="AG477" s="327"/>
      <c r="AH477" s="327"/>
      <c r="AI477" s="356">
        <f>+AI182*AI125</f>
        <v>0</v>
      </c>
      <c r="AJ477" s="327"/>
      <c r="AK477" s="327"/>
      <c r="AL477" s="327"/>
      <c r="AM477" s="453"/>
      <c r="AN477" s="327"/>
      <c r="AO477" s="327"/>
      <c r="AP477" s="356">
        <f>+AP182*AP125</f>
        <v>0</v>
      </c>
      <c r="AQ477" s="327"/>
      <c r="AR477" s="327"/>
      <c r="AS477" s="327"/>
      <c r="AT477" s="453"/>
      <c r="AU477" s="327"/>
      <c r="AV477" s="327"/>
      <c r="AW477" s="356">
        <f>+AW182*AW125</f>
        <v>0</v>
      </c>
      <c r="AX477" s="327"/>
      <c r="AY477" s="327"/>
      <c r="AZ477" s="327"/>
      <c r="BA477" s="453"/>
      <c r="BB477" s="327"/>
      <c r="BC477" s="327"/>
      <c r="BD477" s="356">
        <f>+BD182*BD125</f>
        <v>0</v>
      </c>
      <c r="BE477" s="327"/>
      <c r="BF477" s="327"/>
      <c r="BG477" s="327"/>
      <c r="BH477" s="453"/>
      <c r="BI477" s="327"/>
      <c r="BJ477" s="327"/>
      <c r="BK477" s="356">
        <f>+BK182*BK125</f>
        <v>0</v>
      </c>
      <c r="BL477" s="327"/>
      <c r="BM477" s="327"/>
      <c r="BN477" s="327"/>
      <c r="BO477" s="453"/>
      <c r="BP477" s="327"/>
      <c r="BQ477" s="327"/>
      <c r="BR477" s="356">
        <f>+BR182*BR125</f>
        <v>0</v>
      </c>
      <c r="BS477" s="327"/>
      <c r="BT477" s="327"/>
      <c r="BU477" s="327"/>
      <c r="BV477" s="453"/>
      <c r="BW477" s="327"/>
      <c r="BX477" s="327"/>
      <c r="BY477" s="356">
        <f>+BY182*BY125</f>
        <v>811.19987999999989</v>
      </c>
      <c r="BZ477" s="327"/>
      <c r="CA477" s="327"/>
      <c r="CB477" s="327"/>
      <c r="CC477" s="453"/>
      <c r="CD477" s="327"/>
      <c r="CE477" s="327"/>
      <c r="CF477" s="356">
        <f>+CF182*CF125</f>
        <v>275.80795919999997</v>
      </c>
      <c r="CG477" s="327"/>
      <c r="CH477" s="327"/>
      <c r="CI477" s="327"/>
      <c r="CJ477" s="453"/>
      <c r="CK477" s="327"/>
      <c r="CL477" s="327"/>
      <c r="CM477" s="356">
        <f>+CM182*CM125</f>
        <v>843.97235515199986</v>
      </c>
      <c r="CN477" s="327"/>
      <c r="CO477" s="327"/>
      <c r="CP477" s="327"/>
      <c r="CQ477" s="453"/>
      <c r="CR477" s="327"/>
      <c r="CS477" s="327"/>
      <c r="CT477" s="356">
        <f>+CT182*CT125</f>
        <v>0</v>
      </c>
      <c r="CU477" s="327"/>
      <c r="CV477" s="327"/>
      <c r="CW477" s="327"/>
      <c r="CX477" s="453"/>
      <c r="CY477" s="327"/>
      <c r="CZ477" s="327"/>
      <c r="DA477" s="356">
        <f>+DA182*DA125</f>
        <v>0</v>
      </c>
      <c r="DB477" s="327"/>
      <c r="DC477" s="327"/>
      <c r="DD477" s="327"/>
      <c r="DE477" s="453"/>
      <c r="DF477" s="327"/>
      <c r="DG477" s="327"/>
      <c r="DH477" s="356">
        <f>+DH182*DH125</f>
        <v>305.91096719289152</v>
      </c>
      <c r="DI477" s="327"/>
      <c r="DJ477" s="327"/>
      <c r="DK477" s="327"/>
      <c r="DL477" s="453"/>
      <c r="DM477" s="327"/>
      <c r="DN477" s="327"/>
      <c r="DO477" s="356">
        <f>+DO182*DO125</f>
        <v>1254.2349654908551</v>
      </c>
      <c r="DP477" s="327"/>
      <c r="DQ477" s="327"/>
      <c r="DR477" s="327"/>
      <c r="DS477" s="453"/>
      <c r="DT477" s="327"/>
      <c r="DU477" s="327"/>
      <c r="DV477" s="356">
        <f>+DV182*DV125</f>
        <v>1285.5908396281263</v>
      </c>
      <c r="DW477" s="327"/>
      <c r="DX477" s="327"/>
      <c r="DY477" s="327"/>
      <c r="DZ477" s="453"/>
      <c r="EA477" s="327"/>
      <c r="EB477" s="327"/>
      <c r="EC477" s="356">
        <f>+EC182*EC125</f>
        <v>1317.7306106188294</v>
      </c>
      <c r="ED477" s="327"/>
      <c r="EE477" s="327"/>
      <c r="EF477" s="327"/>
      <c r="EG477" s="453"/>
      <c r="EH477" s="327"/>
      <c r="EI477" s="327"/>
      <c r="EJ477" s="356">
        <f>+EJ182*EJ125</f>
        <v>1350.6738758843001</v>
      </c>
      <c r="EK477" s="327"/>
      <c r="EL477" s="327"/>
      <c r="EM477" s="327"/>
      <c r="EN477" s="453"/>
      <c r="EO477" s="327"/>
      <c r="EP477" s="327"/>
      <c r="EQ477" s="356">
        <f>+EQ182*EQ125</f>
        <v>1384.4407227814074</v>
      </c>
    </row>
    <row r="478" spans="1:147" ht="10.199999999999999" hidden="1" customHeight="1" outlineLevel="1">
      <c r="A478" s="108" t="s">
        <v>385</v>
      </c>
      <c r="B478" s="86"/>
      <c r="C478" s="86">
        <f t="shared" ref="C478:N478" si="1627">+C183*C126</f>
        <v>0</v>
      </c>
      <c r="D478" s="86">
        <f t="shared" si="1627"/>
        <v>0</v>
      </c>
      <c r="E478" s="86">
        <f t="shared" si="1627"/>
        <v>0</v>
      </c>
      <c r="F478" s="86">
        <f t="shared" si="1627"/>
        <v>0</v>
      </c>
      <c r="G478" s="86">
        <f t="shared" si="1627"/>
        <v>0</v>
      </c>
      <c r="H478" s="86">
        <f t="shared" si="1627"/>
        <v>0</v>
      </c>
      <c r="I478" s="86">
        <f t="shared" si="1627"/>
        <v>0</v>
      </c>
      <c r="J478" s="86">
        <f t="shared" si="1627"/>
        <v>0</v>
      </c>
      <c r="K478" s="86">
        <f t="shared" si="1627"/>
        <v>0</v>
      </c>
      <c r="L478" s="86">
        <f t="shared" si="1627"/>
        <v>0</v>
      </c>
      <c r="M478" s="86">
        <f t="shared" si="1627"/>
        <v>0</v>
      </c>
      <c r="N478" s="86">
        <f t="shared" si="1627"/>
        <v>0</v>
      </c>
      <c r="O478" s="327"/>
      <c r="P478" s="327"/>
      <c r="Q478" s="327"/>
      <c r="R478" s="453"/>
      <c r="S478" s="327"/>
      <c r="T478" s="327"/>
      <c r="U478" s="356">
        <f>+U183*U126</f>
        <v>0</v>
      </c>
      <c r="V478" s="327"/>
      <c r="W478" s="327"/>
      <c r="X478" s="327"/>
      <c r="Y478" s="453"/>
      <c r="Z478" s="327"/>
      <c r="AA478" s="327"/>
      <c r="AB478" s="356">
        <f>+AB183*AB126</f>
        <v>0</v>
      </c>
      <c r="AC478" s="327"/>
      <c r="AD478" s="327"/>
      <c r="AE478" s="327"/>
      <c r="AF478" s="453"/>
      <c r="AG478" s="327"/>
      <c r="AH478" s="327"/>
      <c r="AI478" s="356">
        <f>+AI183*AI126</f>
        <v>0</v>
      </c>
      <c r="AJ478" s="327"/>
      <c r="AK478" s="327"/>
      <c r="AL478" s="327"/>
      <c r="AM478" s="453"/>
      <c r="AN478" s="327"/>
      <c r="AO478" s="327"/>
      <c r="AP478" s="356">
        <f>+AP183*AP126</f>
        <v>0</v>
      </c>
      <c r="AQ478" s="327"/>
      <c r="AR478" s="327"/>
      <c r="AS478" s="327"/>
      <c r="AT478" s="453"/>
      <c r="AU478" s="327"/>
      <c r="AV478" s="327"/>
      <c r="AW478" s="356">
        <f>+AW183*AW126</f>
        <v>0</v>
      </c>
      <c r="AX478" s="327"/>
      <c r="AY478" s="327"/>
      <c r="AZ478" s="327"/>
      <c r="BA478" s="453"/>
      <c r="BB478" s="327"/>
      <c r="BC478" s="327"/>
      <c r="BD478" s="356">
        <f>+BD183*BD126</f>
        <v>0</v>
      </c>
      <c r="BE478" s="327"/>
      <c r="BF478" s="327"/>
      <c r="BG478" s="327"/>
      <c r="BH478" s="453"/>
      <c r="BI478" s="327"/>
      <c r="BJ478" s="327"/>
      <c r="BK478" s="356">
        <f>+BK183*BK126</f>
        <v>889.19999999999993</v>
      </c>
      <c r="BL478" s="327"/>
      <c r="BM478" s="327"/>
      <c r="BN478" s="327"/>
      <c r="BO478" s="453"/>
      <c r="BP478" s="327"/>
      <c r="BQ478" s="327"/>
      <c r="BR478" s="356">
        <f>+BR183*BR126</f>
        <v>12395.447999999999</v>
      </c>
      <c r="BS478" s="327"/>
      <c r="BT478" s="327"/>
      <c r="BU478" s="327"/>
      <c r="BV478" s="453"/>
      <c r="BW478" s="327"/>
      <c r="BX478" s="327"/>
      <c r="BY478" s="356">
        <f>+BY183*BY126</f>
        <v>3083.7455999999997</v>
      </c>
      <c r="BZ478" s="327"/>
      <c r="CA478" s="327"/>
      <c r="CB478" s="327"/>
      <c r="CC478" s="453"/>
      <c r="CD478" s="327"/>
      <c r="CE478" s="327"/>
      <c r="CF478" s="356">
        <f>+CF183*CF126</f>
        <v>4089.0466655999999</v>
      </c>
      <c r="CG478" s="327"/>
      <c r="CH478" s="327"/>
      <c r="CI478" s="327"/>
      <c r="CJ478" s="453"/>
      <c r="CK478" s="327"/>
      <c r="CL478" s="327"/>
      <c r="CM478" s="356">
        <f>+CM183*CM126</f>
        <v>6416.6578444800007</v>
      </c>
      <c r="CN478" s="327"/>
      <c r="CO478" s="327"/>
      <c r="CP478" s="327"/>
      <c r="CQ478" s="453"/>
      <c r="CR478" s="327"/>
      <c r="CS478" s="327"/>
      <c r="CT478" s="356">
        <f>+CT183*CT126</f>
        <v>9629.7992601033602</v>
      </c>
      <c r="CU478" s="327"/>
      <c r="CV478" s="327"/>
      <c r="CW478" s="327"/>
      <c r="CX478" s="453"/>
      <c r="CY478" s="327"/>
      <c r="CZ478" s="327"/>
      <c r="DA478" s="356">
        <f>+DA183*DA126</f>
        <v>10210.907836144079</v>
      </c>
      <c r="DB478" s="327"/>
      <c r="DC478" s="327"/>
      <c r="DD478" s="327"/>
      <c r="DE478" s="453"/>
      <c r="DF478" s="327"/>
      <c r="DG478" s="327"/>
      <c r="DH478" s="356">
        <f>+DH183*DH126</f>
        <v>11512.798585252447</v>
      </c>
      <c r="DI478" s="327"/>
      <c r="DJ478" s="327"/>
      <c r="DK478" s="327"/>
      <c r="DL478" s="453"/>
      <c r="DM478" s="327"/>
      <c r="DN478" s="327"/>
      <c r="DO478" s="356">
        <f>+DO183*DO126</f>
        <v>10370.240543837241</v>
      </c>
      <c r="DP478" s="327"/>
      <c r="DQ478" s="327"/>
      <c r="DR478" s="327"/>
      <c r="DS478" s="453"/>
      <c r="DT478" s="327"/>
      <c r="DU478" s="327"/>
      <c r="DV478" s="356">
        <f>+DV183*DV126</f>
        <v>10629.496557433171</v>
      </c>
      <c r="DW478" s="327"/>
      <c r="DX478" s="327"/>
      <c r="DY478" s="327"/>
      <c r="DZ478" s="453"/>
      <c r="EA478" s="327"/>
      <c r="EB478" s="327"/>
      <c r="EC478" s="356">
        <f>+EC183*EC126</f>
        <v>10895.233971369</v>
      </c>
      <c r="ED478" s="327"/>
      <c r="EE478" s="327"/>
      <c r="EF478" s="327"/>
      <c r="EG478" s="453"/>
      <c r="EH478" s="327"/>
      <c r="EI478" s="327"/>
      <c r="EJ478" s="356">
        <f>+EJ183*EJ126</f>
        <v>11167.614820653223</v>
      </c>
      <c r="EK478" s="327"/>
      <c r="EL478" s="327"/>
      <c r="EM478" s="327"/>
      <c r="EN478" s="453"/>
      <c r="EO478" s="327"/>
      <c r="EP478" s="327"/>
      <c r="EQ478" s="356">
        <f>+EQ183*EQ126</f>
        <v>13617.751003287918</v>
      </c>
    </row>
    <row r="479" spans="1:147" ht="10.199999999999999" hidden="1" customHeight="1" outlineLevel="1">
      <c r="A479" s="108" t="str">
        <f>+A184</f>
        <v>A340-300</v>
      </c>
      <c r="B479" s="86"/>
      <c r="C479" s="86">
        <f t="shared" ref="C479:N479" si="1628">+C184*C131</f>
        <v>3366.2358179684084</v>
      </c>
      <c r="D479" s="86">
        <f t="shared" si="1628"/>
        <v>1242.4470382683396</v>
      </c>
      <c r="E479" s="86">
        <f t="shared" si="1628"/>
        <v>1576.3546798029556</v>
      </c>
      <c r="F479" s="86">
        <f t="shared" si="1628"/>
        <v>1280</v>
      </c>
      <c r="G479" s="86">
        <f t="shared" si="1628"/>
        <v>1136.7999999999997</v>
      </c>
      <c r="H479" s="86">
        <f t="shared" si="1628"/>
        <v>824.17999999999984</v>
      </c>
      <c r="I479" s="86">
        <f t="shared" si="1628"/>
        <v>334.61707999999987</v>
      </c>
      <c r="J479" s="86">
        <f t="shared" si="1628"/>
        <v>339.63633619999985</v>
      </c>
      <c r="K479" s="86">
        <f t="shared" si="1628"/>
        <v>0</v>
      </c>
      <c r="L479" s="86">
        <f t="shared" si="1628"/>
        <v>0</v>
      </c>
      <c r="M479" s="86">
        <f t="shared" si="1628"/>
        <v>0</v>
      </c>
      <c r="N479" s="86">
        <f t="shared" si="1628"/>
        <v>0</v>
      </c>
      <c r="O479" s="327"/>
      <c r="P479" s="327"/>
      <c r="Q479" s="327"/>
      <c r="R479" s="453"/>
      <c r="S479" s="327"/>
      <c r="T479" s="327"/>
      <c r="U479" s="356">
        <f>+U184*U131</f>
        <v>0</v>
      </c>
      <c r="V479" s="327"/>
      <c r="W479" s="327"/>
      <c r="X479" s="327"/>
      <c r="Y479" s="453"/>
      <c r="Z479" s="327"/>
      <c r="AA479" s="327"/>
      <c r="AB479" s="356">
        <f>+AB184*AB131</f>
        <v>0</v>
      </c>
      <c r="AC479" s="327"/>
      <c r="AD479" s="327"/>
      <c r="AE479" s="327"/>
      <c r="AF479" s="453"/>
      <c r="AG479" s="327"/>
      <c r="AH479" s="327"/>
      <c r="AI479" s="356">
        <f>+AI184*AI131</f>
        <v>0</v>
      </c>
      <c r="AJ479" s="327"/>
      <c r="AK479" s="327"/>
      <c r="AL479" s="327"/>
      <c r="AM479" s="453"/>
      <c r="AN479" s="327"/>
      <c r="AO479" s="327"/>
      <c r="AP479" s="356">
        <f>+AP184*AP131</f>
        <v>0</v>
      </c>
      <c r="AQ479" s="327"/>
      <c r="AR479" s="327"/>
      <c r="AS479" s="327"/>
      <c r="AT479" s="453"/>
      <c r="AU479" s="327"/>
      <c r="AV479" s="327"/>
      <c r="AW479" s="356">
        <f>+AW184*AW131</f>
        <v>0</v>
      </c>
      <c r="AX479" s="327"/>
      <c r="AY479" s="327"/>
      <c r="AZ479" s="327"/>
      <c r="BA479" s="453"/>
      <c r="BB479" s="327"/>
      <c r="BC479" s="327"/>
      <c r="BD479" s="356">
        <f>+BD184*BD131</f>
        <v>0</v>
      </c>
      <c r="BE479" s="327"/>
      <c r="BF479" s="327"/>
      <c r="BG479" s="327"/>
      <c r="BH479" s="453"/>
      <c r="BI479" s="327"/>
      <c r="BJ479" s="327"/>
      <c r="BK479" s="356">
        <f>+BK184*BK131</f>
        <v>0</v>
      </c>
      <c r="BL479" s="327"/>
      <c r="BM479" s="327"/>
      <c r="BN479" s="327"/>
      <c r="BO479" s="453"/>
      <c r="BP479" s="327"/>
      <c r="BQ479" s="327"/>
      <c r="BR479" s="356">
        <f>+BR184*BR131</f>
        <v>0</v>
      </c>
      <c r="BS479" s="327"/>
      <c r="BT479" s="327"/>
      <c r="BU479" s="327"/>
      <c r="BV479" s="453"/>
      <c r="BW479" s="327"/>
      <c r="BX479" s="327"/>
      <c r="BY479" s="356">
        <f>+BY184*BY131</f>
        <v>0</v>
      </c>
      <c r="BZ479" s="327"/>
      <c r="CA479" s="327"/>
      <c r="CB479" s="327"/>
      <c r="CC479" s="453"/>
      <c r="CD479" s="327"/>
      <c r="CE479" s="327"/>
      <c r="CF479" s="356">
        <f>+CF184*CF131</f>
        <v>0</v>
      </c>
      <c r="CG479" s="327"/>
      <c r="CH479" s="327"/>
      <c r="CI479" s="327"/>
      <c r="CJ479" s="453"/>
      <c r="CK479" s="327"/>
      <c r="CL479" s="327"/>
      <c r="CM479" s="356">
        <f>+CM184*CM131</f>
        <v>0</v>
      </c>
      <c r="CN479" s="327"/>
      <c r="CO479" s="327"/>
      <c r="CP479" s="327"/>
      <c r="CQ479" s="453"/>
      <c r="CR479" s="327"/>
      <c r="CS479" s="327"/>
      <c r="CT479" s="356">
        <f>+CT184*CT131</f>
        <v>0</v>
      </c>
      <c r="CU479" s="327"/>
      <c r="CV479" s="327"/>
      <c r="CW479" s="327"/>
      <c r="CX479" s="453"/>
      <c r="CY479" s="327"/>
      <c r="CZ479" s="327"/>
      <c r="DA479" s="356">
        <f>+DA184*DA131</f>
        <v>0</v>
      </c>
      <c r="DB479" s="327"/>
      <c r="DC479" s="327"/>
      <c r="DD479" s="327"/>
      <c r="DE479" s="453"/>
      <c r="DF479" s="327"/>
      <c r="DG479" s="327"/>
      <c r="DH479" s="356">
        <f>+DH184*DH131</f>
        <v>0</v>
      </c>
      <c r="DI479" s="327"/>
      <c r="DJ479" s="327"/>
      <c r="DK479" s="327"/>
      <c r="DL479" s="453"/>
      <c r="DM479" s="327"/>
      <c r="DN479" s="327"/>
      <c r="DO479" s="356">
        <f>+DO184*DO131</f>
        <v>0</v>
      </c>
      <c r="DP479" s="327"/>
      <c r="DQ479" s="327"/>
      <c r="DR479" s="327"/>
      <c r="DS479" s="453"/>
      <c r="DT479" s="327"/>
      <c r="DU479" s="327"/>
      <c r="DV479" s="356">
        <f>+DV184*DV131</f>
        <v>0</v>
      </c>
      <c r="DW479" s="327"/>
      <c r="DX479" s="327"/>
      <c r="DY479" s="327"/>
      <c r="DZ479" s="453"/>
      <c r="EA479" s="327"/>
      <c r="EB479" s="327"/>
      <c r="EC479" s="356">
        <f>+EC184*EC131</f>
        <v>0</v>
      </c>
      <c r="ED479" s="327"/>
      <c r="EE479" s="327"/>
      <c r="EF479" s="327"/>
      <c r="EG479" s="453"/>
      <c r="EH479" s="327"/>
      <c r="EI479" s="327"/>
      <c r="EJ479" s="356">
        <f>+EJ184*EJ131</f>
        <v>0</v>
      </c>
      <c r="EK479" s="327"/>
      <c r="EL479" s="327"/>
      <c r="EM479" s="327"/>
      <c r="EN479" s="453"/>
      <c r="EO479" s="327"/>
      <c r="EP479" s="327"/>
      <c r="EQ479" s="356">
        <f>+EQ184*EQ131</f>
        <v>0</v>
      </c>
    </row>
    <row r="480" spans="1:147" ht="10.199999999999999" hidden="1" customHeight="1" outlineLevel="1">
      <c r="A480" s="108" t="str">
        <f>+A185</f>
        <v>A340-500</v>
      </c>
      <c r="B480" s="86"/>
      <c r="C480" s="86">
        <f t="shared" ref="C480:N480" si="1629">+C185*C132</f>
        <v>0</v>
      </c>
      <c r="D480" s="86">
        <f t="shared" si="1629"/>
        <v>0</v>
      </c>
      <c r="E480" s="86">
        <f t="shared" si="1629"/>
        <v>1241.3793103448279</v>
      </c>
      <c r="F480" s="86">
        <f t="shared" si="1629"/>
        <v>1620</v>
      </c>
      <c r="G480" s="86">
        <f t="shared" si="1629"/>
        <v>730.8</v>
      </c>
      <c r="H480" s="86">
        <f t="shared" si="1629"/>
        <v>741.76199999999983</v>
      </c>
      <c r="I480" s="86">
        <f t="shared" si="1629"/>
        <v>564.66632249999975</v>
      </c>
      <c r="J480" s="86">
        <f t="shared" si="1629"/>
        <v>573.13631733749969</v>
      </c>
      <c r="K480" s="86">
        <f t="shared" si="1629"/>
        <v>387.82224139837479</v>
      </c>
      <c r="L480" s="86">
        <f t="shared" si="1629"/>
        <v>501.6</v>
      </c>
      <c r="M480" s="86">
        <f t="shared" si="1629"/>
        <v>0</v>
      </c>
      <c r="N480" s="86">
        <f t="shared" si="1629"/>
        <v>0</v>
      </c>
      <c r="O480" s="327"/>
      <c r="P480" s="327"/>
      <c r="Q480" s="327"/>
      <c r="R480" s="453"/>
      <c r="S480" s="327"/>
      <c r="T480" s="327"/>
      <c r="U480" s="356">
        <f>+U185*U132</f>
        <v>0</v>
      </c>
      <c r="V480" s="327"/>
      <c r="W480" s="327"/>
      <c r="X480" s="327"/>
      <c r="Y480" s="453"/>
      <c r="Z480" s="327"/>
      <c r="AA480" s="327"/>
      <c r="AB480" s="356">
        <f>+AB185*AB132</f>
        <v>0</v>
      </c>
      <c r="AC480" s="327"/>
      <c r="AD480" s="327"/>
      <c r="AE480" s="327"/>
      <c r="AF480" s="453"/>
      <c r="AG480" s="327"/>
      <c r="AH480" s="327"/>
      <c r="AI480" s="356">
        <f>+AI185*AI132</f>
        <v>0</v>
      </c>
      <c r="AJ480" s="327"/>
      <c r="AK480" s="327"/>
      <c r="AL480" s="327"/>
      <c r="AM480" s="453"/>
      <c r="AN480" s="327"/>
      <c r="AO480" s="327"/>
      <c r="AP480" s="356">
        <f>+AP185*AP132</f>
        <v>0</v>
      </c>
      <c r="AQ480" s="327"/>
      <c r="AR480" s="327"/>
      <c r="AS480" s="327"/>
      <c r="AT480" s="453"/>
      <c r="AU480" s="327"/>
      <c r="AV480" s="327"/>
      <c r="AW480" s="356">
        <f>+AW185*AW132</f>
        <v>0</v>
      </c>
      <c r="AX480" s="327"/>
      <c r="AY480" s="327"/>
      <c r="AZ480" s="327"/>
      <c r="BA480" s="453"/>
      <c r="BB480" s="327"/>
      <c r="BC480" s="327"/>
      <c r="BD480" s="356">
        <f>+BD185*BD132</f>
        <v>0</v>
      </c>
      <c r="BE480" s="327"/>
      <c r="BF480" s="327"/>
      <c r="BG480" s="327"/>
      <c r="BH480" s="453"/>
      <c r="BI480" s="327"/>
      <c r="BJ480" s="327"/>
      <c r="BK480" s="356">
        <f>+BK185*BK132</f>
        <v>0</v>
      </c>
      <c r="BL480" s="327"/>
      <c r="BM480" s="327"/>
      <c r="BN480" s="327"/>
      <c r="BO480" s="453"/>
      <c r="BP480" s="327"/>
      <c r="BQ480" s="327"/>
      <c r="BR480" s="356">
        <f>+BR185*BR132</f>
        <v>0</v>
      </c>
      <c r="BS480" s="327"/>
      <c r="BT480" s="327"/>
      <c r="BU480" s="327"/>
      <c r="BV480" s="453"/>
      <c r="BW480" s="327"/>
      <c r="BX480" s="327"/>
      <c r="BY480" s="356">
        <f>+BY185*BY132</f>
        <v>0</v>
      </c>
      <c r="BZ480" s="327"/>
      <c r="CA480" s="327"/>
      <c r="CB480" s="327"/>
      <c r="CC480" s="453"/>
      <c r="CD480" s="327"/>
      <c r="CE480" s="327"/>
      <c r="CF480" s="356">
        <f>+CF185*CF132</f>
        <v>0</v>
      </c>
      <c r="CG480" s="327"/>
      <c r="CH480" s="327"/>
      <c r="CI480" s="327"/>
      <c r="CJ480" s="453"/>
      <c r="CK480" s="327"/>
      <c r="CL480" s="327"/>
      <c r="CM480" s="356">
        <f>+CM185*CM132</f>
        <v>0</v>
      </c>
      <c r="CN480" s="327"/>
      <c r="CO480" s="327"/>
      <c r="CP480" s="327"/>
      <c r="CQ480" s="453"/>
      <c r="CR480" s="327"/>
      <c r="CS480" s="327"/>
      <c r="CT480" s="356">
        <f>+CT185*CT132</f>
        <v>0</v>
      </c>
      <c r="CU480" s="327"/>
      <c r="CV480" s="327"/>
      <c r="CW480" s="327"/>
      <c r="CX480" s="453"/>
      <c r="CY480" s="327"/>
      <c r="CZ480" s="327"/>
      <c r="DA480" s="356">
        <f>+DA185*DA132</f>
        <v>0</v>
      </c>
      <c r="DB480" s="327"/>
      <c r="DC480" s="327"/>
      <c r="DD480" s="327"/>
      <c r="DE480" s="453"/>
      <c r="DF480" s="327"/>
      <c r="DG480" s="327"/>
      <c r="DH480" s="356">
        <f>+DH185*DH132</f>
        <v>0</v>
      </c>
      <c r="DI480" s="327"/>
      <c r="DJ480" s="327"/>
      <c r="DK480" s="327"/>
      <c r="DL480" s="453"/>
      <c r="DM480" s="327"/>
      <c r="DN480" s="327"/>
      <c r="DO480" s="356">
        <f>+DO185*DO132</f>
        <v>0</v>
      </c>
      <c r="DP480" s="327"/>
      <c r="DQ480" s="327"/>
      <c r="DR480" s="327"/>
      <c r="DS480" s="453"/>
      <c r="DT480" s="327"/>
      <c r="DU480" s="327"/>
      <c r="DV480" s="356">
        <f>+DV185*DV132</f>
        <v>0</v>
      </c>
      <c r="DW480" s="327"/>
      <c r="DX480" s="327"/>
      <c r="DY480" s="327"/>
      <c r="DZ480" s="453"/>
      <c r="EA480" s="327"/>
      <c r="EB480" s="327"/>
      <c r="EC480" s="356">
        <f>+EC185*EC132</f>
        <v>0</v>
      </c>
      <c r="ED480" s="327"/>
      <c r="EE480" s="327"/>
      <c r="EF480" s="327"/>
      <c r="EG480" s="453"/>
      <c r="EH480" s="327"/>
      <c r="EI480" s="327"/>
      <c r="EJ480" s="356">
        <f>+EJ185*EJ132</f>
        <v>0</v>
      </c>
      <c r="EK480" s="327"/>
      <c r="EL480" s="327"/>
      <c r="EM480" s="327"/>
      <c r="EN480" s="453"/>
      <c r="EO480" s="327"/>
      <c r="EP480" s="327"/>
      <c r="EQ480" s="356">
        <f>+EQ185*EQ132</f>
        <v>0</v>
      </c>
    </row>
    <row r="481" spans="1:147" ht="10.199999999999999" hidden="1" customHeight="1" outlineLevel="1">
      <c r="A481" s="108" t="str">
        <f>+A186</f>
        <v>A340-600</v>
      </c>
      <c r="B481" s="86"/>
      <c r="C481" s="86">
        <f t="shared" ref="C481:N481" si="1630">+C186*C133</f>
        <v>0</v>
      </c>
      <c r="D481" s="86">
        <f t="shared" si="1630"/>
        <v>1475.4058579436532</v>
      </c>
      <c r="E481" s="86">
        <f t="shared" si="1630"/>
        <v>2995.0738916256159</v>
      </c>
      <c r="F481" s="86">
        <f t="shared" si="1630"/>
        <v>2090</v>
      </c>
      <c r="G481" s="86">
        <f t="shared" si="1630"/>
        <v>2507.0499999999997</v>
      </c>
      <c r="H481" s="86">
        <f t="shared" si="1630"/>
        <v>2936.1412499999997</v>
      </c>
      <c r="I481" s="86">
        <f t="shared" si="1630"/>
        <v>1192.0733474999997</v>
      </c>
      <c r="J481" s="86">
        <f t="shared" si="1630"/>
        <v>1613.2725969499995</v>
      </c>
      <c r="K481" s="86">
        <f t="shared" si="1630"/>
        <v>1637.4716859042494</v>
      </c>
      <c r="L481" s="86">
        <f t="shared" si="1630"/>
        <v>527.6</v>
      </c>
      <c r="M481" s="86">
        <f t="shared" si="1630"/>
        <v>0</v>
      </c>
      <c r="N481" s="86">
        <f t="shared" si="1630"/>
        <v>561.81599999999992</v>
      </c>
      <c r="O481" s="327"/>
      <c r="P481" s="327"/>
      <c r="Q481" s="327"/>
      <c r="R481" s="453"/>
      <c r="S481" s="327"/>
      <c r="T481" s="327"/>
      <c r="U481" s="356">
        <f>+U186*U133</f>
        <v>0</v>
      </c>
      <c r="V481" s="327"/>
      <c r="W481" s="327"/>
      <c r="X481" s="327"/>
      <c r="Y481" s="453"/>
      <c r="Z481" s="327"/>
      <c r="AA481" s="327"/>
      <c r="AB481" s="356">
        <f>+AB186*AB133</f>
        <v>0</v>
      </c>
      <c r="AC481" s="327"/>
      <c r="AD481" s="327"/>
      <c r="AE481" s="327"/>
      <c r="AF481" s="453"/>
      <c r="AG481" s="327"/>
      <c r="AH481" s="327"/>
      <c r="AI481" s="356">
        <f>+AI186*AI133</f>
        <v>0</v>
      </c>
      <c r="AJ481" s="327"/>
      <c r="AK481" s="327"/>
      <c r="AL481" s="327"/>
      <c r="AM481" s="453"/>
      <c r="AN481" s="327"/>
      <c r="AO481" s="327"/>
      <c r="AP481" s="356">
        <f>+AP186*AP133</f>
        <v>0</v>
      </c>
      <c r="AQ481" s="327"/>
      <c r="AR481" s="327"/>
      <c r="AS481" s="327"/>
      <c r="AT481" s="453"/>
      <c r="AU481" s="327"/>
      <c r="AV481" s="327"/>
      <c r="AW481" s="356">
        <f>+AW186*AW133</f>
        <v>0</v>
      </c>
      <c r="AX481" s="327"/>
      <c r="AY481" s="327"/>
      <c r="AZ481" s="327"/>
      <c r="BA481" s="453"/>
      <c r="BB481" s="327"/>
      <c r="BC481" s="327"/>
      <c r="BD481" s="356">
        <f>+BD186*BD133</f>
        <v>0</v>
      </c>
      <c r="BE481" s="327"/>
      <c r="BF481" s="327"/>
      <c r="BG481" s="327"/>
      <c r="BH481" s="453"/>
      <c r="BI481" s="327"/>
      <c r="BJ481" s="327"/>
      <c r="BK481" s="356">
        <f>+BK186*BK133</f>
        <v>0</v>
      </c>
      <c r="BL481" s="327"/>
      <c r="BM481" s="327"/>
      <c r="BN481" s="327"/>
      <c r="BO481" s="453"/>
      <c r="BP481" s="327"/>
      <c r="BQ481" s="327"/>
      <c r="BR481" s="356">
        <f>+BR186*BR133</f>
        <v>0</v>
      </c>
      <c r="BS481" s="327"/>
      <c r="BT481" s="327"/>
      <c r="BU481" s="327"/>
      <c r="BV481" s="453"/>
      <c r="BW481" s="327"/>
      <c r="BX481" s="327"/>
      <c r="BY481" s="356">
        <f>+BY186*BY133</f>
        <v>0</v>
      </c>
      <c r="BZ481" s="327"/>
      <c r="CA481" s="327"/>
      <c r="CB481" s="327"/>
      <c r="CC481" s="453"/>
      <c r="CD481" s="327"/>
      <c r="CE481" s="327"/>
      <c r="CF481" s="356">
        <f>+CF186*CF133</f>
        <v>0</v>
      </c>
      <c r="CG481" s="327"/>
      <c r="CH481" s="327"/>
      <c r="CI481" s="327"/>
      <c r="CJ481" s="453"/>
      <c r="CK481" s="327"/>
      <c r="CL481" s="327"/>
      <c r="CM481" s="356">
        <f>+CM186*CM133</f>
        <v>0</v>
      </c>
      <c r="CN481" s="327"/>
      <c r="CO481" s="327"/>
      <c r="CP481" s="327"/>
      <c r="CQ481" s="453"/>
      <c r="CR481" s="327"/>
      <c r="CS481" s="327"/>
      <c r="CT481" s="356">
        <f>+CT186*CT133</f>
        <v>0</v>
      </c>
      <c r="CU481" s="327"/>
      <c r="CV481" s="327"/>
      <c r="CW481" s="327"/>
      <c r="CX481" s="453"/>
      <c r="CY481" s="327"/>
      <c r="CZ481" s="327"/>
      <c r="DA481" s="356">
        <f>+DA186*DA133</f>
        <v>0</v>
      </c>
      <c r="DB481" s="327"/>
      <c r="DC481" s="327"/>
      <c r="DD481" s="327"/>
      <c r="DE481" s="453"/>
      <c r="DF481" s="327"/>
      <c r="DG481" s="327"/>
      <c r="DH481" s="356">
        <f>+DH186*DH133</f>
        <v>0</v>
      </c>
      <c r="DI481" s="327"/>
      <c r="DJ481" s="327"/>
      <c r="DK481" s="327"/>
      <c r="DL481" s="453"/>
      <c r="DM481" s="327"/>
      <c r="DN481" s="327"/>
      <c r="DO481" s="356">
        <f>+DO186*DO133</f>
        <v>0</v>
      </c>
      <c r="DP481" s="327"/>
      <c r="DQ481" s="327"/>
      <c r="DR481" s="327"/>
      <c r="DS481" s="453"/>
      <c r="DT481" s="327"/>
      <c r="DU481" s="327"/>
      <c r="DV481" s="356">
        <f>+DV186*DV133</f>
        <v>0</v>
      </c>
      <c r="DW481" s="327"/>
      <c r="DX481" s="327"/>
      <c r="DY481" s="327"/>
      <c r="DZ481" s="453"/>
      <c r="EA481" s="327"/>
      <c r="EB481" s="327"/>
      <c r="EC481" s="356">
        <f>+EC186*EC133</f>
        <v>0</v>
      </c>
      <c r="ED481" s="327"/>
      <c r="EE481" s="327"/>
      <c r="EF481" s="327"/>
      <c r="EG481" s="453"/>
      <c r="EH481" s="327"/>
      <c r="EI481" s="327"/>
      <c r="EJ481" s="356">
        <f>+EJ186*EJ133</f>
        <v>0</v>
      </c>
      <c r="EK481" s="327"/>
      <c r="EL481" s="327"/>
      <c r="EM481" s="327"/>
      <c r="EN481" s="453"/>
      <c r="EO481" s="327"/>
      <c r="EP481" s="327"/>
      <c r="EQ481" s="356">
        <f>+EQ186*EQ133</f>
        <v>0</v>
      </c>
    </row>
    <row r="482" spans="1:147" ht="10.199999999999999" hidden="1" customHeight="1" outlineLevel="1">
      <c r="A482" s="108" t="s">
        <v>371</v>
      </c>
      <c r="B482" s="86"/>
      <c r="C482" s="86">
        <f t="shared" ref="C482:N482" si="1631">+C188*C136</f>
        <v>0</v>
      </c>
      <c r="D482" s="86">
        <f t="shared" si="1631"/>
        <v>0</v>
      </c>
      <c r="E482" s="86">
        <f t="shared" si="1631"/>
        <v>0</v>
      </c>
      <c r="F482" s="86">
        <f t="shared" si="1631"/>
        <v>0</v>
      </c>
      <c r="G482" s="86">
        <f t="shared" si="1631"/>
        <v>0</v>
      </c>
      <c r="H482" s="86">
        <f t="shared" si="1631"/>
        <v>0</v>
      </c>
      <c r="I482" s="86">
        <f t="shared" si="1631"/>
        <v>0</v>
      </c>
      <c r="J482" s="86">
        <f t="shared" si="1631"/>
        <v>0</v>
      </c>
      <c r="K482" s="86">
        <f t="shared" si="1631"/>
        <v>0</v>
      </c>
      <c r="L482" s="86">
        <f t="shared" si="1631"/>
        <v>0</v>
      </c>
      <c r="M482" s="86">
        <f t="shared" si="1631"/>
        <v>0</v>
      </c>
      <c r="N482" s="86">
        <f t="shared" si="1631"/>
        <v>0</v>
      </c>
      <c r="O482" s="327"/>
      <c r="P482" s="327"/>
      <c r="Q482" s="327"/>
      <c r="R482" s="453"/>
      <c r="S482" s="327"/>
      <c r="T482" s="327"/>
      <c r="U482" s="356">
        <f>+U188*U136</f>
        <v>0</v>
      </c>
      <c r="V482" s="327"/>
      <c r="W482" s="327"/>
      <c r="X482" s="327"/>
      <c r="Y482" s="453"/>
      <c r="Z482" s="327"/>
      <c r="AA482" s="327"/>
      <c r="AB482" s="356">
        <f>+AB188*AB136</f>
        <v>0</v>
      </c>
      <c r="AC482" s="327"/>
      <c r="AD482" s="327"/>
      <c r="AE482" s="327"/>
      <c r="AF482" s="453"/>
      <c r="AG482" s="327"/>
      <c r="AH482" s="327"/>
      <c r="AI482" s="356">
        <f>+AI188*AI136</f>
        <v>0</v>
      </c>
      <c r="AJ482" s="327"/>
      <c r="AK482" s="327"/>
      <c r="AL482" s="327"/>
      <c r="AM482" s="453"/>
      <c r="AN482" s="327"/>
      <c r="AO482" s="327"/>
      <c r="AP482" s="356">
        <f>+AP188*AP136</f>
        <v>0</v>
      </c>
      <c r="AQ482" s="327"/>
      <c r="AR482" s="327"/>
      <c r="AS482" s="327"/>
      <c r="AT482" s="453"/>
      <c r="AU482" s="327"/>
      <c r="AV482" s="327"/>
      <c r="AW482" s="356">
        <f>+AW188*AW136</f>
        <v>0</v>
      </c>
      <c r="AX482" s="327"/>
      <c r="AY482" s="327"/>
      <c r="AZ482" s="327"/>
      <c r="BA482" s="453"/>
      <c r="BB482" s="327"/>
      <c r="BC482" s="327"/>
      <c r="BD482" s="356">
        <f>+BD188*BD136</f>
        <v>0</v>
      </c>
      <c r="BE482" s="327"/>
      <c r="BF482" s="327"/>
      <c r="BG482" s="327"/>
      <c r="BH482" s="453"/>
      <c r="BI482" s="327"/>
      <c r="BJ482" s="327"/>
      <c r="BK482" s="356">
        <f>+BK188*BK136</f>
        <v>0</v>
      </c>
      <c r="BL482" s="327"/>
      <c r="BM482" s="327"/>
      <c r="BN482" s="327"/>
      <c r="BO482" s="453"/>
      <c r="BP482" s="327"/>
      <c r="BQ482" s="327"/>
      <c r="BR482" s="356">
        <f>+BR188*BR136</f>
        <v>0</v>
      </c>
      <c r="BS482" s="327"/>
      <c r="BT482" s="327"/>
      <c r="BU482" s="327"/>
      <c r="BV482" s="453"/>
      <c r="BW482" s="327"/>
      <c r="BX482" s="327"/>
      <c r="BY482" s="356">
        <f>+BY188*BY136</f>
        <v>0</v>
      </c>
      <c r="BZ482" s="327"/>
      <c r="CA482" s="327"/>
      <c r="CB482" s="327"/>
      <c r="CC482" s="453"/>
      <c r="CD482" s="327"/>
      <c r="CE482" s="327"/>
      <c r="CF482" s="356">
        <f>+CF188*CF136</f>
        <v>0</v>
      </c>
      <c r="CG482" s="327"/>
      <c r="CH482" s="327"/>
      <c r="CI482" s="327"/>
      <c r="CJ482" s="453"/>
      <c r="CK482" s="327"/>
      <c r="CL482" s="327"/>
      <c r="CM482" s="356">
        <f>+CM188*CM136</f>
        <v>0</v>
      </c>
      <c r="CN482" s="327"/>
      <c r="CO482" s="327"/>
      <c r="CP482" s="327"/>
      <c r="CQ482" s="453"/>
      <c r="CR482" s="327"/>
      <c r="CS482" s="327"/>
      <c r="CT482" s="356">
        <f>+CT188*CT136</f>
        <v>0</v>
      </c>
      <c r="CU482" s="327"/>
      <c r="CV482" s="327"/>
      <c r="CW482" s="327"/>
      <c r="CX482" s="453"/>
      <c r="CY482" s="327"/>
      <c r="CZ482" s="327"/>
      <c r="DA482" s="356">
        <f>+DA188*DA136</f>
        <v>0</v>
      </c>
      <c r="DB482" s="327"/>
      <c r="DC482" s="327"/>
      <c r="DD482" s="327"/>
      <c r="DE482" s="453"/>
      <c r="DF482" s="327"/>
      <c r="DG482" s="327"/>
      <c r="DH482" s="356">
        <f>+DH188*DH136</f>
        <v>0</v>
      </c>
      <c r="DI482" s="327"/>
      <c r="DJ482" s="327"/>
      <c r="DK482" s="327"/>
      <c r="DL482" s="453"/>
      <c r="DM482" s="327"/>
      <c r="DN482" s="327"/>
      <c r="DO482" s="356">
        <f>+DO188*DO136</f>
        <v>0</v>
      </c>
      <c r="DP482" s="327"/>
      <c r="DQ482" s="327"/>
      <c r="DR482" s="327"/>
      <c r="DS482" s="453"/>
      <c r="DT482" s="327"/>
      <c r="DU482" s="327"/>
      <c r="DV482" s="356">
        <f>+DV188*DV136</f>
        <v>0</v>
      </c>
      <c r="DW482" s="327"/>
      <c r="DX482" s="327"/>
      <c r="DY482" s="327"/>
      <c r="DZ482" s="453"/>
      <c r="EA482" s="327"/>
      <c r="EB482" s="327"/>
      <c r="EC482" s="356">
        <f>+EC188*EC136</f>
        <v>0</v>
      </c>
      <c r="ED482" s="327"/>
      <c r="EE482" s="327"/>
      <c r="EF482" s="327"/>
      <c r="EG482" s="453"/>
      <c r="EH482" s="327"/>
      <c r="EI482" s="327"/>
      <c r="EJ482" s="356">
        <f>+EJ188*EJ136</f>
        <v>0</v>
      </c>
      <c r="EK482" s="327"/>
      <c r="EL482" s="327"/>
      <c r="EM482" s="327"/>
      <c r="EN482" s="453"/>
      <c r="EO482" s="327"/>
      <c r="EP482" s="327"/>
      <c r="EQ482" s="356">
        <f>+EQ188*EQ136</f>
        <v>0</v>
      </c>
    </row>
    <row r="483" spans="1:147" ht="10.199999999999999" hidden="1" customHeight="1" outlineLevel="1">
      <c r="A483" s="108" t="s">
        <v>369</v>
      </c>
      <c r="B483" s="86"/>
      <c r="C483" s="86">
        <f t="shared" ref="C483:N483" si="1632">+C189*C137</f>
        <v>0</v>
      </c>
      <c r="D483" s="86">
        <f t="shared" si="1632"/>
        <v>0</v>
      </c>
      <c r="E483" s="86">
        <f t="shared" si="1632"/>
        <v>0</v>
      </c>
      <c r="F483" s="86">
        <f t="shared" si="1632"/>
        <v>0</v>
      </c>
      <c r="G483" s="86">
        <f t="shared" si="1632"/>
        <v>0</v>
      </c>
      <c r="H483" s="86">
        <f t="shared" si="1632"/>
        <v>0</v>
      </c>
      <c r="I483" s="86">
        <f t="shared" si="1632"/>
        <v>0</v>
      </c>
      <c r="J483" s="86">
        <f t="shared" si="1632"/>
        <v>0</v>
      </c>
      <c r="K483" s="86">
        <f t="shared" si="1632"/>
        <v>0</v>
      </c>
      <c r="L483" s="86">
        <f t="shared" si="1632"/>
        <v>0</v>
      </c>
      <c r="M483" s="86">
        <f t="shared" si="1632"/>
        <v>0</v>
      </c>
      <c r="N483" s="86">
        <f t="shared" si="1632"/>
        <v>0</v>
      </c>
      <c r="O483" s="327"/>
      <c r="P483" s="327"/>
      <c r="Q483" s="327"/>
      <c r="R483" s="453"/>
      <c r="S483" s="327"/>
      <c r="T483" s="327"/>
      <c r="U483" s="356">
        <f>+U189*U137</f>
        <v>0</v>
      </c>
      <c r="V483" s="327"/>
      <c r="W483" s="327"/>
      <c r="X483" s="327"/>
      <c r="Y483" s="453"/>
      <c r="Z483" s="327"/>
      <c r="AA483" s="327"/>
      <c r="AB483" s="356">
        <f>+AB189*AB137</f>
        <v>295.2</v>
      </c>
      <c r="AC483" s="327"/>
      <c r="AD483" s="327"/>
      <c r="AE483" s="327"/>
      <c r="AF483" s="453"/>
      <c r="AG483" s="327"/>
      <c r="AH483" s="327"/>
      <c r="AI483" s="356">
        <f>+AI189*AI137</f>
        <v>4267.2</v>
      </c>
      <c r="AJ483" s="327"/>
      <c r="AK483" s="327"/>
      <c r="AL483" s="327"/>
      <c r="AM483" s="453"/>
      <c r="AN483" s="327"/>
      <c r="AO483" s="327"/>
      <c r="AP483" s="356">
        <f>+AP189*AP137</f>
        <v>15096.900000000001</v>
      </c>
      <c r="AQ483" s="327"/>
      <c r="AR483" s="327"/>
      <c r="AS483" s="327"/>
      <c r="AT483" s="453"/>
      <c r="AU483" s="327"/>
      <c r="AV483" s="327"/>
      <c r="AW483" s="356">
        <f>+AW189*AW137</f>
        <v>24273.599999999999</v>
      </c>
      <c r="AX483" s="327"/>
      <c r="AY483" s="327"/>
      <c r="AZ483" s="327"/>
      <c r="BA483" s="453"/>
      <c r="BB483" s="327"/>
      <c r="BC483" s="327"/>
      <c r="BD483" s="356">
        <f>+BD189*BD137</f>
        <v>24273.599999999999</v>
      </c>
      <c r="BE483" s="327"/>
      <c r="BF483" s="327"/>
      <c r="BG483" s="327"/>
      <c r="BH483" s="453"/>
      <c r="BI483" s="327"/>
      <c r="BJ483" s="327"/>
      <c r="BK483" s="356">
        <f>+BK189*BK137</f>
        <v>25074.6</v>
      </c>
      <c r="BL483" s="327"/>
      <c r="BM483" s="327"/>
      <c r="BN483" s="327"/>
      <c r="BO483" s="453"/>
      <c r="BP483" s="327"/>
      <c r="BQ483" s="327"/>
      <c r="BR483" s="356">
        <f>+BR189*BR137</f>
        <v>28166.076000000001</v>
      </c>
      <c r="BS483" s="327"/>
      <c r="BT483" s="327"/>
      <c r="BU483" s="327"/>
      <c r="BV483" s="453"/>
      <c r="BW483" s="327"/>
      <c r="BX483" s="327"/>
      <c r="BY483" s="356">
        <f>+BY189*BY137</f>
        <v>14860.0332</v>
      </c>
      <c r="BZ483" s="327"/>
      <c r="CA483" s="327"/>
      <c r="CB483" s="327"/>
      <c r="CC483" s="453"/>
      <c r="CD483" s="327"/>
      <c r="CE483" s="327"/>
      <c r="CF483" s="356">
        <f>+CF189*CF137</f>
        <v>16504.543540800001</v>
      </c>
      <c r="CG483" s="327"/>
      <c r="CH483" s="327"/>
      <c r="CI483" s="327"/>
      <c r="CJ483" s="453"/>
      <c r="CK483" s="327"/>
      <c r="CL483" s="327"/>
      <c r="CM483" s="356">
        <f>+CM189*CM137</f>
        <v>17178.198379199999</v>
      </c>
      <c r="CN483" s="327"/>
      <c r="CO483" s="327"/>
      <c r="CP483" s="327"/>
      <c r="CQ483" s="453"/>
      <c r="CR483" s="327"/>
      <c r="CS483" s="327"/>
      <c r="CT483" s="356">
        <f>+CT189*CT137</f>
        <v>18490.61273537088</v>
      </c>
      <c r="CU483" s="327"/>
      <c r="CV483" s="327"/>
      <c r="CW483" s="327"/>
      <c r="CX483" s="453"/>
      <c r="CY483" s="327"/>
      <c r="CZ483" s="327"/>
      <c r="DA483" s="356">
        <f>+DA189*DA137</f>
        <v>16037.050660869743</v>
      </c>
      <c r="DB483" s="327"/>
      <c r="DC483" s="327"/>
      <c r="DD483" s="327"/>
      <c r="DE483" s="453"/>
      <c r="DF483" s="327"/>
      <c r="DG483" s="327"/>
      <c r="DH483" s="356">
        <f>+DH189*DH137</f>
        <v>15690.7961579646</v>
      </c>
      <c r="DI483" s="327"/>
      <c r="DJ483" s="327"/>
      <c r="DK483" s="327"/>
      <c r="DL483" s="453"/>
      <c r="DM483" s="327"/>
      <c r="DN483" s="327"/>
      <c r="DO483" s="356">
        <f>+DO189*DO137</f>
        <v>20678.227793889058</v>
      </c>
      <c r="DP483" s="327"/>
      <c r="DQ483" s="327"/>
      <c r="DR483" s="327"/>
      <c r="DS483" s="453"/>
      <c r="DT483" s="327"/>
      <c r="DU483" s="327"/>
      <c r="DV483" s="356">
        <f>+DV189*DV137</f>
        <v>25905.224264011016</v>
      </c>
      <c r="DW483" s="327"/>
      <c r="DX483" s="327"/>
      <c r="DY483" s="327"/>
      <c r="DZ483" s="453"/>
      <c r="EA483" s="327"/>
      <c r="EB483" s="327"/>
      <c r="EC483" s="356">
        <f>+EC189*EC137</f>
        <v>29871.961729437699</v>
      </c>
      <c r="ED483" s="327"/>
      <c r="EE483" s="327"/>
      <c r="EF483" s="327"/>
      <c r="EG483" s="453"/>
      <c r="EH483" s="327"/>
      <c r="EI483" s="327"/>
      <c r="EJ483" s="356">
        <f>+EJ189*EJ137</f>
        <v>34020.845302970709</v>
      </c>
      <c r="EK483" s="327"/>
      <c r="EL483" s="327"/>
      <c r="EM483" s="327"/>
      <c r="EN483" s="453"/>
      <c r="EO483" s="327"/>
      <c r="EP483" s="327"/>
      <c r="EQ483" s="356">
        <f>+EQ189*EQ137</f>
        <v>34871.366435544973</v>
      </c>
    </row>
    <row r="484" spans="1:147" ht="10.199999999999999" hidden="1" customHeight="1" outlineLevel="1">
      <c r="A484" s="108" t="s">
        <v>370</v>
      </c>
      <c r="B484" s="86"/>
      <c r="C484" s="86">
        <f t="shared" ref="C484:N484" si="1633">+C190*C138</f>
        <v>0</v>
      </c>
      <c r="D484" s="86">
        <f t="shared" si="1633"/>
        <v>0</v>
      </c>
      <c r="E484" s="86">
        <f t="shared" si="1633"/>
        <v>0</v>
      </c>
      <c r="F484" s="86">
        <f t="shared" si="1633"/>
        <v>0</v>
      </c>
      <c r="G484" s="86">
        <f t="shared" si="1633"/>
        <v>0</v>
      </c>
      <c r="H484" s="86">
        <f t="shared" si="1633"/>
        <v>0</v>
      </c>
      <c r="I484" s="86">
        <f t="shared" si="1633"/>
        <v>0</v>
      </c>
      <c r="J484" s="86">
        <f t="shared" si="1633"/>
        <v>0</v>
      </c>
      <c r="K484" s="86">
        <f t="shared" si="1633"/>
        <v>0</v>
      </c>
      <c r="L484" s="86">
        <f t="shared" si="1633"/>
        <v>0</v>
      </c>
      <c r="M484" s="86">
        <f t="shared" si="1633"/>
        <v>0</v>
      </c>
      <c r="N484" s="86">
        <f t="shared" si="1633"/>
        <v>0</v>
      </c>
      <c r="O484" s="327"/>
      <c r="P484" s="327"/>
      <c r="Q484" s="327"/>
      <c r="R484" s="453"/>
      <c r="S484" s="327"/>
      <c r="T484" s="327"/>
      <c r="U484" s="356">
        <f>+U190*U138</f>
        <v>0</v>
      </c>
      <c r="V484" s="327"/>
      <c r="W484" s="327"/>
      <c r="X484" s="327"/>
      <c r="Y484" s="453"/>
      <c r="Z484" s="327"/>
      <c r="AA484" s="327"/>
      <c r="AB484" s="356">
        <f>+AB190*AB138</f>
        <v>0</v>
      </c>
      <c r="AC484" s="327"/>
      <c r="AD484" s="327"/>
      <c r="AE484" s="327"/>
      <c r="AF484" s="453"/>
      <c r="AG484" s="327"/>
      <c r="AH484" s="327"/>
      <c r="AI484" s="356">
        <f>+AI190*AI138</f>
        <v>0</v>
      </c>
      <c r="AJ484" s="327"/>
      <c r="AK484" s="327"/>
      <c r="AL484" s="327"/>
      <c r="AM484" s="453"/>
      <c r="AN484" s="327"/>
      <c r="AO484" s="327"/>
      <c r="AP484" s="356">
        <f>+AP190*AP138</f>
        <v>0</v>
      </c>
      <c r="AQ484" s="327"/>
      <c r="AR484" s="327"/>
      <c r="AS484" s="327"/>
      <c r="AT484" s="453"/>
      <c r="AU484" s="327"/>
      <c r="AV484" s="327"/>
      <c r="AW484" s="356">
        <f>+AW190*AW138</f>
        <v>0</v>
      </c>
      <c r="AX484" s="327"/>
      <c r="AY484" s="327"/>
      <c r="AZ484" s="327"/>
      <c r="BA484" s="453"/>
      <c r="BB484" s="327"/>
      <c r="BC484" s="327"/>
      <c r="BD484" s="356">
        <f>+BD190*BD138</f>
        <v>0</v>
      </c>
      <c r="BE484" s="327"/>
      <c r="BF484" s="327"/>
      <c r="BG484" s="327"/>
      <c r="BH484" s="453"/>
      <c r="BI484" s="327"/>
      <c r="BJ484" s="327"/>
      <c r="BK484" s="356">
        <f>+BK190*BK138</f>
        <v>5131</v>
      </c>
      <c r="BL484" s="327"/>
      <c r="BM484" s="327"/>
      <c r="BN484" s="327"/>
      <c r="BO484" s="453"/>
      <c r="BP484" s="327"/>
      <c r="BQ484" s="327"/>
      <c r="BR484" s="356">
        <f>+BR190*BR138</f>
        <v>9345.75</v>
      </c>
      <c r="BS484" s="327"/>
      <c r="BT484" s="327"/>
      <c r="BU484" s="327"/>
      <c r="BV484" s="453"/>
      <c r="BW484" s="327"/>
      <c r="BX484" s="327"/>
      <c r="BY484" s="356">
        <f>+BY190*BY138</f>
        <v>5338.2924000000003</v>
      </c>
      <c r="BZ484" s="327"/>
      <c r="CA484" s="327"/>
      <c r="CB484" s="327"/>
      <c r="CC484" s="453"/>
      <c r="CD484" s="327"/>
      <c r="CE484" s="327"/>
      <c r="CF484" s="356">
        <f>+CF190*CF138</f>
        <v>2333.5963919999999</v>
      </c>
      <c r="CG484" s="327"/>
      <c r="CH484" s="327"/>
      <c r="CI484" s="327"/>
      <c r="CJ484" s="453"/>
      <c r="CK484" s="327"/>
      <c r="CL484" s="327"/>
      <c r="CM484" s="356">
        <f>+CM190*CM138</f>
        <v>3967.1138664</v>
      </c>
      <c r="CN484" s="327"/>
      <c r="CO484" s="327"/>
      <c r="CP484" s="327"/>
      <c r="CQ484" s="453"/>
      <c r="CR484" s="327"/>
      <c r="CS484" s="327"/>
      <c r="CT484" s="356">
        <f>+CT190*CT138</f>
        <v>4927.1554220687995</v>
      </c>
      <c r="CU484" s="327"/>
      <c r="CV484" s="327"/>
      <c r="CW484" s="327"/>
      <c r="CX484" s="453"/>
      <c r="CY484" s="327"/>
      <c r="CZ484" s="327"/>
      <c r="DA484" s="356">
        <f>+DA190*DA138</f>
        <v>5471.1954999222289</v>
      </c>
      <c r="DB484" s="327"/>
      <c r="DC484" s="327"/>
      <c r="DD484" s="327"/>
      <c r="DE484" s="453"/>
      <c r="DF484" s="327"/>
      <c r="DG484" s="327"/>
      <c r="DH484" s="356">
        <f>+DH190*DH138</f>
        <v>6470.74083163879</v>
      </c>
      <c r="DI484" s="327"/>
      <c r="DJ484" s="327"/>
      <c r="DK484" s="327"/>
      <c r="DL484" s="453"/>
      <c r="DM484" s="327"/>
      <c r="DN484" s="327"/>
      <c r="DO484" s="356">
        <f>+DO190*DO138</f>
        <v>7959.0112229157112</v>
      </c>
      <c r="DP484" s="327"/>
      <c r="DQ484" s="327"/>
      <c r="DR484" s="327"/>
      <c r="DS484" s="453"/>
      <c r="DT484" s="327"/>
      <c r="DU484" s="327"/>
      <c r="DV484" s="356">
        <f>+DV190*DV138</f>
        <v>9970.8723931527384</v>
      </c>
      <c r="DW484" s="327"/>
      <c r="DX484" s="327"/>
      <c r="DY484" s="327"/>
      <c r="DZ484" s="453"/>
      <c r="EA484" s="327"/>
      <c r="EB484" s="327"/>
      <c r="EC484" s="356">
        <f>+EC190*EC138</f>
        <v>11497.662228354249</v>
      </c>
      <c r="ED484" s="327"/>
      <c r="EE484" s="327"/>
      <c r="EF484" s="327"/>
      <c r="EG484" s="453"/>
      <c r="EH484" s="327"/>
      <c r="EI484" s="327"/>
      <c r="EJ484" s="356">
        <f>+EJ190*EJ138</f>
        <v>13094.559760070117</v>
      </c>
      <c r="EK484" s="327"/>
      <c r="EL484" s="327"/>
      <c r="EM484" s="327"/>
      <c r="EN484" s="453"/>
      <c r="EO484" s="327"/>
      <c r="EP484" s="327"/>
      <c r="EQ484" s="356">
        <f>+EQ190*EQ138</f>
        <v>13421.92375407187</v>
      </c>
    </row>
    <row r="485" spans="1:147" ht="10.199999999999999" hidden="1" customHeight="1" outlineLevel="1">
      <c r="A485" s="43" t="s">
        <v>133</v>
      </c>
      <c r="B485" s="86"/>
      <c r="C485" s="86">
        <f t="shared" ref="C485:N485" si="1634">+C191*C141</f>
        <v>0</v>
      </c>
      <c r="D485" s="86">
        <f t="shared" si="1634"/>
        <v>0</v>
      </c>
      <c r="E485" s="86">
        <f t="shared" si="1634"/>
        <v>0</v>
      </c>
      <c r="F485" s="86">
        <f t="shared" si="1634"/>
        <v>0</v>
      </c>
      <c r="G485" s="86">
        <f t="shared" si="1634"/>
        <v>0</v>
      </c>
      <c r="H485" s="86">
        <f t="shared" si="1634"/>
        <v>0</v>
      </c>
      <c r="I485" s="86">
        <f t="shared" si="1634"/>
        <v>280</v>
      </c>
      <c r="J485" s="86">
        <f t="shared" si="1634"/>
        <v>3840</v>
      </c>
      <c r="K485" s="86">
        <f t="shared" si="1634"/>
        <v>3247.9999999999995</v>
      </c>
      <c r="L485" s="86">
        <f t="shared" si="1634"/>
        <v>6233.4000000000005</v>
      </c>
      <c r="M485" s="86">
        <f t="shared" si="1634"/>
        <v>9757.8000000000011</v>
      </c>
      <c r="N485" s="86">
        <f t="shared" si="1634"/>
        <v>11697</v>
      </c>
      <c r="O485" s="327"/>
      <c r="P485" s="327"/>
      <c r="Q485" s="327"/>
      <c r="R485" s="453"/>
      <c r="S485" s="327"/>
      <c r="T485" s="327"/>
      <c r="U485" s="356">
        <f>+U191*U141</f>
        <v>10097.5</v>
      </c>
      <c r="V485" s="327"/>
      <c r="W485" s="327"/>
      <c r="X485" s="327"/>
      <c r="Y485" s="453"/>
      <c r="Z485" s="327"/>
      <c r="AA485" s="327"/>
      <c r="AB485" s="356">
        <f>+AB191*AB141</f>
        <v>12432</v>
      </c>
      <c r="AC485" s="327"/>
      <c r="AD485" s="327"/>
      <c r="AE485" s="327"/>
      <c r="AF485" s="453"/>
      <c r="AG485" s="327"/>
      <c r="AH485" s="327"/>
      <c r="AI485" s="356">
        <f>+AI191*AI141</f>
        <v>11556</v>
      </c>
      <c r="AJ485" s="327"/>
      <c r="AK485" s="327"/>
      <c r="AL485" s="327"/>
      <c r="AM485" s="453"/>
      <c r="AN485" s="327"/>
      <c r="AO485" s="327"/>
      <c r="AP485" s="356">
        <f>+AP191*AP141</f>
        <v>12112.800000000001</v>
      </c>
      <c r="AQ485" s="327"/>
      <c r="AR485" s="327"/>
      <c r="AS485" s="327"/>
      <c r="AT485" s="453"/>
      <c r="AU485" s="327"/>
      <c r="AV485" s="327"/>
      <c r="AW485" s="356">
        <f>+AW191*AW141</f>
        <v>6553.5</v>
      </c>
      <c r="AX485" s="327"/>
      <c r="AY485" s="327"/>
      <c r="AZ485" s="327"/>
      <c r="BA485" s="453"/>
      <c r="BB485" s="327"/>
      <c r="BC485" s="327"/>
      <c r="BD485" s="356">
        <f>+BD191*BD141</f>
        <v>6553.5</v>
      </c>
      <c r="BE485" s="327"/>
      <c r="BF485" s="327"/>
      <c r="BG485" s="327"/>
      <c r="BH485" s="453"/>
      <c r="BI485" s="327"/>
      <c r="BJ485" s="327"/>
      <c r="BK485" s="356">
        <f>+BK191*BK141</f>
        <v>5347.2000000000007</v>
      </c>
      <c r="BL485" s="327"/>
      <c r="BM485" s="327"/>
      <c r="BN485" s="327"/>
      <c r="BO485" s="453"/>
      <c r="BP485" s="327"/>
      <c r="BQ485" s="327"/>
      <c r="BR485" s="356">
        <f>+BR191*BR141</f>
        <v>3636.0960000000005</v>
      </c>
      <c r="BS485" s="327"/>
      <c r="BT485" s="327"/>
      <c r="BU485" s="327"/>
      <c r="BV485" s="453"/>
      <c r="BW485" s="327"/>
      <c r="BX485" s="327"/>
      <c r="BY485" s="356">
        <f>+BY191*BY141</f>
        <v>1854.4089600000002</v>
      </c>
      <c r="BZ485" s="327"/>
      <c r="CA485" s="327"/>
      <c r="CB485" s="327"/>
      <c r="CC485" s="453"/>
      <c r="CD485" s="327"/>
      <c r="CE485" s="327"/>
      <c r="CF485" s="356">
        <f>+CF191*CF141</f>
        <v>2364.3714240000004</v>
      </c>
      <c r="CG485" s="327"/>
      <c r="CH485" s="327"/>
      <c r="CI485" s="327"/>
      <c r="CJ485" s="453"/>
      <c r="CK485" s="327"/>
      <c r="CL485" s="327"/>
      <c r="CM485" s="356">
        <f>+CM191*CM141</f>
        <v>0</v>
      </c>
      <c r="CN485" s="327"/>
      <c r="CO485" s="327"/>
      <c r="CP485" s="327"/>
      <c r="CQ485" s="453"/>
      <c r="CR485" s="327"/>
      <c r="CS485" s="327"/>
      <c r="CT485" s="356">
        <f>+CT191*CT141</f>
        <v>0</v>
      </c>
      <c r="CU485" s="327"/>
      <c r="CV485" s="327"/>
      <c r="CW485" s="327"/>
      <c r="CX485" s="453"/>
      <c r="CY485" s="327"/>
      <c r="CZ485" s="327"/>
      <c r="DA485" s="356">
        <f>+DA191*DA141</f>
        <v>0</v>
      </c>
      <c r="DB485" s="327"/>
      <c r="DC485" s="327"/>
      <c r="DD485" s="327"/>
      <c r="DE485" s="453"/>
      <c r="DF485" s="327"/>
      <c r="DG485" s="327"/>
      <c r="DH485" s="356">
        <f>+DH191*DH141</f>
        <v>0</v>
      </c>
      <c r="DI485" s="327"/>
      <c r="DJ485" s="327"/>
      <c r="DK485" s="327"/>
      <c r="DL485" s="453"/>
      <c r="DM485" s="327"/>
      <c r="DN485" s="327"/>
      <c r="DO485" s="356">
        <f>+DO191*DO141</f>
        <v>0</v>
      </c>
      <c r="DP485" s="327"/>
      <c r="DQ485" s="327"/>
      <c r="DR485" s="327"/>
      <c r="DS485" s="453"/>
      <c r="DT485" s="327"/>
      <c r="DU485" s="327"/>
      <c r="DV485" s="356">
        <f>+DV191*DV141</f>
        <v>0</v>
      </c>
      <c r="DW485" s="327"/>
      <c r="DX485" s="327"/>
      <c r="DY485" s="327"/>
      <c r="DZ485" s="453"/>
      <c r="EA485" s="327"/>
      <c r="EB485" s="327"/>
      <c r="EC485" s="356">
        <f>+EC191*EC141</f>
        <v>0</v>
      </c>
      <c r="ED485" s="327"/>
      <c r="EE485" s="327"/>
      <c r="EF485" s="327"/>
      <c r="EG485" s="453"/>
      <c r="EH485" s="327"/>
      <c r="EI485" s="327"/>
      <c r="EJ485" s="356">
        <f>+EJ191*EJ141</f>
        <v>0</v>
      </c>
      <c r="EK485" s="327"/>
      <c r="EL485" s="327"/>
      <c r="EM485" s="327"/>
      <c r="EN485" s="453"/>
      <c r="EO485" s="327"/>
      <c r="EP485" s="327"/>
      <c r="EQ485" s="356">
        <f>+EQ191*EQ141</f>
        <v>0</v>
      </c>
    </row>
    <row r="486" spans="1:147" ht="10.199999999999999" hidden="1" customHeight="1" outlineLevel="1">
      <c r="A486" s="43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327"/>
      <c r="P486" s="327"/>
      <c r="Q486" s="327"/>
      <c r="R486" s="453"/>
      <c r="S486" s="327"/>
      <c r="T486" s="327"/>
      <c r="U486" s="356"/>
      <c r="V486" s="327"/>
      <c r="W486" s="327"/>
      <c r="X486" s="327"/>
      <c r="Y486" s="453"/>
      <c r="Z486" s="327"/>
      <c r="AA486" s="327"/>
      <c r="AB486" s="356"/>
      <c r="AC486" s="327"/>
      <c r="AD486" s="327"/>
      <c r="AE486" s="327"/>
      <c r="AF486" s="453"/>
      <c r="AG486" s="327"/>
      <c r="AH486" s="327"/>
      <c r="AI486" s="356"/>
      <c r="AJ486" s="327"/>
      <c r="AK486" s="327"/>
      <c r="AL486" s="327"/>
      <c r="AM486" s="453"/>
      <c r="AN486" s="327"/>
      <c r="AO486" s="327"/>
      <c r="AP486" s="356"/>
      <c r="AQ486" s="327"/>
      <c r="AR486" s="327"/>
      <c r="AS486" s="327"/>
      <c r="AT486" s="453"/>
      <c r="AU486" s="327"/>
      <c r="AV486" s="327"/>
      <c r="AW486" s="356"/>
      <c r="AX486" s="327"/>
      <c r="AY486" s="327"/>
      <c r="AZ486" s="327"/>
      <c r="BA486" s="453"/>
      <c r="BB486" s="327"/>
      <c r="BC486" s="327"/>
      <c r="BD486" s="356"/>
      <c r="BE486" s="327"/>
      <c r="BF486" s="327"/>
      <c r="BG486" s="327"/>
      <c r="BH486" s="453"/>
      <c r="BI486" s="327"/>
      <c r="BJ486" s="327"/>
      <c r="BK486" s="356"/>
      <c r="BL486" s="327"/>
      <c r="BM486" s="327"/>
      <c r="BN486" s="327"/>
      <c r="BO486" s="453"/>
      <c r="BP486" s="327"/>
      <c r="BQ486" s="327"/>
      <c r="BR486" s="356"/>
      <c r="BS486" s="327"/>
      <c r="BT486" s="327"/>
      <c r="BU486" s="327"/>
      <c r="BV486" s="453"/>
      <c r="BW486" s="327"/>
      <c r="BX486" s="327"/>
      <c r="BY486" s="356"/>
      <c r="BZ486" s="327"/>
      <c r="CA486" s="327"/>
      <c r="CB486" s="327"/>
      <c r="CC486" s="453"/>
      <c r="CD486" s="327"/>
      <c r="CE486" s="327"/>
      <c r="CF486" s="356"/>
      <c r="CG486" s="327"/>
      <c r="CH486" s="327"/>
      <c r="CI486" s="327"/>
      <c r="CJ486" s="453"/>
      <c r="CK486" s="327"/>
      <c r="CL486" s="327"/>
      <c r="CM486" s="356"/>
      <c r="CN486" s="327"/>
      <c r="CO486" s="327"/>
      <c r="CP486" s="327"/>
      <c r="CQ486" s="453"/>
      <c r="CR486" s="327"/>
      <c r="CS486" s="327"/>
      <c r="CT486" s="356"/>
      <c r="CU486" s="327"/>
      <c r="CV486" s="327"/>
      <c r="CW486" s="327"/>
      <c r="CX486" s="453"/>
      <c r="CY486" s="327"/>
      <c r="CZ486" s="327"/>
      <c r="DA486" s="356"/>
      <c r="DB486" s="327"/>
      <c r="DC486" s="327"/>
      <c r="DD486" s="327"/>
      <c r="DE486" s="453"/>
      <c r="DF486" s="327"/>
      <c r="DG486" s="327"/>
      <c r="DH486" s="356"/>
      <c r="DI486" s="327"/>
      <c r="DJ486" s="327"/>
      <c r="DK486" s="327"/>
      <c r="DL486" s="453"/>
      <c r="DM486" s="327"/>
      <c r="DN486" s="327"/>
      <c r="DO486" s="356"/>
      <c r="DP486" s="327"/>
      <c r="DQ486" s="327"/>
      <c r="DR486" s="327"/>
      <c r="DS486" s="453"/>
      <c r="DT486" s="327"/>
      <c r="DU486" s="327"/>
      <c r="DV486" s="356"/>
      <c r="DW486" s="327"/>
      <c r="DX486" s="327"/>
      <c r="DY486" s="327"/>
      <c r="DZ486" s="453"/>
      <c r="EA486" s="327"/>
      <c r="EB486" s="327"/>
      <c r="EC486" s="356"/>
      <c r="ED486" s="327"/>
      <c r="EE486" s="327"/>
      <c r="EF486" s="327"/>
      <c r="EG486" s="453"/>
      <c r="EH486" s="327"/>
      <c r="EI486" s="327"/>
      <c r="EJ486" s="356"/>
      <c r="EK486" s="327"/>
      <c r="EL486" s="327"/>
      <c r="EM486" s="327"/>
      <c r="EN486" s="453"/>
      <c r="EO486" s="327"/>
      <c r="EP486" s="327"/>
      <c r="EQ486" s="356"/>
    </row>
    <row r="487" spans="1:147" ht="10.199999999999999" hidden="1" customHeight="1" outlineLevel="1">
      <c r="A487" s="48" t="s">
        <v>529</v>
      </c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79"/>
      <c r="P487" s="479"/>
      <c r="Q487" s="479"/>
      <c r="R487" s="480"/>
      <c r="S487" s="479"/>
      <c r="T487" s="479"/>
      <c r="U487" s="357"/>
      <c r="V487" s="479"/>
      <c r="W487" s="479"/>
      <c r="X487" s="479"/>
      <c r="Y487" s="480"/>
      <c r="Z487" s="479"/>
      <c r="AA487" s="479"/>
      <c r="AB487" s="357"/>
      <c r="AC487" s="479"/>
      <c r="AD487" s="479"/>
      <c r="AE487" s="479"/>
      <c r="AF487" s="480"/>
      <c r="AG487" s="479"/>
      <c r="AH487" s="479"/>
      <c r="AI487" s="357"/>
      <c r="AJ487" s="479"/>
      <c r="AK487" s="479"/>
      <c r="AL487" s="479"/>
      <c r="AM487" s="480"/>
      <c r="AN487" s="479"/>
      <c r="AO487" s="479"/>
      <c r="AP487" s="357"/>
      <c r="AQ487" s="479"/>
      <c r="AR487" s="479"/>
      <c r="AS487" s="479"/>
      <c r="AT487" s="480"/>
      <c r="AU487" s="479"/>
      <c r="AV487" s="479"/>
      <c r="AW487" s="357"/>
      <c r="AX487" s="479"/>
      <c r="AY487" s="479"/>
      <c r="AZ487" s="479"/>
      <c r="BA487" s="480"/>
      <c r="BB487" s="479"/>
      <c r="BC487" s="479"/>
      <c r="BD487" s="357"/>
      <c r="BE487" s="479"/>
      <c r="BF487" s="479"/>
      <c r="BG487" s="479"/>
      <c r="BH487" s="480"/>
      <c r="BI487" s="479"/>
      <c r="BJ487" s="479"/>
      <c r="BK487" s="357"/>
      <c r="BL487" s="479"/>
      <c r="BM487" s="479"/>
      <c r="BN487" s="479"/>
      <c r="BO487" s="480"/>
      <c r="BP487" s="479"/>
      <c r="BQ487" s="479"/>
      <c r="BR487" s="357"/>
      <c r="BS487" s="479"/>
      <c r="BT487" s="479"/>
      <c r="BU487" s="479"/>
      <c r="BV487" s="480"/>
      <c r="BW487" s="479"/>
      <c r="BX487" s="479"/>
      <c r="BY487" s="357"/>
      <c r="BZ487" s="479"/>
      <c r="CA487" s="479"/>
      <c r="CB487" s="479"/>
      <c r="CC487" s="480"/>
      <c r="CD487" s="479"/>
      <c r="CE487" s="479"/>
      <c r="CF487" s="357"/>
      <c r="CG487" s="479"/>
      <c r="CH487" s="479"/>
      <c r="CI487" s="479"/>
      <c r="CJ487" s="480"/>
      <c r="CK487" s="479"/>
      <c r="CL487" s="479"/>
      <c r="CM487" s="357"/>
      <c r="CN487" s="479"/>
      <c r="CO487" s="479"/>
      <c r="CP487" s="479"/>
      <c r="CQ487" s="480"/>
      <c r="CR487" s="479"/>
      <c r="CS487" s="479"/>
      <c r="CT487" s="357"/>
      <c r="CU487" s="479"/>
      <c r="CV487" s="479"/>
      <c r="CW487" s="479"/>
      <c r="CX487" s="480"/>
      <c r="CY487" s="479"/>
      <c r="CZ487" s="479"/>
      <c r="DA487" s="357"/>
      <c r="DB487" s="479"/>
      <c r="DC487" s="479"/>
      <c r="DD487" s="479"/>
      <c r="DE487" s="480"/>
      <c r="DF487" s="479"/>
      <c r="DG487" s="479"/>
      <c r="DH487" s="357"/>
      <c r="DI487" s="479"/>
      <c r="DJ487" s="479"/>
      <c r="DK487" s="479"/>
      <c r="DL487" s="480"/>
      <c r="DM487" s="479"/>
      <c r="DN487" s="479"/>
      <c r="DO487" s="357"/>
      <c r="DP487" s="479"/>
      <c r="DQ487" s="479"/>
      <c r="DR487" s="479"/>
      <c r="DS487" s="480"/>
      <c r="DT487" s="479"/>
      <c r="DU487" s="479"/>
      <c r="DV487" s="357"/>
      <c r="DW487" s="479"/>
      <c r="DX487" s="479"/>
      <c r="DY487" s="479"/>
      <c r="DZ487" s="480"/>
      <c r="EA487" s="479"/>
      <c r="EB487" s="479"/>
      <c r="EC487" s="357"/>
      <c r="ED487" s="479"/>
      <c r="EE487" s="479"/>
      <c r="EF487" s="479"/>
      <c r="EG487" s="480"/>
      <c r="EH487" s="479"/>
      <c r="EI487" s="479"/>
      <c r="EJ487" s="357"/>
      <c r="EK487" s="479"/>
      <c r="EL487" s="479"/>
      <c r="EM487" s="479"/>
      <c r="EN487" s="480"/>
      <c r="EO487" s="479"/>
      <c r="EP487" s="479"/>
      <c r="EQ487" s="357"/>
    </row>
    <row r="488" spans="1:147" ht="10.199999999999999" hidden="1" customHeight="1" outlineLevel="1">
      <c r="A488" s="43" t="str">
        <f>+A173</f>
        <v>A318ceo</v>
      </c>
      <c r="B488" s="43"/>
      <c r="C488" s="94">
        <f t="shared" ref="C488:AP488" si="1635">+C173*(1-C201)</f>
        <v>33.566726480309981</v>
      </c>
      <c r="D488" s="94">
        <f t="shared" si="1635"/>
        <v>34.507025164405846</v>
      </c>
      <c r="E488" s="94">
        <f t="shared" si="1635"/>
        <v>34.581280788177345</v>
      </c>
      <c r="F488" s="94">
        <f t="shared" si="1635"/>
        <v>33.806249999999999</v>
      </c>
      <c r="G488" s="94">
        <f t="shared" si="1635"/>
        <v>34.541718749999994</v>
      </c>
      <c r="H488" s="94">
        <f t="shared" si="1635"/>
        <v>35.256875062499986</v>
      </c>
      <c r="I488" s="94">
        <f t="shared" si="1635"/>
        <v>36.703310962499991</v>
      </c>
      <c r="J488" s="94">
        <f t="shared" si="1635"/>
        <v>37.253860626937481</v>
      </c>
      <c r="K488" s="94">
        <f t="shared" si="1635"/>
        <v>37.327890734593574</v>
      </c>
      <c r="L488" s="94">
        <f t="shared" si="1635"/>
        <v>40.625</v>
      </c>
      <c r="M488" s="94">
        <f t="shared" si="1635"/>
        <v>41.728000000000002</v>
      </c>
      <c r="N488" s="94">
        <f t="shared" si="1635"/>
        <v>32.157499999999999</v>
      </c>
      <c r="O488" s="295"/>
      <c r="P488" s="295"/>
      <c r="Q488" s="295"/>
      <c r="R488" s="336"/>
      <c r="S488" s="295"/>
      <c r="T488" s="295"/>
      <c r="U488" s="358">
        <f t="shared" si="1635"/>
        <v>32.596499999999992</v>
      </c>
      <c r="V488" s="295"/>
      <c r="W488" s="295"/>
      <c r="X488" s="295"/>
      <c r="Y488" s="336"/>
      <c r="Z488" s="295"/>
      <c r="AA488" s="295"/>
      <c r="AB488" s="358">
        <f t="shared" si="1635"/>
        <v>45.668161492849677</v>
      </c>
      <c r="AC488" s="295"/>
      <c r="AD488" s="295"/>
      <c r="AE488" s="295"/>
      <c r="AF488" s="336"/>
      <c r="AG488" s="295"/>
      <c r="AH488" s="295"/>
      <c r="AI488" s="358">
        <f t="shared" si="1635"/>
        <v>44.454169218316245</v>
      </c>
      <c r="AJ488" s="295"/>
      <c r="AK488" s="295"/>
      <c r="AL488" s="295"/>
      <c r="AM488" s="336"/>
      <c r="AN488" s="295"/>
      <c r="AO488" s="295"/>
      <c r="AP488" s="358">
        <f t="shared" si="1635"/>
        <v>42.524455710849082</v>
      </c>
      <c r="AQ488" s="295"/>
      <c r="AR488" s="295"/>
      <c r="AS488" s="295"/>
      <c r="AT488" s="336"/>
      <c r="AU488" s="295"/>
      <c r="AV488" s="295"/>
      <c r="AW488" s="358">
        <f>AP488*(1+AW$492)</f>
        <v>41.461344318077856</v>
      </c>
      <c r="AX488" s="295"/>
      <c r="AY488" s="295"/>
      <c r="AZ488" s="295"/>
      <c r="BA488" s="336"/>
      <c r="BB488" s="295"/>
      <c r="BC488" s="295"/>
      <c r="BD488" s="358">
        <f>+AW488-9.5</f>
        <v>31.961344318077856</v>
      </c>
      <c r="BE488" s="295"/>
      <c r="BF488" s="295"/>
      <c r="BG488" s="295"/>
      <c r="BH488" s="336"/>
      <c r="BI488" s="295"/>
      <c r="BJ488" s="295"/>
      <c r="BK488" s="358">
        <f t="shared" ref="BK488:BK491" si="1636">BD488*(1+BK$492)</f>
        <v>31.961344318077856</v>
      </c>
      <c r="BL488" s="295"/>
      <c r="BM488" s="295"/>
      <c r="BN488" s="295"/>
      <c r="BO488" s="336"/>
      <c r="BP488" s="295"/>
      <c r="BQ488" s="295"/>
      <c r="BR488" s="358">
        <f>BK488*(1+BR$492)</f>
        <v>31.641730874897078</v>
      </c>
      <c r="BS488" s="295"/>
      <c r="BT488" s="295"/>
      <c r="BU488" s="295"/>
      <c r="BV488" s="336"/>
      <c r="BW488" s="295"/>
      <c r="BX488" s="295"/>
      <c r="BY488" s="358">
        <f>BR488*(1+BY$492)</f>
        <v>31.641730874897078</v>
      </c>
      <c r="BZ488" s="295"/>
      <c r="CA488" s="295"/>
      <c r="CB488" s="295"/>
      <c r="CC488" s="336"/>
      <c r="CD488" s="295"/>
      <c r="CE488" s="295"/>
      <c r="CF488" s="358">
        <f>BY488*(1+CF$492)</f>
        <v>31.641730874897078</v>
      </c>
      <c r="CG488" s="295"/>
      <c r="CH488" s="295"/>
      <c r="CI488" s="295"/>
      <c r="CJ488" s="336"/>
      <c r="CK488" s="295"/>
      <c r="CL488" s="295"/>
      <c r="CM488" s="358">
        <f>CF488*(1+CM$492)</f>
        <v>31.641730874897078</v>
      </c>
      <c r="CN488" s="295"/>
      <c r="CO488" s="295"/>
      <c r="CP488" s="295"/>
      <c r="CQ488" s="336"/>
      <c r="CR488" s="295"/>
      <c r="CS488" s="295"/>
      <c r="CT488" s="358"/>
      <c r="CU488" s="295"/>
      <c r="CV488" s="295"/>
      <c r="CW488" s="295"/>
      <c r="CX488" s="336"/>
      <c r="CY488" s="295"/>
      <c r="CZ488" s="295"/>
      <c r="DA488" s="358"/>
      <c r="DB488" s="295"/>
      <c r="DC488" s="295"/>
      <c r="DD488" s="295"/>
      <c r="DE488" s="336"/>
      <c r="DF488" s="295"/>
      <c r="DG488" s="295"/>
      <c r="DH488" s="358"/>
      <c r="DI488" s="295"/>
      <c r="DJ488" s="295"/>
      <c r="DK488" s="295"/>
      <c r="DL488" s="336"/>
      <c r="DM488" s="295"/>
      <c r="DN488" s="295"/>
      <c r="DO488" s="358"/>
      <c r="DP488" s="295"/>
      <c r="DQ488" s="295"/>
      <c r="DR488" s="295"/>
      <c r="DS488" s="336"/>
      <c r="DT488" s="295"/>
      <c r="DU488" s="295"/>
      <c r="DV488" s="358"/>
      <c r="DW488" s="295"/>
      <c r="DX488" s="295"/>
      <c r="DY488" s="295"/>
      <c r="DZ488" s="336"/>
      <c r="EA488" s="295"/>
      <c r="EB488" s="295"/>
      <c r="EC488" s="358"/>
      <c r="ED488" s="295"/>
      <c r="EE488" s="295"/>
      <c r="EF488" s="295"/>
      <c r="EG488" s="336"/>
      <c r="EH488" s="295"/>
      <c r="EI488" s="295"/>
      <c r="EJ488" s="358"/>
      <c r="EK488" s="295"/>
      <c r="EL488" s="295"/>
      <c r="EM488" s="295"/>
      <c r="EN488" s="336"/>
      <c r="EO488" s="295"/>
      <c r="EP488" s="295"/>
      <c r="EQ488" s="358"/>
    </row>
    <row r="489" spans="1:147" ht="10.199999999999999" hidden="1" customHeight="1" outlineLevel="1">
      <c r="A489" s="43" t="str">
        <f>+A174</f>
        <v>A319ceo</v>
      </c>
      <c r="B489" s="43"/>
      <c r="C489" s="94">
        <f t="shared" ref="C489:AP489" si="1637">+C174*(1-C201)</f>
        <v>37.296362755899978</v>
      </c>
      <c r="D489" s="94">
        <f t="shared" si="1637"/>
        <v>38.341139071562047</v>
      </c>
      <c r="E489" s="94">
        <f t="shared" si="1637"/>
        <v>38.423645320197053</v>
      </c>
      <c r="F489" s="94">
        <f t="shared" si="1637"/>
        <v>37.5625</v>
      </c>
      <c r="G489" s="94">
        <f t="shared" si="1637"/>
        <v>38.379687499999996</v>
      </c>
      <c r="H489" s="94">
        <f t="shared" si="1637"/>
        <v>39.174305624999988</v>
      </c>
      <c r="I489" s="94">
        <f t="shared" si="1637"/>
        <v>40.78145662499999</v>
      </c>
      <c r="J489" s="94">
        <f t="shared" si="1637"/>
        <v>41.393178474374984</v>
      </c>
      <c r="K489" s="94">
        <f t="shared" si="1637"/>
        <v>41.47543414954842</v>
      </c>
      <c r="L489" s="94">
        <f t="shared" si="1637"/>
        <v>48.360000000000007</v>
      </c>
      <c r="M489" s="94">
        <f t="shared" si="1637"/>
        <v>49.728000000000002</v>
      </c>
      <c r="N489" s="94">
        <f t="shared" si="1637"/>
        <v>38.332499999999996</v>
      </c>
      <c r="O489" s="295"/>
      <c r="P489" s="295"/>
      <c r="Q489" s="295"/>
      <c r="R489" s="336"/>
      <c r="S489" s="295"/>
      <c r="T489" s="295"/>
      <c r="U489" s="358">
        <f t="shared" si="1637"/>
        <v>38.873999999999995</v>
      </c>
      <c r="V489" s="295"/>
      <c r="W489" s="295"/>
      <c r="X489" s="295"/>
      <c r="Y489" s="336"/>
      <c r="Z489" s="295"/>
      <c r="AA489" s="295"/>
      <c r="AB489" s="358">
        <f t="shared" si="1637"/>
        <v>54.496915940006986</v>
      </c>
      <c r="AC489" s="295"/>
      <c r="AD489" s="295"/>
      <c r="AE489" s="295"/>
      <c r="AF489" s="336"/>
      <c r="AG489" s="295"/>
      <c r="AH489" s="295"/>
      <c r="AI489" s="358">
        <f t="shared" si="1637"/>
        <v>53.009951450105241</v>
      </c>
      <c r="AJ489" s="295"/>
      <c r="AK489" s="295"/>
      <c r="AL489" s="295"/>
      <c r="AM489" s="336"/>
      <c r="AN489" s="295"/>
      <c r="AO489" s="295"/>
      <c r="AP489" s="358">
        <f t="shared" si="1637"/>
        <v>50.734903218270013</v>
      </c>
      <c r="AQ489" s="295"/>
      <c r="AR489" s="295"/>
      <c r="AS489" s="295"/>
      <c r="AT489" s="336"/>
      <c r="AU489" s="295"/>
      <c r="AV489" s="295"/>
      <c r="AW489" s="358">
        <f>AP489*(1+AW$492)</f>
        <v>49.466530637813264</v>
      </c>
      <c r="AX489" s="295"/>
      <c r="AY489" s="295"/>
      <c r="AZ489" s="295"/>
      <c r="BA489" s="336"/>
      <c r="BB489" s="295"/>
      <c r="BC489" s="295"/>
      <c r="BD489" s="358">
        <f>+AW489-9.5</f>
        <v>39.966530637813264</v>
      </c>
      <c r="BE489" s="295"/>
      <c r="BF489" s="295"/>
      <c r="BG489" s="295"/>
      <c r="BH489" s="336"/>
      <c r="BI489" s="295"/>
      <c r="BJ489" s="295"/>
      <c r="BK489" s="358">
        <f t="shared" si="1636"/>
        <v>39.966530637813264</v>
      </c>
      <c r="BL489" s="295"/>
      <c r="BM489" s="295"/>
      <c r="BN489" s="295"/>
      <c r="BO489" s="336"/>
      <c r="BP489" s="295"/>
      <c r="BQ489" s="295"/>
      <c r="BR489" s="358">
        <f>BK489*(1+BR$492)</f>
        <v>39.566865331435132</v>
      </c>
      <c r="BS489" s="295"/>
      <c r="BT489" s="295"/>
      <c r="BU489" s="295"/>
      <c r="BV489" s="336"/>
      <c r="BW489" s="295"/>
      <c r="BX489" s="295"/>
      <c r="BY489" s="358">
        <f>BR489*(1+BY$492)</f>
        <v>39.566865331435132</v>
      </c>
      <c r="BZ489" s="295"/>
      <c r="CA489" s="295"/>
      <c r="CB489" s="295"/>
      <c r="CC489" s="336"/>
      <c r="CD489" s="295"/>
      <c r="CE489" s="295"/>
      <c r="CF489" s="358">
        <f>BY489*(1+CF$492)</f>
        <v>39.566865331435132</v>
      </c>
      <c r="CG489" s="295"/>
      <c r="CH489" s="295"/>
      <c r="CI489" s="295"/>
      <c r="CJ489" s="336"/>
      <c r="CK489" s="295"/>
      <c r="CL489" s="295"/>
      <c r="CM489" s="358">
        <f>CF489*(1+CM$492)</f>
        <v>39.566865331435132</v>
      </c>
      <c r="CN489" s="295"/>
      <c r="CO489" s="295"/>
      <c r="CP489" s="295"/>
      <c r="CQ489" s="336"/>
      <c r="CR489" s="295"/>
      <c r="CS489" s="295"/>
      <c r="CT489" s="358"/>
      <c r="CU489" s="295"/>
      <c r="CV489" s="295"/>
      <c r="CW489" s="295"/>
      <c r="CX489" s="336"/>
      <c r="CY489" s="295"/>
      <c r="CZ489" s="295"/>
      <c r="DA489" s="358"/>
      <c r="DB489" s="295"/>
      <c r="DC489" s="295"/>
      <c r="DD489" s="295"/>
      <c r="DE489" s="336"/>
      <c r="DF489" s="295"/>
      <c r="DG489" s="295"/>
      <c r="DH489" s="358"/>
      <c r="DI489" s="295"/>
      <c r="DJ489" s="295"/>
      <c r="DK489" s="295"/>
      <c r="DL489" s="336"/>
      <c r="DM489" s="295"/>
      <c r="DN489" s="295"/>
      <c r="DO489" s="358"/>
      <c r="DP489" s="295"/>
      <c r="DQ489" s="295"/>
      <c r="DR489" s="295"/>
      <c r="DS489" s="336"/>
      <c r="DT489" s="295"/>
      <c r="DU489" s="295"/>
      <c r="DV489" s="358"/>
      <c r="DW489" s="295"/>
      <c r="DX489" s="295"/>
      <c r="DY489" s="295"/>
      <c r="DZ489" s="336"/>
      <c r="EA489" s="295"/>
      <c r="EB489" s="295"/>
      <c r="EC489" s="358"/>
      <c r="ED489" s="295"/>
      <c r="EE489" s="295"/>
      <c r="EF489" s="295"/>
      <c r="EG489" s="336"/>
      <c r="EH489" s="295"/>
      <c r="EI489" s="295"/>
      <c r="EJ489" s="358"/>
      <c r="EK489" s="295"/>
      <c r="EL489" s="295"/>
      <c r="EM489" s="295"/>
      <c r="EN489" s="336"/>
      <c r="EO489" s="295"/>
      <c r="EP489" s="295"/>
      <c r="EQ489" s="358"/>
    </row>
    <row r="490" spans="1:147" ht="10.199999999999999" hidden="1" customHeight="1" outlineLevel="1">
      <c r="A490" s="43" t="str">
        <f>+A175</f>
        <v>A320ceo</v>
      </c>
      <c r="B490" s="43"/>
      <c r="C490" s="94">
        <f t="shared" ref="C490:AP490" si="1638">+C175*(1-C201)</f>
        <v>42.517853541725977</v>
      </c>
      <c r="D490" s="94">
        <f t="shared" si="1638"/>
        <v>43.70889854158073</v>
      </c>
      <c r="E490" s="94">
        <f t="shared" si="1638"/>
        <v>43.802955665024633</v>
      </c>
      <c r="F490" s="94">
        <f t="shared" si="1638"/>
        <v>42.821249999999999</v>
      </c>
      <c r="G490" s="94">
        <f t="shared" si="1638"/>
        <v>43.752843749999997</v>
      </c>
      <c r="H490" s="94">
        <f t="shared" si="1638"/>
        <v>44.65870841249999</v>
      </c>
      <c r="I490" s="94">
        <f t="shared" si="1638"/>
        <v>46.490860552499989</v>
      </c>
      <c r="J490" s="94">
        <f t="shared" si="1638"/>
        <v>47.188223460787491</v>
      </c>
      <c r="K490" s="94">
        <f t="shared" si="1638"/>
        <v>47.281994930485205</v>
      </c>
      <c r="L490" s="94">
        <f t="shared" si="1638"/>
        <v>52.910000000000004</v>
      </c>
      <c r="M490" s="94">
        <f t="shared" si="1638"/>
        <v>54.4</v>
      </c>
      <c r="N490" s="94">
        <f t="shared" si="1638"/>
        <v>41.942499999999995</v>
      </c>
      <c r="O490" s="295"/>
      <c r="P490" s="295"/>
      <c r="Q490" s="295"/>
      <c r="R490" s="336"/>
      <c r="S490" s="295"/>
      <c r="T490" s="295"/>
      <c r="U490" s="358">
        <f t="shared" si="1638"/>
        <v>42.547499999999999</v>
      </c>
      <c r="V490" s="295"/>
      <c r="W490" s="295"/>
      <c r="X490" s="295"/>
      <c r="Y490" s="336"/>
      <c r="Z490" s="295"/>
      <c r="AA490" s="295"/>
      <c r="AB490" s="358">
        <f t="shared" si="1638"/>
        <v>59.641729682595063</v>
      </c>
      <c r="AC490" s="295"/>
      <c r="AD490" s="295"/>
      <c r="AE490" s="295"/>
      <c r="AF490" s="336"/>
      <c r="AG490" s="295"/>
      <c r="AH490" s="295"/>
      <c r="AI490" s="358">
        <f t="shared" si="1638"/>
        <v>58.035725628219062</v>
      </c>
      <c r="AJ490" s="295"/>
      <c r="AK490" s="295"/>
      <c r="AL490" s="295"/>
      <c r="AM490" s="336"/>
      <c r="AN490" s="295"/>
      <c r="AO490" s="295"/>
      <c r="AP490" s="358">
        <f t="shared" si="1638"/>
        <v>55.491300394982829</v>
      </c>
      <c r="AQ490" s="295"/>
      <c r="AR490" s="295"/>
      <c r="AS490" s="295"/>
      <c r="AT490" s="336"/>
      <c r="AU490" s="295"/>
      <c r="AV490" s="295"/>
      <c r="AW490" s="358">
        <f>AP490*(1+AW$492)</f>
        <v>54.104017885108256</v>
      </c>
      <c r="AX490" s="295"/>
      <c r="AY490" s="295"/>
      <c r="AZ490" s="295"/>
      <c r="BA490" s="336"/>
      <c r="BB490" s="295"/>
      <c r="BC490" s="295"/>
      <c r="BD490" s="358">
        <f>+AW490-9.5</f>
        <v>44.604017885108256</v>
      </c>
      <c r="BE490" s="295"/>
      <c r="BF490" s="295"/>
      <c r="BG490" s="295"/>
      <c r="BH490" s="336"/>
      <c r="BI490" s="295"/>
      <c r="BJ490" s="295"/>
      <c r="BK490" s="358">
        <f t="shared" si="1636"/>
        <v>44.604017885108256</v>
      </c>
      <c r="BL490" s="295"/>
      <c r="BM490" s="295"/>
      <c r="BN490" s="295"/>
      <c r="BO490" s="336"/>
      <c r="BP490" s="295"/>
      <c r="BQ490" s="295"/>
      <c r="BR490" s="358">
        <f>BK490*(1+BR$492)</f>
        <v>44.157977706257171</v>
      </c>
      <c r="BS490" s="295"/>
      <c r="BT490" s="295"/>
      <c r="BU490" s="295"/>
      <c r="BV490" s="336"/>
      <c r="BW490" s="295"/>
      <c r="BX490" s="295"/>
      <c r="BY490" s="358">
        <f>BR490*(1+BY$492)</f>
        <v>44.157977706257171</v>
      </c>
      <c r="BZ490" s="295"/>
      <c r="CA490" s="295"/>
      <c r="CB490" s="295"/>
      <c r="CC490" s="336"/>
      <c r="CD490" s="295"/>
      <c r="CE490" s="295"/>
      <c r="CF490" s="358">
        <f>BY490*(1+CF$492)</f>
        <v>44.157977706257171</v>
      </c>
      <c r="CG490" s="295"/>
      <c r="CH490" s="295"/>
      <c r="CI490" s="295"/>
      <c r="CJ490" s="336"/>
      <c r="CK490" s="295"/>
      <c r="CL490" s="295"/>
      <c r="CM490" s="358">
        <f>CF490*(1+CM$492)</f>
        <v>44.157977706257171</v>
      </c>
      <c r="CN490" s="295"/>
      <c r="CO490" s="295"/>
      <c r="CP490" s="295"/>
      <c r="CQ490" s="336"/>
      <c r="CR490" s="295"/>
      <c r="CS490" s="295"/>
      <c r="CT490" s="358"/>
      <c r="CU490" s="295"/>
      <c r="CV490" s="295"/>
      <c r="CW490" s="295"/>
      <c r="CX490" s="336"/>
      <c r="CY490" s="295"/>
      <c r="CZ490" s="295"/>
      <c r="DA490" s="358"/>
      <c r="DB490" s="295"/>
      <c r="DC490" s="295"/>
      <c r="DD490" s="295"/>
      <c r="DE490" s="336"/>
      <c r="DF490" s="295"/>
      <c r="DG490" s="295"/>
      <c r="DH490" s="358"/>
      <c r="DI490" s="295"/>
      <c r="DJ490" s="295"/>
      <c r="DK490" s="295"/>
      <c r="DL490" s="336"/>
      <c r="DM490" s="295"/>
      <c r="DN490" s="295"/>
      <c r="DO490" s="358"/>
      <c r="DP490" s="295"/>
      <c r="DQ490" s="295"/>
      <c r="DR490" s="295"/>
      <c r="DS490" s="336"/>
      <c r="DT490" s="295"/>
      <c r="DU490" s="295"/>
      <c r="DV490" s="358"/>
      <c r="DW490" s="295"/>
      <c r="DX490" s="295"/>
      <c r="DY490" s="295"/>
      <c r="DZ490" s="336"/>
      <c r="EA490" s="295"/>
      <c r="EB490" s="295"/>
      <c r="EC490" s="358"/>
      <c r="ED490" s="295"/>
      <c r="EE490" s="295"/>
      <c r="EF490" s="295"/>
      <c r="EG490" s="336"/>
      <c r="EH490" s="295"/>
      <c r="EI490" s="295"/>
      <c r="EJ490" s="358"/>
      <c r="EK490" s="295"/>
      <c r="EL490" s="295"/>
      <c r="EM490" s="295"/>
      <c r="EN490" s="336"/>
      <c r="EO490" s="295"/>
      <c r="EP490" s="295"/>
      <c r="EQ490" s="358"/>
    </row>
    <row r="491" spans="1:147" ht="10.199999999999999" hidden="1" customHeight="1" outlineLevel="1">
      <c r="A491" s="43" t="str">
        <f>+A176</f>
        <v>A321ceo</v>
      </c>
      <c r="B491" s="43"/>
      <c r="C491" s="63">
        <f t="shared" ref="C491:AP491" si="1639">+C176*(1-C201)</f>
        <v>52.21490785825997</v>
      </c>
      <c r="D491" s="63">
        <f t="shared" si="1639"/>
        <v>53.677594700186866</v>
      </c>
      <c r="E491" s="63">
        <f t="shared" si="1639"/>
        <v>53.793103448275872</v>
      </c>
      <c r="F491" s="63">
        <f t="shared" si="1639"/>
        <v>52.587499999999999</v>
      </c>
      <c r="G491" s="63">
        <f t="shared" si="1639"/>
        <v>53.731562499999995</v>
      </c>
      <c r="H491" s="63">
        <f t="shared" si="1639"/>
        <v>54.844027874999988</v>
      </c>
      <c r="I491" s="63">
        <f t="shared" si="1639"/>
        <v>57.094039274999986</v>
      </c>
      <c r="J491" s="63">
        <f t="shared" si="1639"/>
        <v>57.950449864124977</v>
      </c>
      <c r="K491" s="63">
        <f t="shared" si="1639"/>
        <v>58.065607809367791</v>
      </c>
      <c r="L491" s="63">
        <f t="shared" si="1639"/>
        <v>62.075000000000003</v>
      </c>
      <c r="M491" s="63">
        <f t="shared" si="1639"/>
        <v>63.808</v>
      </c>
      <c r="N491" s="79">
        <f t="shared" si="1639"/>
        <v>49.209999999999994</v>
      </c>
      <c r="O491" s="295"/>
      <c r="P491" s="295"/>
      <c r="Q491" s="295"/>
      <c r="R491" s="336"/>
      <c r="S491" s="295"/>
      <c r="T491" s="295"/>
      <c r="U491" s="359">
        <f t="shared" si="1639"/>
        <v>49.894499999999994</v>
      </c>
      <c r="V491" s="295"/>
      <c r="W491" s="295"/>
      <c r="X491" s="295"/>
      <c r="Y491" s="336"/>
      <c r="Z491" s="295"/>
      <c r="AA491" s="295"/>
      <c r="AB491" s="359">
        <f t="shared" si="1639"/>
        <v>69.931357167771196</v>
      </c>
      <c r="AC491" s="295"/>
      <c r="AD491" s="295"/>
      <c r="AE491" s="295"/>
      <c r="AF491" s="336"/>
      <c r="AG491" s="295"/>
      <c r="AH491" s="295"/>
      <c r="AI491" s="359">
        <f t="shared" si="1639"/>
        <v>68.027443339469144</v>
      </c>
      <c r="AJ491" s="295"/>
      <c r="AK491" s="295"/>
      <c r="AL491" s="295"/>
      <c r="AM491" s="336"/>
      <c r="AN491" s="295"/>
      <c r="AO491" s="295"/>
      <c r="AP491" s="359">
        <f t="shared" si="1639"/>
        <v>65.060718524321715</v>
      </c>
      <c r="AQ491" s="295"/>
      <c r="AR491" s="295"/>
      <c r="AS491" s="295"/>
      <c r="AT491" s="336"/>
      <c r="AU491" s="295"/>
      <c r="AV491" s="295"/>
      <c r="AW491" s="359">
        <f>AP491*(1+AW$492)</f>
        <v>63.434200561213672</v>
      </c>
      <c r="AX491" s="295"/>
      <c r="AY491" s="295"/>
      <c r="AZ491" s="295"/>
      <c r="BA491" s="336"/>
      <c r="BB491" s="295"/>
      <c r="BC491" s="295"/>
      <c r="BD491" s="359">
        <f>+AW491-9.5</f>
        <v>53.934200561213672</v>
      </c>
      <c r="BE491" s="295"/>
      <c r="BF491" s="295"/>
      <c r="BG491" s="295"/>
      <c r="BH491" s="336"/>
      <c r="BI491" s="295"/>
      <c r="BJ491" s="295"/>
      <c r="BK491" s="359">
        <f t="shared" si="1636"/>
        <v>53.934200561213672</v>
      </c>
      <c r="BL491" s="295"/>
      <c r="BM491" s="295"/>
      <c r="BN491" s="295"/>
      <c r="BO491" s="336"/>
      <c r="BP491" s="295"/>
      <c r="BQ491" s="295"/>
      <c r="BR491" s="359">
        <f>BK491*(1+BR$492)</f>
        <v>53.394858555601537</v>
      </c>
      <c r="BS491" s="295"/>
      <c r="BT491" s="295"/>
      <c r="BU491" s="295"/>
      <c r="BV491" s="336"/>
      <c r="BW491" s="295"/>
      <c r="BX491" s="295"/>
      <c r="BY491" s="359">
        <f>BR491*(1+BY$492)</f>
        <v>53.394858555601537</v>
      </c>
      <c r="BZ491" s="295"/>
      <c r="CA491" s="295"/>
      <c r="CB491" s="295"/>
      <c r="CC491" s="336"/>
      <c r="CD491" s="295"/>
      <c r="CE491" s="295"/>
      <c r="CF491" s="359">
        <f>BY491*(1+CF$492)</f>
        <v>53.394858555601537</v>
      </c>
      <c r="CG491" s="295"/>
      <c r="CH491" s="295"/>
      <c r="CI491" s="295"/>
      <c r="CJ491" s="336"/>
      <c r="CK491" s="295"/>
      <c r="CL491" s="295"/>
      <c r="CM491" s="359">
        <f>CF491*(1+CM$492)</f>
        <v>53.394858555601537</v>
      </c>
      <c r="CN491" s="295"/>
      <c r="CO491" s="295"/>
      <c r="CP491" s="295"/>
      <c r="CQ491" s="336"/>
      <c r="CR491" s="295"/>
      <c r="CS491" s="295"/>
      <c r="CT491" s="359"/>
      <c r="CU491" s="295"/>
      <c r="CV491" s="295"/>
      <c r="CW491" s="295"/>
      <c r="CX491" s="336"/>
      <c r="CY491" s="295"/>
      <c r="CZ491" s="295"/>
      <c r="DA491" s="359"/>
      <c r="DB491" s="295"/>
      <c r="DC491" s="295"/>
      <c r="DD491" s="295"/>
      <c r="DE491" s="336"/>
      <c r="DF491" s="295"/>
      <c r="DG491" s="295"/>
      <c r="DH491" s="359"/>
      <c r="DI491" s="295"/>
      <c r="DJ491" s="295"/>
      <c r="DK491" s="295"/>
      <c r="DL491" s="336"/>
      <c r="DM491" s="295"/>
      <c r="DN491" s="295"/>
      <c r="DO491" s="359"/>
      <c r="DP491" s="295"/>
      <c r="DQ491" s="295"/>
      <c r="DR491" s="295"/>
      <c r="DS491" s="336"/>
      <c r="DT491" s="295"/>
      <c r="DU491" s="295"/>
      <c r="DV491" s="359"/>
      <c r="DW491" s="295"/>
      <c r="DX491" s="295"/>
      <c r="DY491" s="295"/>
      <c r="DZ491" s="336"/>
      <c r="EA491" s="295"/>
      <c r="EB491" s="295"/>
      <c r="EC491" s="359"/>
      <c r="ED491" s="295"/>
      <c r="EE491" s="295"/>
      <c r="EF491" s="295"/>
      <c r="EG491" s="336"/>
      <c r="EH491" s="295"/>
      <c r="EI491" s="295"/>
      <c r="EJ491" s="359"/>
      <c r="EK491" s="295"/>
      <c r="EL491" s="295"/>
      <c r="EM491" s="295"/>
      <c r="EN491" s="336"/>
      <c r="EO491" s="295"/>
      <c r="EP491" s="295"/>
      <c r="EQ491" s="359"/>
    </row>
    <row r="492" spans="1:147" ht="10.199999999999999" hidden="1" customHeight="1" outlineLevel="1">
      <c r="A492" s="51" t="s">
        <v>522</v>
      </c>
      <c r="B492" s="48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95"/>
      <c r="O492" s="481"/>
      <c r="P492" s="481"/>
      <c r="Q492" s="481"/>
      <c r="R492" s="482"/>
      <c r="S492" s="481"/>
      <c r="T492" s="481"/>
      <c r="U492" s="360"/>
      <c r="V492" s="481"/>
      <c r="W492" s="481"/>
      <c r="X492" s="481"/>
      <c r="Y492" s="482"/>
      <c r="Z492" s="481"/>
      <c r="AA492" s="481"/>
      <c r="AB492" s="360"/>
      <c r="AC492" s="481"/>
      <c r="AD492" s="481"/>
      <c r="AE492" s="481"/>
      <c r="AF492" s="482"/>
      <c r="AG492" s="481"/>
      <c r="AH492" s="481"/>
      <c r="AI492" s="360"/>
      <c r="AJ492" s="481"/>
      <c r="AK492" s="481"/>
      <c r="AL492" s="481"/>
      <c r="AM492" s="482"/>
      <c r="AN492" s="481"/>
      <c r="AO492" s="481"/>
      <c r="AP492" s="360"/>
      <c r="AQ492" s="481"/>
      <c r="AR492" s="481"/>
      <c r="AS492" s="481"/>
      <c r="AT492" s="482"/>
      <c r="AU492" s="481"/>
      <c r="AV492" s="481"/>
      <c r="AW492" s="360">
        <v>-2.5000000000000001E-2</v>
      </c>
      <c r="AX492" s="481"/>
      <c r="AY492" s="481"/>
      <c r="AZ492" s="481"/>
      <c r="BA492" s="482"/>
      <c r="BB492" s="481"/>
      <c r="BC492" s="481"/>
      <c r="BD492" s="360" t="s">
        <v>653</v>
      </c>
      <c r="BE492" s="481"/>
      <c r="BF492" s="481"/>
      <c r="BG492" s="481"/>
      <c r="BH492" s="482"/>
      <c r="BI492" s="481"/>
      <c r="BJ492" s="481"/>
      <c r="BK492" s="360">
        <v>0</v>
      </c>
      <c r="BL492" s="481"/>
      <c r="BM492" s="481"/>
      <c r="BN492" s="481"/>
      <c r="BO492" s="482"/>
      <c r="BP492" s="481"/>
      <c r="BQ492" s="481"/>
      <c r="BR492" s="360">
        <v>-0.01</v>
      </c>
      <c r="BS492" s="481"/>
      <c r="BT492" s="481"/>
      <c r="BU492" s="481"/>
      <c r="BV492" s="482"/>
      <c r="BW492" s="481"/>
      <c r="BX492" s="481"/>
      <c r="BY492" s="360">
        <v>0</v>
      </c>
      <c r="BZ492" s="481"/>
      <c r="CA492" s="481"/>
      <c r="CB492" s="481"/>
      <c r="CC492" s="482"/>
      <c r="CD492" s="481"/>
      <c r="CE492" s="481"/>
      <c r="CF492" s="360">
        <v>0</v>
      </c>
      <c r="CG492" s="481"/>
      <c r="CH492" s="481"/>
      <c r="CI492" s="481"/>
      <c r="CJ492" s="482"/>
      <c r="CK492" s="481"/>
      <c r="CL492" s="481"/>
      <c r="CM492" s="360">
        <v>0</v>
      </c>
      <c r="CN492" s="481"/>
      <c r="CO492" s="481"/>
      <c r="CP492" s="481"/>
      <c r="CQ492" s="482"/>
      <c r="CR492" s="481"/>
      <c r="CS492" s="481"/>
      <c r="CT492" s="360"/>
      <c r="CU492" s="481"/>
      <c r="CV492" s="481"/>
      <c r="CW492" s="481"/>
      <c r="CX492" s="482"/>
      <c r="CY492" s="481"/>
      <c r="CZ492" s="481"/>
      <c r="DA492" s="360"/>
      <c r="DB492" s="481"/>
      <c r="DC492" s="481"/>
      <c r="DD492" s="481"/>
      <c r="DE492" s="482"/>
      <c r="DF492" s="481"/>
      <c r="DG492" s="481"/>
      <c r="DH492" s="360"/>
      <c r="DI492" s="481"/>
      <c r="DJ492" s="481"/>
      <c r="DK492" s="481"/>
      <c r="DL492" s="482"/>
      <c r="DM492" s="481"/>
      <c r="DN492" s="481"/>
      <c r="DO492" s="360"/>
      <c r="DP492" s="481"/>
      <c r="DQ492" s="481"/>
      <c r="DR492" s="481"/>
      <c r="DS492" s="482"/>
      <c r="DT492" s="481"/>
      <c r="DU492" s="481"/>
      <c r="DV492" s="360"/>
      <c r="DW492" s="481"/>
      <c r="DX492" s="481"/>
      <c r="DY492" s="481"/>
      <c r="DZ492" s="482"/>
      <c r="EA492" s="481"/>
      <c r="EB492" s="481"/>
      <c r="EC492" s="360"/>
      <c r="ED492" s="481"/>
      <c r="EE492" s="481"/>
      <c r="EF492" s="481"/>
      <c r="EG492" s="482"/>
      <c r="EH492" s="481"/>
      <c r="EI492" s="481"/>
      <c r="EJ492" s="360"/>
      <c r="EK492" s="481"/>
      <c r="EL492" s="481"/>
      <c r="EM492" s="481"/>
      <c r="EN492" s="482"/>
      <c r="EO492" s="481"/>
      <c r="EP492" s="481"/>
      <c r="EQ492" s="360"/>
    </row>
    <row r="493" spans="1:147" ht="10.199999999999999" hidden="1" customHeight="1" outlineLevel="1">
      <c r="A493" s="43" t="str">
        <f>+A177</f>
        <v>A319neo</v>
      </c>
      <c r="B493" s="4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79"/>
      <c r="O493" s="295"/>
      <c r="P493" s="295"/>
      <c r="Q493" s="295"/>
      <c r="R493" s="336"/>
      <c r="S493" s="295"/>
      <c r="T493" s="295"/>
      <c r="U493" s="358"/>
      <c r="V493" s="295"/>
      <c r="W493" s="295"/>
      <c r="X493" s="295"/>
      <c r="Y493" s="336"/>
      <c r="Z493" s="295"/>
      <c r="AA493" s="295"/>
      <c r="AB493" s="358"/>
      <c r="AC493" s="295"/>
      <c r="AD493" s="295"/>
      <c r="AE493" s="295"/>
      <c r="AF493" s="336"/>
      <c r="AG493" s="295"/>
      <c r="AH493" s="295"/>
      <c r="AI493" s="358"/>
      <c r="AJ493" s="295"/>
      <c r="AK493" s="295"/>
      <c r="AL493" s="295"/>
      <c r="AM493" s="336"/>
      <c r="AN493" s="295"/>
      <c r="AO493" s="295"/>
      <c r="AP493" s="358">
        <f>AP177*(1-AP$204)</f>
        <v>54.175000000000004</v>
      </c>
      <c r="AQ493" s="295"/>
      <c r="AR493" s="295"/>
      <c r="AS493" s="295"/>
      <c r="AT493" s="336"/>
      <c r="AU493" s="295"/>
      <c r="AV493" s="295"/>
      <c r="AW493" s="358">
        <f>AP493*(1+AW$496)</f>
        <v>54.175000000000004</v>
      </c>
      <c r="AX493" s="295"/>
      <c r="AY493" s="295"/>
      <c r="AZ493" s="295"/>
      <c r="BA493" s="336"/>
      <c r="BB493" s="295"/>
      <c r="BC493" s="295"/>
      <c r="BD493" s="358">
        <f>+AW493-9</f>
        <v>45.175000000000004</v>
      </c>
      <c r="BE493" s="295"/>
      <c r="BF493" s="295"/>
      <c r="BG493" s="295"/>
      <c r="BH493" s="336"/>
      <c r="BI493" s="295"/>
      <c r="BJ493" s="295"/>
      <c r="BK493" s="358">
        <f t="shared" ref="BK493:BK495" si="1640">BD493*(1+BK$496)</f>
        <v>45.175000000000004</v>
      </c>
      <c r="BL493" s="295"/>
      <c r="BM493" s="295"/>
      <c r="BN493" s="295"/>
      <c r="BO493" s="336"/>
      <c r="BP493" s="295"/>
      <c r="BQ493" s="295"/>
      <c r="BR493" s="358">
        <f>BK493*(1+BR$496)</f>
        <v>45.400874999999999</v>
      </c>
      <c r="BS493" s="295"/>
      <c r="BT493" s="295"/>
      <c r="BU493" s="295"/>
      <c r="BV493" s="336"/>
      <c r="BW493" s="295"/>
      <c r="BX493" s="295"/>
      <c r="BY493" s="358">
        <f>BR493*(1+BY$496)</f>
        <v>45.400874999999999</v>
      </c>
      <c r="BZ493" s="295"/>
      <c r="CA493" s="295"/>
      <c r="CB493" s="295"/>
      <c r="CC493" s="336"/>
      <c r="CD493" s="295"/>
      <c r="CE493" s="295"/>
      <c r="CF493" s="358">
        <v>49</v>
      </c>
      <c r="CG493" s="295"/>
      <c r="CH493" s="295"/>
      <c r="CI493" s="295"/>
      <c r="CJ493" s="336"/>
      <c r="CK493" s="295"/>
      <c r="CL493" s="295"/>
      <c r="CM493" s="358">
        <f>CF493*(1+CM$496)</f>
        <v>49.980000000000004</v>
      </c>
      <c r="CN493" s="295"/>
      <c r="CO493" s="295"/>
      <c r="CP493" s="295"/>
      <c r="CQ493" s="336"/>
      <c r="CR493" s="295"/>
      <c r="CS493" s="295"/>
      <c r="CT493" s="358">
        <f>CM493*(1+CT$496)</f>
        <v>51.979200000000006</v>
      </c>
      <c r="CU493" s="295"/>
      <c r="CV493" s="295"/>
      <c r="CW493" s="295"/>
      <c r="CX493" s="336"/>
      <c r="CY493" s="295"/>
      <c r="CZ493" s="295"/>
      <c r="DA493" s="358">
        <f>CT493*(1+DA$496)</f>
        <v>54.058368000000009</v>
      </c>
      <c r="DB493" s="295"/>
      <c r="DC493" s="295"/>
      <c r="DD493" s="295"/>
      <c r="DE493" s="336"/>
      <c r="DF493" s="295"/>
      <c r="DG493" s="295"/>
      <c r="DH493" s="358">
        <f>DA493*(1+DH$496)</f>
        <v>56.220702720000013</v>
      </c>
      <c r="DI493" s="295"/>
      <c r="DJ493" s="295"/>
      <c r="DK493" s="295"/>
      <c r="DL493" s="336"/>
      <c r="DM493" s="295"/>
      <c r="DN493" s="295"/>
      <c r="DO493" s="358">
        <f>DH493*(1+DO$496)</f>
        <v>58.469530828800018</v>
      </c>
      <c r="DP493" s="295"/>
      <c r="DQ493" s="295"/>
      <c r="DR493" s="295"/>
      <c r="DS493" s="336"/>
      <c r="DT493" s="295"/>
      <c r="DU493" s="295"/>
      <c r="DV493" s="358">
        <f>DO493*(1+DV$496)</f>
        <v>60.808312061952023</v>
      </c>
      <c r="DW493" s="295"/>
      <c r="DX493" s="295"/>
      <c r="DY493" s="295"/>
      <c r="DZ493" s="336"/>
      <c r="EA493" s="295"/>
      <c r="EB493" s="295"/>
      <c r="EC493" s="358">
        <f>DV493*(1+EC$496)</f>
        <v>63.240644544430104</v>
      </c>
      <c r="ED493" s="295"/>
      <c r="EE493" s="295"/>
      <c r="EF493" s="295"/>
      <c r="EG493" s="336"/>
      <c r="EH493" s="295"/>
      <c r="EI493" s="295"/>
      <c r="EJ493" s="358">
        <f>EC493*(1+EJ$496)</f>
        <v>65.77027032620731</v>
      </c>
      <c r="EK493" s="295"/>
      <c r="EL493" s="295"/>
      <c r="EM493" s="295"/>
      <c r="EN493" s="336"/>
      <c r="EO493" s="295"/>
      <c r="EP493" s="295"/>
      <c r="EQ493" s="358">
        <f>EJ493*(1+EQ$496)</f>
        <v>68.401081139255609</v>
      </c>
    </row>
    <row r="494" spans="1:147" ht="10.199999999999999" hidden="1" customHeight="1" outlineLevel="1">
      <c r="A494" s="43" t="str">
        <f>+A178</f>
        <v>A320neo</v>
      </c>
      <c r="B494" s="4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79"/>
      <c r="O494" s="295"/>
      <c r="P494" s="295"/>
      <c r="Q494" s="295"/>
      <c r="R494" s="336"/>
      <c r="S494" s="295"/>
      <c r="T494" s="295"/>
      <c r="U494" s="358"/>
      <c r="V494" s="295"/>
      <c r="W494" s="295"/>
      <c r="X494" s="295"/>
      <c r="Y494" s="336"/>
      <c r="Z494" s="295"/>
      <c r="AA494" s="295"/>
      <c r="AB494" s="358"/>
      <c r="AC494" s="295"/>
      <c r="AD494" s="295"/>
      <c r="AE494" s="295"/>
      <c r="AF494" s="336"/>
      <c r="AG494" s="295"/>
      <c r="AH494" s="295"/>
      <c r="AI494" s="358"/>
      <c r="AJ494" s="295"/>
      <c r="AK494" s="295"/>
      <c r="AL494" s="295"/>
      <c r="AM494" s="336"/>
      <c r="AN494" s="295"/>
      <c r="AO494" s="295"/>
      <c r="AP494" s="358">
        <f>AP178*(1-AP$204)</f>
        <v>59.015000000000001</v>
      </c>
      <c r="AQ494" s="295"/>
      <c r="AR494" s="295"/>
      <c r="AS494" s="295"/>
      <c r="AT494" s="336"/>
      <c r="AU494" s="295"/>
      <c r="AV494" s="295"/>
      <c r="AW494" s="358">
        <f>AP494*(1+AW$496)</f>
        <v>59.015000000000001</v>
      </c>
      <c r="AX494" s="295"/>
      <c r="AY494" s="295"/>
      <c r="AZ494" s="295"/>
      <c r="BA494" s="336"/>
      <c r="BB494" s="295"/>
      <c r="BC494" s="295"/>
      <c r="BD494" s="358">
        <f>+AW494-9</f>
        <v>50.015000000000001</v>
      </c>
      <c r="BE494" s="295"/>
      <c r="BF494" s="295"/>
      <c r="BG494" s="295"/>
      <c r="BH494" s="336"/>
      <c r="BI494" s="295"/>
      <c r="BJ494" s="295"/>
      <c r="BK494" s="358">
        <f t="shared" si="1640"/>
        <v>50.015000000000001</v>
      </c>
      <c r="BL494" s="295"/>
      <c r="BM494" s="295"/>
      <c r="BN494" s="295"/>
      <c r="BO494" s="336"/>
      <c r="BP494" s="295"/>
      <c r="BQ494" s="295"/>
      <c r="BR494" s="358">
        <f>BK494*(1+BR$496)</f>
        <v>50.265074999999996</v>
      </c>
      <c r="BS494" s="295"/>
      <c r="BT494" s="295"/>
      <c r="BU494" s="295"/>
      <c r="BV494" s="336"/>
      <c r="BW494" s="295"/>
      <c r="BX494" s="295"/>
      <c r="BY494" s="358">
        <f>BR494*(1+BY$496)</f>
        <v>50.265074999999996</v>
      </c>
      <c r="BZ494" s="295"/>
      <c r="CA494" s="295"/>
      <c r="CB494" s="295"/>
      <c r="CC494" s="336"/>
      <c r="CD494" s="295"/>
      <c r="CE494" s="295"/>
      <c r="CF494" s="358">
        <v>55</v>
      </c>
      <c r="CG494" s="295"/>
      <c r="CH494" s="295"/>
      <c r="CI494" s="295"/>
      <c r="CJ494" s="336"/>
      <c r="CK494" s="295"/>
      <c r="CL494" s="295"/>
      <c r="CM494" s="358">
        <f>CF494*(1+CM$496)</f>
        <v>56.1</v>
      </c>
      <c r="CN494" s="295"/>
      <c r="CO494" s="295"/>
      <c r="CP494" s="295"/>
      <c r="CQ494" s="336"/>
      <c r="CR494" s="295"/>
      <c r="CS494" s="295"/>
      <c r="CT494" s="358">
        <f>CM494*(1+CT$496)</f>
        <v>58.344000000000001</v>
      </c>
      <c r="CU494" s="295"/>
      <c r="CV494" s="295"/>
      <c r="CW494" s="295"/>
      <c r="CX494" s="336"/>
      <c r="CY494" s="295"/>
      <c r="CZ494" s="295"/>
      <c r="DA494" s="358">
        <f>CT494*(1+DA$496)</f>
        <v>60.677760000000006</v>
      </c>
      <c r="DB494" s="295"/>
      <c r="DC494" s="295"/>
      <c r="DD494" s="295"/>
      <c r="DE494" s="336"/>
      <c r="DF494" s="295"/>
      <c r="DG494" s="295"/>
      <c r="DH494" s="358">
        <f>DA494*(1+DH$496)</f>
        <v>63.10487040000001</v>
      </c>
      <c r="DI494" s="295"/>
      <c r="DJ494" s="295"/>
      <c r="DK494" s="295"/>
      <c r="DL494" s="336"/>
      <c r="DM494" s="295"/>
      <c r="DN494" s="295"/>
      <c r="DO494" s="358">
        <f>DH494*(1+DO$496)</f>
        <v>65.629065216000015</v>
      </c>
      <c r="DP494" s="295"/>
      <c r="DQ494" s="295"/>
      <c r="DR494" s="295"/>
      <c r="DS494" s="336"/>
      <c r="DT494" s="295"/>
      <c r="DU494" s="295"/>
      <c r="DV494" s="358">
        <f>DO494*(1+DV$496)</f>
        <v>68.254227824640012</v>
      </c>
      <c r="DW494" s="295"/>
      <c r="DX494" s="295"/>
      <c r="DY494" s="295"/>
      <c r="DZ494" s="336"/>
      <c r="EA494" s="295"/>
      <c r="EB494" s="295"/>
      <c r="EC494" s="358">
        <f>DV494*(1+EC$496)</f>
        <v>70.984396937625618</v>
      </c>
      <c r="ED494" s="295"/>
      <c r="EE494" s="295"/>
      <c r="EF494" s="295"/>
      <c r="EG494" s="336"/>
      <c r="EH494" s="295"/>
      <c r="EI494" s="295"/>
      <c r="EJ494" s="358">
        <f>EC494*(1+EJ$496)</f>
        <v>73.823772815130638</v>
      </c>
      <c r="EK494" s="295"/>
      <c r="EL494" s="295"/>
      <c r="EM494" s="295"/>
      <c r="EN494" s="336"/>
      <c r="EO494" s="295"/>
      <c r="EP494" s="295"/>
      <c r="EQ494" s="358">
        <f>EJ494*(1+EQ$496)</f>
        <v>76.77672372773587</v>
      </c>
    </row>
    <row r="495" spans="1:147" ht="10.199999999999999" hidden="1" customHeight="1" outlineLevel="1">
      <c r="A495" s="43" t="str">
        <f>+A179</f>
        <v>A321neo</v>
      </c>
      <c r="B495" s="4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79"/>
      <c r="O495" s="295"/>
      <c r="P495" s="295"/>
      <c r="Q495" s="295"/>
      <c r="R495" s="336"/>
      <c r="S495" s="295"/>
      <c r="T495" s="295"/>
      <c r="U495" s="358"/>
      <c r="V495" s="295"/>
      <c r="W495" s="295"/>
      <c r="X495" s="295"/>
      <c r="Y495" s="336"/>
      <c r="Z495" s="295"/>
      <c r="AA495" s="295"/>
      <c r="AB495" s="358"/>
      <c r="AC495" s="295"/>
      <c r="AD495" s="295"/>
      <c r="AE495" s="295"/>
      <c r="AF495" s="336"/>
      <c r="AG495" s="295"/>
      <c r="AH495" s="295"/>
      <c r="AI495" s="358"/>
      <c r="AJ495" s="295"/>
      <c r="AK495" s="295"/>
      <c r="AL495" s="295"/>
      <c r="AM495" s="336"/>
      <c r="AN495" s="295"/>
      <c r="AO495" s="295"/>
      <c r="AP495" s="358">
        <f>AP179*(1-AP$204)</f>
        <v>69.135000000000005</v>
      </c>
      <c r="AQ495" s="295"/>
      <c r="AR495" s="295"/>
      <c r="AS495" s="295"/>
      <c r="AT495" s="336"/>
      <c r="AU495" s="295"/>
      <c r="AV495" s="295"/>
      <c r="AW495" s="358">
        <f>AP495*(1+AW$496)</f>
        <v>69.135000000000005</v>
      </c>
      <c r="AX495" s="295"/>
      <c r="AY495" s="295"/>
      <c r="AZ495" s="295"/>
      <c r="BA495" s="336"/>
      <c r="BB495" s="295"/>
      <c r="BC495" s="295"/>
      <c r="BD495" s="358">
        <f>+AW495-10</f>
        <v>59.135000000000005</v>
      </c>
      <c r="BE495" s="295"/>
      <c r="BF495" s="295"/>
      <c r="BG495" s="295"/>
      <c r="BH495" s="336"/>
      <c r="BI495" s="295"/>
      <c r="BJ495" s="295"/>
      <c r="BK495" s="358">
        <f t="shared" si="1640"/>
        <v>59.135000000000005</v>
      </c>
      <c r="BL495" s="295"/>
      <c r="BM495" s="295"/>
      <c r="BN495" s="295"/>
      <c r="BO495" s="336"/>
      <c r="BP495" s="295"/>
      <c r="BQ495" s="295"/>
      <c r="BR495" s="358">
        <f>BK495*(1+BR$496)</f>
        <v>59.430675000000001</v>
      </c>
      <c r="BS495" s="295"/>
      <c r="BT495" s="295"/>
      <c r="BU495" s="295"/>
      <c r="BV495" s="336"/>
      <c r="BW495" s="295"/>
      <c r="BX495" s="295"/>
      <c r="BY495" s="358">
        <f>BR495*(1+BY$496)</f>
        <v>59.430675000000001</v>
      </c>
      <c r="BZ495" s="295"/>
      <c r="CA495" s="295"/>
      <c r="CB495" s="295"/>
      <c r="CC495" s="336"/>
      <c r="CD495" s="295"/>
      <c r="CE495" s="295"/>
      <c r="CF495" s="358">
        <v>65</v>
      </c>
      <c r="CG495" s="295"/>
      <c r="CH495" s="295"/>
      <c r="CI495" s="295"/>
      <c r="CJ495" s="336"/>
      <c r="CK495" s="295"/>
      <c r="CL495" s="295"/>
      <c r="CM495" s="358">
        <f>CF495*(1+CM$497)</f>
        <v>66.3</v>
      </c>
      <c r="CN495" s="295"/>
      <c r="CO495" s="295"/>
      <c r="CP495" s="295"/>
      <c r="CQ495" s="336"/>
      <c r="CR495" s="295"/>
      <c r="CS495" s="295"/>
      <c r="CT495" s="358">
        <f>CM495*(1+CT$497)</f>
        <v>69.614999999999995</v>
      </c>
      <c r="CU495" s="295"/>
      <c r="CV495" s="295"/>
      <c r="CW495" s="295"/>
      <c r="CX495" s="336"/>
      <c r="CY495" s="295"/>
      <c r="CZ495" s="295"/>
      <c r="DA495" s="358">
        <f>CT495*(1+DA$497)</f>
        <v>73.095749999999995</v>
      </c>
      <c r="DB495" s="295"/>
      <c r="DC495" s="295"/>
      <c r="DD495" s="295"/>
      <c r="DE495" s="336"/>
      <c r="DF495" s="295"/>
      <c r="DG495" s="295"/>
      <c r="DH495" s="358">
        <f>DA495*(1+DH$497)</f>
        <v>76.750537499999993</v>
      </c>
      <c r="DI495" s="295"/>
      <c r="DJ495" s="295"/>
      <c r="DK495" s="295"/>
      <c r="DL495" s="336"/>
      <c r="DM495" s="295"/>
      <c r="DN495" s="295"/>
      <c r="DO495" s="358">
        <f>DH495*(1+DO$497)</f>
        <v>80.588064375000002</v>
      </c>
      <c r="DP495" s="295"/>
      <c r="DQ495" s="295"/>
      <c r="DR495" s="295"/>
      <c r="DS495" s="336"/>
      <c r="DT495" s="295"/>
      <c r="DU495" s="295"/>
      <c r="DV495" s="358">
        <f>DO495*(1+DV$497)</f>
        <v>84.617467593750007</v>
      </c>
      <c r="DW495" s="295"/>
      <c r="DX495" s="295"/>
      <c r="DY495" s="295"/>
      <c r="DZ495" s="336"/>
      <c r="EA495" s="295"/>
      <c r="EB495" s="295"/>
      <c r="EC495" s="358">
        <f>DV495*(1+EC$497)</f>
        <v>88.848340973437516</v>
      </c>
      <c r="ED495" s="295"/>
      <c r="EE495" s="295"/>
      <c r="EF495" s="295"/>
      <c r="EG495" s="336"/>
      <c r="EH495" s="295"/>
      <c r="EI495" s="295"/>
      <c r="EJ495" s="358">
        <f>EC495*(1+EJ$497)</f>
        <v>93.290758022109401</v>
      </c>
      <c r="EK495" s="295"/>
      <c r="EL495" s="295"/>
      <c r="EM495" s="295"/>
      <c r="EN495" s="336"/>
      <c r="EO495" s="295"/>
      <c r="EP495" s="295"/>
      <c r="EQ495" s="358">
        <f>EJ495*(1+EQ$497)</f>
        <v>97.955295923214877</v>
      </c>
    </row>
    <row r="496" spans="1:147" ht="10.199999999999999" hidden="1" customHeight="1" outlineLevel="1">
      <c r="A496" s="51" t="s">
        <v>522</v>
      </c>
      <c r="B496" s="43"/>
      <c r="C496" s="64"/>
      <c r="D496" s="64"/>
      <c r="E496" s="64"/>
      <c r="F496" s="64"/>
      <c r="G496" s="63"/>
      <c r="H496" s="63"/>
      <c r="I496" s="63"/>
      <c r="J496" s="63"/>
      <c r="K496" s="63"/>
      <c r="L496" s="63"/>
      <c r="M496" s="63"/>
      <c r="N496" s="79"/>
      <c r="O496" s="481"/>
      <c r="P496" s="481"/>
      <c r="Q496" s="481"/>
      <c r="R496" s="482"/>
      <c r="S496" s="481"/>
      <c r="T496" s="481"/>
      <c r="U496" s="361"/>
      <c r="V496" s="481"/>
      <c r="W496" s="481"/>
      <c r="X496" s="481"/>
      <c r="Y496" s="482"/>
      <c r="Z496" s="481"/>
      <c r="AA496" s="481"/>
      <c r="AB496" s="361"/>
      <c r="AC496" s="481"/>
      <c r="AD496" s="481"/>
      <c r="AE496" s="481"/>
      <c r="AF496" s="482"/>
      <c r="AG496" s="481"/>
      <c r="AH496" s="481"/>
      <c r="AI496" s="361"/>
      <c r="AJ496" s="481"/>
      <c r="AK496" s="481"/>
      <c r="AL496" s="481"/>
      <c r="AM496" s="482"/>
      <c r="AN496" s="481"/>
      <c r="AO496" s="481"/>
      <c r="AP496" s="361"/>
      <c r="AQ496" s="481"/>
      <c r="AR496" s="481"/>
      <c r="AS496" s="481"/>
      <c r="AT496" s="482"/>
      <c r="AU496" s="481"/>
      <c r="AV496" s="481"/>
      <c r="AW496" s="361">
        <v>0</v>
      </c>
      <c r="AX496" s="481"/>
      <c r="AY496" s="481"/>
      <c r="AZ496" s="481"/>
      <c r="BA496" s="482"/>
      <c r="BB496" s="481"/>
      <c r="BC496" s="481"/>
      <c r="BD496" s="361" t="s">
        <v>653</v>
      </c>
      <c r="BE496" s="481"/>
      <c r="BF496" s="481"/>
      <c r="BG496" s="481"/>
      <c r="BH496" s="482"/>
      <c r="BI496" s="481"/>
      <c r="BJ496" s="481"/>
      <c r="BK496" s="361">
        <v>0</v>
      </c>
      <c r="BL496" s="481"/>
      <c r="BM496" s="481"/>
      <c r="BN496" s="481"/>
      <c r="BO496" s="482"/>
      <c r="BP496" s="481"/>
      <c r="BQ496" s="481"/>
      <c r="BR496" s="361">
        <v>5.0000000000000001E-3</v>
      </c>
      <c r="BS496" s="481"/>
      <c r="BT496" s="481"/>
      <c r="BU496" s="481"/>
      <c r="BV496" s="482"/>
      <c r="BW496" s="481"/>
      <c r="BX496" s="481"/>
      <c r="BY496" s="361">
        <v>0</v>
      </c>
      <c r="BZ496" s="481"/>
      <c r="CA496" s="481"/>
      <c r="CB496" s="481"/>
      <c r="CC496" s="482"/>
      <c r="CD496" s="481"/>
      <c r="CE496" s="481"/>
      <c r="CF496" s="361">
        <v>0.02</v>
      </c>
      <c r="CG496" s="481"/>
      <c r="CH496" s="481"/>
      <c r="CI496" s="481"/>
      <c r="CJ496" s="482"/>
      <c r="CK496" s="481"/>
      <c r="CL496" s="481"/>
      <c r="CM496" s="361">
        <v>0.02</v>
      </c>
      <c r="CN496" s="481"/>
      <c r="CO496" s="481"/>
      <c r="CP496" s="481"/>
      <c r="CQ496" s="482"/>
      <c r="CR496" s="481"/>
      <c r="CS496" s="481"/>
      <c r="CT496" s="361">
        <v>0.04</v>
      </c>
      <c r="CU496" s="481"/>
      <c r="CV496" s="481"/>
      <c r="CW496" s="481"/>
      <c r="CX496" s="482"/>
      <c r="CY496" s="481"/>
      <c r="CZ496" s="481"/>
      <c r="DA496" s="1817">
        <v>0.04</v>
      </c>
      <c r="DB496" s="481"/>
      <c r="DC496" s="481"/>
      <c r="DD496" s="481"/>
      <c r="DE496" s="482"/>
      <c r="DF496" s="481"/>
      <c r="DG496" s="481"/>
      <c r="DH496" s="361">
        <v>0.04</v>
      </c>
      <c r="DI496" s="481"/>
      <c r="DJ496" s="481"/>
      <c r="DK496" s="481"/>
      <c r="DL496" s="482"/>
      <c r="DM496" s="481"/>
      <c r="DN496" s="481"/>
      <c r="DO496" s="361">
        <v>0.04</v>
      </c>
      <c r="DP496" s="481"/>
      <c r="DQ496" s="481"/>
      <c r="DR496" s="481"/>
      <c r="DS496" s="482"/>
      <c r="DT496" s="481"/>
      <c r="DU496" s="481"/>
      <c r="DV496" s="361">
        <v>0.04</v>
      </c>
      <c r="DW496" s="481"/>
      <c r="DX496" s="481"/>
      <c r="DY496" s="481"/>
      <c r="DZ496" s="482"/>
      <c r="EA496" s="481"/>
      <c r="EB496" s="481"/>
      <c r="EC496" s="361">
        <v>0.04</v>
      </c>
      <c r="ED496" s="481"/>
      <c r="EE496" s="481"/>
      <c r="EF496" s="481"/>
      <c r="EG496" s="482"/>
      <c r="EH496" s="481"/>
      <c r="EI496" s="481"/>
      <c r="EJ496" s="361">
        <v>0.04</v>
      </c>
      <c r="EK496" s="481"/>
      <c r="EL496" s="481"/>
      <c r="EM496" s="481"/>
      <c r="EN496" s="482"/>
      <c r="EO496" s="481"/>
      <c r="EP496" s="481"/>
      <c r="EQ496" s="361">
        <v>0.04</v>
      </c>
    </row>
    <row r="497" spans="1:147" ht="10.199999999999999" hidden="1" customHeight="1" outlineLevel="1">
      <c r="A497" s="51"/>
      <c r="B497" s="43"/>
      <c r="C497" s="64"/>
      <c r="D497" s="64"/>
      <c r="E497" s="64"/>
      <c r="F497" s="64"/>
      <c r="G497" s="63"/>
      <c r="H497" s="63"/>
      <c r="I497" s="63"/>
      <c r="J497" s="63"/>
      <c r="K497" s="63"/>
      <c r="L497" s="63"/>
      <c r="M497" s="63"/>
      <c r="N497" s="79"/>
      <c r="O497" s="481"/>
      <c r="P497" s="481"/>
      <c r="Q497" s="481"/>
      <c r="R497" s="482"/>
      <c r="S497" s="481"/>
      <c r="T497" s="481"/>
      <c r="U497" s="361"/>
      <c r="V497" s="481"/>
      <c r="W497" s="481"/>
      <c r="X497" s="481"/>
      <c r="Y497" s="482"/>
      <c r="Z497" s="481"/>
      <c r="AA497" s="481"/>
      <c r="AB497" s="361"/>
      <c r="AC497" s="481"/>
      <c r="AD497" s="481"/>
      <c r="AE497" s="481"/>
      <c r="AF497" s="482"/>
      <c r="AG497" s="481"/>
      <c r="AH497" s="481"/>
      <c r="AI497" s="361"/>
      <c r="AJ497" s="481"/>
      <c r="AK497" s="481"/>
      <c r="AL497" s="481"/>
      <c r="AM497" s="482"/>
      <c r="AN497" s="481"/>
      <c r="AO497" s="481"/>
      <c r="AP497" s="361"/>
      <c r="AQ497" s="481"/>
      <c r="AR497" s="481"/>
      <c r="AS497" s="481"/>
      <c r="AT497" s="482"/>
      <c r="AU497" s="481"/>
      <c r="AV497" s="481"/>
      <c r="AW497" s="361"/>
      <c r="AX497" s="481"/>
      <c r="AY497" s="481"/>
      <c r="AZ497" s="481"/>
      <c r="BA497" s="482"/>
      <c r="BB497" s="481"/>
      <c r="BC497" s="481"/>
      <c r="BD497" s="361"/>
      <c r="BE497" s="481"/>
      <c r="BF497" s="481"/>
      <c r="BG497" s="481"/>
      <c r="BH497" s="482"/>
      <c r="BI497" s="481"/>
      <c r="BJ497" s="481"/>
      <c r="BK497" s="361"/>
      <c r="BL497" s="481"/>
      <c r="BM497" s="481"/>
      <c r="BN497" s="481"/>
      <c r="BO497" s="482"/>
      <c r="BP497" s="481"/>
      <c r="BQ497" s="481"/>
      <c r="BR497" s="361"/>
      <c r="BS497" s="481"/>
      <c r="BT497" s="481"/>
      <c r="BU497" s="481"/>
      <c r="BV497" s="482"/>
      <c r="BW497" s="481"/>
      <c r="BX497" s="481"/>
      <c r="BY497" s="361"/>
      <c r="BZ497" s="481"/>
      <c r="CA497" s="481"/>
      <c r="CB497" s="481"/>
      <c r="CC497" s="482"/>
      <c r="CD497" s="481"/>
      <c r="CE497" s="481"/>
      <c r="CF497" s="361">
        <v>0.02</v>
      </c>
      <c r="CG497" s="481"/>
      <c r="CH497" s="481"/>
      <c r="CI497" s="481"/>
      <c r="CJ497" s="482"/>
      <c r="CK497" s="481"/>
      <c r="CL497" s="481"/>
      <c r="CM497" s="361">
        <v>0.02</v>
      </c>
      <c r="CN497" s="481"/>
      <c r="CO497" s="481"/>
      <c r="CP497" s="481"/>
      <c r="CQ497" s="482"/>
      <c r="CR497" s="481"/>
      <c r="CS497" s="481"/>
      <c r="CT497" s="361">
        <v>0.05</v>
      </c>
      <c r="CU497" s="481"/>
      <c r="CV497" s="481"/>
      <c r="CW497" s="481"/>
      <c r="CX497" s="482"/>
      <c r="CY497" s="481"/>
      <c r="CZ497" s="481"/>
      <c r="DA497" s="1817">
        <v>0.05</v>
      </c>
      <c r="DB497" s="481"/>
      <c r="DC497" s="481"/>
      <c r="DD497" s="481"/>
      <c r="DE497" s="482"/>
      <c r="DF497" s="481"/>
      <c r="DG497" s="481"/>
      <c r="DH497" s="361">
        <v>0.05</v>
      </c>
      <c r="DI497" s="481"/>
      <c r="DJ497" s="481"/>
      <c r="DK497" s="481"/>
      <c r="DL497" s="482"/>
      <c r="DM497" s="481"/>
      <c r="DN497" s="481"/>
      <c r="DO497" s="361">
        <v>0.05</v>
      </c>
      <c r="DP497" s="481"/>
      <c r="DQ497" s="481"/>
      <c r="DR497" s="481"/>
      <c r="DS497" s="482"/>
      <c r="DT497" s="481"/>
      <c r="DU497" s="481"/>
      <c r="DV497" s="361">
        <v>0.05</v>
      </c>
      <c r="DW497" s="481"/>
      <c r="DX497" s="481"/>
      <c r="DY497" s="481"/>
      <c r="DZ497" s="482"/>
      <c r="EA497" s="481"/>
      <c r="EB497" s="481"/>
      <c r="EC497" s="361">
        <v>0.05</v>
      </c>
      <c r="ED497" s="481"/>
      <c r="EE497" s="481"/>
      <c r="EF497" s="481"/>
      <c r="EG497" s="482"/>
      <c r="EH497" s="481"/>
      <c r="EI497" s="481"/>
      <c r="EJ497" s="361">
        <v>0.05</v>
      </c>
      <c r="EK497" s="481"/>
      <c r="EL497" s="481"/>
      <c r="EM497" s="481"/>
      <c r="EN497" s="482"/>
      <c r="EO497" s="481"/>
      <c r="EP497" s="481"/>
      <c r="EQ497" s="361">
        <v>0.05</v>
      </c>
    </row>
    <row r="498" spans="1:147" ht="10.199999999999999" hidden="1" customHeight="1" outlineLevel="1">
      <c r="A498" s="43" t="s">
        <v>198</v>
      </c>
      <c r="B498" s="43"/>
      <c r="C498" s="64">
        <f t="shared" ref="C498:AP498" si="1641">+C180*(1-C206)</f>
        <v>96.827095616278797</v>
      </c>
      <c r="D498" s="64">
        <f t="shared" si="1641"/>
        <v>102.21068213254389</v>
      </c>
      <c r="E498" s="64">
        <f t="shared" si="1641"/>
        <v>99.753694581280797</v>
      </c>
      <c r="F498" s="64">
        <f t="shared" si="1641"/>
        <v>100.575</v>
      </c>
      <c r="G498" s="63">
        <f t="shared" si="1641"/>
        <v>104.13899999999998</v>
      </c>
      <c r="H498" s="63">
        <f t="shared" si="1641"/>
        <v>105.17953359374998</v>
      </c>
      <c r="I498" s="63">
        <f t="shared" si="1641"/>
        <v>98.640148211718724</v>
      </c>
      <c r="J498" s="63">
        <f t="shared" si="1641"/>
        <v>97.612279046542938</v>
      </c>
      <c r="K498" s="63">
        <f t="shared" si="1641"/>
        <v>98.894671556585564</v>
      </c>
      <c r="L498" s="63">
        <f t="shared" si="1641"/>
        <v>124.41000000000001</v>
      </c>
      <c r="M498" s="63">
        <f t="shared" si="1641"/>
        <v>130.52000000000001</v>
      </c>
      <c r="N498" s="79">
        <f t="shared" si="1641"/>
        <v>99.773750000000007</v>
      </c>
      <c r="O498" s="296"/>
      <c r="P498" s="296"/>
      <c r="Q498" s="296"/>
      <c r="R498" s="483"/>
      <c r="S498" s="296"/>
      <c r="T498" s="296"/>
      <c r="U498" s="359">
        <f t="shared" si="1641"/>
        <v>101.184</v>
      </c>
      <c r="V498" s="296"/>
      <c r="W498" s="296"/>
      <c r="X498" s="296"/>
      <c r="Y498" s="483"/>
      <c r="Z498" s="296"/>
      <c r="AA498" s="296"/>
      <c r="AB498" s="359">
        <f t="shared" si="1641"/>
        <v>139.46576956805993</v>
      </c>
      <c r="AC498" s="296"/>
      <c r="AD498" s="296"/>
      <c r="AE498" s="296"/>
      <c r="AF498" s="483"/>
      <c r="AG498" s="296"/>
      <c r="AH498" s="296"/>
      <c r="AI498" s="359">
        <f t="shared" si="1641"/>
        <v>125.95000000000002</v>
      </c>
      <c r="AJ498" s="296"/>
      <c r="AK498" s="296"/>
      <c r="AL498" s="296"/>
      <c r="AM498" s="483"/>
      <c r="AN498" s="296"/>
      <c r="AO498" s="296"/>
      <c r="AP498" s="359">
        <f t="shared" si="1641"/>
        <v>127.32500000000002</v>
      </c>
      <c r="AQ498" s="296"/>
      <c r="AR498" s="296"/>
      <c r="AS498" s="296"/>
      <c r="AT498" s="483"/>
      <c r="AU498" s="296"/>
      <c r="AV498" s="296"/>
      <c r="AW498" s="359">
        <f>AP498*(1+AW$500)</f>
        <v>124.77850000000001</v>
      </c>
      <c r="AX498" s="296"/>
      <c r="AY498" s="296"/>
      <c r="AZ498" s="296"/>
      <c r="BA498" s="483"/>
      <c r="BB498" s="296"/>
      <c r="BC498" s="296"/>
      <c r="BD498" s="359">
        <f>+AW498-16</f>
        <v>108.77850000000001</v>
      </c>
      <c r="BE498" s="296"/>
      <c r="BF498" s="296"/>
      <c r="BG498" s="296"/>
      <c r="BH498" s="483"/>
      <c r="BI498" s="296"/>
      <c r="BJ498" s="296"/>
      <c r="BK498" s="359">
        <f t="shared" ref="BK498:BK499" si="1642">BD498*(1+BK$500)</f>
        <v>108.77850000000001</v>
      </c>
      <c r="BL498" s="296"/>
      <c r="BM498" s="296"/>
      <c r="BN498" s="296"/>
      <c r="BO498" s="483"/>
      <c r="BP498" s="296"/>
      <c r="BQ498" s="296"/>
      <c r="BR498" s="359">
        <f>BK498*(1+BR$500)</f>
        <v>108.77850000000001</v>
      </c>
      <c r="BS498" s="296"/>
      <c r="BT498" s="296"/>
      <c r="BU498" s="296"/>
      <c r="BV498" s="483"/>
      <c r="BW498" s="296"/>
      <c r="BX498" s="296"/>
      <c r="BY498" s="359">
        <f>BR498*(1+BY$500)</f>
        <v>108.77850000000001</v>
      </c>
      <c r="BZ498" s="296"/>
      <c r="CA498" s="296"/>
      <c r="CB498" s="296"/>
      <c r="CC498" s="483"/>
      <c r="CD498" s="296"/>
      <c r="CE498" s="296"/>
      <c r="CF498" s="359"/>
      <c r="CG498" s="296"/>
      <c r="CH498" s="296"/>
      <c r="CI498" s="296"/>
      <c r="CJ498" s="483"/>
      <c r="CK498" s="296"/>
      <c r="CL498" s="296"/>
      <c r="CM498" s="359"/>
      <c r="CN498" s="296"/>
      <c r="CO498" s="296"/>
      <c r="CP498" s="296"/>
      <c r="CQ498" s="483"/>
      <c r="CR498" s="296"/>
      <c r="CS498" s="296"/>
      <c r="CT498" s="359"/>
      <c r="CU498" s="296"/>
      <c r="CV498" s="296"/>
      <c r="CW498" s="296"/>
      <c r="CX498" s="483"/>
      <c r="CY498" s="296"/>
      <c r="CZ498" s="296"/>
      <c r="DA498" s="359"/>
      <c r="DB498" s="296"/>
      <c r="DC498" s="296"/>
      <c r="DD498" s="296"/>
      <c r="DE498" s="483"/>
      <c r="DF498" s="296"/>
      <c r="DG498" s="296"/>
      <c r="DH498" s="359"/>
      <c r="DI498" s="296"/>
      <c r="DJ498" s="296"/>
      <c r="DK498" s="296"/>
      <c r="DL498" s="483"/>
      <c r="DM498" s="296"/>
      <c r="DN498" s="296"/>
      <c r="DO498" s="359"/>
      <c r="DP498" s="296"/>
      <c r="DQ498" s="296"/>
      <c r="DR498" s="296"/>
      <c r="DS498" s="483"/>
      <c r="DT498" s="296"/>
      <c r="DU498" s="296"/>
      <c r="DV498" s="359"/>
      <c r="DW498" s="296"/>
      <c r="DX498" s="296"/>
      <c r="DY498" s="296"/>
      <c r="DZ498" s="483"/>
      <c r="EA498" s="296"/>
      <c r="EB498" s="296"/>
      <c r="EC498" s="359"/>
      <c r="ED498" s="296"/>
      <c r="EE498" s="296"/>
      <c r="EF498" s="296"/>
      <c r="EG498" s="483"/>
      <c r="EH498" s="296"/>
      <c r="EI498" s="296"/>
      <c r="EJ498" s="359"/>
      <c r="EK498" s="296"/>
      <c r="EL498" s="296"/>
      <c r="EM498" s="296"/>
      <c r="EN498" s="483"/>
      <c r="EO498" s="296"/>
      <c r="EP498" s="296"/>
      <c r="EQ498" s="359"/>
    </row>
    <row r="499" spans="1:147" ht="10.199999999999999" hidden="1" customHeight="1" outlineLevel="1">
      <c r="A499" s="43" t="s">
        <v>199</v>
      </c>
      <c r="B499" s="43"/>
      <c r="C499" s="64">
        <f t="shared" ref="C499:AP499" si="1643">+C181*(1-C206)</f>
        <v>107.58566179586533</v>
      </c>
      <c r="D499" s="64">
        <f t="shared" si="1643"/>
        <v>113.56742459171545</v>
      </c>
      <c r="E499" s="64">
        <f t="shared" si="1643"/>
        <v>110.83743842364534</v>
      </c>
      <c r="F499" s="64">
        <f t="shared" si="1643"/>
        <v>111.75</v>
      </c>
      <c r="G499" s="63">
        <f t="shared" si="1643"/>
        <v>115.70999999999998</v>
      </c>
      <c r="H499" s="63">
        <f t="shared" si="1643"/>
        <v>116.86614843749997</v>
      </c>
      <c r="I499" s="63">
        <f t="shared" si="1643"/>
        <v>109.60016467968747</v>
      </c>
      <c r="J499" s="63">
        <f t="shared" si="1643"/>
        <v>108.45808782949216</v>
      </c>
      <c r="K499" s="63">
        <f t="shared" si="1643"/>
        <v>109.88296839620619</v>
      </c>
      <c r="L499" s="63">
        <f t="shared" si="1643"/>
        <v>138.06</v>
      </c>
      <c r="M499" s="63">
        <f t="shared" si="1643"/>
        <v>144.625</v>
      </c>
      <c r="N499" s="79">
        <f t="shared" si="1643"/>
        <v>109.77249999999999</v>
      </c>
      <c r="O499" s="296"/>
      <c r="P499" s="296"/>
      <c r="Q499" s="296"/>
      <c r="R499" s="483"/>
      <c r="S499" s="296"/>
      <c r="T499" s="296"/>
      <c r="U499" s="359">
        <f t="shared" si="1643"/>
        <v>111.321</v>
      </c>
      <c r="V499" s="296"/>
      <c r="W499" s="296"/>
      <c r="X499" s="296"/>
      <c r="Y499" s="483"/>
      <c r="Z499" s="296"/>
      <c r="AA499" s="296"/>
      <c r="AB499" s="359">
        <f t="shared" si="1643"/>
        <v>153.42796419223077</v>
      </c>
      <c r="AC499" s="296"/>
      <c r="AD499" s="296"/>
      <c r="AE499" s="296"/>
      <c r="AF499" s="483"/>
      <c r="AG499" s="296"/>
      <c r="AH499" s="296"/>
      <c r="AI499" s="359">
        <f t="shared" si="1643"/>
        <v>139.535</v>
      </c>
      <c r="AJ499" s="296"/>
      <c r="AK499" s="296"/>
      <c r="AL499" s="296"/>
      <c r="AM499" s="483"/>
      <c r="AN499" s="296"/>
      <c r="AO499" s="296"/>
      <c r="AP499" s="359">
        <f t="shared" si="1643"/>
        <v>141.02000000000001</v>
      </c>
      <c r="AQ499" s="296"/>
      <c r="AR499" s="296"/>
      <c r="AS499" s="296"/>
      <c r="AT499" s="483"/>
      <c r="AU499" s="296"/>
      <c r="AV499" s="296"/>
      <c r="AW499" s="359">
        <f>AP499*(1+AW$500)</f>
        <v>138.1996</v>
      </c>
      <c r="AX499" s="296"/>
      <c r="AY499" s="296"/>
      <c r="AZ499" s="296"/>
      <c r="BA499" s="483"/>
      <c r="BB499" s="296"/>
      <c r="BC499" s="296"/>
      <c r="BD499" s="359">
        <f>+AW499-16</f>
        <v>122.1996</v>
      </c>
      <c r="BE499" s="296"/>
      <c r="BF499" s="296"/>
      <c r="BG499" s="296"/>
      <c r="BH499" s="483"/>
      <c r="BI499" s="296"/>
      <c r="BJ499" s="296"/>
      <c r="BK499" s="359">
        <f t="shared" si="1642"/>
        <v>122.1996</v>
      </c>
      <c r="BL499" s="296"/>
      <c r="BM499" s="296"/>
      <c r="BN499" s="296"/>
      <c r="BO499" s="483"/>
      <c r="BP499" s="296"/>
      <c r="BQ499" s="296"/>
      <c r="BR499" s="359">
        <f>BK499*(1+BR$500)</f>
        <v>122.1996</v>
      </c>
      <c r="BS499" s="296"/>
      <c r="BT499" s="296"/>
      <c r="BU499" s="296"/>
      <c r="BV499" s="483"/>
      <c r="BW499" s="296"/>
      <c r="BX499" s="296"/>
      <c r="BY499" s="359">
        <f>BR499*(1+BY$500)</f>
        <v>122.1996</v>
      </c>
      <c r="BZ499" s="296"/>
      <c r="CA499" s="296"/>
      <c r="CB499" s="296"/>
      <c r="CC499" s="483"/>
      <c r="CD499" s="296"/>
      <c r="CE499" s="296"/>
      <c r="CF499" s="359"/>
      <c r="CG499" s="296"/>
      <c r="CH499" s="296"/>
      <c r="CI499" s="296"/>
      <c r="CJ499" s="483"/>
      <c r="CK499" s="296"/>
      <c r="CL499" s="296"/>
      <c r="CM499" s="359"/>
      <c r="CN499" s="296"/>
      <c r="CO499" s="296"/>
      <c r="CP499" s="296"/>
      <c r="CQ499" s="483"/>
      <c r="CR499" s="296"/>
      <c r="CS499" s="296"/>
      <c r="CT499" s="359"/>
      <c r="CU499" s="296"/>
      <c r="CV499" s="296"/>
      <c r="CW499" s="296"/>
      <c r="CX499" s="483"/>
      <c r="CY499" s="296"/>
      <c r="CZ499" s="296"/>
      <c r="DA499" s="359"/>
      <c r="DB499" s="296"/>
      <c r="DC499" s="296"/>
      <c r="DD499" s="296"/>
      <c r="DE499" s="483"/>
      <c r="DF499" s="296"/>
      <c r="DG499" s="296"/>
      <c r="DH499" s="359"/>
      <c r="DI499" s="296"/>
      <c r="DJ499" s="296"/>
      <c r="DK499" s="296"/>
      <c r="DL499" s="483"/>
      <c r="DM499" s="296"/>
      <c r="DN499" s="296"/>
      <c r="DO499" s="359"/>
      <c r="DP499" s="296"/>
      <c r="DQ499" s="296"/>
      <c r="DR499" s="296"/>
      <c r="DS499" s="483"/>
      <c r="DT499" s="296"/>
      <c r="DU499" s="296"/>
      <c r="DV499" s="359"/>
      <c r="DW499" s="296"/>
      <c r="DX499" s="296"/>
      <c r="DY499" s="296"/>
      <c r="DZ499" s="483"/>
      <c r="EA499" s="296"/>
      <c r="EB499" s="296"/>
      <c r="EC499" s="359"/>
      <c r="ED499" s="296"/>
      <c r="EE499" s="296"/>
      <c r="EF499" s="296"/>
      <c r="EG499" s="483"/>
      <c r="EH499" s="296"/>
      <c r="EI499" s="296"/>
      <c r="EJ499" s="359"/>
      <c r="EK499" s="296"/>
      <c r="EL499" s="296"/>
      <c r="EM499" s="296"/>
      <c r="EN499" s="483"/>
      <c r="EO499" s="296"/>
      <c r="EP499" s="296"/>
      <c r="EQ499" s="359"/>
    </row>
    <row r="500" spans="1:147" ht="10.199999999999999" hidden="1" customHeight="1" outlineLevel="1">
      <c r="A500" s="51" t="s">
        <v>522</v>
      </c>
      <c r="B500" s="48"/>
      <c r="C500" s="125"/>
      <c r="D500" s="125"/>
      <c r="E500" s="125"/>
      <c r="F500" s="125"/>
      <c r="G500" s="124"/>
      <c r="H500" s="124"/>
      <c r="I500" s="124"/>
      <c r="J500" s="124"/>
      <c r="K500" s="124"/>
      <c r="L500" s="124"/>
      <c r="M500" s="124"/>
      <c r="N500" s="95"/>
      <c r="O500" s="484"/>
      <c r="P500" s="484"/>
      <c r="Q500" s="484"/>
      <c r="R500" s="485"/>
      <c r="S500" s="484"/>
      <c r="T500" s="484"/>
      <c r="U500" s="360"/>
      <c r="V500" s="484"/>
      <c r="W500" s="484"/>
      <c r="X500" s="484"/>
      <c r="Y500" s="485"/>
      <c r="Z500" s="484"/>
      <c r="AA500" s="484"/>
      <c r="AB500" s="360"/>
      <c r="AC500" s="484"/>
      <c r="AD500" s="484"/>
      <c r="AE500" s="484"/>
      <c r="AF500" s="485"/>
      <c r="AG500" s="484"/>
      <c r="AH500" s="484"/>
      <c r="AI500" s="360"/>
      <c r="AJ500" s="484"/>
      <c r="AK500" s="484"/>
      <c r="AL500" s="484"/>
      <c r="AM500" s="485"/>
      <c r="AN500" s="484"/>
      <c r="AO500" s="484"/>
      <c r="AP500" s="360"/>
      <c r="AQ500" s="484"/>
      <c r="AR500" s="484"/>
      <c r="AS500" s="484"/>
      <c r="AT500" s="485"/>
      <c r="AU500" s="484"/>
      <c r="AV500" s="484"/>
      <c r="AW500" s="360">
        <v>-0.02</v>
      </c>
      <c r="AX500" s="484"/>
      <c r="AY500" s="484"/>
      <c r="AZ500" s="484"/>
      <c r="BA500" s="485"/>
      <c r="BB500" s="484"/>
      <c r="BC500" s="484"/>
      <c r="BD500" s="360" t="s">
        <v>653</v>
      </c>
      <c r="BE500" s="484"/>
      <c r="BF500" s="484"/>
      <c r="BG500" s="484"/>
      <c r="BH500" s="485"/>
      <c r="BI500" s="484"/>
      <c r="BJ500" s="484"/>
      <c r="BK500" s="360">
        <v>0</v>
      </c>
      <c r="BL500" s="484"/>
      <c r="BM500" s="484"/>
      <c r="BN500" s="484"/>
      <c r="BO500" s="485"/>
      <c r="BP500" s="484"/>
      <c r="BQ500" s="484"/>
      <c r="BR500" s="360">
        <v>0</v>
      </c>
      <c r="BS500" s="484"/>
      <c r="BT500" s="484"/>
      <c r="BU500" s="484"/>
      <c r="BV500" s="485"/>
      <c r="BW500" s="484"/>
      <c r="BX500" s="484"/>
      <c r="BY500" s="360">
        <v>0</v>
      </c>
      <c r="BZ500" s="484"/>
      <c r="CA500" s="484"/>
      <c r="CB500" s="484"/>
      <c r="CC500" s="485"/>
      <c r="CD500" s="484"/>
      <c r="CE500" s="484"/>
      <c r="CF500" s="360"/>
      <c r="CG500" s="484"/>
      <c r="CH500" s="484"/>
      <c r="CI500" s="484"/>
      <c r="CJ500" s="485"/>
      <c r="CK500" s="484"/>
      <c r="CL500" s="484"/>
      <c r="CM500" s="360"/>
      <c r="CN500" s="484"/>
      <c r="CO500" s="484"/>
      <c r="CP500" s="484"/>
      <c r="CQ500" s="485"/>
      <c r="CR500" s="484"/>
      <c r="CS500" s="484"/>
      <c r="CT500" s="360"/>
      <c r="CU500" s="484"/>
      <c r="CV500" s="484"/>
      <c r="CW500" s="484"/>
      <c r="CX500" s="485"/>
      <c r="CY500" s="484"/>
      <c r="CZ500" s="484"/>
      <c r="DA500" s="360"/>
      <c r="DB500" s="484"/>
      <c r="DC500" s="484"/>
      <c r="DD500" s="484"/>
      <c r="DE500" s="485"/>
      <c r="DF500" s="484"/>
      <c r="DG500" s="484"/>
      <c r="DH500" s="360"/>
      <c r="DI500" s="484"/>
      <c r="DJ500" s="484"/>
      <c r="DK500" s="484"/>
      <c r="DL500" s="485"/>
      <c r="DM500" s="484"/>
      <c r="DN500" s="484"/>
      <c r="DO500" s="360"/>
      <c r="DP500" s="484"/>
      <c r="DQ500" s="484"/>
      <c r="DR500" s="484"/>
      <c r="DS500" s="485"/>
      <c r="DT500" s="484"/>
      <c r="DU500" s="484"/>
      <c r="DV500" s="360"/>
      <c r="DW500" s="484"/>
      <c r="DX500" s="484"/>
      <c r="DY500" s="484"/>
      <c r="DZ500" s="485"/>
      <c r="EA500" s="484"/>
      <c r="EB500" s="484"/>
      <c r="EC500" s="360"/>
      <c r="ED500" s="484"/>
      <c r="EE500" s="484"/>
      <c r="EF500" s="484"/>
      <c r="EG500" s="485"/>
      <c r="EH500" s="484"/>
      <c r="EI500" s="484"/>
      <c r="EJ500" s="360"/>
      <c r="EK500" s="484"/>
      <c r="EL500" s="484"/>
      <c r="EM500" s="484"/>
      <c r="EN500" s="485"/>
      <c r="EO500" s="484"/>
      <c r="EP500" s="484"/>
      <c r="EQ500" s="360"/>
    </row>
    <row r="501" spans="1:147" ht="10.199999999999999" hidden="1" customHeight="1" outlineLevel="1">
      <c r="A501" s="48" t="s">
        <v>313</v>
      </c>
      <c r="B501" s="48"/>
      <c r="C501" s="125">
        <f t="shared" ref="C501:AW501" si="1644">+C184*(1-C206)</f>
        <v>114.75803924892301</v>
      </c>
      <c r="D501" s="125">
        <f t="shared" si="1644"/>
        <v>121.13858623116312</v>
      </c>
      <c r="E501" s="125">
        <f t="shared" si="1644"/>
        <v>118.22660098522168</v>
      </c>
      <c r="F501" s="125">
        <f t="shared" si="1644"/>
        <v>119.2</v>
      </c>
      <c r="G501" s="124">
        <f t="shared" si="1644"/>
        <v>123.42399999999998</v>
      </c>
      <c r="H501" s="124">
        <f t="shared" si="1644"/>
        <v>124.65722499999997</v>
      </c>
      <c r="I501" s="124">
        <f t="shared" si="1644"/>
        <v>116.90684232499996</v>
      </c>
      <c r="J501" s="124">
        <f t="shared" si="1644"/>
        <v>115.68862701812495</v>
      </c>
      <c r="K501" s="124">
        <f t="shared" si="1644"/>
        <v>117.20849962261993</v>
      </c>
      <c r="L501" s="124">
        <f t="shared" si="1644"/>
        <v>148.20000000000002</v>
      </c>
      <c r="M501" s="124">
        <f t="shared" si="1644"/>
        <v>154.70000000000002</v>
      </c>
      <c r="N501" s="95">
        <f t="shared" si="1644"/>
        <v>115.31099999999999</v>
      </c>
      <c r="O501" s="484"/>
      <c r="P501" s="484"/>
      <c r="Q501" s="484"/>
      <c r="R501" s="485"/>
      <c r="S501" s="484"/>
      <c r="T501" s="484"/>
      <c r="U501" s="360">
        <f t="shared" si="1644"/>
        <v>0</v>
      </c>
      <c r="V501" s="484"/>
      <c r="W501" s="484"/>
      <c r="X501" s="484"/>
      <c r="Y501" s="485"/>
      <c r="Z501" s="484"/>
      <c r="AA501" s="484"/>
      <c r="AB501" s="360">
        <f t="shared" si="1644"/>
        <v>0</v>
      </c>
      <c r="AC501" s="484"/>
      <c r="AD501" s="484"/>
      <c r="AE501" s="484"/>
      <c r="AF501" s="485"/>
      <c r="AG501" s="484"/>
      <c r="AH501" s="484"/>
      <c r="AI501" s="360">
        <f t="shared" si="1644"/>
        <v>0</v>
      </c>
      <c r="AJ501" s="484"/>
      <c r="AK501" s="484"/>
      <c r="AL501" s="484"/>
      <c r="AM501" s="485"/>
      <c r="AN501" s="484"/>
      <c r="AO501" s="484"/>
      <c r="AP501" s="360">
        <f t="shared" si="1644"/>
        <v>0</v>
      </c>
      <c r="AQ501" s="484"/>
      <c r="AR501" s="484"/>
      <c r="AS501" s="484"/>
      <c r="AT501" s="485"/>
      <c r="AU501" s="484"/>
      <c r="AV501" s="484"/>
      <c r="AW501" s="360">
        <f t="shared" si="1644"/>
        <v>0</v>
      </c>
      <c r="AX501" s="484"/>
      <c r="AY501" s="484"/>
      <c r="AZ501" s="484"/>
      <c r="BA501" s="485"/>
      <c r="BB501" s="484"/>
      <c r="BC501" s="484"/>
      <c r="BD501" s="360"/>
      <c r="BE501" s="484"/>
      <c r="BF501" s="484"/>
      <c r="BG501" s="484"/>
      <c r="BH501" s="485"/>
      <c r="BI501" s="484"/>
      <c r="BJ501" s="484"/>
      <c r="BK501" s="360">
        <f>+BK184*(1-BK206)</f>
        <v>0</v>
      </c>
      <c r="BL501" s="484"/>
      <c r="BM501" s="484"/>
      <c r="BN501" s="484"/>
      <c r="BO501" s="485"/>
      <c r="BP501" s="484"/>
      <c r="BQ501" s="484"/>
      <c r="BR501" s="360">
        <f>+BR184*(1-BR206)</f>
        <v>0</v>
      </c>
      <c r="BS501" s="484"/>
      <c r="BT501" s="484"/>
      <c r="BU501" s="484"/>
      <c r="BV501" s="485"/>
      <c r="BW501" s="484"/>
      <c r="BX501" s="484"/>
      <c r="BY501" s="360">
        <f>+BY184*(1-BY206)</f>
        <v>0</v>
      </c>
      <c r="BZ501" s="484"/>
      <c r="CA501" s="484"/>
      <c r="CB501" s="484"/>
      <c r="CC501" s="485"/>
      <c r="CD501" s="484"/>
      <c r="CE501" s="484"/>
      <c r="CF501" s="360">
        <f>+CF184*(1-CF206)</f>
        <v>0</v>
      </c>
      <c r="CG501" s="484"/>
      <c r="CH501" s="484"/>
      <c r="CI501" s="484"/>
      <c r="CJ501" s="485"/>
      <c r="CK501" s="484"/>
      <c r="CL501" s="484"/>
      <c r="CM501" s="360">
        <f>+CM184*(1-CM206)</f>
        <v>0</v>
      </c>
      <c r="CN501" s="484"/>
      <c r="CO501" s="484"/>
      <c r="CP501" s="484"/>
      <c r="CQ501" s="485"/>
      <c r="CR501" s="484"/>
      <c r="CS501" s="484"/>
      <c r="CT501" s="360">
        <f>+CT184*(1-CT206)</f>
        <v>0</v>
      </c>
      <c r="CU501" s="484"/>
      <c r="CV501" s="484"/>
      <c r="CW501" s="484"/>
      <c r="CX501" s="485"/>
      <c r="CY501" s="484"/>
      <c r="CZ501" s="484"/>
      <c r="DA501" s="360">
        <f>+DA184*(1-DA206)</f>
        <v>0</v>
      </c>
      <c r="DB501" s="484"/>
      <c r="DC501" s="484"/>
      <c r="DD501" s="484"/>
      <c r="DE501" s="485"/>
      <c r="DF501" s="484"/>
      <c r="DG501" s="484"/>
      <c r="DH501" s="360">
        <f>+DH184*(1-DH206)</f>
        <v>0</v>
      </c>
      <c r="DI501" s="484"/>
      <c r="DJ501" s="484"/>
      <c r="DK501" s="484"/>
      <c r="DL501" s="485"/>
      <c r="DM501" s="484"/>
      <c r="DN501" s="484"/>
      <c r="DO501" s="360">
        <f>+DO184*(1-DO206)</f>
        <v>0</v>
      </c>
      <c r="DP501" s="484"/>
      <c r="DQ501" s="484"/>
      <c r="DR501" s="484"/>
      <c r="DS501" s="485"/>
      <c r="DT501" s="484"/>
      <c r="DU501" s="484"/>
      <c r="DV501" s="360">
        <f>+DV184*(1-DV206)</f>
        <v>0</v>
      </c>
      <c r="DW501" s="484"/>
      <c r="DX501" s="484"/>
      <c r="DY501" s="484"/>
      <c r="DZ501" s="485"/>
      <c r="EA501" s="484"/>
      <c r="EB501" s="484"/>
      <c r="EC501" s="360">
        <f>+EC184*(1-EC206)</f>
        <v>0</v>
      </c>
      <c r="ED501" s="484"/>
      <c r="EE501" s="484"/>
      <c r="EF501" s="484"/>
      <c r="EG501" s="485"/>
      <c r="EH501" s="484"/>
      <c r="EI501" s="484"/>
      <c r="EJ501" s="360">
        <f>+EJ184*(1-EJ206)</f>
        <v>0</v>
      </c>
      <c r="EK501" s="484"/>
      <c r="EL501" s="484"/>
      <c r="EM501" s="484"/>
      <c r="EN501" s="485"/>
      <c r="EO501" s="484"/>
      <c r="EP501" s="484"/>
      <c r="EQ501" s="360">
        <f>+EQ184*(1-EQ206)</f>
        <v>0</v>
      </c>
    </row>
    <row r="502" spans="1:147" ht="10.199999999999999" hidden="1" customHeight="1" outlineLevel="1">
      <c r="A502" s="48" t="s">
        <v>314</v>
      </c>
      <c r="B502" s="48"/>
      <c r="C502" s="125">
        <f t="shared" ref="C502:AW502" si="1645">+C185*(1-C206)</f>
        <v>129.1027941550384</v>
      </c>
      <c r="D502" s="125">
        <f t="shared" si="1645"/>
        <v>136.28090951005854</v>
      </c>
      <c r="E502" s="125">
        <f t="shared" si="1645"/>
        <v>133.00492610837441</v>
      </c>
      <c r="F502" s="125">
        <f t="shared" si="1645"/>
        <v>134.1</v>
      </c>
      <c r="G502" s="124">
        <f t="shared" si="1645"/>
        <v>138.852</v>
      </c>
      <c r="H502" s="124">
        <f t="shared" si="1645"/>
        <v>140.23937812499997</v>
      </c>
      <c r="I502" s="124">
        <f t="shared" si="1645"/>
        <v>131.52019761562497</v>
      </c>
      <c r="J502" s="124">
        <f t="shared" si="1645"/>
        <v>130.14970539539055</v>
      </c>
      <c r="K502" s="124">
        <f t="shared" si="1645"/>
        <v>131.85956207544743</v>
      </c>
      <c r="L502" s="124">
        <f t="shared" si="1645"/>
        <v>163.02000000000001</v>
      </c>
      <c r="M502" s="124">
        <f t="shared" si="1645"/>
        <v>170.17000000000002</v>
      </c>
      <c r="N502" s="95">
        <f t="shared" si="1645"/>
        <v>126.84209999999999</v>
      </c>
      <c r="O502" s="484"/>
      <c r="P502" s="484"/>
      <c r="Q502" s="484"/>
      <c r="R502" s="485"/>
      <c r="S502" s="484"/>
      <c r="T502" s="484"/>
      <c r="U502" s="360">
        <f t="shared" si="1645"/>
        <v>0</v>
      </c>
      <c r="V502" s="484"/>
      <c r="W502" s="484"/>
      <c r="X502" s="484"/>
      <c r="Y502" s="485"/>
      <c r="Z502" s="484"/>
      <c r="AA502" s="484"/>
      <c r="AB502" s="360">
        <f t="shared" si="1645"/>
        <v>0</v>
      </c>
      <c r="AC502" s="484"/>
      <c r="AD502" s="484"/>
      <c r="AE502" s="484"/>
      <c r="AF502" s="485"/>
      <c r="AG502" s="484"/>
      <c r="AH502" s="484"/>
      <c r="AI502" s="360">
        <f t="shared" si="1645"/>
        <v>0</v>
      </c>
      <c r="AJ502" s="484"/>
      <c r="AK502" s="484"/>
      <c r="AL502" s="484"/>
      <c r="AM502" s="485"/>
      <c r="AN502" s="484"/>
      <c r="AO502" s="484"/>
      <c r="AP502" s="360">
        <f t="shared" si="1645"/>
        <v>0</v>
      </c>
      <c r="AQ502" s="484"/>
      <c r="AR502" s="484"/>
      <c r="AS502" s="484"/>
      <c r="AT502" s="485"/>
      <c r="AU502" s="484"/>
      <c r="AV502" s="484"/>
      <c r="AW502" s="360">
        <f t="shared" si="1645"/>
        <v>0</v>
      </c>
      <c r="AX502" s="484"/>
      <c r="AY502" s="484"/>
      <c r="AZ502" s="484"/>
      <c r="BA502" s="485"/>
      <c r="BB502" s="484"/>
      <c r="BC502" s="484"/>
      <c r="BD502" s="360"/>
      <c r="BE502" s="484"/>
      <c r="BF502" s="484"/>
      <c r="BG502" s="484"/>
      <c r="BH502" s="485"/>
      <c r="BI502" s="484"/>
      <c r="BJ502" s="484"/>
      <c r="BK502" s="360">
        <f>+BK185*(1-BK206)</f>
        <v>0</v>
      </c>
      <c r="BL502" s="484"/>
      <c r="BM502" s="484"/>
      <c r="BN502" s="484"/>
      <c r="BO502" s="485"/>
      <c r="BP502" s="484"/>
      <c r="BQ502" s="484"/>
      <c r="BR502" s="360">
        <f>+BR185*(1-BR206)</f>
        <v>0</v>
      </c>
      <c r="BS502" s="484"/>
      <c r="BT502" s="484"/>
      <c r="BU502" s="484"/>
      <c r="BV502" s="485"/>
      <c r="BW502" s="484"/>
      <c r="BX502" s="484"/>
      <c r="BY502" s="360">
        <f>+BY185*(1-BY206)</f>
        <v>0</v>
      </c>
      <c r="BZ502" s="484"/>
      <c r="CA502" s="484"/>
      <c r="CB502" s="484"/>
      <c r="CC502" s="485"/>
      <c r="CD502" s="484"/>
      <c r="CE502" s="484"/>
      <c r="CF502" s="360">
        <f>+CF185*(1-CF206)</f>
        <v>0</v>
      </c>
      <c r="CG502" s="484"/>
      <c r="CH502" s="484"/>
      <c r="CI502" s="484"/>
      <c r="CJ502" s="485"/>
      <c r="CK502" s="484"/>
      <c r="CL502" s="484"/>
      <c r="CM502" s="360">
        <f>+CM185*(1-CM206)</f>
        <v>0</v>
      </c>
      <c r="CN502" s="484"/>
      <c r="CO502" s="484"/>
      <c r="CP502" s="484"/>
      <c r="CQ502" s="485"/>
      <c r="CR502" s="484"/>
      <c r="CS502" s="484"/>
      <c r="CT502" s="360">
        <f>+CT185*(1-CT206)</f>
        <v>0</v>
      </c>
      <c r="CU502" s="484"/>
      <c r="CV502" s="484"/>
      <c r="CW502" s="484"/>
      <c r="CX502" s="485"/>
      <c r="CY502" s="484"/>
      <c r="CZ502" s="484"/>
      <c r="DA502" s="360">
        <f>+DA185*(1-DA206)</f>
        <v>0</v>
      </c>
      <c r="DB502" s="484"/>
      <c r="DC502" s="484"/>
      <c r="DD502" s="484"/>
      <c r="DE502" s="485"/>
      <c r="DF502" s="484"/>
      <c r="DG502" s="484"/>
      <c r="DH502" s="360">
        <f>+DH185*(1-DH206)</f>
        <v>0</v>
      </c>
      <c r="DI502" s="484"/>
      <c r="DJ502" s="484"/>
      <c r="DK502" s="484"/>
      <c r="DL502" s="485"/>
      <c r="DM502" s="484"/>
      <c r="DN502" s="484"/>
      <c r="DO502" s="360">
        <f>+DO185*(1-DO206)</f>
        <v>0</v>
      </c>
      <c r="DP502" s="484"/>
      <c r="DQ502" s="484"/>
      <c r="DR502" s="484"/>
      <c r="DS502" s="485"/>
      <c r="DT502" s="484"/>
      <c r="DU502" s="484"/>
      <c r="DV502" s="360">
        <f>+DV185*(1-DV206)</f>
        <v>0</v>
      </c>
      <c r="DW502" s="484"/>
      <c r="DX502" s="484"/>
      <c r="DY502" s="484"/>
      <c r="DZ502" s="485"/>
      <c r="EA502" s="484"/>
      <c r="EB502" s="484"/>
      <c r="EC502" s="360">
        <f>+EC185*(1-EC206)</f>
        <v>0</v>
      </c>
      <c r="ED502" s="484"/>
      <c r="EE502" s="484"/>
      <c r="EF502" s="484"/>
      <c r="EG502" s="485"/>
      <c r="EH502" s="484"/>
      <c r="EI502" s="484"/>
      <c r="EJ502" s="360">
        <f>+EJ185*(1-EJ206)</f>
        <v>0</v>
      </c>
      <c r="EK502" s="484"/>
      <c r="EL502" s="484"/>
      <c r="EM502" s="484"/>
      <c r="EN502" s="485"/>
      <c r="EO502" s="484"/>
      <c r="EP502" s="484"/>
      <c r="EQ502" s="360">
        <f>+EQ185*(1-EQ206)</f>
        <v>0</v>
      </c>
    </row>
    <row r="503" spans="1:147" ht="10.199999999999999" hidden="1" customHeight="1" outlineLevel="1">
      <c r="A503" s="48" t="s">
        <v>315</v>
      </c>
      <c r="B503" s="48"/>
      <c r="C503" s="125">
        <f t="shared" ref="C503:AW503" si="1646">+C186*(1-C206)</f>
        <v>136.27517160809606</v>
      </c>
      <c r="D503" s="125">
        <f t="shared" si="1646"/>
        <v>143.8520711495062</v>
      </c>
      <c r="E503" s="125">
        <f t="shared" si="1646"/>
        <v>140.39408866995075</v>
      </c>
      <c r="F503" s="125">
        <f t="shared" si="1646"/>
        <v>141.55000000000001</v>
      </c>
      <c r="G503" s="124">
        <f t="shared" si="1646"/>
        <v>146.566</v>
      </c>
      <c r="H503" s="124">
        <f t="shared" si="1646"/>
        <v>148.03045468749997</v>
      </c>
      <c r="I503" s="124">
        <f t="shared" si="1646"/>
        <v>138.82687526093747</v>
      </c>
      <c r="J503" s="124">
        <f t="shared" si="1646"/>
        <v>137.38024458402342</v>
      </c>
      <c r="K503" s="124">
        <f t="shared" si="1646"/>
        <v>139.18509330186117</v>
      </c>
      <c r="L503" s="124">
        <f t="shared" si="1646"/>
        <v>171.47000000000003</v>
      </c>
      <c r="M503" s="124">
        <f t="shared" si="1646"/>
        <v>179.01</v>
      </c>
      <c r="N503" s="95">
        <f t="shared" si="1646"/>
        <v>133.43129999999996</v>
      </c>
      <c r="O503" s="484"/>
      <c r="P503" s="484"/>
      <c r="Q503" s="484"/>
      <c r="R503" s="485"/>
      <c r="S503" s="484"/>
      <c r="T503" s="484"/>
      <c r="U503" s="360">
        <f t="shared" si="1646"/>
        <v>0</v>
      </c>
      <c r="V503" s="484"/>
      <c r="W503" s="484"/>
      <c r="X503" s="484"/>
      <c r="Y503" s="485"/>
      <c r="Z503" s="484"/>
      <c r="AA503" s="484"/>
      <c r="AB503" s="360">
        <f t="shared" si="1646"/>
        <v>0</v>
      </c>
      <c r="AC503" s="484"/>
      <c r="AD503" s="484"/>
      <c r="AE503" s="484"/>
      <c r="AF503" s="485"/>
      <c r="AG503" s="484"/>
      <c r="AH503" s="484"/>
      <c r="AI503" s="360">
        <f t="shared" si="1646"/>
        <v>0</v>
      </c>
      <c r="AJ503" s="484"/>
      <c r="AK503" s="484"/>
      <c r="AL503" s="484"/>
      <c r="AM503" s="485"/>
      <c r="AN503" s="484"/>
      <c r="AO503" s="484"/>
      <c r="AP503" s="360">
        <f t="shared" si="1646"/>
        <v>0</v>
      </c>
      <c r="AQ503" s="484"/>
      <c r="AR503" s="484"/>
      <c r="AS503" s="484"/>
      <c r="AT503" s="485"/>
      <c r="AU503" s="484"/>
      <c r="AV503" s="484"/>
      <c r="AW503" s="360">
        <f t="shared" si="1646"/>
        <v>0</v>
      </c>
      <c r="AX503" s="484"/>
      <c r="AY503" s="484"/>
      <c r="AZ503" s="484"/>
      <c r="BA503" s="485"/>
      <c r="BB503" s="484"/>
      <c r="BC503" s="484"/>
      <c r="BD503" s="360"/>
      <c r="BE503" s="484"/>
      <c r="BF503" s="484"/>
      <c r="BG503" s="484"/>
      <c r="BH503" s="485"/>
      <c r="BI503" s="484"/>
      <c r="BJ503" s="484"/>
      <c r="BK503" s="360">
        <f>+BK186*(1-BK206)</f>
        <v>0</v>
      </c>
      <c r="BL503" s="484"/>
      <c r="BM503" s="484"/>
      <c r="BN503" s="484"/>
      <c r="BO503" s="485"/>
      <c r="BP503" s="484"/>
      <c r="BQ503" s="484"/>
      <c r="BR503" s="360">
        <f>+BR186*(1-BR206)</f>
        <v>0</v>
      </c>
      <c r="BS503" s="484"/>
      <c r="BT503" s="484"/>
      <c r="BU503" s="484"/>
      <c r="BV503" s="485"/>
      <c r="BW503" s="484"/>
      <c r="BX503" s="484"/>
      <c r="BY503" s="360">
        <f>+BY186*(1-BY206)</f>
        <v>0</v>
      </c>
      <c r="BZ503" s="484"/>
      <c r="CA503" s="484"/>
      <c r="CB503" s="484"/>
      <c r="CC503" s="485"/>
      <c r="CD503" s="484"/>
      <c r="CE503" s="484"/>
      <c r="CF503" s="360">
        <f>+CF186*(1-CF206)</f>
        <v>0</v>
      </c>
      <c r="CG503" s="484"/>
      <c r="CH503" s="484"/>
      <c r="CI503" s="484"/>
      <c r="CJ503" s="485"/>
      <c r="CK503" s="484"/>
      <c r="CL503" s="484"/>
      <c r="CM503" s="360">
        <f>+CM186*(1-CM206)</f>
        <v>0</v>
      </c>
      <c r="CN503" s="484"/>
      <c r="CO503" s="484"/>
      <c r="CP503" s="484"/>
      <c r="CQ503" s="485"/>
      <c r="CR503" s="484"/>
      <c r="CS503" s="484"/>
      <c r="CT503" s="360">
        <f>+CT186*(1-CT206)</f>
        <v>0</v>
      </c>
      <c r="CU503" s="484"/>
      <c r="CV503" s="484"/>
      <c r="CW503" s="484"/>
      <c r="CX503" s="485"/>
      <c r="CY503" s="484"/>
      <c r="CZ503" s="484"/>
      <c r="DA503" s="360">
        <f>+DA186*(1-DA206)</f>
        <v>0</v>
      </c>
      <c r="DB503" s="484"/>
      <c r="DC503" s="484"/>
      <c r="DD503" s="484"/>
      <c r="DE503" s="485"/>
      <c r="DF503" s="484"/>
      <c r="DG503" s="484"/>
      <c r="DH503" s="360">
        <f>+DH186*(1-DH206)</f>
        <v>0</v>
      </c>
      <c r="DI503" s="484"/>
      <c r="DJ503" s="484"/>
      <c r="DK503" s="484"/>
      <c r="DL503" s="485"/>
      <c r="DM503" s="484"/>
      <c r="DN503" s="484"/>
      <c r="DO503" s="360">
        <f>+DO186*(1-DO206)</f>
        <v>0</v>
      </c>
      <c r="DP503" s="484"/>
      <c r="DQ503" s="484"/>
      <c r="DR503" s="484"/>
      <c r="DS503" s="485"/>
      <c r="DT503" s="484"/>
      <c r="DU503" s="484"/>
      <c r="DV503" s="360">
        <f>+DV186*(1-DV206)</f>
        <v>0</v>
      </c>
      <c r="DW503" s="484"/>
      <c r="DX503" s="484"/>
      <c r="DY503" s="484"/>
      <c r="DZ503" s="485"/>
      <c r="EA503" s="484"/>
      <c r="EB503" s="484"/>
      <c r="EC503" s="360">
        <f>+EC186*(1-EC206)</f>
        <v>0</v>
      </c>
      <c r="ED503" s="484"/>
      <c r="EE503" s="484"/>
      <c r="EF503" s="484"/>
      <c r="EG503" s="485"/>
      <c r="EH503" s="484"/>
      <c r="EI503" s="484"/>
      <c r="EJ503" s="360">
        <f>+EJ186*(1-EJ206)</f>
        <v>0</v>
      </c>
      <c r="EK503" s="484"/>
      <c r="EL503" s="484"/>
      <c r="EM503" s="484"/>
      <c r="EN503" s="485"/>
      <c r="EO503" s="484"/>
      <c r="EP503" s="484"/>
      <c r="EQ503" s="360">
        <f>+EQ186*(1-EQ206)</f>
        <v>0</v>
      </c>
    </row>
    <row r="504" spans="1:147" ht="10.199999999999999" hidden="1" customHeight="1" outlineLevel="1">
      <c r="A504" s="48" t="s">
        <v>321</v>
      </c>
      <c r="B504" s="48"/>
      <c r="C504" s="125">
        <f t="shared" ref="C504:AW504" si="1647">+C187*(1-C206)</f>
        <v>114.75803924892301</v>
      </c>
      <c r="D504" s="125">
        <f t="shared" si="1647"/>
        <v>132.49532869033465</v>
      </c>
      <c r="E504" s="125">
        <f t="shared" si="1647"/>
        <v>132.10927004030452</v>
      </c>
      <c r="F504" s="125">
        <f t="shared" si="1647"/>
        <v>132.76964285714286</v>
      </c>
      <c r="G504" s="124">
        <f t="shared" si="1647"/>
        <v>137.47450000000001</v>
      </c>
      <c r="H504" s="124">
        <f t="shared" si="1647"/>
        <v>138.84811445312496</v>
      </c>
      <c r="I504" s="124">
        <f t="shared" si="1647"/>
        <v>130.21543375039059</v>
      </c>
      <c r="J504" s="124">
        <f t="shared" si="1647"/>
        <v>128.85853768313473</v>
      </c>
      <c r="K504" s="124">
        <f t="shared" si="1647"/>
        <v>130.55143149930211</v>
      </c>
      <c r="L504" s="124">
        <f t="shared" si="1647"/>
        <v>160.89666666666668</v>
      </c>
      <c r="M504" s="124">
        <f t="shared" si="1647"/>
        <v>167.96000000000004</v>
      </c>
      <c r="N504" s="95">
        <f t="shared" si="1647"/>
        <v>125.19480000000001</v>
      </c>
      <c r="O504" s="484"/>
      <c r="P504" s="484"/>
      <c r="Q504" s="484"/>
      <c r="R504" s="485"/>
      <c r="S504" s="484"/>
      <c r="T504" s="484"/>
      <c r="U504" s="360">
        <f t="shared" si="1647"/>
        <v>0</v>
      </c>
      <c r="V504" s="484"/>
      <c r="W504" s="484"/>
      <c r="X504" s="484"/>
      <c r="Y504" s="485"/>
      <c r="Z504" s="484"/>
      <c r="AA504" s="484"/>
      <c r="AB504" s="360">
        <f t="shared" si="1647"/>
        <v>0</v>
      </c>
      <c r="AC504" s="484"/>
      <c r="AD504" s="484"/>
      <c r="AE504" s="484"/>
      <c r="AF504" s="485"/>
      <c r="AG504" s="484"/>
      <c r="AH504" s="484"/>
      <c r="AI504" s="360">
        <f t="shared" si="1647"/>
        <v>0</v>
      </c>
      <c r="AJ504" s="484"/>
      <c r="AK504" s="484"/>
      <c r="AL504" s="484"/>
      <c r="AM504" s="485"/>
      <c r="AN504" s="484"/>
      <c r="AO504" s="484"/>
      <c r="AP504" s="360">
        <f t="shared" si="1647"/>
        <v>0</v>
      </c>
      <c r="AQ504" s="484"/>
      <c r="AR504" s="484"/>
      <c r="AS504" s="484"/>
      <c r="AT504" s="485"/>
      <c r="AU504" s="484"/>
      <c r="AV504" s="484"/>
      <c r="AW504" s="360">
        <f t="shared" si="1647"/>
        <v>0</v>
      </c>
      <c r="AX504" s="484"/>
      <c r="AY504" s="484"/>
      <c r="AZ504" s="484"/>
      <c r="BA504" s="485"/>
      <c r="BB504" s="484"/>
      <c r="BC504" s="484"/>
      <c r="BD504" s="360"/>
      <c r="BE504" s="484"/>
      <c r="BF504" s="484"/>
      <c r="BG504" s="484"/>
      <c r="BH504" s="485"/>
      <c r="BI504" s="484"/>
      <c r="BJ504" s="484"/>
      <c r="BK504" s="360">
        <f>+BK187*(1-BK206)</f>
        <v>0</v>
      </c>
      <c r="BL504" s="484"/>
      <c r="BM504" s="484"/>
      <c r="BN504" s="484"/>
      <c r="BO504" s="485"/>
      <c r="BP504" s="484"/>
      <c r="BQ504" s="484"/>
      <c r="BR504" s="360">
        <f>+BR187*(1-BR206)</f>
        <v>0</v>
      </c>
      <c r="BS504" s="484"/>
      <c r="BT504" s="484"/>
      <c r="BU504" s="484"/>
      <c r="BV504" s="485"/>
      <c r="BW504" s="484"/>
      <c r="BX504" s="484"/>
      <c r="BY504" s="360">
        <f>+BY187*(1-BY206)</f>
        <v>0</v>
      </c>
      <c r="BZ504" s="484"/>
      <c r="CA504" s="484"/>
      <c r="CB504" s="484"/>
      <c r="CC504" s="485"/>
      <c r="CD504" s="484"/>
      <c r="CE504" s="484"/>
      <c r="CF504" s="360">
        <f>+CF187*(1-CF206)</f>
        <v>0</v>
      </c>
      <c r="CG504" s="484"/>
      <c r="CH504" s="484"/>
      <c r="CI504" s="484"/>
      <c r="CJ504" s="485"/>
      <c r="CK504" s="484"/>
      <c r="CL504" s="484"/>
      <c r="CM504" s="360">
        <f>+CM187*(1-CM206)</f>
        <v>0</v>
      </c>
      <c r="CN504" s="484"/>
      <c r="CO504" s="484"/>
      <c r="CP504" s="484"/>
      <c r="CQ504" s="485"/>
      <c r="CR504" s="484"/>
      <c r="CS504" s="484"/>
      <c r="CT504" s="360">
        <f>+CT187*(1-CT206)</f>
        <v>0</v>
      </c>
      <c r="CU504" s="484"/>
      <c r="CV504" s="484"/>
      <c r="CW504" s="484"/>
      <c r="CX504" s="485"/>
      <c r="CY504" s="484"/>
      <c r="CZ504" s="484"/>
      <c r="DA504" s="360">
        <f>+DA187*(1-DA206)</f>
        <v>0</v>
      </c>
      <c r="DB504" s="484"/>
      <c r="DC504" s="484"/>
      <c r="DD504" s="484"/>
      <c r="DE504" s="485"/>
      <c r="DF504" s="484"/>
      <c r="DG504" s="484"/>
      <c r="DH504" s="360">
        <f>+DH187*(1-DH206)</f>
        <v>0</v>
      </c>
      <c r="DI504" s="484"/>
      <c r="DJ504" s="484"/>
      <c r="DK504" s="484"/>
      <c r="DL504" s="485"/>
      <c r="DM504" s="484"/>
      <c r="DN504" s="484"/>
      <c r="DO504" s="360">
        <f>+DO187*(1-DO206)</f>
        <v>0</v>
      </c>
      <c r="DP504" s="484"/>
      <c r="DQ504" s="484"/>
      <c r="DR504" s="484"/>
      <c r="DS504" s="485"/>
      <c r="DT504" s="484"/>
      <c r="DU504" s="484"/>
      <c r="DV504" s="360">
        <f>+DV187*(1-DV206)</f>
        <v>0</v>
      </c>
      <c r="DW504" s="484"/>
      <c r="DX504" s="484"/>
      <c r="DY504" s="484"/>
      <c r="DZ504" s="485"/>
      <c r="EA504" s="484"/>
      <c r="EB504" s="484"/>
      <c r="EC504" s="360">
        <f>+EC187*(1-EC206)</f>
        <v>0</v>
      </c>
      <c r="ED504" s="484"/>
      <c r="EE504" s="484"/>
      <c r="EF504" s="484"/>
      <c r="EG504" s="485"/>
      <c r="EH504" s="484"/>
      <c r="EI504" s="484"/>
      <c r="EJ504" s="360">
        <f>+EJ187*(1-EJ206)</f>
        <v>0</v>
      </c>
      <c r="EK504" s="484"/>
      <c r="EL504" s="484"/>
      <c r="EM504" s="484"/>
      <c r="EN504" s="485"/>
      <c r="EO504" s="484"/>
      <c r="EP504" s="484"/>
      <c r="EQ504" s="360">
        <f>+EQ187*(1-EQ206)</f>
        <v>0</v>
      </c>
    </row>
    <row r="505" spans="1:147" ht="10.199999999999999" hidden="1" customHeight="1" outlineLevel="1">
      <c r="A505" s="108" t="s">
        <v>384</v>
      </c>
      <c r="B505" s="48"/>
      <c r="C505" s="125"/>
      <c r="D505" s="125"/>
      <c r="E505" s="125"/>
      <c r="F505" s="125"/>
      <c r="G505" s="124"/>
      <c r="H505" s="124"/>
      <c r="I505" s="124"/>
      <c r="J505" s="124"/>
      <c r="K505" s="124"/>
      <c r="L505" s="124"/>
      <c r="M505" s="124"/>
      <c r="N505" s="95"/>
      <c r="O505" s="296"/>
      <c r="P505" s="296"/>
      <c r="Q505" s="296"/>
      <c r="R505" s="483"/>
      <c r="S505" s="296"/>
      <c r="T505" s="296"/>
      <c r="U505" s="359"/>
      <c r="V505" s="296"/>
      <c r="W505" s="296"/>
      <c r="X505" s="296"/>
      <c r="Y505" s="483"/>
      <c r="Z505" s="296"/>
      <c r="AA505" s="296"/>
      <c r="AB505" s="359"/>
      <c r="AC505" s="296"/>
      <c r="AD505" s="296"/>
      <c r="AE505" s="296"/>
      <c r="AF505" s="483"/>
      <c r="AG505" s="296"/>
      <c r="AH505" s="296"/>
      <c r="AI505" s="359"/>
      <c r="AJ505" s="296"/>
      <c r="AK505" s="296"/>
      <c r="AL505" s="296"/>
      <c r="AM505" s="483"/>
      <c r="AN505" s="296"/>
      <c r="AO505" s="296"/>
      <c r="AP505" s="359"/>
      <c r="AQ505" s="296"/>
      <c r="AR505" s="296"/>
      <c r="AS505" s="296"/>
      <c r="AT505" s="483"/>
      <c r="AU505" s="296"/>
      <c r="AV505" s="296"/>
      <c r="AW505" s="359">
        <f>AW182*(1-AW$208)</f>
        <v>114.66</v>
      </c>
      <c r="AX505" s="296"/>
      <c r="AY505" s="296"/>
      <c r="AZ505" s="296"/>
      <c r="BA505" s="483"/>
      <c r="BB505" s="296"/>
      <c r="BC505" s="296"/>
      <c r="BD505" s="359">
        <f>+AW505-14</f>
        <v>100.66</v>
      </c>
      <c r="BE505" s="296"/>
      <c r="BF505" s="296"/>
      <c r="BG505" s="296"/>
      <c r="BH505" s="483"/>
      <c r="BI505" s="296"/>
      <c r="BJ505" s="296"/>
      <c r="BK505" s="359">
        <f>+BD505*(1+BK$507)</f>
        <v>100.66</v>
      </c>
      <c r="BL505" s="296"/>
      <c r="BM505" s="296"/>
      <c r="BN505" s="296"/>
      <c r="BO505" s="483"/>
      <c r="BP505" s="296"/>
      <c r="BQ505" s="296"/>
      <c r="BR505" s="359">
        <f>BK505*(1+BR507)</f>
        <v>100.66</v>
      </c>
      <c r="BS505" s="296"/>
      <c r="BT505" s="296"/>
      <c r="BU505" s="296"/>
      <c r="BV505" s="483"/>
      <c r="BW505" s="296"/>
      <c r="BX505" s="296"/>
      <c r="BY505" s="359">
        <f>BR505*(1+BY507)</f>
        <v>101.6666</v>
      </c>
      <c r="BZ505" s="296"/>
      <c r="CA505" s="296"/>
      <c r="CB505" s="296"/>
      <c r="CC505" s="483"/>
      <c r="CD505" s="296"/>
      <c r="CE505" s="296"/>
      <c r="CF505" s="359">
        <f>BY505*(1+CF507)</f>
        <v>101.6666</v>
      </c>
      <c r="CG505" s="296"/>
      <c r="CH505" s="296"/>
      <c r="CI505" s="296"/>
      <c r="CJ505" s="483"/>
      <c r="CK505" s="296"/>
      <c r="CL505" s="296"/>
      <c r="CM505" s="359">
        <f>CF505*(1+CM507)</f>
        <v>103.699932</v>
      </c>
      <c r="CN505" s="296"/>
      <c r="CO505" s="296"/>
      <c r="CP505" s="296"/>
      <c r="CQ505" s="483"/>
      <c r="CR505" s="296"/>
      <c r="CS505" s="296"/>
      <c r="CT505" s="359">
        <f>CM505*(1+CT507)</f>
        <v>107.84792928</v>
      </c>
      <c r="CU505" s="296"/>
      <c r="CV505" s="296"/>
      <c r="CW505" s="296"/>
      <c r="CX505" s="483"/>
      <c r="CY505" s="296"/>
      <c r="CZ505" s="296"/>
      <c r="DA505" s="359">
        <f>CT505*(1+DA507)</f>
        <v>112.16184645120001</v>
      </c>
      <c r="DB505" s="296"/>
      <c r="DC505" s="296"/>
      <c r="DD505" s="296"/>
      <c r="DE505" s="483"/>
      <c r="DF505" s="296"/>
      <c r="DG505" s="296"/>
      <c r="DH505" s="359">
        <f>DA505*(1+DH507)</f>
        <v>116.64832030924801</v>
      </c>
      <c r="DI505" s="296"/>
      <c r="DJ505" s="296"/>
      <c r="DK505" s="296"/>
      <c r="DL505" s="483"/>
      <c r="DM505" s="296"/>
      <c r="DN505" s="296"/>
      <c r="DO505" s="359">
        <f>DH505*(1+DO507)</f>
        <v>121.31425312161794</v>
      </c>
      <c r="DP505" s="296"/>
      <c r="DQ505" s="296"/>
      <c r="DR505" s="296"/>
      <c r="DS505" s="483"/>
      <c r="DT505" s="296"/>
      <c r="DU505" s="296"/>
      <c r="DV505" s="359">
        <f>DO505*(1+DV507)</f>
        <v>126.16682324648266</v>
      </c>
      <c r="DW505" s="296"/>
      <c r="DX505" s="296"/>
      <c r="DY505" s="296"/>
      <c r="DZ505" s="483"/>
      <c r="EA505" s="296"/>
      <c r="EB505" s="296"/>
      <c r="EC505" s="359">
        <f>DV505*(1+EC507)</f>
        <v>131.21349617634198</v>
      </c>
      <c r="ED505" s="296"/>
      <c r="EE505" s="296"/>
      <c r="EF505" s="296"/>
      <c r="EG505" s="483"/>
      <c r="EH505" s="296"/>
      <c r="EI505" s="296"/>
      <c r="EJ505" s="359">
        <f>EC505*(1+EJ507)</f>
        <v>136.46203602339565</v>
      </c>
      <c r="EK505" s="296"/>
      <c r="EL505" s="296"/>
      <c r="EM505" s="296"/>
      <c r="EN505" s="483"/>
      <c r="EO505" s="296"/>
      <c r="EP505" s="296"/>
      <c r="EQ505" s="359">
        <f>EJ505*(1+EQ507)</f>
        <v>141.92051746433148</v>
      </c>
    </row>
    <row r="506" spans="1:147" ht="10.199999999999999" hidden="1" customHeight="1" outlineLevel="1">
      <c r="A506" s="108" t="s">
        <v>385</v>
      </c>
      <c r="B506" s="108"/>
      <c r="C506" s="191"/>
      <c r="D506" s="191"/>
      <c r="E506" s="191"/>
      <c r="F506" s="191"/>
      <c r="G506" s="244"/>
      <c r="H506" s="244"/>
      <c r="I506" s="244"/>
      <c r="J506" s="244"/>
      <c r="K506" s="244"/>
      <c r="L506" s="244"/>
      <c r="M506" s="244"/>
      <c r="N506" s="245"/>
      <c r="O506" s="296"/>
      <c r="P506" s="296"/>
      <c r="Q506" s="296"/>
      <c r="R506" s="483"/>
      <c r="S506" s="296"/>
      <c r="T506" s="296"/>
      <c r="U506" s="359"/>
      <c r="V506" s="296"/>
      <c r="W506" s="296"/>
      <c r="X506" s="296"/>
      <c r="Y506" s="483"/>
      <c r="Z506" s="296"/>
      <c r="AA506" s="296"/>
      <c r="AB506" s="359"/>
      <c r="AC506" s="296"/>
      <c r="AD506" s="296"/>
      <c r="AE506" s="296"/>
      <c r="AF506" s="483"/>
      <c r="AG506" s="296"/>
      <c r="AH506" s="296"/>
      <c r="AI506" s="359"/>
      <c r="AJ506" s="296"/>
      <c r="AK506" s="296"/>
      <c r="AL506" s="296"/>
      <c r="AM506" s="483"/>
      <c r="AN506" s="296"/>
      <c r="AO506" s="296"/>
      <c r="AP506" s="359"/>
      <c r="AQ506" s="296"/>
      <c r="AR506" s="296"/>
      <c r="AS506" s="296"/>
      <c r="AT506" s="483"/>
      <c r="AU506" s="296"/>
      <c r="AV506" s="296"/>
      <c r="AW506" s="359">
        <f>AW183*(1-AW$208)</f>
        <v>130.77000000000001</v>
      </c>
      <c r="AX506" s="296"/>
      <c r="AY506" s="296"/>
      <c r="AZ506" s="296"/>
      <c r="BA506" s="483"/>
      <c r="BB506" s="296"/>
      <c r="BC506" s="296"/>
      <c r="BD506" s="359">
        <f>+AW506-14</f>
        <v>116.77000000000001</v>
      </c>
      <c r="BE506" s="296"/>
      <c r="BF506" s="296"/>
      <c r="BG506" s="296"/>
      <c r="BH506" s="483"/>
      <c r="BI506" s="296"/>
      <c r="BJ506" s="296"/>
      <c r="BK506" s="359">
        <f>BD506*(1+BK507)</f>
        <v>116.77000000000001</v>
      </c>
      <c r="BL506" s="296"/>
      <c r="BM506" s="296"/>
      <c r="BN506" s="296"/>
      <c r="BO506" s="483"/>
      <c r="BP506" s="296"/>
      <c r="BQ506" s="296"/>
      <c r="BR506" s="359">
        <f>BK506*(1+BR507)</f>
        <v>116.77000000000001</v>
      </c>
      <c r="BS506" s="296"/>
      <c r="BT506" s="296"/>
      <c r="BU506" s="296"/>
      <c r="BV506" s="483"/>
      <c r="BW506" s="296"/>
      <c r="BX506" s="296"/>
      <c r="BY506" s="359">
        <f>BR506*(1+BY507)</f>
        <v>117.93770000000001</v>
      </c>
      <c r="BZ506" s="296"/>
      <c r="CA506" s="296"/>
      <c r="CB506" s="296"/>
      <c r="CC506" s="483"/>
      <c r="CD506" s="296"/>
      <c r="CE506" s="296"/>
      <c r="CF506" s="359">
        <f>BY506*(1+CF507)</f>
        <v>117.93770000000001</v>
      </c>
      <c r="CG506" s="296"/>
      <c r="CH506" s="296"/>
      <c r="CI506" s="296"/>
      <c r="CJ506" s="483"/>
      <c r="CK506" s="296"/>
      <c r="CL506" s="296"/>
      <c r="CM506" s="359">
        <f>CF506*(1+CM507)</f>
        <v>120.29645400000001</v>
      </c>
      <c r="CN506" s="296"/>
      <c r="CO506" s="296"/>
      <c r="CP506" s="296"/>
      <c r="CQ506" s="483"/>
      <c r="CR506" s="296"/>
      <c r="CS506" s="296"/>
      <c r="CT506" s="359">
        <f>CM506*(1+CT507)</f>
        <v>125.10831216000001</v>
      </c>
      <c r="CU506" s="296"/>
      <c r="CV506" s="296"/>
      <c r="CW506" s="296"/>
      <c r="CX506" s="483"/>
      <c r="CY506" s="296"/>
      <c r="CZ506" s="296"/>
      <c r="DA506" s="359">
        <f>CT506*(1+DA507)</f>
        <v>130.11264464640001</v>
      </c>
      <c r="DB506" s="296"/>
      <c r="DC506" s="296"/>
      <c r="DD506" s="296"/>
      <c r="DE506" s="483"/>
      <c r="DF506" s="296"/>
      <c r="DG506" s="296"/>
      <c r="DH506" s="359">
        <f>DA506*(1+DH507)</f>
        <v>135.31715043225603</v>
      </c>
      <c r="DI506" s="296"/>
      <c r="DJ506" s="296"/>
      <c r="DK506" s="296"/>
      <c r="DL506" s="483"/>
      <c r="DM506" s="296"/>
      <c r="DN506" s="296"/>
      <c r="DO506" s="359">
        <f>DH506*(1+DO507)</f>
        <v>140.72983644954627</v>
      </c>
      <c r="DP506" s="296"/>
      <c r="DQ506" s="296"/>
      <c r="DR506" s="296"/>
      <c r="DS506" s="483"/>
      <c r="DT506" s="296"/>
      <c r="DU506" s="296"/>
      <c r="DV506" s="359">
        <f>DO506*(1+DV507)</f>
        <v>146.35902990752811</v>
      </c>
      <c r="DW506" s="296"/>
      <c r="DX506" s="296"/>
      <c r="DY506" s="296"/>
      <c r="DZ506" s="483"/>
      <c r="EA506" s="296"/>
      <c r="EB506" s="296"/>
      <c r="EC506" s="359">
        <f>DV506*(1+EC507)</f>
        <v>152.21339110382925</v>
      </c>
      <c r="ED506" s="296"/>
      <c r="EE506" s="296"/>
      <c r="EF506" s="296"/>
      <c r="EG506" s="483"/>
      <c r="EH506" s="296"/>
      <c r="EI506" s="296"/>
      <c r="EJ506" s="359">
        <f>EC506*(1+EJ507)</f>
        <v>158.30192674798244</v>
      </c>
      <c r="EK506" s="296"/>
      <c r="EL506" s="296"/>
      <c r="EM506" s="296"/>
      <c r="EN506" s="483"/>
      <c r="EO506" s="296"/>
      <c r="EP506" s="296"/>
      <c r="EQ506" s="359">
        <f>EJ506*(1+EQ507)</f>
        <v>164.63400381790174</v>
      </c>
    </row>
    <row r="507" spans="1:147" ht="10.199999999999999" hidden="1" customHeight="1" outlineLevel="1">
      <c r="A507" s="51" t="s">
        <v>522</v>
      </c>
      <c r="B507" s="108"/>
      <c r="C507" s="191"/>
      <c r="D507" s="191"/>
      <c r="E507" s="191"/>
      <c r="F507" s="191"/>
      <c r="G507" s="244"/>
      <c r="H507" s="244"/>
      <c r="I507" s="244"/>
      <c r="J507" s="244"/>
      <c r="K507" s="244"/>
      <c r="L507" s="244"/>
      <c r="M507" s="244"/>
      <c r="N507" s="245"/>
      <c r="O507" s="481"/>
      <c r="P507" s="481"/>
      <c r="Q507" s="481"/>
      <c r="R507" s="482"/>
      <c r="S507" s="481"/>
      <c r="T507" s="481"/>
      <c r="U507" s="361"/>
      <c r="V507" s="481"/>
      <c r="W507" s="481"/>
      <c r="X507" s="481"/>
      <c r="Y507" s="482"/>
      <c r="Z507" s="481"/>
      <c r="AA507" s="481"/>
      <c r="AB507" s="361"/>
      <c r="AC507" s="481"/>
      <c r="AD507" s="481"/>
      <c r="AE507" s="481"/>
      <c r="AF507" s="482"/>
      <c r="AG507" s="481"/>
      <c r="AH507" s="481"/>
      <c r="AI507" s="361"/>
      <c r="AJ507" s="481"/>
      <c r="AK507" s="481"/>
      <c r="AL507" s="481"/>
      <c r="AM507" s="482"/>
      <c r="AN507" s="481"/>
      <c r="AO507" s="481"/>
      <c r="AP507" s="361"/>
      <c r="AQ507" s="481"/>
      <c r="AR507" s="481"/>
      <c r="AS507" s="481"/>
      <c r="AT507" s="482"/>
      <c r="AU507" s="481"/>
      <c r="AV507" s="481"/>
      <c r="AW507" s="361"/>
      <c r="AX507" s="481"/>
      <c r="AY507" s="481"/>
      <c r="AZ507" s="481"/>
      <c r="BA507" s="482"/>
      <c r="BB507" s="481"/>
      <c r="BC507" s="481"/>
      <c r="BD507" s="361"/>
      <c r="BE507" s="481"/>
      <c r="BF507" s="481"/>
      <c r="BG507" s="481"/>
      <c r="BH507" s="482"/>
      <c r="BI507" s="481"/>
      <c r="BJ507" s="481"/>
      <c r="BK507" s="361">
        <v>0</v>
      </c>
      <c r="BL507" s="481"/>
      <c r="BM507" s="481"/>
      <c r="BN507" s="481"/>
      <c r="BO507" s="482"/>
      <c r="BP507" s="481"/>
      <c r="BQ507" s="481"/>
      <c r="BR507" s="361">
        <v>0</v>
      </c>
      <c r="BS507" s="481"/>
      <c r="BT507" s="481"/>
      <c r="BU507" s="481"/>
      <c r="BV507" s="482"/>
      <c r="BW507" s="481"/>
      <c r="BX507" s="481"/>
      <c r="BY507" s="361">
        <v>0.01</v>
      </c>
      <c r="BZ507" s="481"/>
      <c r="CA507" s="481"/>
      <c r="CB507" s="481"/>
      <c r="CC507" s="482"/>
      <c r="CD507" s="481"/>
      <c r="CE507" s="481"/>
      <c r="CF507" s="361">
        <v>0</v>
      </c>
      <c r="CG507" s="481"/>
      <c r="CH507" s="481"/>
      <c r="CI507" s="481"/>
      <c r="CJ507" s="482"/>
      <c r="CK507" s="481"/>
      <c r="CL507" s="481"/>
      <c r="CM507" s="361">
        <v>0.02</v>
      </c>
      <c r="CN507" s="481"/>
      <c r="CO507" s="481"/>
      <c r="CP507" s="481"/>
      <c r="CQ507" s="482"/>
      <c r="CR507" s="481"/>
      <c r="CS507" s="481"/>
      <c r="CT507" s="361">
        <v>0.04</v>
      </c>
      <c r="CU507" s="481"/>
      <c r="CV507" s="481"/>
      <c r="CW507" s="481"/>
      <c r="CX507" s="482"/>
      <c r="CY507" s="481"/>
      <c r="CZ507" s="481"/>
      <c r="DA507" s="1817">
        <v>0.04</v>
      </c>
      <c r="DB507" s="481"/>
      <c r="DC507" s="481"/>
      <c r="DD507" s="481"/>
      <c r="DE507" s="482"/>
      <c r="DF507" s="481"/>
      <c r="DG507" s="481"/>
      <c r="DH507" s="361">
        <v>0.04</v>
      </c>
      <c r="DI507" s="481"/>
      <c r="DJ507" s="481"/>
      <c r="DK507" s="481"/>
      <c r="DL507" s="482"/>
      <c r="DM507" s="481"/>
      <c r="DN507" s="481"/>
      <c r="DO507" s="361">
        <v>0.04</v>
      </c>
      <c r="DP507" s="481"/>
      <c r="DQ507" s="481"/>
      <c r="DR507" s="481"/>
      <c r="DS507" s="482"/>
      <c r="DT507" s="481"/>
      <c r="DU507" s="481"/>
      <c r="DV507" s="361">
        <v>0.04</v>
      </c>
      <c r="DW507" s="481"/>
      <c r="DX507" s="481"/>
      <c r="DY507" s="481"/>
      <c r="DZ507" s="482"/>
      <c r="EA507" s="481"/>
      <c r="EB507" s="481"/>
      <c r="EC507" s="361">
        <v>0.04</v>
      </c>
      <c r="ED507" s="481"/>
      <c r="EE507" s="481"/>
      <c r="EF507" s="481"/>
      <c r="EG507" s="482"/>
      <c r="EH507" s="481"/>
      <c r="EI507" s="481"/>
      <c r="EJ507" s="361">
        <v>0.04</v>
      </c>
      <c r="EK507" s="481"/>
      <c r="EL507" s="481"/>
      <c r="EM507" s="481"/>
      <c r="EN507" s="482"/>
      <c r="EO507" s="481"/>
      <c r="EP507" s="481"/>
      <c r="EQ507" s="361">
        <v>0.04</v>
      </c>
    </row>
    <row r="508" spans="1:147" ht="10.199999999999999" hidden="1" customHeight="1" outlineLevel="1">
      <c r="A508" s="108" t="s">
        <v>371</v>
      </c>
      <c r="B508" s="108"/>
      <c r="C508" s="191"/>
      <c r="D508" s="191"/>
      <c r="E508" s="191"/>
      <c r="F508" s="191"/>
      <c r="G508" s="244"/>
      <c r="H508" s="244"/>
      <c r="I508" s="244"/>
      <c r="J508" s="244"/>
      <c r="K508" s="244"/>
      <c r="L508" s="244"/>
      <c r="M508" s="244"/>
      <c r="N508" s="245"/>
      <c r="O508" s="296"/>
      <c r="P508" s="296"/>
      <c r="Q508" s="296"/>
      <c r="R508" s="483"/>
      <c r="S508" s="296"/>
      <c r="T508" s="296"/>
      <c r="U508" s="359"/>
      <c r="V508" s="296"/>
      <c r="W508" s="296"/>
      <c r="X508" s="296"/>
      <c r="Y508" s="483"/>
      <c r="Z508" s="296"/>
      <c r="AA508" s="296"/>
      <c r="AB508" s="359"/>
      <c r="AC508" s="296"/>
      <c r="AD508" s="296"/>
      <c r="AE508" s="296"/>
      <c r="AF508" s="483"/>
      <c r="AG508" s="296"/>
      <c r="AH508" s="296"/>
      <c r="AI508" s="359">
        <f>AI188*(1-AI213)</f>
        <v>134.75</v>
      </c>
      <c r="AJ508" s="296"/>
      <c r="AK508" s="296"/>
      <c r="AL508" s="296"/>
      <c r="AM508" s="483"/>
      <c r="AN508" s="296"/>
      <c r="AO508" s="296"/>
      <c r="AP508" s="359">
        <f>AP188*(1-AP213)</f>
        <v>136.19999999999999</v>
      </c>
      <c r="AQ508" s="296"/>
      <c r="AR508" s="296"/>
      <c r="AS508" s="296"/>
      <c r="AT508" s="483"/>
      <c r="AU508" s="296"/>
      <c r="AV508" s="296"/>
      <c r="AW508" s="359">
        <f t="shared" ref="AW508" si="1648">AP508*(1+AW511)</f>
        <v>136.19999999999999</v>
      </c>
      <c r="AX508" s="296"/>
      <c r="AY508" s="296"/>
      <c r="AZ508" s="296"/>
      <c r="BA508" s="483"/>
      <c r="BB508" s="296"/>
      <c r="BC508" s="296"/>
      <c r="BD508" s="359">
        <f>+AW508-16</f>
        <v>120.19999999999999</v>
      </c>
      <c r="BE508" s="296"/>
      <c r="BF508" s="296"/>
      <c r="BG508" s="296"/>
      <c r="BH508" s="483"/>
      <c r="BI508" s="296"/>
      <c r="BJ508" s="296"/>
      <c r="BK508" s="359">
        <f>BD508*(1+BK511)</f>
        <v>122.60399999999998</v>
      </c>
      <c r="BL508" s="296"/>
      <c r="BM508" s="296"/>
      <c r="BN508" s="296"/>
      <c r="BO508" s="483"/>
      <c r="BP508" s="296"/>
      <c r="BQ508" s="296"/>
      <c r="BR508" s="359">
        <f>BK508*(1+BR511)</f>
        <v>123.83003999999998</v>
      </c>
      <c r="BS508" s="296"/>
      <c r="BT508" s="296"/>
      <c r="BU508" s="296"/>
      <c r="BV508" s="483"/>
      <c r="BW508" s="296"/>
      <c r="BX508" s="296"/>
      <c r="BY508" s="359">
        <f>BR508*(1+BY511)</f>
        <v>125.06834039999998</v>
      </c>
      <c r="BZ508" s="296"/>
      <c r="CA508" s="296"/>
      <c r="CB508" s="296"/>
      <c r="CC508" s="483"/>
      <c r="CD508" s="296"/>
      <c r="CE508" s="296"/>
      <c r="CF508" s="359">
        <f>BY508*(1+CF511)</f>
        <v>125.06834039999998</v>
      </c>
      <c r="CG508" s="296"/>
      <c r="CH508" s="296"/>
      <c r="CI508" s="296"/>
      <c r="CJ508" s="483"/>
      <c r="CK508" s="296"/>
      <c r="CL508" s="296"/>
      <c r="CM508" s="359">
        <f>CF508*(1+CM511)</f>
        <v>127.56970720799998</v>
      </c>
      <c r="CN508" s="296"/>
      <c r="CO508" s="296"/>
      <c r="CP508" s="296"/>
      <c r="CQ508" s="483"/>
      <c r="CR508" s="296"/>
      <c r="CS508" s="296"/>
      <c r="CT508" s="359">
        <f>CM508*(1+CT511)</f>
        <v>132.67249549631998</v>
      </c>
      <c r="CU508" s="296"/>
      <c r="CV508" s="296"/>
      <c r="CW508" s="296"/>
      <c r="CX508" s="483"/>
      <c r="CY508" s="296"/>
      <c r="CZ508" s="296"/>
      <c r="DA508" s="359">
        <f>CT508*(1+DA511)</f>
        <v>137.9793953161728</v>
      </c>
      <c r="DB508" s="296"/>
      <c r="DC508" s="296"/>
      <c r="DD508" s="296"/>
      <c r="DE508" s="483"/>
      <c r="DF508" s="296"/>
      <c r="DG508" s="296"/>
      <c r="DH508" s="359">
        <f>DA508*(1+DH511)</f>
        <v>143.49857112881972</v>
      </c>
      <c r="DI508" s="296"/>
      <c r="DJ508" s="296"/>
      <c r="DK508" s="296"/>
      <c r="DL508" s="483"/>
      <c r="DM508" s="296"/>
      <c r="DN508" s="296"/>
      <c r="DO508" s="359">
        <f>DH508*(1+DO511)</f>
        <v>149.23851397397252</v>
      </c>
      <c r="DP508" s="296"/>
      <c r="DQ508" s="296"/>
      <c r="DR508" s="296"/>
      <c r="DS508" s="483"/>
      <c r="DT508" s="296"/>
      <c r="DU508" s="296"/>
      <c r="DV508" s="359">
        <f>DO508*(1+DV511)</f>
        <v>155.20805453293141</v>
      </c>
      <c r="DW508" s="296"/>
      <c r="DX508" s="296"/>
      <c r="DY508" s="296"/>
      <c r="DZ508" s="483"/>
      <c r="EA508" s="296"/>
      <c r="EB508" s="296"/>
      <c r="EC508" s="359">
        <f>DV508*(1+EC511)</f>
        <v>161.41637671424868</v>
      </c>
      <c r="ED508" s="296"/>
      <c r="EE508" s="296"/>
      <c r="EF508" s="296"/>
      <c r="EG508" s="483"/>
      <c r="EH508" s="296"/>
      <c r="EI508" s="296"/>
      <c r="EJ508" s="359">
        <f>EC508*(1+EJ511)</f>
        <v>167.87303178281863</v>
      </c>
      <c r="EK508" s="296"/>
      <c r="EL508" s="296"/>
      <c r="EM508" s="296"/>
      <c r="EN508" s="483"/>
      <c r="EO508" s="296"/>
      <c r="EP508" s="296"/>
      <c r="EQ508" s="359">
        <f>EJ508*(1+EQ511)</f>
        <v>174.58795305413139</v>
      </c>
    </row>
    <row r="509" spans="1:147" ht="10.199999999999999" hidden="1" customHeight="1" outlineLevel="1">
      <c r="A509" s="108" t="s">
        <v>369</v>
      </c>
      <c r="B509" s="108"/>
      <c r="C509" s="108"/>
      <c r="D509" s="176"/>
      <c r="E509" s="176"/>
      <c r="F509" s="176"/>
      <c r="G509" s="244"/>
      <c r="H509" s="244"/>
      <c r="I509" s="244"/>
      <c r="J509" s="244"/>
      <c r="K509" s="244"/>
      <c r="L509" s="244"/>
      <c r="M509" s="244"/>
      <c r="N509" s="245"/>
      <c r="O509" s="296"/>
      <c r="P509" s="296"/>
      <c r="Q509" s="296"/>
      <c r="R509" s="483"/>
      <c r="S509" s="296"/>
      <c r="T509" s="296"/>
      <c r="U509" s="359"/>
      <c r="V509" s="296"/>
      <c r="W509" s="296"/>
      <c r="X509" s="296"/>
      <c r="Y509" s="483"/>
      <c r="Z509" s="296"/>
      <c r="AA509" s="296"/>
      <c r="AB509" s="359">
        <f>+AB189*(1-AB213)</f>
        <v>147.6</v>
      </c>
      <c r="AC509" s="296"/>
      <c r="AD509" s="296"/>
      <c r="AE509" s="296"/>
      <c r="AF509" s="483"/>
      <c r="AG509" s="296"/>
      <c r="AH509" s="296"/>
      <c r="AI509" s="359">
        <f>+AI189*(1-AI213)</f>
        <v>152.4</v>
      </c>
      <c r="AJ509" s="296"/>
      <c r="AK509" s="296"/>
      <c r="AL509" s="296"/>
      <c r="AM509" s="483"/>
      <c r="AN509" s="296"/>
      <c r="AO509" s="296"/>
      <c r="AP509" s="359">
        <f>+AP189*(1-AP213)</f>
        <v>154.05000000000001</v>
      </c>
      <c r="AQ509" s="296"/>
      <c r="AR509" s="296"/>
      <c r="AS509" s="296"/>
      <c r="AT509" s="483"/>
      <c r="AU509" s="296"/>
      <c r="AV509" s="296"/>
      <c r="AW509" s="359">
        <f>AP509*(1+AW511)</f>
        <v>154.05000000000001</v>
      </c>
      <c r="AX509" s="296"/>
      <c r="AY509" s="296"/>
      <c r="AZ509" s="296"/>
      <c r="BA509" s="483"/>
      <c r="BB509" s="296"/>
      <c r="BC509" s="296"/>
      <c r="BD509" s="359">
        <f>+AW509-16</f>
        <v>138.05000000000001</v>
      </c>
      <c r="BE509" s="296"/>
      <c r="BF509" s="296"/>
      <c r="BG509" s="296"/>
      <c r="BH509" s="483"/>
      <c r="BI509" s="296"/>
      <c r="BJ509" s="296"/>
      <c r="BK509" s="359">
        <f>BD509*(1+BK511)</f>
        <v>140.81100000000001</v>
      </c>
      <c r="BL509" s="296"/>
      <c r="BM509" s="296"/>
      <c r="BN509" s="296"/>
      <c r="BO509" s="483"/>
      <c r="BP509" s="296"/>
      <c r="BQ509" s="296"/>
      <c r="BR509" s="359">
        <f>BK509*(1+BR511)</f>
        <v>142.21911</v>
      </c>
      <c r="BS509" s="296"/>
      <c r="BT509" s="296"/>
      <c r="BU509" s="296"/>
      <c r="BV509" s="483"/>
      <c r="BW509" s="296"/>
      <c r="BX509" s="296"/>
      <c r="BY509" s="359">
        <f>BR509*(1+BY511)</f>
        <v>143.64130109999999</v>
      </c>
      <c r="BZ509" s="296"/>
      <c r="CA509" s="296"/>
      <c r="CB509" s="296"/>
      <c r="CC509" s="483"/>
      <c r="CD509" s="296"/>
      <c r="CE509" s="296"/>
      <c r="CF509" s="359">
        <f>BY509*(1+CF511)</f>
        <v>143.64130109999999</v>
      </c>
      <c r="CG509" s="296"/>
      <c r="CH509" s="296"/>
      <c r="CI509" s="296"/>
      <c r="CJ509" s="483"/>
      <c r="CK509" s="296"/>
      <c r="CL509" s="296"/>
      <c r="CM509" s="359">
        <f>CF509*(1+CM511)</f>
        <v>146.51412712199999</v>
      </c>
      <c r="CN509" s="296"/>
      <c r="CO509" s="296"/>
      <c r="CP509" s="296"/>
      <c r="CQ509" s="483"/>
      <c r="CR509" s="296"/>
      <c r="CS509" s="296"/>
      <c r="CT509" s="359">
        <f>CM509*(1+CT511)</f>
        <v>152.37469220687998</v>
      </c>
      <c r="CU509" s="296"/>
      <c r="CV509" s="296"/>
      <c r="CW509" s="296"/>
      <c r="CX509" s="483"/>
      <c r="CY509" s="296"/>
      <c r="CZ509" s="296"/>
      <c r="DA509" s="359">
        <f>CT509*(1+DA511)</f>
        <v>158.4696798951552</v>
      </c>
      <c r="DB509" s="296"/>
      <c r="DC509" s="296"/>
      <c r="DD509" s="296"/>
      <c r="DE509" s="483"/>
      <c r="DF509" s="296"/>
      <c r="DG509" s="296"/>
      <c r="DH509" s="359">
        <f>DA509*(1+DH511)</f>
        <v>164.80846709096141</v>
      </c>
      <c r="DI509" s="296"/>
      <c r="DJ509" s="296"/>
      <c r="DK509" s="296"/>
      <c r="DL509" s="483"/>
      <c r="DM509" s="296"/>
      <c r="DN509" s="296"/>
      <c r="DO509" s="359">
        <f>DH509*(1+DO511)</f>
        <v>171.40080577459989</v>
      </c>
      <c r="DP509" s="296"/>
      <c r="DQ509" s="296"/>
      <c r="DR509" s="296"/>
      <c r="DS509" s="483"/>
      <c r="DT509" s="296"/>
      <c r="DU509" s="296"/>
      <c r="DV509" s="359">
        <f>DO509*(1+DV511)</f>
        <v>178.25683800558389</v>
      </c>
      <c r="DW509" s="296"/>
      <c r="DX509" s="296"/>
      <c r="DY509" s="296"/>
      <c r="DZ509" s="483"/>
      <c r="EA509" s="296"/>
      <c r="EB509" s="296"/>
      <c r="EC509" s="359">
        <f>DV509*(1+EC511)</f>
        <v>185.38711152580726</v>
      </c>
      <c r="ED509" s="296"/>
      <c r="EE509" s="296"/>
      <c r="EF509" s="296"/>
      <c r="EG509" s="483"/>
      <c r="EH509" s="296"/>
      <c r="EI509" s="296"/>
      <c r="EJ509" s="359">
        <f>EC509*(1+EJ511)</f>
        <v>192.80259598683955</v>
      </c>
      <c r="EK509" s="296"/>
      <c r="EL509" s="296"/>
      <c r="EM509" s="296"/>
      <c r="EN509" s="483"/>
      <c r="EO509" s="296"/>
      <c r="EP509" s="296"/>
      <c r="EQ509" s="359">
        <f>EJ509*(1+EQ511)</f>
        <v>200.51469982631315</v>
      </c>
    </row>
    <row r="510" spans="1:147" ht="10.199999999999999" hidden="1" customHeight="1" outlineLevel="1">
      <c r="A510" s="108" t="s">
        <v>370</v>
      </c>
      <c r="B510" s="108"/>
      <c r="C510" s="108"/>
      <c r="D510" s="176"/>
      <c r="E510" s="176"/>
      <c r="F510" s="176"/>
      <c r="G510" s="244"/>
      <c r="H510" s="244"/>
      <c r="I510" s="244"/>
      <c r="J510" s="244"/>
      <c r="K510" s="244"/>
      <c r="L510" s="244"/>
      <c r="M510" s="244"/>
      <c r="N510" s="245"/>
      <c r="O510" s="296"/>
      <c r="P510" s="296"/>
      <c r="Q510" s="296"/>
      <c r="R510" s="483"/>
      <c r="S510" s="296"/>
      <c r="T510" s="296"/>
      <c r="U510" s="359"/>
      <c r="V510" s="296"/>
      <c r="W510" s="296"/>
      <c r="X510" s="296"/>
      <c r="Y510" s="483"/>
      <c r="Z510" s="296"/>
      <c r="AA510" s="296"/>
      <c r="AB510" s="359"/>
      <c r="AC510" s="296"/>
      <c r="AD510" s="296"/>
      <c r="AE510" s="296"/>
      <c r="AF510" s="483"/>
      <c r="AG510" s="296"/>
      <c r="AH510" s="296"/>
      <c r="AI510" s="359">
        <f>AI190*(1-AI213)</f>
        <v>175.95</v>
      </c>
      <c r="AJ510" s="296"/>
      <c r="AK510" s="296"/>
      <c r="AL510" s="296"/>
      <c r="AM510" s="483"/>
      <c r="AN510" s="296"/>
      <c r="AO510" s="296"/>
      <c r="AP510" s="359">
        <f>AP190*(1-AP213)</f>
        <v>177.85</v>
      </c>
      <c r="AQ510" s="296"/>
      <c r="AR510" s="296"/>
      <c r="AS510" s="296"/>
      <c r="AT510" s="483"/>
      <c r="AU510" s="296"/>
      <c r="AV510" s="296"/>
      <c r="AW510" s="359">
        <f t="shared" ref="AW510" si="1649">AP510*(1+AW511)</f>
        <v>177.85</v>
      </c>
      <c r="AX510" s="296"/>
      <c r="AY510" s="296"/>
      <c r="AZ510" s="296"/>
      <c r="BA510" s="483"/>
      <c r="BB510" s="296"/>
      <c r="BC510" s="296"/>
      <c r="BD510" s="359">
        <f>+AW510-16</f>
        <v>161.85</v>
      </c>
      <c r="BE510" s="296"/>
      <c r="BF510" s="296"/>
      <c r="BG510" s="296"/>
      <c r="BH510" s="483"/>
      <c r="BI510" s="296"/>
      <c r="BJ510" s="296"/>
      <c r="BK510" s="359">
        <f>BD510*(1+BK511)</f>
        <v>165.08699999999999</v>
      </c>
      <c r="BL510" s="296"/>
      <c r="BM510" s="296"/>
      <c r="BN510" s="296"/>
      <c r="BO510" s="483"/>
      <c r="BP510" s="296"/>
      <c r="BQ510" s="296"/>
      <c r="BR510" s="359">
        <f>BK510*(1+BR511)</f>
        <v>166.73786999999999</v>
      </c>
      <c r="BS510" s="296"/>
      <c r="BT510" s="296"/>
      <c r="BU510" s="296"/>
      <c r="BV510" s="483"/>
      <c r="BW510" s="296"/>
      <c r="BX510" s="296"/>
      <c r="BY510" s="359">
        <f>BR510*(1+BY511)</f>
        <v>168.40524869999999</v>
      </c>
      <c r="BZ510" s="296"/>
      <c r="CA510" s="296"/>
      <c r="CB510" s="296"/>
      <c r="CC510" s="483"/>
      <c r="CD510" s="296"/>
      <c r="CE510" s="296"/>
      <c r="CF510" s="359">
        <f>BY510*(1+CF511)</f>
        <v>168.40524869999999</v>
      </c>
      <c r="CG510" s="296"/>
      <c r="CH510" s="296"/>
      <c r="CI510" s="296"/>
      <c r="CJ510" s="483"/>
      <c r="CK510" s="296"/>
      <c r="CL510" s="296"/>
      <c r="CM510" s="359">
        <f>CF510*(1+CM511)</f>
        <v>171.77335367399999</v>
      </c>
      <c r="CN510" s="296"/>
      <c r="CO510" s="296"/>
      <c r="CP510" s="296"/>
      <c r="CQ510" s="483"/>
      <c r="CR510" s="296"/>
      <c r="CS510" s="296"/>
      <c r="CT510" s="359">
        <f>CM510*(1+CT511)</f>
        <v>178.64428782095999</v>
      </c>
      <c r="CU510" s="296"/>
      <c r="CV510" s="296"/>
      <c r="CW510" s="296"/>
      <c r="CX510" s="483"/>
      <c r="CY510" s="296"/>
      <c r="CZ510" s="296"/>
      <c r="DA510" s="359">
        <f>CT510*(1+DA511)</f>
        <v>185.79005933379838</v>
      </c>
      <c r="DB510" s="296"/>
      <c r="DC510" s="296"/>
      <c r="DD510" s="296"/>
      <c r="DE510" s="483"/>
      <c r="DF510" s="296"/>
      <c r="DG510" s="296"/>
      <c r="DH510" s="359">
        <f>DA510*(1+DH511)</f>
        <v>193.22166170715033</v>
      </c>
      <c r="DI510" s="296"/>
      <c r="DJ510" s="296"/>
      <c r="DK510" s="296"/>
      <c r="DL510" s="483"/>
      <c r="DM510" s="296"/>
      <c r="DN510" s="296"/>
      <c r="DO510" s="359">
        <f>DH510*(1+DO511)</f>
        <v>200.95052817543635</v>
      </c>
      <c r="DP510" s="296"/>
      <c r="DQ510" s="296"/>
      <c r="DR510" s="296"/>
      <c r="DS510" s="483"/>
      <c r="DT510" s="296"/>
      <c r="DU510" s="296"/>
      <c r="DV510" s="359">
        <f>DO510*(1+DV511)</f>
        <v>208.98854930245381</v>
      </c>
      <c r="DW510" s="296"/>
      <c r="DX510" s="296"/>
      <c r="DY510" s="296"/>
      <c r="DZ510" s="483"/>
      <c r="EA510" s="296"/>
      <c r="EB510" s="296"/>
      <c r="EC510" s="359">
        <f>DV510*(1+EC511)</f>
        <v>217.34809127455196</v>
      </c>
      <c r="ED510" s="296"/>
      <c r="EE510" s="296"/>
      <c r="EF510" s="296"/>
      <c r="EG510" s="483"/>
      <c r="EH510" s="296"/>
      <c r="EI510" s="296"/>
      <c r="EJ510" s="359">
        <f>EC510*(1+EJ511)</f>
        <v>226.04201492553406</v>
      </c>
      <c r="EK510" s="296"/>
      <c r="EL510" s="296"/>
      <c r="EM510" s="296"/>
      <c r="EN510" s="483"/>
      <c r="EO510" s="296"/>
      <c r="EP510" s="296"/>
      <c r="EQ510" s="359">
        <f>EJ510*(1+EQ511)</f>
        <v>235.08369552255544</v>
      </c>
    </row>
    <row r="511" spans="1:147" ht="10.199999999999999" hidden="1" customHeight="1" outlineLevel="1">
      <c r="A511" s="51" t="s">
        <v>522</v>
      </c>
      <c r="B511" s="108"/>
      <c r="C511" s="108"/>
      <c r="D511" s="176"/>
      <c r="E511" s="176"/>
      <c r="F511" s="176"/>
      <c r="G511" s="244"/>
      <c r="H511" s="244"/>
      <c r="I511" s="244"/>
      <c r="J511" s="244"/>
      <c r="K511" s="244"/>
      <c r="L511" s="244"/>
      <c r="M511" s="244"/>
      <c r="N511" s="245"/>
      <c r="O511" s="481"/>
      <c r="P511" s="481"/>
      <c r="Q511" s="481"/>
      <c r="R511" s="482"/>
      <c r="S511" s="481"/>
      <c r="T511" s="481"/>
      <c r="U511" s="361"/>
      <c r="V511" s="481"/>
      <c r="W511" s="481"/>
      <c r="X511" s="481"/>
      <c r="Y511" s="482"/>
      <c r="Z511" s="481"/>
      <c r="AA511" s="481"/>
      <c r="AB511" s="361"/>
      <c r="AC511" s="481"/>
      <c r="AD511" s="481"/>
      <c r="AE511" s="481"/>
      <c r="AF511" s="482"/>
      <c r="AG511" s="481"/>
      <c r="AH511" s="481"/>
      <c r="AI511" s="361"/>
      <c r="AJ511" s="481"/>
      <c r="AK511" s="481"/>
      <c r="AL511" s="481"/>
      <c r="AM511" s="482"/>
      <c r="AN511" s="481"/>
      <c r="AO511" s="481"/>
      <c r="AP511" s="361"/>
      <c r="AQ511" s="481"/>
      <c r="AR511" s="481"/>
      <c r="AS511" s="481"/>
      <c r="AT511" s="482"/>
      <c r="AU511" s="481"/>
      <c r="AV511" s="481"/>
      <c r="AW511" s="361">
        <v>0</v>
      </c>
      <c r="AX511" s="481"/>
      <c r="AY511" s="481"/>
      <c r="AZ511" s="481"/>
      <c r="BA511" s="482"/>
      <c r="BB511" s="481"/>
      <c r="BC511" s="481"/>
      <c r="BD511" s="361" t="s">
        <v>653</v>
      </c>
      <c r="BE511" s="481"/>
      <c r="BF511" s="481"/>
      <c r="BG511" s="481"/>
      <c r="BH511" s="482"/>
      <c r="BI511" s="481"/>
      <c r="BJ511" s="481"/>
      <c r="BK511" s="361">
        <v>0.02</v>
      </c>
      <c r="BL511" s="481"/>
      <c r="BM511" s="481"/>
      <c r="BN511" s="481"/>
      <c r="BO511" s="482"/>
      <c r="BP511" s="481"/>
      <c r="BQ511" s="481"/>
      <c r="BR511" s="361">
        <v>0.01</v>
      </c>
      <c r="BS511" s="481"/>
      <c r="BT511" s="481"/>
      <c r="BU511" s="481"/>
      <c r="BV511" s="482"/>
      <c r="BW511" s="481"/>
      <c r="BX511" s="481"/>
      <c r="BY511" s="361">
        <v>0.01</v>
      </c>
      <c r="BZ511" s="481"/>
      <c r="CA511" s="481"/>
      <c r="CB511" s="481"/>
      <c r="CC511" s="482"/>
      <c r="CD511" s="481"/>
      <c r="CE511" s="481"/>
      <c r="CF511" s="361">
        <v>0</v>
      </c>
      <c r="CG511" s="481"/>
      <c r="CH511" s="481"/>
      <c r="CI511" s="481"/>
      <c r="CJ511" s="482"/>
      <c r="CK511" s="481"/>
      <c r="CL511" s="481"/>
      <c r="CM511" s="361">
        <v>0.02</v>
      </c>
      <c r="CN511" s="481"/>
      <c r="CO511" s="481"/>
      <c r="CP511" s="481"/>
      <c r="CQ511" s="482"/>
      <c r="CR511" s="481"/>
      <c r="CS511" s="481"/>
      <c r="CT511" s="361">
        <v>0.04</v>
      </c>
      <c r="CU511" s="481"/>
      <c r="CV511" s="481"/>
      <c r="CW511" s="481"/>
      <c r="CX511" s="482"/>
      <c r="CY511" s="481"/>
      <c r="CZ511" s="481"/>
      <c r="DA511" s="1817">
        <v>0.04</v>
      </c>
      <c r="DB511" s="481"/>
      <c r="DC511" s="481"/>
      <c r="DD511" s="481"/>
      <c r="DE511" s="482"/>
      <c r="DF511" s="481"/>
      <c r="DG511" s="481"/>
      <c r="DH511" s="361">
        <v>0.04</v>
      </c>
      <c r="DI511" s="481"/>
      <c r="DJ511" s="481"/>
      <c r="DK511" s="481"/>
      <c r="DL511" s="482"/>
      <c r="DM511" s="481"/>
      <c r="DN511" s="481"/>
      <c r="DO511" s="361">
        <v>0.04</v>
      </c>
      <c r="DP511" s="481"/>
      <c r="DQ511" s="481"/>
      <c r="DR511" s="481"/>
      <c r="DS511" s="482"/>
      <c r="DT511" s="481"/>
      <c r="DU511" s="481"/>
      <c r="DV511" s="361">
        <v>0.04</v>
      </c>
      <c r="DW511" s="481"/>
      <c r="DX511" s="481"/>
      <c r="DY511" s="481"/>
      <c r="DZ511" s="482"/>
      <c r="EA511" s="481"/>
      <c r="EB511" s="481"/>
      <c r="EC511" s="361">
        <v>0.04</v>
      </c>
      <c r="ED511" s="481"/>
      <c r="EE511" s="481"/>
      <c r="EF511" s="481"/>
      <c r="EG511" s="482"/>
      <c r="EH511" s="481"/>
      <c r="EI511" s="481"/>
      <c r="EJ511" s="361">
        <v>0.04</v>
      </c>
      <c r="EK511" s="481"/>
      <c r="EL511" s="481"/>
      <c r="EM511" s="481"/>
      <c r="EN511" s="482"/>
      <c r="EO511" s="481"/>
      <c r="EP511" s="481"/>
      <c r="EQ511" s="361">
        <v>0.04</v>
      </c>
    </row>
    <row r="512" spans="1:147" ht="10.199999999999999" hidden="1" customHeight="1" outlineLevel="1">
      <c r="A512" s="108" t="s">
        <v>133</v>
      </c>
      <c r="B512" s="108"/>
      <c r="C512" s="108"/>
      <c r="D512" s="176"/>
      <c r="E512" s="176"/>
      <c r="F512" s="176"/>
      <c r="G512" s="244">
        <f t="shared" ref="G512:AP512" si="1650">+G191*(1-G216)</f>
        <v>0</v>
      </c>
      <c r="H512" s="244">
        <f t="shared" si="1650"/>
        <v>0</v>
      </c>
      <c r="I512" s="244">
        <f t="shared" si="1650"/>
        <v>140</v>
      </c>
      <c r="J512" s="244">
        <f t="shared" si="1650"/>
        <v>160</v>
      </c>
      <c r="K512" s="244">
        <f t="shared" si="1650"/>
        <v>162.39999999999998</v>
      </c>
      <c r="L512" s="244">
        <f t="shared" si="1650"/>
        <v>173.15</v>
      </c>
      <c r="M512" s="244">
        <f t="shared" si="1650"/>
        <v>202.66200000000001</v>
      </c>
      <c r="N512" s="245">
        <f t="shared" si="1650"/>
        <v>224.19249999999997</v>
      </c>
      <c r="O512" s="296"/>
      <c r="P512" s="296"/>
      <c r="Q512" s="296"/>
      <c r="R512" s="483"/>
      <c r="S512" s="296"/>
      <c r="T512" s="296"/>
      <c r="U512" s="359">
        <f t="shared" si="1650"/>
        <v>250.41799999999998</v>
      </c>
      <c r="V512" s="296"/>
      <c r="W512" s="296"/>
      <c r="X512" s="296"/>
      <c r="Y512" s="483"/>
      <c r="Z512" s="296"/>
      <c r="AA512" s="296"/>
      <c r="AB512" s="359">
        <f t="shared" si="1650"/>
        <v>248.64</v>
      </c>
      <c r="AC512" s="296"/>
      <c r="AD512" s="296"/>
      <c r="AE512" s="296"/>
      <c r="AF512" s="483"/>
      <c r="AG512" s="296"/>
      <c r="AH512" s="296"/>
      <c r="AI512" s="359">
        <f t="shared" si="1650"/>
        <v>256.8</v>
      </c>
      <c r="AJ512" s="296"/>
      <c r="AK512" s="296"/>
      <c r="AL512" s="296"/>
      <c r="AM512" s="483"/>
      <c r="AN512" s="296"/>
      <c r="AO512" s="296"/>
      <c r="AP512" s="359">
        <f t="shared" si="1650"/>
        <v>248.745</v>
      </c>
      <c r="AQ512" s="296"/>
      <c r="AR512" s="296"/>
      <c r="AS512" s="296"/>
      <c r="AT512" s="483"/>
      <c r="AU512" s="296"/>
      <c r="AV512" s="296"/>
      <c r="AW512" s="359">
        <f t="shared" ref="AW512" si="1651">AP512*(1+AW513)</f>
        <v>248.745</v>
      </c>
      <c r="AX512" s="296"/>
      <c r="AY512" s="296"/>
      <c r="AZ512" s="296"/>
      <c r="BA512" s="483"/>
      <c r="BB512" s="296"/>
      <c r="BC512" s="296"/>
      <c r="BD512" s="359">
        <f>+AW512-30</f>
        <v>218.745</v>
      </c>
      <c r="BE512" s="296"/>
      <c r="BF512" s="296"/>
      <c r="BG512" s="296"/>
      <c r="BH512" s="483"/>
      <c r="BI512" s="296"/>
      <c r="BJ512" s="296"/>
      <c r="BK512" s="359">
        <f>BD512*(1+BK513)</f>
        <v>218.745</v>
      </c>
      <c r="BL512" s="296"/>
      <c r="BM512" s="296"/>
      <c r="BN512" s="296"/>
      <c r="BO512" s="483"/>
      <c r="BP512" s="296"/>
      <c r="BQ512" s="296"/>
      <c r="BR512" s="359">
        <f>BK512*(1+BR513)</f>
        <v>218.745</v>
      </c>
      <c r="BS512" s="296"/>
      <c r="BT512" s="296"/>
      <c r="BU512" s="296"/>
      <c r="BV512" s="483"/>
      <c r="BW512" s="296"/>
      <c r="BX512" s="296"/>
      <c r="BY512" s="359">
        <f>BR512*(1+BY513)</f>
        <v>218.745</v>
      </c>
      <c r="BZ512" s="296"/>
      <c r="CA512" s="296"/>
      <c r="CB512" s="296"/>
      <c r="CC512" s="483"/>
      <c r="CD512" s="296"/>
      <c r="CE512" s="296"/>
      <c r="CF512" s="359">
        <f>BY512*(1+CF513)</f>
        <v>218.745</v>
      </c>
      <c r="CG512" s="296"/>
      <c r="CH512" s="296"/>
      <c r="CI512" s="296"/>
      <c r="CJ512" s="483"/>
      <c r="CK512" s="296"/>
      <c r="CL512" s="296"/>
      <c r="CM512" s="359">
        <f>CF512*(1+CM513)</f>
        <v>223.1199</v>
      </c>
      <c r="CN512" s="296"/>
      <c r="CO512" s="296"/>
      <c r="CP512" s="296"/>
      <c r="CQ512" s="483"/>
      <c r="CR512" s="296"/>
      <c r="CS512" s="296"/>
      <c r="CT512" s="359">
        <f>CM512*(1+CT513)</f>
        <v>232.04469600000002</v>
      </c>
      <c r="CU512" s="296"/>
      <c r="CV512" s="296"/>
      <c r="CW512" s="296"/>
      <c r="CX512" s="483"/>
      <c r="CY512" s="296"/>
      <c r="CZ512" s="296"/>
      <c r="DA512" s="359">
        <f>CT512*(1+DA513)</f>
        <v>241.32648384000004</v>
      </c>
      <c r="DB512" s="296"/>
      <c r="DC512" s="296"/>
      <c r="DD512" s="296"/>
      <c r="DE512" s="483"/>
      <c r="DF512" s="296"/>
      <c r="DG512" s="296"/>
      <c r="DH512" s="359">
        <f>DA512*(1+DH513)</f>
        <v>250.97954319360005</v>
      </c>
      <c r="DI512" s="296"/>
      <c r="DJ512" s="296"/>
      <c r="DK512" s="296"/>
      <c r="DL512" s="483"/>
      <c r="DM512" s="296"/>
      <c r="DN512" s="296"/>
      <c r="DO512" s="359">
        <f>DH512*(1+DO513)</f>
        <v>261.01872492134407</v>
      </c>
      <c r="DP512" s="296"/>
      <c r="DQ512" s="296"/>
      <c r="DR512" s="296"/>
      <c r="DS512" s="483"/>
      <c r="DT512" s="296"/>
      <c r="DU512" s="296"/>
      <c r="DV512" s="359">
        <f>DO512*(1+DV513)</f>
        <v>271.45947391819783</v>
      </c>
      <c r="DW512" s="296"/>
      <c r="DX512" s="296"/>
      <c r="DY512" s="296"/>
      <c r="DZ512" s="483"/>
      <c r="EA512" s="296"/>
      <c r="EB512" s="296"/>
      <c r="EC512" s="359">
        <f>DV512*(1+EC513)</f>
        <v>282.31785287492573</v>
      </c>
      <c r="ED512" s="296"/>
      <c r="EE512" s="296"/>
      <c r="EF512" s="296"/>
      <c r="EG512" s="483"/>
      <c r="EH512" s="296"/>
      <c r="EI512" s="296"/>
      <c r="EJ512" s="359">
        <f>EC512*(1+EJ513)</f>
        <v>293.61056698992275</v>
      </c>
      <c r="EK512" s="296"/>
      <c r="EL512" s="296"/>
      <c r="EM512" s="296"/>
      <c r="EN512" s="483"/>
      <c r="EO512" s="296"/>
      <c r="EP512" s="296"/>
      <c r="EQ512" s="359">
        <f>EJ512*(1+EQ513)</f>
        <v>305.35498966951968</v>
      </c>
    </row>
    <row r="513" spans="1:147" ht="10.199999999999999" hidden="1" customHeight="1" outlineLevel="1">
      <c r="A513" s="51" t="s">
        <v>522</v>
      </c>
      <c r="B513" s="108"/>
      <c r="C513" s="108"/>
      <c r="D513" s="176"/>
      <c r="E513" s="176"/>
      <c r="F513" s="176"/>
      <c r="G513" s="244"/>
      <c r="H513" s="244"/>
      <c r="I513" s="244"/>
      <c r="J513" s="244"/>
      <c r="K513" s="244"/>
      <c r="L513" s="244"/>
      <c r="M513" s="244"/>
      <c r="N513" s="245"/>
      <c r="O513" s="481"/>
      <c r="P513" s="481"/>
      <c r="Q513" s="481"/>
      <c r="R513" s="482"/>
      <c r="S513" s="481"/>
      <c r="T513" s="481"/>
      <c r="U513" s="361"/>
      <c r="V513" s="481"/>
      <c r="W513" s="481"/>
      <c r="X513" s="481"/>
      <c r="Y513" s="482"/>
      <c r="Z513" s="481"/>
      <c r="AA513" s="481"/>
      <c r="AB513" s="361"/>
      <c r="AC513" s="481"/>
      <c r="AD513" s="481"/>
      <c r="AE513" s="481"/>
      <c r="AF513" s="482"/>
      <c r="AG513" s="481"/>
      <c r="AH513" s="481"/>
      <c r="AI513" s="361"/>
      <c r="AJ513" s="481"/>
      <c r="AK513" s="481"/>
      <c r="AL513" s="481"/>
      <c r="AM513" s="482"/>
      <c r="AN513" s="481"/>
      <c r="AO513" s="481"/>
      <c r="AP513" s="361"/>
      <c r="AQ513" s="481"/>
      <c r="AR513" s="481"/>
      <c r="AS513" s="481"/>
      <c r="AT513" s="482"/>
      <c r="AU513" s="481"/>
      <c r="AV513" s="481"/>
      <c r="AW513" s="361">
        <v>0</v>
      </c>
      <c r="AX513" s="481"/>
      <c r="AY513" s="481"/>
      <c r="AZ513" s="481"/>
      <c r="BA513" s="482"/>
      <c r="BB513" s="481"/>
      <c r="BC513" s="481"/>
      <c r="BD513" s="361" t="s">
        <v>653</v>
      </c>
      <c r="BE513" s="481"/>
      <c r="BF513" s="481"/>
      <c r="BG513" s="481"/>
      <c r="BH513" s="482"/>
      <c r="BI513" s="481"/>
      <c r="BJ513" s="481"/>
      <c r="BK513" s="361">
        <v>0</v>
      </c>
      <c r="BL513" s="481"/>
      <c r="BM513" s="481"/>
      <c r="BN513" s="481"/>
      <c r="BO513" s="482"/>
      <c r="BP513" s="481"/>
      <c r="BQ513" s="481"/>
      <c r="BR513" s="361">
        <v>0</v>
      </c>
      <c r="BS513" s="481"/>
      <c r="BT513" s="481"/>
      <c r="BU513" s="481"/>
      <c r="BV513" s="482"/>
      <c r="BW513" s="481"/>
      <c r="BX513" s="481"/>
      <c r="BY513" s="361">
        <v>0</v>
      </c>
      <c r="BZ513" s="481"/>
      <c r="CA513" s="481"/>
      <c r="CB513" s="481"/>
      <c r="CC513" s="482"/>
      <c r="CD513" s="481"/>
      <c r="CE513" s="481"/>
      <c r="CF513" s="361">
        <v>0</v>
      </c>
      <c r="CG513" s="481"/>
      <c r="CH513" s="481"/>
      <c r="CI513" s="481"/>
      <c r="CJ513" s="482"/>
      <c r="CK513" s="481"/>
      <c r="CL513" s="481"/>
      <c r="CM513" s="361">
        <v>0.02</v>
      </c>
      <c r="CN513" s="481"/>
      <c r="CO513" s="481"/>
      <c r="CP513" s="481"/>
      <c r="CQ513" s="482"/>
      <c r="CR513" s="481"/>
      <c r="CS513" s="481"/>
      <c r="CT513" s="361">
        <v>0.04</v>
      </c>
      <c r="CU513" s="481"/>
      <c r="CV513" s="481"/>
      <c r="CW513" s="481"/>
      <c r="CX513" s="482"/>
      <c r="CY513" s="481"/>
      <c r="CZ513" s="481"/>
      <c r="DA513" s="1817">
        <v>0.04</v>
      </c>
      <c r="DB513" s="481"/>
      <c r="DC513" s="481"/>
      <c r="DD513" s="481"/>
      <c r="DE513" s="482"/>
      <c r="DF513" s="481"/>
      <c r="DG513" s="481"/>
      <c r="DH513" s="361">
        <v>0.04</v>
      </c>
      <c r="DI513" s="481"/>
      <c r="DJ513" s="481"/>
      <c r="DK513" s="481"/>
      <c r="DL513" s="482"/>
      <c r="DM513" s="481"/>
      <c r="DN513" s="481"/>
      <c r="DO513" s="361">
        <v>0.04</v>
      </c>
      <c r="DP513" s="481"/>
      <c r="DQ513" s="481"/>
      <c r="DR513" s="481"/>
      <c r="DS513" s="482"/>
      <c r="DT513" s="481"/>
      <c r="DU513" s="481"/>
      <c r="DV513" s="361">
        <v>0.04</v>
      </c>
      <c r="DW513" s="481"/>
      <c r="DX513" s="481"/>
      <c r="DY513" s="481"/>
      <c r="DZ513" s="482"/>
      <c r="EA513" s="481"/>
      <c r="EB513" s="481"/>
      <c r="EC513" s="361">
        <v>0.04</v>
      </c>
      <c r="ED513" s="481"/>
      <c r="EE513" s="481"/>
      <c r="EF513" s="481"/>
      <c r="EG513" s="482"/>
      <c r="EH513" s="481"/>
      <c r="EI513" s="481"/>
      <c r="EJ513" s="361">
        <v>0.04</v>
      </c>
      <c r="EK513" s="481"/>
      <c r="EL513" s="481"/>
      <c r="EM513" s="481"/>
      <c r="EN513" s="482"/>
      <c r="EO513" s="481"/>
      <c r="EP513" s="481"/>
      <c r="EQ513" s="361">
        <v>0.04</v>
      </c>
    </row>
    <row r="514" spans="1:147" ht="10.199999999999999" hidden="1" customHeight="1" outlineLevel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399"/>
      <c r="P514" s="399"/>
      <c r="Q514" s="399"/>
      <c r="R514" s="399"/>
      <c r="S514" s="399"/>
      <c r="T514" s="399"/>
      <c r="U514" s="47"/>
      <c r="V514" s="399"/>
      <c r="W514" s="399"/>
      <c r="X514" s="399"/>
      <c r="Y514" s="399"/>
      <c r="Z514" s="399"/>
      <c r="AA514" s="399"/>
      <c r="AB514" s="47"/>
      <c r="AC514" s="399"/>
      <c r="AD514" s="399"/>
      <c r="AE514" s="399"/>
      <c r="AF514" s="399"/>
      <c r="AG514" s="399"/>
      <c r="AH514" s="399"/>
      <c r="AI514" s="47"/>
      <c r="AJ514" s="399"/>
      <c r="AK514" s="399"/>
      <c r="AL514" s="399"/>
      <c r="AM514" s="399"/>
      <c r="AN514" s="399"/>
      <c r="AO514" s="399"/>
      <c r="AP514" s="47"/>
      <c r="AQ514" s="399"/>
      <c r="AR514" s="399"/>
      <c r="AS514" s="399"/>
      <c r="AT514" s="399"/>
      <c r="AU514" s="399"/>
      <c r="AV514" s="399"/>
      <c r="AW514" s="47"/>
      <c r="AX514" s="399"/>
      <c r="AY514" s="399"/>
      <c r="AZ514" s="399"/>
      <c r="BA514" s="399"/>
      <c r="BB514" s="399"/>
      <c r="BC514" s="399"/>
      <c r="BD514" s="47"/>
      <c r="BE514" s="399"/>
      <c r="BF514" s="399"/>
      <c r="BG514" s="399"/>
      <c r="BH514" s="399"/>
      <c r="BI514" s="399"/>
      <c r="BJ514" s="399"/>
      <c r="BK514" s="47"/>
      <c r="BL514" s="399"/>
      <c r="BM514" s="399"/>
      <c r="BN514" s="399"/>
      <c r="BO514" s="399"/>
      <c r="BP514" s="399"/>
      <c r="BQ514" s="399"/>
      <c r="BR514" s="47"/>
      <c r="BS514" s="399"/>
      <c r="BT514" s="399"/>
      <c r="BU514" s="399"/>
      <c r="BV514" s="399"/>
      <c r="BW514" s="399"/>
      <c r="BX514" s="399"/>
      <c r="BY514" s="47"/>
      <c r="BZ514" s="399"/>
      <c r="CA514" s="399"/>
      <c r="CB514" s="399"/>
      <c r="CC514" s="399"/>
      <c r="CD514" s="399"/>
      <c r="CE514" s="399"/>
      <c r="CF514" s="47"/>
      <c r="CG514" s="399"/>
      <c r="CH514" s="399"/>
      <c r="CI514" s="399"/>
      <c r="CJ514" s="399"/>
      <c r="CK514" s="399"/>
      <c r="CL514" s="399"/>
      <c r="CM514" s="47"/>
      <c r="CN514" s="399"/>
      <c r="CO514" s="399"/>
      <c r="CP514" s="399"/>
      <c r="CQ514" s="399"/>
      <c r="CR514" s="399"/>
      <c r="CS514" s="399"/>
      <c r="CT514" s="47"/>
      <c r="CU514" s="399"/>
      <c r="CV514" s="399"/>
      <c r="CW514" s="399"/>
      <c r="CX514" s="399"/>
      <c r="CY514" s="399"/>
      <c r="CZ514" s="399"/>
      <c r="DA514" s="47"/>
      <c r="DB514" s="399"/>
      <c r="DC514" s="399"/>
      <c r="DD514" s="399"/>
      <c r="DE514" s="399"/>
      <c r="DF514" s="399"/>
      <c r="DG514" s="399"/>
      <c r="DH514" s="47"/>
      <c r="DI514" s="399"/>
      <c r="DJ514" s="399"/>
      <c r="DK514" s="399"/>
      <c r="DL514" s="399"/>
      <c r="DM514" s="399"/>
      <c r="DN514" s="399"/>
      <c r="DO514" s="47"/>
      <c r="DP514" s="399"/>
      <c r="DQ514" s="399"/>
      <c r="DR514" s="399"/>
      <c r="DS514" s="399"/>
      <c r="DT514" s="399"/>
      <c r="DU514" s="399"/>
      <c r="DV514" s="47"/>
      <c r="DW514" s="399"/>
      <c r="DX514" s="399"/>
      <c r="DY514" s="399"/>
      <c r="DZ514" s="399"/>
      <c r="EA514" s="399"/>
      <c r="EB514" s="399"/>
      <c r="EC514" s="47"/>
      <c r="ED514" s="399"/>
      <c r="EE514" s="399"/>
      <c r="EF514" s="399"/>
      <c r="EG514" s="399"/>
      <c r="EH514" s="399"/>
      <c r="EI514" s="399"/>
      <c r="EJ514" s="47"/>
      <c r="EK514" s="399"/>
      <c r="EL514" s="399"/>
      <c r="EM514" s="399"/>
      <c r="EN514" s="399"/>
      <c r="EO514" s="399"/>
      <c r="EP514" s="399"/>
      <c r="EQ514" s="47"/>
    </row>
    <row r="515" spans="1:147" ht="10.199999999999999" hidden="1" customHeight="1" outlineLevel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399"/>
      <c r="P515" s="399"/>
      <c r="Q515" s="399"/>
      <c r="R515" s="399"/>
      <c r="S515" s="399"/>
      <c r="T515" s="399"/>
      <c r="U515" s="47"/>
      <c r="V515" s="399"/>
      <c r="W515" s="399"/>
      <c r="X515" s="399"/>
      <c r="Y515" s="399"/>
      <c r="Z515" s="399"/>
      <c r="AA515" s="399"/>
      <c r="AB515" s="47"/>
      <c r="AC515" s="399"/>
      <c r="AD515" s="399"/>
      <c r="AE515" s="399"/>
      <c r="AF515" s="399"/>
      <c r="AG515" s="399"/>
      <c r="AH515" s="399"/>
      <c r="AI515" s="47"/>
      <c r="AJ515" s="399"/>
      <c r="AK515" s="399"/>
      <c r="AL515" s="399"/>
      <c r="AM515" s="399"/>
      <c r="AN515" s="399"/>
      <c r="AO515" s="399"/>
      <c r="AP515" s="47"/>
      <c r="AQ515" s="399"/>
      <c r="AR515" s="399"/>
      <c r="AS515" s="399"/>
      <c r="AT515" s="399"/>
      <c r="AU515" s="399"/>
      <c r="AV515" s="399"/>
      <c r="AW515" s="47"/>
      <c r="AX515" s="399"/>
      <c r="AY515" s="399"/>
      <c r="AZ515" s="399"/>
      <c r="BA515" s="399"/>
      <c r="BB515" s="399"/>
      <c r="BC515" s="399"/>
      <c r="BD515" s="47"/>
      <c r="BE515" s="399"/>
      <c r="BF515" s="399"/>
      <c r="BG515" s="399"/>
      <c r="BH515" s="399"/>
      <c r="BI515" s="399"/>
      <c r="BJ515" s="399"/>
      <c r="BK515" s="47"/>
      <c r="BL515" s="399"/>
      <c r="BM515" s="399"/>
      <c r="BN515" s="399"/>
      <c r="BO515" s="399"/>
      <c r="BP515" s="399"/>
      <c r="BQ515" s="399"/>
      <c r="BR515" s="47"/>
      <c r="BS515" s="399"/>
      <c r="BT515" s="399"/>
      <c r="BU515" s="399"/>
      <c r="BV515" s="399"/>
      <c r="BW515" s="399"/>
      <c r="BX515" s="399"/>
      <c r="BY515" s="47"/>
      <c r="BZ515" s="399"/>
      <c r="CA515" s="399"/>
      <c r="CB515" s="399"/>
      <c r="CC515" s="399"/>
      <c r="CD515" s="399"/>
      <c r="CE515" s="399"/>
      <c r="CF515" s="47"/>
      <c r="CG515" s="399"/>
      <c r="CH515" s="399"/>
      <c r="CI515" s="399"/>
      <c r="CJ515" s="399"/>
      <c r="CK515" s="399"/>
      <c r="CL515" s="399"/>
      <c r="CM515" s="47"/>
      <c r="CN515" s="399"/>
      <c r="CO515" s="399"/>
      <c r="CP515" s="399"/>
      <c r="CQ515" s="399"/>
      <c r="CR515" s="399"/>
      <c r="CS515" s="399"/>
      <c r="CT515" s="47"/>
      <c r="CU515" s="399"/>
      <c r="CV515" s="399"/>
      <c r="CW515" s="399"/>
      <c r="CX515" s="399"/>
      <c r="CY515" s="399"/>
      <c r="CZ515" s="399"/>
      <c r="DA515" s="47"/>
      <c r="DB515" s="399"/>
      <c r="DC515" s="399"/>
      <c r="DD515" s="399"/>
      <c r="DE515" s="399"/>
      <c r="DF515" s="399"/>
      <c r="DG515" s="399"/>
      <c r="DH515" s="47"/>
      <c r="DI515" s="399"/>
      <c r="DJ515" s="399"/>
      <c r="DK515" s="399"/>
      <c r="DL515" s="399"/>
      <c r="DM515" s="399"/>
      <c r="DN515" s="399"/>
      <c r="DO515" s="47"/>
      <c r="DP515" s="399"/>
      <c r="DQ515" s="399"/>
      <c r="DR515" s="399"/>
      <c r="DS515" s="399"/>
      <c r="DT515" s="399"/>
      <c r="DU515" s="399"/>
      <c r="DV515" s="47"/>
      <c r="DW515" s="399"/>
      <c r="DX515" s="399"/>
      <c r="DY515" s="399"/>
      <c r="DZ515" s="399"/>
      <c r="EA515" s="399"/>
      <c r="EB515" s="399"/>
      <c r="EC515" s="47"/>
      <c r="ED515" s="399"/>
      <c r="EE515" s="399"/>
      <c r="EF515" s="399"/>
      <c r="EG515" s="399"/>
      <c r="EH515" s="399"/>
      <c r="EI515" s="399"/>
      <c r="EJ515" s="47"/>
      <c r="EK515" s="399"/>
      <c r="EL515" s="399"/>
      <c r="EM515" s="399"/>
      <c r="EN515" s="399"/>
      <c r="EO515" s="399"/>
      <c r="EP515" s="399"/>
      <c r="EQ515" s="47"/>
    </row>
    <row r="516" spans="1:147" ht="10.199999999999999" hidden="1" customHeight="1" outlineLevel="1">
      <c r="A516" s="529" t="s">
        <v>141</v>
      </c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559"/>
      <c r="P516" s="559"/>
      <c r="Q516" s="559"/>
      <c r="R516" s="560"/>
      <c r="S516" s="559"/>
      <c r="T516" s="559"/>
      <c r="U516" s="581"/>
      <c r="V516" s="559"/>
      <c r="W516" s="559"/>
      <c r="X516" s="559"/>
      <c r="Y516" s="560"/>
      <c r="Z516" s="559"/>
      <c r="AA516" s="559"/>
      <c r="AB516" s="581"/>
      <c r="AC516" s="559"/>
      <c r="AD516" s="559"/>
      <c r="AE516" s="559"/>
      <c r="AF516" s="560"/>
      <c r="AG516" s="559"/>
      <c r="AH516" s="559"/>
      <c r="AI516" s="581"/>
      <c r="AJ516" s="559"/>
      <c r="AK516" s="559"/>
      <c r="AL516" s="559"/>
      <c r="AM516" s="560"/>
      <c r="AN516" s="559"/>
      <c r="AO516" s="559"/>
      <c r="AP516" s="581"/>
      <c r="AQ516" s="559"/>
      <c r="AR516" s="559"/>
      <c r="AS516" s="559"/>
      <c r="AT516" s="560"/>
      <c r="AU516" s="559"/>
      <c r="AV516" s="559"/>
      <c r="AW516" s="581"/>
      <c r="AX516" s="559"/>
      <c r="AY516" s="559"/>
      <c r="AZ516" s="559"/>
      <c r="BA516" s="560"/>
      <c r="BB516" s="559"/>
      <c r="BC516" s="559"/>
      <c r="BD516" s="581"/>
      <c r="BE516" s="559"/>
      <c r="BF516" s="559"/>
      <c r="BG516" s="559"/>
      <c r="BH516" s="560"/>
      <c r="BI516" s="559"/>
      <c r="BJ516" s="559"/>
      <c r="BK516" s="581">
        <f>BK104/11.5</f>
        <v>1.7391304347826086</v>
      </c>
      <c r="BL516" s="559"/>
      <c r="BM516" s="559"/>
      <c r="BN516" s="559"/>
      <c r="BO516" s="560"/>
      <c r="BP516" s="559"/>
      <c r="BQ516" s="559"/>
      <c r="BR516" s="581">
        <f>BR104/11.5</f>
        <v>4.1739130434782608</v>
      </c>
      <c r="BS516" s="559"/>
      <c r="BT516" s="559"/>
      <c r="BU516" s="559"/>
      <c r="BV516" s="560"/>
      <c r="BW516" s="559"/>
      <c r="BX516" s="559"/>
      <c r="BY516" s="581">
        <f>BY104/11.5</f>
        <v>3.3043478260869565</v>
      </c>
      <c r="BZ516" s="559"/>
      <c r="CA516" s="559"/>
      <c r="CB516" s="559"/>
      <c r="CC516" s="560"/>
      <c r="CD516" s="559"/>
      <c r="CE516" s="559"/>
      <c r="CF516" s="581">
        <f>CF104/11.5</f>
        <v>4.3478260869565215</v>
      </c>
      <c r="CG516" s="559"/>
      <c r="CH516" s="559"/>
      <c r="CI516" s="559"/>
      <c r="CJ516" s="560"/>
      <c r="CK516" s="559"/>
      <c r="CL516" s="559"/>
      <c r="CM516" s="581">
        <f>CM104/11.5</f>
        <v>4.6086956521739131</v>
      </c>
      <c r="CN516" s="559"/>
      <c r="CO516" s="559"/>
      <c r="CP516" s="559"/>
      <c r="CQ516" s="560"/>
      <c r="CR516" s="559"/>
      <c r="CS516" s="559"/>
      <c r="CT516" s="581">
        <f>CT104/11.5</f>
        <v>5.9130434782608692</v>
      </c>
      <c r="CU516" s="559"/>
      <c r="CV516" s="559"/>
      <c r="CW516" s="559"/>
      <c r="CX516" s="560"/>
      <c r="CY516" s="559"/>
      <c r="CZ516" s="559"/>
      <c r="DA516" s="581">
        <f>DA104/11.5</f>
        <v>6.5217391304347823</v>
      </c>
      <c r="DB516" s="559"/>
      <c r="DC516" s="559"/>
      <c r="DD516" s="559"/>
      <c r="DE516" s="560"/>
      <c r="DF516" s="559"/>
      <c r="DG516" s="559"/>
      <c r="DH516" s="581">
        <f>DH104/11.5</f>
        <v>8.0869565217391308</v>
      </c>
      <c r="DI516" s="559"/>
      <c r="DJ516" s="559"/>
      <c r="DK516" s="559"/>
      <c r="DL516" s="560"/>
      <c r="DM516" s="559"/>
      <c r="DN516" s="559"/>
      <c r="DO516" s="581">
        <f>DO104/11.5</f>
        <v>9.4782608695652169</v>
      </c>
      <c r="DP516" s="559"/>
      <c r="DQ516" s="559"/>
      <c r="DR516" s="559"/>
      <c r="DS516" s="560"/>
      <c r="DT516" s="559"/>
      <c r="DU516" s="559"/>
      <c r="DV516" s="581">
        <f>DV104/11.5</f>
        <v>10.25</v>
      </c>
      <c r="DW516" s="559"/>
      <c r="DX516" s="559"/>
      <c r="DY516" s="559"/>
      <c r="DZ516" s="560"/>
      <c r="EA516" s="559"/>
      <c r="EB516" s="559"/>
      <c r="EC516" s="581">
        <f>EC104/11.5</f>
        <v>10</v>
      </c>
      <c r="ED516" s="559"/>
      <c r="EE516" s="559"/>
      <c r="EF516" s="559"/>
      <c r="EG516" s="560"/>
      <c r="EH516" s="559"/>
      <c r="EI516" s="559"/>
      <c r="EJ516" s="581">
        <f>EJ104/11.5</f>
        <v>10</v>
      </c>
      <c r="EK516" s="559"/>
      <c r="EL516" s="559"/>
      <c r="EM516" s="559"/>
      <c r="EN516" s="560"/>
      <c r="EO516" s="559"/>
      <c r="EP516" s="559"/>
      <c r="EQ516" s="581">
        <f>EQ104/11.5</f>
        <v>10</v>
      </c>
    </row>
    <row r="517" spans="1:147" ht="10.199999999999999" hidden="1" customHeight="1" outlineLevel="1">
      <c r="A517" s="529" t="s">
        <v>141</v>
      </c>
      <c r="B517" s="558">
        <f t="shared" ref="B517:N517" si="1652">B119/11.5</f>
        <v>20.956521739130434</v>
      </c>
      <c r="C517" s="558">
        <f t="shared" si="1652"/>
        <v>22.347826086956523</v>
      </c>
      <c r="D517" s="558">
        <f t="shared" si="1652"/>
        <v>20.521739130434781</v>
      </c>
      <c r="E517" s="558">
        <f t="shared" si="1652"/>
        <v>20.260869565217391</v>
      </c>
      <c r="F517" s="558">
        <f t="shared" si="1652"/>
        <v>20.260869565217391</v>
      </c>
      <c r="G517" s="558">
        <f t="shared" si="1652"/>
        <v>25.130434782608695</v>
      </c>
      <c r="H517" s="558">
        <f t="shared" si="1652"/>
        <v>29.478260869565219</v>
      </c>
      <c r="I517" s="558">
        <f t="shared" si="1652"/>
        <v>31.913043478260871</v>
      </c>
      <c r="J517" s="558">
        <f t="shared" si="1652"/>
        <v>33.565217391304351</v>
      </c>
      <c r="K517" s="558">
        <f t="shared" si="1652"/>
        <v>34.956521739130437</v>
      </c>
      <c r="L517" s="558">
        <f t="shared" si="1652"/>
        <v>34.869565217391305</v>
      </c>
      <c r="M517" s="558">
        <f t="shared" si="1652"/>
        <v>36.608695652173914</v>
      </c>
      <c r="N517" s="558">
        <f t="shared" si="1652"/>
        <v>39.565217391304351</v>
      </c>
      <c r="O517" s="559"/>
      <c r="P517" s="559"/>
      <c r="Q517" s="559"/>
      <c r="R517" s="560"/>
      <c r="S517" s="559"/>
      <c r="T517" s="559"/>
      <c r="U517" s="581">
        <f>U119/11.5</f>
        <v>42.869565217391305</v>
      </c>
      <c r="V517" s="559"/>
      <c r="W517" s="559"/>
      <c r="X517" s="559"/>
      <c r="Y517" s="560"/>
      <c r="Z517" s="559"/>
      <c r="AA517" s="559"/>
      <c r="AB517" s="581">
        <f>AB119/11.5</f>
        <v>42.608695652173914</v>
      </c>
      <c r="AC517" s="559"/>
      <c r="AD517" s="559"/>
      <c r="AE517" s="559"/>
      <c r="AF517" s="560"/>
      <c r="AG517" s="559"/>
      <c r="AH517" s="559"/>
      <c r="AI517" s="581">
        <f>AI119/11.5</f>
        <v>42.695652173913047</v>
      </c>
      <c r="AJ517" s="559"/>
      <c r="AK517" s="559"/>
      <c r="AL517" s="559"/>
      <c r="AM517" s="560"/>
      <c r="AN517" s="559"/>
      <c r="AO517" s="559"/>
      <c r="AP517" s="581">
        <f>AP119/11.5</f>
        <v>47.391304347826086</v>
      </c>
      <c r="AQ517" s="559"/>
      <c r="AR517" s="559"/>
      <c r="AS517" s="559"/>
      <c r="AT517" s="560"/>
      <c r="AU517" s="559"/>
      <c r="AV517" s="559"/>
      <c r="AW517" s="581">
        <f>AW119/11.5</f>
        <v>48.521739130434781</v>
      </c>
      <c r="AX517" s="559"/>
      <c r="AY517" s="559"/>
      <c r="AZ517" s="559"/>
      <c r="BA517" s="560"/>
      <c r="BB517" s="559"/>
      <c r="BC517" s="559"/>
      <c r="BD517" s="581">
        <f>BD119/11.5</f>
        <v>48.521739130434781</v>
      </c>
      <c r="BE517" s="559"/>
      <c r="BF517" s="559"/>
      <c r="BG517" s="559"/>
      <c r="BH517" s="560"/>
      <c r="BI517" s="559"/>
      <c r="BJ517" s="559"/>
      <c r="BK517" s="581">
        <f>BK119/11.5</f>
        <v>54.434782608695649</v>
      </c>
      <c r="BL517" s="559"/>
      <c r="BM517" s="559"/>
      <c r="BN517" s="559"/>
      <c r="BO517" s="560"/>
      <c r="BP517" s="559"/>
      <c r="BQ517" s="559"/>
      <c r="BR517" s="581">
        <f>BR119/11.5</f>
        <v>55.826086956521742</v>
      </c>
      <c r="BS517" s="559"/>
      <c r="BT517" s="559"/>
      <c r="BU517" s="559"/>
      <c r="BV517" s="560"/>
      <c r="BW517" s="559"/>
      <c r="BX517" s="559"/>
      <c r="BY517" s="581">
        <f>BY119/11.5</f>
        <v>38.782608695652172</v>
      </c>
      <c r="BZ517" s="559"/>
      <c r="CA517" s="559"/>
      <c r="CB517" s="559"/>
      <c r="CC517" s="560"/>
      <c r="CD517" s="559"/>
      <c r="CE517" s="559"/>
      <c r="CF517" s="581">
        <f>CF119/11.5</f>
        <v>42</v>
      </c>
      <c r="CG517" s="559"/>
      <c r="CH517" s="559"/>
      <c r="CI517" s="559"/>
      <c r="CJ517" s="560"/>
      <c r="CK517" s="559"/>
      <c r="CL517" s="559"/>
      <c r="CM517" s="581">
        <f>CM119/11.5</f>
        <v>44.869565217391305</v>
      </c>
      <c r="CN517" s="559"/>
      <c r="CO517" s="559"/>
      <c r="CP517" s="559"/>
      <c r="CQ517" s="560"/>
      <c r="CR517" s="559"/>
      <c r="CS517" s="559"/>
      <c r="CT517" s="581">
        <f>CT119/11.5</f>
        <v>49.652173913043477</v>
      </c>
      <c r="CU517" s="559"/>
      <c r="CV517" s="559"/>
      <c r="CW517" s="559"/>
      <c r="CX517" s="560"/>
      <c r="CY517" s="559"/>
      <c r="CZ517" s="559"/>
      <c r="DA517" s="581">
        <f>DA119/11.5</f>
        <v>52.347826086956523</v>
      </c>
      <c r="DB517" s="559"/>
      <c r="DC517" s="559"/>
      <c r="DD517" s="559"/>
      <c r="DE517" s="560"/>
      <c r="DF517" s="559"/>
      <c r="DG517" s="559"/>
      <c r="DH517" s="581">
        <f>DH119/11.5</f>
        <v>52.782608695652172</v>
      </c>
      <c r="DI517" s="559"/>
      <c r="DJ517" s="559"/>
      <c r="DK517" s="559"/>
      <c r="DL517" s="560"/>
      <c r="DM517" s="559"/>
      <c r="DN517" s="559"/>
      <c r="DO517" s="581">
        <f>DO119/11.5</f>
        <v>56.782608695652172</v>
      </c>
      <c r="DP517" s="559"/>
      <c r="DQ517" s="559"/>
      <c r="DR517" s="559"/>
      <c r="DS517" s="560"/>
      <c r="DT517" s="559"/>
      <c r="DU517" s="559"/>
      <c r="DV517" s="581">
        <f>DV119/11.5</f>
        <v>63.75</v>
      </c>
      <c r="DW517" s="559"/>
      <c r="DX517" s="559"/>
      <c r="DY517" s="559"/>
      <c r="DZ517" s="560"/>
      <c r="EA517" s="559"/>
      <c r="EB517" s="559"/>
      <c r="EC517" s="581">
        <f>EC119/11.5</f>
        <v>68.75</v>
      </c>
      <c r="ED517" s="559"/>
      <c r="EE517" s="559"/>
      <c r="EF517" s="559"/>
      <c r="EG517" s="560"/>
      <c r="EH517" s="559"/>
      <c r="EI517" s="559"/>
      <c r="EJ517" s="581">
        <f>EJ119/11.5</f>
        <v>70</v>
      </c>
      <c r="EK517" s="559"/>
      <c r="EL517" s="559"/>
      <c r="EM517" s="559"/>
      <c r="EN517" s="560"/>
      <c r="EO517" s="559"/>
      <c r="EP517" s="559"/>
      <c r="EQ517" s="581">
        <f>EQ119/11.5</f>
        <v>70</v>
      </c>
    </row>
    <row r="518" spans="1:147" ht="10.199999999999999" hidden="1" customHeight="1" outlineLevel="1">
      <c r="A518" s="529" t="s">
        <v>141</v>
      </c>
      <c r="B518" s="558">
        <f t="shared" ref="B518:N518" si="1653">B129/11</f>
        <v>3.9090909090909092</v>
      </c>
      <c r="C518" s="558">
        <f t="shared" si="1653"/>
        <v>3.1818181818181817</v>
      </c>
      <c r="D518" s="558">
        <f t="shared" si="1653"/>
        <v>3.8181818181818183</v>
      </c>
      <c r="E518" s="558">
        <f t="shared" si="1653"/>
        <v>2.8181818181818183</v>
      </c>
      <c r="F518" s="558">
        <f t="shared" si="1653"/>
        <v>4.2727272727272725</v>
      </c>
      <c r="G518" s="558">
        <f t="shared" si="1653"/>
        <v>5.0909090909090908</v>
      </c>
      <c r="H518" s="558">
        <f t="shared" si="1653"/>
        <v>5.6363636363636367</v>
      </c>
      <c r="I518" s="558">
        <f t="shared" si="1653"/>
        <v>6.1818181818181817</v>
      </c>
      <c r="J518" s="558">
        <f t="shared" si="1653"/>
        <v>6.5454545454545459</v>
      </c>
      <c r="K518" s="558">
        <f t="shared" si="1653"/>
        <v>6.9090909090909092</v>
      </c>
      <c r="L518" s="558">
        <f t="shared" si="1653"/>
        <v>7.9090909090909092</v>
      </c>
      <c r="M518" s="558">
        <f t="shared" si="1653"/>
        <v>7.9090909090909092</v>
      </c>
      <c r="N518" s="558">
        <f t="shared" si="1653"/>
        <v>9.1818181818181817</v>
      </c>
      <c r="O518" s="558"/>
      <c r="P518" s="559"/>
      <c r="Q518" s="559"/>
      <c r="R518" s="560"/>
      <c r="S518" s="559"/>
      <c r="T518" s="559"/>
      <c r="U518" s="581">
        <f>U129/11</f>
        <v>9.8181818181818183</v>
      </c>
      <c r="V518" s="558"/>
      <c r="W518" s="559"/>
      <c r="X518" s="559"/>
      <c r="Y518" s="560"/>
      <c r="Z518" s="559"/>
      <c r="AA518" s="559"/>
      <c r="AB518" s="581">
        <f>AB129/11</f>
        <v>9.8181818181818183</v>
      </c>
      <c r="AC518" s="558"/>
      <c r="AD518" s="559"/>
      <c r="AE518" s="559"/>
      <c r="AF518" s="560"/>
      <c r="AG518" s="559"/>
      <c r="AH518" s="559"/>
      <c r="AI518" s="581">
        <f>AI129/11</f>
        <v>9.3636363636363633</v>
      </c>
      <c r="AJ518" s="558"/>
      <c r="AK518" s="559"/>
      <c r="AL518" s="559"/>
      <c r="AM518" s="560"/>
      <c r="AN518" s="559"/>
      <c r="AO518" s="559"/>
      <c r="AP518" s="581">
        <f>AP129/11</f>
        <v>6</v>
      </c>
      <c r="AQ518" s="558"/>
      <c r="AR518" s="559"/>
      <c r="AS518" s="559"/>
      <c r="AT518" s="560"/>
      <c r="AU518" s="559"/>
      <c r="AV518" s="559"/>
      <c r="AW518" s="581">
        <f>AW129/11</f>
        <v>6.0909090909090908</v>
      </c>
      <c r="AX518" s="558"/>
      <c r="AY518" s="559"/>
      <c r="AZ518" s="559"/>
      <c r="BA518" s="560"/>
      <c r="BB518" s="559"/>
      <c r="BC518" s="559"/>
      <c r="BD518" s="581">
        <f>BD129/11</f>
        <v>6.0909090909090908</v>
      </c>
      <c r="BE518" s="558"/>
      <c r="BF518" s="559"/>
      <c r="BG518" s="559"/>
      <c r="BH518" s="560"/>
      <c r="BI518" s="559"/>
      <c r="BJ518" s="559"/>
      <c r="BK518" s="581">
        <f>BK129/11</f>
        <v>4.4545454545454541</v>
      </c>
      <c r="BL518" s="558"/>
      <c r="BM518" s="559"/>
      <c r="BN518" s="559"/>
      <c r="BO518" s="560"/>
      <c r="BP518" s="559"/>
      <c r="BQ518" s="559"/>
      <c r="BR518" s="581">
        <f>BR129/11</f>
        <v>4.8181818181818183</v>
      </c>
      <c r="BS518" s="558"/>
      <c r="BT518" s="559"/>
      <c r="BU518" s="559"/>
      <c r="BV518" s="560"/>
      <c r="BW518" s="559"/>
      <c r="BX518" s="559"/>
      <c r="BY518" s="581">
        <f>BY129/11</f>
        <v>1.7272727272727273</v>
      </c>
      <c r="BZ518" s="558"/>
      <c r="CA518" s="559"/>
      <c r="CB518" s="559"/>
      <c r="CC518" s="560"/>
      <c r="CD518" s="559"/>
      <c r="CE518" s="559"/>
      <c r="CF518" s="581">
        <f>CF129/11</f>
        <v>1.6363636363636365</v>
      </c>
      <c r="CG518" s="558"/>
      <c r="CH518" s="559"/>
      <c r="CI518" s="559"/>
      <c r="CJ518" s="560"/>
      <c r="CK518" s="559"/>
      <c r="CL518" s="559"/>
      <c r="CM518" s="581">
        <f>CM129/11</f>
        <v>2.9090909090909092</v>
      </c>
      <c r="CN518" s="558"/>
      <c r="CO518" s="559"/>
      <c r="CP518" s="559"/>
      <c r="CQ518" s="560"/>
      <c r="CR518" s="559"/>
      <c r="CS518" s="559"/>
      <c r="CT518" s="581">
        <f>CT129/11</f>
        <v>2.9090909090909092</v>
      </c>
      <c r="CU518" s="559"/>
      <c r="CV518" s="559"/>
      <c r="CW518" s="559"/>
      <c r="CX518" s="560"/>
      <c r="CY518" s="559"/>
      <c r="CZ518" s="559"/>
      <c r="DA518" s="581">
        <f>DA129/11</f>
        <v>2.9090909090909092</v>
      </c>
      <c r="DB518" s="559"/>
      <c r="DC518" s="559"/>
      <c r="DD518" s="559"/>
      <c r="DE518" s="560"/>
      <c r="DF518" s="559"/>
      <c r="DG518" s="559"/>
      <c r="DH518" s="581">
        <f>DH129/11</f>
        <v>3.2727272727272729</v>
      </c>
      <c r="DI518" s="559"/>
      <c r="DJ518" s="559"/>
      <c r="DK518" s="559"/>
      <c r="DL518" s="560"/>
      <c r="DM518" s="559"/>
      <c r="DN518" s="559"/>
      <c r="DO518" s="581">
        <f>DO129/11</f>
        <v>3.2727272727272729</v>
      </c>
      <c r="DP518" s="559"/>
      <c r="DQ518" s="559"/>
      <c r="DR518" s="559"/>
      <c r="DS518" s="560"/>
      <c r="DT518" s="559"/>
      <c r="DU518" s="559"/>
      <c r="DV518" s="581">
        <f>DV129/11</f>
        <v>3.2727272727272729</v>
      </c>
      <c r="DW518" s="559"/>
      <c r="DX518" s="559"/>
      <c r="DY518" s="559"/>
      <c r="DZ518" s="560"/>
      <c r="EA518" s="559"/>
      <c r="EB518" s="559"/>
      <c r="EC518" s="581">
        <f>EC129/11</f>
        <v>3.2727272727272729</v>
      </c>
      <c r="ED518" s="559"/>
      <c r="EE518" s="559"/>
      <c r="EF518" s="559"/>
      <c r="EG518" s="560"/>
      <c r="EH518" s="559"/>
      <c r="EI518" s="559"/>
      <c r="EJ518" s="581">
        <f>EJ129/11</f>
        <v>3.2727272727272729</v>
      </c>
      <c r="EK518" s="559"/>
      <c r="EL518" s="559"/>
      <c r="EM518" s="559"/>
      <c r="EN518" s="560"/>
      <c r="EO518" s="559"/>
      <c r="EP518" s="559"/>
      <c r="EQ518" s="581">
        <f>EQ129/11</f>
        <v>3.7727272727272729</v>
      </c>
    </row>
    <row r="519" spans="1:147" ht="10.199999999999999" hidden="1" customHeight="1" outlineLevel="1">
      <c r="A519" s="529" t="s">
        <v>141</v>
      </c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558"/>
      <c r="P519" s="559"/>
      <c r="Q519" s="559"/>
      <c r="R519" s="560"/>
      <c r="S519" s="559"/>
      <c r="T519" s="559"/>
      <c r="U519" s="581"/>
      <c r="V519" s="558"/>
      <c r="W519" s="559"/>
      <c r="X519" s="559"/>
      <c r="Y519" s="560"/>
      <c r="Z519" s="559"/>
      <c r="AA519" s="559"/>
      <c r="AB519" s="581">
        <f>AB139/11</f>
        <v>9.0909090909090912E-2</v>
      </c>
      <c r="AC519" s="558"/>
      <c r="AD519" s="559"/>
      <c r="AE519" s="559"/>
      <c r="AF519" s="560"/>
      <c r="AG519" s="559"/>
      <c r="AH519" s="559"/>
      <c r="AI519" s="581">
        <f>AI139/11</f>
        <v>1.2727272727272727</v>
      </c>
      <c r="AJ519" s="558"/>
      <c r="AK519" s="559"/>
      <c r="AL519" s="559"/>
      <c r="AM519" s="560"/>
      <c r="AN519" s="559"/>
      <c r="AO519" s="559"/>
      <c r="AP519" s="581">
        <f>AP139/11</f>
        <v>4.4545454545454541</v>
      </c>
      <c r="AQ519" s="558"/>
      <c r="AR519" s="559"/>
      <c r="AS519" s="559"/>
      <c r="AT519" s="560"/>
      <c r="AU519" s="559"/>
      <c r="AV519" s="559"/>
      <c r="AW519" s="581">
        <f>AW139/11</f>
        <v>7.0909090909090908</v>
      </c>
      <c r="AX519" s="558"/>
      <c r="AY519" s="559"/>
      <c r="AZ519" s="559"/>
      <c r="BA519" s="560"/>
      <c r="BB519" s="559"/>
      <c r="BC519" s="559"/>
      <c r="BD519" s="581">
        <f>BD139/11</f>
        <v>7.0909090909090908</v>
      </c>
      <c r="BE519" s="558"/>
      <c r="BF519" s="559"/>
      <c r="BG519" s="559"/>
      <c r="BH519" s="560"/>
      <c r="BI519" s="559"/>
      <c r="BJ519" s="559"/>
      <c r="BK519" s="581">
        <f>BK139/11</f>
        <v>8.454545454545455</v>
      </c>
      <c r="BL519" s="558"/>
      <c r="BM519" s="559"/>
      <c r="BN519" s="559"/>
      <c r="BO519" s="560"/>
      <c r="BP519" s="559"/>
      <c r="BQ519" s="559"/>
      <c r="BR519" s="581">
        <f>BR139/11</f>
        <v>10.181818181818182</v>
      </c>
      <c r="BS519" s="558"/>
      <c r="BT519" s="559"/>
      <c r="BU519" s="559"/>
      <c r="BV519" s="560"/>
      <c r="BW519" s="559"/>
      <c r="BX519" s="559"/>
      <c r="BY519" s="581">
        <f>BY139/11</f>
        <v>5.3636363636363633</v>
      </c>
      <c r="BZ519" s="558"/>
      <c r="CA519" s="559"/>
      <c r="CB519" s="559"/>
      <c r="CC519" s="560"/>
      <c r="CD519" s="559"/>
      <c r="CE519" s="559"/>
      <c r="CF519" s="581">
        <f>CF139/11</f>
        <v>5</v>
      </c>
      <c r="CG519" s="558"/>
      <c r="CH519" s="559"/>
      <c r="CI519" s="559"/>
      <c r="CJ519" s="560"/>
      <c r="CK519" s="559"/>
      <c r="CL519" s="559"/>
      <c r="CM519" s="581">
        <f>CM139/11</f>
        <v>5.4545454545454541</v>
      </c>
      <c r="CN519" s="558"/>
      <c r="CO519" s="559"/>
      <c r="CP519" s="559"/>
      <c r="CQ519" s="560"/>
      <c r="CR519" s="559"/>
      <c r="CS519" s="559"/>
      <c r="CT519" s="581">
        <f>CT139/11</f>
        <v>5.8181818181818183</v>
      </c>
      <c r="CU519" s="559"/>
      <c r="CV519" s="559"/>
      <c r="CW519" s="559"/>
      <c r="CX519" s="560"/>
      <c r="CY519" s="559"/>
      <c r="CZ519" s="559"/>
      <c r="DA519" s="581">
        <f>DA139/11</f>
        <v>5.1818181818181817</v>
      </c>
      <c r="DB519" s="559"/>
      <c r="DC519" s="559"/>
      <c r="DD519" s="559"/>
      <c r="DE519" s="560"/>
      <c r="DF519" s="559"/>
      <c r="DG519" s="559"/>
      <c r="DH519" s="581">
        <f>DH139/11</f>
        <v>5.1818181818181817</v>
      </c>
      <c r="DI519" s="559"/>
      <c r="DJ519" s="559"/>
      <c r="DK519" s="559"/>
      <c r="DL519" s="560"/>
      <c r="DM519" s="559"/>
      <c r="DN519" s="559"/>
      <c r="DO519" s="581">
        <f>DO139/11</f>
        <v>6.5454545454545459</v>
      </c>
      <c r="DP519" s="559"/>
      <c r="DQ519" s="559"/>
      <c r="DR519" s="559"/>
      <c r="DS519" s="560"/>
      <c r="DT519" s="559"/>
      <c r="DU519" s="559"/>
      <c r="DV519" s="581">
        <f>DV139/11</f>
        <v>8</v>
      </c>
      <c r="DW519" s="559"/>
      <c r="DX519" s="559"/>
      <c r="DY519" s="559"/>
      <c r="DZ519" s="560"/>
      <c r="EA519" s="559"/>
      <c r="EB519" s="559"/>
      <c r="EC519" s="581">
        <f>EC139/11</f>
        <v>9</v>
      </c>
      <c r="ED519" s="559"/>
      <c r="EE519" s="559"/>
      <c r="EF519" s="559"/>
      <c r="EG519" s="560"/>
      <c r="EH519" s="559"/>
      <c r="EI519" s="559"/>
      <c r="EJ519" s="581">
        <f>EJ139/11</f>
        <v>10</v>
      </c>
      <c r="EK519" s="559"/>
      <c r="EL519" s="559"/>
      <c r="EM519" s="559"/>
      <c r="EN519" s="560"/>
      <c r="EO519" s="559"/>
      <c r="EP519" s="559"/>
      <c r="EQ519" s="581">
        <f>EQ139/11</f>
        <v>10</v>
      </c>
    </row>
    <row r="520" spans="1:147" ht="10.199999999999999" hidden="1" customHeight="1" outlineLevel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399"/>
      <c r="P520" s="399"/>
      <c r="Q520" s="399"/>
      <c r="R520" s="399"/>
      <c r="S520" s="399"/>
      <c r="T520" s="399"/>
      <c r="U520" s="47"/>
      <c r="V520" s="399"/>
      <c r="W520" s="399"/>
      <c r="X520" s="399"/>
      <c r="Y520" s="399"/>
      <c r="Z520" s="399"/>
      <c r="AA520" s="399"/>
      <c r="AB520" s="47"/>
      <c r="AC520" s="399"/>
      <c r="AD520" s="399"/>
      <c r="AE520" s="399"/>
      <c r="AF520" s="399"/>
      <c r="AG520" s="399"/>
      <c r="AH520" s="399"/>
      <c r="AI520" s="47"/>
      <c r="AJ520" s="399"/>
      <c r="AK520" s="399"/>
      <c r="AL520" s="399"/>
      <c r="AM520" s="399"/>
      <c r="AN520" s="399"/>
      <c r="AO520" s="399"/>
      <c r="AP520" s="47"/>
      <c r="AQ520" s="399"/>
      <c r="AR520" s="399"/>
      <c r="AS520" s="399"/>
      <c r="AT520" s="399"/>
      <c r="AU520" s="399"/>
      <c r="AV520" s="399"/>
      <c r="AW520" s="47"/>
      <c r="AX520" s="399"/>
      <c r="AY520" s="399"/>
      <c r="AZ520" s="399"/>
      <c r="BA520" s="399"/>
      <c r="BB520" s="399"/>
      <c r="BC520" s="399"/>
      <c r="BD520" s="47"/>
      <c r="BE520" s="399"/>
      <c r="BF520" s="399"/>
      <c r="BG520" s="399"/>
      <c r="BH520" s="399"/>
      <c r="BI520" s="399"/>
      <c r="BJ520" s="399"/>
      <c r="BK520" s="47"/>
      <c r="BL520" s="399"/>
      <c r="BM520" s="399"/>
      <c r="BN520" s="399"/>
      <c r="BO520" s="399"/>
      <c r="BP520" s="399"/>
      <c r="BQ520" s="399"/>
      <c r="BR520" s="47"/>
      <c r="BS520" s="399"/>
      <c r="BT520" s="399"/>
      <c r="BU520" s="399"/>
      <c r="BV520" s="399"/>
      <c r="BW520" s="399"/>
      <c r="BX520" s="399"/>
      <c r="BY520" s="47"/>
      <c r="BZ520" s="399"/>
      <c r="CA520" s="399"/>
      <c r="CB520" s="399"/>
      <c r="CC520" s="399"/>
      <c r="CD520" s="399"/>
      <c r="CE520" s="399"/>
      <c r="CF520" s="47"/>
      <c r="CG520" s="399"/>
      <c r="CH520" s="399"/>
      <c r="CI520" s="399"/>
      <c r="CJ520" s="399"/>
      <c r="CK520" s="399"/>
      <c r="CL520" s="399"/>
      <c r="CM520" s="47"/>
      <c r="CN520" s="399"/>
      <c r="CO520" s="399"/>
      <c r="CP520" s="399"/>
      <c r="CQ520" s="399"/>
      <c r="CR520" s="399"/>
      <c r="CS520" s="399"/>
      <c r="CT520" s="47"/>
      <c r="CU520" s="399"/>
      <c r="CV520" s="399"/>
      <c r="CW520" s="399"/>
      <c r="CX520" s="399"/>
      <c r="CY520" s="399"/>
      <c r="CZ520" s="399"/>
      <c r="DA520" s="47"/>
      <c r="DB520" s="399"/>
      <c r="DC520" s="399"/>
      <c r="DD520" s="399"/>
      <c r="DE520" s="399"/>
      <c r="DF520" s="399"/>
      <c r="DG520" s="399"/>
      <c r="DH520" s="47"/>
      <c r="DI520" s="399"/>
      <c r="DJ520" s="399"/>
      <c r="DK520" s="399"/>
      <c r="DL520" s="399"/>
      <c r="DM520" s="399"/>
      <c r="DN520" s="399"/>
      <c r="DO520" s="47"/>
      <c r="DP520" s="399"/>
      <c r="DQ520" s="399"/>
      <c r="DR520" s="399"/>
      <c r="DS520" s="399"/>
      <c r="DT520" s="399"/>
      <c r="DU520" s="399"/>
      <c r="DV520" s="47"/>
      <c r="DW520" s="399"/>
      <c r="DX520" s="399"/>
      <c r="DY520" s="399"/>
      <c r="DZ520" s="399"/>
      <c r="EA520" s="399"/>
      <c r="EB520" s="399"/>
      <c r="EC520" s="47"/>
      <c r="ED520" s="399"/>
      <c r="EE520" s="399"/>
      <c r="EF520" s="399"/>
      <c r="EG520" s="399"/>
      <c r="EH520" s="399"/>
      <c r="EI520" s="399"/>
      <c r="EJ520" s="47"/>
      <c r="EK520" s="399"/>
      <c r="EL520" s="399"/>
      <c r="EM520" s="399"/>
      <c r="EN520" s="399"/>
      <c r="EO520" s="399"/>
      <c r="EP520" s="399"/>
      <c r="EQ520" s="47"/>
    </row>
    <row r="521" spans="1:147" ht="10.199999999999999" hidden="1" customHeight="1" outlineLevel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399"/>
      <c r="P521" s="399"/>
      <c r="Q521" s="399"/>
      <c r="R521" s="399"/>
      <c r="S521" s="399"/>
      <c r="T521" s="399"/>
      <c r="U521" s="47"/>
      <c r="V521" s="399"/>
      <c r="W521" s="399"/>
      <c r="X521" s="399"/>
      <c r="Y521" s="399"/>
      <c r="Z521" s="399"/>
      <c r="AA521" s="399"/>
      <c r="AB521" s="47"/>
      <c r="AC521" s="399"/>
      <c r="AD521" s="399"/>
      <c r="AE521" s="399"/>
      <c r="AF521" s="399"/>
      <c r="AG521" s="399"/>
      <c r="AH521" s="399"/>
      <c r="AI521" s="47"/>
      <c r="AJ521" s="399"/>
      <c r="AK521" s="399"/>
      <c r="AL521" s="399"/>
      <c r="AM521" s="399"/>
      <c r="AN521" s="399"/>
      <c r="AO521" s="399"/>
      <c r="AP521" s="47"/>
      <c r="AQ521" s="399"/>
      <c r="AR521" s="399"/>
      <c r="AS521" s="399"/>
      <c r="AT521" s="399"/>
      <c r="AU521" s="399"/>
      <c r="AV521" s="399"/>
      <c r="AW521" s="47"/>
      <c r="AX521" s="399"/>
      <c r="AY521" s="399"/>
      <c r="AZ521" s="399"/>
      <c r="BA521" s="399"/>
      <c r="BB521" s="399"/>
      <c r="BC521" s="399"/>
      <c r="BD521" s="47"/>
      <c r="BE521" s="399"/>
      <c r="BF521" s="399"/>
      <c r="BG521" s="399"/>
      <c r="BH521" s="399"/>
      <c r="BI521" s="399"/>
      <c r="BJ521" s="399"/>
      <c r="BK521" s="47"/>
      <c r="BL521" s="399"/>
      <c r="BM521" s="399"/>
      <c r="BN521" s="399"/>
      <c r="BO521" s="399"/>
      <c r="BP521" s="399"/>
      <c r="BQ521" s="399"/>
      <c r="BR521" s="47"/>
      <c r="BS521" s="399"/>
      <c r="BT521" s="399"/>
      <c r="BU521" s="399"/>
      <c r="BV521" s="399"/>
      <c r="BW521" s="399"/>
      <c r="BX521" s="399"/>
      <c r="BY521" s="47"/>
      <c r="BZ521" s="399"/>
      <c r="CA521" s="399"/>
      <c r="CB521" s="399"/>
      <c r="CC521" s="399"/>
      <c r="CD521" s="399"/>
      <c r="CE521" s="399"/>
      <c r="CF521" s="47"/>
      <c r="CG521" s="399"/>
      <c r="CH521" s="399"/>
      <c r="CI521" s="399"/>
      <c r="CJ521" s="399"/>
      <c r="CK521" s="399"/>
      <c r="CL521" s="399"/>
      <c r="CM521" s="47"/>
      <c r="CN521" s="399"/>
      <c r="CO521" s="399"/>
      <c r="CP521" s="399"/>
      <c r="CQ521" s="399"/>
      <c r="CR521" s="399"/>
      <c r="CS521" s="399"/>
      <c r="CT521" s="47"/>
      <c r="CU521" s="399"/>
      <c r="CV521" s="399"/>
      <c r="CW521" s="399"/>
      <c r="CX521" s="399"/>
      <c r="CY521" s="399"/>
      <c r="CZ521" s="399"/>
      <c r="DA521" s="47"/>
      <c r="DB521" s="399"/>
      <c r="DC521" s="399"/>
      <c r="DD521" s="399"/>
      <c r="DE521" s="399"/>
      <c r="DF521" s="399"/>
      <c r="DG521" s="399"/>
      <c r="DH521" s="47"/>
      <c r="DI521" s="399"/>
      <c r="DJ521" s="399"/>
      <c r="DK521" s="399"/>
      <c r="DL521" s="399"/>
      <c r="DM521" s="399"/>
      <c r="DN521" s="399"/>
      <c r="DO521" s="47"/>
      <c r="DP521" s="399"/>
      <c r="DQ521" s="399"/>
      <c r="DR521" s="399"/>
      <c r="DS521" s="399"/>
      <c r="DT521" s="399"/>
      <c r="DU521" s="399"/>
      <c r="DV521" s="47"/>
      <c r="DW521" s="399"/>
      <c r="DX521" s="399"/>
      <c r="DY521" s="399"/>
      <c r="DZ521" s="399"/>
      <c r="EA521" s="399"/>
      <c r="EB521" s="399"/>
      <c r="EC521" s="47"/>
      <c r="ED521" s="399"/>
      <c r="EE521" s="399"/>
      <c r="EF521" s="399"/>
      <c r="EG521" s="399"/>
      <c r="EH521" s="399"/>
      <c r="EI521" s="399"/>
      <c r="EJ521" s="47"/>
      <c r="EK521" s="399"/>
      <c r="EL521" s="399"/>
      <c r="EM521" s="399"/>
      <c r="EN521" s="399"/>
      <c r="EO521" s="399"/>
      <c r="EP521" s="399"/>
      <c r="EQ521" s="47"/>
    </row>
    <row r="522" spans="1:147" ht="10.199999999999999" hidden="1" customHeight="1" outlineLevel="1">
      <c r="A522" s="178" t="s">
        <v>527</v>
      </c>
      <c r="B522" s="178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1758"/>
      <c r="O522" s="488"/>
      <c r="P522" s="488"/>
      <c r="Q522" s="488"/>
      <c r="R522" s="489"/>
      <c r="S522" s="488"/>
      <c r="T522" s="488"/>
      <c r="U522" s="363"/>
      <c r="V522" s="488"/>
      <c r="W522" s="488"/>
      <c r="X522" s="488"/>
      <c r="Y522" s="489"/>
      <c r="Z522" s="488"/>
      <c r="AA522" s="488"/>
      <c r="AB522" s="363"/>
      <c r="AC522" s="488"/>
      <c r="AD522" s="488"/>
      <c r="AE522" s="488"/>
      <c r="AF522" s="489"/>
      <c r="AG522" s="488"/>
      <c r="AH522" s="488"/>
      <c r="AI522" s="363"/>
      <c r="AJ522" s="488"/>
      <c r="AK522" s="488"/>
      <c r="AL522" s="488"/>
      <c r="AM522" s="489"/>
      <c r="AN522" s="488"/>
      <c r="AO522" s="488"/>
      <c r="AP522" s="363"/>
      <c r="AQ522" s="488"/>
      <c r="AR522" s="488"/>
      <c r="AS522" s="488"/>
      <c r="AT522" s="489"/>
      <c r="AU522" s="488"/>
      <c r="AV522" s="488"/>
      <c r="AW522" s="363"/>
      <c r="AX522" s="488"/>
      <c r="AY522" s="488"/>
      <c r="AZ522" s="488"/>
      <c r="BA522" s="489"/>
      <c r="BB522" s="488"/>
      <c r="BC522" s="488"/>
      <c r="BD522" s="363"/>
      <c r="BE522" s="488"/>
      <c r="BF522" s="488"/>
      <c r="BG522" s="488"/>
      <c r="BH522" s="489"/>
      <c r="BI522" s="488"/>
      <c r="BJ522" s="488"/>
      <c r="BK522" s="363"/>
      <c r="BL522" s="488"/>
      <c r="BM522" s="488"/>
      <c r="BN522" s="488"/>
      <c r="BO522" s="489"/>
      <c r="BP522" s="488"/>
      <c r="BQ522" s="488"/>
      <c r="BR522" s="363"/>
      <c r="BS522" s="488"/>
      <c r="BT522" s="488"/>
      <c r="BU522" s="488"/>
      <c r="BV522" s="489"/>
      <c r="BW522" s="488"/>
      <c r="BX522" s="488"/>
      <c r="BY522" s="363"/>
      <c r="BZ522" s="488"/>
      <c r="CA522" s="488"/>
      <c r="CB522" s="488"/>
      <c r="CC522" s="489"/>
      <c r="CD522" s="488"/>
      <c r="CE522" s="488"/>
      <c r="CF522" s="363"/>
      <c r="CG522" s="488"/>
      <c r="CH522" s="488"/>
      <c r="CI522" s="488"/>
      <c r="CJ522" s="489"/>
      <c r="CK522" s="488"/>
      <c r="CL522" s="488"/>
      <c r="CM522" s="363"/>
      <c r="CN522" s="488"/>
      <c r="CO522" s="488"/>
      <c r="CP522" s="488"/>
      <c r="CQ522" s="489"/>
      <c r="CR522" s="488"/>
      <c r="CS522" s="488"/>
      <c r="CT522" s="363"/>
      <c r="CU522" s="488"/>
      <c r="CV522" s="488"/>
      <c r="CW522" s="488"/>
      <c r="CX522" s="489"/>
      <c r="CY522" s="488"/>
      <c r="CZ522" s="488"/>
      <c r="DA522" s="363"/>
      <c r="DB522" s="488"/>
      <c r="DC522" s="488"/>
      <c r="DD522" s="488"/>
      <c r="DE522" s="489"/>
      <c r="DF522" s="488"/>
      <c r="DG522" s="488"/>
      <c r="DH522" s="363"/>
      <c r="DI522" s="488"/>
      <c r="DJ522" s="488"/>
      <c r="DK522" s="488"/>
      <c r="DL522" s="489"/>
      <c r="DM522" s="488"/>
      <c r="DN522" s="488"/>
      <c r="DO522" s="363"/>
      <c r="DP522" s="488"/>
      <c r="DQ522" s="488"/>
      <c r="DR522" s="488"/>
      <c r="DS522" s="489"/>
      <c r="DT522" s="488"/>
      <c r="DU522" s="488"/>
      <c r="DV522" s="363"/>
      <c r="DW522" s="488"/>
      <c r="DX522" s="488"/>
      <c r="DY522" s="488"/>
      <c r="DZ522" s="489"/>
      <c r="EA522" s="488"/>
      <c r="EB522" s="488"/>
      <c r="EC522" s="363"/>
      <c r="ED522" s="488"/>
      <c r="EE522" s="488"/>
      <c r="EF522" s="488"/>
      <c r="EG522" s="489"/>
      <c r="EH522" s="488"/>
      <c r="EI522" s="488"/>
      <c r="EJ522" s="363"/>
      <c r="EK522" s="488"/>
      <c r="EL522" s="488"/>
      <c r="EM522" s="488"/>
      <c r="EN522" s="489"/>
      <c r="EO522" s="488"/>
      <c r="EP522" s="488"/>
      <c r="EQ522" s="363"/>
    </row>
    <row r="523" spans="1:147" ht="10.199999999999999" hidden="1" customHeight="1" outlineLevel="1">
      <c r="A523" s="43" t="s">
        <v>100</v>
      </c>
      <c r="B523" s="48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3"/>
      <c r="O523" s="490"/>
      <c r="P523" s="490"/>
      <c r="Q523" s="490"/>
      <c r="R523" s="491"/>
      <c r="S523" s="490"/>
      <c r="T523" s="490"/>
      <c r="U523" s="338"/>
      <c r="V523" s="490"/>
      <c r="W523" s="490"/>
      <c r="X523" s="490"/>
      <c r="Y523" s="491"/>
      <c r="Z523" s="490"/>
      <c r="AA523" s="490"/>
      <c r="AB523" s="338"/>
      <c r="AC523" s="490"/>
      <c r="AD523" s="490"/>
      <c r="AE523" s="490"/>
      <c r="AF523" s="491"/>
      <c r="AG523" s="490"/>
      <c r="AH523" s="490"/>
      <c r="AI523" s="338">
        <f>AI552/AI108</f>
        <v>-34.67425199028667</v>
      </c>
      <c r="AJ523" s="490"/>
      <c r="AK523" s="490"/>
      <c r="AL523" s="490"/>
      <c r="AM523" s="491"/>
      <c r="AN523" s="490"/>
      <c r="AO523" s="490"/>
      <c r="AP523" s="338">
        <f t="shared" ref="AP523:AP526" si="1654">AI523*(1+AP$528)</f>
        <v>-34.67425199028667</v>
      </c>
      <c r="AQ523" s="490"/>
      <c r="AR523" s="490"/>
      <c r="AS523" s="490"/>
      <c r="AT523" s="491"/>
      <c r="AU523" s="490"/>
      <c r="AV523" s="490"/>
      <c r="AW523" s="338">
        <f>AP523*(1+AW$528)</f>
        <v>-34.154138210432372</v>
      </c>
      <c r="AX523" s="490"/>
      <c r="AY523" s="490"/>
      <c r="AZ523" s="490"/>
      <c r="BA523" s="491"/>
      <c r="BB523" s="490"/>
      <c r="BC523" s="490"/>
      <c r="BD523" s="338">
        <f>+AW523+9</f>
        <v>-25.154138210432372</v>
      </c>
      <c r="BE523" s="490"/>
      <c r="BF523" s="490"/>
      <c r="BG523" s="490"/>
      <c r="BH523" s="491"/>
      <c r="BI523" s="490"/>
      <c r="BJ523" s="490"/>
      <c r="BK523" s="338">
        <f t="shared" ref="BK523:BK526" si="1655">BD523*(1+BK$528)</f>
        <v>-25.657220974641021</v>
      </c>
      <c r="BL523" s="490"/>
      <c r="BM523" s="490"/>
      <c r="BN523" s="490"/>
      <c r="BO523" s="491"/>
      <c r="BP523" s="490"/>
      <c r="BQ523" s="490"/>
      <c r="BR523" s="338">
        <f>BK523*(1+BR$528)</f>
        <v>-25.657220974641021</v>
      </c>
      <c r="BS523" s="490"/>
      <c r="BT523" s="490"/>
      <c r="BU523" s="490"/>
      <c r="BV523" s="491"/>
      <c r="BW523" s="490"/>
      <c r="BX523" s="490"/>
      <c r="BY523" s="338">
        <f>BR523*(1+BY$528)</f>
        <v>-25.657220974641021</v>
      </c>
      <c r="BZ523" s="490"/>
      <c r="CA523" s="490"/>
      <c r="CB523" s="490"/>
      <c r="CC523" s="491"/>
      <c r="CD523" s="490"/>
      <c r="CE523" s="490"/>
      <c r="CF523" s="338">
        <f>BY523*(1+CF$528)</f>
        <v>-25.657220974641021</v>
      </c>
      <c r="CG523" s="490"/>
      <c r="CH523" s="490"/>
      <c r="CI523" s="490"/>
      <c r="CJ523" s="491"/>
      <c r="CK523" s="490"/>
      <c r="CL523" s="490"/>
      <c r="CM523" s="338">
        <f>CF523*(1+CM$528)</f>
        <v>-25.657220974641021</v>
      </c>
      <c r="CN523" s="490"/>
      <c r="CO523" s="490"/>
      <c r="CP523" s="490"/>
      <c r="CQ523" s="491"/>
      <c r="CR523" s="490"/>
      <c r="CS523" s="490"/>
      <c r="CT523" s="338"/>
      <c r="CU523" s="490"/>
      <c r="CV523" s="490"/>
      <c r="CW523" s="490"/>
      <c r="CX523" s="491"/>
      <c r="CY523" s="490"/>
      <c r="CZ523" s="490"/>
      <c r="DA523" s="338"/>
      <c r="DB523" s="490"/>
      <c r="DC523" s="490"/>
      <c r="DD523" s="490"/>
      <c r="DE523" s="491"/>
      <c r="DF523" s="490"/>
      <c r="DG523" s="490"/>
      <c r="DH523" s="338"/>
      <c r="DI523" s="490"/>
      <c r="DJ523" s="490"/>
      <c r="DK523" s="490"/>
      <c r="DL523" s="491"/>
      <c r="DM523" s="490"/>
      <c r="DN523" s="490"/>
      <c r="DO523" s="338"/>
      <c r="DP523" s="490"/>
      <c r="DQ523" s="490"/>
      <c r="DR523" s="490"/>
      <c r="DS523" s="491"/>
      <c r="DT523" s="490"/>
      <c r="DU523" s="490"/>
      <c r="DV523" s="338"/>
      <c r="DW523" s="490"/>
      <c r="DX523" s="490"/>
      <c r="DY523" s="490"/>
      <c r="DZ523" s="491"/>
      <c r="EA523" s="490"/>
      <c r="EB523" s="490"/>
      <c r="EC523" s="338"/>
      <c r="ED523" s="490"/>
      <c r="EE523" s="490"/>
      <c r="EF523" s="490"/>
      <c r="EG523" s="491"/>
      <c r="EH523" s="490"/>
      <c r="EI523" s="490"/>
      <c r="EJ523" s="338"/>
      <c r="EK523" s="490"/>
      <c r="EL523" s="490"/>
      <c r="EM523" s="490"/>
      <c r="EN523" s="491"/>
      <c r="EO523" s="490"/>
      <c r="EP523" s="490"/>
      <c r="EQ523" s="338"/>
    </row>
    <row r="524" spans="1:147" ht="10.199999999999999" hidden="1" customHeight="1" outlineLevel="1">
      <c r="A524" s="43" t="s">
        <v>101</v>
      </c>
      <c r="B524" s="48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3"/>
      <c r="O524" s="490"/>
      <c r="P524" s="490"/>
      <c r="Q524" s="490"/>
      <c r="R524" s="491"/>
      <c r="S524" s="490"/>
      <c r="T524" s="490"/>
      <c r="U524" s="338"/>
      <c r="V524" s="490"/>
      <c r="W524" s="490"/>
      <c r="X524" s="490"/>
      <c r="Y524" s="491"/>
      <c r="Z524" s="490"/>
      <c r="AA524" s="490"/>
      <c r="AB524" s="338"/>
      <c r="AC524" s="490"/>
      <c r="AD524" s="490"/>
      <c r="AE524" s="490"/>
      <c r="AF524" s="491"/>
      <c r="AG524" s="490"/>
      <c r="AH524" s="490"/>
      <c r="AI524" s="338">
        <f>AI553/AI109</f>
        <v>-41.347762131082085</v>
      </c>
      <c r="AJ524" s="490"/>
      <c r="AK524" s="490"/>
      <c r="AL524" s="490"/>
      <c r="AM524" s="491"/>
      <c r="AN524" s="490"/>
      <c r="AO524" s="490"/>
      <c r="AP524" s="338">
        <f t="shared" si="1654"/>
        <v>-41.347762131082085</v>
      </c>
      <c r="AQ524" s="490"/>
      <c r="AR524" s="490"/>
      <c r="AS524" s="490"/>
      <c r="AT524" s="491"/>
      <c r="AU524" s="490"/>
      <c r="AV524" s="490"/>
      <c r="AW524" s="338">
        <f>AP524*(1+AW$528)</f>
        <v>-40.727545699115851</v>
      </c>
      <c r="AX524" s="490"/>
      <c r="AY524" s="490"/>
      <c r="AZ524" s="490"/>
      <c r="BA524" s="491"/>
      <c r="BB524" s="490"/>
      <c r="BC524" s="490"/>
      <c r="BD524" s="338">
        <f>+AW524+9</f>
        <v>-31.727545699115851</v>
      </c>
      <c r="BE524" s="490"/>
      <c r="BF524" s="490"/>
      <c r="BG524" s="490"/>
      <c r="BH524" s="491"/>
      <c r="BI524" s="490"/>
      <c r="BJ524" s="490"/>
      <c r="BK524" s="338">
        <f t="shared" si="1655"/>
        <v>-32.362096613098167</v>
      </c>
      <c r="BL524" s="490"/>
      <c r="BM524" s="490"/>
      <c r="BN524" s="490"/>
      <c r="BO524" s="491"/>
      <c r="BP524" s="490"/>
      <c r="BQ524" s="490"/>
      <c r="BR524" s="338">
        <f>BK524*(1+BR$528)</f>
        <v>-32.362096613098167</v>
      </c>
      <c r="BS524" s="490"/>
      <c r="BT524" s="490"/>
      <c r="BU524" s="490"/>
      <c r="BV524" s="491"/>
      <c r="BW524" s="490"/>
      <c r="BX524" s="490"/>
      <c r="BY524" s="338">
        <f>BR524*(1+BY$528)</f>
        <v>-32.362096613098167</v>
      </c>
      <c r="BZ524" s="490"/>
      <c r="CA524" s="490"/>
      <c r="CB524" s="490"/>
      <c r="CC524" s="491"/>
      <c r="CD524" s="490"/>
      <c r="CE524" s="490"/>
      <c r="CF524" s="338">
        <f>BY524*(1+CF$528)</f>
        <v>-32.362096613098167</v>
      </c>
      <c r="CG524" s="490"/>
      <c r="CH524" s="490"/>
      <c r="CI524" s="490"/>
      <c r="CJ524" s="491"/>
      <c r="CK524" s="490"/>
      <c r="CL524" s="490"/>
      <c r="CM524" s="338">
        <f>CF524*(1+CM$528)</f>
        <v>-32.362096613098167</v>
      </c>
      <c r="CN524" s="490"/>
      <c r="CO524" s="490"/>
      <c r="CP524" s="490"/>
      <c r="CQ524" s="491"/>
      <c r="CR524" s="490"/>
      <c r="CS524" s="490"/>
      <c r="CT524" s="338"/>
      <c r="CU524" s="490"/>
      <c r="CV524" s="490"/>
      <c r="CW524" s="490"/>
      <c r="CX524" s="491"/>
      <c r="CY524" s="490"/>
      <c r="CZ524" s="490"/>
      <c r="DA524" s="338"/>
      <c r="DB524" s="490"/>
      <c r="DC524" s="490"/>
      <c r="DD524" s="490"/>
      <c r="DE524" s="491"/>
      <c r="DF524" s="490"/>
      <c r="DG524" s="490"/>
      <c r="DH524" s="338"/>
      <c r="DI524" s="490"/>
      <c r="DJ524" s="490"/>
      <c r="DK524" s="490"/>
      <c r="DL524" s="491"/>
      <c r="DM524" s="490"/>
      <c r="DN524" s="490"/>
      <c r="DO524" s="338"/>
      <c r="DP524" s="490"/>
      <c r="DQ524" s="490"/>
      <c r="DR524" s="490"/>
      <c r="DS524" s="491"/>
      <c r="DT524" s="490"/>
      <c r="DU524" s="490"/>
      <c r="DV524" s="338"/>
      <c r="DW524" s="490"/>
      <c r="DX524" s="490"/>
      <c r="DY524" s="490"/>
      <c r="DZ524" s="491"/>
      <c r="EA524" s="490"/>
      <c r="EB524" s="490"/>
      <c r="EC524" s="338"/>
      <c r="ED524" s="490"/>
      <c r="EE524" s="490"/>
      <c r="EF524" s="490"/>
      <c r="EG524" s="491"/>
      <c r="EH524" s="490"/>
      <c r="EI524" s="490"/>
      <c r="EJ524" s="338"/>
      <c r="EK524" s="490"/>
      <c r="EL524" s="490"/>
      <c r="EM524" s="490"/>
      <c r="EN524" s="491"/>
      <c r="EO524" s="490"/>
      <c r="EP524" s="490"/>
      <c r="EQ524" s="338"/>
    </row>
    <row r="525" spans="1:147" ht="10.199999999999999" hidden="1" customHeight="1" outlineLevel="1">
      <c r="A525" s="43" t="s">
        <v>102</v>
      </c>
      <c r="B525" s="48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3"/>
      <c r="O525" s="490"/>
      <c r="P525" s="490"/>
      <c r="Q525" s="490"/>
      <c r="R525" s="491"/>
      <c r="S525" s="490"/>
      <c r="T525" s="490"/>
      <c r="U525" s="338"/>
      <c r="V525" s="490"/>
      <c r="W525" s="490"/>
      <c r="X525" s="490"/>
      <c r="Y525" s="491"/>
      <c r="Z525" s="490"/>
      <c r="AA525" s="490"/>
      <c r="AB525" s="338"/>
      <c r="AC525" s="490"/>
      <c r="AD525" s="490"/>
      <c r="AE525" s="490"/>
      <c r="AF525" s="491"/>
      <c r="AG525" s="490"/>
      <c r="AH525" s="490"/>
      <c r="AI525" s="338">
        <f>AI554/AI110</f>
        <v>-45.267865990010868</v>
      </c>
      <c r="AJ525" s="490"/>
      <c r="AK525" s="490"/>
      <c r="AL525" s="490"/>
      <c r="AM525" s="491"/>
      <c r="AN525" s="490"/>
      <c r="AO525" s="490"/>
      <c r="AP525" s="338">
        <f t="shared" si="1654"/>
        <v>-45.267865990010868</v>
      </c>
      <c r="AQ525" s="490"/>
      <c r="AR525" s="490"/>
      <c r="AS525" s="490"/>
      <c r="AT525" s="491"/>
      <c r="AU525" s="490"/>
      <c r="AV525" s="490"/>
      <c r="AW525" s="338">
        <f>AP525*(1+AW$528)</f>
        <v>-44.588848000160702</v>
      </c>
      <c r="AX525" s="490"/>
      <c r="AY525" s="490"/>
      <c r="AZ525" s="490"/>
      <c r="BA525" s="491"/>
      <c r="BB525" s="490"/>
      <c r="BC525" s="490"/>
      <c r="BD525" s="338">
        <f>+AW525+9</f>
        <v>-35.588848000160702</v>
      </c>
      <c r="BE525" s="490"/>
      <c r="BF525" s="490"/>
      <c r="BG525" s="490"/>
      <c r="BH525" s="491"/>
      <c r="BI525" s="490"/>
      <c r="BJ525" s="490"/>
      <c r="BK525" s="338">
        <f t="shared" si="1655"/>
        <v>-36.300624960163915</v>
      </c>
      <c r="BL525" s="490"/>
      <c r="BM525" s="490"/>
      <c r="BN525" s="490"/>
      <c r="BO525" s="491"/>
      <c r="BP525" s="490"/>
      <c r="BQ525" s="490"/>
      <c r="BR525" s="338">
        <f>BK525*(1+BR$528)</f>
        <v>-36.300624960163915</v>
      </c>
      <c r="BS525" s="490"/>
      <c r="BT525" s="490"/>
      <c r="BU525" s="490"/>
      <c r="BV525" s="491"/>
      <c r="BW525" s="490"/>
      <c r="BX525" s="490"/>
      <c r="BY525" s="338">
        <f>BR525*(1+BY$528)</f>
        <v>-36.300624960163915</v>
      </c>
      <c r="BZ525" s="490"/>
      <c r="CA525" s="490"/>
      <c r="CB525" s="490"/>
      <c r="CC525" s="491"/>
      <c r="CD525" s="490"/>
      <c r="CE525" s="490"/>
      <c r="CF525" s="338">
        <f>BY525*(1+CF$528)</f>
        <v>-36.300624960163915</v>
      </c>
      <c r="CG525" s="490"/>
      <c r="CH525" s="490"/>
      <c r="CI525" s="490"/>
      <c r="CJ525" s="491"/>
      <c r="CK525" s="490"/>
      <c r="CL525" s="490"/>
      <c r="CM525" s="338">
        <f>CF525*(1+CM$528)</f>
        <v>-36.300624960163915</v>
      </c>
      <c r="CN525" s="490"/>
      <c r="CO525" s="490"/>
      <c r="CP525" s="490"/>
      <c r="CQ525" s="491"/>
      <c r="CR525" s="490"/>
      <c r="CS525" s="490"/>
      <c r="CT525" s="338"/>
      <c r="CU525" s="490"/>
      <c r="CV525" s="490"/>
      <c r="CW525" s="490"/>
      <c r="CX525" s="491"/>
      <c r="CY525" s="490"/>
      <c r="CZ525" s="490"/>
      <c r="DA525" s="338"/>
      <c r="DB525" s="490"/>
      <c r="DC525" s="490"/>
      <c r="DD525" s="490"/>
      <c r="DE525" s="491"/>
      <c r="DF525" s="490"/>
      <c r="DG525" s="490"/>
      <c r="DH525" s="338"/>
      <c r="DI525" s="490"/>
      <c r="DJ525" s="490"/>
      <c r="DK525" s="490"/>
      <c r="DL525" s="491"/>
      <c r="DM525" s="490"/>
      <c r="DN525" s="490"/>
      <c r="DO525" s="338"/>
      <c r="DP525" s="490"/>
      <c r="DQ525" s="490"/>
      <c r="DR525" s="490"/>
      <c r="DS525" s="491"/>
      <c r="DT525" s="490"/>
      <c r="DU525" s="490"/>
      <c r="DV525" s="338"/>
      <c r="DW525" s="490"/>
      <c r="DX525" s="490"/>
      <c r="DY525" s="490"/>
      <c r="DZ525" s="491"/>
      <c r="EA525" s="490"/>
      <c r="EB525" s="490"/>
      <c r="EC525" s="338"/>
      <c r="ED525" s="490"/>
      <c r="EE525" s="490"/>
      <c r="EF525" s="490"/>
      <c r="EG525" s="491"/>
      <c r="EH525" s="490"/>
      <c r="EI525" s="490"/>
      <c r="EJ525" s="338"/>
      <c r="EK525" s="490"/>
      <c r="EL525" s="490"/>
      <c r="EM525" s="490"/>
      <c r="EN525" s="491"/>
      <c r="EO525" s="490"/>
      <c r="EP525" s="490"/>
      <c r="EQ525" s="338"/>
    </row>
    <row r="526" spans="1:147" ht="10.199999999999999" hidden="1" customHeight="1" outlineLevel="1">
      <c r="A526" s="43" t="s">
        <v>202</v>
      </c>
      <c r="B526" s="48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3"/>
      <c r="O526" s="490"/>
      <c r="P526" s="490"/>
      <c r="Q526" s="490"/>
      <c r="R526" s="491"/>
      <c r="S526" s="490"/>
      <c r="T526" s="490"/>
      <c r="U526" s="338"/>
      <c r="V526" s="490"/>
      <c r="W526" s="490"/>
      <c r="X526" s="490"/>
      <c r="Y526" s="491"/>
      <c r="Z526" s="490"/>
      <c r="AA526" s="490"/>
      <c r="AB526" s="338"/>
      <c r="AC526" s="490"/>
      <c r="AD526" s="490"/>
      <c r="AE526" s="490"/>
      <c r="AF526" s="491"/>
      <c r="AG526" s="490"/>
      <c r="AH526" s="490"/>
      <c r="AI526" s="338">
        <f>AI555/AI111</f>
        <v>-53.061405804785934</v>
      </c>
      <c r="AJ526" s="490"/>
      <c r="AK526" s="490"/>
      <c r="AL526" s="490"/>
      <c r="AM526" s="491"/>
      <c r="AN526" s="490"/>
      <c r="AO526" s="490"/>
      <c r="AP526" s="338">
        <f t="shared" si="1654"/>
        <v>-53.061405804785934</v>
      </c>
      <c r="AQ526" s="490"/>
      <c r="AR526" s="490"/>
      <c r="AS526" s="490"/>
      <c r="AT526" s="491"/>
      <c r="AU526" s="490"/>
      <c r="AV526" s="490"/>
      <c r="AW526" s="338">
        <f>AP526*(1+AW$528)</f>
        <v>-52.265484717714145</v>
      </c>
      <c r="AX526" s="490"/>
      <c r="AY526" s="490"/>
      <c r="AZ526" s="490"/>
      <c r="BA526" s="491"/>
      <c r="BB526" s="490"/>
      <c r="BC526" s="490"/>
      <c r="BD526" s="338">
        <f>+AW526+9</f>
        <v>-43.265484717714145</v>
      </c>
      <c r="BE526" s="490"/>
      <c r="BF526" s="490"/>
      <c r="BG526" s="490"/>
      <c r="BH526" s="491"/>
      <c r="BI526" s="490"/>
      <c r="BJ526" s="490"/>
      <c r="BK526" s="338">
        <f t="shared" si="1655"/>
        <v>-44.130794412068425</v>
      </c>
      <c r="BL526" s="490"/>
      <c r="BM526" s="490"/>
      <c r="BN526" s="490"/>
      <c r="BO526" s="491"/>
      <c r="BP526" s="490"/>
      <c r="BQ526" s="490"/>
      <c r="BR526" s="338">
        <f>BK526*(1+BR$528)</f>
        <v>-44.130794412068425</v>
      </c>
      <c r="BS526" s="490"/>
      <c r="BT526" s="490"/>
      <c r="BU526" s="490"/>
      <c r="BV526" s="491"/>
      <c r="BW526" s="490"/>
      <c r="BX526" s="490"/>
      <c r="BY526" s="338">
        <f>BR526*(1+BY$528)</f>
        <v>-44.130794412068425</v>
      </c>
      <c r="BZ526" s="490"/>
      <c r="CA526" s="490"/>
      <c r="CB526" s="490"/>
      <c r="CC526" s="491"/>
      <c r="CD526" s="490"/>
      <c r="CE526" s="490"/>
      <c r="CF526" s="338">
        <f>BY526*(1+CF$528)</f>
        <v>-44.130794412068425</v>
      </c>
      <c r="CG526" s="490"/>
      <c r="CH526" s="490"/>
      <c r="CI526" s="490"/>
      <c r="CJ526" s="491"/>
      <c r="CK526" s="490"/>
      <c r="CL526" s="490"/>
      <c r="CM526" s="338">
        <f>CF526*(1+CM$528)</f>
        <v>-44.130794412068425</v>
      </c>
      <c r="CN526" s="490"/>
      <c r="CO526" s="490"/>
      <c r="CP526" s="490"/>
      <c r="CQ526" s="491"/>
      <c r="CR526" s="490"/>
      <c r="CS526" s="490"/>
      <c r="CT526" s="338"/>
      <c r="CU526" s="490"/>
      <c r="CV526" s="490"/>
      <c r="CW526" s="490"/>
      <c r="CX526" s="491"/>
      <c r="CY526" s="490"/>
      <c r="CZ526" s="490"/>
      <c r="DA526" s="338"/>
      <c r="DB526" s="490"/>
      <c r="DC526" s="490"/>
      <c r="DD526" s="490"/>
      <c r="DE526" s="491"/>
      <c r="DF526" s="490"/>
      <c r="DG526" s="490"/>
      <c r="DH526" s="338"/>
      <c r="DI526" s="490"/>
      <c r="DJ526" s="490"/>
      <c r="DK526" s="490"/>
      <c r="DL526" s="491"/>
      <c r="DM526" s="490"/>
      <c r="DN526" s="490"/>
      <c r="DO526" s="338"/>
      <c r="DP526" s="490"/>
      <c r="DQ526" s="490"/>
      <c r="DR526" s="490"/>
      <c r="DS526" s="491"/>
      <c r="DT526" s="490"/>
      <c r="DU526" s="490"/>
      <c r="DV526" s="338"/>
      <c r="DW526" s="490"/>
      <c r="DX526" s="490"/>
      <c r="DY526" s="490"/>
      <c r="DZ526" s="491"/>
      <c r="EA526" s="490"/>
      <c r="EB526" s="490"/>
      <c r="EC526" s="338"/>
      <c r="ED526" s="490"/>
      <c r="EE526" s="490"/>
      <c r="EF526" s="490"/>
      <c r="EG526" s="491"/>
      <c r="EH526" s="490"/>
      <c r="EI526" s="490"/>
      <c r="EJ526" s="338"/>
      <c r="EK526" s="490"/>
      <c r="EL526" s="490"/>
      <c r="EM526" s="490"/>
      <c r="EN526" s="491"/>
      <c r="EO526" s="490"/>
      <c r="EP526" s="490"/>
      <c r="EQ526" s="338"/>
    </row>
    <row r="527" spans="1:147" ht="10.199999999999999" hidden="1" customHeight="1" outlineLevel="1">
      <c r="A527" s="48" t="s">
        <v>377</v>
      </c>
      <c r="B527" s="48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3"/>
      <c r="O527" s="492"/>
      <c r="P527" s="492"/>
      <c r="Q527" s="492"/>
      <c r="R527" s="493"/>
      <c r="S527" s="492"/>
      <c r="T527" s="492"/>
      <c r="U527" s="338"/>
      <c r="V527" s="492"/>
      <c r="W527" s="492"/>
      <c r="X527" s="492"/>
      <c r="Y527" s="493"/>
      <c r="Z527" s="492"/>
      <c r="AA527" s="492"/>
      <c r="AB527" s="338"/>
      <c r="AC527" s="492"/>
      <c r="AD527" s="492"/>
      <c r="AE527" s="492"/>
      <c r="AF527" s="493"/>
      <c r="AG527" s="492"/>
      <c r="AH527" s="492"/>
      <c r="AI527" s="338">
        <f>AI556/AI112</f>
        <v>-47.975269695315546</v>
      </c>
      <c r="AJ527" s="492"/>
      <c r="AK527" s="492"/>
      <c r="AL527" s="492"/>
      <c r="AM527" s="493"/>
      <c r="AN527" s="492"/>
      <c r="AO527" s="492"/>
      <c r="AP527" s="338">
        <f>AP556/AP112</f>
        <v>-48.796820422265064</v>
      </c>
      <c r="AQ527" s="492"/>
      <c r="AR527" s="492"/>
      <c r="AS527" s="492"/>
      <c r="AT527" s="493"/>
      <c r="AU527" s="492"/>
      <c r="AV527" s="492"/>
      <c r="AW527" s="338">
        <f>AW556/AW112</f>
        <v>-48.212751173375111</v>
      </c>
      <c r="AX527" s="492"/>
      <c r="AY527" s="492"/>
      <c r="AZ527" s="492"/>
      <c r="BA527" s="493"/>
      <c r="BB527" s="492"/>
      <c r="BC527" s="492"/>
      <c r="BD527" s="338">
        <f>BD556/BD112</f>
        <v>-39.212751173375111</v>
      </c>
      <c r="BE527" s="492"/>
      <c r="BF527" s="492"/>
      <c r="BG527" s="492"/>
      <c r="BH527" s="493"/>
      <c r="BI527" s="492"/>
      <c r="BJ527" s="492"/>
      <c r="BK527" s="338">
        <f>BK556/BK112</f>
        <v>-39.399285580839006</v>
      </c>
      <c r="BL527" s="492"/>
      <c r="BM527" s="492"/>
      <c r="BN527" s="492"/>
      <c r="BO527" s="493"/>
      <c r="BP527" s="492"/>
      <c r="BQ527" s="492"/>
      <c r="BR527" s="338">
        <f>BR556/BR112</f>
        <v>-39.397243924824451</v>
      </c>
      <c r="BS527" s="492"/>
      <c r="BT527" s="492"/>
      <c r="BU527" s="492"/>
      <c r="BV527" s="493"/>
      <c r="BW527" s="492"/>
      <c r="BX527" s="492"/>
      <c r="BY527" s="338">
        <f>BY556/BY112</f>
        <v>-40.211020961893475</v>
      </c>
      <c r="BZ527" s="492"/>
      <c r="CA527" s="492"/>
      <c r="CB527" s="492"/>
      <c r="CC527" s="493"/>
      <c r="CD527" s="492"/>
      <c r="CE527" s="492"/>
      <c r="CF527" s="338">
        <f>CF556/CF112</f>
        <v>-43.150069595487565</v>
      </c>
      <c r="CG527" s="492"/>
      <c r="CH527" s="492"/>
      <c r="CI527" s="492"/>
      <c r="CJ527" s="493"/>
      <c r="CK527" s="492"/>
      <c r="CL527" s="492"/>
      <c r="CM527" s="338" t="e">
        <f>CM556/CM112</f>
        <v>#DIV/0!</v>
      </c>
      <c r="CN527" s="492"/>
      <c r="CO527" s="492"/>
      <c r="CP527" s="492"/>
      <c r="CQ527" s="493"/>
      <c r="CR527" s="492"/>
      <c r="CS527" s="492"/>
      <c r="CT527" s="338"/>
      <c r="CU527" s="492"/>
      <c r="CV527" s="492"/>
      <c r="CW527" s="492"/>
      <c r="CX527" s="493"/>
      <c r="CY527" s="492"/>
      <c r="CZ527" s="492"/>
      <c r="DA527" s="338"/>
      <c r="DB527" s="492"/>
      <c r="DC527" s="492"/>
      <c r="DD527" s="492"/>
      <c r="DE527" s="493"/>
      <c r="DF527" s="492"/>
      <c r="DG527" s="492"/>
      <c r="DH527" s="338"/>
      <c r="DI527" s="492"/>
      <c r="DJ527" s="492"/>
      <c r="DK527" s="492"/>
      <c r="DL527" s="493"/>
      <c r="DM527" s="492"/>
      <c r="DN527" s="492"/>
      <c r="DO527" s="338"/>
      <c r="DP527" s="492"/>
      <c r="DQ527" s="492"/>
      <c r="DR527" s="492"/>
      <c r="DS527" s="493"/>
      <c r="DT527" s="492"/>
      <c r="DU527" s="492"/>
      <c r="DV527" s="338"/>
      <c r="DW527" s="492"/>
      <c r="DX527" s="492"/>
      <c r="DY527" s="492"/>
      <c r="DZ527" s="493"/>
      <c r="EA527" s="492"/>
      <c r="EB527" s="492"/>
      <c r="EC527" s="338"/>
      <c r="ED527" s="492"/>
      <c r="EE527" s="492"/>
      <c r="EF527" s="492"/>
      <c r="EG527" s="493"/>
      <c r="EH527" s="492"/>
      <c r="EI527" s="492"/>
      <c r="EJ527" s="338"/>
      <c r="EK527" s="492"/>
      <c r="EL527" s="492"/>
      <c r="EM527" s="492"/>
      <c r="EN527" s="493"/>
      <c r="EO527" s="492"/>
      <c r="EP527" s="492"/>
      <c r="EQ527" s="338"/>
    </row>
    <row r="528" spans="1:147" ht="10.199999999999999" hidden="1" customHeight="1" outlineLevel="1">
      <c r="A528" s="51" t="s">
        <v>528</v>
      </c>
      <c r="B528" s="48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3"/>
      <c r="O528" s="494"/>
      <c r="P528" s="494"/>
      <c r="Q528" s="494"/>
      <c r="R528" s="495"/>
      <c r="S528" s="494"/>
      <c r="T528" s="494"/>
      <c r="U528" s="338"/>
      <c r="V528" s="494"/>
      <c r="W528" s="494"/>
      <c r="X528" s="494"/>
      <c r="Y528" s="495"/>
      <c r="Z528" s="494"/>
      <c r="AA528" s="494"/>
      <c r="AB528" s="338"/>
      <c r="AC528" s="494"/>
      <c r="AD528" s="494"/>
      <c r="AE528" s="494"/>
      <c r="AF528" s="495"/>
      <c r="AG528" s="494"/>
      <c r="AH528" s="494"/>
      <c r="AI528" s="338"/>
      <c r="AJ528" s="494"/>
      <c r="AK528" s="494"/>
      <c r="AL528" s="494"/>
      <c r="AM528" s="495"/>
      <c r="AN528" s="494"/>
      <c r="AO528" s="494"/>
      <c r="AP528" s="338">
        <v>0</v>
      </c>
      <c r="AQ528" s="494"/>
      <c r="AR528" s="494"/>
      <c r="AS528" s="494"/>
      <c r="AT528" s="495"/>
      <c r="AU528" s="494"/>
      <c r="AV528" s="494"/>
      <c r="AW528" s="338">
        <v>-1.4999999999999999E-2</v>
      </c>
      <c r="AX528" s="494"/>
      <c r="AY528" s="494"/>
      <c r="AZ528" s="494"/>
      <c r="BA528" s="495"/>
      <c r="BB528" s="494"/>
      <c r="BC528" s="494"/>
      <c r="BD528" s="338" t="s">
        <v>654</v>
      </c>
      <c r="BE528" s="494"/>
      <c r="BF528" s="494"/>
      <c r="BG528" s="494"/>
      <c r="BH528" s="495"/>
      <c r="BI528" s="494"/>
      <c r="BJ528" s="494"/>
      <c r="BK528" s="338">
        <v>0.02</v>
      </c>
      <c r="BL528" s="494"/>
      <c r="BM528" s="494"/>
      <c r="BN528" s="494"/>
      <c r="BO528" s="495"/>
      <c r="BP528" s="494"/>
      <c r="BQ528" s="494"/>
      <c r="BR528" s="338">
        <v>0</v>
      </c>
      <c r="BS528" s="494"/>
      <c r="BT528" s="494"/>
      <c r="BU528" s="494"/>
      <c r="BV528" s="495"/>
      <c r="BW528" s="494"/>
      <c r="BX528" s="494"/>
      <c r="BY528" s="338">
        <v>0</v>
      </c>
      <c r="BZ528" s="494"/>
      <c r="CA528" s="494"/>
      <c r="CB528" s="494"/>
      <c r="CC528" s="495"/>
      <c r="CD528" s="494"/>
      <c r="CE528" s="494"/>
      <c r="CF528" s="338">
        <v>0</v>
      </c>
      <c r="CG528" s="494"/>
      <c r="CH528" s="494"/>
      <c r="CI528" s="494"/>
      <c r="CJ528" s="495"/>
      <c r="CK528" s="494"/>
      <c r="CL528" s="494"/>
      <c r="CM528" s="338">
        <v>0</v>
      </c>
      <c r="CN528" s="494"/>
      <c r="CO528" s="494"/>
      <c r="CP528" s="494"/>
      <c r="CQ528" s="495"/>
      <c r="CR528" s="494"/>
      <c r="CS528" s="494"/>
      <c r="CT528" s="338"/>
      <c r="CU528" s="494"/>
      <c r="CV528" s="494"/>
      <c r="CW528" s="494"/>
      <c r="CX528" s="495"/>
      <c r="CY528" s="494"/>
      <c r="CZ528" s="494"/>
      <c r="DA528" s="338"/>
      <c r="DB528" s="494"/>
      <c r="DC528" s="494"/>
      <c r="DD528" s="494"/>
      <c r="DE528" s="495"/>
      <c r="DF528" s="494"/>
      <c r="DG528" s="494"/>
      <c r="DH528" s="338"/>
      <c r="DI528" s="494"/>
      <c r="DJ528" s="494"/>
      <c r="DK528" s="494"/>
      <c r="DL528" s="495"/>
      <c r="DM528" s="494"/>
      <c r="DN528" s="494"/>
      <c r="DO528" s="338"/>
      <c r="DP528" s="494"/>
      <c r="DQ528" s="494"/>
      <c r="DR528" s="494"/>
      <c r="DS528" s="495"/>
      <c r="DT528" s="494"/>
      <c r="DU528" s="494"/>
      <c r="DV528" s="338"/>
      <c r="DW528" s="494"/>
      <c r="DX528" s="494"/>
      <c r="DY528" s="494"/>
      <c r="DZ528" s="495"/>
      <c r="EA528" s="494"/>
      <c r="EB528" s="494"/>
      <c r="EC528" s="338"/>
      <c r="ED528" s="494"/>
      <c r="EE528" s="494"/>
      <c r="EF528" s="494"/>
      <c r="EG528" s="495"/>
      <c r="EH528" s="494"/>
      <c r="EI528" s="494"/>
      <c r="EJ528" s="338"/>
      <c r="EK528" s="494"/>
      <c r="EL528" s="494"/>
      <c r="EM528" s="494"/>
      <c r="EN528" s="495"/>
      <c r="EO528" s="494"/>
      <c r="EP528" s="494"/>
      <c r="EQ528" s="338"/>
    </row>
    <row r="529" spans="1:147" ht="10.199999999999999" hidden="1" customHeight="1" outlineLevel="1">
      <c r="A529" s="108" t="s">
        <v>366</v>
      </c>
      <c r="B529" s="48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3"/>
      <c r="O529" s="490"/>
      <c r="P529" s="490"/>
      <c r="Q529" s="490"/>
      <c r="R529" s="491"/>
      <c r="S529" s="490"/>
      <c r="T529" s="490"/>
      <c r="U529" s="364"/>
      <c r="V529" s="490"/>
      <c r="W529" s="490"/>
      <c r="X529" s="490"/>
      <c r="Y529" s="491"/>
      <c r="Z529" s="490"/>
      <c r="AA529" s="490"/>
      <c r="AB529" s="364"/>
      <c r="AC529" s="490"/>
      <c r="AD529" s="490"/>
      <c r="AE529" s="490"/>
      <c r="AF529" s="491"/>
      <c r="AG529" s="490"/>
      <c r="AH529" s="490"/>
      <c r="AI529" s="364"/>
      <c r="AJ529" s="490"/>
      <c r="AK529" s="490"/>
      <c r="AL529" s="490"/>
      <c r="AM529" s="491"/>
      <c r="AN529" s="490"/>
      <c r="AO529" s="490"/>
      <c r="AP529" s="364"/>
      <c r="AQ529" s="490"/>
      <c r="AR529" s="490"/>
      <c r="AS529" s="490"/>
      <c r="AT529" s="491"/>
      <c r="AU529" s="490"/>
      <c r="AV529" s="490"/>
      <c r="AW529" s="364"/>
      <c r="AX529" s="490"/>
      <c r="AY529" s="490"/>
      <c r="AZ529" s="490"/>
      <c r="BA529" s="491"/>
      <c r="BB529" s="490"/>
      <c r="BC529" s="490"/>
      <c r="BD529" s="364">
        <f>+BD530+BK529-BK530</f>
        <v>-35</v>
      </c>
      <c r="BE529" s="490"/>
      <c r="BF529" s="490"/>
      <c r="BG529" s="490"/>
      <c r="BH529" s="491"/>
      <c r="BI529" s="490"/>
      <c r="BJ529" s="490"/>
      <c r="BK529" s="364">
        <v>-35</v>
      </c>
      <c r="BL529" s="490"/>
      <c r="BM529" s="490"/>
      <c r="BN529" s="490"/>
      <c r="BO529" s="491"/>
      <c r="BP529" s="490"/>
      <c r="BQ529" s="490"/>
      <c r="BR529" s="364">
        <f>BK529*(1+BR$533)</f>
        <v>-35.700000000000003</v>
      </c>
      <c r="BS529" s="490"/>
      <c r="BT529" s="490"/>
      <c r="BU529" s="490"/>
      <c r="BV529" s="491"/>
      <c r="BW529" s="490"/>
      <c r="BX529" s="490"/>
      <c r="BY529" s="364">
        <f>BR529*(1+BY$533)</f>
        <v>-39.091500000000003</v>
      </c>
      <c r="BZ529" s="490"/>
      <c r="CA529" s="490"/>
      <c r="CB529" s="490"/>
      <c r="CC529" s="491"/>
      <c r="CD529" s="490"/>
      <c r="CE529" s="490"/>
      <c r="CF529" s="364">
        <f>BY529*(1+CF$533)</f>
        <v>-40.264245000000003</v>
      </c>
      <c r="CG529" s="490"/>
      <c r="CH529" s="490"/>
      <c r="CI529" s="490"/>
      <c r="CJ529" s="491"/>
      <c r="CK529" s="490"/>
      <c r="CL529" s="490"/>
      <c r="CM529" s="364">
        <f>CF529*(1+CM$533)</f>
        <v>-41.874814800000003</v>
      </c>
      <c r="CN529" s="490"/>
      <c r="CO529" s="490"/>
      <c r="CP529" s="490"/>
      <c r="CQ529" s="491"/>
      <c r="CR529" s="490"/>
      <c r="CS529" s="490"/>
      <c r="CT529" s="364">
        <f>CM529*(1+CT$533)</f>
        <v>-44.387303688000003</v>
      </c>
      <c r="CU529" s="490"/>
      <c r="CV529" s="490"/>
      <c r="CW529" s="490"/>
      <c r="CX529" s="491"/>
      <c r="CY529" s="490"/>
      <c r="CZ529" s="490"/>
      <c r="DA529" s="364">
        <f>CT529*(1+DA$533)</f>
        <v>-47.050541909280007</v>
      </c>
      <c r="DB529" s="490"/>
      <c r="DC529" s="490"/>
      <c r="DD529" s="490"/>
      <c r="DE529" s="491"/>
      <c r="DF529" s="490"/>
      <c r="DG529" s="490"/>
      <c r="DH529" s="364">
        <f>DA529*(1+DH$533)</f>
        <v>-49.873574423836807</v>
      </c>
      <c r="DI529" s="490"/>
      <c r="DJ529" s="490"/>
      <c r="DK529" s="490"/>
      <c r="DL529" s="491"/>
      <c r="DM529" s="490"/>
      <c r="DN529" s="490"/>
      <c r="DO529" s="364">
        <f>DH529*(1+DO$533)</f>
        <v>-52.865988889267015</v>
      </c>
      <c r="DP529" s="490"/>
      <c r="DQ529" s="490"/>
      <c r="DR529" s="490"/>
      <c r="DS529" s="491"/>
      <c r="DT529" s="490"/>
      <c r="DU529" s="490"/>
      <c r="DV529" s="364">
        <f>DO529*(1+DV$533)</f>
        <v>-56.037948222623037</v>
      </c>
      <c r="DW529" s="490"/>
      <c r="DX529" s="490"/>
      <c r="DY529" s="490"/>
      <c r="DZ529" s="491"/>
      <c r="EA529" s="490"/>
      <c r="EB529" s="490"/>
      <c r="EC529" s="364">
        <f>DV529*(1+EC$533)</f>
        <v>-59.400225115980419</v>
      </c>
      <c r="ED529" s="490"/>
      <c r="EE529" s="490"/>
      <c r="EF529" s="490"/>
      <c r="EG529" s="491"/>
      <c r="EH529" s="490"/>
      <c r="EI529" s="490"/>
      <c r="EJ529" s="364">
        <f>EC529*(1+EJ$533)</f>
        <v>-62.964238622939249</v>
      </c>
      <c r="EK529" s="490"/>
      <c r="EL529" s="490"/>
      <c r="EM529" s="490"/>
      <c r="EN529" s="491"/>
      <c r="EO529" s="490"/>
      <c r="EP529" s="490"/>
      <c r="EQ529" s="364">
        <f>EJ529*(1+EQ$533)</f>
        <v>-66.742092940315601</v>
      </c>
    </row>
    <row r="530" spans="1:147" ht="10.199999999999999" hidden="1" customHeight="1" outlineLevel="1">
      <c r="A530" s="108" t="s">
        <v>378</v>
      </c>
      <c r="B530" s="48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3"/>
      <c r="O530" s="490"/>
      <c r="P530" s="490"/>
      <c r="Q530" s="490"/>
      <c r="R530" s="491"/>
      <c r="S530" s="490"/>
      <c r="T530" s="490"/>
      <c r="U530" s="364"/>
      <c r="V530" s="490"/>
      <c r="W530" s="490"/>
      <c r="X530" s="490"/>
      <c r="Y530" s="491"/>
      <c r="Z530" s="490"/>
      <c r="AA530" s="490"/>
      <c r="AB530" s="364"/>
      <c r="AC530" s="490"/>
      <c r="AD530" s="490"/>
      <c r="AE530" s="490"/>
      <c r="AF530" s="491"/>
      <c r="AG530" s="490"/>
      <c r="AH530" s="490"/>
      <c r="AI530" s="364"/>
      <c r="AJ530" s="490"/>
      <c r="AK530" s="490"/>
      <c r="AL530" s="490"/>
      <c r="AM530" s="491"/>
      <c r="AN530" s="490"/>
      <c r="AO530" s="490"/>
      <c r="AP530" s="364">
        <f>AP558/AP115</f>
        <v>-47.802149999999997</v>
      </c>
      <c r="AQ530" s="490"/>
      <c r="AR530" s="490"/>
      <c r="AS530" s="490"/>
      <c r="AT530" s="491"/>
      <c r="AU530" s="490"/>
      <c r="AV530" s="490"/>
      <c r="AW530" s="364">
        <f>AP530*(1+AW$533)</f>
        <v>-46.607096249999998</v>
      </c>
      <c r="AX530" s="490"/>
      <c r="AY530" s="490"/>
      <c r="AZ530" s="490"/>
      <c r="BA530" s="491"/>
      <c r="BB530" s="490"/>
      <c r="BC530" s="490"/>
      <c r="BD530" s="364">
        <f>+AW530+9</f>
        <v>-37.607096249999998</v>
      </c>
      <c r="BE530" s="490"/>
      <c r="BF530" s="490"/>
      <c r="BG530" s="490"/>
      <c r="BH530" s="491"/>
      <c r="BI530" s="490"/>
      <c r="BJ530" s="490"/>
      <c r="BK530" s="364">
        <f>BD530*(1+BK$533)</f>
        <v>-37.607096249999998</v>
      </c>
      <c r="BL530" s="490"/>
      <c r="BM530" s="490"/>
      <c r="BN530" s="490"/>
      <c r="BO530" s="491"/>
      <c r="BP530" s="490"/>
      <c r="BQ530" s="490"/>
      <c r="BR530" s="364">
        <f>BK530*(1+BR$533)</f>
        <v>-38.359238175000002</v>
      </c>
      <c r="BS530" s="490"/>
      <c r="BT530" s="490"/>
      <c r="BU530" s="490"/>
      <c r="BV530" s="491"/>
      <c r="BW530" s="490"/>
      <c r="BX530" s="490"/>
      <c r="BY530" s="364">
        <f>BR530*(1+BY$533)*0.99</f>
        <v>-41.58333214360875</v>
      </c>
      <c r="BZ530" s="490"/>
      <c r="CA530" s="490"/>
      <c r="CB530" s="490"/>
      <c r="CC530" s="491"/>
      <c r="CD530" s="490"/>
      <c r="CE530" s="490"/>
      <c r="CF530" s="364">
        <f>BY530*(1+CF$533)</f>
        <v>-42.830832107917011</v>
      </c>
      <c r="CG530" s="490"/>
      <c r="CH530" s="490"/>
      <c r="CI530" s="490"/>
      <c r="CJ530" s="491"/>
      <c r="CK530" s="490"/>
      <c r="CL530" s="490"/>
      <c r="CM530" s="364">
        <f>CF530*(1+CM$533)</f>
        <v>-44.544065392233691</v>
      </c>
      <c r="CN530" s="490"/>
      <c r="CO530" s="490"/>
      <c r="CP530" s="490"/>
      <c r="CQ530" s="491"/>
      <c r="CR530" s="490"/>
      <c r="CS530" s="490"/>
      <c r="CT530" s="364">
        <f>CM530*(1+CT$533)</f>
        <v>-47.216709315767716</v>
      </c>
      <c r="CU530" s="490"/>
      <c r="CV530" s="490"/>
      <c r="CW530" s="490"/>
      <c r="CX530" s="491"/>
      <c r="CY530" s="490"/>
      <c r="CZ530" s="490"/>
      <c r="DA530" s="364">
        <f>CT530*(1+DA$533)</f>
        <v>-50.049711874713779</v>
      </c>
      <c r="DB530" s="490"/>
      <c r="DC530" s="490"/>
      <c r="DD530" s="490"/>
      <c r="DE530" s="491"/>
      <c r="DF530" s="490"/>
      <c r="DG530" s="490"/>
      <c r="DH530" s="364">
        <f>DA530*(1+DH$533)</f>
        <v>-53.052694587196605</v>
      </c>
      <c r="DI530" s="490"/>
      <c r="DJ530" s="490"/>
      <c r="DK530" s="490"/>
      <c r="DL530" s="491"/>
      <c r="DM530" s="490"/>
      <c r="DN530" s="490"/>
      <c r="DO530" s="364">
        <f>DH530*(1+DO$533)</f>
        <v>-56.235856262428406</v>
      </c>
      <c r="DP530" s="490"/>
      <c r="DQ530" s="490"/>
      <c r="DR530" s="490"/>
      <c r="DS530" s="491"/>
      <c r="DT530" s="490"/>
      <c r="DU530" s="490"/>
      <c r="DV530" s="364">
        <f>DO530*(1+DV$533)</f>
        <v>-59.61000763817411</v>
      </c>
      <c r="DW530" s="490"/>
      <c r="DX530" s="490"/>
      <c r="DY530" s="490"/>
      <c r="DZ530" s="491"/>
      <c r="EA530" s="490"/>
      <c r="EB530" s="490"/>
      <c r="EC530" s="364">
        <f>DV530*(1+EC$533)</f>
        <v>-63.18660809646456</v>
      </c>
      <c r="ED530" s="490"/>
      <c r="EE530" s="490"/>
      <c r="EF530" s="490"/>
      <c r="EG530" s="491"/>
      <c r="EH530" s="490"/>
      <c r="EI530" s="490"/>
      <c r="EJ530" s="364">
        <f>EC530*(1+EJ$533)</f>
        <v>-66.977804582252432</v>
      </c>
      <c r="EK530" s="490"/>
      <c r="EL530" s="490"/>
      <c r="EM530" s="490"/>
      <c r="EN530" s="491"/>
      <c r="EO530" s="490"/>
      <c r="EP530" s="490"/>
      <c r="EQ530" s="364">
        <f>EJ530*(1+EQ$533)</f>
        <v>-70.996472857187584</v>
      </c>
    </row>
    <row r="531" spans="1:147" ht="10.199999999999999" hidden="1" customHeight="1" outlineLevel="1">
      <c r="A531" s="108" t="s">
        <v>368</v>
      </c>
      <c r="B531" s="48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3"/>
      <c r="O531" s="490"/>
      <c r="P531" s="490"/>
      <c r="Q531" s="490"/>
      <c r="R531" s="491"/>
      <c r="S531" s="490"/>
      <c r="T531" s="490"/>
      <c r="U531" s="364"/>
      <c r="V531" s="490"/>
      <c r="W531" s="490"/>
      <c r="X531" s="490"/>
      <c r="Y531" s="491"/>
      <c r="Z531" s="490"/>
      <c r="AA531" s="490"/>
      <c r="AB531" s="364"/>
      <c r="AC531" s="490"/>
      <c r="AD531" s="490"/>
      <c r="AE531" s="490"/>
      <c r="AF531" s="491"/>
      <c r="AG531" s="490"/>
      <c r="AH531" s="490"/>
      <c r="AI531" s="364"/>
      <c r="AJ531" s="490"/>
      <c r="AK531" s="490"/>
      <c r="AL531" s="490"/>
      <c r="AM531" s="491"/>
      <c r="AN531" s="490"/>
      <c r="AO531" s="490"/>
      <c r="AP531" s="364"/>
      <c r="AQ531" s="490"/>
      <c r="AR531" s="490"/>
      <c r="AS531" s="490"/>
      <c r="AT531" s="491"/>
      <c r="AU531" s="490"/>
      <c r="AV531" s="490"/>
      <c r="AW531" s="364">
        <f>AW559/AW116</f>
        <v>-54.604254831642059</v>
      </c>
      <c r="AX531" s="490"/>
      <c r="AY531" s="490"/>
      <c r="AZ531" s="490"/>
      <c r="BA531" s="491"/>
      <c r="BB531" s="490"/>
      <c r="BC531" s="490"/>
      <c r="BD531" s="364">
        <f>+AW531+9</f>
        <v>-45.604254831642059</v>
      </c>
      <c r="BE531" s="490"/>
      <c r="BF531" s="490"/>
      <c r="BG531" s="490"/>
      <c r="BH531" s="491"/>
      <c r="BI531" s="490"/>
      <c r="BJ531" s="490"/>
      <c r="BK531" s="364">
        <f>BD531*(1+BK$533)</f>
        <v>-45.604254831642059</v>
      </c>
      <c r="BL531" s="490"/>
      <c r="BM531" s="490"/>
      <c r="BN531" s="490"/>
      <c r="BO531" s="491"/>
      <c r="BP531" s="490"/>
      <c r="BQ531" s="490"/>
      <c r="BR531" s="364">
        <f>BK531*(1+BR$533)</f>
        <v>-46.516339928274903</v>
      </c>
      <c r="BS531" s="490"/>
      <c r="BT531" s="490"/>
      <c r="BU531" s="490"/>
      <c r="BV531" s="491"/>
      <c r="BW531" s="490"/>
      <c r="BX531" s="490"/>
      <c r="BY531" s="364">
        <f>BR531*(1+BY$534)</f>
        <v>-50.935392221461015</v>
      </c>
      <c r="BZ531" s="490"/>
      <c r="CA531" s="490"/>
      <c r="CB531" s="490"/>
      <c r="CC531" s="491"/>
      <c r="CD531" s="490"/>
      <c r="CE531" s="490"/>
      <c r="CF531" s="364">
        <f>BY531*(1+CF$534)</f>
        <v>-52.463453988104845</v>
      </c>
      <c r="CG531" s="490"/>
      <c r="CH531" s="490"/>
      <c r="CI531" s="490"/>
      <c r="CJ531" s="491"/>
      <c r="CK531" s="490"/>
      <c r="CL531" s="490"/>
      <c r="CM531" s="364">
        <f>CF531*(1+CM$534)</f>
        <v>-55.086626687510091</v>
      </c>
      <c r="CN531" s="490"/>
      <c r="CO531" s="490"/>
      <c r="CP531" s="490"/>
      <c r="CQ531" s="491"/>
      <c r="CR531" s="490"/>
      <c r="CS531" s="490"/>
      <c r="CT531" s="364">
        <f>CM531*(1+CT$534)</f>
        <v>-58.942690555635799</v>
      </c>
      <c r="CU531" s="490"/>
      <c r="CV531" s="490"/>
      <c r="CW531" s="490"/>
      <c r="CX531" s="491"/>
      <c r="CY531" s="490"/>
      <c r="CZ531" s="490"/>
      <c r="DA531" s="364">
        <f>CT531*(1+DA$534)</f>
        <v>-63.068678894530308</v>
      </c>
      <c r="DB531" s="490"/>
      <c r="DC531" s="490"/>
      <c r="DD531" s="490"/>
      <c r="DE531" s="491"/>
      <c r="DF531" s="490"/>
      <c r="DG531" s="490"/>
      <c r="DH531" s="364">
        <f>DA531*(1+DH$534)</f>
        <v>-67.483486417147432</v>
      </c>
      <c r="DI531" s="490"/>
      <c r="DJ531" s="490"/>
      <c r="DK531" s="490"/>
      <c r="DL531" s="491"/>
      <c r="DM531" s="490"/>
      <c r="DN531" s="490"/>
      <c r="DO531" s="364">
        <f>DH531*(1+DO$534)</f>
        <v>-72.207330466347756</v>
      </c>
      <c r="DP531" s="490"/>
      <c r="DQ531" s="490"/>
      <c r="DR531" s="490"/>
      <c r="DS531" s="491"/>
      <c r="DT531" s="490"/>
      <c r="DU531" s="490"/>
      <c r="DV531" s="364">
        <f>DO531*(1+DV$534)</f>
        <v>-77.261843598992101</v>
      </c>
      <c r="DW531" s="490"/>
      <c r="DX531" s="490"/>
      <c r="DY531" s="490"/>
      <c r="DZ531" s="491"/>
      <c r="EA531" s="490"/>
      <c r="EB531" s="490"/>
      <c r="EC531" s="364">
        <f>DV531*(1+EC$534)</f>
        <v>-82.670172650921558</v>
      </c>
      <c r="ED531" s="490"/>
      <c r="EE531" s="490"/>
      <c r="EF531" s="490"/>
      <c r="EG531" s="491"/>
      <c r="EH531" s="490"/>
      <c r="EI531" s="490"/>
      <c r="EJ531" s="364">
        <f>EC531*(1+EJ$534)</f>
        <v>-88.457084736486067</v>
      </c>
      <c r="EK531" s="490"/>
      <c r="EL531" s="490"/>
      <c r="EM531" s="490"/>
      <c r="EN531" s="491"/>
      <c r="EO531" s="490"/>
      <c r="EP531" s="490"/>
      <c r="EQ531" s="364">
        <f>EJ531*(1+EQ$534)</f>
        <v>-94.649080668040099</v>
      </c>
    </row>
    <row r="532" spans="1:147" ht="10.199999999999999" hidden="1" customHeight="1" outlineLevel="1">
      <c r="A532" s="48" t="s">
        <v>378</v>
      </c>
      <c r="B532" s="48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3"/>
      <c r="O532" s="492"/>
      <c r="P532" s="492"/>
      <c r="Q532" s="492"/>
      <c r="R532" s="493"/>
      <c r="S532" s="492"/>
      <c r="T532" s="492"/>
      <c r="U532" s="365"/>
      <c r="V532" s="492"/>
      <c r="W532" s="492"/>
      <c r="X532" s="492"/>
      <c r="Y532" s="493"/>
      <c r="Z532" s="492"/>
      <c r="AA532" s="492"/>
      <c r="AB532" s="365"/>
      <c r="AC532" s="492"/>
      <c r="AD532" s="492"/>
      <c r="AE532" s="492"/>
      <c r="AF532" s="493"/>
      <c r="AG532" s="492"/>
      <c r="AH532" s="492"/>
      <c r="AI532" s="365"/>
      <c r="AJ532" s="492"/>
      <c r="AK532" s="492"/>
      <c r="AL532" s="492"/>
      <c r="AM532" s="493"/>
      <c r="AN532" s="492"/>
      <c r="AO532" s="492"/>
      <c r="AP532" s="365">
        <f>AP560/AP117</f>
        <v>-47.802149999999997</v>
      </c>
      <c r="AQ532" s="492"/>
      <c r="AR532" s="492"/>
      <c r="AS532" s="492"/>
      <c r="AT532" s="493"/>
      <c r="AU532" s="492"/>
      <c r="AV532" s="492"/>
      <c r="AW532" s="365">
        <f>AW560/AW117</f>
        <v>-47.490760181673153</v>
      </c>
      <c r="AX532" s="492"/>
      <c r="AY532" s="492"/>
      <c r="AZ532" s="492"/>
      <c r="BA532" s="493"/>
      <c r="BB532" s="492"/>
      <c r="BC532" s="492"/>
      <c r="BD532" s="365">
        <f>BD560/BD117</f>
        <v>-38.490760181673153</v>
      </c>
      <c r="BE532" s="492"/>
      <c r="BF532" s="492"/>
      <c r="BG532" s="492"/>
      <c r="BH532" s="493"/>
      <c r="BI532" s="492"/>
      <c r="BJ532" s="492"/>
      <c r="BK532" s="365">
        <f>BK560/BK117</f>
        <v>-39.720335046185205</v>
      </c>
      <c r="BL532" s="492"/>
      <c r="BM532" s="492"/>
      <c r="BN532" s="492"/>
      <c r="BO532" s="493"/>
      <c r="BP532" s="492"/>
      <c r="BQ532" s="492"/>
      <c r="BR532" s="365">
        <f>BR560/BR117</f>
        <v>-40.836687572822477</v>
      </c>
      <c r="BS532" s="492"/>
      <c r="BT532" s="492"/>
      <c r="BU532" s="492"/>
      <c r="BV532" s="493"/>
      <c r="BW532" s="492"/>
      <c r="BX532" s="492"/>
      <c r="BY532" s="365">
        <f>BY560/BY117</f>
        <v>-45.445667860215949</v>
      </c>
      <c r="BZ532" s="492"/>
      <c r="CA532" s="492"/>
      <c r="CB532" s="492"/>
      <c r="CC532" s="493"/>
      <c r="CD532" s="492"/>
      <c r="CE532" s="492"/>
      <c r="CF532" s="365">
        <f>CF560/CF117</f>
        <v>-46.995883480338684</v>
      </c>
      <c r="CG532" s="492"/>
      <c r="CH532" s="492"/>
      <c r="CI532" s="492"/>
      <c r="CJ532" s="493"/>
      <c r="CK532" s="492"/>
      <c r="CL532" s="492"/>
      <c r="CM532" s="365">
        <f>CM560/CM117</f>
        <v>-49.906896164325872</v>
      </c>
      <c r="CN532" s="492"/>
      <c r="CO532" s="492"/>
      <c r="CP532" s="492"/>
      <c r="CQ532" s="493"/>
      <c r="CR532" s="492"/>
      <c r="CS532" s="492"/>
      <c r="CT532" s="365">
        <f>CT560/CT117</f>
        <v>-53.691893577840929</v>
      </c>
      <c r="CU532" s="492"/>
      <c r="CV532" s="492"/>
      <c r="CW532" s="492"/>
      <c r="CX532" s="493"/>
      <c r="CY532" s="492"/>
      <c r="CZ532" s="492"/>
      <c r="DA532" s="365">
        <f>DA560/DA117</f>
        <v>-57.8119287592069</v>
      </c>
      <c r="DB532" s="492"/>
      <c r="DC532" s="492"/>
      <c r="DD532" s="492"/>
      <c r="DE532" s="493"/>
      <c r="DF532" s="492"/>
      <c r="DG532" s="492"/>
      <c r="DH532" s="365">
        <f>DH560/DH117</f>
        <v>-62.174654448383713</v>
      </c>
      <c r="DI532" s="492"/>
      <c r="DJ532" s="492"/>
      <c r="DK532" s="492"/>
      <c r="DL532" s="493"/>
      <c r="DM532" s="492"/>
      <c r="DN532" s="492"/>
      <c r="DO532" s="365">
        <f>DO560/DO117</f>
        <v>-66.591511528872147</v>
      </c>
      <c r="DP532" s="492"/>
      <c r="DQ532" s="492"/>
      <c r="DR532" s="492"/>
      <c r="DS532" s="493"/>
      <c r="DT532" s="492"/>
      <c r="DU532" s="492"/>
      <c r="DV532" s="365">
        <f>DV560/DV117</f>
        <v>-71.941930939199906</v>
      </c>
      <c r="DW532" s="492"/>
      <c r="DX532" s="492"/>
      <c r="DY532" s="492"/>
      <c r="DZ532" s="493"/>
      <c r="EA532" s="492"/>
      <c r="EB532" s="492"/>
      <c r="EC532" s="365">
        <f>EC560/EC117</f>
        <v>-77.775336007292381</v>
      </c>
      <c r="ED532" s="492"/>
      <c r="EE532" s="492"/>
      <c r="EF532" s="492"/>
      <c r="EG532" s="493"/>
      <c r="EH532" s="492"/>
      <c r="EI532" s="492"/>
      <c r="EJ532" s="365">
        <f>EJ560/EJ117</f>
        <v>-83.062335716813919</v>
      </c>
      <c r="EK532" s="492"/>
      <c r="EL532" s="492"/>
      <c r="EM532" s="492"/>
      <c r="EN532" s="493"/>
      <c r="EO532" s="492"/>
      <c r="EP532" s="492"/>
      <c r="EQ532" s="365">
        <f>EQ560/EQ117</f>
        <v>-88.709503995346395</v>
      </c>
    </row>
    <row r="533" spans="1:147" ht="10.199999999999999" hidden="1" customHeight="1" outlineLevel="1">
      <c r="A533" s="51" t="s">
        <v>658</v>
      </c>
      <c r="B533" s="48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3"/>
      <c r="O533" s="481"/>
      <c r="P533" s="481"/>
      <c r="Q533" s="481"/>
      <c r="R533" s="482"/>
      <c r="S533" s="481"/>
      <c r="T533" s="481"/>
      <c r="U533" s="361"/>
      <c r="V533" s="481"/>
      <c r="W533" s="481"/>
      <c r="X533" s="481"/>
      <c r="Y533" s="482"/>
      <c r="Z533" s="481"/>
      <c r="AA533" s="481"/>
      <c r="AB533" s="361"/>
      <c r="AC533" s="481"/>
      <c r="AD533" s="481"/>
      <c r="AE533" s="481"/>
      <c r="AF533" s="482"/>
      <c r="AG533" s="481"/>
      <c r="AH533" s="481"/>
      <c r="AI533" s="361"/>
      <c r="AJ533" s="481"/>
      <c r="AK533" s="481"/>
      <c r="AL533" s="481"/>
      <c r="AM533" s="482"/>
      <c r="AN533" s="481"/>
      <c r="AO533" s="481"/>
      <c r="AP533" s="361"/>
      <c r="AQ533" s="481"/>
      <c r="AR533" s="481"/>
      <c r="AS533" s="481"/>
      <c r="AT533" s="482"/>
      <c r="AU533" s="481"/>
      <c r="AV533" s="481"/>
      <c r="AW533" s="361">
        <v>-2.5000000000000001E-2</v>
      </c>
      <c r="AX533" s="481"/>
      <c r="AY533" s="481"/>
      <c r="AZ533" s="481"/>
      <c r="BA533" s="482"/>
      <c r="BB533" s="481"/>
      <c r="BC533" s="481"/>
      <c r="BD533" s="361" t="s">
        <v>654</v>
      </c>
      <c r="BE533" s="481"/>
      <c r="BF533" s="481"/>
      <c r="BG533" s="481"/>
      <c r="BH533" s="482"/>
      <c r="BI533" s="481"/>
      <c r="BJ533" s="481"/>
      <c r="BK533" s="361">
        <v>0</v>
      </c>
      <c r="BL533" s="481"/>
      <c r="BM533" s="481"/>
      <c r="BN533" s="481"/>
      <c r="BO533" s="482"/>
      <c r="BP533" s="481"/>
      <c r="BQ533" s="481"/>
      <c r="BR533" s="361">
        <v>0.02</v>
      </c>
      <c r="BS533" s="481"/>
      <c r="BT533" s="481"/>
      <c r="BU533" s="481"/>
      <c r="BV533" s="482"/>
      <c r="BW533" s="481"/>
      <c r="BX533" s="481"/>
      <c r="BY533" s="361">
        <v>9.5000000000000001E-2</v>
      </c>
      <c r="BZ533" s="481"/>
      <c r="CA533" s="481"/>
      <c r="CB533" s="481"/>
      <c r="CC533" s="482"/>
      <c r="CD533" s="481"/>
      <c r="CE533" s="481"/>
      <c r="CF533" s="361">
        <v>0.03</v>
      </c>
      <c r="CG533" s="481"/>
      <c r="CH533" s="481"/>
      <c r="CI533" s="481"/>
      <c r="CJ533" s="482"/>
      <c r="CK533" s="481"/>
      <c r="CL533" s="481"/>
      <c r="CM533" s="361">
        <v>0.04</v>
      </c>
      <c r="CN533" s="481"/>
      <c r="CO533" s="481"/>
      <c r="CP533" s="481"/>
      <c r="CQ533" s="482"/>
      <c r="CR533" s="481"/>
      <c r="CS533" s="481"/>
      <c r="CT533" s="361">
        <v>0.06</v>
      </c>
      <c r="CU533" s="481"/>
      <c r="CV533" s="481"/>
      <c r="CW533" s="481"/>
      <c r="CX533" s="482"/>
      <c r="CY533" s="481"/>
      <c r="CZ533" s="481"/>
      <c r="DA533" s="1817">
        <v>0.06</v>
      </c>
      <c r="DB533" s="481"/>
      <c r="DC533" s="481"/>
      <c r="DD533" s="481"/>
      <c r="DE533" s="482"/>
      <c r="DF533" s="481"/>
      <c r="DG533" s="481"/>
      <c r="DH533" s="361">
        <v>0.06</v>
      </c>
      <c r="DI533" s="481"/>
      <c r="DJ533" s="481"/>
      <c r="DK533" s="481"/>
      <c r="DL533" s="482"/>
      <c r="DM533" s="481"/>
      <c r="DN533" s="481"/>
      <c r="DO533" s="361">
        <v>0.06</v>
      </c>
      <c r="DP533" s="481"/>
      <c r="DQ533" s="481"/>
      <c r="DR533" s="481"/>
      <c r="DS533" s="482"/>
      <c r="DT533" s="481"/>
      <c r="DU533" s="481"/>
      <c r="DV533" s="361">
        <v>0.06</v>
      </c>
      <c r="DW533" s="481"/>
      <c r="DX533" s="481"/>
      <c r="DY533" s="481"/>
      <c r="DZ533" s="482"/>
      <c r="EA533" s="481"/>
      <c r="EB533" s="481"/>
      <c r="EC533" s="361">
        <v>0.06</v>
      </c>
      <c r="ED533" s="481"/>
      <c r="EE533" s="481"/>
      <c r="EF533" s="481"/>
      <c r="EG533" s="482"/>
      <c r="EH533" s="481"/>
      <c r="EI533" s="481"/>
      <c r="EJ533" s="361">
        <v>0.06</v>
      </c>
      <c r="EK533" s="481"/>
      <c r="EL533" s="481"/>
      <c r="EM533" s="481"/>
      <c r="EN533" s="482"/>
      <c r="EO533" s="481"/>
      <c r="EP533" s="481"/>
      <c r="EQ533" s="361">
        <v>0.06</v>
      </c>
    </row>
    <row r="534" spans="1:147" ht="10.199999999999999" hidden="1" customHeight="1" outlineLevel="1">
      <c r="A534" s="51" t="s">
        <v>659</v>
      </c>
      <c r="B534" s="48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3"/>
      <c r="O534" s="481"/>
      <c r="P534" s="481"/>
      <c r="Q534" s="481"/>
      <c r="R534" s="482"/>
      <c r="S534" s="481"/>
      <c r="T534" s="481"/>
      <c r="U534" s="361"/>
      <c r="V534" s="481"/>
      <c r="W534" s="481"/>
      <c r="X534" s="481"/>
      <c r="Y534" s="482"/>
      <c r="Z534" s="481"/>
      <c r="AA534" s="481"/>
      <c r="AB534" s="361"/>
      <c r="AC534" s="481"/>
      <c r="AD534" s="481"/>
      <c r="AE534" s="481"/>
      <c r="AF534" s="482"/>
      <c r="AG534" s="481"/>
      <c r="AH534" s="481"/>
      <c r="AI534" s="361"/>
      <c r="AJ534" s="481"/>
      <c r="AK534" s="481"/>
      <c r="AL534" s="481"/>
      <c r="AM534" s="482"/>
      <c r="AN534" s="481"/>
      <c r="AO534" s="481"/>
      <c r="AP534" s="361"/>
      <c r="AQ534" s="481"/>
      <c r="AR534" s="481"/>
      <c r="AS534" s="481"/>
      <c r="AT534" s="482"/>
      <c r="AU534" s="481"/>
      <c r="AV534" s="481"/>
      <c r="AW534" s="361"/>
      <c r="AX534" s="481"/>
      <c r="AY534" s="481"/>
      <c r="AZ534" s="481"/>
      <c r="BA534" s="482"/>
      <c r="BB534" s="481"/>
      <c r="BC534" s="481"/>
      <c r="BD534" s="361"/>
      <c r="BE534" s="481"/>
      <c r="BF534" s="481"/>
      <c r="BG534" s="481"/>
      <c r="BH534" s="482"/>
      <c r="BI534" s="481"/>
      <c r="BJ534" s="481"/>
      <c r="BK534" s="361">
        <v>0</v>
      </c>
      <c r="BL534" s="481"/>
      <c r="BM534" s="481"/>
      <c r="BN534" s="481"/>
      <c r="BO534" s="482"/>
      <c r="BP534" s="481"/>
      <c r="BQ534" s="481"/>
      <c r="BR534" s="361">
        <v>0.02</v>
      </c>
      <c r="BS534" s="481"/>
      <c r="BT534" s="481"/>
      <c r="BU534" s="481"/>
      <c r="BV534" s="482"/>
      <c r="BW534" s="481"/>
      <c r="BX534" s="481"/>
      <c r="BY534" s="361">
        <f>+BY533</f>
        <v>9.5000000000000001E-2</v>
      </c>
      <c r="BZ534" s="481"/>
      <c r="CA534" s="481"/>
      <c r="CB534" s="481"/>
      <c r="CC534" s="482"/>
      <c r="CD534" s="481"/>
      <c r="CE534" s="481"/>
      <c r="CF534" s="361">
        <v>0.03</v>
      </c>
      <c r="CG534" s="481"/>
      <c r="CH534" s="481"/>
      <c r="CI534" s="481"/>
      <c r="CJ534" s="482"/>
      <c r="CK534" s="481"/>
      <c r="CL534" s="481"/>
      <c r="CM534" s="361">
        <v>0.05</v>
      </c>
      <c r="CN534" s="481"/>
      <c r="CO534" s="481"/>
      <c r="CP534" s="481"/>
      <c r="CQ534" s="482"/>
      <c r="CR534" s="481"/>
      <c r="CS534" s="481"/>
      <c r="CT534" s="361">
        <v>7.0000000000000007E-2</v>
      </c>
      <c r="CU534" s="481"/>
      <c r="CV534" s="481"/>
      <c r="CW534" s="481"/>
      <c r="CX534" s="482"/>
      <c r="CY534" s="481"/>
      <c r="CZ534" s="481"/>
      <c r="DA534" s="1817">
        <v>7.0000000000000007E-2</v>
      </c>
      <c r="DB534" s="481"/>
      <c r="DC534" s="481"/>
      <c r="DD534" s="481"/>
      <c r="DE534" s="482"/>
      <c r="DF534" s="481"/>
      <c r="DG534" s="481"/>
      <c r="DH534" s="361">
        <v>7.0000000000000007E-2</v>
      </c>
      <c r="DI534" s="481"/>
      <c r="DJ534" s="481"/>
      <c r="DK534" s="481"/>
      <c r="DL534" s="482"/>
      <c r="DM534" s="481"/>
      <c r="DN534" s="481"/>
      <c r="DO534" s="361">
        <v>7.0000000000000007E-2</v>
      </c>
      <c r="DP534" s="481"/>
      <c r="DQ534" s="481"/>
      <c r="DR534" s="481"/>
      <c r="DS534" s="482"/>
      <c r="DT534" s="481"/>
      <c r="DU534" s="481"/>
      <c r="DV534" s="361">
        <v>7.0000000000000007E-2</v>
      </c>
      <c r="DW534" s="481"/>
      <c r="DX534" s="481"/>
      <c r="DY534" s="481"/>
      <c r="DZ534" s="482"/>
      <c r="EA534" s="481"/>
      <c r="EB534" s="481"/>
      <c r="EC534" s="361">
        <v>7.0000000000000007E-2</v>
      </c>
      <c r="ED534" s="481"/>
      <c r="EE534" s="481"/>
      <c r="EF534" s="481"/>
      <c r="EG534" s="482"/>
      <c r="EH534" s="481"/>
      <c r="EI534" s="481"/>
      <c r="EJ534" s="361">
        <v>7.0000000000000007E-2</v>
      </c>
      <c r="EK534" s="481"/>
      <c r="EL534" s="481"/>
      <c r="EM534" s="481"/>
      <c r="EN534" s="482"/>
      <c r="EO534" s="481"/>
      <c r="EP534" s="481"/>
      <c r="EQ534" s="361">
        <v>7.0000000000000007E-2</v>
      </c>
    </row>
    <row r="535" spans="1:147" ht="10.199999999999999" hidden="1" customHeight="1" outlineLevel="1">
      <c r="A535" s="43" t="s">
        <v>198</v>
      </c>
      <c r="B535" s="48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3"/>
      <c r="O535" s="496"/>
      <c r="P535" s="496"/>
      <c r="Q535" s="496"/>
      <c r="R535" s="497"/>
      <c r="S535" s="496"/>
      <c r="T535" s="496"/>
      <c r="U535" s="366"/>
      <c r="V535" s="496"/>
      <c r="W535" s="496"/>
      <c r="X535" s="496"/>
      <c r="Y535" s="497"/>
      <c r="Z535" s="496"/>
      <c r="AA535" s="496"/>
      <c r="AB535" s="366"/>
      <c r="AC535" s="496"/>
      <c r="AD535" s="496"/>
      <c r="AE535" s="496"/>
      <c r="AF535" s="497"/>
      <c r="AG535" s="496"/>
      <c r="AH535" s="496"/>
      <c r="AI535" s="366">
        <f>AI561/AI121</f>
        <v>-110.521125</v>
      </c>
      <c r="AJ535" s="496"/>
      <c r="AK535" s="496"/>
      <c r="AL535" s="496"/>
      <c r="AM535" s="497"/>
      <c r="AN535" s="496"/>
      <c r="AO535" s="496"/>
      <c r="AP535" s="366">
        <f>AI535*(1+AP538)</f>
        <v>-113.83675875</v>
      </c>
      <c r="AQ535" s="496"/>
      <c r="AR535" s="496"/>
      <c r="AS535" s="496"/>
      <c r="AT535" s="497"/>
      <c r="AU535" s="496"/>
      <c r="AV535" s="496"/>
      <c r="AW535" s="366">
        <f>AP535*(1+AW538)</f>
        <v>-113.83675875</v>
      </c>
      <c r="AX535" s="496"/>
      <c r="AY535" s="496"/>
      <c r="AZ535" s="496"/>
      <c r="BA535" s="497"/>
      <c r="BB535" s="496"/>
      <c r="BC535" s="496"/>
      <c r="BD535" s="366">
        <f>+AW535+16</f>
        <v>-97.836758750000001</v>
      </c>
      <c r="BE535" s="496"/>
      <c r="BF535" s="496"/>
      <c r="BG535" s="496"/>
      <c r="BH535" s="497"/>
      <c r="BI535" s="496"/>
      <c r="BJ535" s="496"/>
      <c r="BK535" s="366">
        <f>BD535*(1+BK538)</f>
        <v>-97.836758750000001</v>
      </c>
      <c r="BL535" s="496"/>
      <c r="BM535" s="496"/>
      <c r="BN535" s="496"/>
      <c r="BO535" s="497"/>
      <c r="BP535" s="496"/>
      <c r="BQ535" s="496"/>
      <c r="BR535" s="366">
        <f>BK535*(1+BR538)</f>
        <v>-100.28267771874999</v>
      </c>
      <c r="BS535" s="496"/>
      <c r="BT535" s="496"/>
      <c r="BU535" s="496"/>
      <c r="BV535" s="497"/>
      <c r="BW535" s="496"/>
      <c r="BX535" s="496"/>
      <c r="BY535" s="366"/>
      <c r="BZ535" s="496"/>
      <c r="CA535" s="496"/>
      <c r="CB535" s="496"/>
      <c r="CC535" s="497"/>
      <c r="CD535" s="496"/>
      <c r="CE535" s="496"/>
      <c r="CF535" s="366"/>
      <c r="CG535" s="496"/>
      <c r="CH535" s="496"/>
      <c r="CI535" s="496"/>
      <c r="CJ535" s="497"/>
      <c r="CK535" s="496"/>
      <c r="CL535" s="496"/>
      <c r="CM535" s="366"/>
      <c r="CN535" s="496"/>
      <c r="CO535" s="496"/>
      <c r="CP535" s="496"/>
      <c r="CQ535" s="497"/>
      <c r="CR535" s="496"/>
      <c r="CS535" s="496"/>
      <c r="CT535" s="366"/>
      <c r="CU535" s="496"/>
      <c r="CV535" s="496"/>
      <c r="CW535" s="496"/>
      <c r="CX535" s="497"/>
      <c r="CY535" s="496"/>
      <c r="CZ535" s="496"/>
      <c r="DA535" s="366"/>
      <c r="DB535" s="496"/>
      <c r="DC535" s="496"/>
      <c r="DD535" s="496"/>
      <c r="DE535" s="497"/>
      <c r="DF535" s="496"/>
      <c r="DG535" s="496"/>
      <c r="DH535" s="366"/>
      <c r="DI535" s="496"/>
      <c r="DJ535" s="496"/>
      <c r="DK535" s="496"/>
      <c r="DL535" s="497"/>
      <c r="DM535" s="496"/>
      <c r="DN535" s="496"/>
      <c r="DO535" s="366"/>
      <c r="DP535" s="496"/>
      <c r="DQ535" s="496"/>
      <c r="DR535" s="496"/>
      <c r="DS535" s="497"/>
      <c r="DT535" s="496"/>
      <c r="DU535" s="496"/>
      <c r="DV535" s="366"/>
      <c r="DW535" s="496"/>
      <c r="DX535" s="496"/>
      <c r="DY535" s="496"/>
      <c r="DZ535" s="497"/>
      <c r="EA535" s="496"/>
      <c r="EB535" s="496"/>
      <c r="EC535" s="366"/>
      <c r="ED535" s="496"/>
      <c r="EE535" s="496"/>
      <c r="EF535" s="496"/>
      <c r="EG535" s="497"/>
      <c r="EH535" s="496"/>
      <c r="EI535" s="496"/>
      <c r="EJ535" s="366"/>
      <c r="EK535" s="496"/>
      <c r="EL535" s="496"/>
      <c r="EM535" s="496"/>
      <c r="EN535" s="497"/>
      <c r="EO535" s="496"/>
      <c r="EP535" s="496"/>
      <c r="EQ535" s="366"/>
    </row>
    <row r="536" spans="1:147" ht="10.199999999999999" hidden="1" customHeight="1" outlineLevel="1">
      <c r="A536" s="43" t="s">
        <v>199</v>
      </c>
      <c r="B536" s="48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3"/>
      <c r="O536" s="496"/>
      <c r="P536" s="496"/>
      <c r="Q536" s="496"/>
      <c r="R536" s="497"/>
      <c r="S536" s="496"/>
      <c r="T536" s="496"/>
      <c r="U536" s="366"/>
      <c r="V536" s="496"/>
      <c r="W536" s="496"/>
      <c r="X536" s="496"/>
      <c r="Y536" s="497"/>
      <c r="Z536" s="496"/>
      <c r="AA536" s="496"/>
      <c r="AB536" s="366"/>
      <c r="AC536" s="496"/>
      <c r="AD536" s="496"/>
      <c r="AE536" s="496"/>
      <c r="AF536" s="497"/>
      <c r="AG536" s="496"/>
      <c r="AH536" s="496"/>
      <c r="AI536" s="366">
        <f>AI562/AI122</f>
        <v>-122.44196249999999</v>
      </c>
      <c r="AJ536" s="496"/>
      <c r="AK536" s="496"/>
      <c r="AL536" s="496"/>
      <c r="AM536" s="497"/>
      <c r="AN536" s="496"/>
      <c r="AO536" s="496"/>
      <c r="AP536" s="366">
        <f>AI536*(1+AP538)</f>
        <v>-126.11522137499999</v>
      </c>
      <c r="AQ536" s="496"/>
      <c r="AR536" s="496"/>
      <c r="AS536" s="496"/>
      <c r="AT536" s="497"/>
      <c r="AU536" s="496"/>
      <c r="AV536" s="496"/>
      <c r="AW536" s="366">
        <f>AP536*(1+AW538)</f>
        <v>-126.11522137499999</v>
      </c>
      <c r="AX536" s="496"/>
      <c r="AY536" s="496"/>
      <c r="AZ536" s="496"/>
      <c r="BA536" s="497"/>
      <c r="BB536" s="496"/>
      <c r="BC536" s="496"/>
      <c r="BD536" s="366">
        <f>+AW536+16</f>
        <v>-110.11522137499999</v>
      </c>
      <c r="BE536" s="496"/>
      <c r="BF536" s="496"/>
      <c r="BG536" s="496"/>
      <c r="BH536" s="497"/>
      <c r="BI536" s="496"/>
      <c r="BJ536" s="496"/>
      <c r="BK536" s="366">
        <f>BD536*(1+BK538)</f>
        <v>-110.11522137499999</v>
      </c>
      <c r="BL536" s="496"/>
      <c r="BM536" s="496"/>
      <c r="BN536" s="496"/>
      <c r="BO536" s="497"/>
      <c r="BP536" s="496"/>
      <c r="BQ536" s="496"/>
      <c r="BR536" s="366">
        <f>BK536*(1+BR538)</f>
        <v>-112.86810190937499</v>
      </c>
      <c r="BS536" s="496"/>
      <c r="BT536" s="496"/>
      <c r="BU536" s="496"/>
      <c r="BV536" s="497"/>
      <c r="BW536" s="496"/>
      <c r="BX536" s="496"/>
      <c r="BY536" s="366"/>
      <c r="BZ536" s="496"/>
      <c r="CA536" s="496"/>
      <c r="CB536" s="496"/>
      <c r="CC536" s="497"/>
      <c r="CD536" s="496"/>
      <c r="CE536" s="496"/>
      <c r="CF536" s="366"/>
      <c r="CG536" s="496"/>
      <c r="CH536" s="496"/>
      <c r="CI536" s="496"/>
      <c r="CJ536" s="497"/>
      <c r="CK536" s="496"/>
      <c r="CL536" s="496"/>
      <c r="CM536" s="366"/>
      <c r="CN536" s="496"/>
      <c r="CO536" s="496"/>
      <c r="CP536" s="496"/>
      <c r="CQ536" s="497"/>
      <c r="CR536" s="496"/>
      <c r="CS536" s="496"/>
      <c r="CT536" s="366"/>
      <c r="CU536" s="496"/>
      <c r="CV536" s="496"/>
      <c r="CW536" s="496"/>
      <c r="CX536" s="497"/>
      <c r="CY536" s="496"/>
      <c r="CZ536" s="496"/>
      <c r="DA536" s="366"/>
      <c r="DB536" s="496"/>
      <c r="DC536" s="496"/>
      <c r="DD536" s="496"/>
      <c r="DE536" s="497"/>
      <c r="DF536" s="496"/>
      <c r="DG536" s="496"/>
      <c r="DH536" s="366"/>
      <c r="DI536" s="496"/>
      <c r="DJ536" s="496"/>
      <c r="DK536" s="496"/>
      <c r="DL536" s="497"/>
      <c r="DM536" s="496"/>
      <c r="DN536" s="496"/>
      <c r="DO536" s="366"/>
      <c r="DP536" s="496"/>
      <c r="DQ536" s="496"/>
      <c r="DR536" s="496"/>
      <c r="DS536" s="497"/>
      <c r="DT536" s="496"/>
      <c r="DU536" s="496"/>
      <c r="DV536" s="366"/>
      <c r="DW536" s="496"/>
      <c r="DX536" s="496"/>
      <c r="DY536" s="496"/>
      <c r="DZ536" s="497"/>
      <c r="EA536" s="496"/>
      <c r="EB536" s="496"/>
      <c r="EC536" s="366"/>
      <c r="ED536" s="496"/>
      <c r="EE536" s="496"/>
      <c r="EF536" s="496"/>
      <c r="EG536" s="497"/>
      <c r="EH536" s="496"/>
      <c r="EI536" s="496"/>
      <c r="EJ536" s="366"/>
      <c r="EK536" s="496"/>
      <c r="EL536" s="496"/>
      <c r="EM536" s="496"/>
      <c r="EN536" s="497"/>
      <c r="EO536" s="496"/>
      <c r="EP536" s="496"/>
      <c r="EQ536" s="366"/>
    </row>
    <row r="537" spans="1:147" ht="10.199999999999999" hidden="1" customHeight="1" outlineLevel="1">
      <c r="A537" s="48" t="s">
        <v>380</v>
      </c>
      <c r="B537" s="48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3"/>
      <c r="O537" s="496"/>
      <c r="P537" s="496"/>
      <c r="Q537" s="496"/>
      <c r="R537" s="497"/>
      <c r="S537" s="496"/>
      <c r="T537" s="496"/>
      <c r="U537" s="366"/>
      <c r="V537" s="496"/>
      <c r="W537" s="496"/>
      <c r="X537" s="496"/>
      <c r="Y537" s="497"/>
      <c r="Z537" s="496"/>
      <c r="AA537" s="496"/>
      <c r="AB537" s="366"/>
      <c r="AC537" s="496"/>
      <c r="AD537" s="496"/>
      <c r="AE537" s="496"/>
      <c r="AF537" s="497"/>
      <c r="AG537" s="496"/>
      <c r="AH537" s="496"/>
      <c r="AI537" s="366">
        <f>AI563/AI123</f>
        <v>-118.62266504854369</v>
      </c>
      <c r="AJ537" s="496"/>
      <c r="AK537" s="496"/>
      <c r="AL537" s="496"/>
      <c r="AM537" s="497"/>
      <c r="AN537" s="496"/>
      <c r="AO537" s="496"/>
      <c r="AP537" s="366">
        <f>AP563/AP123</f>
        <v>-121.65032587499999</v>
      </c>
      <c r="AQ537" s="496"/>
      <c r="AR537" s="496"/>
      <c r="AS537" s="496"/>
      <c r="AT537" s="497"/>
      <c r="AU537" s="496"/>
      <c r="AV537" s="496"/>
      <c r="AW537" s="366">
        <f>AW563/AW123</f>
        <v>-122.81652992350746</v>
      </c>
      <c r="AX537" s="496"/>
      <c r="AY537" s="496"/>
      <c r="AZ537" s="496"/>
      <c r="BA537" s="497"/>
      <c r="BB537" s="496"/>
      <c r="BC537" s="496"/>
      <c r="BD537" s="366"/>
      <c r="BE537" s="496"/>
      <c r="BF537" s="496"/>
      <c r="BG537" s="496"/>
      <c r="BH537" s="497"/>
      <c r="BI537" s="496"/>
      <c r="BJ537" s="496"/>
      <c r="BK537" s="366">
        <f>BK563/BK123</f>
        <v>-106.3782979673913</v>
      </c>
      <c r="BL537" s="496"/>
      <c r="BM537" s="496"/>
      <c r="BN537" s="496"/>
      <c r="BO537" s="497"/>
      <c r="BP537" s="496"/>
      <c r="BQ537" s="496"/>
      <c r="BR537" s="366">
        <f>BR563/BR123</f>
        <v>-105.52660446484374</v>
      </c>
      <c r="BS537" s="496"/>
      <c r="BT537" s="496"/>
      <c r="BU537" s="496"/>
      <c r="BV537" s="497"/>
      <c r="BW537" s="496"/>
      <c r="BX537" s="496"/>
      <c r="BY537" s="366"/>
      <c r="BZ537" s="496"/>
      <c r="CA537" s="496"/>
      <c r="CB537" s="496"/>
      <c r="CC537" s="497"/>
      <c r="CD537" s="496"/>
      <c r="CE537" s="496"/>
      <c r="CF537" s="366"/>
      <c r="CG537" s="496"/>
      <c r="CH537" s="496"/>
      <c r="CI537" s="496"/>
      <c r="CJ537" s="497"/>
      <c r="CK537" s="496"/>
      <c r="CL537" s="496"/>
      <c r="CM537" s="366"/>
      <c r="CN537" s="496"/>
      <c r="CO537" s="496"/>
      <c r="CP537" s="496"/>
      <c r="CQ537" s="497"/>
      <c r="CR537" s="496"/>
      <c r="CS537" s="496"/>
      <c r="CT537" s="366"/>
      <c r="CU537" s="496"/>
      <c r="CV537" s="496"/>
      <c r="CW537" s="496"/>
      <c r="CX537" s="497"/>
      <c r="CY537" s="496"/>
      <c r="CZ537" s="496"/>
      <c r="DA537" s="366"/>
      <c r="DB537" s="496"/>
      <c r="DC537" s="496"/>
      <c r="DD537" s="496"/>
      <c r="DE537" s="497"/>
      <c r="DF537" s="496"/>
      <c r="DG537" s="496"/>
      <c r="DH537" s="366"/>
      <c r="DI537" s="496"/>
      <c r="DJ537" s="496"/>
      <c r="DK537" s="496"/>
      <c r="DL537" s="497"/>
      <c r="DM537" s="496"/>
      <c r="DN537" s="496"/>
      <c r="DO537" s="366"/>
      <c r="DP537" s="496"/>
      <c r="DQ537" s="496"/>
      <c r="DR537" s="496"/>
      <c r="DS537" s="497"/>
      <c r="DT537" s="496"/>
      <c r="DU537" s="496"/>
      <c r="DV537" s="366"/>
      <c r="DW537" s="496"/>
      <c r="DX537" s="496"/>
      <c r="DY537" s="496"/>
      <c r="DZ537" s="497"/>
      <c r="EA537" s="496"/>
      <c r="EB537" s="496"/>
      <c r="EC537" s="366"/>
      <c r="ED537" s="496"/>
      <c r="EE537" s="496"/>
      <c r="EF537" s="496"/>
      <c r="EG537" s="497"/>
      <c r="EH537" s="496"/>
      <c r="EI537" s="496"/>
      <c r="EJ537" s="366"/>
      <c r="EK537" s="496"/>
      <c r="EL537" s="496"/>
      <c r="EM537" s="496"/>
      <c r="EN537" s="497"/>
      <c r="EO537" s="496"/>
      <c r="EP537" s="496"/>
      <c r="EQ537" s="366"/>
    </row>
    <row r="538" spans="1:147" ht="10.199999999999999" hidden="1" customHeight="1" outlineLevel="1">
      <c r="A538" s="51" t="s">
        <v>528</v>
      </c>
      <c r="B538" s="48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3"/>
      <c r="O538" s="415"/>
      <c r="P538" s="415"/>
      <c r="Q538" s="415"/>
      <c r="R538" s="448"/>
      <c r="S538" s="415"/>
      <c r="T538" s="415"/>
      <c r="U538" s="345"/>
      <c r="V538" s="415"/>
      <c r="W538" s="415"/>
      <c r="X538" s="415"/>
      <c r="Y538" s="448"/>
      <c r="Z538" s="415"/>
      <c r="AA538" s="415"/>
      <c r="AB538" s="345"/>
      <c r="AC538" s="415"/>
      <c r="AD538" s="415"/>
      <c r="AE538" s="415"/>
      <c r="AF538" s="448"/>
      <c r="AG538" s="415"/>
      <c r="AH538" s="415"/>
      <c r="AI538" s="345"/>
      <c r="AJ538" s="415"/>
      <c r="AK538" s="415"/>
      <c r="AL538" s="415"/>
      <c r="AM538" s="448"/>
      <c r="AN538" s="415"/>
      <c r="AO538" s="415"/>
      <c r="AP538" s="345">
        <v>0.03</v>
      </c>
      <c r="AQ538" s="415"/>
      <c r="AR538" s="415"/>
      <c r="AS538" s="415"/>
      <c r="AT538" s="448"/>
      <c r="AU538" s="415"/>
      <c r="AV538" s="415"/>
      <c r="AW538" s="345">
        <v>0</v>
      </c>
      <c r="AX538" s="415"/>
      <c r="AY538" s="415"/>
      <c r="AZ538" s="415"/>
      <c r="BA538" s="448"/>
      <c r="BB538" s="415"/>
      <c r="BC538" s="415"/>
      <c r="BD538" s="345" t="s">
        <v>654</v>
      </c>
      <c r="BE538" s="415"/>
      <c r="BF538" s="415"/>
      <c r="BG538" s="415"/>
      <c r="BH538" s="448"/>
      <c r="BI538" s="415"/>
      <c r="BJ538" s="415"/>
      <c r="BK538" s="345">
        <v>0</v>
      </c>
      <c r="BL538" s="415"/>
      <c r="BM538" s="415"/>
      <c r="BN538" s="415"/>
      <c r="BO538" s="448"/>
      <c r="BP538" s="415"/>
      <c r="BQ538" s="415"/>
      <c r="BR538" s="345">
        <v>2.5000000000000001E-2</v>
      </c>
      <c r="BS538" s="415"/>
      <c r="BT538" s="415"/>
      <c r="BU538" s="415"/>
      <c r="BV538" s="448"/>
      <c r="BW538" s="415"/>
      <c r="BX538" s="415"/>
      <c r="BY538" s="345"/>
      <c r="BZ538" s="415"/>
      <c r="CA538" s="415"/>
      <c r="CB538" s="415"/>
      <c r="CC538" s="448"/>
      <c r="CD538" s="415"/>
      <c r="CE538" s="415"/>
      <c r="CF538" s="345"/>
      <c r="CG538" s="415"/>
      <c r="CH538" s="415"/>
      <c r="CI538" s="415"/>
      <c r="CJ538" s="448"/>
      <c r="CK538" s="415"/>
      <c r="CL538" s="415"/>
      <c r="CM538" s="345"/>
      <c r="CN538" s="415"/>
      <c r="CO538" s="415"/>
      <c r="CP538" s="415"/>
      <c r="CQ538" s="448"/>
      <c r="CR538" s="415"/>
      <c r="CS538" s="415"/>
      <c r="CT538" s="345"/>
      <c r="CU538" s="415"/>
      <c r="CV538" s="415"/>
      <c r="CW538" s="415"/>
      <c r="CX538" s="448"/>
      <c r="CY538" s="415"/>
      <c r="CZ538" s="415"/>
      <c r="DA538" s="345"/>
      <c r="DB538" s="415"/>
      <c r="DC538" s="415"/>
      <c r="DD538" s="415"/>
      <c r="DE538" s="448"/>
      <c r="DF538" s="415"/>
      <c r="DG538" s="415"/>
      <c r="DH538" s="345"/>
      <c r="DI538" s="415"/>
      <c r="DJ538" s="415"/>
      <c r="DK538" s="415"/>
      <c r="DL538" s="448"/>
      <c r="DM538" s="415"/>
      <c r="DN538" s="415"/>
      <c r="DO538" s="345"/>
      <c r="DP538" s="415"/>
      <c r="DQ538" s="415"/>
      <c r="DR538" s="415"/>
      <c r="DS538" s="448"/>
      <c r="DT538" s="415"/>
      <c r="DU538" s="415"/>
      <c r="DV538" s="345"/>
      <c r="DW538" s="415"/>
      <c r="DX538" s="415"/>
      <c r="DY538" s="415"/>
      <c r="DZ538" s="448"/>
      <c r="EA538" s="415"/>
      <c r="EB538" s="415"/>
      <c r="EC538" s="345"/>
      <c r="ED538" s="415"/>
      <c r="EE538" s="415"/>
      <c r="EF538" s="415"/>
      <c r="EG538" s="448"/>
      <c r="EH538" s="415"/>
      <c r="EI538" s="415"/>
      <c r="EJ538" s="345"/>
      <c r="EK538" s="415"/>
      <c r="EL538" s="415"/>
      <c r="EM538" s="415"/>
      <c r="EN538" s="448"/>
      <c r="EO538" s="415"/>
      <c r="EP538" s="415"/>
      <c r="EQ538" s="345"/>
    </row>
    <row r="539" spans="1:147" ht="10.199999999999999" hidden="1" customHeight="1" outlineLevel="1">
      <c r="A539" s="108" t="s">
        <v>384</v>
      </c>
      <c r="B539" s="48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3"/>
      <c r="O539" s="415"/>
      <c r="P539" s="415"/>
      <c r="Q539" s="415"/>
      <c r="R539" s="448"/>
      <c r="S539" s="415"/>
      <c r="T539" s="415"/>
      <c r="U539" s="345"/>
      <c r="V539" s="415"/>
      <c r="W539" s="415"/>
      <c r="X539" s="415"/>
      <c r="Y539" s="448"/>
      <c r="Z539" s="415"/>
      <c r="AA539" s="415"/>
      <c r="AB539" s="345"/>
      <c r="AC539" s="415"/>
      <c r="AD539" s="415"/>
      <c r="AE539" s="415"/>
      <c r="AF539" s="448"/>
      <c r="AG539" s="415"/>
      <c r="AH539" s="415"/>
      <c r="AI539" s="345"/>
      <c r="AJ539" s="415"/>
      <c r="AK539" s="415"/>
      <c r="AL539" s="415"/>
      <c r="AM539" s="448"/>
      <c r="AN539" s="415"/>
      <c r="AO539" s="415"/>
      <c r="AP539" s="345"/>
      <c r="AQ539" s="415"/>
      <c r="AR539" s="415"/>
      <c r="AS539" s="415"/>
      <c r="AT539" s="448"/>
      <c r="AU539" s="415"/>
      <c r="AV539" s="415"/>
      <c r="AW539" s="345"/>
      <c r="AX539" s="415"/>
      <c r="AY539" s="415"/>
      <c r="AZ539" s="415"/>
      <c r="BA539" s="448"/>
      <c r="BB539" s="415"/>
      <c r="BC539" s="415"/>
      <c r="BD539" s="345"/>
      <c r="BE539" s="415"/>
      <c r="BF539" s="415"/>
      <c r="BG539" s="415"/>
      <c r="BH539" s="448"/>
      <c r="BI539" s="415"/>
      <c r="BJ539" s="415"/>
      <c r="BK539" s="345"/>
      <c r="BL539" s="415"/>
      <c r="BM539" s="415"/>
      <c r="BN539" s="415"/>
      <c r="BO539" s="448"/>
      <c r="BP539" s="415"/>
      <c r="BQ539" s="415"/>
      <c r="BR539" s="345"/>
      <c r="BS539" s="415"/>
      <c r="BT539" s="415"/>
      <c r="BU539" s="415"/>
      <c r="BV539" s="448"/>
      <c r="BW539" s="415"/>
      <c r="BX539" s="415"/>
      <c r="BY539" s="345"/>
      <c r="BZ539" s="415"/>
      <c r="CA539" s="415"/>
      <c r="CB539" s="415"/>
      <c r="CC539" s="448"/>
      <c r="CD539" s="415"/>
      <c r="CE539" s="415"/>
      <c r="CF539" s="345"/>
      <c r="CG539" s="415"/>
      <c r="CH539" s="415"/>
      <c r="CI539" s="415"/>
      <c r="CJ539" s="448"/>
      <c r="CK539" s="415"/>
      <c r="CL539" s="415"/>
      <c r="CM539" s="345"/>
      <c r="CN539" s="415"/>
      <c r="CO539" s="415"/>
      <c r="CP539" s="415"/>
      <c r="CQ539" s="448"/>
      <c r="CR539" s="415"/>
      <c r="CS539" s="415"/>
      <c r="CT539" s="345"/>
      <c r="CU539" s="415"/>
      <c r="CV539" s="415"/>
      <c r="CW539" s="415"/>
      <c r="CX539" s="448"/>
      <c r="CY539" s="415"/>
      <c r="CZ539" s="415"/>
      <c r="DA539" s="345"/>
      <c r="DB539" s="415"/>
      <c r="DC539" s="415"/>
      <c r="DD539" s="415"/>
      <c r="DE539" s="448"/>
      <c r="DF539" s="415"/>
      <c r="DG539" s="415"/>
      <c r="DH539" s="345"/>
      <c r="DI539" s="415"/>
      <c r="DJ539" s="415"/>
      <c r="DK539" s="415"/>
      <c r="DL539" s="448"/>
      <c r="DM539" s="415"/>
      <c r="DN539" s="415"/>
      <c r="DO539" s="345"/>
      <c r="DP539" s="415"/>
      <c r="DQ539" s="415"/>
      <c r="DR539" s="415"/>
      <c r="DS539" s="448"/>
      <c r="DT539" s="415"/>
      <c r="DU539" s="415"/>
      <c r="DV539" s="345"/>
      <c r="DW539" s="415"/>
      <c r="DX539" s="415"/>
      <c r="DY539" s="415"/>
      <c r="DZ539" s="448"/>
      <c r="EA539" s="415"/>
      <c r="EB539" s="415"/>
      <c r="EC539" s="345"/>
      <c r="ED539" s="415"/>
      <c r="EE539" s="415"/>
      <c r="EF539" s="415"/>
      <c r="EG539" s="448"/>
      <c r="EH539" s="415"/>
      <c r="EI539" s="415"/>
      <c r="EJ539" s="345"/>
      <c r="EK539" s="415"/>
      <c r="EL539" s="415"/>
      <c r="EM539" s="415"/>
      <c r="EN539" s="448"/>
      <c r="EO539" s="415"/>
      <c r="EP539" s="415"/>
      <c r="EQ539" s="345"/>
    </row>
    <row r="540" spans="1:147" ht="10.199999999999999" hidden="1" customHeight="1" outlineLevel="1">
      <c r="A540" s="108" t="s">
        <v>385</v>
      </c>
      <c r="B540" s="48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3"/>
      <c r="O540" s="490"/>
      <c r="P540" s="490"/>
      <c r="Q540" s="490"/>
      <c r="R540" s="491"/>
      <c r="S540" s="490"/>
      <c r="T540" s="490"/>
      <c r="U540" s="364"/>
      <c r="V540" s="490"/>
      <c r="W540" s="490"/>
      <c r="X540" s="490"/>
      <c r="Y540" s="491"/>
      <c r="Z540" s="490"/>
      <c r="AA540" s="490"/>
      <c r="AB540" s="364"/>
      <c r="AC540" s="490"/>
      <c r="AD540" s="490"/>
      <c r="AE540" s="490"/>
      <c r="AF540" s="491"/>
      <c r="AG540" s="490"/>
      <c r="AH540" s="490"/>
      <c r="AI540" s="364"/>
      <c r="AJ540" s="490"/>
      <c r="AK540" s="490"/>
      <c r="AL540" s="490"/>
      <c r="AM540" s="491"/>
      <c r="AN540" s="490"/>
      <c r="AO540" s="490"/>
      <c r="AP540" s="364"/>
      <c r="AQ540" s="490"/>
      <c r="AR540" s="490"/>
      <c r="AS540" s="490"/>
      <c r="AT540" s="491"/>
      <c r="AU540" s="490"/>
      <c r="AV540" s="490"/>
      <c r="AW540" s="364"/>
      <c r="AX540" s="490"/>
      <c r="AY540" s="490"/>
      <c r="AZ540" s="490"/>
      <c r="BA540" s="491"/>
      <c r="BB540" s="490"/>
      <c r="BC540" s="490"/>
      <c r="BD540" s="364"/>
      <c r="BE540" s="490"/>
      <c r="BF540" s="490"/>
      <c r="BG540" s="490"/>
      <c r="BH540" s="491"/>
      <c r="BI540" s="490"/>
      <c r="BJ540" s="490"/>
      <c r="BK540" s="364">
        <f>BK565/BK126</f>
        <v>-108.4824</v>
      </c>
      <c r="BL540" s="490"/>
      <c r="BM540" s="490"/>
      <c r="BN540" s="490"/>
      <c r="BO540" s="491"/>
      <c r="BP540" s="490"/>
      <c r="BQ540" s="490"/>
      <c r="BR540" s="364">
        <f>BK540*(1+BR542)</f>
        <v>-111.73687200000001</v>
      </c>
      <c r="BS540" s="490"/>
      <c r="BT540" s="490"/>
      <c r="BU540" s="490"/>
      <c r="BV540" s="491"/>
      <c r="BW540" s="490"/>
      <c r="BX540" s="490"/>
      <c r="BY540" s="364">
        <f>BR540*(1+BY542)</f>
        <v>-150.84477720000001</v>
      </c>
      <c r="BZ540" s="490"/>
      <c r="CA540" s="490"/>
      <c r="CB540" s="490"/>
      <c r="CC540" s="491"/>
      <c r="CD540" s="490"/>
      <c r="CE540" s="490"/>
      <c r="CF540" s="364">
        <f>BY540*(1+CF542)</f>
        <v>-132.74340393600002</v>
      </c>
      <c r="CG540" s="490"/>
      <c r="CH540" s="490"/>
      <c r="CI540" s="490"/>
      <c r="CJ540" s="491"/>
      <c r="CK540" s="490"/>
      <c r="CL540" s="490"/>
      <c r="CM540" s="364">
        <f>CF540*(1+CM542)</f>
        <v>-131.41596989664001</v>
      </c>
      <c r="CN540" s="490"/>
      <c r="CO540" s="490"/>
      <c r="CP540" s="490"/>
      <c r="CQ540" s="491"/>
      <c r="CR540" s="490"/>
      <c r="CS540" s="490"/>
      <c r="CT540" s="364">
        <f>CM540*(1+CT542)</f>
        <v>-131.41596989664001</v>
      </c>
      <c r="CU540" s="490"/>
      <c r="CV540" s="490"/>
      <c r="CW540" s="490"/>
      <c r="CX540" s="491"/>
      <c r="CY540" s="490"/>
      <c r="CZ540" s="490"/>
      <c r="DA540" s="364">
        <f>CT540*(1+DA542)</f>
        <v>-131.41596989664001</v>
      </c>
      <c r="DB540" s="490"/>
      <c r="DC540" s="490"/>
      <c r="DD540" s="490"/>
      <c r="DE540" s="491"/>
      <c r="DF540" s="490"/>
      <c r="DG540" s="490"/>
      <c r="DH540" s="364">
        <f>DA540*(1+DH542)</f>
        <v>-131.41596989664001</v>
      </c>
      <c r="DI540" s="490"/>
      <c r="DJ540" s="490"/>
      <c r="DK540" s="490"/>
      <c r="DL540" s="491"/>
      <c r="DM540" s="490"/>
      <c r="DN540" s="490"/>
      <c r="DO540" s="364">
        <f>DH540*(1+DO542)</f>
        <v>-131.41596989664001</v>
      </c>
      <c r="DP540" s="490"/>
      <c r="DQ540" s="490"/>
      <c r="DR540" s="490"/>
      <c r="DS540" s="491"/>
      <c r="DT540" s="490"/>
      <c r="DU540" s="490"/>
      <c r="DV540" s="364">
        <f>DO540*(1+DV542)</f>
        <v>-131.41596989664001</v>
      </c>
      <c r="DW540" s="490"/>
      <c r="DX540" s="490"/>
      <c r="DY540" s="490"/>
      <c r="DZ540" s="491"/>
      <c r="EA540" s="490"/>
      <c r="EB540" s="490"/>
      <c r="EC540" s="364">
        <f>DV540*(1+EC542)</f>
        <v>-131.41596989664001</v>
      </c>
      <c r="ED540" s="490"/>
      <c r="EE540" s="490"/>
      <c r="EF540" s="490"/>
      <c r="EG540" s="491"/>
      <c r="EH540" s="490"/>
      <c r="EI540" s="490"/>
      <c r="EJ540" s="364">
        <f>EC540*(1+EJ542)</f>
        <v>-131.41596989664001</v>
      </c>
      <c r="EK540" s="490"/>
      <c r="EL540" s="490"/>
      <c r="EM540" s="490"/>
      <c r="EN540" s="491"/>
      <c r="EO540" s="490"/>
      <c r="EP540" s="490"/>
      <c r="EQ540" s="364">
        <f>EJ540*(1+EQ542)</f>
        <v>-131.41596989664001</v>
      </c>
    </row>
    <row r="541" spans="1:147" ht="10.199999999999999" hidden="1" customHeight="1" outlineLevel="1">
      <c r="A541" s="48" t="s">
        <v>381</v>
      </c>
      <c r="B541" s="48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3"/>
      <c r="O541" s="492"/>
      <c r="P541" s="492"/>
      <c r="Q541" s="492"/>
      <c r="R541" s="493"/>
      <c r="S541" s="492"/>
      <c r="T541" s="492"/>
      <c r="U541" s="365"/>
      <c r="V541" s="492"/>
      <c r="W541" s="492"/>
      <c r="X541" s="492"/>
      <c r="Y541" s="493"/>
      <c r="Z541" s="492"/>
      <c r="AA541" s="492"/>
      <c r="AB541" s="365"/>
      <c r="AC541" s="492"/>
      <c r="AD541" s="492"/>
      <c r="AE541" s="492"/>
      <c r="AF541" s="493"/>
      <c r="AG541" s="492"/>
      <c r="AH541" s="492"/>
      <c r="AI541" s="365"/>
      <c r="AJ541" s="492"/>
      <c r="AK541" s="492"/>
      <c r="AL541" s="492"/>
      <c r="AM541" s="493"/>
      <c r="AN541" s="492"/>
      <c r="AO541" s="492"/>
      <c r="AP541" s="365"/>
      <c r="AQ541" s="492"/>
      <c r="AR541" s="492"/>
      <c r="AS541" s="492"/>
      <c r="AT541" s="493"/>
      <c r="AU541" s="492"/>
      <c r="AV541" s="492"/>
      <c r="AW541" s="365"/>
      <c r="AX541" s="492"/>
      <c r="AY541" s="492"/>
      <c r="AZ541" s="492"/>
      <c r="BA541" s="493"/>
      <c r="BB541" s="492"/>
      <c r="BC541" s="492"/>
      <c r="BD541" s="365"/>
      <c r="BE541" s="492"/>
      <c r="BF541" s="492"/>
      <c r="BG541" s="492"/>
      <c r="BH541" s="493"/>
      <c r="BI541" s="492"/>
      <c r="BJ541" s="492"/>
      <c r="BK541" s="365">
        <f>BK566/BK127</f>
        <v>-108.4824</v>
      </c>
      <c r="BL541" s="492"/>
      <c r="BM541" s="492"/>
      <c r="BN541" s="492"/>
      <c r="BO541" s="493"/>
      <c r="BP541" s="492"/>
      <c r="BQ541" s="492"/>
      <c r="BR541" s="365">
        <f>BR566/BR127</f>
        <v>-111.73687200000001</v>
      </c>
      <c r="BS541" s="492"/>
      <c r="BT541" s="492"/>
      <c r="BU541" s="492"/>
      <c r="BV541" s="493"/>
      <c r="BW541" s="492"/>
      <c r="BX541" s="492"/>
      <c r="BY541" s="365">
        <f>BY566/BY127</f>
        <v>-150.84477720000001</v>
      </c>
      <c r="BZ541" s="492"/>
      <c r="CA541" s="492"/>
      <c r="CB541" s="492"/>
      <c r="CC541" s="493"/>
      <c r="CD541" s="492"/>
      <c r="CE541" s="492"/>
      <c r="CF541" s="365">
        <f>CF566/CF127</f>
        <v>-132.74340393600002</v>
      </c>
      <c r="CG541" s="492"/>
      <c r="CH541" s="492"/>
      <c r="CI541" s="492"/>
      <c r="CJ541" s="493"/>
      <c r="CK541" s="492"/>
      <c r="CL541" s="492"/>
      <c r="CM541" s="365">
        <f>CM566/CM127</f>
        <v>-131.41596989664001</v>
      </c>
      <c r="CN541" s="492"/>
      <c r="CO541" s="492"/>
      <c r="CP541" s="492"/>
      <c r="CQ541" s="493"/>
      <c r="CR541" s="492"/>
      <c r="CS541" s="492"/>
      <c r="CT541" s="365">
        <f>CT566/CT127</f>
        <v>-131.41596989664001</v>
      </c>
      <c r="CU541" s="492"/>
      <c r="CV541" s="492"/>
      <c r="CW541" s="492"/>
      <c r="CX541" s="493"/>
      <c r="CY541" s="492"/>
      <c r="CZ541" s="492"/>
      <c r="DA541" s="365">
        <f>DA566/DA127</f>
        <v>-131.41596989664001</v>
      </c>
      <c r="DB541" s="492"/>
      <c r="DC541" s="492"/>
      <c r="DD541" s="492"/>
      <c r="DE541" s="493"/>
      <c r="DF541" s="492"/>
      <c r="DG541" s="492"/>
      <c r="DH541" s="365">
        <f>DH566/DH127</f>
        <v>-131.41596989663998</v>
      </c>
      <c r="DI541" s="492"/>
      <c r="DJ541" s="492"/>
      <c r="DK541" s="492"/>
      <c r="DL541" s="493"/>
      <c r="DM541" s="492"/>
      <c r="DN541" s="492"/>
      <c r="DO541" s="365">
        <f>DO566/DO127</f>
        <v>-131.41596989664001</v>
      </c>
      <c r="DP541" s="492"/>
      <c r="DQ541" s="492"/>
      <c r="DR541" s="492"/>
      <c r="DS541" s="493"/>
      <c r="DT541" s="492"/>
      <c r="DU541" s="492"/>
      <c r="DV541" s="365">
        <f>DV566/DV127</f>
        <v>-131.41596989664001</v>
      </c>
      <c r="DW541" s="492"/>
      <c r="DX541" s="492"/>
      <c r="DY541" s="492"/>
      <c r="DZ541" s="493"/>
      <c r="EA541" s="492"/>
      <c r="EB541" s="492"/>
      <c r="EC541" s="365">
        <f>EC566/EC127</f>
        <v>-131.41596989664001</v>
      </c>
      <c r="ED541" s="492"/>
      <c r="EE541" s="492"/>
      <c r="EF541" s="492"/>
      <c r="EG541" s="493"/>
      <c r="EH541" s="492"/>
      <c r="EI541" s="492"/>
      <c r="EJ541" s="365">
        <f>EJ566/EJ127</f>
        <v>-131.41596989664001</v>
      </c>
      <c r="EK541" s="492"/>
      <c r="EL541" s="492"/>
      <c r="EM541" s="492"/>
      <c r="EN541" s="493"/>
      <c r="EO541" s="492"/>
      <c r="EP541" s="492"/>
      <c r="EQ541" s="365">
        <f>EQ566/EQ127</f>
        <v>-131.41596989664001</v>
      </c>
    </row>
    <row r="542" spans="1:147" ht="10.199999999999999" hidden="1" customHeight="1" outlineLevel="1">
      <c r="A542" s="51" t="s">
        <v>528</v>
      </c>
      <c r="B542" s="48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3"/>
      <c r="O542" s="481"/>
      <c r="P542" s="481"/>
      <c r="Q542" s="481"/>
      <c r="R542" s="482"/>
      <c r="S542" s="481"/>
      <c r="T542" s="481"/>
      <c r="U542" s="361"/>
      <c r="V542" s="481"/>
      <c r="W542" s="481"/>
      <c r="X542" s="481"/>
      <c r="Y542" s="482"/>
      <c r="Z542" s="481"/>
      <c r="AA542" s="481"/>
      <c r="AB542" s="361"/>
      <c r="AC542" s="481"/>
      <c r="AD542" s="481"/>
      <c r="AE542" s="481"/>
      <c r="AF542" s="482"/>
      <c r="AG542" s="481"/>
      <c r="AH542" s="481"/>
      <c r="AI542" s="361"/>
      <c r="AJ542" s="481"/>
      <c r="AK542" s="481"/>
      <c r="AL542" s="481"/>
      <c r="AM542" s="482"/>
      <c r="AN542" s="481"/>
      <c r="AO542" s="481"/>
      <c r="AP542" s="361"/>
      <c r="AQ542" s="481"/>
      <c r="AR542" s="481"/>
      <c r="AS542" s="481"/>
      <c r="AT542" s="482"/>
      <c r="AU542" s="481"/>
      <c r="AV542" s="481"/>
      <c r="AW542" s="361"/>
      <c r="AX542" s="481"/>
      <c r="AY542" s="481"/>
      <c r="AZ542" s="481"/>
      <c r="BA542" s="482"/>
      <c r="BB542" s="481"/>
      <c r="BC542" s="481"/>
      <c r="BD542" s="361"/>
      <c r="BE542" s="481"/>
      <c r="BF542" s="481"/>
      <c r="BG542" s="481"/>
      <c r="BH542" s="482"/>
      <c r="BI542" s="481"/>
      <c r="BJ542" s="481"/>
      <c r="BK542" s="361">
        <v>0</v>
      </c>
      <c r="BL542" s="481"/>
      <c r="BM542" s="481"/>
      <c r="BN542" s="481"/>
      <c r="BO542" s="482"/>
      <c r="BP542" s="481"/>
      <c r="BQ542" s="481"/>
      <c r="BR542" s="361">
        <v>0.03</v>
      </c>
      <c r="BS542" s="481"/>
      <c r="BT542" s="481"/>
      <c r="BU542" s="481"/>
      <c r="BV542" s="482"/>
      <c r="BW542" s="481"/>
      <c r="BX542" s="481"/>
      <c r="BY542" s="361">
        <v>0.35</v>
      </c>
      <c r="BZ542" s="481"/>
      <c r="CA542" s="481"/>
      <c r="CB542" s="481"/>
      <c r="CC542" s="482"/>
      <c r="CD542" s="481"/>
      <c r="CE542" s="481"/>
      <c r="CF542" s="361">
        <v>-0.12</v>
      </c>
      <c r="CG542" s="481"/>
      <c r="CH542" s="481"/>
      <c r="CI542" s="481"/>
      <c r="CJ542" s="482"/>
      <c r="CK542" s="481"/>
      <c r="CL542" s="481"/>
      <c r="CM542" s="361">
        <v>-0.01</v>
      </c>
      <c r="CN542" s="481"/>
      <c r="CO542" s="481"/>
      <c r="CP542" s="481"/>
      <c r="CQ542" s="482"/>
      <c r="CR542" s="481"/>
      <c r="CS542" s="481"/>
      <c r="CT542" s="361">
        <v>0</v>
      </c>
      <c r="CU542" s="481"/>
      <c r="CV542" s="481"/>
      <c r="CW542" s="481"/>
      <c r="CX542" s="482"/>
      <c r="CY542" s="481"/>
      <c r="CZ542" s="481"/>
      <c r="DA542" s="361">
        <v>0</v>
      </c>
      <c r="DB542" s="481"/>
      <c r="DC542" s="481"/>
      <c r="DD542" s="481"/>
      <c r="DE542" s="482"/>
      <c r="DF542" s="481"/>
      <c r="DG542" s="481"/>
      <c r="DH542" s="361">
        <v>0</v>
      </c>
      <c r="DI542" s="481"/>
      <c r="DJ542" s="481"/>
      <c r="DK542" s="481"/>
      <c r="DL542" s="482"/>
      <c r="DM542" s="481"/>
      <c r="DN542" s="481"/>
      <c r="DO542" s="361">
        <v>0</v>
      </c>
      <c r="DP542" s="481"/>
      <c r="DQ542" s="481"/>
      <c r="DR542" s="481"/>
      <c r="DS542" s="482"/>
      <c r="DT542" s="481"/>
      <c r="DU542" s="481"/>
      <c r="DV542" s="361">
        <v>0</v>
      </c>
      <c r="DW542" s="481"/>
      <c r="DX542" s="481"/>
      <c r="DY542" s="481"/>
      <c r="DZ542" s="482"/>
      <c r="EA542" s="481"/>
      <c r="EB542" s="481"/>
      <c r="EC542" s="361">
        <v>0</v>
      </c>
      <c r="ED542" s="481"/>
      <c r="EE542" s="481"/>
      <c r="EF542" s="481"/>
      <c r="EG542" s="482"/>
      <c r="EH542" s="481"/>
      <c r="EI542" s="481"/>
      <c r="EJ542" s="361">
        <v>0</v>
      </c>
      <c r="EK542" s="481"/>
      <c r="EL542" s="481"/>
      <c r="EM542" s="481"/>
      <c r="EN542" s="482"/>
      <c r="EO542" s="481"/>
      <c r="EP542" s="481"/>
      <c r="EQ542" s="361">
        <v>0</v>
      </c>
    </row>
    <row r="543" spans="1:147" ht="10.199999999999999" hidden="1" customHeight="1" outlineLevel="1">
      <c r="A543" s="108" t="s">
        <v>371</v>
      </c>
      <c r="B543" s="48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3"/>
      <c r="O543" s="490"/>
      <c r="P543" s="490"/>
      <c r="Q543" s="490"/>
      <c r="R543" s="491"/>
      <c r="S543" s="490"/>
      <c r="T543" s="490"/>
      <c r="U543" s="364"/>
      <c r="V543" s="490"/>
      <c r="W543" s="490"/>
      <c r="X543" s="490"/>
      <c r="Y543" s="491"/>
      <c r="Z543" s="490"/>
      <c r="AA543" s="490"/>
      <c r="AB543" s="364"/>
      <c r="AC543" s="490"/>
      <c r="AD543" s="490"/>
      <c r="AE543" s="490"/>
      <c r="AF543" s="491"/>
      <c r="AG543" s="490"/>
      <c r="AH543" s="490"/>
      <c r="AI543" s="364"/>
      <c r="AJ543" s="490"/>
      <c r="AK543" s="490"/>
      <c r="AL543" s="490"/>
      <c r="AM543" s="491"/>
      <c r="AN543" s="490"/>
      <c r="AO543" s="490"/>
      <c r="AP543" s="364"/>
      <c r="AQ543" s="490"/>
      <c r="AR543" s="490"/>
      <c r="AS543" s="490"/>
      <c r="AT543" s="491"/>
      <c r="AU543" s="490"/>
      <c r="AV543" s="490"/>
      <c r="AW543" s="364"/>
      <c r="AX543" s="490"/>
      <c r="AY543" s="490"/>
      <c r="AZ543" s="490"/>
      <c r="BA543" s="491"/>
      <c r="BB543" s="490"/>
      <c r="BC543" s="490"/>
      <c r="BD543" s="364"/>
      <c r="BE543" s="490"/>
      <c r="BF543" s="490"/>
      <c r="BG543" s="490"/>
      <c r="BH543" s="491"/>
      <c r="BI543" s="490"/>
      <c r="BJ543" s="490"/>
      <c r="BK543" s="364"/>
      <c r="BL543" s="490"/>
      <c r="BM543" s="490"/>
      <c r="BN543" s="490"/>
      <c r="BO543" s="491"/>
      <c r="BP543" s="490"/>
      <c r="BQ543" s="490"/>
      <c r="BR543" s="364"/>
      <c r="BS543" s="490"/>
      <c r="BT543" s="490"/>
      <c r="BU543" s="490"/>
      <c r="BV543" s="491"/>
      <c r="BW543" s="490"/>
      <c r="BX543" s="490"/>
      <c r="BY543" s="364">
        <f>+BY544+20</f>
        <v>-137.11199291965409</v>
      </c>
      <c r="BZ543" s="490"/>
      <c r="CA543" s="490"/>
      <c r="CB543" s="490"/>
      <c r="CC543" s="491"/>
      <c r="CD543" s="490"/>
      <c r="CE543" s="490"/>
      <c r="CF543" s="364">
        <f>BY543*(1+CF547)</f>
        <v>-132.99863313206447</v>
      </c>
      <c r="CG543" s="490"/>
      <c r="CH543" s="490"/>
      <c r="CI543" s="490"/>
      <c r="CJ543" s="491"/>
      <c r="CK543" s="490"/>
      <c r="CL543" s="490"/>
      <c r="CM543" s="364">
        <f>CF543*(1+CM547)</f>
        <v>-135.65860579470575</v>
      </c>
      <c r="CN543" s="490"/>
      <c r="CO543" s="490"/>
      <c r="CP543" s="490"/>
      <c r="CQ543" s="491"/>
      <c r="CR543" s="490"/>
      <c r="CS543" s="490"/>
      <c r="CT543" s="364">
        <f>CM543*(1+CT547)</f>
        <v>-138.37177791059986</v>
      </c>
      <c r="CU543" s="490"/>
      <c r="CV543" s="490"/>
      <c r="CW543" s="490"/>
      <c r="CX543" s="491"/>
      <c r="CY543" s="490"/>
      <c r="CZ543" s="490"/>
      <c r="DA543" s="364">
        <f>CT543*(1+DA547)</f>
        <v>-141.13921346881185</v>
      </c>
      <c r="DB543" s="490"/>
      <c r="DC543" s="490"/>
      <c r="DD543" s="490"/>
      <c r="DE543" s="491"/>
      <c r="DF543" s="490"/>
      <c r="DG543" s="490"/>
      <c r="DH543" s="364">
        <f>DA543*(1+DH547)</f>
        <v>-143.96199773818807</v>
      </c>
      <c r="DI543" s="490"/>
      <c r="DJ543" s="490"/>
      <c r="DK543" s="490"/>
      <c r="DL543" s="491"/>
      <c r="DM543" s="490"/>
      <c r="DN543" s="490"/>
      <c r="DO543" s="364">
        <f>DH543*(1+DO547)</f>
        <v>-146.84123769295184</v>
      </c>
      <c r="DP543" s="490"/>
      <c r="DQ543" s="490"/>
      <c r="DR543" s="490"/>
      <c r="DS543" s="491"/>
      <c r="DT543" s="490"/>
      <c r="DU543" s="490"/>
      <c r="DV543" s="364">
        <f>DO543*(1+DV547)</f>
        <v>-149.77806244681088</v>
      </c>
      <c r="DW543" s="490"/>
      <c r="DX543" s="490"/>
      <c r="DY543" s="490"/>
      <c r="DZ543" s="491"/>
      <c r="EA543" s="490"/>
      <c r="EB543" s="490"/>
      <c r="EC543" s="364">
        <f>DV543*(1+EC547)</f>
        <v>-152.77362369574709</v>
      </c>
      <c r="ED543" s="490"/>
      <c r="EE543" s="490"/>
      <c r="EF543" s="490"/>
      <c r="EG543" s="491"/>
      <c r="EH543" s="490"/>
      <c r="EI543" s="490"/>
      <c r="EJ543" s="364">
        <f>EC543*(1+EJ547)</f>
        <v>-155.82909616966202</v>
      </c>
      <c r="EK543" s="490"/>
      <c r="EL543" s="490"/>
      <c r="EM543" s="490"/>
      <c r="EN543" s="491"/>
      <c r="EO543" s="490"/>
      <c r="EP543" s="490"/>
      <c r="EQ543" s="364">
        <f>EJ543*(1+EQ547)</f>
        <v>-158.94567809305528</v>
      </c>
    </row>
    <row r="544" spans="1:147" ht="10.199999999999999" hidden="1" customHeight="1" outlineLevel="1">
      <c r="A544" s="108" t="s">
        <v>369</v>
      </c>
      <c r="B544" s="48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3"/>
      <c r="O544" s="490"/>
      <c r="P544" s="490"/>
      <c r="Q544" s="490"/>
      <c r="R544" s="491"/>
      <c r="S544" s="490"/>
      <c r="T544" s="490"/>
      <c r="U544" s="364"/>
      <c r="V544" s="490"/>
      <c r="W544" s="490"/>
      <c r="X544" s="490"/>
      <c r="Y544" s="491"/>
      <c r="Z544" s="490"/>
      <c r="AA544" s="490"/>
      <c r="AB544" s="364"/>
      <c r="AC544" s="490"/>
      <c r="AD544" s="490"/>
      <c r="AE544" s="490"/>
      <c r="AF544" s="491"/>
      <c r="AG544" s="490"/>
      <c r="AH544" s="490"/>
      <c r="AI544" s="364">
        <f>AI568/AI137</f>
        <v>-262.12799999999999</v>
      </c>
      <c r="AJ544" s="490"/>
      <c r="AK544" s="490"/>
      <c r="AL544" s="490"/>
      <c r="AM544" s="491"/>
      <c r="AN544" s="490"/>
      <c r="AO544" s="490"/>
      <c r="AP544" s="364">
        <f>AI544*(1+AP547)</f>
        <v>-186.11087999999998</v>
      </c>
      <c r="AQ544" s="490"/>
      <c r="AR544" s="490"/>
      <c r="AS544" s="490"/>
      <c r="AT544" s="491"/>
      <c r="AU544" s="490"/>
      <c r="AV544" s="490"/>
      <c r="AW544" s="364">
        <f>AP544*(1+AW547)</f>
        <v>-172.37589705599999</v>
      </c>
      <c r="AX544" s="490"/>
      <c r="AY544" s="490"/>
      <c r="AZ544" s="490"/>
      <c r="BA544" s="491"/>
      <c r="BB544" s="490"/>
      <c r="BC544" s="490"/>
      <c r="BD544" s="364">
        <f>+AW544+4</f>
        <v>-168.37589705599999</v>
      </c>
      <c r="BE544" s="490"/>
      <c r="BF544" s="490"/>
      <c r="BG544" s="490"/>
      <c r="BH544" s="491"/>
      <c r="BI544" s="490"/>
      <c r="BJ544" s="490"/>
      <c r="BK544" s="364">
        <f>+(AW544+16.5)*(1+BK$547)</f>
        <v>-145.74396374736</v>
      </c>
      <c r="BL544" s="490"/>
      <c r="BM544" s="490"/>
      <c r="BN544" s="490"/>
      <c r="BO544" s="491"/>
      <c r="BP544" s="490"/>
      <c r="BQ544" s="490"/>
      <c r="BR544" s="364">
        <f>BK544*(1+BR547)</f>
        <v>-142.8290844724128</v>
      </c>
      <c r="BS544" s="490"/>
      <c r="BT544" s="490"/>
      <c r="BU544" s="490"/>
      <c r="BV544" s="491"/>
      <c r="BW544" s="490"/>
      <c r="BX544" s="490"/>
      <c r="BY544" s="364">
        <f>BR544*(1+BY547)</f>
        <v>-157.11199291965409</v>
      </c>
      <c r="BZ544" s="490"/>
      <c r="CA544" s="490"/>
      <c r="CB544" s="490"/>
      <c r="CC544" s="491"/>
      <c r="CD544" s="490"/>
      <c r="CE544" s="490"/>
      <c r="CF544" s="364">
        <f>BY544*(1+CF547)</f>
        <v>-152.39863313206445</v>
      </c>
      <c r="CG544" s="490"/>
      <c r="CH544" s="490"/>
      <c r="CI544" s="490"/>
      <c r="CJ544" s="491"/>
      <c r="CK544" s="490"/>
      <c r="CL544" s="490"/>
      <c r="CM544" s="364">
        <f>CF544*(1+CM547)</f>
        <v>-155.44660579470573</v>
      </c>
      <c r="CN544" s="490"/>
      <c r="CO544" s="490"/>
      <c r="CP544" s="490"/>
      <c r="CQ544" s="491"/>
      <c r="CR544" s="490"/>
      <c r="CS544" s="490"/>
      <c r="CT544" s="364">
        <f>CM544*(1+CT547)</f>
        <v>-158.55553791059984</v>
      </c>
      <c r="CU544" s="490"/>
      <c r="CV544" s="490"/>
      <c r="CW544" s="490"/>
      <c r="CX544" s="491"/>
      <c r="CY544" s="490"/>
      <c r="CZ544" s="490"/>
      <c r="DA544" s="364">
        <f>CT544*(1+DA547)</f>
        <v>-161.72664866881183</v>
      </c>
      <c r="DB544" s="490"/>
      <c r="DC544" s="490"/>
      <c r="DD544" s="490"/>
      <c r="DE544" s="491"/>
      <c r="DF544" s="490"/>
      <c r="DG544" s="490"/>
      <c r="DH544" s="364">
        <f>DA544*(1+DH547)</f>
        <v>-164.96118164218808</v>
      </c>
      <c r="DI544" s="490"/>
      <c r="DJ544" s="490"/>
      <c r="DK544" s="490"/>
      <c r="DL544" s="491"/>
      <c r="DM544" s="490"/>
      <c r="DN544" s="490"/>
      <c r="DO544" s="364">
        <f>DH544*(1+DO547)</f>
        <v>-168.26040527503184</v>
      </c>
      <c r="DP544" s="490"/>
      <c r="DQ544" s="490"/>
      <c r="DR544" s="490"/>
      <c r="DS544" s="491"/>
      <c r="DT544" s="490"/>
      <c r="DU544" s="490"/>
      <c r="DV544" s="364">
        <f>DO544*(1+DV547)</f>
        <v>-171.62561338053249</v>
      </c>
      <c r="DW544" s="490"/>
      <c r="DX544" s="490"/>
      <c r="DY544" s="490"/>
      <c r="DZ544" s="491"/>
      <c r="EA544" s="490"/>
      <c r="EB544" s="490"/>
      <c r="EC544" s="364">
        <f>DV544*(1+EC547)</f>
        <v>-175.05812564814315</v>
      </c>
      <c r="ED544" s="490"/>
      <c r="EE544" s="490"/>
      <c r="EF544" s="490"/>
      <c r="EG544" s="491"/>
      <c r="EH544" s="490"/>
      <c r="EI544" s="490"/>
      <c r="EJ544" s="364">
        <f>EC544*(1+EJ547)</f>
        <v>-178.55928816110602</v>
      </c>
      <c r="EK544" s="490"/>
      <c r="EL544" s="490"/>
      <c r="EM544" s="490"/>
      <c r="EN544" s="491"/>
      <c r="EO544" s="490"/>
      <c r="EP544" s="490"/>
      <c r="EQ544" s="364">
        <f>EJ544*(1+EQ547)</f>
        <v>-182.13047392432816</v>
      </c>
    </row>
    <row r="545" spans="1:147" ht="10.199999999999999" hidden="1" customHeight="1" outlineLevel="1">
      <c r="A545" s="108" t="s">
        <v>370</v>
      </c>
      <c r="B545" s="48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3"/>
      <c r="O545" s="490"/>
      <c r="P545" s="490"/>
      <c r="Q545" s="490"/>
      <c r="R545" s="491"/>
      <c r="S545" s="490"/>
      <c r="T545" s="490"/>
      <c r="U545" s="364"/>
      <c r="V545" s="490"/>
      <c r="W545" s="490"/>
      <c r="X545" s="490"/>
      <c r="Y545" s="491"/>
      <c r="Z545" s="490"/>
      <c r="AA545" s="490"/>
      <c r="AB545" s="364"/>
      <c r="AC545" s="490"/>
      <c r="AD545" s="490"/>
      <c r="AE545" s="490"/>
      <c r="AF545" s="491"/>
      <c r="AG545" s="490"/>
      <c r="AH545" s="490"/>
      <c r="AI545" s="364"/>
      <c r="AJ545" s="490"/>
      <c r="AK545" s="490"/>
      <c r="AL545" s="490"/>
      <c r="AM545" s="491"/>
      <c r="AN545" s="490"/>
      <c r="AO545" s="490"/>
      <c r="AP545" s="364"/>
      <c r="AQ545" s="490"/>
      <c r="AR545" s="490"/>
      <c r="AS545" s="490"/>
      <c r="AT545" s="491"/>
      <c r="AU545" s="490"/>
      <c r="AV545" s="490"/>
      <c r="AW545" s="364"/>
      <c r="AX545" s="490"/>
      <c r="AY545" s="490"/>
      <c r="AZ545" s="490"/>
      <c r="BA545" s="491"/>
      <c r="BB545" s="490"/>
      <c r="BC545" s="490"/>
      <c r="BD545" s="364"/>
      <c r="BE545" s="490"/>
      <c r="BF545" s="490"/>
      <c r="BG545" s="490"/>
      <c r="BH545" s="491"/>
      <c r="BI545" s="490"/>
      <c r="BJ545" s="490"/>
      <c r="BK545" s="364">
        <f>BK569/BK138</f>
        <v>-168.28973759737696</v>
      </c>
      <c r="BL545" s="490"/>
      <c r="BM545" s="490"/>
      <c r="BN545" s="490"/>
      <c r="BO545" s="491"/>
      <c r="BP545" s="490"/>
      <c r="BQ545" s="490"/>
      <c r="BR545" s="364">
        <f>BK545*(1+BR547)</f>
        <v>-164.92394284542942</v>
      </c>
      <c r="BS545" s="490"/>
      <c r="BT545" s="490"/>
      <c r="BU545" s="490"/>
      <c r="BV545" s="491"/>
      <c r="BW545" s="490"/>
      <c r="BX545" s="490"/>
      <c r="BY545" s="364">
        <f>BR545*(1+BY547)</f>
        <v>-181.41633712997239</v>
      </c>
      <c r="BZ545" s="490"/>
      <c r="CA545" s="490"/>
      <c r="CB545" s="490"/>
      <c r="CC545" s="491"/>
      <c r="CD545" s="490"/>
      <c r="CE545" s="490"/>
      <c r="CF545" s="364">
        <f>BY545*(1+CF547)</f>
        <v>-175.97384701607322</v>
      </c>
      <c r="CG545" s="490"/>
      <c r="CH545" s="490"/>
      <c r="CI545" s="490"/>
      <c r="CJ545" s="491"/>
      <c r="CK545" s="490"/>
      <c r="CL545" s="490"/>
      <c r="CM545" s="364">
        <f>CF545*(1+CM547)</f>
        <v>-179.49332395639468</v>
      </c>
      <c r="CN545" s="490"/>
      <c r="CO545" s="490"/>
      <c r="CP545" s="490"/>
      <c r="CQ545" s="491"/>
      <c r="CR545" s="490"/>
      <c r="CS545" s="490"/>
      <c r="CT545" s="364">
        <f>CM545*(1+CT547)</f>
        <v>-183.08319043552257</v>
      </c>
      <c r="CU545" s="490"/>
      <c r="CV545" s="490"/>
      <c r="CW545" s="490"/>
      <c r="CX545" s="491"/>
      <c r="CY545" s="490"/>
      <c r="CZ545" s="490"/>
      <c r="DA545" s="364">
        <f>CT545*(1+DA547)</f>
        <v>-186.74485424423301</v>
      </c>
      <c r="DB545" s="490"/>
      <c r="DC545" s="490"/>
      <c r="DD545" s="490"/>
      <c r="DE545" s="491"/>
      <c r="DF545" s="490"/>
      <c r="DG545" s="490"/>
      <c r="DH545" s="364">
        <f>DA545*(1+DH547)</f>
        <v>-190.47975132911768</v>
      </c>
      <c r="DI545" s="490"/>
      <c r="DJ545" s="490"/>
      <c r="DK545" s="490"/>
      <c r="DL545" s="491"/>
      <c r="DM545" s="490"/>
      <c r="DN545" s="490"/>
      <c r="DO545" s="364">
        <f>DH545*(1+DO547)</f>
        <v>-194.28934635570002</v>
      </c>
      <c r="DP545" s="490"/>
      <c r="DQ545" s="490"/>
      <c r="DR545" s="490"/>
      <c r="DS545" s="491"/>
      <c r="DT545" s="490"/>
      <c r="DU545" s="490"/>
      <c r="DV545" s="364">
        <f>DO545*(1+DV547)</f>
        <v>-198.17513328281402</v>
      </c>
      <c r="DW545" s="490"/>
      <c r="DX545" s="490"/>
      <c r="DY545" s="490"/>
      <c r="DZ545" s="491"/>
      <c r="EA545" s="490"/>
      <c r="EB545" s="490"/>
      <c r="EC545" s="364">
        <f>DV545*(1+EC547)</f>
        <v>-202.1386359484703</v>
      </c>
      <c r="ED545" s="490"/>
      <c r="EE545" s="490"/>
      <c r="EF545" s="490"/>
      <c r="EG545" s="491"/>
      <c r="EH545" s="490"/>
      <c r="EI545" s="490"/>
      <c r="EJ545" s="364">
        <f>EC545*(1+EJ547)</f>
        <v>-206.18140866743971</v>
      </c>
      <c r="EK545" s="490"/>
      <c r="EL545" s="490"/>
      <c r="EM545" s="490"/>
      <c r="EN545" s="491"/>
      <c r="EO545" s="490"/>
      <c r="EP545" s="490"/>
      <c r="EQ545" s="364">
        <f>EJ545*(1+EQ547)</f>
        <v>-210.30503684078852</v>
      </c>
    </row>
    <row r="546" spans="1:147" ht="10.199999999999999" hidden="1" customHeight="1" outlineLevel="1">
      <c r="A546" s="48" t="s">
        <v>238</v>
      </c>
      <c r="B546" s="48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3"/>
      <c r="O546" s="492"/>
      <c r="P546" s="492"/>
      <c r="Q546" s="492"/>
      <c r="R546" s="493"/>
      <c r="S546" s="492"/>
      <c r="T546" s="492"/>
      <c r="U546" s="365"/>
      <c r="V546" s="492"/>
      <c r="W546" s="492"/>
      <c r="X546" s="492"/>
      <c r="Y546" s="493"/>
      <c r="Z546" s="492"/>
      <c r="AA546" s="492"/>
      <c r="AB546" s="365"/>
      <c r="AC546" s="492"/>
      <c r="AD546" s="492"/>
      <c r="AE546" s="492"/>
      <c r="AF546" s="493"/>
      <c r="AG546" s="492"/>
      <c r="AH546" s="492"/>
      <c r="AI546" s="365">
        <f>AI570/AI139</f>
        <v>-262.12799999999999</v>
      </c>
      <c r="AJ546" s="492"/>
      <c r="AK546" s="492"/>
      <c r="AL546" s="492"/>
      <c r="AM546" s="493"/>
      <c r="AN546" s="492"/>
      <c r="AO546" s="492"/>
      <c r="AP546" s="365">
        <f>AP570/AP139</f>
        <v>-186.11087999999998</v>
      </c>
      <c r="AQ546" s="492"/>
      <c r="AR546" s="492"/>
      <c r="AS546" s="492"/>
      <c r="AT546" s="493"/>
      <c r="AU546" s="492"/>
      <c r="AV546" s="492"/>
      <c r="AW546" s="365">
        <f>AW570/AW139</f>
        <v>-172.37589705599999</v>
      </c>
      <c r="AX546" s="492"/>
      <c r="AY546" s="492"/>
      <c r="AZ546" s="492"/>
      <c r="BA546" s="493"/>
      <c r="BB546" s="492"/>
      <c r="BC546" s="492"/>
      <c r="BD546" s="365"/>
      <c r="BE546" s="492"/>
      <c r="BF546" s="492"/>
      <c r="BG546" s="492"/>
      <c r="BH546" s="493"/>
      <c r="BI546" s="492"/>
      <c r="BJ546" s="492"/>
      <c r="BK546" s="365">
        <f>BK570/BK139</f>
        <v>-149.13795120865288</v>
      </c>
      <c r="BL546" s="492"/>
      <c r="BM546" s="492"/>
      <c r="BN546" s="492"/>
      <c r="BO546" s="493"/>
      <c r="BP546" s="492"/>
      <c r="BQ546" s="492"/>
      <c r="BR546" s="365">
        <f>BR570/BR139</f>
        <v>-147.76097250210401</v>
      </c>
      <c r="BS546" s="492"/>
      <c r="BT546" s="492"/>
      <c r="BU546" s="492"/>
      <c r="BV546" s="493"/>
      <c r="BW546" s="492"/>
      <c r="BX546" s="492"/>
      <c r="BY546" s="365">
        <f>BY570/BY139</f>
        <v>-162.87912544413638</v>
      </c>
      <c r="BZ546" s="492"/>
      <c r="CA546" s="492"/>
      <c r="CB546" s="492"/>
      <c r="CC546" s="493"/>
      <c r="CD546" s="492"/>
      <c r="CE546" s="492"/>
      <c r="CF546" s="365">
        <f>CF570/CF139</f>
        <v>-154.97047464668358</v>
      </c>
      <c r="CG546" s="492"/>
      <c r="CH546" s="492"/>
      <c r="CI546" s="492"/>
      <c r="CJ546" s="493"/>
      <c r="CK546" s="492"/>
      <c r="CL546" s="492"/>
      <c r="CM546" s="365">
        <f>CM570/CM139</f>
        <v>-159.45439215498723</v>
      </c>
      <c r="CN546" s="492"/>
      <c r="CO546" s="492"/>
      <c r="CP546" s="492"/>
      <c r="CQ546" s="493"/>
      <c r="CR546" s="492"/>
      <c r="CS546" s="492"/>
      <c r="CT546" s="365">
        <f>CT570/CT139</f>
        <v>-163.15447275902287</v>
      </c>
      <c r="CU546" s="492"/>
      <c r="CV546" s="492"/>
      <c r="CW546" s="492"/>
      <c r="CX546" s="493"/>
      <c r="CY546" s="492"/>
      <c r="CZ546" s="492"/>
      <c r="DA546" s="365">
        <f>DA570/DA139</f>
        <v>-167.43255520355703</v>
      </c>
      <c r="DB546" s="492"/>
      <c r="DC546" s="492"/>
      <c r="DD546" s="492"/>
      <c r="DE546" s="493"/>
      <c r="DF546" s="492"/>
      <c r="DG546" s="492"/>
      <c r="DH546" s="365">
        <f>DH570/DH139</f>
        <v>-171.67659471769585</v>
      </c>
      <c r="DI546" s="492"/>
      <c r="DJ546" s="492"/>
      <c r="DK546" s="492"/>
      <c r="DL546" s="493"/>
      <c r="DM546" s="492"/>
      <c r="DN546" s="492"/>
      <c r="DO546" s="365">
        <f>DO570/DO139</f>
        <v>-174.76764054519887</v>
      </c>
      <c r="DP546" s="492"/>
      <c r="DQ546" s="492"/>
      <c r="DR546" s="492"/>
      <c r="DS546" s="493"/>
      <c r="DT546" s="492"/>
      <c r="DU546" s="492"/>
      <c r="DV546" s="365">
        <f>DV570/DV139</f>
        <v>-178.2629933561029</v>
      </c>
      <c r="DW546" s="492"/>
      <c r="DX546" s="492"/>
      <c r="DY546" s="492"/>
      <c r="DZ546" s="493"/>
      <c r="EA546" s="492"/>
      <c r="EB546" s="492"/>
      <c r="EC546" s="365">
        <f>EC570/EC139</f>
        <v>-181.82825322322495</v>
      </c>
      <c r="ED546" s="492"/>
      <c r="EE546" s="492"/>
      <c r="EF546" s="492"/>
      <c r="EG546" s="493"/>
      <c r="EH546" s="492"/>
      <c r="EI546" s="492"/>
      <c r="EJ546" s="365">
        <f>EJ570/EJ139</f>
        <v>-185.46481828768944</v>
      </c>
      <c r="EK546" s="492"/>
      <c r="EL546" s="492"/>
      <c r="EM546" s="492"/>
      <c r="EN546" s="493"/>
      <c r="EO546" s="492"/>
      <c r="EP546" s="492"/>
      <c r="EQ546" s="365">
        <f>EQ570/EQ139</f>
        <v>-189.17411465344324</v>
      </c>
    </row>
    <row r="547" spans="1:147" ht="10.199999999999999" hidden="1" customHeight="1" outlineLevel="1">
      <c r="A547" s="51" t="s">
        <v>528</v>
      </c>
      <c r="B547" s="48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3"/>
      <c r="O547" s="481"/>
      <c r="P547" s="481"/>
      <c r="Q547" s="481"/>
      <c r="R547" s="482"/>
      <c r="S547" s="481"/>
      <c r="T547" s="481"/>
      <c r="U547" s="361"/>
      <c r="V547" s="481"/>
      <c r="W547" s="481"/>
      <c r="X547" s="481"/>
      <c r="Y547" s="482"/>
      <c r="Z547" s="481"/>
      <c r="AA547" s="481"/>
      <c r="AB547" s="361"/>
      <c r="AC547" s="481"/>
      <c r="AD547" s="481"/>
      <c r="AE547" s="481"/>
      <c r="AF547" s="482"/>
      <c r="AG547" s="481"/>
      <c r="AH547" s="481"/>
      <c r="AI547" s="361"/>
      <c r="AJ547" s="481"/>
      <c r="AK547" s="481"/>
      <c r="AL547" s="481"/>
      <c r="AM547" s="482"/>
      <c r="AN547" s="481"/>
      <c r="AO547" s="481"/>
      <c r="AP547" s="361">
        <v>-0.28999999999999998</v>
      </c>
      <c r="AQ547" s="481"/>
      <c r="AR547" s="481"/>
      <c r="AS547" s="481"/>
      <c r="AT547" s="482"/>
      <c r="AU547" s="481"/>
      <c r="AV547" s="481"/>
      <c r="AW547" s="361">
        <v>-7.3800000000000004E-2</v>
      </c>
      <c r="AX547" s="481"/>
      <c r="AY547" s="481"/>
      <c r="AZ547" s="481"/>
      <c r="BA547" s="482"/>
      <c r="BB547" s="481"/>
      <c r="BC547" s="481"/>
      <c r="BD547" s="361" t="s">
        <v>654</v>
      </c>
      <c r="BE547" s="481"/>
      <c r="BF547" s="481"/>
      <c r="BG547" s="481"/>
      <c r="BH547" s="482"/>
      <c r="BI547" s="481"/>
      <c r="BJ547" s="481"/>
      <c r="BK547" s="361">
        <v>-6.5000000000000002E-2</v>
      </c>
      <c r="BL547" s="481"/>
      <c r="BM547" s="481"/>
      <c r="BN547" s="481"/>
      <c r="BO547" s="482"/>
      <c r="BP547" s="481"/>
      <c r="BQ547" s="481"/>
      <c r="BR547" s="361">
        <v>-0.02</v>
      </c>
      <c r="BS547" s="481"/>
      <c r="BT547" s="481"/>
      <c r="BU547" s="481"/>
      <c r="BV547" s="482"/>
      <c r="BW547" s="481"/>
      <c r="BX547" s="481"/>
      <c r="BY547" s="361">
        <v>0.1</v>
      </c>
      <c r="BZ547" s="481"/>
      <c r="CA547" s="481"/>
      <c r="CB547" s="481"/>
      <c r="CC547" s="482"/>
      <c r="CD547" s="481"/>
      <c r="CE547" s="481"/>
      <c r="CF547" s="361">
        <v>-0.03</v>
      </c>
      <c r="CG547" s="481"/>
      <c r="CH547" s="481"/>
      <c r="CI547" s="481"/>
      <c r="CJ547" s="482"/>
      <c r="CK547" s="481"/>
      <c r="CL547" s="481"/>
      <c r="CM547" s="361">
        <v>0.02</v>
      </c>
      <c r="CN547" s="481"/>
      <c r="CO547" s="481"/>
      <c r="CP547" s="481"/>
      <c r="CQ547" s="482"/>
      <c r="CR547" s="481"/>
      <c r="CS547" s="481"/>
      <c r="CT547" s="361">
        <v>0.02</v>
      </c>
      <c r="CU547" s="481"/>
      <c r="CV547" s="481"/>
      <c r="CW547" s="481"/>
      <c r="CX547" s="482"/>
      <c r="CY547" s="481"/>
      <c r="CZ547" s="481"/>
      <c r="DA547" s="1817">
        <v>0.02</v>
      </c>
      <c r="DB547" s="481"/>
      <c r="DC547" s="481"/>
      <c r="DD547" s="481"/>
      <c r="DE547" s="482"/>
      <c r="DF547" s="481"/>
      <c r="DG547" s="481"/>
      <c r="DH547" s="361">
        <v>0.02</v>
      </c>
      <c r="DI547" s="481"/>
      <c r="DJ547" s="481"/>
      <c r="DK547" s="481"/>
      <c r="DL547" s="482"/>
      <c r="DM547" s="481"/>
      <c r="DN547" s="481"/>
      <c r="DO547" s="361">
        <v>0.02</v>
      </c>
      <c r="DP547" s="481"/>
      <c r="DQ547" s="481"/>
      <c r="DR547" s="481"/>
      <c r="DS547" s="482"/>
      <c r="DT547" s="481"/>
      <c r="DU547" s="481"/>
      <c r="DV547" s="361">
        <v>0.02</v>
      </c>
      <c r="DW547" s="481"/>
      <c r="DX547" s="481"/>
      <c r="DY547" s="481"/>
      <c r="DZ547" s="482"/>
      <c r="EA547" s="481"/>
      <c r="EB547" s="481"/>
      <c r="EC547" s="361">
        <v>0.02</v>
      </c>
      <c r="ED547" s="481"/>
      <c r="EE547" s="481"/>
      <c r="EF547" s="481"/>
      <c r="EG547" s="482"/>
      <c r="EH547" s="481"/>
      <c r="EI547" s="481"/>
      <c r="EJ547" s="361">
        <v>0.02</v>
      </c>
      <c r="EK547" s="481"/>
      <c r="EL547" s="481"/>
      <c r="EM547" s="481"/>
      <c r="EN547" s="482"/>
      <c r="EO547" s="481"/>
      <c r="EP547" s="481"/>
      <c r="EQ547" s="361">
        <v>0.02</v>
      </c>
    </row>
    <row r="548" spans="1:147" ht="10.199999999999999" hidden="1" customHeight="1" outlineLevel="1">
      <c r="A548" s="48" t="s">
        <v>133</v>
      </c>
      <c r="B548" s="48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3"/>
      <c r="O548" s="492"/>
      <c r="P548" s="492"/>
      <c r="Q548" s="492"/>
      <c r="R548" s="493"/>
      <c r="S548" s="492"/>
      <c r="T548" s="492"/>
      <c r="U548" s="365"/>
      <c r="V548" s="492"/>
      <c r="W548" s="492"/>
      <c r="X548" s="492"/>
      <c r="Y548" s="493"/>
      <c r="Z548" s="492"/>
      <c r="AA548" s="492"/>
      <c r="AB548" s="365"/>
      <c r="AC548" s="492"/>
      <c r="AD548" s="492"/>
      <c r="AE548" s="492"/>
      <c r="AF548" s="493"/>
      <c r="AG548" s="492"/>
      <c r="AH548" s="492"/>
      <c r="AI548" s="365">
        <f>AI571/AI141</f>
        <v>-256.8</v>
      </c>
      <c r="AJ548" s="492"/>
      <c r="AK548" s="492"/>
      <c r="AL548" s="492"/>
      <c r="AM548" s="493"/>
      <c r="AN548" s="492"/>
      <c r="AO548" s="492"/>
      <c r="AP548" s="365">
        <f t="shared" ref="AP548" si="1656">AI548*(1+AP549)</f>
        <v>-251.17936163333184</v>
      </c>
      <c r="AQ548" s="492"/>
      <c r="AR548" s="492"/>
      <c r="AS548" s="492"/>
      <c r="AT548" s="493"/>
      <c r="AU548" s="492"/>
      <c r="AV548" s="492"/>
      <c r="AW548" s="365">
        <f>AP548*(1+AW549)</f>
        <v>-256.20294886599845</v>
      </c>
      <c r="AX548" s="492"/>
      <c r="AY548" s="492"/>
      <c r="AZ548" s="492"/>
      <c r="BA548" s="493"/>
      <c r="BB548" s="492"/>
      <c r="BC548" s="492"/>
      <c r="BD548" s="365">
        <f>+AW548+30</f>
        <v>-226.20294886599845</v>
      </c>
      <c r="BE548" s="492"/>
      <c r="BF548" s="492"/>
      <c r="BG548" s="492"/>
      <c r="BH548" s="493"/>
      <c r="BI548" s="492"/>
      <c r="BJ548" s="492"/>
      <c r="BK548" s="365">
        <f>BD548*(1+BK549)</f>
        <v>-226.20294886599845</v>
      </c>
      <c r="BL548" s="492"/>
      <c r="BM548" s="492"/>
      <c r="BN548" s="492"/>
      <c r="BO548" s="493"/>
      <c r="BP548" s="492"/>
      <c r="BQ548" s="492"/>
      <c r="BR548" s="365">
        <f>BK548*(1+BR549)</f>
        <v>-253.34730272991828</v>
      </c>
      <c r="BS548" s="492"/>
      <c r="BT548" s="492"/>
      <c r="BU548" s="492"/>
      <c r="BV548" s="493"/>
      <c r="BW548" s="492"/>
      <c r="BX548" s="492"/>
      <c r="BY548" s="365">
        <f>BR548*(1+BY549)</f>
        <v>-253.34730272991828</v>
      </c>
      <c r="BZ548" s="492"/>
      <c r="CA548" s="492"/>
      <c r="CB548" s="492"/>
      <c r="CC548" s="493"/>
      <c r="CD548" s="492"/>
      <c r="CE548" s="492"/>
      <c r="CF548" s="365">
        <f>BY548*(1+CF549)</f>
        <v>-253.34730272991828</v>
      </c>
      <c r="CG548" s="492"/>
      <c r="CH548" s="492"/>
      <c r="CI548" s="492"/>
      <c r="CJ548" s="493"/>
      <c r="CK548" s="492"/>
      <c r="CL548" s="492"/>
      <c r="CM548" s="365">
        <f>CF548*(1+CM549)</f>
        <v>-253.34730272991828</v>
      </c>
      <c r="CN548" s="492"/>
      <c r="CO548" s="492"/>
      <c r="CP548" s="492"/>
      <c r="CQ548" s="493"/>
      <c r="CR548" s="492"/>
      <c r="CS548" s="492"/>
      <c r="CT548" s="365">
        <f>CM548*(1+CT549)</f>
        <v>-253.34730272991828</v>
      </c>
      <c r="CU548" s="492"/>
      <c r="CV548" s="492"/>
      <c r="CW548" s="492"/>
      <c r="CX548" s="493"/>
      <c r="CY548" s="492"/>
      <c r="CZ548" s="492"/>
      <c r="DA548" s="365">
        <f>CT548*(1+DA549)</f>
        <v>-253.34730272991828</v>
      </c>
      <c r="DB548" s="492"/>
      <c r="DC548" s="492"/>
      <c r="DD548" s="492"/>
      <c r="DE548" s="493"/>
      <c r="DF548" s="492"/>
      <c r="DG548" s="492"/>
      <c r="DH548" s="365">
        <f>DA548*(1+DH549)</f>
        <v>-253.34730272991828</v>
      </c>
      <c r="DI548" s="492"/>
      <c r="DJ548" s="492"/>
      <c r="DK548" s="492"/>
      <c r="DL548" s="493"/>
      <c r="DM548" s="492"/>
      <c r="DN548" s="492"/>
      <c r="DO548" s="365">
        <f>DH548*(1+DO549)</f>
        <v>-253.34730272991828</v>
      </c>
      <c r="DP548" s="492"/>
      <c r="DQ548" s="492"/>
      <c r="DR548" s="492"/>
      <c r="DS548" s="493"/>
      <c r="DT548" s="492"/>
      <c r="DU548" s="492"/>
      <c r="DV548" s="365">
        <f>DO548*(1+DV549)</f>
        <v>-253.34730272991828</v>
      </c>
      <c r="DW548" s="492"/>
      <c r="DX548" s="492"/>
      <c r="DY548" s="492"/>
      <c r="DZ548" s="493"/>
      <c r="EA548" s="492"/>
      <c r="EB548" s="492"/>
      <c r="EC548" s="365">
        <f>DV548*(1+EC549)</f>
        <v>-253.34730272991828</v>
      </c>
      <c r="ED548" s="492"/>
      <c r="EE548" s="492"/>
      <c r="EF548" s="492"/>
      <c r="EG548" s="493"/>
      <c r="EH548" s="492"/>
      <c r="EI548" s="492"/>
      <c r="EJ548" s="365">
        <f>EC548*(1+EJ549)</f>
        <v>-253.34730272991828</v>
      </c>
      <c r="EK548" s="492"/>
      <c r="EL548" s="492"/>
      <c r="EM548" s="492"/>
      <c r="EN548" s="493"/>
      <c r="EO548" s="492"/>
      <c r="EP548" s="492"/>
      <c r="EQ548" s="365">
        <f>EJ548*(1+EQ549)</f>
        <v>-253.34730272991828</v>
      </c>
    </row>
    <row r="549" spans="1:147" ht="10.199999999999999" hidden="1" customHeight="1" outlineLevel="1">
      <c r="A549" s="51" t="s">
        <v>528</v>
      </c>
      <c r="B549" s="48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3"/>
      <c r="O549" s="481"/>
      <c r="P549" s="481"/>
      <c r="Q549" s="481"/>
      <c r="R549" s="482"/>
      <c r="S549" s="481"/>
      <c r="T549" s="481"/>
      <c r="U549" s="361"/>
      <c r="V549" s="481"/>
      <c r="W549" s="481"/>
      <c r="X549" s="481"/>
      <c r="Y549" s="482"/>
      <c r="Z549" s="481"/>
      <c r="AA549" s="481"/>
      <c r="AB549" s="361"/>
      <c r="AC549" s="481"/>
      <c r="AD549" s="481"/>
      <c r="AE549" s="481"/>
      <c r="AF549" s="482"/>
      <c r="AG549" s="481"/>
      <c r="AH549" s="481"/>
      <c r="AI549" s="361"/>
      <c r="AJ549" s="481"/>
      <c r="AK549" s="481"/>
      <c r="AL549" s="481"/>
      <c r="AM549" s="482"/>
      <c r="AN549" s="481"/>
      <c r="AO549" s="481"/>
      <c r="AP549" s="361">
        <v>-2.1887221054003758E-2</v>
      </c>
      <c r="AQ549" s="481"/>
      <c r="AR549" s="481"/>
      <c r="AS549" s="481"/>
      <c r="AT549" s="482"/>
      <c r="AU549" s="481"/>
      <c r="AV549" s="481"/>
      <c r="AW549" s="361">
        <v>0.02</v>
      </c>
      <c r="AX549" s="481"/>
      <c r="AY549" s="481"/>
      <c r="AZ549" s="481"/>
      <c r="BA549" s="482"/>
      <c r="BB549" s="481"/>
      <c r="BC549" s="481"/>
      <c r="BD549" s="361" t="s">
        <v>654</v>
      </c>
      <c r="BE549" s="481"/>
      <c r="BF549" s="481"/>
      <c r="BG549" s="481"/>
      <c r="BH549" s="482"/>
      <c r="BI549" s="481"/>
      <c r="BJ549" s="481"/>
      <c r="BK549" s="361">
        <v>0</v>
      </c>
      <c r="BL549" s="481"/>
      <c r="BM549" s="481"/>
      <c r="BN549" s="481"/>
      <c r="BO549" s="482"/>
      <c r="BP549" s="481"/>
      <c r="BQ549" s="481"/>
      <c r="BR549" s="361">
        <v>0.12</v>
      </c>
      <c r="BS549" s="481"/>
      <c r="BT549" s="481"/>
      <c r="BU549" s="481"/>
      <c r="BV549" s="482"/>
      <c r="BW549" s="481"/>
      <c r="BX549" s="481"/>
      <c r="BY549" s="361">
        <v>0</v>
      </c>
      <c r="BZ549" s="481"/>
      <c r="CA549" s="481"/>
      <c r="CB549" s="481"/>
      <c r="CC549" s="482"/>
      <c r="CD549" s="481"/>
      <c r="CE549" s="481"/>
      <c r="CF549" s="361">
        <v>0</v>
      </c>
      <c r="CG549" s="481"/>
      <c r="CH549" s="481"/>
      <c r="CI549" s="481"/>
      <c r="CJ549" s="482"/>
      <c r="CK549" s="481"/>
      <c r="CL549" s="481"/>
      <c r="CM549" s="361">
        <v>0</v>
      </c>
      <c r="CN549" s="481"/>
      <c r="CO549" s="481"/>
      <c r="CP549" s="481"/>
      <c r="CQ549" s="482"/>
      <c r="CR549" s="481"/>
      <c r="CS549" s="481"/>
      <c r="CT549" s="361">
        <v>0</v>
      </c>
      <c r="CU549" s="481"/>
      <c r="CV549" s="481"/>
      <c r="CW549" s="481"/>
      <c r="CX549" s="482"/>
      <c r="CY549" s="481"/>
      <c r="CZ549" s="481"/>
      <c r="DA549" s="361">
        <v>0</v>
      </c>
      <c r="DB549" s="481"/>
      <c r="DC549" s="481"/>
      <c r="DD549" s="481"/>
      <c r="DE549" s="482"/>
      <c r="DF549" s="481"/>
      <c r="DG549" s="481"/>
      <c r="DH549" s="361">
        <v>0</v>
      </c>
      <c r="DI549" s="481"/>
      <c r="DJ549" s="481"/>
      <c r="DK549" s="481"/>
      <c r="DL549" s="482"/>
      <c r="DM549" s="481"/>
      <c r="DN549" s="481"/>
      <c r="DO549" s="361">
        <v>0</v>
      </c>
      <c r="DP549" s="481"/>
      <c r="DQ549" s="481"/>
      <c r="DR549" s="481"/>
      <c r="DS549" s="482"/>
      <c r="DT549" s="481"/>
      <c r="DU549" s="481"/>
      <c r="DV549" s="361">
        <v>0</v>
      </c>
      <c r="DW549" s="481"/>
      <c r="DX549" s="481"/>
      <c r="DY549" s="481"/>
      <c r="DZ549" s="482"/>
      <c r="EA549" s="481"/>
      <c r="EB549" s="481"/>
      <c r="EC549" s="361">
        <v>0</v>
      </c>
      <c r="ED549" s="481"/>
      <c r="EE549" s="481"/>
      <c r="EF549" s="481"/>
      <c r="EG549" s="482"/>
      <c r="EH549" s="481"/>
      <c r="EI549" s="481"/>
      <c r="EJ549" s="361">
        <v>0</v>
      </c>
      <c r="EK549" s="481"/>
      <c r="EL549" s="481"/>
      <c r="EM549" s="481"/>
      <c r="EN549" s="482"/>
      <c r="EO549" s="481"/>
      <c r="EP549" s="481"/>
      <c r="EQ549" s="361">
        <v>0</v>
      </c>
    </row>
    <row r="550" spans="1:147" ht="10.199999999999999" hidden="1" customHeight="1" outlineLevel="1">
      <c r="A550" s="48"/>
      <c r="B550" s="48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3"/>
      <c r="O550" s="298"/>
      <c r="P550" s="298"/>
      <c r="Q550" s="298"/>
      <c r="R550" s="337"/>
      <c r="S550" s="298"/>
      <c r="T550" s="298"/>
      <c r="U550" s="367"/>
      <c r="V550" s="298"/>
      <c r="W550" s="298"/>
      <c r="X550" s="298"/>
      <c r="Y550" s="337"/>
      <c r="Z550" s="298"/>
      <c r="AA550" s="298"/>
      <c r="AB550" s="367"/>
      <c r="AC550" s="298"/>
      <c r="AD550" s="298"/>
      <c r="AE550" s="298"/>
      <c r="AF550" s="337"/>
      <c r="AG550" s="298"/>
      <c r="AH550" s="298"/>
      <c r="AI550" s="367"/>
      <c r="AJ550" s="298"/>
      <c r="AK550" s="298"/>
      <c r="AL550" s="298"/>
      <c r="AM550" s="337"/>
      <c r="AN550" s="298"/>
      <c r="AO550" s="298"/>
      <c r="AP550" s="367"/>
      <c r="AQ550" s="298"/>
      <c r="AR550" s="298"/>
      <c r="AS550" s="298"/>
      <c r="AT550" s="337"/>
      <c r="AU550" s="298"/>
      <c r="AV550" s="298"/>
      <c r="AW550" s="367"/>
      <c r="AX550" s="298"/>
      <c r="AY550" s="298"/>
      <c r="AZ550" s="298"/>
      <c r="BA550" s="337"/>
      <c r="BB550" s="298"/>
      <c r="BC550" s="298"/>
      <c r="BD550" s="367"/>
      <c r="BE550" s="298"/>
      <c r="BF550" s="298"/>
      <c r="BG550" s="298"/>
      <c r="BH550" s="337"/>
      <c r="BI550" s="298"/>
      <c r="BJ550" s="298"/>
      <c r="BK550" s="367"/>
      <c r="BL550" s="298"/>
      <c r="BM550" s="298"/>
      <c r="BN550" s="298"/>
      <c r="BO550" s="337"/>
      <c r="BP550" s="298"/>
      <c r="BQ550" s="298"/>
      <c r="BR550" s="367"/>
      <c r="BS550" s="298"/>
      <c r="BT550" s="298"/>
      <c r="BU550" s="298"/>
      <c r="BV550" s="337"/>
      <c r="BW550" s="298"/>
      <c r="BX550" s="298"/>
      <c r="BY550" s="367"/>
      <c r="BZ550" s="298"/>
      <c r="CA550" s="298"/>
      <c r="CB550" s="298"/>
      <c r="CC550" s="337"/>
      <c r="CD550" s="298"/>
      <c r="CE550" s="298"/>
      <c r="CF550" s="367"/>
      <c r="CG550" s="298"/>
      <c r="CH550" s="298"/>
      <c r="CI550" s="298"/>
      <c r="CJ550" s="337"/>
      <c r="CK550" s="298"/>
      <c r="CL550" s="298"/>
      <c r="CM550" s="367"/>
      <c r="CN550" s="298"/>
      <c r="CO550" s="298"/>
      <c r="CP550" s="298"/>
      <c r="CQ550" s="337"/>
      <c r="CR550" s="298"/>
      <c r="CS550" s="298"/>
      <c r="CT550" s="367"/>
      <c r="CU550" s="298"/>
      <c r="CV550" s="298"/>
      <c r="CW550" s="298"/>
      <c r="CX550" s="337"/>
      <c r="CY550" s="298"/>
      <c r="CZ550" s="298"/>
      <c r="DA550" s="367"/>
      <c r="DB550" s="298"/>
      <c r="DC550" s="298"/>
      <c r="DD550" s="298"/>
      <c r="DE550" s="337"/>
      <c r="DF550" s="298"/>
      <c r="DG550" s="298"/>
      <c r="DH550" s="367"/>
      <c r="DI550" s="298"/>
      <c r="DJ550" s="298"/>
      <c r="DK550" s="298"/>
      <c r="DL550" s="337"/>
      <c r="DM550" s="298"/>
      <c r="DN550" s="298"/>
      <c r="DO550" s="367"/>
      <c r="DP550" s="298"/>
      <c r="DQ550" s="298"/>
      <c r="DR550" s="298"/>
      <c r="DS550" s="337"/>
      <c r="DT550" s="298"/>
      <c r="DU550" s="298"/>
      <c r="DV550" s="367"/>
      <c r="DW550" s="298"/>
      <c r="DX550" s="298"/>
      <c r="DY550" s="298"/>
      <c r="DZ550" s="337"/>
      <c r="EA550" s="298"/>
      <c r="EB550" s="298"/>
      <c r="EC550" s="367"/>
      <c r="ED550" s="298"/>
      <c r="EE550" s="298"/>
      <c r="EF550" s="298"/>
      <c r="EG550" s="337"/>
      <c r="EH550" s="298"/>
      <c r="EI550" s="298"/>
      <c r="EJ550" s="367"/>
      <c r="EK550" s="298"/>
      <c r="EL550" s="298"/>
      <c r="EM550" s="298"/>
      <c r="EN550" s="337"/>
      <c r="EO550" s="298"/>
      <c r="EP550" s="298"/>
      <c r="EQ550" s="367"/>
    </row>
    <row r="551" spans="1:147" ht="10.199999999999999" hidden="1" customHeight="1" outlineLevel="1">
      <c r="A551" s="178" t="s">
        <v>681</v>
      </c>
      <c r="B551" s="178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1758"/>
      <c r="O551" s="498"/>
      <c r="P551" s="498"/>
      <c r="Q551" s="498"/>
      <c r="R551" s="499"/>
      <c r="S551" s="498"/>
      <c r="T551" s="498"/>
      <c r="U551" s="368"/>
      <c r="V551" s="498"/>
      <c r="W551" s="498"/>
      <c r="X551" s="498"/>
      <c r="Y551" s="499"/>
      <c r="Z551" s="498"/>
      <c r="AA551" s="498"/>
      <c r="AB551" s="368"/>
      <c r="AC551" s="498"/>
      <c r="AD551" s="498"/>
      <c r="AE551" s="498"/>
      <c r="AF551" s="499"/>
      <c r="AG551" s="498"/>
      <c r="AH551" s="498"/>
      <c r="AI551" s="368"/>
      <c r="AJ551" s="498"/>
      <c r="AK551" s="498"/>
      <c r="AL551" s="498"/>
      <c r="AM551" s="499"/>
      <c r="AN551" s="498"/>
      <c r="AO551" s="498"/>
      <c r="AP551" s="368"/>
      <c r="AQ551" s="498"/>
      <c r="AR551" s="498"/>
      <c r="AS551" s="498"/>
      <c r="AT551" s="499"/>
      <c r="AU551" s="498"/>
      <c r="AV551" s="498"/>
      <c r="AW551" s="368"/>
      <c r="AX551" s="498"/>
      <c r="AY551" s="498"/>
      <c r="AZ551" s="498"/>
      <c r="BA551" s="499"/>
      <c r="BB551" s="498"/>
      <c r="BC551" s="498"/>
      <c r="BD551" s="368"/>
      <c r="BE551" s="498"/>
      <c r="BF551" s="498"/>
      <c r="BG551" s="498"/>
      <c r="BH551" s="499"/>
      <c r="BI551" s="498"/>
      <c r="BJ551" s="498"/>
      <c r="BK551" s="368"/>
      <c r="BL551" s="498"/>
      <c r="BM551" s="498"/>
      <c r="BN551" s="498"/>
      <c r="BO551" s="499"/>
      <c r="BP551" s="498"/>
      <c r="BQ551" s="498"/>
      <c r="BR551" s="368"/>
      <c r="BS551" s="498"/>
      <c r="BT551" s="498"/>
      <c r="BU551" s="498"/>
      <c r="BV551" s="499"/>
      <c r="BW551" s="498"/>
      <c r="BX551" s="498"/>
      <c r="BY551" s="368"/>
      <c r="BZ551" s="498"/>
      <c r="CA551" s="498"/>
      <c r="CB551" s="498"/>
      <c r="CC551" s="499"/>
      <c r="CD551" s="498"/>
      <c r="CE551" s="498"/>
      <c r="CF551" s="368"/>
      <c r="CG551" s="498"/>
      <c r="CH551" s="498"/>
      <c r="CI551" s="498"/>
      <c r="CJ551" s="499"/>
      <c r="CK551" s="498"/>
      <c r="CL551" s="498"/>
      <c r="CM551" s="368"/>
      <c r="CN551" s="498"/>
      <c r="CO551" s="498"/>
      <c r="CP551" s="498"/>
      <c r="CQ551" s="499"/>
      <c r="CR551" s="498"/>
      <c r="CS551" s="498"/>
      <c r="CT551" s="368"/>
      <c r="CU551" s="498"/>
      <c r="CV551" s="498"/>
      <c r="CW551" s="498"/>
      <c r="CX551" s="499"/>
      <c r="CY551" s="498"/>
      <c r="CZ551" s="498"/>
      <c r="DA551" s="368"/>
      <c r="DB551" s="498"/>
      <c r="DC551" s="498"/>
      <c r="DD551" s="498"/>
      <c r="DE551" s="499"/>
      <c r="DF551" s="498"/>
      <c r="DG551" s="498"/>
      <c r="DH551" s="368"/>
      <c r="DI551" s="498"/>
      <c r="DJ551" s="498"/>
      <c r="DK551" s="498"/>
      <c r="DL551" s="499"/>
      <c r="DM551" s="498"/>
      <c r="DN551" s="498"/>
      <c r="DO551" s="368"/>
      <c r="DP551" s="498"/>
      <c r="DQ551" s="498"/>
      <c r="DR551" s="498"/>
      <c r="DS551" s="499"/>
      <c r="DT551" s="498"/>
      <c r="DU551" s="498"/>
      <c r="DV551" s="368"/>
      <c r="DW551" s="498"/>
      <c r="DX551" s="498"/>
      <c r="DY551" s="498"/>
      <c r="DZ551" s="499"/>
      <c r="EA551" s="498"/>
      <c r="EB551" s="498"/>
      <c r="EC551" s="368"/>
      <c r="ED551" s="498"/>
      <c r="EE551" s="498"/>
      <c r="EF551" s="498"/>
      <c r="EG551" s="499"/>
      <c r="EH551" s="498"/>
      <c r="EI551" s="498"/>
      <c r="EJ551" s="368"/>
      <c r="EK551" s="498"/>
      <c r="EL551" s="498"/>
      <c r="EM551" s="498"/>
      <c r="EN551" s="499"/>
      <c r="EO551" s="498"/>
      <c r="EP551" s="498"/>
      <c r="EQ551" s="368"/>
    </row>
    <row r="552" spans="1:147" ht="10.199999999999999" hidden="1" customHeight="1" outlineLevel="1">
      <c r="A552" s="43" t="s">
        <v>100</v>
      </c>
      <c r="B552" s="48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3"/>
      <c r="O552" s="415"/>
      <c r="P552" s="415"/>
      <c r="Q552" s="415"/>
      <c r="R552" s="448"/>
      <c r="S552" s="415"/>
      <c r="T552" s="415"/>
      <c r="U552" s="345"/>
      <c r="V552" s="415"/>
      <c r="W552" s="415"/>
      <c r="X552" s="415"/>
      <c r="Y552" s="448"/>
      <c r="Z552" s="415"/>
      <c r="AA552" s="415"/>
      <c r="AB552" s="345"/>
      <c r="AC552" s="415"/>
      <c r="AD552" s="415"/>
      <c r="AE552" s="415"/>
      <c r="AF552" s="448"/>
      <c r="AG552" s="415"/>
      <c r="AH552" s="415"/>
      <c r="AI552" s="345">
        <f>AI574-AI246</f>
        <v>-34.67425199028667</v>
      </c>
      <c r="AJ552" s="415"/>
      <c r="AK552" s="415"/>
      <c r="AL552" s="415"/>
      <c r="AM552" s="448"/>
      <c r="AN552" s="415"/>
      <c r="AO552" s="415"/>
      <c r="AP552" s="345"/>
      <c r="AQ552" s="415"/>
      <c r="AR552" s="415"/>
      <c r="AS552" s="415"/>
      <c r="AT552" s="448"/>
      <c r="AU552" s="415"/>
      <c r="AV552" s="415"/>
      <c r="AW552" s="345"/>
      <c r="AX552" s="415"/>
      <c r="AY552" s="415"/>
      <c r="AZ552" s="415"/>
      <c r="BA552" s="448"/>
      <c r="BB552" s="415"/>
      <c r="BC552" s="415"/>
      <c r="BD552" s="345"/>
      <c r="BE552" s="415"/>
      <c r="BF552" s="415"/>
      <c r="BG552" s="415"/>
      <c r="BH552" s="448"/>
      <c r="BI552" s="415"/>
      <c r="BJ552" s="415"/>
      <c r="BK552" s="345"/>
      <c r="BL552" s="415"/>
      <c r="BM552" s="415"/>
      <c r="BN552" s="415"/>
      <c r="BO552" s="448"/>
      <c r="BP552" s="415"/>
      <c r="BQ552" s="415"/>
      <c r="BR552" s="345"/>
      <c r="BS552" s="415"/>
      <c r="BT552" s="415"/>
      <c r="BU552" s="415"/>
      <c r="BV552" s="448"/>
      <c r="BW552" s="415"/>
      <c r="BX552" s="415"/>
      <c r="BY552" s="345"/>
      <c r="BZ552" s="415"/>
      <c r="CA552" s="415"/>
      <c r="CB552" s="415"/>
      <c r="CC552" s="448"/>
      <c r="CD552" s="415"/>
      <c r="CE552" s="415"/>
      <c r="CF552" s="345"/>
      <c r="CG552" s="415"/>
      <c r="CH552" s="415"/>
      <c r="CI552" s="415"/>
      <c r="CJ552" s="448"/>
      <c r="CK552" s="415"/>
      <c r="CL552" s="415"/>
      <c r="CM552" s="345"/>
      <c r="CN552" s="415"/>
      <c r="CO552" s="415"/>
      <c r="CP552" s="415"/>
      <c r="CQ552" s="448"/>
      <c r="CR552" s="415"/>
      <c r="CS552" s="415"/>
      <c r="CT552" s="345"/>
      <c r="CU552" s="415"/>
      <c r="CV552" s="415"/>
      <c r="CW552" s="415"/>
      <c r="CX552" s="448"/>
      <c r="CY552" s="415"/>
      <c r="CZ552" s="415"/>
      <c r="DA552" s="345"/>
      <c r="DB552" s="415"/>
      <c r="DC552" s="415"/>
      <c r="DD552" s="415"/>
      <c r="DE552" s="448"/>
      <c r="DF552" s="415"/>
      <c r="DG552" s="415"/>
      <c r="DH552" s="345"/>
      <c r="DI552" s="415"/>
      <c r="DJ552" s="415"/>
      <c r="DK552" s="415"/>
      <c r="DL552" s="448"/>
      <c r="DM552" s="415"/>
      <c r="DN552" s="415"/>
      <c r="DO552" s="345"/>
      <c r="DP552" s="415"/>
      <c r="DQ552" s="415"/>
      <c r="DR552" s="415"/>
      <c r="DS552" s="448"/>
      <c r="DT552" s="415"/>
      <c r="DU552" s="415"/>
      <c r="DV552" s="345"/>
      <c r="DW552" s="415"/>
      <c r="DX552" s="415"/>
      <c r="DY552" s="415"/>
      <c r="DZ552" s="448"/>
      <c r="EA552" s="415"/>
      <c r="EB552" s="415"/>
      <c r="EC552" s="345"/>
      <c r="ED552" s="415"/>
      <c r="EE552" s="415"/>
      <c r="EF552" s="415"/>
      <c r="EG552" s="448"/>
      <c r="EH552" s="415"/>
      <c r="EI552" s="415"/>
      <c r="EJ552" s="345"/>
      <c r="EK552" s="415"/>
      <c r="EL552" s="415"/>
      <c r="EM552" s="415"/>
      <c r="EN552" s="448"/>
      <c r="EO552" s="415"/>
      <c r="EP552" s="415"/>
      <c r="EQ552" s="345"/>
    </row>
    <row r="553" spans="1:147" ht="10.199999999999999" hidden="1" customHeight="1" outlineLevel="1">
      <c r="A553" s="43" t="s">
        <v>101</v>
      </c>
      <c r="B553" s="48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3"/>
      <c r="O553" s="500"/>
      <c r="P553" s="500"/>
      <c r="Q553" s="500"/>
      <c r="R553" s="501"/>
      <c r="S553" s="500"/>
      <c r="T553" s="500"/>
      <c r="U553" s="345"/>
      <c r="V553" s="500"/>
      <c r="W553" s="500"/>
      <c r="X553" s="500"/>
      <c r="Y553" s="501"/>
      <c r="Z553" s="500"/>
      <c r="AA553" s="500"/>
      <c r="AB553" s="345"/>
      <c r="AC553" s="500"/>
      <c r="AD553" s="500"/>
      <c r="AE553" s="500"/>
      <c r="AF553" s="501"/>
      <c r="AG553" s="500"/>
      <c r="AH553" s="500"/>
      <c r="AI553" s="345">
        <f>AI575-AI247</f>
        <v>-992.3462911459701</v>
      </c>
      <c r="AJ553" s="500"/>
      <c r="AK553" s="500"/>
      <c r="AL553" s="500"/>
      <c r="AM553" s="501"/>
      <c r="AN553" s="500"/>
      <c r="AO553" s="500"/>
      <c r="AP553" s="345">
        <f>AP109*AP524</f>
        <v>-165.39104852432834</v>
      </c>
      <c r="AQ553" s="500"/>
      <c r="AR553" s="500"/>
      <c r="AS553" s="500"/>
      <c r="AT553" s="501"/>
      <c r="AU553" s="500"/>
      <c r="AV553" s="500"/>
      <c r="AW553" s="345">
        <f>AW109*AW524</f>
        <v>-407.27545699115853</v>
      </c>
      <c r="AX553" s="500"/>
      <c r="AY553" s="500"/>
      <c r="AZ553" s="500"/>
      <c r="BA553" s="501"/>
      <c r="BB553" s="500"/>
      <c r="BC553" s="500"/>
      <c r="BD553" s="345">
        <f>BD109*BD524</f>
        <v>-317.27545699115853</v>
      </c>
      <c r="BE553" s="500"/>
      <c r="BF553" s="500"/>
      <c r="BG553" s="500"/>
      <c r="BH553" s="501"/>
      <c r="BI553" s="500"/>
      <c r="BJ553" s="500"/>
      <c r="BK553" s="345">
        <f>BK109*BK524</f>
        <v>-258.89677290478534</v>
      </c>
      <c r="BL553" s="500"/>
      <c r="BM553" s="500"/>
      <c r="BN553" s="500"/>
      <c r="BO553" s="501"/>
      <c r="BP553" s="500"/>
      <c r="BQ553" s="500"/>
      <c r="BR553" s="345">
        <f>BR109*BR524</f>
        <v>-129.44838645239267</v>
      </c>
      <c r="BS553" s="500"/>
      <c r="BT553" s="500"/>
      <c r="BU553" s="500"/>
      <c r="BV553" s="501"/>
      <c r="BW553" s="500"/>
      <c r="BX553" s="500"/>
      <c r="BY553" s="345">
        <f>BY109*BY524</f>
        <v>-97.086289839294494</v>
      </c>
      <c r="BZ553" s="500"/>
      <c r="CA553" s="500"/>
      <c r="CB553" s="500"/>
      <c r="CC553" s="501"/>
      <c r="CD553" s="500"/>
      <c r="CE553" s="500"/>
      <c r="CF553" s="345">
        <f>CF109*CF524</f>
        <v>-64.724193226196334</v>
      </c>
      <c r="CG553" s="500"/>
      <c r="CH553" s="500"/>
      <c r="CI553" s="500"/>
      <c r="CJ553" s="501"/>
      <c r="CK553" s="500"/>
      <c r="CL553" s="500"/>
      <c r="CM553" s="345">
        <f>CM109*CM524</f>
        <v>0</v>
      </c>
      <c r="CN553" s="500"/>
      <c r="CO553" s="500"/>
      <c r="CP553" s="500"/>
      <c r="CQ553" s="501"/>
      <c r="CR553" s="500"/>
      <c r="CS553" s="500"/>
      <c r="CT553" s="345"/>
      <c r="CU553" s="500"/>
      <c r="CV553" s="500"/>
      <c r="CW553" s="500"/>
      <c r="CX553" s="501"/>
      <c r="CY553" s="500"/>
      <c r="CZ553" s="500"/>
      <c r="DA553" s="345"/>
      <c r="DB553" s="500"/>
      <c r="DC553" s="500"/>
      <c r="DD553" s="500"/>
      <c r="DE553" s="501"/>
      <c r="DF553" s="500"/>
      <c r="DG553" s="500"/>
      <c r="DH553" s="345"/>
      <c r="DI553" s="500"/>
      <c r="DJ553" s="500"/>
      <c r="DK553" s="500"/>
      <c r="DL553" s="501"/>
      <c r="DM553" s="500"/>
      <c r="DN553" s="500"/>
      <c r="DO553" s="345"/>
      <c r="DP553" s="500"/>
      <c r="DQ553" s="500"/>
      <c r="DR553" s="500"/>
      <c r="DS553" s="501"/>
      <c r="DT553" s="500"/>
      <c r="DU553" s="500"/>
      <c r="DV553" s="345"/>
      <c r="DW553" s="500"/>
      <c r="DX553" s="500"/>
      <c r="DY553" s="500"/>
      <c r="DZ553" s="501"/>
      <c r="EA553" s="500"/>
      <c r="EB553" s="500"/>
      <c r="EC553" s="345"/>
      <c r="ED553" s="500"/>
      <c r="EE553" s="500"/>
      <c r="EF553" s="500"/>
      <c r="EG553" s="501"/>
      <c r="EH553" s="500"/>
      <c r="EI553" s="500"/>
      <c r="EJ553" s="345"/>
      <c r="EK553" s="500"/>
      <c r="EL553" s="500"/>
      <c r="EM553" s="500"/>
      <c r="EN553" s="501"/>
      <c r="EO553" s="500"/>
      <c r="EP553" s="500"/>
      <c r="EQ553" s="345"/>
    </row>
    <row r="554" spans="1:147" ht="10.199999999999999" hidden="1" customHeight="1" outlineLevel="1">
      <c r="A554" s="43" t="s">
        <v>102</v>
      </c>
      <c r="B554" s="48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3"/>
      <c r="O554" s="500"/>
      <c r="P554" s="500"/>
      <c r="Q554" s="500"/>
      <c r="R554" s="501"/>
      <c r="S554" s="500"/>
      <c r="T554" s="500"/>
      <c r="U554" s="345"/>
      <c r="V554" s="500"/>
      <c r="W554" s="500"/>
      <c r="X554" s="500"/>
      <c r="Y554" s="501"/>
      <c r="Z554" s="500"/>
      <c r="AA554" s="500"/>
      <c r="AB554" s="345"/>
      <c r="AC554" s="500"/>
      <c r="AD554" s="500"/>
      <c r="AE554" s="500"/>
      <c r="AF554" s="501"/>
      <c r="AG554" s="500"/>
      <c r="AH554" s="500"/>
      <c r="AI554" s="345">
        <f>AI576-AI248</f>
        <v>-12765.538209183065</v>
      </c>
      <c r="AJ554" s="500"/>
      <c r="AK554" s="500"/>
      <c r="AL554" s="500"/>
      <c r="AM554" s="501"/>
      <c r="AN554" s="500"/>
      <c r="AO554" s="500"/>
      <c r="AP554" s="345">
        <f>AP110*AP525</f>
        <v>-11543.305827452772</v>
      </c>
      <c r="AQ554" s="500"/>
      <c r="AR554" s="500"/>
      <c r="AS554" s="500"/>
      <c r="AT554" s="501"/>
      <c r="AU554" s="500"/>
      <c r="AV554" s="500"/>
      <c r="AW554" s="345">
        <f>AW110*AW525</f>
        <v>-8204.3480320295694</v>
      </c>
      <c r="AX554" s="500"/>
      <c r="AY554" s="500"/>
      <c r="AZ554" s="500"/>
      <c r="BA554" s="501"/>
      <c r="BB554" s="500"/>
      <c r="BC554" s="500"/>
      <c r="BD554" s="345">
        <f>BD110*BD525</f>
        <v>-6548.3480320295694</v>
      </c>
      <c r="BE554" s="500"/>
      <c r="BF554" s="500"/>
      <c r="BG554" s="500"/>
      <c r="BH554" s="501"/>
      <c r="BI554" s="500"/>
      <c r="BJ554" s="500"/>
      <c r="BK554" s="345">
        <f>BK110*BK525</f>
        <v>-4827.9831197018011</v>
      </c>
      <c r="BL554" s="500"/>
      <c r="BM554" s="500"/>
      <c r="BN554" s="500"/>
      <c r="BO554" s="501"/>
      <c r="BP554" s="500"/>
      <c r="BQ554" s="500"/>
      <c r="BR554" s="345">
        <f>BR110*BR525</f>
        <v>-1778.7306230480319</v>
      </c>
      <c r="BS554" s="500"/>
      <c r="BT554" s="500"/>
      <c r="BU554" s="500"/>
      <c r="BV554" s="501"/>
      <c r="BW554" s="500"/>
      <c r="BX554" s="500"/>
      <c r="BY554" s="345">
        <f>BY110*BY525</f>
        <v>-108.90187488049175</v>
      </c>
      <c r="BZ554" s="500"/>
      <c r="CA554" s="500"/>
      <c r="CB554" s="500"/>
      <c r="CC554" s="501"/>
      <c r="CD554" s="500"/>
      <c r="CE554" s="500"/>
      <c r="CF554" s="345">
        <f>CF110*CF525</f>
        <v>0</v>
      </c>
      <c r="CG554" s="500"/>
      <c r="CH554" s="500"/>
      <c r="CI554" s="500"/>
      <c r="CJ554" s="501"/>
      <c r="CK554" s="500"/>
      <c r="CL554" s="500"/>
      <c r="CM554" s="345">
        <f>CM110*CM525</f>
        <v>0</v>
      </c>
      <c r="CN554" s="500"/>
      <c r="CO554" s="500"/>
      <c r="CP554" s="500"/>
      <c r="CQ554" s="501"/>
      <c r="CR554" s="500"/>
      <c r="CS554" s="500"/>
      <c r="CT554" s="345"/>
      <c r="CU554" s="500"/>
      <c r="CV554" s="500"/>
      <c r="CW554" s="500"/>
      <c r="CX554" s="501"/>
      <c r="CY554" s="500"/>
      <c r="CZ554" s="500"/>
      <c r="DA554" s="345"/>
      <c r="DB554" s="500"/>
      <c r="DC554" s="500"/>
      <c r="DD554" s="500"/>
      <c r="DE554" s="501"/>
      <c r="DF554" s="500"/>
      <c r="DG554" s="500"/>
      <c r="DH554" s="345"/>
      <c r="DI554" s="500"/>
      <c r="DJ554" s="500"/>
      <c r="DK554" s="500"/>
      <c r="DL554" s="501"/>
      <c r="DM554" s="500"/>
      <c r="DN554" s="500"/>
      <c r="DO554" s="345"/>
      <c r="DP554" s="500"/>
      <c r="DQ554" s="500"/>
      <c r="DR554" s="500"/>
      <c r="DS554" s="501"/>
      <c r="DT554" s="500"/>
      <c r="DU554" s="500"/>
      <c r="DV554" s="345"/>
      <c r="DW554" s="500"/>
      <c r="DX554" s="500"/>
      <c r="DY554" s="500"/>
      <c r="DZ554" s="501"/>
      <c r="EA554" s="500"/>
      <c r="EB554" s="500"/>
      <c r="EC554" s="345"/>
      <c r="ED554" s="500"/>
      <c r="EE554" s="500"/>
      <c r="EF554" s="500"/>
      <c r="EG554" s="501"/>
      <c r="EH554" s="500"/>
      <c r="EI554" s="500"/>
      <c r="EJ554" s="345"/>
      <c r="EK554" s="500"/>
      <c r="EL554" s="500"/>
      <c r="EM554" s="500"/>
      <c r="EN554" s="501"/>
      <c r="EO554" s="500"/>
      <c r="EP554" s="500"/>
      <c r="EQ554" s="345"/>
    </row>
    <row r="555" spans="1:147" ht="10.199999999999999" hidden="1" customHeight="1" outlineLevel="1">
      <c r="A555" s="43" t="s">
        <v>202</v>
      </c>
      <c r="B555" s="48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3"/>
      <c r="O555" s="500"/>
      <c r="P555" s="500"/>
      <c r="Q555" s="500"/>
      <c r="R555" s="501"/>
      <c r="S555" s="500"/>
      <c r="T555" s="500"/>
      <c r="U555" s="345"/>
      <c r="V555" s="500"/>
      <c r="W555" s="500"/>
      <c r="X555" s="500"/>
      <c r="Y555" s="501"/>
      <c r="Z555" s="500"/>
      <c r="AA555" s="500"/>
      <c r="AB555" s="345"/>
      <c r="AC555" s="500"/>
      <c r="AD555" s="500"/>
      <c r="AE555" s="500"/>
      <c r="AF555" s="501"/>
      <c r="AG555" s="500"/>
      <c r="AH555" s="500"/>
      <c r="AI555" s="345">
        <f>AI577-AI249</f>
        <v>-9763.2986680806116</v>
      </c>
      <c r="AJ555" s="500"/>
      <c r="AK555" s="500"/>
      <c r="AL555" s="500"/>
      <c r="AM555" s="501"/>
      <c r="AN555" s="500"/>
      <c r="AO555" s="500"/>
      <c r="AP555" s="345">
        <f>AP111*AP526</f>
        <v>-11567.386465443335</v>
      </c>
      <c r="AQ555" s="500"/>
      <c r="AR555" s="500"/>
      <c r="AS555" s="500"/>
      <c r="AT555" s="501"/>
      <c r="AU555" s="500"/>
      <c r="AV555" s="500"/>
      <c r="AW555" s="345">
        <f>AW111*AW526</f>
        <v>-9564.5837033416883</v>
      </c>
      <c r="AX555" s="500"/>
      <c r="AY555" s="500"/>
      <c r="AZ555" s="500"/>
      <c r="BA555" s="501"/>
      <c r="BB555" s="500"/>
      <c r="BC555" s="500"/>
      <c r="BD555" s="345">
        <f>BD111*BD526</f>
        <v>-7917.5837033416883</v>
      </c>
      <c r="BE555" s="500"/>
      <c r="BF555" s="500"/>
      <c r="BG555" s="500"/>
      <c r="BH555" s="501"/>
      <c r="BI555" s="500"/>
      <c r="BJ555" s="500"/>
      <c r="BK555" s="345">
        <f>BK111*BK526</f>
        <v>-4368.9486467947745</v>
      </c>
      <c r="BL555" s="500"/>
      <c r="BM555" s="500"/>
      <c r="BN555" s="500"/>
      <c r="BO555" s="501"/>
      <c r="BP555" s="500"/>
      <c r="BQ555" s="500"/>
      <c r="BR555" s="345">
        <f>BR111*BR526</f>
        <v>-1676.9701876586003</v>
      </c>
      <c r="BS555" s="500"/>
      <c r="BT555" s="500"/>
      <c r="BU555" s="500"/>
      <c r="BV555" s="501"/>
      <c r="BW555" s="500"/>
      <c r="BX555" s="500"/>
      <c r="BY555" s="345">
        <f>BY111*BY526</f>
        <v>-397.17714970861584</v>
      </c>
      <c r="BZ555" s="500"/>
      <c r="CA555" s="500"/>
      <c r="CB555" s="500"/>
      <c r="CC555" s="501"/>
      <c r="CD555" s="500"/>
      <c r="CE555" s="500"/>
      <c r="CF555" s="345">
        <f>CF111*CF526</f>
        <v>-970.87747706550533</v>
      </c>
      <c r="CG555" s="500"/>
      <c r="CH555" s="500"/>
      <c r="CI555" s="500"/>
      <c r="CJ555" s="501"/>
      <c r="CK555" s="500"/>
      <c r="CL555" s="500"/>
      <c r="CM555" s="345">
        <f>CM111*CM526</f>
        <v>0</v>
      </c>
      <c r="CN555" s="500"/>
      <c r="CO555" s="500"/>
      <c r="CP555" s="500"/>
      <c r="CQ555" s="501"/>
      <c r="CR555" s="500"/>
      <c r="CS555" s="500"/>
      <c r="CT555" s="345"/>
      <c r="CU555" s="500"/>
      <c r="CV555" s="500"/>
      <c r="CW555" s="500"/>
      <c r="CX555" s="501"/>
      <c r="CY555" s="500"/>
      <c r="CZ555" s="500"/>
      <c r="DA555" s="345"/>
      <c r="DB555" s="500"/>
      <c r="DC555" s="500"/>
      <c r="DD555" s="500"/>
      <c r="DE555" s="501"/>
      <c r="DF555" s="500"/>
      <c r="DG555" s="500"/>
      <c r="DH555" s="345"/>
      <c r="DI555" s="500"/>
      <c r="DJ555" s="500"/>
      <c r="DK555" s="500"/>
      <c r="DL555" s="501"/>
      <c r="DM555" s="500"/>
      <c r="DN555" s="500"/>
      <c r="DO555" s="345"/>
      <c r="DP555" s="500"/>
      <c r="DQ555" s="500"/>
      <c r="DR555" s="500"/>
      <c r="DS555" s="501"/>
      <c r="DT555" s="500"/>
      <c r="DU555" s="500"/>
      <c r="DV555" s="345"/>
      <c r="DW555" s="500"/>
      <c r="DX555" s="500"/>
      <c r="DY555" s="500"/>
      <c r="DZ555" s="501"/>
      <c r="EA555" s="500"/>
      <c r="EB555" s="500"/>
      <c r="EC555" s="345"/>
      <c r="ED555" s="500"/>
      <c r="EE555" s="500"/>
      <c r="EF555" s="500"/>
      <c r="EG555" s="501"/>
      <c r="EH555" s="500"/>
      <c r="EI555" s="500"/>
      <c r="EJ555" s="345"/>
      <c r="EK555" s="500"/>
      <c r="EL555" s="500"/>
      <c r="EM555" s="500"/>
      <c r="EN555" s="501"/>
      <c r="EO555" s="500"/>
      <c r="EP555" s="500"/>
      <c r="EQ555" s="345"/>
    </row>
    <row r="556" spans="1:147" ht="10.199999999999999" hidden="1" customHeight="1" outlineLevel="1">
      <c r="A556" s="48" t="s">
        <v>377</v>
      </c>
      <c r="B556" s="48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3"/>
      <c r="O556" s="298"/>
      <c r="P556" s="298"/>
      <c r="Q556" s="298"/>
      <c r="R556" s="337"/>
      <c r="S556" s="298"/>
      <c r="T556" s="298"/>
      <c r="U556" s="345"/>
      <c r="V556" s="298"/>
      <c r="W556" s="298"/>
      <c r="X556" s="298"/>
      <c r="Y556" s="337"/>
      <c r="Z556" s="298"/>
      <c r="AA556" s="298"/>
      <c r="AB556" s="345"/>
      <c r="AC556" s="298"/>
      <c r="AD556" s="298"/>
      <c r="AE556" s="298"/>
      <c r="AF556" s="337"/>
      <c r="AG556" s="298"/>
      <c r="AH556" s="298"/>
      <c r="AI556" s="345">
        <f t="shared" ref="AI556:BY556" si="1657">SUM(AI552:AI555)</f>
        <v>-23555.857420399934</v>
      </c>
      <c r="AJ556" s="298"/>
      <c r="AK556" s="298"/>
      <c r="AL556" s="298"/>
      <c r="AM556" s="337"/>
      <c r="AN556" s="298"/>
      <c r="AO556" s="298"/>
      <c r="AP556" s="345">
        <f t="shared" si="1657"/>
        <v>-23276.083341420435</v>
      </c>
      <c r="AQ556" s="298"/>
      <c r="AR556" s="298"/>
      <c r="AS556" s="298"/>
      <c r="AT556" s="337"/>
      <c r="AU556" s="298"/>
      <c r="AV556" s="298"/>
      <c r="AW556" s="345">
        <f t="shared" si="1657"/>
        <v>-18176.207192362417</v>
      </c>
      <c r="AX556" s="298"/>
      <c r="AY556" s="298"/>
      <c r="AZ556" s="298"/>
      <c r="BA556" s="337"/>
      <c r="BB556" s="298"/>
      <c r="BC556" s="298"/>
      <c r="BD556" s="345">
        <f>SUM(BD552:BD555)</f>
        <v>-14783.207192362417</v>
      </c>
      <c r="BE556" s="298"/>
      <c r="BF556" s="298"/>
      <c r="BG556" s="298"/>
      <c r="BH556" s="337"/>
      <c r="BI556" s="298"/>
      <c r="BJ556" s="298"/>
      <c r="BK556" s="345">
        <f t="shared" si="1657"/>
        <v>-9455.8285394013619</v>
      </c>
      <c r="BL556" s="298"/>
      <c r="BM556" s="298"/>
      <c r="BN556" s="298"/>
      <c r="BO556" s="337"/>
      <c r="BP556" s="298"/>
      <c r="BQ556" s="298"/>
      <c r="BR556" s="345">
        <f t="shared" si="1657"/>
        <v>-3585.1491971590249</v>
      </c>
      <c r="BS556" s="298"/>
      <c r="BT556" s="298"/>
      <c r="BU556" s="298"/>
      <c r="BV556" s="337"/>
      <c r="BW556" s="298"/>
      <c r="BX556" s="298"/>
      <c r="BY556" s="345">
        <f t="shared" si="1657"/>
        <v>-603.1653144284021</v>
      </c>
      <c r="BZ556" s="298"/>
      <c r="CA556" s="298"/>
      <c r="CB556" s="298"/>
      <c r="CC556" s="337"/>
      <c r="CD556" s="298"/>
      <c r="CE556" s="298"/>
      <c r="CF556" s="345">
        <f>SUM(CF552:CF555)</f>
        <v>-1035.6016702917016</v>
      </c>
      <c r="CG556" s="298"/>
      <c r="CH556" s="298"/>
      <c r="CI556" s="298"/>
      <c r="CJ556" s="337"/>
      <c r="CK556" s="298"/>
      <c r="CL556" s="298"/>
      <c r="CM556" s="345">
        <f>SUM(CM552:CM555)</f>
        <v>0</v>
      </c>
      <c r="CN556" s="298"/>
      <c r="CO556" s="298"/>
      <c r="CP556" s="298"/>
      <c r="CQ556" s="337"/>
      <c r="CR556" s="298"/>
      <c r="CS556" s="298"/>
      <c r="CT556" s="345"/>
      <c r="CU556" s="298"/>
      <c r="CV556" s="298"/>
      <c r="CW556" s="298"/>
      <c r="CX556" s="337"/>
      <c r="CY556" s="298"/>
      <c r="CZ556" s="298"/>
      <c r="DA556" s="345"/>
      <c r="DB556" s="298"/>
      <c r="DC556" s="298"/>
      <c r="DD556" s="298"/>
      <c r="DE556" s="337"/>
      <c r="DF556" s="298"/>
      <c r="DG556" s="298"/>
      <c r="DH556" s="345"/>
      <c r="DI556" s="298"/>
      <c r="DJ556" s="298"/>
      <c r="DK556" s="298"/>
      <c r="DL556" s="337"/>
      <c r="DM556" s="298"/>
      <c r="DN556" s="298"/>
      <c r="DO556" s="345"/>
      <c r="DP556" s="298"/>
      <c r="DQ556" s="298"/>
      <c r="DR556" s="298"/>
      <c r="DS556" s="337"/>
      <c r="DT556" s="298"/>
      <c r="DU556" s="298"/>
      <c r="DV556" s="345"/>
      <c r="DW556" s="298"/>
      <c r="DX556" s="298"/>
      <c r="DY556" s="298"/>
      <c r="DZ556" s="337"/>
      <c r="EA556" s="298"/>
      <c r="EB556" s="298"/>
      <c r="EC556" s="345"/>
      <c r="ED556" s="298"/>
      <c r="EE556" s="298"/>
      <c r="EF556" s="298"/>
      <c r="EG556" s="337"/>
      <c r="EH556" s="298"/>
      <c r="EI556" s="298"/>
      <c r="EJ556" s="345"/>
      <c r="EK556" s="298"/>
      <c r="EL556" s="298"/>
      <c r="EM556" s="298"/>
      <c r="EN556" s="337"/>
      <c r="EO556" s="298"/>
      <c r="EP556" s="298"/>
      <c r="EQ556" s="345"/>
    </row>
    <row r="557" spans="1:147" ht="10.199999999999999" hidden="1" customHeight="1" outlineLevel="1">
      <c r="A557" s="108" t="s">
        <v>366</v>
      </c>
      <c r="B557" s="48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3"/>
      <c r="O557" s="500"/>
      <c r="P557" s="500"/>
      <c r="Q557" s="500"/>
      <c r="R557" s="501"/>
      <c r="S557" s="500"/>
      <c r="T557" s="500"/>
      <c r="U557" s="369"/>
      <c r="V557" s="500"/>
      <c r="W557" s="500"/>
      <c r="X557" s="500"/>
      <c r="Y557" s="501"/>
      <c r="Z557" s="500"/>
      <c r="AA557" s="500"/>
      <c r="AB557" s="369"/>
      <c r="AC557" s="500"/>
      <c r="AD557" s="500"/>
      <c r="AE557" s="500"/>
      <c r="AF557" s="501"/>
      <c r="AG557" s="500"/>
      <c r="AH557" s="500"/>
      <c r="AI557" s="369"/>
      <c r="AJ557" s="500"/>
      <c r="AK557" s="500"/>
      <c r="AL557" s="500"/>
      <c r="AM557" s="501"/>
      <c r="AN557" s="500"/>
      <c r="AO557" s="500"/>
      <c r="AP557" s="369"/>
      <c r="AQ557" s="500"/>
      <c r="AR557" s="500"/>
      <c r="AS557" s="500"/>
      <c r="AT557" s="501"/>
      <c r="AU557" s="500"/>
      <c r="AV557" s="500"/>
      <c r="AW557" s="369"/>
      <c r="AX557" s="500"/>
      <c r="AY557" s="500"/>
      <c r="AZ557" s="500"/>
      <c r="BA557" s="501"/>
      <c r="BB557" s="500"/>
      <c r="BC557" s="500"/>
      <c r="BD557" s="369"/>
      <c r="BE557" s="500"/>
      <c r="BF557" s="500"/>
      <c r="BG557" s="500"/>
      <c r="BH557" s="501"/>
      <c r="BI557" s="500"/>
      <c r="BJ557" s="500"/>
      <c r="BK557" s="369">
        <f>BK579-BK251</f>
        <v>0</v>
      </c>
      <c r="BL557" s="500"/>
      <c r="BM557" s="500"/>
      <c r="BN557" s="500"/>
      <c r="BO557" s="501"/>
      <c r="BP557" s="500"/>
      <c r="BQ557" s="500"/>
      <c r="BR557" s="369">
        <f>BR529*BR114</f>
        <v>-71.400000000000006</v>
      </c>
      <c r="BS557" s="500"/>
      <c r="BT557" s="500"/>
      <c r="BU557" s="500"/>
      <c r="BV557" s="501"/>
      <c r="BW557" s="500"/>
      <c r="BX557" s="500"/>
      <c r="BY557" s="369">
        <f>BY529*BY114</f>
        <v>0</v>
      </c>
      <c r="BZ557" s="500"/>
      <c r="CA557" s="500"/>
      <c r="CB557" s="500"/>
      <c r="CC557" s="501"/>
      <c r="CD557" s="500"/>
      <c r="CE557" s="500"/>
      <c r="CF557" s="369">
        <f>CF529*CF114</f>
        <v>-80.528490000000005</v>
      </c>
      <c r="CG557" s="500"/>
      <c r="CH557" s="500"/>
      <c r="CI557" s="500"/>
      <c r="CJ557" s="501"/>
      <c r="CK557" s="500"/>
      <c r="CL557" s="500"/>
      <c r="CM557" s="369">
        <f>CM529*CM114</f>
        <v>-251.24888880000003</v>
      </c>
      <c r="CN557" s="500"/>
      <c r="CO557" s="500"/>
      <c r="CP557" s="500"/>
      <c r="CQ557" s="501"/>
      <c r="CR557" s="500"/>
      <c r="CS557" s="500"/>
      <c r="CT557" s="369">
        <f>CT529*CT114</f>
        <v>-310.71112581600005</v>
      </c>
      <c r="CU557" s="500"/>
      <c r="CV557" s="500"/>
      <c r="CW557" s="500"/>
      <c r="CX557" s="501"/>
      <c r="CY557" s="500"/>
      <c r="CZ557" s="500"/>
      <c r="DA557" s="369">
        <f>DA529*DA114</f>
        <v>-423.45487718352007</v>
      </c>
      <c r="DB557" s="500"/>
      <c r="DC557" s="500"/>
      <c r="DD557" s="500"/>
      <c r="DE557" s="501"/>
      <c r="DF557" s="500"/>
      <c r="DG557" s="500"/>
      <c r="DH557" s="369">
        <f>DH529*DH114</f>
        <v>-748.10361635755214</v>
      </c>
      <c r="DI557" s="500"/>
      <c r="DJ557" s="500"/>
      <c r="DK557" s="500"/>
      <c r="DL557" s="501"/>
      <c r="DM557" s="500"/>
      <c r="DN557" s="500"/>
      <c r="DO557" s="369">
        <f>DO529*DO114</f>
        <v>-264.32994444633505</v>
      </c>
      <c r="DP557" s="500"/>
      <c r="DQ557" s="500"/>
      <c r="DR557" s="500"/>
      <c r="DS557" s="501"/>
      <c r="DT557" s="500"/>
      <c r="DU557" s="500"/>
      <c r="DV557" s="369">
        <f>DV529*DV114</f>
        <v>-280.18974111311519</v>
      </c>
      <c r="DW557" s="500"/>
      <c r="DX557" s="500"/>
      <c r="DY557" s="500"/>
      <c r="DZ557" s="501"/>
      <c r="EA557" s="500"/>
      <c r="EB557" s="500"/>
      <c r="EC557" s="369">
        <f>EC529*EC114</f>
        <v>-297.00112557990212</v>
      </c>
      <c r="ED557" s="500"/>
      <c r="EE557" s="500"/>
      <c r="EF557" s="500"/>
      <c r="EG557" s="501"/>
      <c r="EH557" s="500"/>
      <c r="EI557" s="500"/>
      <c r="EJ557" s="369">
        <f>EJ529*EJ114</f>
        <v>-314.82119311469626</v>
      </c>
      <c r="EK557" s="500"/>
      <c r="EL557" s="500"/>
      <c r="EM557" s="500"/>
      <c r="EN557" s="501"/>
      <c r="EO557" s="500"/>
      <c r="EP557" s="500"/>
      <c r="EQ557" s="369">
        <f>EQ529*EQ114</f>
        <v>-333.71046470157802</v>
      </c>
    </row>
    <row r="558" spans="1:147" ht="10.199999999999999" hidden="1" customHeight="1" outlineLevel="1">
      <c r="A558" s="108" t="s">
        <v>378</v>
      </c>
      <c r="B558" s="48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3"/>
      <c r="O558" s="500"/>
      <c r="P558" s="500"/>
      <c r="Q558" s="500"/>
      <c r="R558" s="501"/>
      <c r="S558" s="500"/>
      <c r="T558" s="500"/>
      <c r="U558" s="369"/>
      <c r="V558" s="500"/>
      <c r="W558" s="500"/>
      <c r="X558" s="500"/>
      <c r="Y558" s="501"/>
      <c r="Z558" s="500"/>
      <c r="AA558" s="500"/>
      <c r="AB558" s="369"/>
      <c r="AC558" s="500"/>
      <c r="AD558" s="500"/>
      <c r="AE558" s="500"/>
      <c r="AF558" s="501"/>
      <c r="AG558" s="500"/>
      <c r="AH558" s="500"/>
      <c r="AI558" s="369"/>
      <c r="AJ558" s="500"/>
      <c r="AK558" s="500"/>
      <c r="AL558" s="500"/>
      <c r="AM558" s="501"/>
      <c r="AN558" s="500"/>
      <c r="AO558" s="500"/>
      <c r="AP558" s="369">
        <f>AP580-AP252</f>
        <v>-3250.5461999999998</v>
      </c>
      <c r="AQ558" s="500"/>
      <c r="AR558" s="500"/>
      <c r="AS558" s="500"/>
      <c r="AT558" s="501"/>
      <c r="AU558" s="500"/>
      <c r="AV558" s="500"/>
      <c r="AW558" s="369">
        <f>AW530*AW115</f>
        <v>-7503.7424962499999</v>
      </c>
      <c r="AX558" s="500"/>
      <c r="AY558" s="500"/>
      <c r="AZ558" s="500"/>
      <c r="BA558" s="501"/>
      <c r="BB558" s="500"/>
      <c r="BC558" s="500"/>
      <c r="BD558" s="369">
        <f>BD530*BD115</f>
        <v>-6054.7424962499999</v>
      </c>
      <c r="BE558" s="500"/>
      <c r="BF558" s="500"/>
      <c r="BG558" s="500"/>
      <c r="BH558" s="501"/>
      <c r="BI558" s="500"/>
      <c r="BJ558" s="500"/>
      <c r="BK558" s="369">
        <f>BK530*BK115</f>
        <v>-10680.415335</v>
      </c>
      <c r="BL558" s="500"/>
      <c r="BM558" s="500"/>
      <c r="BN558" s="500"/>
      <c r="BO558" s="501"/>
      <c r="BP558" s="500"/>
      <c r="BQ558" s="500"/>
      <c r="BR558" s="369">
        <f>BR530*BR115</f>
        <v>-14614.869744675001</v>
      </c>
      <c r="BS558" s="500"/>
      <c r="BT558" s="500"/>
      <c r="BU558" s="500"/>
      <c r="BV558" s="501"/>
      <c r="BW558" s="500"/>
      <c r="BX558" s="500"/>
      <c r="BY558" s="369">
        <f>BY530*BY115</f>
        <v>-10520.583032333014</v>
      </c>
      <c r="BZ558" s="500"/>
      <c r="CA558" s="500"/>
      <c r="CB558" s="500"/>
      <c r="CC558" s="501"/>
      <c r="CD558" s="500"/>
      <c r="CE558" s="500"/>
      <c r="CF558" s="369">
        <f>CF530*CF115</f>
        <v>-11050.354683842588</v>
      </c>
      <c r="CG558" s="500"/>
      <c r="CH558" s="500"/>
      <c r="CI558" s="500"/>
      <c r="CJ558" s="501"/>
      <c r="CK558" s="500"/>
      <c r="CL558" s="500"/>
      <c r="CM558" s="369">
        <f>CM530*CM115</f>
        <v>-10957.840086489488</v>
      </c>
      <c r="CN558" s="500"/>
      <c r="CO558" s="500"/>
      <c r="CP558" s="500"/>
      <c r="CQ558" s="501"/>
      <c r="CR558" s="500"/>
      <c r="CS558" s="500"/>
      <c r="CT558" s="369">
        <f>CT530*CT115</f>
        <v>-11662.527200994626</v>
      </c>
      <c r="CU558" s="500"/>
      <c r="CV558" s="500"/>
      <c r="CW558" s="500"/>
      <c r="CX558" s="501"/>
      <c r="CY558" s="500"/>
      <c r="CZ558" s="500"/>
      <c r="DA558" s="369">
        <f>DA530*DA115</f>
        <v>-11611.533154933597</v>
      </c>
      <c r="DB558" s="500"/>
      <c r="DC558" s="500"/>
      <c r="DD558" s="500"/>
      <c r="DE558" s="501"/>
      <c r="DF558" s="500"/>
      <c r="DG558" s="500"/>
      <c r="DH558" s="369">
        <f>DH530*DH115</f>
        <v>-10875.802390375304</v>
      </c>
      <c r="DI558" s="500"/>
      <c r="DJ558" s="500"/>
      <c r="DK558" s="500"/>
      <c r="DL558" s="501"/>
      <c r="DM558" s="500"/>
      <c r="DN558" s="500"/>
      <c r="DO558" s="369">
        <f>DO530*DO115</f>
        <v>-12571.52566746587</v>
      </c>
      <c r="DP558" s="500"/>
      <c r="DQ558" s="500"/>
      <c r="DR558" s="500"/>
      <c r="DS558" s="501"/>
      <c r="DT558" s="500"/>
      <c r="DU558" s="500"/>
      <c r="DV558" s="369">
        <f>DV530*DV115</f>
        <v>-12812.426016730047</v>
      </c>
      <c r="DW558" s="500"/>
      <c r="DX558" s="500"/>
      <c r="DY558" s="500"/>
      <c r="DZ558" s="501"/>
      <c r="EA558" s="500"/>
      <c r="EB558" s="500"/>
      <c r="EC558" s="369">
        <f>EC530*EC115</f>
        <v>-12173.294966084501</v>
      </c>
      <c r="ED558" s="500"/>
      <c r="EE558" s="500"/>
      <c r="EF558" s="500"/>
      <c r="EG558" s="501"/>
      <c r="EH558" s="500"/>
      <c r="EI558" s="500"/>
      <c r="EJ558" s="369">
        <f>EJ530*EJ115</f>
        <v>-13144.39414926704</v>
      </c>
      <c r="EK558" s="500"/>
      <c r="EL558" s="500"/>
      <c r="EM558" s="500"/>
      <c r="EN558" s="501"/>
      <c r="EO558" s="500"/>
      <c r="EP558" s="500"/>
      <c r="EQ558" s="369">
        <f>EQ530*EQ115</f>
        <v>-13933.057798223062</v>
      </c>
    </row>
    <row r="559" spans="1:147" ht="10.199999999999999" hidden="1" customHeight="1" outlineLevel="1">
      <c r="A559" s="108" t="s">
        <v>368</v>
      </c>
      <c r="B559" s="48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3"/>
      <c r="O559" s="500"/>
      <c r="P559" s="500"/>
      <c r="Q559" s="500"/>
      <c r="R559" s="501"/>
      <c r="S559" s="500"/>
      <c r="T559" s="500"/>
      <c r="U559" s="369"/>
      <c r="V559" s="500"/>
      <c r="W559" s="500"/>
      <c r="X559" s="500"/>
      <c r="Y559" s="501"/>
      <c r="Z559" s="500"/>
      <c r="AA559" s="500"/>
      <c r="AB559" s="369"/>
      <c r="AC559" s="500"/>
      <c r="AD559" s="500"/>
      <c r="AE559" s="500"/>
      <c r="AF559" s="501"/>
      <c r="AG559" s="500"/>
      <c r="AH559" s="500"/>
      <c r="AI559" s="369"/>
      <c r="AJ559" s="500"/>
      <c r="AK559" s="500"/>
      <c r="AL559" s="500"/>
      <c r="AM559" s="501"/>
      <c r="AN559" s="500"/>
      <c r="AO559" s="500"/>
      <c r="AP559" s="369"/>
      <c r="AQ559" s="500"/>
      <c r="AR559" s="500"/>
      <c r="AS559" s="500"/>
      <c r="AT559" s="501"/>
      <c r="AU559" s="500"/>
      <c r="AV559" s="500"/>
      <c r="AW559" s="369">
        <f>AW581-AW253</f>
        <v>-1092.0850966328412</v>
      </c>
      <c r="AX559" s="500"/>
      <c r="AY559" s="500"/>
      <c r="AZ559" s="500"/>
      <c r="BA559" s="501"/>
      <c r="BB559" s="500"/>
      <c r="BC559" s="500"/>
      <c r="BD559" s="369">
        <f>BD531*BD116</f>
        <v>-912.08509663284121</v>
      </c>
      <c r="BE559" s="500"/>
      <c r="BF559" s="500"/>
      <c r="BG559" s="500"/>
      <c r="BH559" s="501"/>
      <c r="BI559" s="500"/>
      <c r="BJ559" s="500"/>
      <c r="BK559" s="369">
        <f>BK531*BK116</f>
        <v>-4651.6339928274901</v>
      </c>
      <c r="BL559" s="500"/>
      <c r="BM559" s="500"/>
      <c r="BN559" s="500"/>
      <c r="BO559" s="501"/>
      <c r="BP559" s="500"/>
      <c r="BQ559" s="500"/>
      <c r="BR559" s="369">
        <f>BR531*BR116</f>
        <v>-7814.7451079501834</v>
      </c>
      <c r="BS559" s="500"/>
      <c r="BT559" s="500"/>
      <c r="BU559" s="500"/>
      <c r="BV559" s="501"/>
      <c r="BW559" s="500"/>
      <c r="BX559" s="500"/>
      <c r="BY559" s="369">
        <f>BY531*BY116</f>
        <v>-9066.4998154200603</v>
      </c>
      <c r="BZ559" s="500"/>
      <c r="CA559" s="500"/>
      <c r="CB559" s="500"/>
      <c r="CC559" s="501"/>
      <c r="CD559" s="500"/>
      <c r="CE559" s="500"/>
      <c r="CF559" s="369">
        <f>CF531*CF116</f>
        <v>-10440.227343632865</v>
      </c>
      <c r="CG559" s="500"/>
      <c r="CH559" s="500"/>
      <c r="CI559" s="500"/>
      <c r="CJ559" s="501"/>
      <c r="CK559" s="500"/>
      <c r="CL559" s="500"/>
      <c r="CM559" s="369">
        <f>CM531*CM116</f>
        <v>-14542.869445502663</v>
      </c>
      <c r="CN559" s="500"/>
      <c r="CO559" s="500"/>
      <c r="CP559" s="500"/>
      <c r="CQ559" s="501"/>
      <c r="CR559" s="500"/>
      <c r="CS559" s="500"/>
      <c r="CT559" s="369">
        <f>CT531*CT116</f>
        <v>-18684.832906136548</v>
      </c>
      <c r="CU559" s="500"/>
      <c r="CV559" s="500"/>
      <c r="CW559" s="500"/>
      <c r="CX559" s="501"/>
      <c r="CY559" s="500"/>
      <c r="CZ559" s="500"/>
      <c r="DA559" s="369">
        <f>DA531*DA116</f>
        <v>-22767.793080925439</v>
      </c>
      <c r="DB559" s="500"/>
      <c r="DC559" s="500"/>
      <c r="DD559" s="500"/>
      <c r="DE559" s="501"/>
      <c r="DF559" s="500"/>
      <c r="DG559" s="500"/>
      <c r="DH559" s="369">
        <f>DH531*DH116</f>
        <v>-26116.109243436058</v>
      </c>
      <c r="DI559" s="500"/>
      <c r="DJ559" s="500"/>
      <c r="DK559" s="500"/>
      <c r="DL559" s="501"/>
      <c r="DM559" s="500"/>
      <c r="DN559" s="500"/>
      <c r="DO559" s="369">
        <f>DO531*DO116</f>
        <v>-30648.401416441306</v>
      </c>
      <c r="DP559" s="500"/>
      <c r="DQ559" s="500"/>
      <c r="DR559" s="500"/>
      <c r="DS559" s="501"/>
      <c r="DT559" s="500"/>
      <c r="DU559" s="500"/>
      <c r="DV559" s="369">
        <f>DV531*DV116</f>
        <v>-39649.81236195776</v>
      </c>
      <c r="DW559" s="500"/>
      <c r="DX559" s="500"/>
      <c r="DY559" s="500"/>
      <c r="DZ559" s="501"/>
      <c r="EA559" s="500"/>
      <c r="EB559" s="500"/>
      <c r="EC559" s="369">
        <f>EC531*EC116</f>
        <v>-49020.828939101142</v>
      </c>
      <c r="ED559" s="500"/>
      <c r="EE559" s="500"/>
      <c r="EF559" s="500"/>
      <c r="EG559" s="501"/>
      <c r="EH559" s="500"/>
      <c r="EI559" s="500"/>
      <c r="EJ559" s="369">
        <f>EJ531*EJ116</f>
        <v>-53405.964909653463</v>
      </c>
      <c r="EK559" s="500"/>
      <c r="EL559" s="500"/>
      <c r="EM559" s="500"/>
      <c r="EN559" s="501"/>
      <c r="EO559" s="500"/>
      <c r="EP559" s="500"/>
      <c r="EQ559" s="369">
        <f>EQ531*EQ116</f>
        <v>-57144.382453329214</v>
      </c>
    </row>
    <row r="560" spans="1:147" ht="10.199999999999999" hidden="1" customHeight="1" outlineLevel="1">
      <c r="A560" s="48" t="s">
        <v>378</v>
      </c>
      <c r="B560" s="48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3"/>
      <c r="O560" s="298"/>
      <c r="P560" s="298"/>
      <c r="Q560" s="298"/>
      <c r="R560" s="337"/>
      <c r="S560" s="298"/>
      <c r="T560" s="298"/>
      <c r="U560" s="367"/>
      <c r="V560" s="298"/>
      <c r="W560" s="298"/>
      <c r="X560" s="298"/>
      <c r="Y560" s="337"/>
      <c r="Z560" s="298"/>
      <c r="AA560" s="298"/>
      <c r="AB560" s="367"/>
      <c r="AC560" s="298"/>
      <c r="AD560" s="298"/>
      <c r="AE560" s="298"/>
      <c r="AF560" s="337"/>
      <c r="AG560" s="298"/>
      <c r="AH560" s="298"/>
      <c r="AI560" s="367"/>
      <c r="AJ560" s="298"/>
      <c r="AK560" s="298"/>
      <c r="AL560" s="298"/>
      <c r="AM560" s="337"/>
      <c r="AN560" s="298"/>
      <c r="AO560" s="298"/>
      <c r="AP560" s="367">
        <f>SUM(AP557:AP559)</f>
        <v>-3250.5461999999998</v>
      </c>
      <c r="AQ560" s="298"/>
      <c r="AR560" s="298"/>
      <c r="AS560" s="298"/>
      <c r="AT560" s="337"/>
      <c r="AU560" s="298"/>
      <c r="AV560" s="298"/>
      <c r="AW560" s="367">
        <f>SUM(AW557:AW559)</f>
        <v>-8595.8275928828407</v>
      </c>
      <c r="AX560" s="298"/>
      <c r="AY560" s="298"/>
      <c r="AZ560" s="298"/>
      <c r="BA560" s="337"/>
      <c r="BB560" s="298"/>
      <c r="BC560" s="298"/>
      <c r="BD560" s="367">
        <f>SUM(BD557:BD559)</f>
        <v>-6966.8275928828407</v>
      </c>
      <c r="BE560" s="298"/>
      <c r="BF560" s="298"/>
      <c r="BG560" s="298"/>
      <c r="BH560" s="337"/>
      <c r="BI560" s="298"/>
      <c r="BJ560" s="298"/>
      <c r="BK560" s="367">
        <f t="shared" ref="BK560:CT560" si="1658">SUM(BK557:BK559)</f>
        <v>-15332.04932782749</v>
      </c>
      <c r="BL560" s="298"/>
      <c r="BM560" s="298"/>
      <c r="BN560" s="298"/>
      <c r="BO560" s="337"/>
      <c r="BP560" s="298"/>
      <c r="BQ560" s="298"/>
      <c r="BR560" s="367">
        <f t="shared" si="1658"/>
        <v>-22501.014852625183</v>
      </c>
      <c r="BS560" s="298"/>
      <c r="BT560" s="298"/>
      <c r="BU560" s="298"/>
      <c r="BV560" s="337"/>
      <c r="BW560" s="298"/>
      <c r="BX560" s="298"/>
      <c r="BY560" s="367">
        <f t="shared" si="1658"/>
        <v>-19587.082847753074</v>
      </c>
      <c r="BZ560" s="298"/>
      <c r="CA560" s="298"/>
      <c r="CB560" s="298"/>
      <c r="CC560" s="337"/>
      <c r="CD560" s="298"/>
      <c r="CE560" s="298"/>
      <c r="CF560" s="367">
        <f t="shared" si="1658"/>
        <v>-21571.110517475456</v>
      </c>
      <c r="CG560" s="298"/>
      <c r="CH560" s="298"/>
      <c r="CI560" s="298"/>
      <c r="CJ560" s="337"/>
      <c r="CK560" s="298"/>
      <c r="CL560" s="298"/>
      <c r="CM560" s="367">
        <f t="shared" si="1658"/>
        <v>-25751.958420792151</v>
      </c>
      <c r="CN560" s="298"/>
      <c r="CO560" s="298"/>
      <c r="CP560" s="298"/>
      <c r="CQ560" s="337"/>
      <c r="CR560" s="298"/>
      <c r="CS560" s="298"/>
      <c r="CT560" s="367">
        <f t="shared" si="1658"/>
        <v>-30658.071232947172</v>
      </c>
      <c r="CU560" s="298"/>
      <c r="CV560" s="298"/>
      <c r="CW560" s="298"/>
      <c r="CX560" s="337"/>
      <c r="CY560" s="298"/>
      <c r="CZ560" s="298"/>
      <c r="DA560" s="367">
        <f>SUM(DA557:DA559)</f>
        <v>-34802.781113042554</v>
      </c>
      <c r="DB560" s="298"/>
      <c r="DC560" s="298"/>
      <c r="DD560" s="298"/>
      <c r="DE560" s="337"/>
      <c r="DF560" s="298"/>
      <c r="DG560" s="298"/>
      <c r="DH560" s="367">
        <f>SUM(DH557:DH559)</f>
        <v>-37740.015250168915</v>
      </c>
      <c r="DI560" s="298"/>
      <c r="DJ560" s="298"/>
      <c r="DK560" s="298"/>
      <c r="DL560" s="337"/>
      <c r="DM560" s="298"/>
      <c r="DN560" s="298"/>
      <c r="DO560" s="367">
        <f>SUM(DO557:DO559)</f>
        <v>-43484.25702835351</v>
      </c>
      <c r="DP560" s="298"/>
      <c r="DQ560" s="298"/>
      <c r="DR560" s="298"/>
      <c r="DS560" s="337"/>
      <c r="DT560" s="298"/>
      <c r="DU560" s="298"/>
      <c r="DV560" s="367">
        <f>SUM(DV557:DV559)</f>
        <v>-52742.428119800927</v>
      </c>
      <c r="DW560" s="298"/>
      <c r="DX560" s="298"/>
      <c r="DY560" s="298"/>
      <c r="DZ560" s="337"/>
      <c r="EA560" s="298"/>
      <c r="EB560" s="298"/>
      <c r="EC560" s="367">
        <f>SUM(EC557:EC559)</f>
        <v>-61491.125030765543</v>
      </c>
      <c r="ED560" s="298"/>
      <c r="EE560" s="298"/>
      <c r="EF560" s="298"/>
      <c r="EG560" s="337"/>
      <c r="EH560" s="298"/>
      <c r="EI560" s="298"/>
      <c r="EJ560" s="367">
        <f>SUM(EJ557:EJ559)</f>
        <v>-66865.180252035207</v>
      </c>
      <c r="EK560" s="298"/>
      <c r="EL560" s="298"/>
      <c r="EM560" s="298"/>
      <c r="EN560" s="337"/>
      <c r="EO560" s="298"/>
      <c r="EP560" s="298"/>
      <c r="EQ560" s="367">
        <f>SUM(EQ557:EQ559)</f>
        <v>-71411.150716253847</v>
      </c>
    </row>
    <row r="561" spans="1:147" ht="10.199999999999999" hidden="1" customHeight="1" outlineLevel="1">
      <c r="A561" s="43" t="s">
        <v>198</v>
      </c>
      <c r="B561" s="48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3"/>
      <c r="O561" s="415"/>
      <c r="P561" s="415"/>
      <c r="Q561" s="415"/>
      <c r="R561" s="448"/>
      <c r="S561" s="415"/>
      <c r="T561" s="415"/>
      <c r="U561" s="345"/>
      <c r="V561" s="415"/>
      <c r="W561" s="415"/>
      <c r="X561" s="415"/>
      <c r="Y561" s="448"/>
      <c r="Z561" s="415"/>
      <c r="AA561" s="415"/>
      <c r="AB561" s="345"/>
      <c r="AC561" s="415"/>
      <c r="AD561" s="415"/>
      <c r="AE561" s="415"/>
      <c r="AF561" s="448"/>
      <c r="AG561" s="415"/>
      <c r="AH561" s="415"/>
      <c r="AI561" s="345">
        <f>AI583-AI255</f>
        <v>-3647.1971250000001</v>
      </c>
      <c r="AJ561" s="415"/>
      <c r="AK561" s="415"/>
      <c r="AL561" s="415"/>
      <c r="AM561" s="448"/>
      <c r="AN561" s="415"/>
      <c r="AO561" s="415"/>
      <c r="AP561" s="345">
        <f>AP121*AP535</f>
        <v>-2732.08221</v>
      </c>
      <c r="AQ561" s="415"/>
      <c r="AR561" s="415"/>
      <c r="AS561" s="415"/>
      <c r="AT561" s="448"/>
      <c r="AU561" s="415"/>
      <c r="AV561" s="415"/>
      <c r="AW561" s="345">
        <f>AW121*AW535</f>
        <v>-2049.0616574999999</v>
      </c>
      <c r="AX561" s="415"/>
      <c r="AY561" s="415"/>
      <c r="AZ561" s="415"/>
      <c r="BA561" s="448"/>
      <c r="BB561" s="415"/>
      <c r="BC561" s="415"/>
      <c r="BD561" s="345">
        <f>BD121*BD535</f>
        <v>-1761.0616574999999</v>
      </c>
      <c r="BE561" s="415"/>
      <c r="BF561" s="415"/>
      <c r="BG561" s="415"/>
      <c r="BH561" s="448"/>
      <c r="BI561" s="415"/>
      <c r="BJ561" s="415"/>
      <c r="BK561" s="345">
        <f>BK121*BK535</f>
        <v>-1369.7146225000001</v>
      </c>
      <c r="BL561" s="415"/>
      <c r="BM561" s="415"/>
      <c r="BN561" s="415"/>
      <c r="BO561" s="448"/>
      <c r="BP561" s="415"/>
      <c r="BQ561" s="415"/>
      <c r="BR561" s="345">
        <f>BR121*BR535</f>
        <v>-701.97874403125002</v>
      </c>
      <c r="BS561" s="415"/>
      <c r="BT561" s="415"/>
      <c r="BU561" s="415"/>
      <c r="BV561" s="448"/>
      <c r="BW561" s="415"/>
      <c r="BX561" s="415"/>
      <c r="BY561" s="345"/>
      <c r="BZ561" s="415"/>
      <c r="CA561" s="415"/>
      <c r="CB561" s="415"/>
      <c r="CC561" s="448"/>
      <c r="CD561" s="415"/>
      <c r="CE561" s="415"/>
      <c r="CF561" s="345"/>
      <c r="CG561" s="415"/>
      <c r="CH561" s="415"/>
      <c r="CI561" s="415"/>
      <c r="CJ561" s="448"/>
      <c r="CK561" s="415"/>
      <c r="CL561" s="415"/>
      <c r="CM561" s="345"/>
      <c r="CN561" s="415"/>
      <c r="CO561" s="415"/>
      <c r="CP561" s="415"/>
      <c r="CQ561" s="448"/>
      <c r="CR561" s="415"/>
      <c r="CS561" s="415"/>
      <c r="CT561" s="345"/>
      <c r="CU561" s="415"/>
      <c r="CV561" s="415"/>
      <c r="CW561" s="415"/>
      <c r="CX561" s="448"/>
      <c r="CY561" s="415"/>
      <c r="CZ561" s="415"/>
      <c r="DA561" s="345"/>
      <c r="DB561" s="415"/>
      <c r="DC561" s="415"/>
      <c r="DD561" s="415"/>
      <c r="DE561" s="448"/>
      <c r="DF561" s="415"/>
      <c r="DG561" s="415"/>
      <c r="DH561" s="345"/>
      <c r="DI561" s="415"/>
      <c r="DJ561" s="415"/>
      <c r="DK561" s="415"/>
      <c r="DL561" s="448"/>
      <c r="DM561" s="415"/>
      <c r="DN561" s="415"/>
      <c r="DO561" s="345"/>
      <c r="DP561" s="415"/>
      <c r="DQ561" s="415"/>
      <c r="DR561" s="415"/>
      <c r="DS561" s="448"/>
      <c r="DT561" s="415"/>
      <c r="DU561" s="415"/>
      <c r="DV561" s="345"/>
      <c r="DW561" s="415"/>
      <c r="DX561" s="415"/>
      <c r="DY561" s="415"/>
      <c r="DZ561" s="448"/>
      <c r="EA561" s="415"/>
      <c r="EB561" s="415"/>
      <c r="EC561" s="345"/>
      <c r="ED561" s="415"/>
      <c r="EE561" s="415"/>
      <c r="EF561" s="415"/>
      <c r="EG561" s="448"/>
      <c r="EH561" s="415"/>
      <c r="EI561" s="415"/>
      <c r="EJ561" s="345"/>
      <c r="EK561" s="415"/>
      <c r="EL561" s="415"/>
      <c r="EM561" s="415"/>
      <c r="EN561" s="448"/>
      <c r="EO561" s="415"/>
      <c r="EP561" s="415"/>
      <c r="EQ561" s="345"/>
    </row>
    <row r="562" spans="1:147" ht="10.199999999999999" hidden="1" customHeight="1" outlineLevel="1">
      <c r="A562" s="43" t="s">
        <v>199</v>
      </c>
      <c r="B562" s="48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3"/>
      <c r="O562" s="415"/>
      <c r="P562" s="415"/>
      <c r="Q562" s="415"/>
      <c r="R562" s="448"/>
      <c r="S562" s="415"/>
      <c r="T562" s="415"/>
      <c r="U562" s="345"/>
      <c r="V562" s="415"/>
      <c r="W562" s="415"/>
      <c r="X562" s="415"/>
      <c r="Y562" s="448"/>
      <c r="Z562" s="415"/>
      <c r="AA562" s="415"/>
      <c r="AB562" s="345"/>
      <c r="AC562" s="415"/>
      <c r="AD562" s="415"/>
      <c r="AE562" s="415"/>
      <c r="AF562" s="448"/>
      <c r="AG562" s="415"/>
      <c r="AH562" s="415"/>
      <c r="AI562" s="345">
        <f>AI584-AI256</f>
        <v>-8570.9373749999995</v>
      </c>
      <c r="AJ562" s="415"/>
      <c r="AK562" s="415"/>
      <c r="AL562" s="415"/>
      <c r="AM562" s="448"/>
      <c r="AN562" s="415"/>
      <c r="AO562" s="415"/>
      <c r="AP562" s="345">
        <f>AP122*AP536</f>
        <v>-5296.8392977499998</v>
      </c>
      <c r="AQ562" s="415"/>
      <c r="AR562" s="415"/>
      <c r="AS562" s="415"/>
      <c r="AT562" s="448"/>
      <c r="AU562" s="415"/>
      <c r="AV562" s="415"/>
      <c r="AW562" s="345">
        <f>AW122*AW536</f>
        <v>-6179.6458473749999</v>
      </c>
      <c r="AX562" s="415"/>
      <c r="AY562" s="415"/>
      <c r="AZ562" s="415"/>
      <c r="BA562" s="448"/>
      <c r="BB562" s="415"/>
      <c r="BC562" s="415"/>
      <c r="BD562" s="345">
        <f>BD122*BD536</f>
        <v>-5395.6458473749999</v>
      </c>
      <c r="BE562" s="415"/>
      <c r="BF562" s="415"/>
      <c r="BG562" s="415"/>
      <c r="BH562" s="448"/>
      <c r="BI562" s="415"/>
      <c r="BJ562" s="415"/>
      <c r="BK562" s="345">
        <f>BK122*BK536</f>
        <v>-3523.6870839999997</v>
      </c>
      <c r="BL562" s="415"/>
      <c r="BM562" s="415"/>
      <c r="BN562" s="415"/>
      <c r="BO562" s="448"/>
      <c r="BP562" s="415"/>
      <c r="BQ562" s="415"/>
      <c r="BR562" s="345">
        <f>BR122*BR536</f>
        <v>-564.34050954687496</v>
      </c>
      <c r="BS562" s="415"/>
      <c r="BT562" s="415"/>
      <c r="BU562" s="415"/>
      <c r="BV562" s="448"/>
      <c r="BW562" s="415"/>
      <c r="BX562" s="415"/>
      <c r="BY562" s="345"/>
      <c r="BZ562" s="415"/>
      <c r="CA562" s="415"/>
      <c r="CB562" s="415"/>
      <c r="CC562" s="448"/>
      <c r="CD562" s="415"/>
      <c r="CE562" s="415"/>
      <c r="CF562" s="345"/>
      <c r="CG562" s="415"/>
      <c r="CH562" s="415"/>
      <c r="CI562" s="415"/>
      <c r="CJ562" s="448"/>
      <c r="CK562" s="415"/>
      <c r="CL562" s="415"/>
      <c r="CM562" s="345"/>
      <c r="CN562" s="415"/>
      <c r="CO562" s="415"/>
      <c r="CP562" s="415"/>
      <c r="CQ562" s="448"/>
      <c r="CR562" s="415"/>
      <c r="CS562" s="415"/>
      <c r="CT562" s="345"/>
      <c r="CU562" s="415"/>
      <c r="CV562" s="415"/>
      <c r="CW562" s="415"/>
      <c r="CX562" s="448"/>
      <c r="CY562" s="415"/>
      <c r="CZ562" s="415"/>
      <c r="DA562" s="345"/>
      <c r="DB562" s="415"/>
      <c r="DC562" s="415"/>
      <c r="DD562" s="415"/>
      <c r="DE562" s="448"/>
      <c r="DF562" s="415"/>
      <c r="DG562" s="415"/>
      <c r="DH562" s="345"/>
      <c r="DI562" s="415"/>
      <c r="DJ562" s="415"/>
      <c r="DK562" s="415"/>
      <c r="DL562" s="448"/>
      <c r="DM562" s="415"/>
      <c r="DN562" s="415"/>
      <c r="DO562" s="345"/>
      <c r="DP562" s="415"/>
      <c r="DQ562" s="415"/>
      <c r="DR562" s="415"/>
      <c r="DS562" s="448"/>
      <c r="DT562" s="415"/>
      <c r="DU562" s="415"/>
      <c r="DV562" s="345"/>
      <c r="DW562" s="415"/>
      <c r="DX562" s="415"/>
      <c r="DY562" s="415"/>
      <c r="DZ562" s="448"/>
      <c r="EA562" s="415"/>
      <c r="EB562" s="415"/>
      <c r="EC562" s="345"/>
      <c r="ED562" s="415"/>
      <c r="EE562" s="415"/>
      <c r="EF562" s="415"/>
      <c r="EG562" s="448"/>
      <c r="EH562" s="415"/>
      <c r="EI562" s="415"/>
      <c r="EJ562" s="345"/>
      <c r="EK562" s="415"/>
      <c r="EL562" s="415"/>
      <c r="EM562" s="415"/>
      <c r="EN562" s="448"/>
      <c r="EO562" s="415"/>
      <c r="EP562" s="415"/>
      <c r="EQ562" s="345"/>
    </row>
    <row r="563" spans="1:147" ht="10.199999999999999" hidden="1" customHeight="1" outlineLevel="1">
      <c r="A563" s="48" t="s">
        <v>380</v>
      </c>
      <c r="B563" s="48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3"/>
      <c r="O563" s="415"/>
      <c r="P563" s="415"/>
      <c r="Q563" s="415"/>
      <c r="R563" s="448"/>
      <c r="S563" s="415"/>
      <c r="T563" s="415"/>
      <c r="U563" s="345"/>
      <c r="V563" s="415"/>
      <c r="W563" s="415"/>
      <c r="X563" s="415"/>
      <c r="Y563" s="448"/>
      <c r="Z563" s="415"/>
      <c r="AA563" s="415"/>
      <c r="AB563" s="345"/>
      <c r="AC563" s="415"/>
      <c r="AD563" s="415"/>
      <c r="AE563" s="415"/>
      <c r="AF563" s="448"/>
      <c r="AG563" s="415"/>
      <c r="AH563" s="415"/>
      <c r="AI563" s="345">
        <f t="shared" ref="AI563:BR563" si="1659">AI561+AI562</f>
        <v>-12218.1345</v>
      </c>
      <c r="AJ563" s="415"/>
      <c r="AK563" s="415"/>
      <c r="AL563" s="415"/>
      <c r="AM563" s="448"/>
      <c r="AN563" s="415"/>
      <c r="AO563" s="415"/>
      <c r="AP563" s="345">
        <f t="shared" si="1659"/>
        <v>-8028.9215077499994</v>
      </c>
      <c r="AQ563" s="415"/>
      <c r="AR563" s="415"/>
      <c r="AS563" s="415"/>
      <c r="AT563" s="448"/>
      <c r="AU563" s="415"/>
      <c r="AV563" s="415"/>
      <c r="AW563" s="345">
        <f t="shared" si="1659"/>
        <v>-8228.7075048749994</v>
      </c>
      <c r="AX563" s="415"/>
      <c r="AY563" s="415"/>
      <c r="AZ563" s="415"/>
      <c r="BA563" s="448"/>
      <c r="BB563" s="415"/>
      <c r="BC563" s="415"/>
      <c r="BD563" s="345">
        <f>BD561+BD562</f>
        <v>-7156.7075048749994</v>
      </c>
      <c r="BE563" s="415"/>
      <c r="BF563" s="415"/>
      <c r="BG563" s="415"/>
      <c r="BH563" s="448"/>
      <c r="BI563" s="415"/>
      <c r="BJ563" s="415"/>
      <c r="BK563" s="345">
        <f t="shared" si="1659"/>
        <v>-4893.4017064999998</v>
      </c>
      <c r="BL563" s="415"/>
      <c r="BM563" s="415"/>
      <c r="BN563" s="415"/>
      <c r="BO563" s="448"/>
      <c r="BP563" s="415"/>
      <c r="BQ563" s="415"/>
      <c r="BR563" s="345">
        <f t="shared" si="1659"/>
        <v>-1266.319253578125</v>
      </c>
      <c r="BS563" s="415"/>
      <c r="BT563" s="415"/>
      <c r="BU563" s="415"/>
      <c r="BV563" s="448"/>
      <c r="BW563" s="415"/>
      <c r="BX563" s="415"/>
      <c r="BY563" s="345"/>
      <c r="BZ563" s="415"/>
      <c r="CA563" s="415"/>
      <c r="CB563" s="415"/>
      <c r="CC563" s="448"/>
      <c r="CD563" s="415"/>
      <c r="CE563" s="415"/>
      <c r="CF563" s="345"/>
      <c r="CG563" s="415"/>
      <c r="CH563" s="415"/>
      <c r="CI563" s="415"/>
      <c r="CJ563" s="448"/>
      <c r="CK563" s="415"/>
      <c r="CL563" s="415"/>
      <c r="CM563" s="345"/>
      <c r="CN563" s="415"/>
      <c r="CO563" s="415"/>
      <c r="CP563" s="415"/>
      <c r="CQ563" s="448"/>
      <c r="CR563" s="415"/>
      <c r="CS563" s="415"/>
      <c r="CT563" s="345"/>
      <c r="CU563" s="415"/>
      <c r="CV563" s="415"/>
      <c r="CW563" s="415"/>
      <c r="CX563" s="448"/>
      <c r="CY563" s="415"/>
      <c r="CZ563" s="415"/>
      <c r="DA563" s="345"/>
      <c r="DB563" s="415"/>
      <c r="DC563" s="415"/>
      <c r="DD563" s="415"/>
      <c r="DE563" s="448"/>
      <c r="DF563" s="415"/>
      <c r="DG563" s="415"/>
      <c r="DH563" s="345"/>
      <c r="DI563" s="415"/>
      <c r="DJ563" s="415"/>
      <c r="DK563" s="415"/>
      <c r="DL563" s="448"/>
      <c r="DM563" s="415"/>
      <c r="DN563" s="415"/>
      <c r="DO563" s="345"/>
      <c r="DP563" s="415"/>
      <c r="DQ563" s="415"/>
      <c r="DR563" s="415"/>
      <c r="DS563" s="448"/>
      <c r="DT563" s="415"/>
      <c r="DU563" s="415"/>
      <c r="DV563" s="345"/>
      <c r="DW563" s="415"/>
      <c r="DX563" s="415"/>
      <c r="DY563" s="415"/>
      <c r="DZ563" s="448"/>
      <c r="EA563" s="415"/>
      <c r="EB563" s="415"/>
      <c r="EC563" s="345"/>
      <c r="ED563" s="415"/>
      <c r="EE563" s="415"/>
      <c r="EF563" s="415"/>
      <c r="EG563" s="448"/>
      <c r="EH563" s="415"/>
      <c r="EI563" s="415"/>
      <c r="EJ563" s="345"/>
      <c r="EK563" s="415"/>
      <c r="EL563" s="415"/>
      <c r="EM563" s="415"/>
      <c r="EN563" s="448"/>
      <c r="EO563" s="415"/>
      <c r="EP563" s="415"/>
      <c r="EQ563" s="345"/>
    </row>
    <row r="564" spans="1:147" ht="10.199999999999999" hidden="1" customHeight="1" outlineLevel="1">
      <c r="A564" s="108" t="s">
        <v>384</v>
      </c>
      <c r="B564" s="48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3"/>
      <c r="O564" s="500"/>
      <c r="P564" s="500"/>
      <c r="Q564" s="500"/>
      <c r="R564" s="501"/>
      <c r="S564" s="500"/>
      <c r="T564" s="500"/>
      <c r="U564" s="369"/>
      <c r="V564" s="500"/>
      <c r="W564" s="500"/>
      <c r="X564" s="500"/>
      <c r="Y564" s="501"/>
      <c r="Z564" s="500"/>
      <c r="AA564" s="500"/>
      <c r="AB564" s="369"/>
      <c r="AC564" s="500"/>
      <c r="AD564" s="500"/>
      <c r="AE564" s="500"/>
      <c r="AF564" s="501"/>
      <c r="AG564" s="500"/>
      <c r="AH564" s="500"/>
      <c r="AI564" s="369"/>
      <c r="AJ564" s="500"/>
      <c r="AK564" s="500"/>
      <c r="AL564" s="500"/>
      <c r="AM564" s="501"/>
      <c r="AN564" s="500"/>
      <c r="AO564" s="500"/>
      <c r="AP564" s="369"/>
      <c r="AQ564" s="500"/>
      <c r="AR564" s="500"/>
      <c r="AS564" s="500"/>
      <c r="AT564" s="501"/>
      <c r="AU564" s="500"/>
      <c r="AV564" s="500"/>
      <c r="AW564" s="369"/>
      <c r="AX564" s="500"/>
      <c r="AY564" s="500"/>
      <c r="AZ564" s="500"/>
      <c r="BA564" s="501"/>
      <c r="BB564" s="500"/>
      <c r="BC564" s="500"/>
      <c r="BD564" s="369"/>
      <c r="BE564" s="500"/>
      <c r="BF564" s="500"/>
      <c r="BG564" s="500"/>
      <c r="BH564" s="501"/>
      <c r="BI564" s="500"/>
      <c r="BJ564" s="500"/>
      <c r="BK564" s="369"/>
      <c r="BL564" s="500"/>
      <c r="BM564" s="500"/>
      <c r="BN564" s="500"/>
      <c r="BO564" s="501"/>
      <c r="BP564" s="500"/>
      <c r="BQ564" s="500"/>
      <c r="BR564" s="369"/>
      <c r="BS564" s="500"/>
      <c r="BT564" s="500"/>
      <c r="BU564" s="500"/>
      <c r="BV564" s="501"/>
      <c r="BW564" s="500"/>
      <c r="BX564" s="500"/>
      <c r="BY564" s="369">
        <f>BY125*BY540</f>
        <v>-452.53433160000003</v>
      </c>
      <c r="BZ564" s="500"/>
      <c r="CA564" s="500"/>
      <c r="CB564" s="500"/>
      <c r="CC564" s="501"/>
      <c r="CD564" s="500"/>
      <c r="CE564" s="500"/>
      <c r="CF564" s="369">
        <f>CF125*CF540</f>
        <v>-132.74340393600002</v>
      </c>
      <c r="CG564" s="500"/>
      <c r="CH564" s="500"/>
      <c r="CI564" s="500"/>
      <c r="CJ564" s="501"/>
      <c r="CK564" s="500"/>
      <c r="CL564" s="500"/>
      <c r="CM564" s="369">
        <f>CM125*CM540</f>
        <v>-394.24790968991999</v>
      </c>
      <c r="CN564" s="500"/>
      <c r="CO564" s="500"/>
      <c r="CP564" s="500"/>
      <c r="CQ564" s="501"/>
      <c r="CR564" s="500"/>
      <c r="CS564" s="500"/>
      <c r="CT564" s="369">
        <f>CT125*CT540</f>
        <v>0</v>
      </c>
      <c r="CU564" s="500"/>
      <c r="CV564" s="500"/>
      <c r="CW564" s="500"/>
      <c r="CX564" s="501"/>
      <c r="CY564" s="500"/>
      <c r="CZ564" s="500"/>
      <c r="DA564" s="369">
        <f>DA125*DA540</f>
        <v>0</v>
      </c>
      <c r="DB564" s="500"/>
      <c r="DC564" s="500"/>
      <c r="DD564" s="500"/>
      <c r="DE564" s="501"/>
      <c r="DF564" s="500"/>
      <c r="DG564" s="500"/>
      <c r="DH564" s="369">
        <f>DH125*DH540</f>
        <v>-131.41596989664001</v>
      </c>
      <c r="DI564" s="500"/>
      <c r="DJ564" s="500"/>
      <c r="DK564" s="500"/>
      <c r="DL564" s="501"/>
      <c r="DM564" s="500"/>
      <c r="DN564" s="500"/>
      <c r="DO564" s="369">
        <f>DO125*DO540</f>
        <v>-525.66387958656003</v>
      </c>
      <c r="DP564" s="500"/>
      <c r="DQ564" s="500"/>
      <c r="DR564" s="500"/>
      <c r="DS564" s="501"/>
      <c r="DT564" s="500"/>
      <c r="DU564" s="500"/>
      <c r="DV564" s="369">
        <f>DV125*DV540</f>
        <v>-525.66387958656003</v>
      </c>
      <c r="DW564" s="500"/>
      <c r="DX564" s="500"/>
      <c r="DY564" s="500"/>
      <c r="DZ564" s="501"/>
      <c r="EA564" s="500"/>
      <c r="EB564" s="500"/>
      <c r="EC564" s="369">
        <f>EC125*EC540</f>
        <v>-525.66387958656003</v>
      </c>
      <c r="ED564" s="500"/>
      <c r="EE564" s="500"/>
      <c r="EF564" s="500"/>
      <c r="EG564" s="501"/>
      <c r="EH564" s="500"/>
      <c r="EI564" s="500"/>
      <c r="EJ564" s="369">
        <f>EJ125*EJ540</f>
        <v>-525.66387958656003</v>
      </c>
      <c r="EK564" s="500"/>
      <c r="EL564" s="500"/>
      <c r="EM564" s="500"/>
      <c r="EN564" s="501"/>
      <c r="EO564" s="500"/>
      <c r="EP564" s="500"/>
      <c r="EQ564" s="369">
        <f>EQ125*EQ540</f>
        <v>-525.66387958656003</v>
      </c>
    </row>
    <row r="565" spans="1:147" ht="10.199999999999999" hidden="1" customHeight="1" outlineLevel="1">
      <c r="A565" s="108" t="s">
        <v>385</v>
      </c>
      <c r="B565" s="48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3"/>
      <c r="O565" s="500"/>
      <c r="P565" s="500"/>
      <c r="Q565" s="500"/>
      <c r="R565" s="501"/>
      <c r="S565" s="500"/>
      <c r="T565" s="500"/>
      <c r="U565" s="369"/>
      <c r="V565" s="500"/>
      <c r="W565" s="500"/>
      <c r="X565" s="500"/>
      <c r="Y565" s="501"/>
      <c r="Z565" s="500"/>
      <c r="AA565" s="500"/>
      <c r="AB565" s="369"/>
      <c r="AC565" s="500"/>
      <c r="AD565" s="500"/>
      <c r="AE565" s="500"/>
      <c r="AF565" s="501"/>
      <c r="AG565" s="500"/>
      <c r="AH565" s="500"/>
      <c r="AI565" s="369"/>
      <c r="AJ565" s="500"/>
      <c r="AK565" s="500"/>
      <c r="AL565" s="500"/>
      <c r="AM565" s="501"/>
      <c r="AN565" s="500"/>
      <c r="AO565" s="500"/>
      <c r="AP565" s="369"/>
      <c r="AQ565" s="500"/>
      <c r="AR565" s="500"/>
      <c r="AS565" s="500"/>
      <c r="AT565" s="501"/>
      <c r="AU565" s="500"/>
      <c r="AV565" s="500"/>
      <c r="AW565" s="369">
        <f>AW587-AW259</f>
        <v>0</v>
      </c>
      <c r="AX565" s="500"/>
      <c r="AY565" s="500"/>
      <c r="AZ565" s="500"/>
      <c r="BA565" s="501"/>
      <c r="BB565" s="500"/>
      <c r="BC565" s="500"/>
      <c r="BD565" s="369">
        <f>BD587-BD259</f>
        <v>0</v>
      </c>
      <c r="BE565" s="500"/>
      <c r="BF565" s="500"/>
      <c r="BG565" s="500"/>
      <c r="BH565" s="501"/>
      <c r="BI565" s="500"/>
      <c r="BJ565" s="500"/>
      <c r="BK565" s="369">
        <f>BK587-BK259</f>
        <v>-325.44720000000001</v>
      </c>
      <c r="BL565" s="500"/>
      <c r="BM565" s="500"/>
      <c r="BN565" s="500"/>
      <c r="BO565" s="501"/>
      <c r="BP565" s="500"/>
      <c r="BQ565" s="500"/>
      <c r="BR565" s="369">
        <f>BR126*BR540</f>
        <v>-4581.2117520000002</v>
      </c>
      <c r="BS565" s="500"/>
      <c r="BT565" s="500"/>
      <c r="BU565" s="500"/>
      <c r="BV565" s="501"/>
      <c r="BW565" s="500"/>
      <c r="BX565" s="500"/>
      <c r="BY565" s="369">
        <f>BY126*BY540</f>
        <v>-1508.447772</v>
      </c>
      <c r="BZ565" s="500"/>
      <c r="CA565" s="500"/>
      <c r="CB565" s="500"/>
      <c r="CC565" s="501"/>
      <c r="CD565" s="500"/>
      <c r="CE565" s="500"/>
      <c r="CF565" s="369">
        <f>CF126*CF540</f>
        <v>-1725.6642511680002</v>
      </c>
      <c r="CG565" s="500"/>
      <c r="CH565" s="500"/>
      <c r="CI565" s="500"/>
      <c r="CJ565" s="501"/>
      <c r="CK565" s="500"/>
      <c r="CL565" s="500"/>
      <c r="CM565" s="369">
        <f>CM126*CM540</f>
        <v>-2628.3193979328003</v>
      </c>
      <c r="CN565" s="500"/>
      <c r="CO565" s="500"/>
      <c r="CP565" s="500"/>
      <c r="CQ565" s="501"/>
      <c r="CR565" s="500"/>
      <c r="CS565" s="500"/>
      <c r="CT565" s="369">
        <f>CT126*CT540</f>
        <v>-3811.0631270025601</v>
      </c>
      <c r="CU565" s="500"/>
      <c r="CV565" s="500"/>
      <c r="CW565" s="500"/>
      <c r="CX565" s="501"/>
      <c r="CY565" s="500"/>
      <c r="CZ565" s="500"/>
      <c r="DA565" s="369">
        <f>DA126*DA540</f>
        <v>-3942.4790968992002</v>
      </c>
      <c r="DB565" s="500"/>
      <c r="DC565" s="500"/>
      <c r="DD565" s="500"/>
      <c r="DE565" s="501"/>
      <c r="DF565" s="500"/>
      <c r="DG565" s="500"/>
      <c r="DH565" s="369">
        <f>DH126*DH540</f>
        <v>-4336.7270065891198</v>
      </c>
      <c r="DI565" s="500"/>
      <c r="DJ565" s="500"/>
      <c r="DK565" s="500"/>
      <c r="DL565" s="501"/>
      <c r="DM565" s="500"/>
      <c r="DN565" s="500"/>
      <c r="DO565" s="369">
        <f>DO126*DO540</f>
        <v>-3811.0631270025601</v>
      </c>
      <c r="DP565" s="500"/>
      <c r="DQ565" s="500"/>
      <c r="DR565" s="500"/>
      <c r="DS565" s="501"/>
      <c r="DT565" s="500"/>
      <c r="DU565" s="500"/>
      <c r="DV565" s="369">
        <f>DV126*DV540</f>
        <v>-3811.0631270025601</v>
      </c>
      <c r="DW565" s="500"/>
      <c r="DX565" s="500"/>
      <c r="DY565" s="500"/>
      <c r="DZ565" s="501"/>
      <c r="EA565" s="500"/>
      <c r="EB565" s="500"/>
      <c r="EC565" s="369">
        <f>EC126*EC540</f>
        <v>-3811.0631270025601</v>
      </c>
      <c r="ED565" s="500"/>
      <c r="EE565" s="500"/>
      <c r="EF565" s="500"/>
      <c r="EG565" s="501"/>
      <c r="EH565" s="500"/>
      <c r="EI565" s="500"/>
      <c r="EJ565" s="369">
        <f>EJ126*EJ540</f>
        <v>-3811.0631270025601</v>
      </c>
      <c r="EK565" s="500"/>
      <c r="EL565" s="500"/>
      <c r="EM565" s="500"/>
      <c r="EN565" s="501"/>
      <c r="EO565" s="500"/>
      <c r="EP565" s="500"/>
      <c r="EQ565" s="369">
        <f>EQ126*EQ540</f>
        <v>-4533.8509614340801</v>
      </c>
    </row>
    <row r="566" spans="1:147" ht="10.199999999999999" hidden="1" customHeight="1" outlineLevel="1">
      <c r="A566" s="48" t="s">
        <v>381</v>
      </c>
      <c r="B566" s="48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3"/>
      <c r="O566" s="298"/>
      <c r="P566" s="298"/>
      <c r="Q566" s="298"/>
      <c r="R566" s="337"/>
      <c r="S566" s="298"/>
      <c r="T566" s="298"/>
      <c r="U566" s="367"/>
      <c r="V566" s="298"/>
      <c r="W566" s="298"/>
      <c r="X566" s="298"/>
      <c r="Y566" s="337"/>
      <c r="Z566" s="298"/>
      <c r="AA566" s="298"/>
      <c r="AB566" s="367"/>
      <c r="AC566" s="298"/>
      <c r="AD566" s="298"/>
      <c r="AE566" s="298"/>
      <c r="AF566" s="337"/>
      <c r="AG566" s="298"/>
      <c r="AH566" s="298"/>
      <c r="AI566" s="367"/>
      <c r="AJ566" s="298"/>
      <c r="AK566" s="298"/>
      <c r="AL566" s="298"/>
      <c r="AM566" s="337"/>
      <c r="AN566" s="298"/>
      <c r="AO566" s="298"/>
      <c r="AP566" s="367"/>
      <c r="AQ566" s="298"/>
      <c r="AR566" s="298"/>
      <c r="AS566" s="298"/>
      <c r="AT566" s="337"/>
      <c r="AU566" s="298"/>
      <c r="AV566" s="298"/>
      <c r="AW566" s="367">
        <f t="shared" ref="AW566:CM566" si="1660">AW564+AW565</f>
        <v>0</v>
      </c>
      <c r="AX566" s="298"/>
      <c r="AY566" s="298"/>
      <c r="AZ566" s="298"/>
      <c r="BA566" s="337"/>
      <c r="BB566" s="298"/>
      <c r="BC566" s="298"/>
      <c r="BD566" s="367">
        <f t="shared" si="1660"/>
        <v>0</v>
      </c>
      <c r="BE566" s="298"/>
      <c r="BF566" s="298"/>
      <c r="BG566" s="298"/>
      <c r="BH566" s="337"/>
      <c r="BI566" s="298"/>
      <c r="BJ566" s="298"/>
      <c r="BK566" s="367">
        <f t="shared" si="1660"/>
        <v>-325.44720000000001</v>
      </c>
      <c r="BL566" s="298"/>
      <c r="BM566" s="298"/>
      <c r="BN566" s="298"/>
      <c r="BO566" s="337"/>
      <c r="BP566" s="298"/>
      <c r="BQ566" s="298"/>
      <c r="BR566" s="367">
        <f t="shared" si="1660"/>
        <v>-4581.2117520000002</v>
      </c>
      <c r="BS566" s="298"/>
      <c r="BT566" s="298"/>
      <c r="BU566" s="298"/>
      <c r="BV566" s="337"/>
      <c r="BW566" s="298"/>
      <c r="BX566" s="298"/>
      <c r="BY566" s="367">
        <f t="shared" si="1660"/>
        <v>-1960.9821036000001</v>
      </c>
      <c r="BZ566" s="298"/>
      <c r="CA566" s="298"/>
      <c r="CB566" s="298"/>
      <c r="CC566" s="337"/>
      <c r="CD566" s="298"/>
      <c r="CE566" s="298"/>
      <c r="CF566" s="367">
        <f t="shared" si="1660"/>
        <v>-1858.4076551040002</v>
      </c>
      <c r="CG566" s="298"/>
      <c r="CH566" s="298"/>
      <c r="CI566" s="298"/>
      <c r="CJ566" s="337"/>
      <c r="CK566" s="298"/>
      <c r="CL566" s="298"/>
      <c r="CM566" s="367">
        <f t="shared" si="1660"/>
        <v>-3022.5673076227204</v>
      </c>
      <c r="CN566" s="298"/>
      <c r="CO566" s="298"/>
      <c r="CP566" s="298"/>
      <c r="CQ566" s="337"/>
      <c r="CR566" s="298"/>
      <c r="CS566" s="298"/>
      <c r="CT566" s="367">
        <f>CT564+CT565</f>
        <v>-3811.0631270025601</v>
      </c>
      <c r="CU566" s="298"/>
      <c r="CV566" s="298"/>
      <c r="CW566" s="298"/>
      <c r="CX566" s="337"/>
      <c r="CY566" s="298"/>
      <c r="CZ566" s="298"/>
      <c r="DA566" s="367">
        <f>DA564+DA565</f>
        <v>-3942.4790968992002</v>
      </c>
      <c r="DB566" s="298"/>
      <c r="DC566" s="298"/>
      <c r="DD566" s="298"/>
      <c r="DE566" s="337"/>
      <c r="DF566" s="298"/>
      <c r="DG566" s="298"/>
      <c r="DH566" s="367">
        <f>DH564+DH565</f>
        <v>-4468.1429764857594</v>
      </c>
      <c r="DI566" s="298"/>
      <c r="DJ566" s="298"/>
      <c r="DK566" s="298"/>
      <c r="DL566" s="337"/>
      <c r="DM566" s="298"/>
      <c r="DN566" s="298"/>
      <c r="DO566" s="367">
        <f>DO564+DO565</f>
        <v>-4336.7270065891198</v>
      </c>
      <c r="DP566" s="298"/>
      <c r="DQ566" s="298"/>
      <c r="DR566" s="298"/>
      <c r="DS566" s="337"/>
      <c r="DT566" s="298"/>
      <c r="DU566" s="298"/>
      <c r="DV566" s="367">
        <f>DV564+DV565</f>
        <v>-4336.7270065891198</v>
      </c>
      <c r="DW566" s="298"/>
      <c r="DX566" s="298"/>
      <c r="DY566" s="298"/>
      <c r="DZ566" s="337"/>
      <c r="EA566" s="298"/>
      <c r="EB566" s="298"/>
      <c r="EC566" s="367">
        <f>EC564+EC565</f>
        <v>-4336.7270065891198</v>
      </c>
      <c r="ED566" s="298"/>
      <c r="EE566" s="298"/>
      <c r="EF566" s="298"/>
      <c r="EG566" s="337"/>
      <c r="EH566" s="298"/>
      <c r="EI566" s="298"/>
      <c r="EJ566" s="367">
        <f>EJ564+EJ565</f>
        <v>-4336.7270065891198</v>
      </c>
      <c r="EK566" s="298"/>
      <c r="EL566" s="298"/>
      <c r="EM566" s="298"/>
      <c r="EN566" s="337"/>
      <c r="EO566" s="298"/>
      <c r="EP566" s="298"/>
      <c r="EQ566" s="367">
        <f>EQ564+EQ565</f>
        <v>-5059.5148410206402</v>
      </c>
    </row>
    <row r="567" spans="1:147" ht="10.199999999999999" hidden="1" customHeight="1" outlineLevel="1">
      <c r="A567" s="108" t="s">
        <v>371</v>
      </c>
      <c r="B567" s="48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3"/>
      <c r="O567" s="500"/>
      <c r="P567" s="500"/>
      <c r="Q567" s="500"/>
      <c r="R567" s="501"/>
      <c r="S567" s="500"/>
      <c r="T567" s="500"/>
      <c r="U567" s="369"/>
      <c r="V567" s="500"/>
      <c r="W567" s="500"/>
      <c r="X567" s="500"/>
      <c r="Y567" s="501"/>
      <c r="Z567" s="500"/>
      <c r="AA567" s="500"/>
      <c r="AB567" s="369"/>
      <c r="AC567" s="500"/>
      <c r="AD567" s="500"/>
      <c r="AE567" s="500"/>
      <c r="AF567" s="501"/>
      <c r="AG567" s="500"/>
      <c r="AH567" s="500"/>
      <c r="AI567" s="369"/>
      <c r="AJ567" s="500"/>
      <c r="AK567" s="500"/>
      <c r="AL567" s="500"/>
      <c r="AM567" s="501"/>
      <c r="AN567" s="500"/>
      <c r="AO567" s="500"/>
      <c r="AP567" s="369"/>
      <c r="AQ567" s="500"/>
      <c r="AR567" s="500"/>
      <c r="AS567" s="500"/>
      <c r="AT567" s="501"/>
      <c r="AU567" s="500"/>
      <c r="AV567" s="500"/>
      <c r="AW567" s="369"/>
      <c r="AX567" s="500"/>
      <c r="AY567" s="500"/>
      <c r="AZ567" s="500"/>
      <c r="BA567" s="501"/>
      <c r="BB567" s="500"/>
      <c r="BC567" s="500"/>
      <c r="BD567" s="369"/>
      <c r="BE567" s="500"/>
      <c r="BF567" s="500"/>
      <c r="BG567" s="500"/>
      <c r="BH567" s="501"/>
      <c r="BI567" s="500"/>
      <c r="BJ567" s="500"/>
      <c r="BK567" s="369"/>
      <c r="BL567" s="500"/>
      <c r="BM567" s="500"/>
      <c r="BN567" s="500"/>
      <c r="BO567" s="501"/>
      <c r="BP567" s="500"/>
      <c r="BQ567" s="500"/>
      <c r="BR567" s="369"/>
      <c r="BS567" s="500"/>
      <c r="BT567" s="500"/>
      <c r="BU567" s="500"/>
      <c r="BV567" s="501"/>
      <c r="BW567" s="500"/>
      <c r="BX567" s="500"/>
      <c r="BY567" s="369">
        <f>BY589-BY265</f>
        <v>0</v>
      </c>
      <c r="BZ567" s="500"/>
      <c r="CA567" s="500"/>
      <c r="CB567" s="500"/>
      <c r="CC567" s="501"/>
      <c r="CD567" s="500"/>
      <c r="CE567" s="500"/>
      <c r="CF567" s="369">
        <f>CF543*CF136</f>
        <v>0</v>
      </c>
      <c r="CG567" s="500"/>
      <c r="CH567" s="500"/>
      <c r="CI567" s="500"/>
      <c r="CJ567" s="501"/>
      <c r="CK567" s="500"/>
      <c r="CL567" s="500"/>
      <c r="CM567" s="369">
        <f>CM543*CM136</f>
        <v>0</v>
      </c>
      <c r="CN567" s="500"/>
      <c r="CO567" s="500"/>
      <c r="CP567" s="500"/>
      <c r="CQ567" s="501"/>
      <c r="CR567" s="500"/>
      <c r="CS567" s="500"/>
      <c r="CT567" s="369">
        <f>CT543*CT136</f>
        <v>0</v>
      </c>
      <c r="CU567" s="500"/>
      <c r="CV567" s="500"/>
      <c r="CW567" s="500"/>
      <c r="CX567" s="501"/>
      <c r="CY567" s="500"/>
      <c r="CZ567" s="500"/>
      <c r="DA567" s="369">
        <f>DA543*DA136</f>
        <v>0</v>
      </c>
      <c r="DB567" s="500"/>
      <c r="DC567" s="500"/>
      <c r="DD567" s="500"/>
      <c r="DE567" s="501"/>
      <c r="DF567" s="500"/>
      <c r="DG567" s="500"/>
      <c r="DH567" s="369">
        <f>DH543*DH136</f>
        <v>0</v>
      </c>
      <c r="DI567" s="500"/>
      <c r="DJ567" s="500"/>
      <c r="DK567" s="500"/>
      <c r="DL567" s="501"/>
      <c r="DM567" s="500"/>
      <c r="DN567" s="500"/>
      <c r="DO567" s="369">
        <f>DO543*DO136</f>
        <v>0</v>
      </c>
      <c r="DP567" s="500"/>
      <c r="DQ567" s="500"/>
      <c r="DR567" s="500"/>
      <c r="DS567" s="501"/>
      <c r="DT567" s="500"/>
      <c r="DU567" s="500"/>
      <c r="DV567" s="369">
        <f>DV543*DV136</f>
        <v>0</v>
      </c>
      <c r="DW567" s="500"/>
      <c r="DX567" s="500"/>
      <c r="DY567" s="500"/>
      <c r="DZ567" s="501"/>
      <c r="EA567" s="500"/>
      <c r="EB567" s="500"/>
      <c r="EC567" s="369">
        <f>EC543*EC136</f>
        <v>0</v>
      </c>
      <c r="ED567" s="500"/>
      <c r="EE567" s="500"/>
      <c r="EF567" s="500"/>
      <c r="EG567" s="501"/>
      <c r="EH567" s="500"/>
      <c r="EI567" s="500"/>
      <c r="EJ567" s="369">
        <f>EJ543*EJ136</f>
        <v>0</v>
      </c>
      <c r="EK567" s="500"/>
      <c r="EL567" s="500"/>
      <c r="EM567" s="500"/>
      <c r="EN567" s="501"/>
      <c r="EO567" s="500"/>
      <c r="EP567" s="500"/>
      <c r="EQ567" s="369">
        <f>EQ543*EQ136</f>
        <v>0</v>
      </c>
    </row>
    <row r="568" spans="1:147" ht="10.199999999999999" hidden="1" customHeight="1" outlineLevel="1">
      <c r="A568" s="108" t="s">
        <v>369</v>
      </c>
      <c r="B568" s="48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3"/>
      <c r="O568" s="500"/>
      <c r="P568" s="500"/>
      <c r="Q568" s="500"/>
      <c r="R568" s="501"/>
      <c r="S568" s="500"/>
      <c r="T568" s="500"/>
      <c r="U568" s="369"/>
      <c r="V568" s="500"/>
      <c r="W568" s="500"/>
      <c r="X568" s="500"/>
      <c r="Y568" s="501"/>
      <c r="Z568" s="500"/>
      <c r="AA568" s="500"/>
      <c r="AB568" s="369"/>
      <c r="AC568" s="500"/>
      <c r="AD568" s="500"/>
      <c r="AE568" s="500"/>
      <c r="AF568" s="501"/>
      <c r="AG568" s="500"/>
      <c r="AH568" s="500"/>
      <c r="AI568" s="369">
        <f>AI590-AI266</f>
        <v>-3669.7919999999995</v>
      </c>
      <c r="AJ568" s="500"/>
      <c r="AK568" s="500"/>
      <c r="AL568" s="500"/>
      <c r="AM568" s="501"/>
      <c r="AN568" s="500"/>
      <c r="AO568" s="500"/>
      <c r="AP568" s="369">
        <f>AP544*AP137</f>
        <v>-9119.4331199999997</v>
      </c>
      <c r="AQ568" s="500"/>
      <c r="AR568" s="500"/>
      <c r="AS568" s="500"/>
      <c r="AT568" s="501"/>
      <c r="AU568" s="500"/>
      <c r="AV568" s="500"/>
      <c r="AW568" s="369">
        <f>AW544*AW137</f>
        <v>-13445.319970367998</v>
      </c>
      <c r="AX568" s="500"/>
      <c r="AY568" s="500"/>
      <c r="AZ568" s="500"/>
      <c r="BA568" s="501"/>
      <c r="BB568" s="500"/>
      <c r="BC568" s="500"/>
      <c r="BD568" s="369">
        <f>BD544*BD137</f>
        <v>-13133.319970367998</v>
      </c>
      <c r="BE568" s="500"/>
      <c r="BF568" s="500"/>
      <c r="BG568" s="500"/>
      <c r="BH568" s="501"/>
      <c r="BI568" s="500"/>
      <c r="BJ568" s="500"/>
      <c r="BK568" s="369">
        <f>BK544*BK137</f>
        <v>-11513.77313604144</v>
      </c>
      <c r="BL568" s="500"/>
      <c r="BM568" s="500"/>
      <c r="BN568" s="500"/>
      <c r="BO568" s="501"/>
      <c r="BP568" s="500"/>
      <c r="BQ568" s="500"/>
      <c r="BR568" s="369">
        <f>BR544*BR137</f>
        <v>-12426.130349099914</v>
      </c>
      <c r="BS568" s="500"/>
      <c r="BT568" s="500"/>
      <c r="BU568" s="500"/>
      <c r="BV568" s="501"/>
      <c r="BW568" s="500"/>
      <c r="BX568" s="500"/>
      <c r="BY568" s="369">
        <f>BY544*BY137</f>
        <v>-7070.0396813844336</v>
      </c>
      <c r="BZ568" s="500"/>
      <c r="CA568" s="500"/>
      <c r="CB568" s="500"/>
      <c r="CC568" s="501"/>
      <c r="CD568" s="500"/>
      <c r="CE568" s="500"/>
      <c r="CF568" s="369">
        <f>CF544*CF137</f>
        <v>-7467.5330234711582</v>
      </c>
      <c r="CG568" s="500"/>
      <c r="CH568" s="500"/>
      <c r="CI568" s="500"/>
      <c r="CJ568" s="501"/>
      <c r="CK568" s="500"/>
      <c r="CL568" s="500"/>
      <c r="CM568" s="369">
        <f>CM544*CM137</f>
        <v>-7772.3302897352869</v>
      </c>
      <c r="CN568" s="500"/>
      <c r="CO568" s="500"/>
      <c r="CP568" s="500"/>
      <c r="CQ568" s="501"/>
      <c r="CR568" s="500"/>
      <c r="CS568" s="500"/>
      <c r="CT568" s="369">
        <f>CT544*CT137</f>
        <v>-8244.8879713511924</v>
      </c>
      <c r="CU568" s="500"/>
      <c r="CV568" s="500"/>
      <c r="CW568" s="500"/>
      <c r="CX568" s="501"/>
      <c r="CY568" s="500"/>
      <c r="CZ568" s="500"/>
      <c r="DA568" s="369">
        <f>DA544*DA137</f>
        <v>-7115.9725414277209</v>
      </c>
      <c r="DB568" s="500"/>
      <c r="DC568" s="500"/>
      <c r="DD568" s="500"/>
      <c r="DE568" s="501"/>
      <c r="DF568" s="500"/>
      <c r="DG568" s="500"/>
      <c r="DH568" s="369">
        <f>DH544*DH137</f>
        <v>-6928.3696289718991</v>
      </c>
      <c r="DI568" s="500"/>
      <c r="DJ568" s="500"/>
      <c r="DK568" s="500"/>
      <c r="DL568" s="501"/>
      <c r="DM568" s="500"/>
      <c r="DN568" s="500"/>
      <c r="DO568" s="369">
        <f>DO544*DO137</f>
        <v>-9086.0618848517188</v>
      </c>
      <c r="DP568" s="500"/>
      <c r="DQ568" s="500"/>
      <c r="DR568" s="500"/>
      <c r="DS568" s="501"/>
      <c r="DT568" s="500"/>
      <c r="DU568" s="500"/>
      <c r="DV568" s="369">
        <f>DV544*DV137</f>
        <v>-11327.290483115145</v>
      </c>
      <c r="DW568" s="500"/>
      <c r="DX568" s="500"/>
      <c r="DY568" s="500"/>
      <c r="DZ568" s="501"/>
      <c r="EA568" s="500"/>
      <c r="EB568" s="500"/>
      <c r="EC568" s="369">
        <f>EC544*EC137</f>
        <v>-12998.065829374629</v>
      </c>
      <c r="ED568" s="500"/>
      <c r="EE568" s="500"/>
      <c r="EF568" s="500"/>
      <c r="EG568" s="501"/>
      <c r="EH568" s="500"/>
      <c r="EI568" s="500"/>
      <c r="EJ568" s="369">
        <f>EJ544*EJ137</f>
        <v>-14731.141273291247</v>
      </c>
      <c r="EK568" s="500"/>
      <c r="EL568" s="500"/>
      <c r="EM568" s="500"/>
      <c r="EN568" s="501"/>
      <c r="EO568" s="500"/>
      <c r="EP568" s="500"/>
      <c r="EQ568" s="369">
        <f>EQ544*EQ137</f>
        <v>-15025.764098757072</v>
      </c>
    </row>
    <row r="569" spans="1:147" ht="10.199999999999999" hidden="1" customHeight="1" outlineLevel="1">
      <c r="A569" s="108" t="s">
        <v>370</v>
      </c>
      <c r="B569" s="48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3"/>
      <c r="O569" s="500"/>
      <c r="P569" s="500"/>
      <c r="Q569" s="500"/>
      <c r="R569" s="501"/>
      <c r="S569" s="500"/>
      <c r="T569" s="500"/>
      <c r="U569" s="369"/>
      <c r="V569" s="500"/>
      <c r="W569" s="500"/>
      <c r="X569" s="500"/>
      <c r="Y569" s="501"/>
      <c r="Z569" s="500"/>
      <c r="AA569" s="500"/>
      <c r="AB569" s="369"/>
      <c r="AC569" s="500"/>
      <c r="AD569" s="500"/>
      <c r="AE569" s="500"/>
      <c r="AF569" s="501"/>
      <c r="AG569" s="500"/>
      <c r="AH569" s="500"/>
      <c r="AI569" s="369"/>
      <c r="AJ569" s="500"/>
      <c r="AK569" s="500"/>
      <c r="AL569" s="500"/>
      <c r="AM569" s="501"/>
      <c r="AN569" s="500"/>
      <c r="AO569" s="500"/>
      <c r="AP569" s="369"/>
      <c r="AQ569" s="500"/>
      <c r="AR569" s="500"/>
      <c r="AS569" s="500"/>
      <c r="AT569" s="501"/>
      <c r="AU569" s="500"/>
      <c r="AV569" s="500"/>
      <c r="AW569" s="369">
        <f>AW591-AW267</f>
        <v>0</v>
      </c>
      <c r="AX569" s="500"/>
      <c r="AY569" s="500"/>
      <c r="AZ569" s="500"/>
      <c r="BA569" s="501"/>
      <c r="BB569" s="500"/>
      <c r="BC569" s="500"/>
      <c r="BD569" s="369">
        <f>BD591-BD267</f>
        <v>0</v>
      </c>
      <c r="BE569" s="500"/>
      <c r="BF569" s="500"/>
      <c r="BG569" s="500"/>
      <c r="BH569" s="501"/>
      <c r="BI569" s="500"/>
      <c r="BJ569" s="500"/>
      <c r="BK569" s="369">
        <f>BK591-BK267</f>
        <v>-2356.0563263632775</v>
      </c>
      <c r="BL569" s="500"/>
      <c r="BM569" s="500"/>
      <c r="BN569" s="500"/>
      <c r="BO569" s="501"/>
      <c r="BP569" s="500"/>
      <c r="BQ569" s="500"/>
      <c r="BR569" s="369">
        <f>BR545*BR138</f>
        <v>-4123.0985711357353</v>
      </c>
      <c r="BS569" s="500"/>
      <c r="BT569" s="500"/>
      <c r="BU569" s="500"/>
      <c r="BV569" s="501"/>
      <c r="BW569" s="500"/>
      <c r="BX569" s="500"/>
      <c r="BY569" s="369">
        <f>BY545*BY138</f>
        <v>-2539.8287198196135</v>
      </c>
      <c r="BZ569" s="500"/>
      <c r="CA569" s="500"/>
      <c r="CB569" s="500"/>
      <c r="CC569" s="501"/>
      <c r="CD569" s="500"/>
      <c r="CE569" s="500"/>
      <c r="CF569" s="369">
        <f>CF545*CF138</f>
        <v>-1055.8430820964393</v>
      </c>
      <c r="CG569" s="500"/>
      <c r="CH569" s="500"/>
      <c r="CI569" s="500"/>
      <c r="CJ569" s="501"/>
      <c r="CK569" s="500"/>
      <c r="CL569" s="500"/>
      <c r="CM569" s="369">
        <f>CM545*CM138</f>
        <v>-1794.9332395639467</v>
      </c>
      <c r="CN569" s="500"/>
      <c r="CO569" s="500"/>
      <c r="CP569" s="500"/>
      <c r="CQ569" s="501"/>
      <c r="CR569" s="500"/>
      <c r="CS569" s="500"/>
      <c r="CT569" s="369">
        <f>CT545*CT138</f>
        <v>-2196.998285226271</v>
      </c>
      <c r="CU569" s="500"/>
      <c r="CV569" s="500"/>
      <c r="CW569" s="500"/>
      <c r="CX569" s="501"/>
      <c r="CY569" s="500"/>
      <c r="CZ569" s="500"/>
      <c r="DA569" s="369">
        <f>DA545*DA138</f>
        <v>-2427.6831051750291</v>
      </c>
      <c r="DB569" s="500"/>
      <c r="DC569" s="500"/>
      <c r="DD569" s="500"/>
      <c r="DE569" s="501"/>
      <c r="DF569" s="500"/>
      <c r="DG569" s="500"/>
      <c r="DH569" s="369">
        <f>DH545*DH138</f>
        <v>-2857.196269936765</v>
      </c>
      <c r="DI569" s="500"/>
      <c r="DJ569" s="500"/>
      <c r="DK569" s="500"/>
      <c r="DL569" s="501"/>
      <c r="DM569" s="500"/>
      <c r="DN569" s="500"/>
      <c r="DO569" s="369">
        <f>DO545*DO138</f>
        <v>-3497.2082344026003</v>
      </c>
      <c r="DP569" s="500"/>
      <c r="DQ569" s="500"/>
      <c r="DR569" s="500"/>
      <c r="DS569" s="501"/>
      <c r="DT569" s="500"/>
      <c r="DU569" s="500"/>
      <c r="DV569" s="369">
        <f>DV545*DV138</f>
        <v>-4359.8529322219083</v>
      </c>
      <c r="DW569" s="500"/>
      <c r="DX569" s="500"/>
      <c r="DY569" s="500"/>
      <c r="DZ569" s="501"/>
      <c r="EA569" s="500"/>
      <c r="EB569" s="500"/>
      <c r="EC569" s="369">
        <f>EC545*EC138</f>
        <v>-5002.9312397246395</v>
      </c>
      <c r="ED569" s="500"/>
      <c r="EE569" s="500"/>
      <c r="EF569" s="500"/>
      <c r="EG569" s="501"/>
      <c r="EH569" s="500"/>
      <c r="EI569" s="500"/>
      <c r="EJ569" s="369">
        <f>EJ545*EJ138</f>
        <v>-5669.988738354592</v>
      </c>
      <c r="EK569" s="500"/>
      <c r="EL569" s="500"/>
      <c r="EM569" s="500"/>
      <c r="EN569" s="501"/>
      <c r="EO569" s="500"/>
      <c r="EP569" s="500"/>
      <c r="EQ569" s="369">
        <f>EQ545*EQ138</f>
        <v>-5783.3885131216839</v>
      </c>
    </row>
    <row r="570" spans="1:147" ht="10.199999999999999" hidden="1" customHeight="1" outlineLevel="1">
      <c r="A570" s="48" t="s">
        <v>238</v>
      </c>
      <c r="B570" s="48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3"/>
      <c r="O570" s="298"/>
      <c r="P570" s="298"/>
      <c r="Q570" s="298"/>
      <c r="R570" s="337"/>
      <c r="S570" s="298"/>
      <c r="T570" s="298"/>
      <c r="U570" s="367"/>
      <c r="V570" s="298"/>
      <c r="W570" s="298"/>
      <c r="X570" s="298"/>
      <c r="Y570" s="337"/>
      <c r="Z570" s="298"/>
      <c r="AA570" s="298"/>
      <c r="AB570" s="367"/>
      <c r="AC570" s="298"/>
      <c r="AD570" s="298"/>
      <c r="AE570" s="298"/>
      <c r="AF570" s="337"/>
      <c r="AG570" s="298"/>
      <c r="AH570" s="298"/>
      <c r="AI570" s="367">
        <f t="shared" ref="AI570:CM570" si="1661">AI567+AI568+AI569</f>
        <v>-3669.7919999999995</v>
      </c>
      <c r="AJ570" s="298"/>
      <c r="AK570" s="298"/>
      <c r="AL570" s="298"/>
      <c r="AM570" s="337"/>
      <c r="AN570" s="298"/>
      <c r="AO570" s="298"/>
      <c r="AP570" s="367">
        <f t="shared" si="1661"/>
        <v>-9119.4331199999997</v>
      </c>
      <c r="AQ570" s="298"/>
      <c r="AR570" s="298"/>
      <c r="AS570" s="298"/>
      <c r="AT570" s="337"/>
      <c r="AU570" s="298"/>
      <c r="AV570" s="298"/>
      <c r="AW570" s="367">
        <f t="shared" si="1661"/>
        <v>-13445.319970367998</v>
      </c>
      <c r="AX570" s="298"/>
      <c r="AY570" s="298"/>
      <c r="AZ570" s="298"/>
      <c r="BA570" s="337"/>
      <c r="BB570" s="298"/>
      <c r="BC570" s="298"/>
      <c r="BD570" s="367">
        <f t="shared" si="1661"/>
        <v>-13133.319970367998</v>
      </c>
      <c r="BE570" s="298"/>
      <c r="BF570" s="298"/>
      <c r="BG570" s="298"/>
      <c r="BH570" s="337"/>
      <c r="BI570" s="298"/>
      <c r="BJ570" s="298"/>
      <c r="BK570" s="367">
        <f t="shared" si="1661"/>
        <v>-13869.829462404718</v>
      </c>
      <c r="BL570" s="298"/>
      <c r="BM570" s="298"/>
      <c r="BN570" s="298"/>
      <c r="BO570" s="337"/>
      <c r="BP570" s="298"/>
      <c r="BQ570" s="298"/>
      <c r="BR570" s="367">
        <f t="shared" si="1661"/>
        <v>-16549.228920235648</v>
      </c>
      <c r="BS570" s="298"/>
      <c r="BT570" s="298"/>
      <c r="BU570" s="298"/>
      <c r="BV570" s="337"/>
      <c r="BW570" s="298"/>
      <c r="BX570" s="298"/>
      <c r="BY570" s="367">
        <f t="shared" si="1661"/>
        <v>-9609.8684012040467</v>
      </c>
      <c r="BZ570" s="298"/>
      <c r="CA570" s="298"/>
      <c r="CB570" s="298"/>
      <c r="CC570" s="337"/>
      <c r="CD570" s="298"/>
      <c r="CE570" s="298"/>
      <c r="CF570" s="367">
        <f t="shared" si="1661"/>
        <v>-8523.3761055675968</v>
      </c>
      <c r="CG570" s="298"/>
      <c r="CH570" s="298"/>
      <c r="CI570" s="298"/>
      <c r="CJ570" s="337"/>
      <c r="CK570" s="298"/>
      <c r="CL570" s="298"/>
      <c r="CM570" s="367">
        <f t="shared" si="1661"/>
        <v>-9567.2635292992345</v>
      </c>
      <c r="CN570" s="298"/>
      <c r="CO570" s="298"/>
      <c r="CP570" s="298"/>
      <c r="CQ570" s="337"/>
      <c r="CR570" s="298"/>
      <c r="CS570" s="298"/>
      <c r="CT570" s="367">
        <f>CT567+CT568+CT569</f>
        <v>-10441.886256577463</v>
      </c>
      <c r="CU570" s="298"/>
      <c r="CV570" s="298"/>
      <c r="CW570" s="298"/>
      <c r="CX570" s="337"/>
      <c r="CY570" s="298"/>
      <c r="CZ570" s="298"/>
      <c r="DA570" s="367">
        <f>DA567+DA568+DA569</f>
        <v>-9543.6556466027505</v>
      </c>
      <c r="DB570" s="298"/>
      <c r="DC570" s="298"/>
      <c r="DD570" s="298"/>
      <c r="DE570" s="337"/>
      <c r="DF570" s="298"/>
      <c r="DG570" s="298"/>
      <c r="DH570" s="367">
        <f>DH567+DH568+DH569</f>
        <v>-9785.5658989086642</v>
      </c>
      <c r="DI570" s="298"/>
      <c r="DJ570" s="298"/>
      <c r="DK570" s="298"/>
      <c r="DL570" s="337"/>
      <c r="DM570" s="298"/>
      <c r="DN570" s="298"/>
      <c r="DO570" s="367">
        <f>DO567+DO568+DO569</f>
        <v>-12583.270119254319</v>
      </c>
      <c r="DP570" s="298"/>
      <c r="DQ570" s="298"/>
      <c r="DR570" s="298"/>
      <c r="DS570" s="337"/>
      <c r="DT570" s="298"/>
      <c r="DU570" s="298"/>
      <c r="DV570" s="367">
        <f>DV567+DV568+DV569</f>
        <v>-15687.143415337054</v>
      </c>
      <c r="DW570" s="298"/>
      <c r="DX570" s="298"/>
      <c r="DY570" s="298"/>
      <c r="DZ570" s="337"/>
      <c r="EA570" s="298"/>
      <c r="EB570" s="298"/>
      <c r="EC570" s="367">
        <f>EC567+EC568+EC569</f>
        <v>-18000.99706909927</v>
      </c>
      <c r="ED570" s="298"/>
      <c r="EE570" s="298"/>
      <c r="EF570" s="298"/>
      <c r="EG570" s="337"/>
      <c r="EH570" s="298"/>
      <c r="EI570" s="298"/>
      <c r="EJ570" s="367">
        <f>EJ567+EJ568+EJ569</f>
        <v>-20401.130011645837</v>
      </c>
      <c r="EK570" s="298"/>
      <c r="EL570" s="298"/>
      <c r="EM570" s="298"/>
      <c r="EN570" s="337"/>
      <c r="EO570" s="298"/>
      <c r="EP570" s="298"/>
      <c r="EQ570" s="367">
        <f>EQ567+EQ568+EQ569</f>
        <v>-20809.152611878755</v>
      </c>
    </row>
    <row r="571" spans="1:147" ht="10.199999999999999" hidden="1" customHeight="1" outlineLevel="1">
      <c r="A571" s="48" t="s">
        <v>133</v>
      </c>
      <c r="B571" s="48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3"/>
      <c r="O571" s="298"/>
      <c r="P571" s="298"/>
      <c r="Q571" s="298"/>
      <c r="R571" s="337"/>
      <c r="S571" s="298"/>
      <c r="T571" s="298"/>
      <c r="U571" s="367"/>
      <c r="V571" s="298"/>
      <c r="W571" s="298"/>
      <c r="X571" s="298"/>
      <c r="Y571" s="337"/>
      <c r="Z571" s="298"/>
      <c r="AA571" s="298"/>
      <c r="AB571" s="367"/>
      <c r="AC571" s="298"/>
      <c r="AD571" s="298"/>
      <c r="AE571" s="298"/>
      <c r="AF571" s="337"/>
      <c r="AG571" s="298"/>
      <c r="AH571" s="298"/>
      <c r="AI571" s="367">
        <f>AI593-AI269</f>
        <v>-6933.6</v>
      </c>
      <c r="AJ571" s="298"/>
      <c r="AK571" s="298"/>
      <c r="AL571" s="298"/>
      <c r="AM571" s="337"/>
      <c r="AN571" s="298"/>
      <c r="AO571" s="298"/>
      <c r="AP571" s="367">
        <f>AP548*AP141</f>
        <v>-7033.0221257332914</v>
      </c>
      <c r="AQ571" s="298"/>
      <c r="AR571" s="298"/>
      <c r="AS571" s="298"/>
      <c r="AT571" s="337"/>
      <c r="AU571" s="298"/>
      <c r="AV571" s="298"/>
      <c r="AW571" s="367">
        <f>AW548*AW141</f>
        <v>-3843.044232989977</v>
      </c>
      <c r="AX571" s="298"/>
      <c r="AY571" s="298"/>
      <c r="AZ571" s="298"/>
      <c r="BA571" s="337"/>
      <c r="BB571" s="298"/>
      <c r="BC571" s="298"/>
      <c r="BD571" s="367">
        <f>BD548*BD141</f>
        <v>-3393.044232989977</v>
      </c>
      <c r="BE571" s="298"/>
      <c r="BF571" s="298"/>
      <c r="BG571" s="298"/>
      <c r="BH571" s="337"/>
      <c r="BI571" s="298"/>
      <c r="BJ571" s="298"/>
      <c r="BK571" s="367">
        <f>BK548*BK141</f>
        <v>-2714.4353863919814</v>
      </c>
      <c r="BL571" s="298"/>
      <c r="BM571" s="298"/>
      <c r="BN571" s="298"/>
      <c r="BO571" s="337"/>
      <c r="BP571" s="298"/>
      <c r="BQ571" s="298"/>
      <c r="BR571" s="367">
        <f>-BR269</f>
        <v>-1636.2432000000001</v>
      </c>
      <c r="BS571" s="298"/>
      <c r="BT571" s="298"/>
      <c r="BU571" s="298"/>
      <c r="BV571" s="337"/>
      <c r="BW571" s="298"/>
      <c r="BX571" s="298"/>
      <c r="BY571" s="367">
        <f>-BY269</f>
        <v>-741.76358400000015</v>
      </c>
      <c r="BZ571" s="298"/>
      <c r="CA571" s="298"/>
      <c r="CB571" s="298"/>
      <c r="CC571" s="337"/>
      <c r="CD571" s="298"/>
      <c r="CE571" s="298"/>
      <c r="CF571" s="367">
        <f>-CF269</f>
        <v>-945.74856960000022</v>
      </c>
      <c r="CG571" s="298"/>
      <c r="CH571" s="298"/>
      <c r="CI571" s="298"/>
      <c r="CJ571" s="337"/>
      <c r="CK571" s="298"/>
      <c r="CL571" s="298"/>
      <c r="CM571" s="367">
        <f>-CM269</f>
        <v>0</v>
      </c>
      <c r="CN571" s="298"/>
      <c r="CO571" s="298"/>
      <c r="CP571" s="298"/>
      <c r="CQ571" s="337"/>
      <c r="CR571" s="298"/>
      <c r="CS571" s="298"/>
      <c r="CT571" s="367">
        <f>-CT269</f>
        <v>0</v>
      </c>
      <c r="CU571" s="298"/>
      <c r="CV571" s="298"/>
      <c r="CW571" s="298"/>
      <c r="CX571" s="337"/>
      <c r="CY571" s="298"/>
      <c r="CZ571" s="298"/>
      <c r="DA571" s="367">
        <f>-DA269</f>
        <v>0</v>
      </c>
      <c r="DB571" s="298"/>
      <c r="DC571" s="298"/>
      <c r="DD571" s="298"/>
      <c r="DE571" s="337"/>
      <c r="DF571" s="298"/>
      <c r="DG571" s="298"/>
      <c r="DH571" s="367">
        <f>-DH269</f>
        <v>0</v>
      </c>
      <c r="DI571" s="298"/>
      <c r="DJ571" s="298"/>
      <c r="DK571" s="298"/>
      <c r="DL571" s="337"/>
      <c r="DM571" s="298"/>
      <c r="DN571" s="298"/>
      <c r="DO571" s="367">
        <f>-DO269</f>
        <v>0</v>
      </c>
      <c r="DP571" s="298"/>
      <c r="DQ571" s="298"/>
      <c r="DR571" s="298"/>
      <c r="DS571" s="337"/>
      <c r="DT571" s="298"/>
      <c r="DU571" s="298"/>
      <c r="DV571" s="367">
        <f>-DV269</f>
        <v>0</v>
      </c>
      <c r="DW571" s="298"/>
      <c r="DX571" s="298"/>
      <c r="DY571" s="298"/>
      <c r="DZ571" s="337"/>
      <c r="EA571" s="298"/>
      <c r="EB571" s="298"/>
      <c r="EC571" s="367">
        <f>-EC269</f>
        <v>0</v>
      </c>
      <c r="ED571" s="298"/>
      <c r="EE571" s="298"/>
      <c r="EF571" s="298"/>
      <c r="EG571" s="337"/>
      <c r="EH571" s="298"/>
      <c r="EI571" s="298"/>
      <c r="EJ571" s="367">
        <f>-EJ269</f>
        <v>0</v>
      </c>
      <c r="EK571" s="298"/>
      <c r="EL571" s="298"/>
      <c r="EM571" s="298"/>
      <c r="EN571" s="337"/>
      <c r="EO571" s="298"/>
      <c r="EP571" s="298"/>
      <c r="EQ571" s="367">
        <f>-EQ269</f>
        <v>0</v>
      </c>
    </row>
    <row r="572" spans="1:147" ht="10.199999999999999" hidden="1" customHeight="1" outlineLevel="1">
      <c r="A572" s="48"/>
      <c r="B572" s="48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3"/>
      <c r="O572" s="298"/>
      <c r="P572" s="298"/>
      <c r="Q572" s="298"/>
      <c r="R572" s="337"/>
      <c r="S572" s="298"/>
      <c r="T572" s="298"/>
      <c r="U572" s="367"/>
      <c r="V572" s="298"/>
      <c r="W572" s="298"/>
      <c r="X572" s="298"/>
      <c r="Y572" s="337"/>
      <c r="Z572" s="298"/>
      <c r="AA572" s="298"/>
      <c r="AB572" s="367"/>
      <c r="AC572" s="298"/>
      <c r="AD572" s="298"/>
      <c r="AE572" s="298"/>
      <c r="AF572" s="337"/>
      <c r="AG572" s="298"/>
      <c r="AH572" s="298"/>
      <c r="AI572" s="367"/>
      <c r="AJ572" s="298"/>
      <c r="AK572" s="298"/>
      <c r="AL572" s="298"/>
      <c r="AM572" s="337"/>
      <c r="AN572" s="298"/>
      <c r="AO572" s="298"/>
      <c r="AP572" s="367"/>
      <c r="AQ572" s="298"/>
      <c r="AR572" s="298"/>
      <c r="AS572" s="298"/>
      <c r="AT572" s="337"/>
      <c r="AU572" s="298"/>
      <c r="AV572" s="298"/>
      <c r="AW572" s="367"/>
      <c r="AX572" s="298"/>
      <c r="AY572" s="298"/>
      <c r="AZ572" s="298"/>
      <c r="BA572" s="337"/>
      <c r="BB572" s="298"/>
      <c r="BC572" s="298"/>
      <c r="BD572" s="367"/>
      <c r="BE572" s="298"/>
      <c r="BF572" s="298"/>
      <c r="BG572" s="298"/>
      <c r="BH572" s="337"/>
      <c r="BI572" s="298"/>
      <c r="BJ572" s="298"/>
      <c r="BK572" s="367"/>
      <c r="BL572" s="298"/>
      <c r="BM572" s="298"/>
      <c r="BN572" s="298"/>
      <c r="BO572" s="337"/>
      <c r="BP572" s="298"/>
      <c r="BQ572" s="298"/>
      <c r="BR572" s="367"/>
      <c r="BS572" s="298"/>
      <c r="BT572" s="298"/>
      <c r="BU572" s="298"/>
      <c r="BV572" s="337"/>
      <c r="BW572" s="298"/>
      <c r="BX572" s="298"/>
      <c r="BY572" s="367"/>
      <c r="BZ572" s="298"/>
      <c r="CA572" s="298"/>
      <c r="CB572" s="298"/>
      <c r="CC572" s="337"/>
      <c r="CD572" s="298"/>
      <c r="CE572" s="298"/>
      <c r="CF572" s="367"/>
      <c r="CG572" s="298"/>
      <c r="CH572" s="298"/>
      <c r="CI572" s="298"/>
      <c r="CJ572" s="337"/>
      <c r="CK572" s="298"/>
      <c r="CL572" s="298"/>
      <c r="CM572" s="367"/>
      <c r="CN572" s="298"/>
      <c r="CO572" s="298"/>
      <c r="CP572" s="298"/>
      <c r="CQ572" s="337"/>
      <c r="CR572" s="298"/>
      <c r="CS572" s="298"/>
      <c r="CT572" s="367"/>
      <c r="CU572" s="298"/>
      <c r="CV572" s="298"/>
      <c r="CW572" s="298"/>
      <c r="CX572" s="337"/>
      <c r="CY572" s="298"/>
      <c r="CZ572" s="298"/>
      <c r="DA572" s="367"/>
      <c r="DB572" s="298"/>
      <c r="DC572" s="298"/>
      <c r="DD572" s="298"/>
      <c r="DE572" s="337"/>
      <c r="DF572" s="298"/>
      <c r="DG572" s="298"/>
      <c r="DH572" s="367"/>
      <c r="DI572" s="298"/>
      <c r="DJ572" s="298"/>
      <c r="DK572" s="298"/>
      <c r="DL572" s="337"/>
      <c r="DM572" s="298"/>
      <c r="DN572" s="298"/>
      <c r="DO572" s="367"/>
      <c r="DP572" s="298"/>
      <c r="DQ572" s="298"/>
      <c r="DR572" s="298"/>
      <c r="DS572" s="337"/>
      <c r="DT572" s="298"/>
      <c r="DU572" s="298"/>
      <c r="DV572" s="367"/>
      <c r="DW572" s="298"/>
      <c r="DX572" s="298"/>
      <c r="DY572" s="298"/>
      <c r="DZ572" s="337"/>
      <c r="EA572" s="298"/>
      <c r="EB572" s="298"/>
      <c r="EC572" s="367"/>
      <c r="ED572" s="298"/>
      <c r="EE572" s="298"/>
      <c r="EF572" s="298"/>
      <c r="EG572" s="337"/>
      <c r="EH572" s="298"/>
      <c r="EI572" s="298"/>
      <c r="EJ572" s="367"/>
      <c r="EK572" s="298"/>
      <c r="EL572" s="298"/>
      <c r="EM572" s="298"/>
      <c r="EN572" s="337"/>
      <c r="EO572" s="298"/>
      <c r="EP572" s="298"/>
      <c r="EQ572" s="367"/>
    </row>
    <row r="573" spans="1:147" ht="10.199999999999999" hidden="1" customHeight="1" outlineLevel="1">
      <c r="A573" s="178" t="s">
        <v>526</v>
      </c>
      <c r="B573" s="178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1758"/>
      <c r="O573" s="488"/>
      <c r="P573" s="488"/>
      <c r="Q573" s="488"/>
      <c r="R573" s="489"/>
      <c r="S573" s="488"/>
      <c r="T573" s="488"/>
      <c r="U573" s="363"/>
      <c r="V573" s="488"/>
      <c r="W573" s="488"/>
      <c r="X573" s="488"/>
      <c r="Y573" s="489"/>
      <c r="Z573" s="488"/>
      <c r="AA573" s="488"/>
      <c r="AB573" s="363"/>
      <c r="AC573" s="488"/>
      <c r="AD573" s="488"/>
      <c r="AE573" s="488"/>
      <c r="AF573" s="489"/>
      <c r="AG573" s="488"/>
      <c r="AH573" s="488"/>
      <c r="AI573" s="363"/>
      <c r="AJ573" s="488"/>
      <c r="AK573" s="488"/>
      <c r="AL573" s="488"/>
      <c r="AM573" s="489"/>
      <c r="AN573" s="488"/>
      <c r="AO573" s="488"/>
      <c r="AP573" s="363"/>
      <c r="AQ573" s="488"/>
      <c r="AR573" s="488"/>
      <c r="AS573" s="488"/>
      <c r="AT573" s="489"/>
      <c r="AU573" s="488"/>
      <c r="AV573" s="488"/>
      <c r="AW573" s="363"/>
      <c r="AX573" s="488"/>
      <c r="AY573" s="488"/>
      <c r="AZ573" s="488"/>
      <c r="BA573" s="489"/>
      <c r="BB573" s="488"/>
      <c r="BC573" s="488"/>
      <c r="BD573" s="363"/>
      <c r="BE573" s="488"/>
      <c r="BF573" s="488"/>
      <c r="BG573" s="488"/>
      <c r="BH573" s="489"/>
      <c r="BI573" s="488"/>
      <c r="BJ573" s="488"/>
      <c r="BK573" s="363"/>
      <c r="BL573" s="488"/>
      <c r="BM573" s="488"/>
      <c r="BN573" s="488"/>
      <c r="BO573" s="489"/>
      <c r="BP573" s="488"/>
      <c r="BQ573" s="488"/>
      <c r="BR573" s="363"/>
      <c r="BS573" s="488"/>
      <c r="BT573" s="488"/>
      <c r="BU573" s="488"/>
      <c r="BV573" s="489"/>
      <c r="BW573" s="488"/>
      <c r="BX573" s="488"/>
      <c r="BY573" s="363"/>
      <c r="BZ573" s="488"/>
      <c r="CA573" s="488"/>
      <c r="CB573" s="488"/>
      <c r="CC573" s="489"/>
      <c r="CD573" s="488"/>
      <c r="CE573" s="488"/>
      <c r="CF573" s="363"/>
      <c r="CG573" s="488"/>
      <c r="CH573" s="488"/>
      <c r="CI573" s="488"/>
      <c r="CJ573" s="489"/>
      <c r="CK573" s="488"/>
      <c r="CL573" s="488"/>
      <c r="CM573" s="363"/>
      <c r="CN573" s="488"/>
      <c r="CO573" s="488"/>
      <c r="CP573" s="488"/>
      <c r="CQ573" s="489"/>
      <c r="CR573" s="488"/>
      <c r="CS573" s="488"/>
      <c r="CT573" s="363"/>
      <c r="CU573" s="488"/>
      <c r="CV573" s="488"/>
      <c r="CW573" s="488"/>
      <c r="CX573" s="489"/>
      <c r="CY573" s="488"/>
      <c r="CZ573" s="488"/>
      <c r="DA573" s="363"/>
      <c r="DB573" s="488"/>
      <c r="DC573" s="488"/>
      <c r="DD573" s="488"/>
      <c r="DE573" s="489"/>
      <c r="DF573" s="488"/>
      <c r="DG573" s="488"/>
      <c r="DH573" s="363"/>
      <c r="DI573" s="488"/>
      <c r="DJ573" s="488"/>
      <c r="DK573" s="488"/>
      <c r="DL573" s="489"/>
      <c r="DM573" s="488"/>
      <c r="DN573" s="488"/>
      <c r="DO573" s="363"/>
      <c r="DP573" s="488"/>
      <c r="DQ573" s="488"/>
      <c r="DR573" s="488"/>
      <c r="DS573" s="489"/>
      <c r="DT573" s="488"/>
      <c r="DU573" s="488"/>
      <c r="DV573" s="363"/>
      <c r="DW573" s="488"/>
      <c r="DX573" s="488"/>
      <c r="DY573" s="488"/>
      <c r="DZ573" s="489"/>
      <c r="EA573" s="488"/>
      <c r="EB573" s="488"/>
      <c r="EC573" s="363"/>
      <c r="ED573" s="488"/>
      <c r="EE573" s="488"/>
      <c r="EF573" s="488"/>
      <c r="EG573" s="489"/>
      <c r="EH573" s="488"/>
      <c r="EI573" s="488"/>
      <c r="EJ573" s="363"/>
      <c r="EK573" s="488"/>
      <c r="EL573" s="488"/>
      <c r="EM573" s="488"/>
      <c r="EN573" s="489"/>
      <c r="EO573" s="488"/>
      <c r="EP573" s="488"/>
      <c r="EQ573" s="363"/>
    </row>
    <row r="574" spans="1:147" ht="10.199999999999999" hidden="1" customHeight="1" outlineLevel="1">
      <c r="A574" s="43" t="s">
        <v>100</v>
      </c>
      <c r="B574" s="48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3"/>
      <c r="O574" s="415"/>
      <c r="P574" s="415"/>
      <c r="Q574" s="415"/>
      <c r="R574" s="448"/>
      <c r="S574" s="415"/>
      <c r="T574" s="415"/>
      <c r="U574" s="345"/>
      <c r="V574" s="415"/>
      <c r="W574" s="415"/>
      <c r="X574" s="415"/>
      <c r="Y574" s="448"/>
      <c r="Z574" s="415"/>
      <c r="AA574" s="415"/>
      <c r="AB574" s="345"/>
      <c r="AC574" s="415"/>
      <c r="AD574" s="415"/>
      <c r="AE574" s="415"/>
      <c r="AF574" s="448"/>
      <c r="AG574" s="415"/>
      <c r="AH574" s="415"/>
      <c r="AI574" s="345">
        <f>AI246*$AI$597</f>
        <v>9.7799172280295732</v>
      </c>
      <c r="AJ574" s="415"/>
      <c r="AK574" s="415"/>
      <c r="AL574" s="415"/>
      <c r="AM574" s="448"/>
      <c r="AN574" s="415"/>
      <c r="AO574" s="415"/>
      <c r="AP574" s="345">
        <f t="shared" ref="AP574:BY577" si="1662">AP246+AP552</f>
        <v>0</v>
      </c>
      <c r="AQ574" s="415"/>
      <c r="AR574" s="415"/>
      <c r="AS574" s="415"/>
      <c r="AT574" s="448"/>
      <c r="AU574" s="415"/>
      <c r="AV574" s="415"/>
      <c r="AW574" s="345">
        <f t="shared" si="1662"/>
        <v>0</v>
      </c>
      <c r="AX574" s="415"/>
      <c r="AY574" s="415"/>
      <c r="AZ574" s="415"/>
      <c r="BA574" s="448"/>
      <c r="BB574" s="415"/>
      <c r="BC574" s="415"/>
      <c r="BD574" s="345">
        <f t="shared" si="1662"/>
        <v>0</v>
      </c>
      <c r="BE574" s="415"/>
      <c r="BF574" s="415"/>
      <c r="BG574" s="415"/>
      <c r="BH574" s="448"/>
      <c r="BI574" s="415"/>
      <c r="BJ574" s="415"/>
      <c r="BK574" s="345">
        <f t="shared" si="1662"/>
        <v>0</v>
      </c>
      <c r="BL574" s="415"/>
      <c r="BM574" s="415"/>
      <c r="BN574" s="415"/>
      <c r="BO574" s="448"/>
      <c r="BP574" s="415"/>
      <c r="BQ574" s="415"/>
      <c r="BR574" s="345">
        <f t="shared" si="1662"/>
        <v>0</v>
      </c>
      <c r="BS574" s="415"/>
      <c r="BT574" s="415"/>
      <c r="BU574" s="415"/>
      <c r="BV574" s="448"/>
      <c r="BW574" s="415"/>
      <c r="BX574" s="415"/>
      <c r="BY574" s="345">
        <f t="shared" si="1662"/>
        <v>0</v>
      </c>
      <c r="BZ574" s="415"/>
      <c r="CA574" s="415"/>
      <c r="CB574" s="415"/>
      <c r="CC574" s="448"/>
      <c r="CD574" s="415"/>
      <c r="CE574" s="415"/>
      <c r="CF574" s="345"/>
      <c r="CG574" s="415"/>
      <c r="CH574" s="415"/>
      <c r="CI574" s="415"/>
      <c r="CJ574" s="448"/>
      <c r="CK574" s="415"/>
      <c r="CL574" s="415"/>
      <c r="CM574" s="345"/>
      <c r="CN574" s="415"/>
      <c r="CO574" s="415"/>
      <c r="CP574" s="415"/>
      <c r="CQ574" s="448"/>
      <c r="CR574" s="415"/>
      <c r="CS574" s="415"/>
      <c r="CT574" s="345"/>
      <c r="CU574" s="415"/>
      <c r="CV574" s="415"/>
      <c r="CW574" s="415"/>
      <c r="CX574" s="448"/>
      <c r="CY574" s="415"/>
      <c r="CZ574" s="415"/>
      <c r="DA574" s="345"/>
      <c r="DB574" s="415"/>
      <c r="DC574" s="415"/>
      <c r="DD574" s="415"/>
      <c r="DE574" s="448"/>
      <c r="DF574" s="415"/>
      <c r="DG574" s="415"/>
      <c r="DH574" s="345"/>
      <c r="DI574" s="415"/>
      <c r="DJ574" s="415"/>
      <c r="DK574" s="415"/>
      <c r="DL574" s="448"/>
      <c r="DM574" s="415"/>
      <c r="DN574" s="415"/>
      <c r="DO574" s="345"/>
      <c r="DP574" s="415"/>
      <c r="DQ574" s="415"/>
      <c r="DR574" s="415"/>
      <c r="DS574" s="448"/>
      <c r="DT574" s="415"/>
      <c r="DU574" s="415"/>
      <c r="DV574" s="345"/>
      <c r="DW574" s="415"/>
      <c r="DX574" s="415"/>
      <c r="DY574" s="415"/>
      <c r="DZ574" s="448"/>
      <c r="EA574" s="415"/>
      <c r="EB574" s="415"/>
      <c r="EC574" s="345"/>
      <c r="ED574" s="415"/>
      <c r="EE574" s="415"/>
      <c r="EF574" s="415"/>
      <c r="EG574" s="448"/>
      <c r="EH574" s="415"/>
      <c r="EI574" s="415"/>
      <c r="EJ574" s="345"/>
      <c r="EK574" s="415"/>
      <c r="EL574" s="415"/>
      <c r="EM574" s="415"/>
      <c r="EN574" s="448"/>
      <c r="EO574" s="415"/>
      <c r="EP574" s="415"/>
      <c r="EQ574" s="345"/>
    </row>
    <row r="575" spans="1:147" ht="10.199999999999999" hidden="1" customHeight="1" outlineLevel="1">
      <c r="A575" s="43" t="s">
        <v>101</v>
      </c>
      <c r="B575" s="48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3"/>
      <c r="O575" s="415"/>
      <c r="P575" s="415"/>
      <c r="Q575" s="415"/>
      <c r="R575" s="448"/>
      <c r="S575" s="415"/>
      <c r="T575" s="415"/>
      <c r="U575" s="345"/>
      <c r="V575" s="415"/>
      <c r="W575" s="415"/>
      <c r="X575" s="415"/>
      <c r="Y575" s="448"/>
      <c r="Z575" s="415"/>
      <c r="AA575" s="415"/>
      <c r="AB575" s="345"/>
      <c r="AC575" s="415"/>
      <c r="AD575" s="415"/>
      <c r="AE575" s="415"/>
      <c r="AF575" s="448"/>
      <c r="AG575" s="415"/>
      <c r="AH575" s="415"/>
      <c r="AI575" s="345">
        <f>AI247*$AI$598</f>
        <v>279.89254365655569</v>
      </c>
      <c r="AJ575" s="415"/>
      <c r="AK575" s="415"/>
      <c r="AL575" s="415"/>
      <c r="AM575" s="448"/>
      <c r="AN575" s="415"/>
      <c r="AO575" s="415"/>
      <c r="AP575" s="345">
        <f t="shared" si="1662"/>
        <v>37.548564348751711</v>
      </c>
      <c r="AQ575" s="415"/>
      <c r="AR575" s="415"/>
      <c r="AS575" s="415"/>
      <c r="AT575" s="448"/>
      <c r="AU575" s="415"/>
      <c r="AV575" s="415"/>
      <c r="AW575" s="345">
        <f t="shared" si="1662"/>
        <v>104.89870386886139</v>
      </c>
      <c r="AX575" s="415"/>
      <c r="AY575" s="415"/>
      <c r="AZ575" s="415"/>
      <c r="BA575" s="448"/>
      <c r="BB575" s="415"/>
      <c r="BC575" s="415"/>
      <c r="BD575" s="345">
        <f t="shared" si="1662"/>
        <v>80.606212752430395</v>
      </c>
      <c r="BE575" s="415"/>
      <c r="BF575" s="415"/>
      <c r="BG575" s="415"/>
      <c r="BH575" s="448"/>
      <c r="BI575" s="415"/>
      <c r="BJ575" s="415"/>
      <c r="BK575" s="345">
        <f t="shared" si="1662"/>
        <v>73.383227095214636</v>
      </c>
      <c r="BL575" s="415"/>
      <c r="BM575" s="415"/>
      <c r="BN575" s="415"/>
      <c r="BO575" s="448"/>
      <c r="BP575" s="415"/>
      <c r="BQ575" s="415"/>
      <c r="BR575" s="345">
        <f t="shared" si="1662"/>
        <v>40.014413547607319</v>
      </c>
      <c r="BS575" s="415"/>
      <c r="BT575" s="415"/>
      <c r="BU575" s="415"/>
      <c r="BV575" s="448"/>
      <c r="BW575" s="415"/>
      <c r="BX575" s="415"/>
      <c r="BY575" s="345">
        <f t="shared" si="1662"/>
        <v>18.148414160705514</v>
      </c>
      <c r="BZ575" s="415"/>
      <c r="CA575" s="415"/>
      <c r="CB575" s="415"/>
      <c r="CC575" s="448"/>
      <c r="CD575" s="415"/>
      <c r="CE575" s="415"/>
      <c r="CF575" s="345"/>
      <c r="CG575" s="415"/>
      <c r="CH575" s="415"/>
      <c r="CI575" s="415"/>
      <c r="CJ575" s="448"/>
      <c r="CK575" s="415"/>
      <c r="CL575" s="415"/>
      <c r="CM575" s="345"/>
      <c r="CN575" s="415"/>
      <c r="CO575" s="415"/>
      <c r="CP575" s="415"/>
      <c r="CQ575" s="448"/>
      <c r="CR575" s="415"/>
      <c r="CS575" s="415"/>
      <c r="CT575" s="345"/>
      <c r="CU575" s="415"/>
      <c r="CV575" s="415"/>
      <c r="CW575" s="415"/>
      <c r="CX575" s="448"/>
      <c r="CY575" s="415"/>
      <c r="CZ575" s="415"/>
      <c r="DA575" s="345"/>
      <c r="DB575" s="415"/>
      <c r="DC575" s="415"/>
      <c r="DD575" s="415"/>
      <c r="DE575" s="448"/>
      <c r="DF575" s="415"/>
      <c r="DG575" s="415"/>
      <c r="DH575" s="345"/>
      <c r="DI575" s="415"/>
      <c r="DJ575" s="415"/>
      <c r="DK575" s="415"/>
      <c r="DL575" s="448"/>
      <c r="DM575" s="415"/>
      <c r="DN575" s="415"/>
      <c r="DO575" s="345"/>
      <c r="DP575" s="415"/>
      <c r="DQ575" s="415"/>
      <c r="DR575" s="415"/>
      <c r="DS575" s="448"/>
      <c r="DT575" s="415"/>
      <c r="DU575" s="415"/>
      <c r="DV575" s="345"/>
      <c r="DW575" s="415"/>
      <c r="DX575" s="415"/>
      <c r="DY575" s="415"/>
      <c r="DZ575" s="448"/>
      <c r="EA575" s="415"/>
      <c r="EB575" s="415"/>
      <c r="EC575" s="345"/>
      <c r="ED575" s="415"/>
      <c r="EE575" s="415"/>
      <c r="EF575" s="415"/>
      <c r="EG575" s="448"/>
      <c r="EH575" s="415"/>
      <c r="EI575" s="415"/>
      <c r="EJ575" s="345"/>
      <c r="EK575" s="415"/>
      <c r="EL575" s="415"/>
      <c r="EM575" s="415"/>
      <c r="EN575" s="448"/>
      <c r="EO575" s="415"/>
      <c r="EP575" s="415"/>
      <c r="EQ575" s="345"/>
    </row>
    <row r="576" spans="1:147" ht="10.199999999999999" hidden="1" customHeight="1" outlineLevel="1">
      <c r="A576" s="43" t="s">
        <v>102</v>
      </c>
      <c r="B576" s="48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3"/>
      <c r="O576" s="415"/>
      <c r="P576" s="415"/>
      <c r="Q576" s="415"/>
      <c r="R576" s="448"/>
      <c r="S576" s="415"/>
      <c r="T576" s="415"/>
      <c r="U576" s="345"/>
      <c r="V576" s="415"/>
      <c r="W576" s="415"/>
      <c r="X576" s="415"/>
      <c r="Y576" s="448"/>
      <c r="Z576" s="415"/>
      <c r="AA576" s="415"/>
      <c r="AB576" s="345"/>
      <c r="AC576" s="415"/>
      <c r="AD576" s="415"/>
      <c r="AE576" s="415"/>
      <c r="AF576" s="448"/>
      <c r="AG576" s="415"/>
      <c r="AH576" s="415"/>
      <c r="AI576" s="345">
        <f>AI248*$AI$599</f>
        <v>3600.5364179747107</v>
      </c>
      <c r="AJ576" s="415"/>
      <c r="AK576" s="415"/>
      <c r="AL576" s="415"/>
      <c r="AM576" s="448"/>
      <c r="AN576" s="415"/>
      <c r="AO576" s="415"/>
      <c r="AP576" s="345">
        <f t="shared" si="1662"/>
        <v>2606.9757732678499</v>
      </c>
      <c r="AQ576" s="415"/>
      <c r="AR576" s="415"/>
      <c r="AS576" s="415"/>
      <c r="AT576" s="448"/>
      <c r="AU576" s="415"/>
      <c r="AV576" s="415"/>
      <c r="AW576" s="345">
        <f t="shared" si="1662"/>
        <v>2104.7840278887979</v>
      </c>
      <c r="AX576" s="415"/>
      <c r="AY576" s="415"/>
      <c r="AZ576" s="415"/>
      <c r="BA576" s="448"/>
      <c r="BB576" s="415"/>
      <c r="BC576" s="415"/>
      <c r="BD576" s="345">
        <f t="shared" si="1662"/>
        <v>1460.2845602900061</v>
      </c>
      <c r="BE576" s="415"/>
      <c r="BF576" s="415"/>
      <c r="BG576" s="415"/>
      <c r="BH576" s="448"/>
      <c r="BI576" s="415"/>
      <c r="BJ576" s="415"/>
      <c r="BK576" s="345">
        <f t="shared" si="1662"/>
        <v>1216.8668802981983</v>
      </c>
      <c r="BL576" s="415"/>
      <c r="BM576" s="415"/>
      <c r="BN576" s="415"/>
      <c r="BO576" s="448"/>
      <c r="BP576" s="415"/>
      <c r="BQ576" s="415"/>
      <c r="BR576" s="345">
        <f t="shared" si="1662"/>
        <v>492.86037695196796</v>
      </c>
      <c r="BS576" s="415"/>
      <c r="BT576" s="415"/>
      <c r="BU576" s="415"/>
      <c r="BV576" s="448"/>
      <c r="BW576" s="415"/>
      <c r="BX576" s="415"/>
      <c r="BY576" s="345">
        <f t="shared" si="1662"/>
        <v>17.194605119508267</v>
      </c>
      <c r="BZ576" s="415"/>
      <c r="CA576" s="415"/>
      <c r="CB576" s="415"/>
      <c r="CC576" s="448"/>
      <c r="CD576" s="415"/>
      <c r="CE576" s="415"/>
      <c r="CF576" s="345"/>
      <c r="CG576" s="415"/>
      <c r="CH576" s="415"/>
      <c r="CI576" s="415"/>
      <c r="CJ576" s="448"/>
      <c r="CK576" s="415"/>
      <c r="CL576" s="415"/>
      <c r="CM576" s="345"/>
      <c r="CN576" s="415"/>
      <c r="CO576" s="415"/>
      <c r="CP576" s="415"/>
      <c r="CQ576" s="448"/>
      <c r="CR576" s="415"/>
      <c r="CS576" s="415"/>
      <c r="CT576" s="345"/>
      <c r="CU576" s="415"/>
      <c r="CV576" s="415"/>
      <c r="CW576" s="415"/>
      <c r="CX576" s="448"/>
      <c r="CY576" s="415"/>
      <c r="CZ576" s="415"/>
      <c r="DA576" s="345"/>
      <c r="DB576" s="415"/>
      <c r="DC576" s="415"/>
      <c r="DD576" s="415"/>
      <c r="DE576" s="448"/>
      <c r="DF576" s="415"/>
      <c r="DG576" s="415"/>
      <c r="DH576" s="345"/>
      <c r="DI576" s="415"/>
      <c r="DJ576" s="415"/>
      <c r="DK576" s="415"/>
      <c r="DL576" s="448"/>
      <c r="DM576" s="415"/>
      <c r="DN576" s="415"/>
      <c r="DO576" s="345"/>
      <c r="DP576" s="415"/>
      <c r="DQ576" s="415"/>
      <c r="DR576" s="415"/>
      <c r="DS576" s="448"/>
      <c r="DT576" s="415"/>
      <c r="DU576" s="415"/>
      <c r="DV576" s="345"/>
      <c r="DW576" s="415"/>
      <c r="DX576" s="415"/>
      <c r="DY576" s="415"/>
      <c r="DZ576" s="448"/>
      <c r="EA576" s="415"/>
      <c r="EB576" s="415"/>
      <c r="EC576" s="345"/>
      <c r="ED576" s="415"/>
      <c r="EE576" s="415"/>
      <c r="EF576" s="415"/>
      <c r="EG576" s="448"/>
      <c r="EH576" s="415"/>
      <c r="EI576" s="415"/>
      <c r="EJ576" s="345"/>
      <c r="EK576" s="415"/>
      <c r="EL576" s="415"/>
      <c r="EM576" s="415"/>
      <c r="EN576" s="448"/>
      <c r="EO576" s="415"/>
      <c r="EP576" s="415"/>
      <c r="EQ576" s="345"/>
    </row>
    <row r="577" spans="1:147" ht="10.199999999999999" hidden="1" customHeight="1" outlineLevel="1">
      <c r="A577" s="43" t="s">
        <v>202</v>
      </c>
      <c r="B577" s="48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3"/>
      <c r="O577" s="415"/>
      <c r="P577" s="415"/>
      <c r="Q577" s="415"/>
      <c r="R577" s="448"/>
      <c r="S577" s="415"/>
      <c r="T577" s="415"/>
      <c r="U577" s="345"/>
      <c r="V577" s="415"/>
      <c r="W577" s="415"/>
      <c r="X577" s="415"/>
      <c r="Y577" s="448"/>
      <c r="Z577" s="415"/>
      <c r="AA577" s="415"/>
      <c r="AB577" s="345"/>
      <c r="AC577" s="415"/>
      <c r="AD577" s="415"/>
      <c r="AE577" s="415"/>
      <c r="AF577" s="448"/>
      <c r="AG577" s="415"/>
      <c r="AH577" s="415"/>
      <c r="AI577" s="345">
        <f>AI249*$AI$600</f>
        <v>2753.750906381711</v>
      </c>
      <c r="AJ577" s="415"/>
      <c r="AK577" s="415"/>
      <c r="AL577" s="415"/>
      <c r="AM577" s="448"/>
      <c r="AN577" s="415"/>
      <c r="AO577" s="415"/>
      <c r="AP577" s="345">
        <f t="shared" si="1662"/>
        <v>2615.8501728587999</v>
      </c>
      <c r="AQ577" s="415"/>
      <c r="AR577" s="415"/>
      <c r="AS577" s="415"/>
      <c r="AT577" s="448"/>
      <c r="AU577" s="415"/>
      <c r="AV577" s="415"/>
      <c r="AW577" s="345">
        <f t="shared" si="1662"/>
        <v>2449.1545140467115</v>
      </c>
      <c r="AX577" s="415"/>
      <c r="AY577" s="415"/>
      <c r="AZ577" s="415"/>
      <c r="BA577" s="448"/>
      <c r="BB577" s="415"/>
      <c r="BC577" s="415"/>
      <c r="BD577" s="345">
        <f t="shared" si="1662"/>
        <v>1415.2694296051686</v>
      </c>
      <c r="BE577" s="415"/>
      <c r="BF577" s="415"/>
      <c r="BG577" s="415"/>
      <c r="BH577" s="448"/>
      <c r="BI577" s="415"/>
      <c r="BJ577" s="415"/>
      <c r="BK577" s="345">
        <f t="shared" si="1662"/>
        <v>901.31635320522491</v>
      </c>
      <c r="BL577" s="415"/>
      <c r="BM577" s="415"/>
      <c r="BN577" s="415"/>
      <c r="BO577" s="448"/>
      <c r="BP577" s="415"/>
      <c r="BQ577" s="415"/>
      <c r="BR577" s="345">
        <f t="shared" si="1662"/>
        <v>386.41841234139952</v>
      </c>
      <c r="BS577" s="415"/>
      <c r="BT577" s="415"/>
      <c r="BU577" s="415"/>
      <c r="BV577" s="448"/>
      <c r="BW577" s="415"/>
      <c r="BX577" s="415"/>
      <c r="BY577" s="345">
        <f t="shared" si="1662"/>
        <v>45.908402291384164</v>
      </c>
      <c r="BZ577" s="415"/>
      <c r="CA577" s="415"/>
      <c r="CB577" s="415"/>
      <c r="CC577" s="448"/>
      <c r="CD577" s="415"/>
      <c r="CE577" s="415"/>
      <c r="CF577" s="345"/>
      <c r="CG577" s="415"/>
      <c r="CH577" s="415"/>
      <c r="CI577" s="415"/>
      <c r="CJ577" s="448"/>
      <c r="CK577" s="415"/>
      <c r="CL577" s="415"/>
      <c r="CM577" s="345"/>
      <c r="CN577" s="415"/>
      <c r="CO577" s="415"/>
      <c r="CP577" s="415"/>
      <c r="CQ577" s="448"/>
      <c r="CR577" s="415"/>
      <c r="CS577" s="415"/>
      <c r="CT577" s="345"/>
      <c r="CU577" s="415"/>
      <c r="CV577" s="415"/>
      <c r="CW577" s="415"/>
      <c r="CX577" s="448"/>
      <c r="CY577" s="415"/>
      <c r="CZ577" s="415"/>
      <c r="DA577" s="345"/>
      <c r="DB577" s="415"/>
      <c r="DC577" s="415"/>
      <c r="DD577" s="415"/>
      <c r="DE577" s="448"/>
      <c r="DF577" s="415"/>
      <c r="DG577" s="415"/>
      <c r="DH577" s="345"/>
      <c r="DI577" s="415"/>
      <c r="DJ577" s="415"/>
      <c r="DK577" s="415"/>
      <c r="DL577" s="448"/>
      <c r="DM577" s="415"/>
      <c r="DN577" s="415"/>
      <c r="DO577" s="345"/>
      <c r="DP577" s="415"/>
      <c r="DQ577" s="415"/>
      <c r="DR577" s="415"/>
      <c r="DS577" s="448"/>
      <c r="DT577" s="415"/>
      <c r="DU577" s="415"/>
      <c r="DV577" s="345"/>
      <c r="DW577" s="415"/>
      <c r="DX577" s="415"/>
      <c r="DY577" s="415"/>
      <c r="DZ577" s="448"/>
      <c r="EA577" s="415"/>
      <c r="EB577" s="415"/>
      <c r="EC577" s="345"/>
      <c r="ED577" s="415"/>
      <c r="EE577" s="415"/>
      <c r="EF577" s="415"/>
      <c r="EG577" s="448"/>
      <c r="EH577" s="415"/>
      <c r="EI577" s="415"/>
      <c r="EJ577" s="345"/>
      <c r="EK577" s="415"/>
      <c r="EL577" s="415"/>
      <c r="EM577" s="415"/>
      <c r="EN577" s="448"/>
      <c r="EO577" s="415"/>
      <c r="EP577" s="415"/>
      <c r="EQ577" s="345"/>
    </row>
    <row r="578" spans="1:147" ht="10.199999999999999" hidden="1" customHeight="1" outlineLevel="1">
      <c r="A578" s="48" t="s">
        <v>377</v>
      </c>
      <c r="B578" s="48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3"/>
      <c r="O578" s="415"/>
      <c r="P578" s="415"/>
      <c r="Q578" s="415"/>
      <c r="R578" s="448"/>
      <c r="S578" s="415"/>
      <c r="T578" s="415"/>
      <c r="U578" s="345"/>
      <c r="V578" s="415"/>
      <c r="W578" s="415"/>
      <c r="X578" s="415"/>
      <c r="Y578" s="448"/>
      <c r="Z578" s="415"/>
      <c r="AA578" s="415"/>
      <c r="AB578" s="345"/>
      <c r="AC578" s="415"/>
      <c r="AD578" s="415"/>
      <c r="AE578" s="415"/>
      <c r="AF578" s="448"/>
      <c r="AG578" s="415"/>
      <c r="AH578" s="415"/>
      <c r="AI578" s="345">
        <f t="shared" ref="AI578:BY578" si="1663">SUM(AI574:AI577)</f>
        <v>6643.959785241007</v>
      </c>
      <c r="AJ578" s="415"/>
      <c r="AK578" s="415"/>
      <c r="AL578" s="415"/>
      <c r="AM578" s="448"/>
      <c r="AN578" s="415"/>
      <c r="AO578" s="415"/>
      <c r="AP578" s="345">
        <f t="shared" si="1663"/>
        <v>5260.3745104754016</v>
      </c>
      <c r="AQ578" s="415"/>
      <c r="AR578" s="415"/>
      <c r="AS578" s="415"/>
      <c r="AT578" s="448"/>
      <c r="AU578" s="415"/>
      <c r="AV578" s="415"/>
      <c r="AW578" s="345">
        <f t="shared" si="1663"/>
        <v>4658.8372458043705</v>
      </c>
      <c r="AX578" s="415"/>
      <c r="AY578" s="415"/>
      <c r="AZ578" s="415"/>
      <c r="BA578" s="448"/>
      <c r="BB578" s="415"/>
      <c r="BC578" s="415"/>
      <c r="BD578" s="345">
        <f>SUM(BD574:BD577)</f>
        <v>2956.1602026476048</v>
      </c>
      <c r="BE578" s="415"/>
      <c r="BF578" s="415"/>
      <c r="BG578" s="415"/>
      <c r="BH578" s="448"/>
      <c r="BI578" s="415"/>
      <c r="BJ578" s="415"/>
      <c r="BK578" s="345">
        <f>SUM(BK574:BK577)</f>
        <v>2191.5664605986376</v>
      </c>
      <c r="BL578" s="415"/>
      <c r="BM578" s="415"/>
      <c r="BN578" s="415"/>
      <c r="BO578" s="448"/>
      <c r="BP578" s="415"/>
      <c r="BQ578" s="415"/>
      <c r="BR578" s="345">
        <f t="shared" si="1663"/>
        <v>919.2932028409748</v>
      </c>
      <c r="BS578" s="415"/>
      <c r="BT578" s="415"/>
      <c r="BU578" s="415"/>
      <c r="BV578" s="448"/>
      <c r="BW578" s="415"/>
      <c r="BX578" s="415"/>
      <c r="BY578" s="345">
        <f t="shared" si="1663"/>
        <v>81.251421571597945</v>
      </c>
      <c r="BZ578" s="415"/>
      <c r="CA578" s="415"/>
      <c r="CB578" s="415"/>
      <c r="CC578" s="448"/>
      <c r="CD578" s="415"/>
      <c r="CE578" s="415"/>
      <c r="CF578" s="345"/>
      <c r="CG578" s="415"/>
      <c r="CH578" s="415"/>
      <c r="CI578" s="415"/>
      <c r="CJ578" s="448"/>
      <c r="CK578" s="415"/>
      <c r="CL578" s="415"/>
      <c r="CM578" s="345"/>
      <c r="CN578" s="415"/>
      <c r="CO578" s="415"/>
      <c r="CP578" s="415"/>
      <c r="CQ578" s="448"/>
      <c r="CR578" s="415"/>
      <c r="CS578" s="415"/>
      <c r="CT578" s="345"/>
      <c r="CU578" s="415"/>
      <c r="CV578" s="415"/>
      <c r="CW578" s="415"/>
      <c r="CX578" s="448"/>
      <c r="CY578" s="415"/>
      <c r="CZ578" s="415"/>
      <c r="DA578" s="345"/>
      <c r="DB578" s="415"/>
      <c r="DC578" s="415"/>
      <c r="DD578" s="415"/>
      <c r="DE578" s="448"/>
      <c r="DF578" s="415"/>
      <c r="DG578" s="415"/>
      <c r="DH578" s="345"/>
      <c r="DI578" s="415"/>
      <c r="DJ578" s="415"/>
      <c r="DK578" s="415"/>
      <c r="DL578" s="448"/>
      <c r="DM578" s="415"/>
      <c r="DN578" s="415"/>
      <c r="DO578" s="345"/>
      <c r="DP578" s="415"/>
      <c r="DQ578" s="415"/>
      <c r="DR578" s="415"/>
      <c r="DS578" s="448"/>
      <c r="DT578" s="415"/>
      <c r="DU578" s="415"/>
      <c r="DV578" s="345"/>
      <c r="DW578" s="415"/>
      <c r="DX578" s="415"/>
      <c r="DY578" s="415"/>
      <c r="DZ578" s="448"/>
      <c r="EA578" s="415"/>
      <c r="EB578" s="415"/>
      <c r="EC578" s="345"/>
      <c r="ED578" s="415"/>
      <c r="EE578" s="415"/>
      <c r="EF578" s="415"/>
      <c r="EG578" s="448"/>
      <c r="EH578" s="415"/>
      <c r="EI578" s="415"/>
      <c r="EJ578" s="345"/>
      <c r="EK578" s="415"/>
      <c r="EL578" s="415"/>
      <c r="EM578" s="415"/>
      <c r="EN578" s="448"/>
      <c r="EO578" s="415"/>
      <c r="EP578" s="415"/>
      <c r="EQ578" s="345"/>
    </row>
    <row r="579" spans="1:147" ht="10.199999999999999" hidden="1" customHeight="1" outlineLevel="1">
      <c r="A579" s="108" t="s">
        <v>366</v>
      </c>
      <c r="B579" s="48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3"/>
      <c r="O579" s="500"/>
      <c r="P579" s="500"/>
      <c r="Q579" s="500"/>
      <c r="R579" s="501"/>
      <c r="S579" s="500"/>
      <c r="T579" s="500"/>
      <c r="U579" s="369"/>
      <c r="V579" s="500"/>
      <c r="W579" s="500"/>
      <c r="X579" s="500"/>
      <c r="Y579" s="501"/>
      <c r="Z579" s="500"/>
      <c r="AA579" s="500"/>
      <c r="AB579" s="369"/>
      <c r="AC579" s="500"/>
      <c r="AD579" s="500"/>
      <c r="AE579" s="500"/>
      <c r="AF579" s="501"/>
      <c r="AG579" s="500"/>
      <c r="AH579" s="500"/>
      <c r="AI579" s="369"/>
      <c r="AJ579" s="500"/>
      <c r="AK579" s="500"/>
      <c r="AL579" s="500"/>
      <c r="AM579" s="501"/>
      <c r="AN579" s="500"/>
      <c r="AO579" s="500"/>
      <c r="AP579" s="369"/>
      <c r="AQ579" s="500"/>
      <c r="AR579" s="500"/>
      <c r="AS579" s="500"/>
      <c r="AT579" s="501"/>
      <c r="AU579" s="500"/>
      <c r="AV579" s="500"/>
      <c r="AW579" s="369"/>
      <c r="AX579" s="500"/>
      <c r="AY579" s="500"/>
      <c r="AZ579" s="500"/>
      <c r="BA579" s="501"/>
      <c r="BB579" s="500"/>
      <c r="BC579" s="500"/>
      <c r="BD579" s="369"/>
      <c r="BE579" s="500"/>
      <c r="BF579" s="500"/>
      <c r="BG579" s="500"/>
      <c r="BH579" s="501"/>
      <c r="BI579" s="500"/>
      <c r="BJ579" s="500"/>
      <c r="BK579" s="369">
        <f>BK602*BK251</f>
        <v>0</v>
      </c>
      <c r="BL579" s="500"/>
      <c r="BM579" s="500"/>
      <c r="BN579" s="500"/>
      <c r="BO579" s="501"/>
      <c r="BP579" s="500"/>
      <c r="BQ579" s="500"/>
      <c r="BR579" s="369">
        <f t="shared" ref="BR579:CM581" si="1664">BR557+BR251</f>
        <v>26.414596804508207</v>
      </c>
      <c r="BS579" s="500"/>
      <c r="BT579" s="500"/>
      <c r="BU579" s="500"/>
      <c r="BV579" s="501"/>
      <c r="BW579" s="500"/>
      <c r="BX579" s="500"/>
      <c r="BY579" s="369">
        <f t="shared" si="1664"/>
        <v>0</v>
      </c>
      <c r="BZ579" s="500"/>
      <c r="CA579" s="500"/>
      <c r="CB579" s="500"/>
      <c r="CC579" s="501"/>
      <c r="CD579" s="500"/>
      <c r="CE579" s="500"/>
      <c r="CF579" s="369">
        <f t="shared" si="1664"/>
        <v>16.008799050085514</v>
      </c>
      <c r="CG579" s="500"/>
      <c r="CH579" s="500"/>
      <c r="CI579" s="500"/>
      <c r="CJ579" s="501"/>
      <c r="CK579" s="500"/>
      <c r="CL579" s="500"/>
      <c r="CM579" s="369">
        <f t="shared" si="1664"/>
        <v>31.991832156522719</v>
      </c>
      <c r="CN579" s="500"/>
      <c r="CO579" s="500"/>
      <c r="CP579" s="500"/>
      <c r="CQ579" s="501"/>
      <c r="CR579" s="500"/>
      <c r="CS579" s="500"/>
      <c r="CT579" s="369">
        <f>CT557+CT251</f>
        <v>7.683046751519953</v>
      </c>
      <c r="CU579" s="500"/>
      <c r="CV579" s="500"/>
      <c r="CW579" s="500"/>
      <c r="CX579" s="501"/>
      <c r="CY579" s="500"/>
      <c r="CZ579" s="500"/>
      <c r="DA579" s="369">
        <f>DA557+DA251</f>
        <v>-3.8568426213240627</v>
      </c>
      <c r="DB579" s="500"/>
      <c r="DC579" s="500"/>
      <c r="DD579" s="500"/>
      <c r="DE579" s="501"/>
      <c r="DF579" s="500"/>
      <c r="DG579" s="500"/>
      <c r="DH579" s="369">
        <f>DH557+DH251</f>
        <v>-31.290307313800668</v>
      </c>
      <c r="DI579" s="500"/>
      <c r="DJ579" s="500"/>
      <c r="DK579" s="500"/>
      <c r="DL579" s="501"/>
      <c r="DM579" s="500"/>
      <c r="DN579" s="500"/>
      <c r="DO579" s="369">
        <f>DO557+DO251</f>
        <v>-19.418730523053341</v>
      </c>
      <c r="DP579" s="500"/>
      <c r="DQ579" s="500"/>
      <c r="DR579" s="500"/>
      <c r="DS579" s="501"/>
      <c r="DT579" s="500"/>
      <c r="DU579" s="500"/>
      <c r="DV579" s="369">
        <f>DV557+DV251</f>
        <v>-29.155746841751466</v>
      </c>
      <c r="DW579" s="500"/>
      <c r="DX579" s="500"/>
      <c r="DY579" s="500"/>
      <c r="DZ579" s="501"/>
      <c r="EA579" s="500"/>
      <c r="EB579" s="500"/>
      <c r="EC579" s="369">
        <f>EC557+EC251</f>
        <v>-39.691281451754321</v>
      </c>
      <c r="ED579" s="500"/>
      <c r="EE579" s="500"/>
      <c r="EF579" s="500"/>
      <c r="EG579" s="501"/>
      <c r="EH579" s="500"/>
      <c r="EI579" s="500"/>
      <c r="EJ579" s="369">
        <f>EJ557+EJ251</f>
        <v>-51.078602883344786</v>
      </c>
      <c r="EK579" s="500"/>
      <c r="EL579" s="500"/>
      <c r="EM579" s="500"/>
      <c r="EN579" s="501"/>
      <c r="EO579" s="500"/>
      <c r="EP579" s="500"/>
      <c r="EQ579" s="369">
        <f>EQ557+EQ251</f>
        <v>-63.374309714442802</v>
      </c>
    </row>
    <row r="580" spans="1:147" ht="10.199999999999999" hidden="1" customHeight="1" outlineLevel="1">
      <c r="A580" s="108" t="s">
        <v>378</v>
      </c>
      <c r="B580" s="48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3"/>
      <c r="O580" s="500"/>
      <c r="P580" s="500"/>
      <c r="Q580" s="500"/>
      <c r="R580" s="501"/>
      <c r="S580" s="500"/>
      <c r="T580" s="500"/>
      <c r="U580" s="369"/>
      <c r="V580" s="500"/>
      <c r="W580" s="500"/>
      <c r="X580" s="500"/>
      <c r="Y580" s="501"/>
      <c r="Z580" s="500"/>
      <c r="AA580" s="500"/>
      <c r="AB580" s="369"/>
      <c r="AC580" s="500"/>
      <c r="AD580" s="500"/>
      <c r="AE580" s="500"/>
      <c r="AF580" s="501"/>
      <c r="AG580" s="500"/>
      <c r="AH580" s="500"/>
      <c r="AI580" s="369"/>
      <c r="AJ580" s="500"/>
      <c r="AK580" s="500"/>
      <c r="AL580" s="500"/>
      <c r="AM580" s="501"/>
      <c r="AN580" s="500"/>
      <c r="AO580" s="500"/>
      <c r="AP580" s="369">
        <f>AP252*AP$603</f>
        <v>762.47379999999998</v>
      </c>
      <c r="AQ580" s="500"/>
      <c r="AR580" s="500"/>
      <c r="AS580" s="500"/>
      <c r="AT580" s="501"/>
      <c r="AU580" s="500"/>
      <c r="AV580" s="500"/>
      <c r="AW580" s="369">
        <f>AW558+AW252</f>
        <v>2095.0775037500016</v>
      </c>
      <c r="AX580" s="500"/>
      <c r="AY580" s="500"/>
      <c r="AZ580" s="500"/>
      <c r="BA580" s="501"/>
      <c r="BB580" s="500"/>
      <c r="BC580" s="500"/>
      <c r="BD580" s="369">
        <f>BD558+BD252</f>
        <v>2671.4575037500008</v>
      </c>
      <c r="BE580" s="500"/>
      <c r="BF580" s="500"/>
      <c r="BG580" s="500"/>
      <c r="BH580" s="501"/>
      <c r="BI580" s="500"/>
      <c r="BJ580" s="500"/>
      <c r="BK580" s="369">
        <f>BK558+BK252</f>
        <v>3538.1314750944512</v>
      </c>
      <c r="BL580" s="500"/>
      <c r="BM580" s="500"/>
      <c r="BN580" s="500"/>
      <c r="BO580" s="501"/>
      <c r="BP580" s="500"/>
      <c r="BQ580" s="500"/>
      <c r="BR580" s="369">
        <f t="shared" si="1664"/>
        <v>5689.4168016621879</v>
      </c>
      <c r="BS580" s="500"/>
      <c r="BT580" s="500"/>
      <c r="BU580" s="500"/>
      <c r="BV580" s="501"/>
      <c r="BW580" s="500"/>
      <c r="BX580" s="500"/>
      <c r="BY580" s="369">
        <f t="shared" si="1664"/>
        <v>2085.3695411557692</v>
      </c>
      <c r="BZ580" s="500"/>
      <c r="CA580" s="500"/>
      <c r="CB580" s="500"/>
      <c r="CC580" s="501"/>
      <c r="CD580" s="500"/>
      <c r="CE580" s="500"/>
      <c r="CF580" s="369">
        <f t="shared" si="1664"/>
        <v>2519.4592845632251</v>
      </c>
      <c r="CG580" s="500"/>
      <c r="CH580" s="500"/>
      <c r="CI580" s="500"/>
      <c r="CJ580" s="501"/>
      <c r="CK580" s="500"/>
      <c r="CL580" s="500"/>
      <c r="CM580" s="369">
        <f t="shared" si="1664"/>
        <v>1696.1832952784716</v>
      </c>
      <c r="CN580" s="500"/>
      <c r="CO580" s="500"/>
      <c r="CP580" s="500"/>
      <c r="CQ580" s="501"/>
      <c r="CR580" s="500"/>
      <c r="CS580" s="500"/>
      <c r="CT580" s="369">
        <f>CT558+CT252</f>
        <v>1208.2589327125825</v>
      </c>
      <c r="CU580" s="500"/>
      <c r="CV580" s="500"/>
      <c r="CW580" s="500"/>
      <c r="CX580" s="501"/>
      <c r="CY580" s="500"/>
      <c r="CZ580" s="500"/>
      <c r="DA580" s="369">
        <f>DA558+DA252</f>
        <v>249.82562935882197</v>
      </c>
      <c r="DB580" s="500"/>
      <c r="DC580" s="500"/>
      <c r="DD580" s="500"/>
      <c r="DE580" s="501"/>
      <c r="DF580" s="500"/>
      <c r="DG580" s="500"/>
      <c r="DH580" s="369">
        <f>DH558+DH252</f>
        <v>-201.05154902950562</v>
      </c>
      <c r="DI580" s="500"/>
      <c r="DJ580" s="500"/>
      <c r="DK580" s="500"/>
      <c r="DL580" s="501"/>
      <c r="DM580" s="500"/>
      <c r="DN580" s="500"/>
      <c r="DO580" s="369">
        <f>DO558+DO252</f>
        <v>-639.82291455160703</v>
      </c>
      <c r="DP580" s="500"/>
      <c r="DQ580" s="500"/>
      <c r="DR580" s="500"/>
      <c r="DS580" s="501"/>
      <c r="DT580" s="500"/>
      <c r="DU580" s="500"/>
      <c r="DV580" s="369">
        <f>DV558+DV252</f>
        <v>-1053.6041895510189</v>
      </c>
      <c r="DW580" s="500"/>
      <c r="DX580" s="500"/>
      <c r="DY580" s="500"/>
      <c r="DZ580" s="501"/>
      <c r="EA580" s="500"/>
      <c r="EB580" s="500"/>
      <c r="EC580" s="369">
        <f>EC558+EC252</f>
        <v>-1369.9415234161861</v>
      </c>
      <c r="ED580" s="500"/>
      <c r="EE580" s="500"/>
      <c r="EF580" s="500"/>
      <c r="EG580" s="501"/>
      <c r="EH580" s="500"/>
      <c r="EI580" s="500"/>
      <c r="EJ580" s="369">
        <f>EJ558+EJ252</f>
        <v>-1864.3964022344462</v>
      </c>
      <c r="EK580" s="500"/>
      <c r="EL580" s="500"/>
      <c r="EM580" s="500"/>
      <c r="EN580" s="501"/>
      <c r="EO580" s="500"/>
      <c r="EP580" s="500"/>
      <c r="EQ580" s="369">
        <f>EQ558+EQ252</f>
        <v>-2371.0601075146551</v>
      </c>
    </row>
    <row r="581" spans="1:147" ht="10.199999999999999" hidden="1" customHeight="1" outlineLevel="1">
      <c r="A581" s="108" t="s">
        <v>368</v>
      </c>
      <c r="B581" s="48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3"/>
      <c r="O581" s="500"/>
      <c r="P581" s="500"/>
      <c r="Q581" s="500"/>
      <c r="R581" s="501"/>
      <c r="S581" s="500"/>
      <c r="T581" s="500"/>
      <c r="U581" s="369"/>
      <c r="V581" s="500"/>
      <c r="W581" s="500"/>
      <c r="X581" s="500"/>
      <c r="Y581" s="501"/>
      <c r="Z581" s="500"/>
      <c r="AA581" s="500"/>
      <c r="AB581" s="369"/>
      <c r="AC581" s="500"/>
      <c r="AD581" s="500"/>
      <c r="AE581" s="500"/>
      <c r="AF581" s="501"/>
      <c r="AG581" s="500"/>
      <c r="AH581" s="500"/>
      <c r="AI581" s="369"/>
      <c r="AJ581" s="500"/>
      <c r="AK581" s="500"/>
      <c r="AL581" s="500"/>
      <c r="AM581" s="501"/>
      <c r="AN581" s="500"/>
      <c r="AO581" s="500"/>
      <c r="AP581" s="369"/>
      <c r="AQ581" s="500"/>
      <c r="AR581" s="500"/>
      <c r="AS581" s="500"/>
      <c r="AT581" s="501"/>
      <c r="AU581" s="500"/>
      <c r="AV581" s="500"/>
      <c r="AW581" s="369">
        <f>AW604*AW253</f>
        <v>304.9149033671589</v>
      </c>
      <c r="AX581" s="500"/>
      <c r="AY581" s="500"/>
      <c r="AZ581" s="500"/>
      <c r="BA581" s="501"/>
      <c r="BB581" s="500"/>
      <c r="BC581" s="500"/>
      <c r="BD581" s="369">
        <f>+BD253+BD559</f>
        <v>357.91490336715879</v>
      </c>
      <c r="BE581" s="500"/>
      <c r="BF581" s="500"/>
      <c r="BG581" s="500"/>
      <c r="BH581" s="501"/>
      <c r="BI581" s="500"/>
      <c r="BJ581" s="500"/>
      <c r="BK581" s="369">
        <f>BK559+BK253</f>
        <v>1327.6844754039757</v>
      </c>
      <c r="BL581" s="500"/>
      <c r="BM581" s="500"/>
      <c r="BN581" s="500"/>
      <c r="BO581" s="501"/>
      <c r="BP581" s="500"/>
      <c r="BQ581" s="500"/>
      <c r="BR581" s="369">
        <f t="shared" si="1664"/>
        <v>2668.281335788145</v>
      </c>
      <c r="BS581" s="500"/>
      <c r="BT581" s="500"/>
      <c r="BU581" s="500"/>
      <c r="BV581" s="501"/>
      <c r="BW581" s="500"/>
      <c r="BX581" s="500"/>
      <c r="BY581" s="369">
        <f t="shared" si="1664"/>
        <v>1318.1006309947479</v>
      </c>
      <c r="BZ581" s="500"/>
      <c r="CA581" s="500"/>
      <c r="CB581" s="500"/>
      <c r="CC581" s="501"/>
      <c r="CD581" s="500"/>
      <c r="CE581" s="500"/>
      <c r="CF581" s="369">
        <f t="shared" si="1664"/>
        <v>1815.0150576736796</v>
      </c>
      <c r="CG581" s="500"/>
      <c r="CH581" s="500"/>
      <c r="CI581" s="500"/>
      <c r="CJ581" s="501"/>
      <c r="CK581" s="500"/>
      <c r="CL581" s="500"/>
      <c r="CM581" s="369">
        <f t="shared" si="1664"/>
        <v>1357.6786137117815</v>
      </c>
      <c r="CN581" s="500"/>
      <c r="CO581" s="500"/>
      <c r="CP581" s="500"/>
      <c r="CQ581" s="501"/>
      <c r="CR581" s="500"/>
      <c r="CS581" s="500"/>
      <c r="CT581" s="369">
        <f>CT559+CT253</f>
        <v>631.26321478297905</v>
      </c>
      <c r="CU581" s="500"/>
      <c r="CV581" s="500"/>
      <c r="CW581" s="500"/>
      <c r="CX581" s="501"/>
      <c r="CY581" s="500"/>
      <c r="CZ581" s="500"/>
      <c r="DA581" s="369">
        <f>DA559+DA253</f>
        <v>316.16771877109204</v>
      </c>
      <c r="DB581" s="500"/>
      <c r="DC581" s="500"/>
      <c r="DD581" s="500"/>
      <c r="DE581" s="501"/>
      <c r="DF581" s="500"/>
      <c r="DG581" s="500"/>
      <c r="DH581" s="369">
        <f>DH559+DH253</f>
        <v>-1780.5114239499999</v>
      </c>
      <c r="DI581" s="500"/>
      <c r="DJ581" s="500"/>
      <c r="DK581" s="500"/>
      <c r="DL581" s="501"/>
      <c r="DM581" s="500"/>
      <c r="DN581" s="500"/>
      <c r="DO581" s="369">
        <f>DO559+DO253</f>
        <v>-3459.4288775877067</v>
      </c>
      <c r="DP581" s="500"/>
      <c r="DQ581" s="500"/>
      <c r="DR581" s="500"/>
      <c r="DS581" s="501"/>
      <c r="DT581" s="500"/>
      <c r="DU581" s="500"/>
      <c r="DV581" s="369">
        <f>DV559+DV253</f>
        <v>-5954.7555451300941</v>
      </c>
      <c r="DW581" s="500"/>
      <c r="DX581" s="500"/>
      <c r="DY581" s="500"/>
      <c r="DZ581" s="501"/>
      <c r="EA581" s="500"/>
      <c r="EB581" s="500"/>
      <c r="EC581" s="369">
        <f>EC559+EC253</f>
        <v>-9114.1308708519937</v>
      </c>
      <c r="ED581" s="500"/>
      <c r="EE581" s="500"/>
      <c r="EF581" s="500"/>
      <c r="EG581" s="501"/>
      <c r="EH581" s="500"/>
      <c r="EI581" s="500"/>
      <c r="EJ581" s="369">
        <f>EJ559+EJ253</f>
        <v>-11757.883652971628</v>
      </c>
      <c r="EK581" s="500"/>
      <c r="EL581" s="500"/>
      <c r="EM581" s="500"/>
      <c r="EN581" s="501"/>
      <c r="EO581" s="500"/>
      <c r="EP581" s="500"/>
      <c r="EQ581" s="369">
        <f>EQ559+EQ253</f>
        <v>-14455.099165230342</v>
      </c>
    </row>
    <row r="582" spans="1:147" ht="10.199999999999999" hidden="1" customHeight="1" outlineLevel="1">
      <c r="A582" s="48" t="s">
        <v>378</v>
      </c>
      <c r="B582" s="48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3"/>
      <c r="O582" s="298"/>
      <c r="P582" s="298"/>
      <c r="Q582" s="298"/>
      <c r="R582" s="337"/>
      <c r="S582" s="298"/>
      <c r="T582" s="298"/>
      <c r="U582" s="367"/>
      <c r="V582" s="298"/>
      <c r="W582" s="298"/>
      <c r="X582" s="298"/>
      <c r="Y582" s="337"/>
      <c r="Z582" s="298"/>
      <c r="AA582" s="298"/>
      <c r="AB582" s="367"/>
      <c r="AC582" s="298"/>
      <c r="AD582" s="298"/>
      <c r="AE582" s="298"/>
      <c r="AF582" s="337"/>
      <c r="AG582" s="298"/>
      <c r="AH582" s="298"/>
      <c r="AI582" s="367"/>
      <c r="AJ582" s="298"/>
      <c r="AK582" s="298"/>
      <c r="AL582" s="298"/>
      <c r="AM582" s="337"/>
      <c r="AN582" s="298"/>
      <c r="AO582" s="298"/>
      <c r="AP582" s="367">
        <f t="shared" ref="AP582:CT582" si="1665">AP579+AP580+AP581</f>
        <v>762.47379999999998</v>
      </c>
      <c r="AQ582" s="298"/>
      <c r="AR582" s="298"/>
      <c r="AS582" s="298"/>
      <c r="AT582" s="337"/>
      <c r="AU582" s="298"/>
      <c r="AV582" s="298"/>
      <c r="AW582" s="367">
        <f t="shared" si="1665"/>
        <v>2399.9924071171604</v>
      </c>
      <c r="AX582" s="298"/>
      <c r="AY582" s="298"/>
      <c r="AZ582" s="298"/>
      <c r="BA582" s="337"/>
      <c r="BB582" s="298"/>
      <c r="BC582" s="298"/>
      <c r="BD582" s="367">
        <f>BD579+BD580+BD581</f>
        <v>3029.3724071171596</v>
      </c>
      <c r="BE582" s="298"/>
      <c r="BF582" s="298"/>
      <c r="BG582" s="298"/>
      <c r="BH582" s="337"/>
      <c r="BI582" s="298"/>
      <c r="BJ582" s="298"/>
      <c r="BK582" s="367">
        <f>BK579+BK580+BK581</f>
        <v>4865.8159504984269</v>
      </c>
      <c r="BL582" s="298"/>
      <c r="BM582" s="298"/>
      <c r="BN582" s="298"/>
      <c r="BO582" s="337"/>
      <c r="BP582" s="298"/>
      <c r="BQ582" s="298"/>
      <c r="BR582" s="367">
        <f t="shared" si="1665"/>
        <v>8384.1127342548425</v>
      </c>
      <c r="BS582" s="298"/>
      <c r="BT582" s="298"/>
      <c r="BU582" s="298"/>
      <c r="BV582" s="337"/>
      <c r="BW582" s="298"/>
      <c r="BX582" s="298"/>
      <c r="BY582" s="367">
        <f t="shared" si="1665"/>
        <v>3403.4701721505171</v>
      </c>
      <c r="BZ582" s="298"/>
      <c r="CA582" s="298"/>
      <c r="CB582" s="298"/>
      <c r="CC582" s="337"/>
      <c r="CD582" s="298"/>
      <c r="CE582" s="298"/>
      <c r="CF582" s="367">
        <f t="shared" si="1665"/>
        <v>4350.4831412869898</v>
      </c>
      <c r="CG582" s="298"/>
      <c r="CH582" s="298"/>
      <c r="CI582" s="298"/>
      <c r="CJ582" s="337"/>
      <c r="CK582" s="298"/>
      <c r="CL582" s="298"/>
      <c r="CM582" s="367">
        <f t="shared" si="1665"/>
        <v>3085.853741146776</v>
      </c>
      <c r="CN582" s="298"/>
      <c r="CO582" s="298"/>
      <c r="CP582" s="298"/>
      <c r="CQ582" s="337"/>
      <c r="CR582" s="298"/>
      <c r="CS582" s="298"/>
      <c r="CT582" s="367">
        <f t="shared" si="1665"/>
        <v>1847.2051942470814</v>
      </c>
      <c r="CU582" s="298"/>
      <c r="CV582" s="298"/>
      <c r="CW582" s="298"/>
      <c r="CX582" s="337"/>
      <c r="CY582" s="298"/>
      <c r="CZ582" s="298"/>
      <c r="DA582" s="367">
        <f>DA579+DA580+DA581</f>
        <v>562.13650550858995</v>
      </c>
      <c r="DB582" s="298"/>
      <c r="DC582" s="298"/>
      <c r="DD582" s="298"/>
      <c r="DE582" s="337"/>
      <c r="DF582" s="298"/>
      <c r="DG582" s="298"/>
      <c r="DH582" s="367">
        <f>DH579+DH580+DH581</f>
        <v>-2012.8532802933062</v>
      </c>
      <c r="DI582" s="298"/>
      <c r="DJ582" s="298"/>
      <c r="DK582" s="298"/>
      <c r="DL582" s="337"/>
      <c r="DM582" s="298"/>
      <c r="DN582" s="298"/>
      <c r="DO582" s="367">
        <f>DO579+DO580+DO581</f>
        <v>-4118.6705226623671</v>
      </c>
      <c r="DP582" s="298"/>
      <c r="DQ582" s="298"/>
      <c r="DR582" s="298"/>
      <c r="DS582" s="337"/>
      <c r="DT582" s="298"/>
      <c r="DU582" s="298"/>
      <c r="DV582" s="367">
        <f>DV579+DV580+DV581</f>
        <v>-7037.5154815228643</v>
      </c>
      <c r="DW582" s="298"/>
      <c r="DX582" s="298"/>
      <c r="DY582" s="298"/>
      <c r="DZ582" s="337"/>
      <c r="EA582" s="298"/>
      <c r="EB582" s="298"/>
      <c r="EC582" s="367">
        <f>EC579+EC580+EC581</f>
        <v>-10523.763675719934</v>
      </c>
      <c r="ED582" s="298"/>
      <c r="EE582" s="298"/>
      <c r="EF582" s="298"/>
      <c r="EG582" s="337"/>
      <c r="EH582" s="298"/>
      <c r="EI582" s="298"/>
      <c r="EJ582" s="367">
        <f>EJ579+EJ580+EJ581</f>
        <v>-13673.358658089419</v>
      </c>
      <c r="EK582" s="298"/>
      <c r="EL582" s="298"/>
      <c r="EM582" s="298"/>
      <c r="EN582" s="337"/>
      <c r="EO582" s="298"/>
      <c r="EP582" s="298"/>
      <c r="EQ582" s="367">
        <f>EQ579+EQ580+EQ581</f>
        <v>-16889.53358245944</v>
      </c>
    </row>
    <row r="583" spans="1:147" ht="10.199999999999999" hidden="1" customHeight="1" outlineLevel="1">
      <c r="A583" s="43" t="s">
        <v>198</v>
      </c>
      <c r="B583" s="48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3"/>
      <c r="O583" s="415"/>
      <c r="P583" s="415"/>
      <c r="Q583" s="415"/>
      <c r="R583" s="448"/>
      <c r="S583" s="415"/>
      <c r="T583" s="415"/>
      <c r="U583" s="345"/>
      <c r="V583" s="415"/>
      <c r="W583" s="415"/>
      <c r="X583" s="415"/>
      <c r="Y583" s="448"/>
      <c r="Z583" s="415"/>
      <c r="AA583" s="415"/>
      <c r="AB583" s="345"/>
      <c r="AC583" s="415"/>
      <c r="AD583" s="415"/>
      <c r="AE583" s="415"/>
      <c r="AF583" s="448"/>
      <c r="AG583" s="415"/>
      <c r="AH583" s="415"/>
      <c r="AI583" s="345">
        <f>AI255*$AI$606</f>
        <v>509.15287500000005</v>
      </c>
      <c r="AJ583" s="415"/>
      <c r="AK583" s="415"/>
      <c r="AL583" s="415"/>
      <c r="AM583" s="448"/>
      <c r="AN583" s="415"/>
      <c r="AO583" s="415"/>
      <c r="AP583" s="345">
        <f t="shared" ref="AP583:BR584" si="1666">AP255+AP561</f>
        <v>323.71779000000015</v>
      </c>
      <c r="AQ583" s="415"/>
      <c r="AR583" s="415"/>
      <c r="AS583" s="415"/>
      <c r="AT583" s="448"/>
      <c r="AU583" s="415"/>
      <c r="AV583" s="415"/>
      <c r="AW583" s="345">
        <f t="shared" si="1666"/>
        <v>55.138342500000363</v>
      </c>
      <c r="AX583" s="415"/>
      <c r="AY583" s="415"/>
      <c r="AZ583" s="415"/>
      <c r="BA583" s="448"/>
      <c r="BB583" s="415"/>
      <c r="BC583" s="415"/>
      <c r="BD583" s="345">
        <f t="shared" si="1666"/>
        <v>132.71834250000006</v>
      </c>
      <c r="BE583" s="415"/>
      <c r="BF583" s="415"/>
      <c r="BG583" s="415"/>
      <c r="BH583" s="448"/>
      <c r="BI583" s="415"/>
      <c r="BJ583" s="415"/>
      <c r="BK583" s="345">
        <f t="shared" si="1666"/>
        <v>132.83537749999959</v>
      </c>
      <c r="BL583" s="415"/>
      <c r="BM583" s="415"/>
      <c r="BN583" s="415"/>
      <c r="BO583" s="448"/>
      <c r="BP583" s="415"/>
      <c r="BQ583" s="415"/>
      <c r="BR583" s="345">
        <f t="shared" si="1666"/>
        <v>64.321755968749926</v>
      </c>
      <c r="BS583" s="415"/>
      <c r="BT583" s="415"/>
      <c r="BU583" s="415"/>
      <c r="BV583" s="448"/>
      <c r="BW583" s="415"/>
      <c r="BX583" s="415"/>
      <c r="BY583" s="345"/>
      <c r="BZ583" s="415"/>
      <c r="CA583" s="415"/>
      <c r="CB583" s="415"/>
      <c r="CC583" s="448"/>
      <c r="CD583" s="415"/>
      <c r="CE583" s="415"/>
      <c r="CF583" s="345"/>
      <c r="CG583" s="415"/>
      <c r="CH583" s="415"/>
      <c r="CI583" s="415"/>
      <c r="CJ583" s="448"/>
      <c r="CK583" s="415"/>
      <c r="CL583" s="415"/>
      <c r="CM583" s="345"/>
      <c r="CN583" s="415"/>
      <c r="CO583" s="415"/>
      <c r="CP583" s="415"/>
      <c r="CQ583" s="448"/>
      <c r="CR583" s="415"/>
      <c r="CS583" s="415"/>
      <c r="CT583" s="345"/>
      <c r="CU583" s="415"/>
      <c r="CV583" s="415"/>
      <c r="CW583" s="415"/>
      <c r="CX583" s="448"/>
      <c r="CY583" s="415"/>
      <c r="CZ583" s="415"/>
      <c r="DA583" s="345"/>
      <c r="DB583" s="415"/>
      <c r="DC583" s="415"/>
      <c r="DD583" s="415"/>
      <c r="DE583" s="448"/>
      <c r="DF583" s="415"/>
      <c r="DG583" s="415"/>
      <c r="DH583" s="345"/>
      <c r="DI583" s="415"/>
      <c r="DJ583" s="415"/>
      <c r="DK583" s="415"/>
      <c r="DL583" s="448"/>
      <c r="DM583" s="415"/>
      <c r="DN583" s="415"/>
      <c r="DO583" s="345"/>
      <c r="DP583" s="415"/>
      <c r="DQ583" s="415"/>
      <c r="DR583" s="415"/>
      <c r="DS583" s="448"/>
      <c r="DT583" s="415"/>
      <c r="DU583" s="415"/>
      <c r="DV583" s="345"/>
      <c r="DW583" s="415"/>
      <c r="DX583" s="415"/>
      <c r="DY583" s="415"/>
      <c r="DZ583" s="448"/>
      <c r="EA583" s="415"/>
      <c r="EB583" s="415"/>
      <c r="EC583" s="345"/>
      <c r="ED583" s="415"/>
      <c r="EE583" s="415"/>
      <c r="EF583" s="415"/>
      <c r="EG583" s="448"/>
      <c r="EH583" s="415"/>
      <c r="EI583" s="415"/>
      <c r="EJ583" s="345"/>
      <c r="EK583" s="415"/>
      <c r="EL583" s="415"/>
      <c r="EM583" s="415"/>
      <c r="EN583" s="448"/>
      <c r="EO583" s="415"/>
      <c r="EP583" s="415"/>
      <c r="EQ583" s="345"/>
    </row>
    <row r="584" spans="1:147" ht="10.199999999999999" hidden="1" customHeight="1" outlineLevel="1">
      <c r="A584" s="43" t="s">
        <v>199</v>
      </c>
      <c r="B584" s="48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3"/>
      <c r="O584" s="415"/>
      <c r="P584" s="415"/>
      <c r="Q584" s="415"/>
      <c r="R584" s="448"/>
      <c r="S584" s="415"/>
      <c r="T584" s="415"/>
      <c r="U584" s="345"/>
      <c r="V584" s="415"/>
      <c r="W584" s="415"/>
      <c r="X584" s="415"/>
      <c r="Y584" s="448"/>
      <c r="Z584" s="415"/>
      <c r="AA584" s="415"/>
      <c r="AB584" s="345"/>
      <c r="AC584" s="415"/>
      <c r="AD584" s="415"/>
      <c r="AE584" s="415"/>
      <c r="AF584" s="448"/>
      <c r="AG584" s="415"/>
      <c r="AH584" s="415"/>
      <c r="AI584" s="345">
        <f>AI256*$AI$607</f>
        <v>1196.5126249999998</v>
      </c>
      <c r="AJ584" s="415"/>
      <c r="AK584" s="415"/>
      <c r="AL584" s="415"/>
      <c r="AM584" s="448"/>
      <c r="AN584" s="415"/>
      <c r="AO584" s="415"/>
      <c r="AP584" s="345">
        <f t="shared" si="1666"/>
        <v>626.00070225000036</v>
      </c>
      <c r="AQ584" s="415"/>
      <c r="AR584" s="415"/>
      <c r="AS584" s="415"/>
      <c r="AT584" s="448"/>
      <c r="AU584" s="415"/>
      <c r="AV584" s="415"/>
      <c r="AW584" s="345">
        <f t="shared" si="1666"/>
        <v>165.8541526250001</v>
      </c>
      <c r="AX584" s="415"/>
      <c r="AY584" s="415"/>
      <c r="AZ584" s="415"/>
      <c r="BA584" s="448"/>
      <c r="BB584" s="415"/>
      <c r="BC584" s="415"/>
      <c r="BD584" s="345">
        <f t="shared" si="1666"/>
        <v>315.30415262499901</v>
      </c>
      <c r="BE584" s="415"/>
      <c r="BF584" s="415"/>
      <c r="BG584" s="415"/>
      <c r="BH584" s="448"/>
      <c r="BI584" s="415"/>
      <c r="BJ584" s="415"/>
      <c r="BK584" s="345">
        <f t="shared" si="1666"/>
        <v>280.79291599999988</v>
      </c>
      <c r="BL584" s="415"/>
      <c r="BM584" s="415"/>
      <c r="BN584" s="415"/>
      <c r="BO584" s="448"/>
      <c r="BP584" s="415"/>
      <c r="BQ584" s="415"/>
      <c r="BR584" s="345">
        <f t="shared" si="1666"/>
        <v>41.998490453124987</v>
      </c>
      <c r="BS584" s="415"/>
      <c r="BT584" s="415"/>
      <c r="BU584" s="415"/>
      <c r="BV584" s="448"/>
      <c r="BW584" s="415"/>
      <c r="BX584" s="415"/>
      <c r="BY584" s="345"/>
      <c r="BZ584" s="415"/>
      <c r="CA584" s="415"/>
      <c r="CB584" s="415"/>
      <c r="CC584" s="448"/>
      <c r="CD584" s="415"/>
      <c r="CE584" s="415"/>
      <c r="CF584" s="345"/>
      <c r="CG584" s="415"/>
      <c r="CH584" s="415"/>
      <c r="CI584" s="415"/>
      <c r="CJ584" s="448"/>
      <c r="CK584" s="415"/>
      <c r="CL584" s="415"/>
      <c r="CM584" s="345"/>
      <c r="CN584" s="415"/>
      <c r="CO584" s="415"/>
      <c r="CP584" s="415"/>
      <c r="CQ584" s="448"/>
      <c r="CR584" s="415"/>
      <c r="CS584" s="415"/>
      <c r="CT584" s="345"/>
      <c r="CU584" s="415"/>
      <c r="CV584" s="415"/>
      <c r="CW584" s="415"/>
      <c r="CX584" s="448"/>
      <c r="CY584" s="415"/>
      <c r="CZ584" s="415"/>
      <c r="DA584" s="345"/>
      <c r="DB584" s="415"/>
      <c r="DC584" s="415"/>
      <c r="DD584" s="415"/>
      <c r="DE584" s="448"/>
      <c r="DF584" s="415"/>
      <c r="DG584" s="415"/>
      <c r="DH584" s="345"/>
      <c r="DI584" s="415"/>
      <c r="DJ584" s="415"/>
      <c r="DK584" s="415"/>
      <c r="DL584" s="448"/>
      <c r="DM584" s="415"/>
      <c r="DN584" s="415"/>
      <c r="DO584" s="345"/>
      <c r="DP584" s="415"/>
      <c r="DQ584" s="415"/>
      <c r="DR584" s="415"/>
      <c r="DS584" s="448"/>
      <c r="DT584" s="415"/>
      <c r="DU584" s="415"/>
      <c r="DV584" s="345"/>
      <c r="DW584" s="415"/>
      <c r="DX584" s="415"/>
      <c r="DY584" s="415"/>
      <c r="DZ584" s="448"/>
      <c r="EA584" s="415"/>
      <c r="EB584" s="415"/>
      <c r="EC584" s="345"/>
      <c r="ED584" s="415"/>
      <c r="EE584" s="415"/>
      <c r="EF584" s="415"/>
      <c r="EG584" s="448"/>
      <c r="EH584" s="415"/>
      <c r="EI584" s="415"/>
      <c r="EJ584" s="345"/>
      <c r="EK584" s="415"/>
      <c r="EL584" s="415"/>
      <c r="EM584" s="415"/>
      <c r="EN584" s="448"/>
      <c r="EO584" s="415"/>
      <c r="EP584" s="415"/>
      <c r="EQ584" s="345"/>
    </row>
    <row r="585" spans="1:147" ht="10.199999999999999" hidden="1" customHeight="1" outlineLevel="1">
      <c r="A585" s="48" t="s">
        <v>380</v>
      </c>
      <c r="B585" s="48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3"/>
      <c r="O585" s="415"/>
      <c r="P585" s="415"/>
      <c r="Q585" s="415"/>
      <c r="R585" s="448"/>
      <c r="S585" s="415"/>
      <c r="T585" s="415"/>
      <c r="U585" s="345"/>
      <c r="V585" s="415"/>
      <c r="W585" s="415"/>
      <c r="X585" s="415"/>
      <c r="Y585" s="448"/>
      <c r="Z585" s="415"/>
      <c r="AA585" s="415"/>
      <c r="AB585" s="345"/>
      <c r="AC585" s="415"/>
      <c r="AD585" s="415"/>
      <c r="AE585" s="415"/>
      <c r="AF585" s="448"/>
      <c r="AG585" s="415"/>
      <c r="AH585" s="415"/>
      <c r="AI585" s="345">
        <f t="shared" ref="AI585:BR585" si="1667">AI583+AI584</f>
        <v>1705.6654999999998</v>
      </c>
      <c r="AJ585" s="415"/>
      <c r="AK585" s="415"/>
      <c r="AL585" s="415"/>
      <c r="AM585" s="448"/>
      <c r="AN585" s="415"/>
      <c r="AO585" s="415"/>
      <c r="AP585" s="345">
        <f t="shared" si="1667"/>
        <v>949.71849225000051</v>
      </c>
      <c r="AQ585" s="415"/>
      <c r="AR585" s="415"/>
      <c r="AS585" s="415"/>
      <c r="AT585" s="448"/>
      <c r="AU585" s="415"/>
      <c r="AV585" s="415"/>
      <c r="AW585" s="345">
        <f t="shared" si="1667"/>
        <v>220.99249512500046</v>
      </c>
      <c r="AX585" s="415"/>
      <c r="AY585" s="415"/>
      <c r="AZ585" s="415"/>
      <c r="BA585" s="448"/>
      <c r="BB585" s="415"/>
      <c r="BC585" s="415"/>
      <c r="BD585" s="345">
        <f>BD583+BD584</f>
        <v>448.02249512499907</v>
      </c>
      <c r="BE585" s="415"/>
      <c r="BF585" s="415"/>
      <c r="BG585" s="415"/>
      <c r="BH585" s="448"/>
      <c r="BI585" s="415"/>
      <c r="BJ585" s="415"/>
      <c r="BK585" s="345">
        <f>BK583+BK584</f>
        <v>413.62829349999947</v>
      </c>
      <c r="BL585" s="415"/>
      <c r="BM585" s="415"/>
      <c r="BN585" s="415"/>
      <c r="BO585" s="448"/>
      <c r="BP585" s="415"/>
      <c r="BQ585" s="415"/>
      <c r="BR585" s="345">
        <f t="shared" si="1667"/>
        <v>106.32024642187491</v>
      </c>
      <c r="BS585" s="415"/>
      <c r="BT585" s="415"/>
      <c r="BU585" s="415"/>
      <c r="BV585" s="448"/>
      <c r="BW585" s="415"/>
      <c r="BX585" s="415"/>
      <c r="BY585" s="345"/>
      <c r="BZ585" s="415"/>
      <c r="CA585" s="415"/>
      <c r="CB585" s="415"/>
      <c r="CC585" s="448"/>
      <c r="CD585" s="415"/>
      <c r="CE585" s="415"/>
      <c r="CF585" s="345"/>
      <c r="CG585" s="415"/>
      <c r="CH585" s="415"/>
      <c r="CI585" s="415"/>
      <c r="CJ585" s="448"/>
      <c r="CK585" s="415"/>
      <c r="CL585" s="415"/>
      <c r="CM585" s="345"/>
      <c r="CN585" s="415"/>
      <c r="CO585" s="415"/>
      <c r="CP585" s="415"/>
      <c r="CQ585" s="448"/>
      <c r="CR585" s="415"/>
      <c r="CS585" s="415"/>
      <c r="CT585" s="345"/>
      <c r="CU585" s="415"/>
      <c r="CV585" s="415"/>
      <c r="CW585" s="415"/>
      <c r="CX585" s="448"/>
      <c r="CY585" s="415"/>
      <c r="CZ585" s="415"/>
      <c r="DA585" s="345"/>
      <c r="DB585" s="415"/>
      <c r="DC585" s="415"/>
      <c r="DD585" s="415"/>
      <c r="DE585" s="448"/>
      <c r="DF585" s="415"/>
      <c r="DG585" s="415"/>
      <c r="DH585" s="345"/>
      <c r="DI585" s="415"/>
      <c r="DJ585" s="415"/>
      <c r="DK585" s="415"/>
      <c r="DL585" s="448"/>
      <c r="DM585" s="415"/>
      <c r="DN585" s="415"/>
      <c r="DO585" s="345"/>
      <c r="DP585" s="415"/>
      <c r="DQ585" s="415"/>
      <c r="DR585" s="415"/>
      <c r="DS585" s="448"/>
      <c r="DT585" s="415"/>
      <c r="DU585" s="415"/>
      <c r="DV585" s="345"/>
      <c r="DW585" s="415"/>
      <c r="DX585" s="415"/>
      <c r="DY585" s="415"/>
      <c r="DZ585" s="448"/>
      <c r="EA585" s="415"/>
      <c r="EB585" s="415"/>
      <c r="EC585" s="345"/>
      <c r="ED585" s="415"/>
      <c r="EE585" s="415"/>
      <c r="EF585" s="415"/>
      <c r="EG585" s="448"/>
      <c r="EH585" s="415"/>
      <c r="EI585" s="415"/>
      <c r="EJ585" s="345"/>
      <c r="EK585" s="415"/>
      <c r="EL585" s="415"/>
      <c r="EM585" s="415"/>
      <c r="EN585" s="448"/>
      <c r="EO585" s="415"/>
      <c r="EP585" s="415"/>
      <c r="EQ585" s="345"/>
    </row>
    <row r="586" spans="1:147" ht="10.199999999999999" hidden="1" customHeight="1" outlineLevel="1">
      <c r="A586" s="108" t="s">
        <v>384</v>
      </c>
      <c r="B586" s="48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3"/>
      <c r="O586" s="500"/>
      <c r="P586" s="500"/>
      <c r="Q586" s="500"/>
      <c r="R586" s="501"/>
      <c r="S586" s="500"/>
      <c r="T586" s="500"/>
      <c r="U586" s="369"/>
      <c r="V586" s="500"/>
      <c r="W586" s="500"/>
      <c r="X586" s="500"/>
      <c r="Y586" s="501"/>
      <c r="Z586" s="500"/>
      <c r="AA586" s="500"/>
      <c r="AB586" s="369"/>
      <c r="AC586" s="500"/>
      <c r="AD586" s="500"/>
      <c r="AE586" s="500"/>
      <c r="AF586" s="501"/>
      <c r="AG586" s="500"/>
      <c r="AH586" s="500"/>
      <c r="AI586" s="369"/>
      <c r="AJ586" s="500"/>
      <c r="AK586" s="500"/>
      <c r="AL586" s="500"/>
      <c r="AM586" s="501"/>
      <c r="AN586" s="500"/>
      <c r="AO586" s="500"/>
      <c r="AP586" s="369"/>
      <c r="AQ586" s="500"/>
      <c r="AR586" s="500"/>
      <c r="AS586" s="500"/>
      <c r="AT586" s="501"/>
      <c r="AU586" s="500"/>
      <c r="AV586" s="500"/>
      <c r="AW586" s="369">
        <f t="shared" ref="AW586:BK587" si="1668">AW258*AW609</f>
        <v>0</v>
      </c>
      <c r="AX586" s="500"/>
      <c r="AY586" s="500"/>
      <c r="AZ586" s="500"/>
      <c r="BA586" s="501"/>
      <c r="BB586" s="500"/>
      <c r="BC586" s="500"/>
      <c r="BD586" s="369">
        <f t="shared" si="1668"/>
        <v>0</v>
      </c>
      <c r="BE586" s="500"/>
      <c r="BF586" s="500"/>
      <c r="BG586" s="500"/>
      <c r="BH586" s="501"/>
      <c r="BI586" s="500"/>
      <c r="BJ586" s="500"/>
      <c r="BK586" s="369">
        <f t="shared" si="1668"/>
        <v>0</v>
      </c>
      <c r="BL586" s="500"/>
      <c r="BM586" s="500"/>
      <c r="BN586" s="500"/>
      <c r="BO586" s="501"/>
      <c r="BP586" s="500"/>
      <c r="BQ586" s="500"/>
      <c r="BR586" s="369">
        <f t="shared" ref="BR586:CM587" si="1669">BR564+BR258</f>
        <v>0</v>
      </c>
      <c r="BS586" s="500"/>
      <c r="BT586" s="500"/>
      <c r="BU586" s="500"/>
      <c r="BV586" s="501"/>
      <c r="BW586" s="500"/>
      <c r="BX586" s="500"/>
      <c r="BY586" s="369">
        <f t="shared" si="1669"/>
        <v>-128.05437960000006</v>
      </c>
      <c r="BZ586" s="500"/>
      <c r="CA586" s="500"/>
      <c r="CB586" s="500"/>
      <c r="CC586" s="501"/>
      <c r="CD586" s="500"/>
      <c r="CE586" s="500"/>
      <c r="CF586" s="369">
        <f t="shared" si="1669"/>
        <v>-22.420220256000022</v>
      </c>
      <c r="CG586" s="500"/>
      <c r="CH586" s="500"/>
      <c r="CI586" s="500"/>
      <c r="CJ586" s="501"/>
      <c r="CK586" s="500"/>
      <c r="CL586" s="500"/>
      <c r="CM586" s="369">
        <f t="shared" si="1669"/>
        <v>-56.658967629120013</v>
      </c>
      <c r="CN586" s="500"/>
      <c r="CO586" s="500"/>
      <c r="CP586" s="500"/>
      <c r="CQ586" s="501"/>
      <c r="CR586" s="500"/>
      <c r="CS586" s="500"/>
      <c r="CT586" s="369">
        <f>CT564+CT258</f>
        <v>0</v>
      </c>
      <c r="CU586" s="500"/>
      <c r="CV586" s="500"/>
      <c r="CW586" s="500"/>
      <c r="CX586" s="501"/>
      <c r="CY586" s="500"/>
      <c r="CZ586" s="500"/>
      <c r="DA586" s="369">
        <f>DA564+DA258</f>
        <v>0</v>
      </c>
      <c r="DB586" s="500"/>
      <c r="DC586" s="500"/>
      <c r="DD586" s="500"/>
      <c r="DE586" s="501"/>
      <c r="DF586" s="500"/>
      <c r="DG586" s="500"/>
      <c r="DH586" s="369">
        <f>DH564+DH258</f>
        <v>-9.0515830194833882</v>
      </c>
      <c r="DI586" s="500"/>
      <c r="DJ586" s="500"/>
      <c r="DK586" s="500"/>
      <c r="DL586" s="501"/>
      <c r="DM586" s="500"/>
      <c r="DN586" s="500"/>
      <c r="DO586" s="369">
        <f>DO564+DO258</f>
        <v>-23.969893390217976</v>
      </c>
      <c r="DP586" s="500"/>
      <c r="DQ586" s="500"/>
      <c r="DR586" s="500"/>
      <c r="DS586" s="501"/>
      <c r="DT586" s="500"/>
      <c r="DU586" s="500"/>
      <c r="DV586" s="369">
        <f>DV564+DV258</f>
        <v>-11.427543735309428</v>
      </c>
      <c r="DW586" s="500"/>
      <c r="DX586" s="500"/>
      <c r="DY586" s="500"/>
      <c r="DZ586" s="501"/>
      <c r="EA586" s="500"/>
      <c r="EB586" s="500"/>
      <c r="EC586" s="369">
        <f>EC564+EC258</f>
        <v>1.428364660971738</v>
      </c>
      <c r="ED586" s="500"/>
      <c r="EE586" s="500"/>
      <c r="EF586" s="500"/>
      <c r="EG586" s="501"/>
      <c r="EH586" s="500"/>
      <c r="EI586" s="500"/>
      <c r="EJ586" s="369">
        <f>EJ564+EJ258</f>
        <v>14.605670767160063</v>
      </c>
      <c r="EK586" s="500"/>
      <c r="EL586" s="500"/>
      <c r="EM586" s="500"/>
      <c r="EN586" s="501"/>
      <c r="EO586" s="500"/>
      <c r="EP586" s="500"/>
      <c r="EQ586" s="369">
        <f>EQ564+EQ258</f>
        <v>28.112409526002921</v>
      </c>
    </row>
    <row r="587" spans="1:147" ht="10.199999999999999" hidden="1" customHeight="1" outlineLevel="1">
      <c r="A587" s="108" t="s">
        <v>385</v>
      </c>
      <c r="B587" s="48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3"/>
      <c r="O587" s="500"/>
      <c r="P587" s="500"/>
      <c r="Q587" s="500"/>
      <c r="R587" s="501"/>
      <c r="S587" s="500"/>
      <c r="T587" s="500"/>
      <c r="U587" s="369"/>
      <c r="V587" s="500"/>
      <c r="W587" s="500"/>
      <c r="X587" s="500"/>
      <c r="Y587" s="501"/>
      <c r="Z587" s="500"/>
      <c r="AA587" s="500"/>
      <c r="AB587" s="369"/>
      <c r="AC587" s="500"/>
      <c r="AD587" s="500"/>
      <c r="AE587" s="500"/>
      <c r="AF587" s="501"/>
      <c r="AG587" s="500"/>
      <c r="AH587" s="500"/>
      <c r="AI587" s="369"/>
      <c r="AJ587" s="500"/>
      <c r="AK587" s="500"/>
      <c r="AL587" s="500"/>
      <c r="AM587" s="501"/>
      <c r="AN587" s="500"/>
      <c r="AO587" s="500"/>
      <c r="AP587" s="369"/>
      <c r="AQ587" s="500"/>
      <c r="AR587" s="500"/>
      <c r="AS587" s="500"/>
      <c r="AT587" s="501"/>
      <c r="AU587" s="500"/>
      <c r="AV587" s="500"/>
      <c r="AW587" s="369">
        <f t="shared" si="1668"/>
        <v>0</v>
      </c>
      <c r="AX587" s="500"/>
      <c r="AY587" s="500"/>
      <c r="AZ587" s="500"/>
      <c r="BA587" s="501"/>
      <c r="BB587" s="500"/>
      <c r="BC587" s="500"/>
      <c r="BD587" s="369">
        <f t="shared" si="1668"/>
        <v>0</v>
      </c>
      <c r="BE587" s="500"/>
      <c r="BF587" s="500"/>
      <c r="BG587" s="500"/>
      <c r="BH587" s="501"/>
      <c r="BI587" s="500"/>
      <c r="BJ587" s="500"/>
      <c r="BK587" s="369">
        <f t="shared" si="1668"/>
        <v>30.232800000000001</v>
      </c>
      <c r="BL587" s="500"/>
      <c r="BM587" s="500"/>
      <c r="BN587" s="500"/>
      <c r="BO587" s="501"/>
      <c r="BP587" s="500"/>
      <c r="BQ587" s="500"/>
      <c r="BR587" s="369">
        <f t="shared" si="1669"/>
        <v>376.96744799999942</v>
      </c>
      <c r="BS587" s="500"/>
      <c r="BT587" s="500"/>
      <c r="BU587" s="500"/>
      <c r="BV587" s="501"/>
      <c r="BW587" s="500"/>
      <c r="BX587" s="500"/>
      <c r="BY587" s="369">
        <f t="shared" si="1669"/>
        <v>-274.94953200000009</v>
      </c>
      <c r="BZ587" s="500"/>
      <c r="CA587" s="500"/>
      <c r="CB587" s="500"/>
      <c r="CC587" s="501"/>
      <c r="CD587" s="500"/>
      <c r="CE587" s="500"/>
      <c r="CF587" s="369">
        <f t="shared" si="1669"/>
        <v>-90.045584928000153</v>
      </c>
      <c r="CG587" s="500"/>
      <c r="CH587" s="500"/>
      <c r="CI587" s="500"/>
      <c r="CJ587" s="501"/>
      <c r="CK587" s="500"/>
      <c r="CL587" s="500"/>
      <c r="CM587" s="369">
        <f t="shared" si="1669"/>
        <v>-61.656260140799986</v>
      </c>
      <c r="CN587" s="500"/>
      <c r="CO587" s="500"/>
      <c r="CP587" s="500"/>
      <c r="CQ587" s="501"/>
      <c r="CR587" s="500"/>
      <c r="CS587" s="500"/>
      <c r="CT587" s="369">
        <f>CT565+CT259</f>
        <v>40.856577038783598</v>
      </c>
      <c r="CU587" s="500"/>
      <c r="CV587" s="500"/>
      <c r="CW587" s="500"/>
      <c r="CX587" s="501"/>
      <c r="CY587" s="500"/>
      <c r="CZ587" s="500"/>
      <c r="DA587" s="369">
        <f>DA565+DA259</f>
        <v>141.88403755843137</v>
      </c>
      <c r="DB587" s="500"/>
      <c r="DC587" s="500"/>
      <c r="DD587" s="500"/>
      <c r="DE587" s="501"/>
      <c r="DF587" s="500"/>
      <c r="DG587" s="500"/>
      <c r="DH587" s="369">
        <f>DH565+DH259</f>
        <v>268.39242751185975</v>
      </c>
      <c r="DI587" s="500"/>
      <c r="DJ587" s="500"/>
      <c r="DK587" s="500"/>
      <c r="DL587" s="501"/>
      <c r="DM587" s="500"/>
      <c r="DN587" s="500"/>
      <c r="DO587" s="369">
        <f>DO565+DO259</f>
        <v>337.0330905323367</v>
      </c>
      <c r="DP587" s="500"/>
      <c r="DQ587" s="500"/>
      <c r="DR587" s="500"/>
      <c r="DS587" s="501"/>
      <c r="DT587" s="500"/>
      <c r="DU587" s="500"/>
      <c r="DV587" s="369">
        <f>DV565+DV259</f>
        <v>440.7354959707086</v>
      </c>
      <c r="DW587" s="500"/>
      <c r="DX587" s="500"/>
      <c r="DY587" s="500"/>
      <c r="DZ587" s="501"/>
      <c r="EA587" s="500"/>
      <c r="EB587" s="500"/>
      <c r="EC587" s="369">
        <f>EC565+EC259</f>
        <v>547.03046154504</v>
      </c>
      <c r="ED587" s="500"/>
      <c r="EE587" s="500"/>
      <c r="EF587" s="500"/>
      <c r="EG587" s="501"/>
      <c r="EH587" s="500"/>
      <c r="EI587" s="500"/>
      <c r="EJ587" s="369">
        <f>EJ565+EJ259</f>
        <v>655.98280125872998</v>
      </c>
      <c r="EK587" s="500"/>
      <c r="EL587" s="500"/>
      <c r="EM587" s="500"/>
      <c r="EN587" s="501"/>
      <c r="EO587" s="500"/>
      <c r="EP587" s="500"/>
      <c r="EQ587" s="369">
        <f>EQ565+EQ259</f>
        <v>913.24943988108771</v>
      </c>
    </row>
    <row r="588" spans="1:147" ht="10.199999999999999" hidden="1" customHeight="1" outlineLevel="1">
      <c r="A588" s="48" t="s">
        <v>381</v>
      </c>
      <c r="B588" s="48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3"/>
      <c r="O588" s="298"/>
      <c r="P588" s="298"/>
      <c r="Q588" s="298"/>
      <c r="R588" s="337"/>
      <c r="S588" s="298"/>
      <c r="T588" s="298"/>
      <c r="U588" s="367"/>
      <c r="V588" s="298"/>
      <c r="W588" s="298"/>
      <c r="X588" s="298"/>
      <c r="Y588" s="337"/>
      <c r="Z588" s="298"/>
      <c r="AA588" s="298"/>
      <c r="AB588" s="367"/>
      <c r="AC588" s="298"/>
      <c r="AD588" s="298"/>
      <c r="AE588" s="298"/>
      <c r="AF588" s="337"/>
      <c r="AG588" s="298"/>
      <c r="AH588" s="298"/>
      <c r="AI588" s="367"/>
      <c r="AJ588" s="298"/>
      <c r="AK588" s="298"/>
      <c r="AL588" s="298"/>
      <c r="AM588" s="337"/>
      <c r="AN588" s="298"/>
      <c r="AO588" s="298"/>
      <c r="AP588" s="367"/>
      <c r="AQ588" s="298"/>
      <c r="AR588" s="298"/>
      <c r="AS588" s="298"/>
      <c r="AT588" s="337"/>
      <c r="AU588" s="298"/>
      <c r="AV588" s="298"/>
      <c r="AW588" s="367">
        <f t="shared" ref="AW588:CM588" si="1670">AW586+AW587</f>
        <v>0</v>
      </c>
      <c r="AX588" s="298"/>
      <c r="AY588" s="298"/>
      <c r="AZ588" s="298"/>
      <c r="BA588" s="337"/>
      <c r="BB588" s="298"/>
      <c r="BC588" s="298"/>
      <c r="BD588" s="367">
        <f t="shared" si="1670"/>
        <v>0</v>
      </c>
      <c r="BE588" s="298"/>
      <c r="BF588" s="298"/>
      <c r="BG588" s="298"/>
      <c r="BH588" s="337"/>
      <c r="BI588" s="298"/>
      <c r="BJ588" s="298"/>
      <c r="BK588" s="367">
        <f t="shared" si="1670"/>
        <v>30.232800000000001</v>
      </c>
      <c r="BL588" s="298"/>
      <c r="BM588" s="298"/>
      <c r="BN588" s="298"/>
      <c r="BO588" s="337"/>
      <c r="BP588" s="298"/>
      <c r="BQ588" s="298"/>
      <c r="BR588" s="367">
        <f t="shared" si="1670"/>
        <v>376.96744799999942</v>
      </c>
      <c r="BS588" s="298"/>
      <c r="BT588" s="298"/>
      <c r="BU588" s="298"/>
      <c r="BV588" s="337"/>
      <c r="BW588" s="298"/>
      <c r="BX588" s="298"/>
      <c r="BY588" s="367">
        <f t="shared" si="1670"/>
        <v>-403.00391160000015</v>
      </c>
      <c r="BZ588" s="298"/>
      <c r="CA588" s="298"/>
      <c r="CB588" s="298"/>
      <c r="CC588" s="337"/>
      <c r="CD588" s="298"/>
      <c r="CE588" s="298"/>
      <c r="CF588" s="367">
        <f t="shared" si="1670"/>
        <v>-112.46580518400017</v>
      </c>
      <c r="CG588" s="298"/>
      <c r="CH588" s="298"/>
      <c r="CI588" s="298"/>
      <c r="CJ588" s="337"/>
      <c r="CK588" s="298"/>
      <c r="CL588" s="298"/>
      <c r="CM588" s="367">
        <f t="shared" si="1670"/>
        <v>-118.31522776992</v>
      </c>
      <c r="CN588" s="298"/>
      <c r="CO588" s="298"/>
      <c r="CP588" s="298"/>
      <c r="CQ588" s="337"/>
      <c r="CR588" s="298"/>
      <c r="CS588" s="298"/>
      <c r="CT588" s="367">
        <f>CT586+CT587</f>
        <v>40.856577038783598</v>
      </c>
      <c r="CU588" s="298"/>
      <c r="CV588" s="298"/>
      <c r="CW588" s="298"/>
      <c r="CX588" s="337"/>
      <c r="CY588" s="298"/>
      <c r="CZ588" s="298"/>
      <c r="DA588" s="367">
        <f>DA586+DA587</f>
        <v>141.88403755843137</v>
      </c>
      <c r="DB588" s="298"/>
      <c r="DC588" s="298"/>
      <c r="DD588" s="298"/>
      <c r="DE588" s="337"/>
      <c r="DF588" s="298"/>
      <c r="DG588" s="298"/>
      <c r="DH588" s="367">
        <f>DH586+DH587</f>
        <v>259.34084449237639</v>
      </c>
      <c r="DI588" s="298"/>
      <c r="DJ588" s="298"/>
      <c r="DK588" s="298"/>
      <c r="DL588" s="337"/>
      <c r="DM588" s="298"/>
      <c r="DN588" s="298"/>
      <c r="DO588" s="367">
        <f>DO586+DO587</f>
        <v>313.06319714211872</v>
      </c>
      <c r="DP588" s="298"/>
      <c r="DQ588" s="298"/>
      <c r="DR588" s="298"/>
      <c r="DS588" s="337"/>
      <c r="DT588" s="298"/>
      <c r="DU588" s="298"/>
      <c r="DV588" s="367">
        <f>DV586+DV587</f>
        <v>429.30795223539917</v>
      </c>
      <c r="DW588" s="298"/>
      <c r="DX588" s="298"/>
      <c r="DY588" s="298"/>
      <c r="DZ588" s="337"/>
      <c r="EA588" s="298"/>
      <c r="EB588" s="298"/>
      <c r="EC588" s="367">
        <f>EC586+EC587</f>
        <v>548.45882620601174</v>
      </c>
      <c r="ED588" s="298"/>
      <c r="EE588" s="298"/>
      <c r="EF588" s="298"/>
      <c r="EG588" s="337"/>
      <c r="EH588" s="298"/>
      <c r="EI588" s="298"/>
      <c r="EJ588" s="367">
        <f>EJ586+EJ587</f>
        <v>670.58847202589004</v>
      </c>
      <c r="EK588" s="298"/>
      <c r="EL588" s="298"/>
      <c r="EM588" s="298"/>
      <c r="EN588" s="337"/>
      <c r="EO588" s="298"/>
      <c r="EP588" s="298"/>
      <c r="EQ588" s="367">
        <f>EQ586+EQ587</f>
        <v>941.36184940709063</v>
      </c>
    </row>
    <row r="589" spans="1:147" ht="10.199999999999999" hidden="1" customHeight="1" outlineLevel="1">
      <c r="A589" s="108" t="s">
        <v>371</v>
      </c>
      <c r="B589" s="48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3"/>
      <c r="O589" s="500"/>
      <c r="P589" s="500"/>
      <c r="Q589" s="500"/>
      <c r="R589" s="501"/>
      <c r="S589" s="500"/>
      <c r="T589" s="500"/>
      <c r="U589" s="369"/>
      <c r="V589" s="500"/>
      <c r="W589" s="500"/>
      <c r="X589" s="500"/>
      <c r="Y589" s="501"/>
      <c r="Z589" s="500"/>
      <c r="AA589" s="500"/>
      <c r="AB589" s="369"/>
      <c r="AC589" s="500"/>
      <c r="AD589" s="500"/>
      <c r="AE589" s="500"/>
      <c r="AF589" s="501"/>
      <c r="AG589" s="500"/>
      <c r="AH589" s="500"/>
      <c r="AI589" s="369"/>
      <c r="AJ589" s="500"/>
      <c r="AK589" s="500"/>
      <c r="AL589" s="500"/>
      <c r="AM589" s="501"/>
      <c r="AN589" s="500"/>
      <c r="AO589" s="500"/>
      <c r="AP589" s="369"/>
      <c r="AQ589" s="500"/>
      <c r="AR589" s="500"/>
      <c r="AS589" s="500"/>
      <c r="AT589" s="501"/>
      <c r="AU589" s="500"/>
      <c r="AV589" s="500"/>
      <c r="AW589" s="369"/>
      <c r="AX589" s="500"/>
      <c r="AY589" s="500"/>
      <c r="AZ589" s="500"/>
      <c r="BA589" s="501"/>
      <c r="BB589" s="500"/>
      <c r="BC589" s="500"/>
      <c r="BD589" s="369"/>
      <c r="BE589" s="500"/>
      <c r="BF589" s="500"/>
      <c r="BG589" s="500"/>
      <c r="BH589" s="501"/>
      <c r="BI589" s="500"/>
      <c r="BJ589" s="500"/>
      <c r="BK589" s="369"/>
      <c r="BL589" s="500"/>
      <c r="BM589" s="500"/>
      <c r="BN589" s="500"/>
      <c r="BO589" s="501"/>
      <c r="BP589" s="500"/>
      <c r="BQ589" s="500"/>
      <c r="BR589" s="369"/>
      <c r="BS589" s="500"/>
      <c r="BT589" s="500"/>
      <c r="BU589" s="500"/>
      <c r="BV589" s="501"/>
      <c r="BW589" s="500"/>
      <c r="BX589" s="500"/>
      <c r="BY589" s="369">
        <f>BY612*BY265</f>
        <v>0</v>
      </c>
      <c r="BZ589" s="500"/>
      <c r="CA589" s="500"/>
      <c r="CB589" s="500"/>
      <c r="CC589" s="501"/>
      <c r="CD589" s="500"/>
      <c r="CE589" s="500"/>
      <c r="CF589" s="369">
        <f t="shared" ref="CF589:CM591" si="1671">CF567+CF265</f>
        <v>0</v>
      </c>
      <c r="CG589" s="500"/>
      <c r="CH589" s="500"/>
      <c r="CI589" s="500"/>
      <c r="CJ589" s="501"/>
      <c r="CK589" s="500"/>
      <c r="CL589" s="500"/>
      <c r="CM589" s="369">
        <f t="shared" si="1671"/>
        <v>0</v>
      </c>
      <c r="CN589" s="500"/>
      <c r="CO589" s="500"/>
      <c r="CP589" s="500"/>
      <c r="CQ589" s="501"/>
      <c r="CR589" s="500"/>
      <c r="CS589" s="500"/>
      <c r="CT589" s="369">
        <f>CT567+CT265</f>
        <v>0</v>
      </c>
      <c r="CU589" s="500"/>
      <c r="CV589" s="500"/>
      <c r="CW589" s="500"/>
      <c r="CX589" s="501"/>
      <c r="CY589" s="500"/>
      <c r="CZ589" s="500"/>
      <c r="DA589" s="369">
        <f>DA567+DA265</f>
        <v>0</v>
      </c>
      <c r="DB589" s="500"/>
      <c r="DC589" s="500"/>
      <c r="DD589" s="500"/>
      <c r="DE589" s="501"/>
      <c r="DF589" s="500"/>
      <c r="DG589" s="500"/>
      <c r="DH589" s="369">
        <f>DH567+DH265</f>
        <v>0</v>
      </c>
      <c r="DI589" s="500"/>
      <c r="DJ589" s="500"/>
      <c r="DK589" s="500"/>
      <c r="DL589" s="501"/>
      <c r="DM589" s="500"/>
      <c r="DN589" s="500"/>
      <c r="DO589" s="369">
        <f>DO567+DO265</f>
        <v>0</v>
      </c>
      <c r="DP589" s="500"/>
      <c r="DQ589" s="500"/>
      <c r="DR589" s="500"/>
      <c r="DS589" s="501"/>
      <c r="DT589" s="500"/>
      <c r="DU589" s="500"/>
      <c r="DV589" s="369">
        <f>DV567+DV265</f>
        <v>0</v>
      </c>
      <c r="DW589" s="500"/>
      <c r="DX589" s="500"/>
      <c r="DY589" s="500"/>
      <c r="DZ589" s="501"/>
      <c r="EA589" s="500"/>
      <c r="EB589" s="500"/>
      <c r="EC589" s="369">
        <f>EC567+EC265</f>
        <v>0</v>
      </c>
      <c r="ED589" s="500"/>
      <c r="EE589" s="500"/>
      <c r="EF589" s="500"/>
      <c r="EG589" s="501"/>
      <c r="EH589" s="500"/>
      <c r="EI589" s="500"/>
      <c r="EJ589" s="369">
        <f>EJ567+EJ265</f>
        <v>0</v>
      </c>
      <c r="EK589" s="500"/>
      <c r="EL589" s="500"/>
      <c r="EM589" s="500"/>
      <c r="EN589" s="501"/>
      <c r="EO589" s="500"/>
      <c r="EP589" s="500"/>
      <c r="EQ589" s="369">
        <f>EQ567+EQ265</f>
        <v>0</v>
      </c>
    </row>
    <row r="590" spans="1:147" ht="10.199999999999999" hidden="1" customHeight="1" outlineLevel="1">
      <c r="A590" s="108" t="s">
        <v>369</v>
      </c>
      <c r="B590" s="48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3"/>
      <c r="O590" s="500"/>
      <c r="P590" s="500"/>
      <c r="Q590" s="500"/>
      <c r="R590" s="501"/>
      <c r="S590" s="500"/>
      <c r="T590" s="500"/>
      <c r="U590" s="369"/>
      <c r="V590" s="500"/>
      <c r="W590" s="500"/>
      <c r="X590" s="500"/>
      <c r="Y590" s="501"/>
      <c r="Z590" s="500"/>
      <c r="AA590" s="500"/>
      <c r="AB590" s="369"/>
      <c r="AC590" s="500"/>
      <c r="AD590" s="500"/>
      <c r="AE590" s="500"/>
      <c r="AF590" s="501"/>
      <c r="AG590" s="500"/>
      <c r="AH590" s="500"/>
      <c r="AI590" s="369">
        <f>AI266*$AI$613</f>
        <v>-1536.1919999999998</v>
      </c>
      <c r="AJ590" s="500"/>
      <c r="AK590" s="500"/>
      <c r="AL590" s="500"/>
      <c r="AM590" s="501"/>
      <c r="AN590" s="500"/>
      <c r="AO590" s="500"/>
      <c r="AP590" s="369">
        <f t="shared" ref="AP590:BY590" si="1672">AP568+AP266</f>
        <v>-1570.983119999999</v>
      </c>
      <c r="AQ590" s="500"/>
      <c r="AR590" s="500"/>
      <c r="AS590" s="500"/>
      <c r="AT590" s="501"/>
      <c r="AU590" s="500"/>
      <c r="AV590" s="500"/>
      <c r="AW590" s="369">
        <f t="shared" si="1672"/>
        <v>-1308.5199703679991</v>
      </c>
      <c r="AX590" s="500"/>
      <c r="AY590" s="500"/>
      <c r="AZ590" s="500"/>
      <c r="BA590" s="501"/>
      <c r="BB590" s="500"/>
      <c r="BC590" s="500"/>
      <c r="BD590" s="369">
        <f t="shared" si="1672"/>
        <v>-2210.1999703679994</v>
      </c>
      <c r="BE590" s="500"/>
      <c r="BF590" s="500"/>
      <c r="BG590" s="500"/>
      <c r="BH590" s="501"/>
      <c r="BI590" s="500"/>
      <c r="BJ590" s="500"/>
      <c r="BK590" s="369">
        <f t="shared" si="1672"/>
        <v>-230.20313604144212</v>
      </c>
      <c r="BL590" s="500"/>
      <c r="BM590" s="500"/>
      <c r="BN590" s="500"/>
      <c r="BO590" s="501"/>
      <c r="BP590" s="500"/>
      <c r="BQ590" s="500"/>
      <c r="BR590" s="369">
        <f t="shared" si="1672"/>
        <v>248.60385090008276</v>
      </c>
      <c r="BS590" s="500"/>
      <c r="BT590" s="500"/>
      <c r="BU590" s="500"/>
      <c r="BV590" s="501"/>
      <c r="BW590" s="500"/>
      <c r="BX590" s="500"/>
      <c r="BY590" s="369">
        <f t="shared" si="1672"/>
        <v>-383.02474138443449</v>
      </c>
      <c r="BZ590" s="500"/>
      <c r="CA590" s="500"/>
      <c r="CB590" s="500"/>
      <c r="CC590" s="501"/>
      <c r="CD590" s="500"/>
      <c r="CE590" s="500"/>
      <c r="CF590" s="369">
        <f t="shared" si="1671"/>
        <v>-40.488430111157868</v>
      </c>
      <c r="CG590" s="500"/>
      <c r="CH590" s="500"/>
      <c r="CI590" s="500"/>
      <c r="CJ590" s="501"/>
      <c r="CK590" s="500"/>
      <c r="CL590" s="500"/>
      <c r="CM590" s="369">
        <f t="shared" si="1671"/>
        <v>-471.5959785752857</v>
      </c>
      <c r="CN590" s="500"/>
      <c r="CO590" s="500"/>
      <c r="CP590" s="500"/>
      <c r="CQ590" s="501"/>
      <c r="CR590" s="500"/>
      <c r="CS590" s="500"/>
      <c r="CT590" s="369">
        <f>CT568+CT266</f>
        <v>-386.3775588185681</v>
      </c>
      <c r="CU590" s="500"/>
      <c r="CV590" s="500"/>
      <c r="CW590" s="500"/>
      <c r="CX590" s="501"/>
      <c r="CY590" s="500"/>
      <c r="CZ590" s="500"/>
      <c r="DA590" s="369">
        <f>DA568+DA266</f>
        <v>-300.22601055807991</v>
      </c>
      <c r="DB590" s="500"/>
      <c r="DC590" s="500"/>
      <c r="DD590" s="500"/>
      <c r="DE590" s="501"/>
      <c r="DF590" s="500"/>
      <c r="DG590" s="500"/>
      <c r="DH590" s="369">
        <f>DH568+DH266</f>
        <v>-259.7812618369444</v>
      </c>
      <c r="DI590" s="500"/>
      <c r="DJ590" s="500"/>
      <c r="DK590" s="500"/>
      <c r="DL590" s="501"/>
      <c r="DM590" s="500"/>
      <c r="DN590" s="500"/>
      <c r="DO590" s="369">
        <f>DO568+DO266</f>
        <v>-297.8150724488678</v>
      </c>
      <c r="DP590" s="500"/>
      <c r="DQ590" s="500"/>
      <c r="DR590" s="500"/>
      <c r="DS590" s="501"/>
      <c r="DT590" s="500"/>
      <c r="DU590" s="500"/>
      <c r="DV590" s="369">
        <f>DV568+DV266</f>
        <v>-317.57017091046328</v>
      </c>
      <c r="DW590" s="500"/>
      <c r="DX590" s="500"/>
      <c r="DY590" s="500"/>
      <c r="DZ590" s="501"/>
      <c r="EA590" s="500"/>
      <c r="EB590" s="500"/>
      <c r="EC590" s="369">
        <f>EC568+EC266</f>
        <v>-302.48209436360594</v>
      </c>
      <c r="ED590" s="500"/>
      <c r="EE590" s="500"/>
      <c r="EF590" s="500"/>
      <c r="EG590" s="501"/>
      <c r="EH590" s="500"/>
      <c r="EI590" s="500"/>
      <c r="EJ590" s="369">
        <f>EJ568+EJ266</f>
        <v>-272.28201952869313</v>
      </c>
      <c r="EK590" s="500"/>
      <c r="EL590" s="500"/>
      <c r="EM590" s="500"/>
      <c r="EN590" s="501"/>
      <c r="EO590" s="500"/>
      <c r="EP590" s="500"/>
      <c r="EQ590" s="369">
        <f>EQ568+EQ266</f>
        <v>-205.43336365045798</v>
      </c>
    </row>
    <row r="591" spans="1:147" ht="10.199999999999999" hidden="1" customHeight="1" outlineLevel="1">
      <c r="A591" s="108" t="s">
        <v>370</v>
      </c>
      <c r="B591" s="48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3"/>
      <c r="O591" s="500"/>
      <c r="P591" s="500"/>
      <c r="Q591" s="500"/>
      <c r="R591" s="501"/>
      <c r="S591" s="500"/>
      <c r="T591" s="500"/>
      <c r="U591" s="369"/>
      <c r="V591" s="500"/>
      <c r="W591" s="500"/>
      <c r="X591" s="500"/>
      <c r="Y591" s="501"/>
      <c r="Z591" s="500"/>
      <c r="AA591" s="500"/>
      <c r="AB591" s="369"/>
      <c r="AC591" s="500"/>
      <c r="AD591" s="500"/>
      <c r="AE591" s="500"/>
      <c r="AF591" s="501"/>
      <c r="AG591" s="500"/>
      <c r="AH591" s="500"/>
      <c r="AI591" s="369"/>
      <c r="AJ591" s="500"/>
      <c r="AK591" s="500"/>
      <c r="AL591" s="500"/>
      <c r="AM591" s="501"/>
      <c r="AN591" s="500"/>
      <c r="AO591" s="500"/>
      <c r="AP591" s="369"/>
      <c r="AQ591" s="500"/>
      <c r="AR591" s="500"/>
      <c r="AS591" s="500"/>
      <c r="AT591" s="501"/>
      <c r="AU591" s="500"/>
      <c r="AV591" s="500"/>
      <c r="AW591" s="369">
        <f>AW614*AW267</f>
        <v>0</v>
      </c>
      <c r="AX591" s="500"/>
      <c r="AY591" s="500"/>
      <c r="AZ591" s="500"/>
      <c r="BA591" s="501"/>
      <c r="BB591" s="500"/>
      <c r="BC591" s="500"/>
      <c r="BD591" s="369">
        <f>BD614*BD267</f>
        <v>0</v>
      </c>
      <c r="BE591" s="500"/>
      <c r="BF591" s="500"/>
      <c r="BG591" s="500"/>
      <c r="BH591" s="501"/>
      <c r="BI591" s="500"/>
      <c r="BJ591" s="500"/>
      <c r="BK591" s="369">
        <f>BK614*BK267</f>
        <v>-47.106326363277567</v>
      </c>
      <c r="BL591" s="500"/>
      <c r="BM591" s="500"/>
      <c r="BN591" s="500"/>
      <c r="BO591" s="501"/>
      <c r="BP591" s="500"/>
      <c r="BQ591" s="500"/>
      <c r="BR591" s="369">
        <f>BR569+BR267</f>
        <v>82.488928864264381</v>
      </c>
      <c r="BS591" s="500"/>
      <c r="BT591" s="500"/>
      <c r="BU591" s="500"/>
      <c r="BV591" s="501"/>
      <c r="BW591" s="500"/>
      <c r="BX591" s="500"/>
      <c r="BY591" s="369">
        <f>BY569+BY267</f>
        <v>-137.59713981961386</v>
      </c>
      <c r="BZ591" s="500"/>
      <c r="CA591" s="500"/>
      <c r="CB591" s="500"/>
      <c r="CC591" s="501"/>
      <c r="CD591" s="500"/>
      <c r="CE591" s="500"/>
      <c r="CF591" s="369">
        <f t="shared" si="1671"/>
        <v>-5.7247056964392868</v>
      </c>
      <c r="CG591" s="500"/>
      <c r="CH591" s="500"/>
      <c r="CI591" s="500"/>
      <c r="CJ591" s="501"/>
      <c r="CK591" s="500"/>
      <c r="CL591" s="500"/>
      <c r="CM591" s="369">
        <f t="shared" si="1671"/>
        <v>-108.90984634394658</v>
      </c>
      <c r="CN591" s="500"/>
      <c r="CO591" s="500"/>
      <c r="CP591" s="500"/>
      <c r="CQ591" s="501"/>
      <c r="CR591" s="500"/>
      <c r="CS591" s="500"/>
      <c r="CT591" s="369">
        <f>CT569+CT267</f>
        <v>-102.95723084703059</v>
      </c>
      <c r="CU591" s="500"/>
      <c r="CV591" s="500"/>
      <c r="CW591" s="500"/>
      <c r="CX591" s="501"/>
      <c r="CY591" s="500"/>
      <c r="CZ591" s="500"/>
      <c r="DA591" s="369">
        <f>DA569+DA267</f>
        <v>-102.42501770808121</v>
      </c>
      <c r="DB591" s="500"/>
      <c r="DC591" s="500"/>
      <c r="DD591" s="500"/>
      <c r="DE591" s="501"/>
      <c r="DF591" s="500"/>
      <c r="DG591" s="500"/>
      <c r="DH591" s="369">
        <f>DH569+DH267</f>
        <v>-107.13141649027875</v>
      </c>
      <c r="DI591" s="500"/>
      <c r="DJ591" s="500"/>
      <c r="DK591" s="500"/>
      <c r="DL591" s="501"/>
      <c r="DM591" s="500"/>
      <c r="DN591" s="500"/>
      <c r="DO591" s="369">
        <f>DO569+DO267</f>
        <v>-114.62846466342262</v>
      </c>
      <c r="DP591" s="500"/>
      <c r="DQ591" s="500"/>
      <c r="DR591" s="500"/>
      <c r="DS591" s="501"/>
      <c r="DT591" s="500"/>
      <c r="DU591" s="500"/>
      <c r="DV591" s="369">
        <f>DV569+DV267</f>
        <v>-122.23216513199441</v>
      </c>
      <c r="DW591" s="500"/>
      <c r="DX591" s="500"/>
      <c r="DY591" s="500"/>
      <c r="DZ591" s="501"/>
      <c r="EA591" s="500"/>
      <c r="EB591" s="500"/>
      <c r="EC591" s="369">
        <f>EC569+EC267</f>
        <v>-116.42479267408271</v>
      </c>
      <c r="ED591" s="500"/>
      <c r="EE591" s="500"/>
      <c r="EF591" s="500"/>
      <c r="EG591" s="501"/>
      <c r="EH591" s="500"/>
      <c r="EI591" s="500"/>
      <c r="EJ591" s="369">
        <f>EJ569+EJ267</f>
        <v>-104.80084032479135</v>
      </c>
      <c r="EK591" s="500"/>
      <c r="EL591" s="500"/>
      <c r="EM591" s="500"/>
      <c r="EN591" s="501"/>
      <c r="EO591" s="500"/>
      <c r="EP591" s="500"/>
      <c r="EQ591" s="369">
        <f>EQ569+EQ267</f>
        <v>-79.070917641139204</v>
      </c>
    </row>
    <row r="592" spans="1:147" ht="10.199999999999999" hidden="1" customHeight="1" outlineLevel="1">
      <c r="A592" s="48" t="s">
        <v>238</v>
      </c>
      <c r="B592" s="48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3"/>
      <c r="O592" s="298"/>
      <c r="P592" s="298"/>
      <c r="Q592" s="298"/>
      <c r="R592" s="337"/>
      <c r="S592" s="298"/>
      <c r="T592" s="298"/>
      <c r="U592" s="367"/>
      <c r="V592" s="298"/>
      <c r="W592" s="298"/>
      <c r="X592" s="298"/>
      <c r="Y592" s="337"/>
      <c r="Z592" s="298"/>
      <c r="AA592" s="298"/>
      <c r="AB592" s="367"/>
      <c r="AC592" s="298"/>
      <c r="AD592" s="298"/>
      <c r="AE592" s="298"/>
      <c r="AF592" s="337"/>
      <c r="AG592" s="298"/>
      <c r="AH592" s="298"/>
      <c r="AI592" s="367">
        <f t="shared" ref="AI592:CM592" si="1673">AI590+AI591+AI589</f>
        <v>-1536.1919999999998</v>
      </c>
      <c r="AJ592" s="298"/>
      <c r="AK592" s="298"/>
      <c r="AL592" s="298"/>
      <c r="AM592" s="337"/>
      <c r="AN592" s="298"/>
      <c r="AO592" s="298"/>
      <c r="AP592" s="367">
        <f t="shared" si="1673"/>
        <v>-1570.983119999999</v>
      </c>
      <c r="AQ592" s="298"/>
      <c r="AR592" s="298"/>
      <c r="AS592" s="298"/>
      <c r="AT592" s="337"/>
      <c r="AU592" s="298"/>
      <c r="AV592" s="298"/>
      <c r="AW592" s="367">
        <f t="shared" si="1673"/>
        <v>-1308.5199703679991</v>
      </c>
      <c r="AX592" s="298"/>
      <c r="AY592" s="298"/>
      <c r="AZ592" s="298"/>
      <c r="BA592" s="337"/>
      <c r="BB592" s="298"/>
      <c r="BC592" s="298"/>
      <c r="BD592" s="367">
        <f t="shared" si="1673"/>
        <v>-2210.1999703679994</v>
      </c>
      <c r="BE592" s="298"/>
      <c r="BF592" s="298"/>
      <c r="BG592" s="298"/>
      <c r="BH592" s="337"/>
      <c r="BI592" s="298"/>
      <c r="BJ592" s="298"/>
      <c r="BK592" s="367">
        <f t="shared" si="1673"/>
        <v>-277.30946240471968</v>
      </c>
      <c r="BL592" s="298"/>
      <c r="BM592" s="298"/>
      <c r="BN592" s="298"/>
      <c r="BO592" s="337"/>
      <c r="BP592" s="298"/>
      <c r="BQ592" s="298"/>
      <c r="BR592" s="367">
        <f t="shared" si="1673"/>
        <v>331.09277976434714</v>
      </c>
      <c r="BS592" s="298"/>
      <c r="BT592" s="298"/>
      <c r="BU592" s="298"/>
      <c r="BV592" s="337"/>
      <c r="BW592" s="298"/>
      <c r="BX592" s="298"/>
      <c r="BY592" s="367">
        <f t="shared" si="1673"/>
        <v>-520.62188120404835</v>
      </c>
      <c r="BZ592" s="298"/>
      <c r="CA592" s="298"/>
      <c r="CB592" s="298"/>
      <c r="CC592" s="337"/>
      <c r="CD592" s="298"/>
      <c r="CE592" s="298"/>
      <c r="CF592" s="367">
        <f t="shared" si="1673"/>
        <v>-46.213135807597155</v>
      </c>
      <c r="CG592" s="298"/>
      <c r="CH592" s="298"/>
      <c r="CI592" s="298"/>
      <c r="CJ592" s="337"/>
      <c r="CK592" s="298"/>
      <c r="CL592" s="298"/>
      <c r="CM592" s="367">
        <f t="shared" si="1673"/>
        <v>-580.50582491923228</v>
      </c>
      <c r="CN592" s="298"/>
      <c r="CO592" s="298"/>
      <c r="CP592" s="298"/>
      <c r="CQ592" s="337"/>
      <c r="CR592" s="298"/>
      <c r="CS592" s="298"/>
      <c r="CT592" s="367">
        <f>CT590+CT591+CT589</f>
        <v>-489.33478966559869</v>
      </c>
      <c r="CU592" s="298"/>
      <c r="CV592" s="298"/>
      <c r="CW592" s="298"/>
      <c r="CX592" s="337"/>
      <c r="CY592" s="298"/>
      <c r="CZ592" s="298"/>
      <c r="DA592" s="367">
        <f>DA590+DA591+DA589</f>
        <v>-402.65102826616112</v>
      </c>
      <c r="DB592" s="298"/>
      <c r="DC592" s="298"/>
      <c r="DD592" s="298"/>
      <c r="DE592" s="337"/>
      <c r="DF592" s="298"/>
      <c r="DG592" s="298"/>
      <c r="DH592" s="367">
        <f>DH590+DH591+DH589</f>
        <v>-366.91267832722315</v>
      </c>
      <c r="DI592" s="298"/>
      <c r="DJ592" s="298"/>
      <c r="DK592" s="298"/>
      <c r="DL592" s="337"/>
      <c r="DM592" s="298"/>
      <c r="DN592" s="298"/>
      <c r="DO592" s="367">
        <f>DO590+DO591+DO589</f>
        <v>-412.44353711229041</v>
      </c>
      <c r="DP592" s="298"/>
      <c r="DQ592" s="298"/>
      <c r="DR592" s="298"/>
      <c r="DS592" s="337"/>
      <c r="DT592" s="298"/>
      <c r="DU592" s="298"/>
      <c r="DV592" s="367">
        <f>DV590+DV591+DV589</f>
        <v>-439.80233604245768</v>
      </c>
      <c r="DW592" s="298"/>
      <c r="DX592" s="298"/>
      <c r="DY592" s="298"/>
      <c r="DZ592" s="337"/>
      <c r="EA592" s="298"/>
      <c r="EB592" s="298"/>
      <c r="EC592" s="367">
        <f>EC590+EC591+EC589</f>
        <v>-418.90688703768865</v>
      </c>
      <c r="ED592" s="298"/>
      <c r="EE592" s="298"/>
      <c r="EF592" s="298"/>
      <c r="EG592" s="337"/>
      <c r="EH592" s="298"/>
      <c r="EI592" s="298"/>
      <c r="EJ592" s="367">
        <f>EJ590+EJ591+EJ589</f>
        <v>-377.08285985348448</v>
      </c>
      <c r="EK592" s="298"/>
      <c r="EL592" s="298"/>
      <c r="EM592" s="298"/>
      <c r="EN592" s="337"/>
      <c r="EO592" s="298"/>
      <c r="EP592" s="298"/>
      <c r="EQ592" s="367">
        <f>EQ590+EQ591+EQ589</f>
        <v>-284.50428129159718</v>
      </c>
    </row>
    <row r="593" spans="1:147" ht="10.199999999999999" hidden="1" customHeight="1" outlineLevel="1">
      <c r="A593" s="48" t="s">
        <v>133</v>
      </c>
      <c r="B593" s="48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3"/>
      <c r="O593" s="298"/>
      <c r="P593" s="298"/>
      <c r="Q593" s="298"/>
      <c r="R593" s="337"/>
      <c r="S593" s="298"/>
      <c r="T593" s="298"/>
      <c r="U593" s="367"/>
      <c r="V593" s="298"/>
      <c r="W593" s="298"/>
      <c r="X593" s="298"/>
      <c r="Y593" s="337"/>
      <c r="Z593" s="298"/>
      <c r="AA593" s="298"/>
      <c r="AB593" s="367"/>
      <c r="AC593" s="298"/>
      <c r="AD593" s="298"/>
      <c r="AE593" s="298"/>
      <c r="AF593" s="337"/>
      <c r="AG593" s="298"/>
      <c r="AH593" s="298"/>
      <c r="AI593" s="367">
        <f>AI269*AI616</f>
        <v>0</v>
      </c>
      <c r="AJ593" s="298"/>
      <c r="AK593" s="298"/>
      <c r="AL593" s="298"/>
      <c r="AM593" s="337"/>
      <c r="AN593" s="298"/>
      <c r="AO593" s="298"/>
      <c r="AP593" s="367">
        <f t="shared" ref="AP593:CM593" si="1674">AP571+AP269</f>
        <v>-68.16212573329085</v>
      </c>
      <c r="AQ593" s="298"/>
      <c r="AR593" s="298"/>
      <c r="AS593" s="298"/>
      <c r="AT593" s="337"/>
      <c r="AU593" s="298"/>
      <c r="AV593" s="298"/>
      <c r="AW593" s="367">
        <f t="shared" si="1674"/>
        <v>-238.61923298997681</v>
      </c>
      <c r="AX593" s="298"/>
      <c r="AY593" s="298"/>
      <c r="AZ593" s="298"/>
      <c r="BA593" s="337"/>
      <c r="BB593" s="298"/>
      <c r="BC593" s="298"/>
      <c r="BD593" s="367">
        <f t="shared" si="1674"/>
        <v>-116.29423298997699</v>
      </c>
      <c r="BE593" s="298"/>
      <c r="BF593" s="298"/>
      <c r="BG593" s="298"/>
      <c r="BH593" s="337"/>
      <c r="BI593" s="298"/>
      <c r="BJ593" s="298"/>
      <c r="BK593" s="367">
        <f t="shared" si="1674"/>
        <v>-40.835386391981046</v>
      </c>
      <c r="BL593" s="298"/>
      <c r="BM593" s="298"/>
      <c r="BN593" s="298"/>
      <c r="BO593" s="337"/>
      <c r="BP593" s="298"/>
      <c r="BQ593" s="298"/>
      <c r="BR593" s="367">
        <f t="shared" si="1674"/>
        <v>0</v>
      </c>
      <c r="BS593" s="298"/>
      <c r="BT593" s="298"/>
      <c r="BU593" s="298"/>
      <c r="BV593" s="337"/>
      <c r="BW593" s="298"/>
      <c r="BX593" s="298"/>
      <c r="BY593" s="367">
        <f t="shared" si="1674"/>
        <v>0</v>
      </c>
      <c r="BZ593" s="298"/>
      <c r="CA593" s="298"/>
      <c r="CB593" s="298"/>
      <c r="CC593" s="337"/>
      <c r="CD593" s="298"/>
      <c r="CE593" s="298"/>
      <c r="CF593" s="367">
        <f t="shared" si="1674"/>
        <v>0</v>
      </c>
      <c r="CG593" s="298"/>
      <c r="CH593" s="298"/>
      <c r="CI593" s="298"/>
      <c r="CJ593" s="337"/>
      <c r="CK593" s="298"/>
      <c r="CL593" s="298"/>
      <c r="CM593" s="367">
        <f t="shared" si="1674"/>
        <v>0</v>
      </c>
      <c r="CN593" s="298"/>
      <c r="CO593" s="298"/>
      <c r="CP593" s="298"/>
      <c r="CQ593" s="337"/>
      <c r="CR593" s="298"/>
      <c r="CS593" s="298"/>
      <c r="CT593" s="367">
        <f>CT571+CT269</f>
        <v>0</v>
      </c>
      <c r="CU593" s="298"/>
      <c r="CV593" s="298"/>
      <c r="CW593" s="298"/>
      <c r="CX593" s="337"/>
      <c r="CY593" s="298"/>
      <c r="CZ593" s="298"/>
      <c r="DA593" s="367">
        <f>DA571+DA269</f>
        <v>0</v>
      </c>
      <c r="DB593" s="298"/>
      <c r="DC593" s="298"/>
      <c r="DD593" s="298"/>
      <c r="DE593" s="337"/>
      <c r="DF593" s="298"/>
      <c r="DG593" s="298"/>
      <c r="DH593" s="367">
        <f>DH571+DH269</f>
        <v>0</v>
      </c>
      <c r="DI593" s="298"/>
      <c r="DJ593" s="298"/>
      <c r="DK593" s="298"/>
      <c r="DL593" s="337"/>
      <c r="DM593" s="298"/>
      <c r="DN593" s="298"/>
      <c r="DO593" s="367">
        <f>DO571+DO269</f>
        <v>0</v>
      </c>
      <c r="DP593" s="298"/>
      <c r="DQ593" s="298"/>
      <c r="DR593" s="298"/>
      <c r="DS593" s="337"/>
      <c r="DT593" s="298"/>
      <c r="DU593" s="298"/>
      <c r="DV593" s="367">
        <f>DV571+DV269</f>
        <v>0</v>
      </c>
      <c r="DW593" s="298"/>
      <c r="DX593" s="298"/>
      <c r="DY593" s="298"/>
      <c r="DZ593" s="337"/>
      <c r="EA593" s="298"/>
      <c r="EB593" s="298"/>
      <c r="EC593" s="367">
        <f>EC571+EC269</f>
        <v>0</v>
      </c>
      <c r="ED593" s="298"/>
      <c r="EE593" s="298"/>
      <c r="EF593" s="298"/>
      <c r="EG593" s="337"/>
      <c r="EH593" s="298"/>
      <c r="EI593" s="298"/>
      <c r="EJ593" s="367">
        <f>EJ571+EJ269</f>
        <v>0</v>
      </c>
      <c r="EK593" s="298"/>
      <c r="EL593" s="298"/>
      <c r="EM593" s="298"/>
      <c r="EN593" s="337"/>
      <c r="EO593" s="298"/>
      <c r="EP593" s="298"/>
      <c r="EQ593" s="367">
        <f>EQ571+EQ269</f>
        <v>0</v>
      </c>
    </row>
    <row r="594" spans="1:147" ht="10.199999999999999" hidden="1" customHeight="1" outlineLevel="1">
      <c r="A594" s="48" t="s">
        <v>632</v>
      </c>
      <c r="B594" s="48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3"/>
      <c r="O594" s="298"/>
      <c r="P594" s="298"/>
      <c r="Q594" s="298"/>
      <c r="R594" s="337"/>
      <c r="S594" s="298"/>
      <c r="T594" s="298"/>
      <c r="U594" s="367"/>
      <c r="V594" s="298"/>
      <c r="W594" s="298"/>
      <c r="X594" s="298"/>
      <c r="Y594" s="337"/>
      <c r="Z594" s="298"/>
      <c r="AA594" s="298"/>
      <c r="AB594" s="367"/>
      <c r="AC594" s="298"/>
      <c r="AD594" s="298"/>
      <c r="AE594" s="298"/>
      <c r="AF594" s="337"/>
      <c r="AG594" s="298"/>
      <c r="AH594" s="298"/>
      <c r="AI594" s="367"/>
      <c r="AJ594" s="298"/>
      <c r="AK594" s="298"/>
      <c r="AL594" s="298"/>
      <c r="AM594" s="337"/>
      <c r="AN594" s="298"/>
      <c r="AO594" s="298"/>
      <c r="AP594" s="367"/>
      <c r="AQ594" s="298"/>
      <c r="AR594" s="298"/>
      <c r="AS594" s="298"/>
      <c r="AT594" s="337"/>
      <c r="AU594" s="298"/>
      <c r="AV594" s="298"/>
      <c r="AW594" s="367"/>
      <c r="AX594" s="298"/>
      <c r="AY594" s="298"/>
      <c r="AZ594" s="298"/>
      <c r="BA594" s="337"/>
      <c r="BB594" s="298"/>
      <c r="BC594" s="298"/>
      <c r="BD594" s="367"/>
      <c r="BE594" s="298"/>
      <c r="BF594" s="298"/>
      <c r="BG594" s="298"/>
      <c r="BH594" s="337"/>
      <c r="BI594" s="298"/>
      <c r="BJ594" s="298"/>
      <c r="BK594" s="367">
        <v>-73.878</v>
      </c>
      <c r="BL594" s="298"/>
      <c r="BM594" s="298"/>
      <c r="BN594" s="298"/>
      <c r="BO594" s="337"/>
      <c r="BP594" s="298"/>
      <c r="BQ594" s="298"/>
      <c r="BR594" s="367">
        <v>-267.54367500000006</v>
      </c>
      <c r="BS594" s="298"/>
      <c r="BT594" s="298"/>
      <c r="BU594" s="298"/>
      <c r="BV594" s="337"/>
      <c r="BW594" s="298"/>
      <c r="BX594" s="298"/>
      <c r="BY594" s="367">
        <v>-223.63925850000004</v>
      </c>
      <c r="BZ594" s="298"/>
      <c r="CA594" s="298"/>
      <c r="CB594" s="298"/>
      <c r="CC594" s="337"/>
      <c r="CD594" s="298"/>
      <c r="CE594" s="298"/>
      <c r="CF594" s="367">
        <v>-508.60922490000007</v>
      </c>
      <c r="CG594" s="298"/>
      <c r="CH594" s="298"/>
      <c r="CI594" s="298"/>
      <c r="CJ594" s="337"/>
      <c r="CK594" s="298"/>
      <c r="CL594" s="298"/>
      <c r="CM594" s="367">
        <v>-222.74403573240002</v>
      </c>
      <c r="CN594" s="298"/>
      <c r="CO594" s="298"/>
      <c r="CP594" s="298"/>
      <c r="CQ594" s="337"/>
      <c r="CR594" s="298"/>
      <c r="CS594" s="298"/>
      <c r="CT594" s="367">
        <v>-145.61048235006004</v>
      </c>
      <c r="CU594" s="298"/>
      <c r="CV594" s="298"/>
      <c r="CW594" s="298"/>
      <c r="CX594" s="337"/>
      <c r="CY594" s="298"/>
      <c r="CZ594" s="298"/>
      <c r="DA594" s="367">
        <v>0</v>
      </c>
      <c r="DB594" s="298"/>
      <c r="DC594" s="298"/>
      <c r="DD594" s="298"/>
      <c r="DE594" s="337"/>
      <c r="DF594" s="298"/>
      <c r="DG594" s="298"/>
      <c r="DH594" s="367">
        <v>0</v>
      </c>
      <c r="DI594" s="298"/>
      <c r="DJ594" s="298"/>
      <c r="DK594" s="298"/>
      <c r="DL594" s="337"/>
      <c r="DM594" s="298"/>
      <c r="DN594" s="298"/>
      <c r="DO594" s="367">
        <v>0</v>
      </c>
      <c r="DP594" s="298"/>
      <c r="DQ594" s="298"/>
      <c r="DR594" s="298"/>
      <c r="DS594" s="337"/>
      <c r="DT594" s="298"/>
      <c r="DU594" s="298"/>
      <c r="DV594" s="367">
        <v>0</v>
      </c>
      <c r="DW594" s="298"/>
      <c r="DX594" s="298"/>
      <c r="DY594" s="298"/>
      <c r="DZ594" s="337"/>
      <c r="EA594" s="298"/>
      <c r="EB594" s="298"/>
      <c r="EC594" s="367">
        <v>0</v>
      </c>
      <c r="ED594" s="298"/>
      <c r="EE594" s="298"/>
      <c r="EF594" s="298"/>
      <c r="EG594" s="337"/>
      <c r="EH594" s="298"/>
      <c r="EI594" s="298"/>
      <c r="EJ594" s="367">
        <v>0</v>
      </c>
      <c r="EK594" s="298"/>
      <c r="EL594" s="298"/>
      <c r="EM594" s="298"/>
      <c r="EN594" s="337"/>
      <c r="EO594" s="298"/>
      <c r="EP594" s="298"/>
      <c r="EQ594" s="367">
        <v>0</v>
      </c>
    </row>
    <row r="595" spans="1:147" ht="10.199999999999999" hidden="1" customHeight="1" outlineLevel="1">
      <c r="A595" s="48"/>
      <c r="B595" s="48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3"/>
      <c r="O595" s="298"/>
      <c r="P595" s="298"/>
      <c r="Q595" s="298"/>
      <c r="R595" s="337"/>
      <c r="S595" s="298"/>
      <c r="T595" s="298"/>
      <c r="U595" s="367"/>
      <c r="V595" s="298"/>
      <c r="W595" s="298"/>
      <c r="X595" s="298"/>
      <c r="Y595" s="337"/>
      <c r="Z595" s="298"/>
      <c r="AA595" s="298"/>
      <c r="AB595" s="367"/>
      <c r="AC595" s="298"/>
      <c r="AD595" s="298"/>
      <c r="AE595" s="298"/>
      <c r="AF595" s="337"/>
      <c r="AG595" s="298"/>
      <c r="AH595" s="298"/>
      <c r="AI595" s="367"/>
      <c r="AJ595" s="298"/>
      <c r="AK595" s="298"/>
      <c r="AL595" s="298"/>
      <c r="AM595" s="337"/>
      <c r="AN595" s="298"/>
      <c r="AO595" s="298"/>
      <c r="AP595" s="367"/>
      <c r="AQ595" s="298"/>
      <c r="AR595" s="298"/>
      <c r="AS595" s="298"/>
      <c r="AT595" s="337"/>
      <c r="AU595" s="298"/>
      <c r="AV595" s="298"/>
      <c r="AW595" s="367"/>
      <c r="AX595" s="298"/>
      <c r="AY595" s="298"/>
      <c r="AZ595" s="298"/>
      <c r="BA595" s="337"/>
      <c r="BB595" s="298"/>
      <c r="BC595" s="298"/>
      <c r="BD595" s="367"/>
      <c r="BE595" s="298"/>
      <c r="BF595" s="298"/>
      <c r="BG595" s="298"/>
      <c r="BH595" s="337"/>
      <c r="BI595" s="298"/>
      <c r="BJ595" s="298"/>
      <c r="BK595" s="367"/>
      <c r="BL595" s="298"/>
      <c r="BM595" s="298"/>
      <c r="BN595" s="298"/>
      <c r="BO595" s="337"/>
      <c r="BP595" s="298"/>
      <c r="BQ595" s="298"/>
      <c r="BR595" s="367"/>
      <c r="BS595" s="298"/>
      <c r="BT595" s="298"/>
      <c r="BU595" s="298"/>
      <c r="BV595" s="337"/>
      <c r="BW595" s="298"/>
      <c r="BX595" s="298"/>
      <c r="BY595" s="367"/>
      <c r="BZ595" s="298"/>
      <c r="CA595" s="298"/>
      <c r="CB595" s="298"/>
      <c r="CC595" s="337"/>
      <c r="CD595" s="298"/>
      <c r="CE595" s="298"/>
      <c r="CF595" s="367"/>
      <c r="CG595" s="298"/>
      <c r="CH595" s="298"/>
      <c r="CI595" s="298"/>
      <c r="CJ595" s="337"/>
      <c r="CK595" s="298"/>
      <c r="CL595" s="298"/>
      <c r="CM595" s="367"/>
      <c r="CN595" s="298"/>
      <c r="CO595" s="298"/>
      <c r="CP595" s="298"/>
      <c r="CQ595" s="337"/>
      <c r="CR595" s="298"/>
      <c r="CS595" s="298"/>
      <c r="CT595" s="367"/>
      <c r="CU595" s="298"/>
      <c r="CV595" s="298"/>
      <c r="CW595" s="298"/>
      <c r="CX595" s="337"/>
      <c r="CY595" s="298"/>
      <c r="CZ595" s="298"/>
      <c r="DA595" s="367"/>
      <c r="DB595" s="298"/>
      <c r="DC595" s="298"/>
      <c r="DD595" s="298"/>
      <c r="DE595" s="337"/>
      <c r="DF595" s="298"/>
      <c r="DG595" s="298"/>
      <c r="DH595" s="367"/>
      <c r="DI595" s="298"/>
      <c r="DJ595" s="298"/>
      <c r="DK595" s="298"/>
      <c r="DL595" s="337"/>
      <c r="DM595" s="298"/>
      <c r="DN595" s="298"/>
      <c r="DO595" s="367"/>
      <c r="DP595" s="298"/>
      <c r="DQ595" s="298"/>
      <c r="DR595" s="298"/>
      <c r="DS595" s="337"/>
      <c r="DT595" s="298"/>
      <c r="DU595" s="298"/>
      <c r="DV595" s="367"/>
      <c r="DW595" s="298"/>
      <c r="DX595" s="298"/>
      <c r="DY595" s="298"/>
      <c r="DZ595" s="337"/>
      <c r="EA595" s="298"/>
      <c r="EB595" s="298"/>
      <c r="EC595" s="367"/>
      <c r="ED595" s="298"/>
      <c r="EE595" s="298"/>
      <c r="EF595" s="298"/>
      <c r="EG595" s="337"/>
      <c r="EH595" s="298"/>
      <c r="EI595" s="298"/>
      <c r="EJ595" s="367"/>
      <c r="EK595" s="298"/>
      <c r="EL595" s="298"/>
      <c r="EM595" s="298"/>
      <c r="EN595" s="337"/>
      <c r="EO595" s="298"/>
      <c r="EP595" s="298"/>
      <c r="EQ595" s="367"/>
    </row>
    <row r="596" spans="1:147" ht="10.199999999999999" hidden="1" customHeight="1" outlineLevel="1">
      <c r="A596" s="178" t="s">
        <v>484</v>
      </c>
      <c r="B596" s="178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1758"/>
      <c r="O596" s="502"/>
      <c r="P596" s="502"/>
      <c r="Q596" s="502"/>
      <c r="R596" s="503"/>
      <c r="S596" s="502"/>
      <c r="T596" s="502"/>
      <c r="U596" s="370"/>
      <c r="V596" s="502"/>
      <c r="W596" s="502"/>
      <c r="X596" s="502"/>
      <c r="Y596" s="503"/>
      <c r="Z596" s="502"/>
      <c r="AA596" s="502"/>
      <c r="AB596" s="370"/>
      <c r="AC596" s="502"/>
      <c r="AD596" s="502"/>
      <c r="AE596" s="502"/>
      <c r="AF596" s="503"/>
      <c r="AG596" s="502"/>
      <c r="AH596" s="502"/>
      <c r="AI596" s="370"/>
      <c r="AJ596" s="502"/>
      <c r="AK596" s="502"/>
      <c r="AL596" s="502"/>
      <c r="AM596" s="503"/>
      <c r="AN596" s="502"/>
      <c r="AO596" s="502"/>
      <c r="AP596" s="370"/>
      <c r="AQ596" s="502"/>
      <c r="AR596" s="502"/>
      <c r="AS596" s="502"/>
      <c r="AT596" s="503"/>
      <c r="AU596" s="502"/>
      <c r="AV596" s="502"/>
      <c r="AW596" s="370"/>
      <c r="AX596" s="502"/>
      <c r="AY596" s="502"/>
      <c r="AZ596" s="502"/>
      <c r="BA596" s="503"/>
      <c r="BB596" s="502"/>
      <c r="BC596" s="502"/>
      <c r="BD596" s="370"/>
      <c r="BE596" s="502"/>
      <c r="BF596" s="502"/>
      <c r="BG596" s="502"/>
      <c r="BH596" s="503"/>
      <c r="BI596" s="502"/>
      <c r="BJ596" s="502"/>
      <c r="BK596" s="370"/>
      <c r="BL596" s="502"/>
      <c r="BM596" s="502"/>
      <c r="BN596" s="502"/>
      <c r="BO596" s="503"/>
      <c r="BP596" s="502"/>
      <c r="BQ596" s="502"/>
      <c r="BR596" s="370"/>
      <c r="BS596" s="502"/>
      <c r="BT596" s="502"/>
      <c r="BU596" s="502"/>
      <c r="BV596" s="503"/>
      <c r="BW596" s="502"/>
      <c r="BX596" s="502"/>
      <c r="BY596" s="370"/>
      <c r="BZ596" s="502"/>
      <c r="CA596" s="502"/>
      <c r="CB596" s="502"/>
      <c r="CC596" s="503"/>
      <c r="CD596" s="502"/>
      <c r="CE596" s="502"/>
      <c r="CF596" s="370"/>
      <c r="CG596" s="502"/>
      <c r="CH596" s="502"/>
      <c r="CI596" s="502"/>
      <c r="CJ596" s="503"/>
      <c r="CK596" s="502"/>
      <c r="CL596" s="502"/>
      <c r="CM596" s="370"/>
      <c r="CN596" s="502"/>
      <c r="CO596" s="502"/>
      <c r="CP596" s="502"/>
      <c r="CQ596" s="503"/>
      <c r="CR596" s="502"/>
      <c r="CS596" s="502"/>
      <c r="CT596" s="370"/>
      <c r="CU596" s="502"/>
      <c r="CV596" s="502"/>
      <c r="CW596" s="502"/>
      <c r="CX596" s="503"/>
      <c r="CY596" s="502"/>
      <c r="CZ596" s="502"/>
      <c r="DA596" s="370"/>
      <c r="DB596" s="502"/>
      <c r="DC596" s="502"/>
      <c r="DD596" s="502"/>
      <c r="DE596" s="503"/>
      <c r="DF596" s="502"/>
      <c r="DG596" s="502"/>
      <c r="DH596" s="370"/>
      <c r="DI596" s="502"/>
      <c r="DJ596" s="502"/>
      <c r="DK596" s="502"/>
      <c r="DL596" s="503"/>
      <c r="DM596" s="502"/>
      <c r="DN596" s="502"/>
      <c r="DO596" s="370"/>
      <c r="DP596" s="502"/>
      <c r="DQ596" s="502"/>
      <c r="DR596" s="502"/>
      <c r="DS596" s="503"/>
      <c r="DT596" s="502"/>
      <c r="DU596" s="502"/>
      <c r="DV596" s="370"/>
      <c r="DW596" s="502"/>
      <c r="DX596" s="502"/>
      <c r="DY596" s="502"/>
      <c r="DZ596" s="503"/>
      <c r="EA596" s="502"/>
      <c r="EB596" s="502"/>
      <c r="EC596" s="370"/>
      <c r="ED596" s="502"/>
      <c r="EE596" s="502"/>
      <c r="EF596" s="502"/>
      <c r="EG596" s="503"/>
      <c r="EH596" s="502"/>
      <c r="EI596" s="502"/>
      <c r="EJ596" s="370"/>
      <c r="EK596" s="502"/>
      <c r="EL596" s="502"/>
      <c r="EM596" s="502"/>
      <c r="EN596" s="503"/>
      <c r="EO596" s="502"/>
      <c r="EP596" s="502"/>
      <c r="EQ596" s="370"/>
    </row>
    <row r="597" spans="1:147" ht="10.199999999999999" hidden="1" customHeight="1" outlineLevel="1">
      <c r="A597" s="43" t="s">
        <v>100</v>
      </c>
      <c r="B597" s="48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3"/>
      <c r="O597" s="415"/>
      <c r="P597" s="415"/>
      <c r="Q597" s="415"/>
      <c r="R597" s="448"/>
      <c r="S597" s="415"/>
      <c r="T597" s="415"/>
      <c r="U597" s="345"/>
      <c r="V597" s="415"/>
      <c r="W597" s="415"/>
      <c r="X597" s="415"/>
      <c r="Y597" s="448"/>
      <c r="Z597" s="415"/>
      <c r="AA597" s="415"/>
      <c r="AB597" s="345"/>
      <c r="AC597" s="415"/>
      <c r="AD597" s="415"/>
      <c r="AE597" s="415"/>
      <c r="AF597" s="448"/>
      <c r="AG597" s="415"/>
      <c r="AH597" s="415"/>
      <c r="AI597" s="345">
        <v>0.22</v>
      </c>
      <c r="AJ597" s="415"/>
      <c r="AK597" s="415"/>
      <c r="AL597" s="415"/>
      <c r="AM597" s="448"/>
      <c r="AN597" s="415"/>
      <c r="AO597" s="415"/>
      <c r="AP597" s="345"/>
      <c r="AQ597" s="415"/>
      <c r="AR597" s="415"/>
      <c r="AS597" s="415"/>
      <c r="AT597" s="448"/>
      <c r="AU597" s="415"/>
      <c r="AV597" s="415"/>
      <c r="AW597" s="345"/>
      <c r="AX597" s="415"/>
      <c r="AY597" s="415"/>
      <c r="AZ597" s="415"/>
      <c r="BA597" s="448"/>
      <c r="BB597" s="415"/>
      <c r="BC597" s="415"/>
      <c r="BD597" s="345"/>
      <c r="BE597" s="415"/>
      <c r="BF597" s="415"/>
      <c r="BG597" s="415"/>
      <c r="BH597" s="448"/>
      <c r="BI597" s="415"/>
      <c r="BJ597" s="415"/>
      <c r="BK597" s="345"/>
      <c r="BL597" s="415"/>
      <c r="BM597" s="415"/>
      <c r="BN597" s="415"/>
      <c r="BO597" s="448"/>
      <c r="BP597" s="415"/>
      <c r="BQ597" s="415"/>
      <c r="BR597" s="345"/>
      <c r="BS597" s="415"/>
      <c r="BT597" s="415"/>
      <c r="BU597" s="415"/>
      <c r="BV597" s="448"/>
      <c r="BW597" s="415"/>
      <c r="BX597" s="415"/>
      <c r="BY597" s="345"/>
      <c r="BZ597" s="415"/>
      <c r="CA597" s="415"/>
      <c r="CB597" s="415"/>
      <c r="CC597" s="448"/>
      <c r="CD597" s="415"/>
      <c r="CE597" s="415"/>
      <c r="CF597" s="345"/>
      <c r="CG597" s="415"/>
      <c r="CH597" s="415"/>
      <c r="CI597" s="415"/>
      <c r="CJ597" s="448"/>
      <c r="CK597" s="415"/>
      <c r="CL597" s="415"/>
      <c r="CM597" s="345"/>
      <c r="CN597" s="415"/>
      <c r="CO597" s="415"/>
      <c r="CP597" s="415"/>
      <c r="CQ597" s="448"/>
      <c r="CR597" s="415"/>
      <c r="CS597" s="415"/>
      <c r="CT597" s="345"/>
      <c r="CU597" s="415"/>
      <c r="CV597" s="415"/>
      <c r="CW597" s="415"/>
      <c r="CX597" s="448"/>
      <c r="CY597" s="415"/>
      <c r="CZ597" s="415"/>
      <c r="DA597" s="345"/>
      <c r="DB597" s="415"/>
      <c r="DC597" s="415"/>
      <c r="DD597" s="415"/>
      <c r="DE597" s="448"/>
      <c r="DF597" s="415"/>
      <c r="DG597" s="415"/>
      <c r="DH597" s="345"/>
      <c r="DI597" s="415"/>
      <c r="DJ597" s="415"/>
      <c r="DK597" s="415"/>
      <c r="DL597" s="448"/>
      <c r="DM597" s="415"/>
      <c r="DN597" s="415"/>
      <c r="DO597" s="345"/>
      <c r="DP597" s="415"/>
      <c r="DQ597" s="415"/>
      <c r="DR597" s="415"/>
      <c r="DS597" s="448"/>
      <c r="DT597" s="415"/>
      <c r="DU597" s="415"/>
      <c r="DV597" s="345"/>
      <c r="DW597" s="415"/>
      <c r="DX597" s="415"/>
      <c r="DY597" s="415"/>
      <c r="DZ597" s="448"/>
      <c r="EA597" s="415"/>
      <c r="EB597" s="415"/>
      <c r="EC597" s="345"/>
      <c r="ED597" s="415"/>
      <c r="EE597" s="415"/>
      <c r="EF597" s="415"/>
      <c r="EG597" s="448"/>
      <c r="EH597" s="415"/>
      <c r="EI597" s="415"/>
      <c r="EJ597" s="345"/>
      <c r="EK597" s="415"/>
      <c r="EL597" s="415"/>
      <c r="EM597" s="415"/>
      <c r="EN597" s="448"/>
      <c r="EO597" s="415"/>
      <c r="EP597" s="415"/>
      <c r="EQ597" s="345"/>
    </row>
    <row r="598" spans="1:147" ht="10.199999999999999" hidden="1" customHeight="1" outlineLevel="1">
      <c r="A598" s="43" t="s">
        <v>101</v>
      </c>
      <c r="B598" s="48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3"/>
      <c r="O598" s="415"/>
      <c r="P598" s="415"/>
      <c r="Q598" s="415"/>
      <c r="R598" s="448"/>
      <c r="S598" s="415"/>
      <c r="T598" s="415"/>
      <c r="U598" s="345"/>
      <c r="V598" s="415"/>
      <c r="W598" s="415"/>
      <c r="X598" s="415"/>
      <c r="Y598" s="448"/>
      <c r="Z598" s="415"/>
      <c r="AA598" s="415"/>
      <c r="AB598" s="345"/>
      <c r="AC598" s="415"/>
      <c r="AD598" s="415"/>
      <c r="AE598" s="415"/>
      <c r="AF598" s="448"/>
      <c r="AG598" s="415"/>
      <c r="AH598" s="415"/>
      <c r="AI598" s="345">
        <v>0.22</v>
      </c>
      <c r="AJ598" s="415"/>
      <c r="AK598" s="415"/>
      <c r="AL598" s="415"/>
      <c r="AM598" s="448"/>
      <c r="AN598" s="415"/>
      <c r="AO598" s="415"/>
      <c r="AP598" s="345">
        <f t="shared" ref="AP598:BR601" si="1675">AP575/AP247</f>
        <v>0.18502333682993111</v>
      </c>
      <c r="AQ598" s="415"/>
      <c r="AR598" s="415"/>
      <c r="AS598" s="415"/>
      <c r="AT598" s="448"/>
      <c r="AU598" s="415"/>
      <c r="AV598" s="415"/>
      <c r="AW598" s="345">
        <f t="shared" si="1675"/>
        <v>0.20481061303975229</v>
      </c>
      <c r="AX598" s="415"/>
      <c r="AY598" s="415"/>
      <c r="AZ598" s="415"/>
      <c r="BA598" s="448"/>
      <c r="BB598" s="415"/>
      <c r="BC598" s="415"/>
      <c r="BD598" s="345">
        <f t="shared" si="1675"/>
        <v>0.20258840474952342</v>
      </c>
      <c r="BE598" s="415"/>
      <c r="BF598" s="415"/>
      <c r="BG598" s="415"/>
      <c r="BH598" s="448"/>
      <c r="BI598" s="415"/>
      <c r="BJ598" s="415"/>
      <c r="BK598" s="345">
        <f t="shared" si="1675"/>
        <v>0.22084755957389743</v>
      </c>
      <c r="BL598" s="415"/>
      <c r="BM598" s="415"/>
      <c r="BN598" s="415"/>
      <c r="BO598" s="448"/>
      <c r="BP598" s="415"/>
      <c r="BQ598" s="415"/>
      <c r="BR598" s="345">
        <f t="shared" si="1675"/>
        <v>0.23612505840578182</v>
      </c>
      <c r="BS598" s="415"/>
      <c r="BT598" s="415"/>
      <c r="BU598" s="415"/>
      <c r="BV598" s="448"/>
      <c r="BW598" s="415"/>
      <c r="BX598" s="415"/>
      <c r="BY598" s="345"/>
      <c r="BZ598" s="415"/>
      <c r="CA598" s="415"/>
      <c r="CB598" s="415"/>
      <c r="CC598" s="448"/>
      <c r="CD598" s="415"/>
      <c r="CE598" s="415"/>
      <c r="CF598" s="345"/>
      <c r="CG598" s="415"/>
      <c r="CH598" s="415"/>
      <c r="CI598" s="415"/>
      <c r="CJ598" s="448"/>
      <c r="CK598" s="415"/>
      <c r="CL598" s="415"/>
      <c r="CM598" s="345"/>
      <c r="CN598" s="415"/>
      <c r="CO598" s="415"/>
      <c r="CP598" s="415"/>
      <c r="CQ598" s="448"/>
      <c r="CR598" s="415"/>
      <c r="CS598" s="415"/>
      <c r="CT598" s="345"/>
      <c r="CU598" s="415"/>
      <c r="CV598" s="415"/>
      <c r="CW598" s="415"/>
      <c r="CX598" s="448"/>
      <c r="CY598" s="415"/>
      <c r="CZ598" s="415"/>
      <c r="DA598" s="345"/>
      <c r="DB598" s="415"/>
      <c r="DC598" s="415"/>
      <c r="DD598" s="415"/>
      <c r="DE598" s="448"/>
      <c r="DF598" s="415"/>
      <c r="DG598" s="415"/>
      <c r="DH598" s="345"/>
      <c r="DI598" s="415"/>
      <c r="DJ598" s="415"/>
      <c r="DK598" s="415"/>
      <c r="DL598" s="448"/>
      <c r="DM598" s="415"/>
      <c r="DN598" s="415"/>
      <c r="DO598" s="345"/>
      <c r="DP598" s="415"/>
      <c r="DQ598" s="415"/>
      <c r="DR598" s="415"/>
      <c r="DS598" s="448"/>
      <c r="DT598" s="415"/>
      <c r="DU598" s="415"/>
      <c r="DV598" s="345"/>
      <c r="DW598" s="415"/>
      <c r="DX598" s="415"/>
      <c r="DY598" s="415"/>
      <c r="DZ598" s="448"/>
      <c r="EA598" s="415"/>
      <c r="EB598" s="415"/>
      <c r="EC598" s="345"/>
      <c r="ED598" s="415"/>
      <c r="EE598" s="415"/>
      <c r="EF598" s="415"/>
      <c r="EG598" s="448"/>
      <c r="EH598" s="415"/>
      <c r="EI598" s="415"/>
      <c r="EJ598" s="345"/>
      <c r="EK598" s="415"/>
      <c r="EL598" s="415"/>
      <c r="EM598" s="415"/>
      <c r="EN598" s="448"/>
      <c r="EO598" s="415"/>
      <c r="EP598" s="415"/>
      <c r="EQ598" s="345"/>
    </row>
    <row r="599" spans="1:147" ht="10.199999999999999" hidden="1" customHeight="1" outlineLevel="1">
      <c r="A599" s="43" t="s">
        <v>102</v>
      </c>
      <c r="B599" s="48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3"/>
      <c r="O599" s="415"/>
      <c r="P599" s="415"/>
      <c r="Q599" s="415"/>
      <c r="R599" s="448"/>
      <c r="S599" s="415"/>
      <c r="T599" s="415"/>
      <c r="U599" s="345"/>
      <c r="V599" s="415"/>
      <c r="W599" s="415"/>
      <c r="X599" s="415"/>
      <c r="Y599" s="448"/>
      <c r="Z599" s="415"/>
      <c r="AA599" s="415"/>
      <c r="AB599" s="345"/>
      <c r="AC599" s="415"/>
      <c r="AD599" s="415"/>
      <c r="AE599" s="415"/>
      <c r="AF599" s="448"/>
      <c r="AG599" s="415"/>
      <c r="AH599" s="415"/>
      <c r="AI599" s="345">
        <v>0.22</v>
      </c>
      <c r="AJ599" s="415"/>
      <c r="AK599" s="415"/>
      <c r="AL599" s="415"/>
      <c r="AM599" s="448"/>
      <c r="AN599" s="415"/>
      <c r="AO599" s="415"/>
      <c r="AP599" s="345">
        <f t="shared" si="1675"/>
        <v>0.18423490406968906</v>
      </c>
      <c r="AQ599" s="415"/>
      <c r="AR599" s="415"/>
      <c r="AS599" s="415"/>
      <c r="AT599" s="448"/>
      <c r="AU599" s="415"/>
      <c r="AV599" s="415"/>
      <c r="AW599" s="345">
        <f t="shared" si="1675"/>
        <v>0.20416694787257042</v>
      </c>
      <c r="AX599" s="415"/>
      <c r="AY599" s="415"/>
      <c r="AZ599" s="415"/>
      <c r="BA599" s="448"/>
      <c r="BB599" s="415"/>
      <c r="BC599" s="415"/>
      <c r="BD599" s="345">
        <f t="shared" si="1675"/>
        <v>0.18233881295671442</v>
      </c>
      <c r="BE599" s="415"/>
      <c r="BF599" s="415"/>
      <c r="BG599" s="415"/>
      <c r="BH599" s="448"/>
      <c r="BI599" s="415"/>
      <c r="BJ599" s="415"/>
      <c r="BK599" s="345">
        <f t="shared" si="1675"/>
        <v>0.20130638151454519</v>
      </c>
      <c r="BL599" s="415"/>
      <c r="BM599" s="415"/>
      <c r="BN599" s="415"/>
      <c r="BO599" s="448"/>
      <c r="BP599" s="415"/>
      <c r="BQ599" s="415"/>
      <c r="BR599" s="345">
        <f t="shared" si="1675"/>
        <v>0.21696704070053455</v>
      </c>
      <c r="BS599" s="415"/>
      <c r="BT599" s="415"/>
      <c r="BU599" s="415"/>
      <c r="BV599" s="448"/>
      <c r="BW599" s="415"/>
      <c r="BX599" s="415"/>
      <c r="BY599" s="345">
        <f>BY576/BY248</f>
        <v>0.13636070665500152</v>
      </c>
      <c r="BZ599" s="415"/>
      <c r="CA599" s="415"/>
      <c r="CB599" s="415"/>
      <c r="CC599" s="448"/>
      <c r="CD599" s="415"/>
      <c r="CE599" s="415"/>
      <c r="CF599" s="345"/>
      <c r="CG599" s="415"/>
      <c r="CH599" s="415"/>
      <c r="CI599" s="415"/>
      <c r="CJ599" s="448"/>
      <c r="CK599" s="415"/>
      <c r="CL599" s="415"/>
      <c r="CM599" s="345"/>
      <c r="CN599" s="415"/>
      <c r="CO599" s="415"/>
      <c r="CP599" s="415"/>
      <c r="CQ599" s="448"/>
      <c r="CR599" s="415"/>
      <c r="CS599" s="415"/>
      <c r="CT599" s="345"/>
      <c r="CU599" s="415"/>
      <c r="CV599" s="415"/>
      <c r="CW599" s="415"/>
      <c r="CX599" s="448"/>
      <c r="CY599" s="415"/>
      <c r="CZ599" s="415"/>
      <c r="DA599" s="345"/>
      <c r="DB599" s="415"/>
      <c r="DC599" s="415"/>
      <c r="DD599" s="415"/>
      <c r="DE599" s="448"/>
      <c r="DF599" s="415"/>
      <c r="DG599" s="415"/>
      <c r="DH599" s="345"/>
      <c r="DI599" s="415"/>
      <c r="DJ599" s="415"/>
      <c r="DK599" s="415"/>
      <c r="DL599" s="448"/>
      <c r="DM599" s="415"/>
      <c r="DN599" s="415"/>
      <c r="DO599" s="345"/>
      <c r="DP599" s="415"/>
      <c r="DQ599" s="415"/>
      <c r="DR599" s="415"/>
      <c r="DS599" s="448"/>
      <c r="DT599" s="415"/>
      <c r="DU599" s="415"/>
      <c r="DV599" s="345"/>
      <c r="DW599" s="415"/>
      <c r="DX599" s="415"/>
      <c r="DY599" s="415"/>
      <c r="DZ599" s="448"/>
      <c r="EA599" s="415"/>
      <c r="EB599" s="415"/>
      <c r="EC599" s="345"/>
      <c r="ED599" s="415"/>
      <c r="EE599" s="415"/>
      <c r="EF599" s="415"/>
      <c r="EG599" s="448"/>
      <c r="EH599" s="415"/>
      <c r="EI599" s="415"/>
      <c r="EJ599" s="345"/>
      <c r="EK599" s="415"/>
      <c r="EL599" s="415"/>
      <c r="EM599" s="415"/>
      <c r="EN599" s="448"/>
      <c r="EO599" s="415"/>
      <c r="EP599" s="415"/>
      <c r="EQ599" s="345"/>
    </row>
    <row r="600" spans="1:147" ht="10.199999999999999" hidden="1" customHeight="1" outlineLevel="1">
      <c r="A600" s="43" t="s">
        <v>202</v>
      </c>
      <c r="B600" s="48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3"/>
      <c r="O600" s="415"/>
      <c r="P600" s="415"/>
      <c r="Q600" s="415"/>
      <c r="R600" s="448"/>
      <c r="S600" s="415"/>
      <c r="T600" s="415"/>
      <c r="U600" s="345"/>
      <c r="V600" s="415"/>
      <c r="W600" s="415"/>
      <c r="X600" s="415"/>
      <c r="Y600" s="448"/>
      <c r="Z600" s="415"/>
      <c r="AA600" s="415"/>
      <c r="AB600" s="345"/>
      <c r="AC600" s="415"/>
      <c r="AD600" s="415"/>
      <c r="AE600" s="415"/>
      <c r="AF600" s="448"/>
      <c r="AG600" s="415"/>
      <c r="AH600" s="415"/>
      <c r="AI600" s="345">
        <v>0.22</v>
      </c>
      <c r="AJ600" s="415"/>
      <c r="AK600" s="415"/>
      <c r="AL600" s="415"/>
      <c r="AM600" s="448"/>
      <c r="AN600" s="415"/>
      <c r="AO600" s="415"/>
      <c r="AP600" s="345">
        <f t="shared" si="1675"/>
        <v>0.18443252690254355</v>
      </c>
      <c r="AQ600" s="415"/>
      <c r="AR600" s="415"/>
      <c r="AS600" s="415"/>
      <c r="AT600" s="448"/>
      <c r="AU600" s="415"/>
      <c r="AV600" s="415"/>
      <c r="AW600" s="345">
        <f t="shared" si="1675"/>
        <v>0.20386281686260346</v>
      </c>
      <c r="AX600" s="415"/>
      <c r="AY600" s="415"/>
      <c r="AZ600" s="415"/>
      <c r="BA600" s="448"/>
      <c r="BB600" s="415"/>
      <c r="BC600" s="415"/>
      <c r="BD600" s="345">
        <f t="shared" si="1675"/>
        <v>0.15164381239526653</v>
      </c>
      <c r="BE600" s="415"/>
      <c r="BF600" s="415"/>
      <c r="BG600" s="415"/>
      <c r="BH600" s="448"/>
      <c r="BI600" s="415"/>
      <c r="BJ600" s="415"/>
      <c r="BK600" s="345">
        <f t="shared" si="1675"/>
        <v>0.171019171370932</v>
      </c>
      <c r="BL600" s="415"/>
      <c r="BM600" s="415"/>
      <c r="BN600" s="415"/>
      <c r="BO600" s="448"/>
      <c r="BP600" s="415"/>
      <c r="BQ600" s="415"/>
      <c r="BR600" s="345">
        <f t="shared" si="1675"/>
        <v>0.1872736974224824</v>
      </c>
      <c r="BS600" s="415"/>
      <c r="BT600" s="415"/>
      <c r="BU600" s="415"/>
      <c r="BV600" s="448"/>
      <c r="BW600" s="415"/>
      <c r="BX600" s="415"/>
      <c r="BY600" s="345">
        <f>BY577/BY249</f>
        <v>0.10361069568656159</v>
      </c>
      <c r="BZ600" s="415"/>
      <c r="CA600" s="415"/>
      <c r="CB600" s="415"/>
      <c r="CC600" s="448"/>
      <c r="CD600" s="415"/>
      <c r="CE600" s="415"/>
      <c r="CF600" s="345"/>
      <c r="CG600" s="415"/>
      <c r="CH600" s="415"/>
      <c r="CI600" s="415"/>
      <c r="CJ600" s="448"/>
      <c r="CK600" s="415"/>
      <c r="CL600" s="415"/>
      <c r="CM600" s="345"/>
      <c r="CN600" s="415"/>
      <c r="CO600" s="415"/>
      <c r="CP600" s="415"/>
      <c r="CQ600" s="448"/>
      <c r="CR600" s="415"/>
      <c r="CS600" s="415"/>
      <c r="CT600" s="345"/>
      <c r="CU600" s="415"/>
      <c r="CV600" s="415"/>
      <c r="CW600" s="415"/>
      <c r="CX600" s="448"/>
      <c r="CY600" s="415"/>
      <c r="CZ600" s="415"/>
      <c r="DA600" s="345"/>
      <c r="DB600" s="415"/>
      <c r="DC600" s="415"/>
      <c r="DD600" s="415"/>
      <c r="DE600" s="448"/>
      <c r="DF600" s="415"/>
      <c r="DG600" s="415"/>
      <c r="DH600" s="345"/>
      <c r="DI600" s="415"/>
      <c r="DJ600" s="415"/>
      <c r="DK600" s="415"/>
      <c r="DL600" s="448"/>
      <c r="DM600" s="415"/>
      <c r="DN600" s="415"/>
      <c r="DO600" s="345"/>
      <c r="DP600" s="415"/>
      <c r="DQ600" s="415"/>
      <c r="DR600" s="415"/>
      <c r="DS600" s="448"/>
      <c r="DT600" s="415"/>
      <c r="DU600" s="415"/>
      <c r="DV600" s="345"/>
      <c r="DW600" s="415"/>
      <c r="DX600" s="415"/>
      <c r="DY600" s="415"/>
      <c r="DZ600" s="448"/>
      <c r="EA600" s="415"/>
      <c r="EB600" s="415"/>
      <c r="EC600" s="345"/>
      <c r="ED600" s="415"/>
      <c r="EE600" s="415"/>
      <c r="EF600" s="415"/>
      <c r="EG600" s="448"/>
      <c r="EH600" s="415"/>
      <c r="EI600" s="415"/>
      <c r="EJ600" s="345"/>
      <c r="EK600" s="415"/>
      <c r="EL600" s="415"/>
      <c r="EM600" s="415"/>
      <c r="EN600" s="448"/>
      <c r="EO600" s="415"/>
      <c r="EP600" s="415"/>
      <c r="EQ600" s="345"/>
    </row>
    <row r="601" spans="1:147" ht="10.199999999999999" hidden="1" customHeight="1" outlineLevel="1">
      <c r="A601" s="48" t="s">
        <v>377</v>
      </c>
      <c r="B601" s="48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3"/>
      <c r="O601" s="415"/>
      <c r="P601" s="415"/>
      <c r="Q601" s="415"/>
      <c r="R601" s="448"/>
      <c r="S601" s="415"/>
      <c r="T601" s="415"/>
      <c r="U601" s="345"/>
      <c r="V601" s="415"/>
      <c r="W601" s="415"/>
      <c r="X601" s="415"/>
      <c r="Y601" s="448"/>
      <c r="Z601" s="415"/>
      <c r="AA601" s="415"/>
      <c r="AB601" s="345"/>
      <c r="AC601" s="415"/>
      <c r="AD601" s="415"/>
      <c r="AE601" s="415"/>
      <c r="AF601" s="448"/>
      <c r="AG601" s="415"/>
      <c r="AH601" s="415"/>
      <c r="AI601" s="345">
        <f>AI578/AI250</f>
        <v>0.22000000000000003</v>
      </c>
      <c r="AJ601" s="415"/>
      <c r="AK601" s="415"/>
      <c r="AL601" s="415"/>
      <c r="AM601" s="448"/>
      <c r="AN601" s="415"/>
      <c r="AO601" s="415"/>
      <c r="AP601" s="345">
        <f t="shared" si="1675"/>
        <v>0.18433873390232017</v>
      </c>
      <c r="AQ601" s="415"/>
      <c r="AR601" s="415"/>
      <c r="AS601" s="415"/>
      <c r="AT601" s="448"/>
      <c r="AU601" s="415"/>
      <c r="AV601" s="415"/>
      <c r="AW601" s="345">
        <f t="shared" si="1675"/>
        <v>0.20402137856222122</v>
      </c>
      <c r="AX601" s="415"/>
      <c r="AY601" s="415"/>
      <c r="AZ601" s="415"/>
      <c r="BA601" s="448"/>
      <c r="BB601" s="415"/>
      <c r="BC601" s="415"/>
      <c r="BD601" s="345">
        <f t="shared" si="1675"/>
        <v>0.1666440598935425</v>
      </c>
      <c r="BE601" s="415"/>
      <c r="BF601" s="415"/>
      <c r="BG601" s="415"/>
      <c r="BH601" s="448"/>
      <c r="BI601" s="415"/>
      <c r="BJ601" s="415"/>
      <c r="BK601" s="345">
        <f t="shared" si="1675"/>
        <v>0.18815936615858206</v>
      </c>
      <c r="BL601" s="415"/>
      <c r="BM601" s="415"/>
      <c r="BN601" s="415"/>
      <c r="BO601" s="448"/>
      <c r="BP601" s="415"/>
      <c r="BQ601" s="415"/>
      <c r="BR601" s="345">
        <f t="shared" si="1675"/>
        <v>0.20408590480388311</v>
      </c>
      <c r="BS601" s="415"/>
      <c r="BT601" s="415"/>
      <c r="BU601" s="415"/>
      <c r="BV601" s="448"/>
      <c r="BW601" s="415"/>
      <c r="BX601" s="415"/>
      <c r="BY601" s="345">
        <f>BY578/BY250</f>
        <v>0.11871629856169669</v>
      </c>
      <c r="BZ601" s="415"/>
      <c r="CA601" s="415"/>
      <c r="CB601" s="415"/>
      <c r="CC601" s="448"/>
      <c r="CD601" s="415"/>
      <c r="CE601" s="415"/>
      <c r="CF601" s="345"/>
      <c r="CG601" s="415"/>
      <c r="CH601" s="415"/>
      <c r="CI601" s="415"/>
      <c r="CJ601" s="448"/>
      <c r="CK601" s="415"/>
      <c r="CL601" s="415"/>
      <c r="CM601" s="345"/>
      <c r="CN601" s="415"/>
      <c r="CO601" s="415"/>
      <c r="CP601" s="415"/>
      <c r="CQ601" s="448"/>
      <c r="CR601" s="415"/>
      <c r="CS601" s="415"/>
      <c r="CT601" s="345"/>
      <c r="CU601" s="415"/>
      <c r="CV601" s="415"/>
      <c r="CW601" s="415"/>
      <c r="CX601" s="448"/>
      <c r="CY601" s="415"/>
      <c r="CZ601" s="415"/>
      <c r="DA601" s="345"/>
      <c r="DB601" s="415"/>
      <c r="DC601" s="415"/>
      <c r="DD601" s="415"/>
      <c r="DE601" s="448"/>
      <c r="DF601" s="415"/>
      <c r="DG601" s="415"/>
      <c r="DH601" s="345"/>
      <c r="DI601" s="415"/>
      <c r="DJ601" s="415"/>
      <c r="DK601" s="415"/>
      <c r="DL601" s="448"/>
      <c r="DM601" s="415"/>
      <c r="DN601" s="415"/>
      <c r="DO601" s="345"/>
      <c r="DP601" s="415"/>
      <c r="DQ601" s="415"/>
      <c r="DR601" s="415"/>
      <c r="DS601" s="448"/>
      <c r="DT601" s="415"/>
      <c r="DU601" s="415"/>
      <c r="DV601" s="345"/>
      <c r="DW601" s="415"/>
      <c r="DX601" s="415"/>
      <c r="DY601" s="415"/>
      <c r="DZ601" s="448"/>
      <c r="EA601" s="415"/>
      <c r="EB601" s="415"/>
      <c r="EC601" s="345"/>
      <c r="ED601" s="415"/>
      <c r="EE601" s="415"/>
      <c r="EF601" s="415"/>
      <c r="EG601" s="448"/>
      <c r="EH601" s="415"/>
      <c r="EI601" s="415"/>
      <c r="EJ601" s="345"/>
      <c r="EK601" s="415"/>
      <c r="EL601" s="415"/>
      <c r="EM601" s="415"/>
      <c r="EN601" s="448"/>
      <c r="EO601" s="415"/>
      <c r="EP601" s="415"/>
      <c r="EQ601" s="345"/>
    </row>
    <row r="602" spans="1:147" ht="10.199999999999999" hidden="1" customHeight="1" outlineLevel="1">
      <c r="A602" s="108" t="s">
        <v>366</v>
      </c>
      <c r="B602" s="48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3"/>
      <c r="O602" s="504"/>
      <c r="P602" s="504"/>
      <c r="Q602" s="504"/>
      <c r="R602" s="505"/>
      <c r="S602" s="504"/>
      <c r="T602" s="504"/>
      <c r="U602" s="371"/>
      <c r="V602" s="504"/>
      <c r="W602" s="504"/>
      <c r="X602" s="504"/>
      <c r="Y602" s="505"/>
      <c r="Z602" s="504"/>
      <c r="AA602" s="504"/>
      <c r="AB602" s="371"/>
      <c r="AC602" s="504"/>
      <c r="AD602" s="504"/>
      <c r="AE602" s="504"/>
      <c r="AF602" s="505"/>
      <c r="AG602" s="504"/>
      <c r="AH602" s="504"/>
      <c r="AI602" s="371"/>
      <c r="AJ602" s="504"/>
      <c r="AK602" s="504"/>
      <c r="AL602" s="504"/>
      <c r="AM602" s="505"/>
      <c r="AN602" s="504"/>
      <c r="AO602" s="504"/>
      <c r="AP602" s="371"/>
      <c r="AQ602" s="504"/>
      <c r="AR602" s="504"/>
      <c r="AS602" s="504"/>
      <c r="AT602" s="505"/>
      <c r="AU602" s="504"/>
      <c r="AV602" s="504"/>
      <c r="AW602" s="371"/>
      <c r="AX602" s="504"/>
      <c r="AY602" s="504"/>
      <c r="AZ602" s="504"/>
      <c r="BA602" s="505"/>
      <c r="BB602" s="504"/>
      <c r="BC602" s="504"/>
      <c r="BD602" s="371"/>
      <c r="BE602" s="504"/>
      <c r="BF602" s="504"/>
      <c r="BG602" s="504"/>
      <c r="BH602" s="505"/>
      <c r="BI602" s="504"/>
      <c r="BJ602" s="504"/>
      <c r="BK602" s="371">
        <f>BK603</f>
        <v>0.24883917620769488</v>
      </c>
      <c r="BL602" s="504"/>
      <c r="BM602" s="504"/>
      <c r="BN602" s="504"/>
      <c r="BO602" s="505"/>
      <c r="BP602" s="504"/>
      <c r="BQ602" s="504"/>
      <c r="BR602" s="371">
        <f t="shared" ref="BR602:BR608" si="1676">BR579/BR251</f>
        <v>0.27004759685612462</v>
      </c>
      <c r="BS602" s="504"/>
      <c r="BT602" s="504"/>
      <c r="BU602" s="504"/>
      <c r="BV602" s="505"/>
      <c r="BW602" s="504"/>
      <c r="BX602" s="504"/>
      <c r="BY602" s="371"/>
      <c r="BZ602" s="504"/>
      <c r="CA602" s="504"/>
      <c r="CB602" s="504"/>
      <c r="CC602" s="505"/>
      <c r="CD602" s="504"/>
      <c r="CE602" s="504"/>
      <c r="CF602" s="371"/>
      <c r="CG602" s="504"/>
      <c r="CH602" s="504"/>
      <c r="CI602" s="504"/>
      <c r="CJ602" s="505"/>
      <c r="CK602" s="504"/>
      <c r="CL602" s="504"/>
      <c r="CM602" s="371"/>
      <c r="CN602" s="504"/>
      <c r="CO602" s="504"/>
      <c r="CP602" s="504"/>
      <c r="CQ602" s="505"/>
      <c r="CR602" s="504"/>
      <c r="CS602" s="504"/>
      <c r="CT602" s="371"/>
      <c r="CU602" s="504"/>
      <c r="CV602" s="504"/>
      <c r="CW602" s="504"/>
      <c r="CX602" s="505"/>
      <c r="CY602" s="504"/>
      <c r="CZ602" s="504"/>
      <c r="DA602" s="371"/>
      <c r="DB602" s="504"/>
      <c r="DC602" s="504"/>
      <c r="DD602" s="504"/>
      <c r="DE602" s="505"/>
      <c r="DF602" s="504"/>
      <c r="DG602" s="504"/>
      <c r="DH602" s="371"/>
      <c r="DI602" s="504"/>
      <c r="DJ602" s="504"/>
      <c r="DK602" s="504"/>
      <c r="DL602" s="505"/>
      <c r="DM602" s="504"/>
      <c r="DN602" s="504"/>
      <c r="DO602" s="371"/>
      <c r="DP602" s="504"/>
      <c r="DQ602" s="504"/>
      <c r="DR602" s="504"/>
      <c r="DS602" s="505"/>
      <c r="DT602" s="504"/>
      <c r="DU602" s="504"/>
      <c r="DV602" s="371"/>
      <c r="DW602" s="504"/>
      <c r="DX602" s="504"/>
      <c r="DY602" s="504"/>
      <c r="DZ602" s="505"/>
      <c r="EA602" s="504"/>
      <c r="EB602" s="504"/>
      <c r="EC602" s="371"/>
      <c r="ED602" s="504"/>
      <c r="EE602" s="504"/>
      <c r="EF602" s="504"/>
      <c r="EG602" s="505"/>
      <c r="EH602" s="504"/>
      <c r="EI602" s="504"/>
      <c r="EJ602" s="371"/>
      <c r="EK602" s="504"/>
      <c r="EL602" s="504"/>
      <c r="EM602" s="504"/>
      <c r="EN602" s="505"/>
      <c r="EO602" s="504"/>
      <c r="EP602" s="504"/>
      <c r="EQ602" s="371"/>
    </row>
    <row r="603" spans="1:147" ht="10.199999999999999" hidden="1" customHeight="1" outlineLevel="1">
      <c r="A603" s="108" t="s">
        <v>378</v>
      </c>
      <c r="B603" s="48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3"/>
      <c r="O603" s="504"/>
      <c r="P603" s="504"/>
      <c r="Q603" s="504"/>
      <c r="R603" s="505"/>
      <c r="S603" s="504"/>
      <c r="T603" s="504"/>
      <c r="U603" s="371"/>
      <c r="V603" s="504"/>
      <c r="W603" s="504"/>
      <c r="X603" s="504"/>
      <c r="Y603" s="505"/>
      <c r="Z603" s="504"/>
      <c r="AA603" s="504"/>
      <c r="AB603" s="371"/>
      <c r="AC603" s="504"/>
      <c r="AD603" s="504"/>
      <c r="AE603" s="504"/>
      <c r="AF603" s="505"/>
      <c r="AG603" s="504"/>
      <c r="AH603" s="504"/>
      <c r="AI603" s="371"/>
      <c r="AJ603" s="504"/>
      <c r="AK603" s="504"/>
      <c r="AL603" s="504"/>
      <c r="AM603" s="505"/>
      <c r="AN603" s="504"/>
      <c r="AO603" s="504"/>
      <c r="AP603" s="371">
        <v>0.19</v>
      </c>
      <c r="AQ603" s="504"/>
      <c r="AR603" s="504"/>
      <c r="AS603" s="504"/>
      <c r="AT603" s="505"/>
      <c r="AU603" s="504"/>
      <c r="AV603" s="504"/>
      <c r="AW603" s="371">
        <f>AW580/AW252</f>
        <v>0.21826406826568279</v>
      </c>
      <c r="AX603" s="504"/>
      <c r="AY603" s="504"/>
      <c r="AZ603" s="504"/>
      <c r="BA603" s="505"/>
      <c r="BB603" s="504"/>
      <c r="BC603" s="504"/>
      <c r="BD603" s="371">
        <f>BD580/BD252</f>
        <v>0.30614213560885617</v>
      </c>
      <c r="BE603" s="504"/>
      <c r="BF603" s="504"/>
      <c r="BG603" s="504"/>
      <c r="BH603" s="505"/>
      <c r="BI603" s="504"/>
      <c r="BJ603" s="504"/>
      <c r="BK603" s="371">
        <f>BK580/BK252</f>
        <v>0.24883917620769488</v>
      </c>
      <c r="BL603" s="504"/>
      <c r="BM603" s="504"/>
      <c r="BN603" s="504"/>
      <c r="BO603" s="505"/>
      <c r="BP603" s="504"/>
      <c r="BQ603" s="504"/>
      <c r="BR603" s="371">
        <f t="shared" si="1676"/>
        <v>0.28020766889189397</v>
      </c>
      <c r="BS603" s="504"/>
      <c r="BT603" s="504"/>
      <c r="BU603" s="504"/>
      <c r="BV603" s="505"/>
      <c r="BW603" s="504"/>
      <c r="BX603" s="504"/>
      <c r="BY603" s="371">
        <f t="shared" ref="BY603:CM605" si="1677">BY580/BY252</f>
        <v>0.16542736687280976</v>
      </c>
      <c r="BZ603" s="504"/>
      <c r="CA603" s="504"/>
      <c r="CB603" s="504"/>
      <c r="CC603" s="505"/>
      <c r="CD603" s="504"/>
      <c r="CE603" s="504"/>
      <c r="CF603" s="371">
        <f t="shared" si="1677"/>
        <v>0.18566645721372496</v>
      </c>
      <c r="CG603" s="504"/>
      <c r="CH603" s="504"/>
      <c r="CI603" s="504"/>
      <c r="CJ603" s="505"/>
      <c r="CK603" s="504"/>
      <c r="CL603" s="504"/>
      <c r="CM603" s="371">
        <f t="shared" si="1677"/>
        <v>0.13404300309120251</v>
      </c>
      <c r="CN603" s="504"/>
      <c r="CO603" s="504"/>
      <c r="CP603" s="504"/>
      <c r="CQ603" s="505"/>
      <c r="CR603" s="504"/>
      <c r="CS603" s="504"/>
      <c r="CT603" s="371">
        <f>CT580/CT252</f>
        <v>9.3876078753906259E-2</v>
      </c>
      <c r="CU603" s="504"/>
      <c r="CV603" s="504"/>
      <c r="CW603" s="504"/>
      <c r="CX603" s="505"/>
      <c r="CY603" s="504"/>
      <c r="CZ603" s="504"/>
      <c r="DA603" s="371">
        <f>DA580/DA252</f>
        <v>2.1062142533759057E-2</v>
      </c>
      <c r="DB603" s="504"/>
      <c r="DC603" s="504"/>
      <c r="DD603" s="504"/>
      <c r="DE603" s="505"/>
      <c r="DF603" s="504"/>
      <c r="DG603" s="504"/>
      <c r="DH603" s="371">
        <f>DH580/DH252</f>
        <v>-1.883430836163277E-2</v>
      </c>
      <c r="DI603" s="504"/>
      <c r="DJ603" s="504"/>
      <c r="DK603" s="504"/>
      <c r="DL603" s="505"/>
      <c r="DM603" s="504"/>
      <c r="DN603" s="504"/>
      <c r="DO603" s="371">
        <f>DO580/DO252</f>
        <v>-5.3623772549591317E-2</v>
      </c>
      <c r="DP603" s="504"/>
      <c r="DQ603" s="504"/>
      <c r="DR603" s="504"/>
      <c r="DS603" s="505"/>
      <c r="DT603" s="504"/>
      <c r="DU603" s="504"/>
      <c r="DV603" s="371">
        <f>DV580/DV252</f>
        <v>-8.9601169661040883E-2</v>
      </c>
      <c r="DW603" s="504"/>
      <c r="DX603" s="504"/>
      <c r="DY603" s="504"/>
      <c r="DZ603" s="505"/>
      <c r="EA603" s="504"/>
      <c r="EB603" s="504"/>
      <c r="EC603" s="371">
        <f>EC580/EC252</f>
        <v>-0.12680706325922306</v>
      </c>
      <c r="ED603" s="504"/>
      <c r="EE603" s="504"/>
      <c r="EF603" s="504"/>
      <c r="EG603" s="505"/>
      <c r="EH603" s="504"/>
      <c r="EI603" s="504"/>
      <c r="EJ603" s="371">
        <f>EJ580/EJ252</f>
        <v>-0.16528340200465991</v>
      </c>
      <c r="EK603" s="504"/>
      <c r="EL603" s="504"/>
      <c r="EM603" s="504"/>
      <c r="EN603" s="505"/>
      <c r="EO603" s="504"/>
      <c r="EP603" s="504"/>
      <c r="EQ603" s="371">
        <f>EQ580/EQ252</f>
        <v>-0.20507356695116064</v>
      </c>
    </row>
    <row r="604" spans="1:147" ht="10.199999999999999" hidden="1" customHeight="1" outlineLevel="1">
      <c r="A604" s="108" t="s">
        <v>368</v>
      </c>
      <c r="B604" s="48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3"/>
      <c r="O604" s="504"/>
      <c r="P604" s="504"/>
      <c r="Q604" s="504"/>
      <c r="R604" s="505"/>
      <c r="S604" s="504"/>
      <c r="T604" s="504"/>
      <c r="U604" s="371"/>
      <c r="V604" s="504"/>
      <c r="W604" s="504"/>
      <c r="X604" s="504"/>
      <c r="Y604" s="505"/>
      <c r="Z604" s="504"/>
      <c r="AA604" s="504"/>
      <c r="AB604" s="371"/>
      <c r="AC604" s="504"/>
      <c r="AD604" s="504"/>
      <c r="AE604" s="504"/>
      <c r="AF604" s="505"/>
      <c r="AG604" s="504"/>
      <c r="AH604" s="504"/>
      <c r="AI604" s="371"/>
      <c r="AJ604" s="504"/>
      <c r="AK604" s="504"/>
      <c r="AL604" s="504"/>
      <c r="AM604" s="505"/>
      <c r="AN604" s="504"/>
      <c r="AO604" s="504"/>
      <c r="AP604" s="371"/>
      <c r="AQ604" s="504"/>
      <c r="AR604" s="504"/>
      <c r="AS604" s="504"/>
      <c r="AT604" s="505"/>
      <c r="AU604" s="504"/>
      <c r="AV604" s="504"/>
      <c r="AW604" s="371">
        <f>AW603</f>
        <v>0.21826406826568279</v>
      </c>
      <c r="AX604" s="504"/>
      <c r="AY604" s="504"/>
      <c r="AZ604" s="504"/>
      <c r="BA604" s="505"/>
      <c r="BB604" s="504"/>
      <c r="BC604" s="504"/>
      <c r="BD604" s="371">
        <f t="shared" ref="BD604:BK608" si="1678">BD581/BD253</f>
        <v>0.28182275855681793</v>
      </c>
      <c r="BE604" s="504"/>
      <c r="BF604" s="504"/>
      <c r="BG604" s="504"/>
      <c r="BH604" s="505"/>
      <c r="BI604" s="504"/>
      <c r="BJ604" s="504"/>
      <c r="BK604" s="371">
        <f t="shared" si="1678"/>
        <v>0.22204612155349401</v>
      </c>
      <c r="BL604" s="504"/>
      <c r="BM604" s="504"/>
      <c r="BN604" s="504"/>
      <c r="BO604" s="505"/>
      <c r="BP604" s="504"/>
      <c r="BQ604" s="504"/>
      <c r="BR604" s="371">
        <f t="shared" si="1676"/>
        <v>0.25453349279510312</v>
      </c>
      <c r="BS604" s="504"/>
      <c r="BT604" s="504"/>
      <c r="BU604" s="504"/>
      <c r="BV604" s="505"/>
      <c r="BW604" s="504"/>
      <c r="BX604" s="504"/>
      <c r="BY604" s="371">
        <f t="shared" si="1677"/>
        <v>0.12692839149625737</v>
      </c>
      <c r="BZ604" s="504"/>
      <c r="CA604" s="504"/>
      <c r="CB604" s="504"/>
      <c r="CC604" s="505"/>
      <c r="CD604" s="504"/>
      <c r="CE604" s="504"/>
      <c r="CF604" s="371">
        <f t="shared" si="1677"/>
        <v>0.14810111446511892</v>
      </c>
      <c r="CG604" s="504"/>
      <c r="CH604" s="504"/>
      <c r="CI604" s="504"/>
      <c r="CJ604" s="505"/>
      <c r="CK604" s="504"/>
      <c r="CL604" s="504"/>
      <c r="CM604" s="371">
        <f t="shared" si="1677"/>
        <v>8.5385648888058302E-2</v>
      </c>
      <c r="CN604" s="504"/>
      <c r="CO604" s="504"/>
      <c r="CP604" s="504"/>
      <c r="CQ604" s="505"/>
      <c r="CR604" s="504"/>
      <c r="CS604" s="504"/>
      <c r="CT604" s="371">
        <f>CT581/CT253</f>
        <v>3.2680683034048204E-2</v>
      </c>
      <c r="CU604" s="504"/>
      <c r="CV604" s="504"/>
      <c r="CW604" s="504"/>
      <c r="CX604" s="505"/>
      <c r="CY604" s="504"/>
      <c r="CZ604" s="504"/>
      <c r="DA604" s="371">
        <f>DA581/DA253</f>
        <v>1.3696424175839376E-2</v>
      </c>
      <c r="DB604" s="504"/>
      <c r="DC604" s="504"/>
      <c r="DD604" s="504"/>
      <c r="DE604" s="505"/>
      <c r="DF604" s="504"/>
      <c r="DG604" s="504"/>
      <c r="DH604" s="371">
        <f>DH581/DH253</f>
        <v>-7.3164893550480378E-2</v>
      </c>
      <c r="DI604" s="504"/>
      <c r="DJ604" s="504"/>
      <c r="DK604" s="504"/>
      <c r="DL604" s="505"/>
      <c r="DM604" s="504"/>
      <c r="DN604" s="504"/>
      <c r="DO604" s="371">
        <f>DO581/DO253</f>
        <v>-0.12723646958869489</v>
      </c>
      <c r="DP604" s="504"/>
      <c r="DQ604" s="504"/>
      <c r="DR604" s="504"/>
      <c r="DS604" s="505"/>
      <c r="DT604" s="504"/>
      <c r="DU604" s="504"/>
      <c r="DV604" s="371">
        <f>DV581/DV253</f>
        <v>-0.1767248999608817</v>
      </c>
      <c r="DW604" s="504"/>
      <c r="DX604" s="504"/>
      <c r="DY604" s="504"/>
      <c r="DZ604" s="505"/>
      <c r="EA604" s="504"/>
      <c r="EB604" s="504"/>
      <c r="EC604" s="371">
        <f>EC581/EC253</f>
        <v>-0.22838599312989624</v>
      </c>
      <c r="ED604" s="504"/>
      <c r="EE604" s="504"/>
      <c r="EF604" s="504"/>
      <c r="EG604" s="505"/>
      <c r="EH604" s="504"/>
      <c r="EI604" s="504"/>
      <c r="EJ604" s="371">
        <f>EJ581/EJ253</f>
        <v>-0.28231513429169669</v>
      </c>
      <c r="EK604" s="504"/>
      <c r="EL604" s="504"/>
      <c r="EM604" s="504"/>
      <c r="EN604" s="505"/>
      <c r="EO604" s="504"/>
      <c r="EP604" s="504"/>
      <c r="EQ604" s="371">
        <f>EQ581/EQ253</f>
        <v>-0.33861189628499117</v>
      </c>
    </row>
    <row r="605" spans="1:147" ht="10.199999999999999" hidden="1" customHeight="1" outlineLevel="1">
      <c r="A605" s="48" t="s">
        <v>378</v>
      </c>
      <c r="B605" s="48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3"/>
      <c r="O605" s="506"/>
      <c r="P605" s="506"/>
      <c r="Q605" s="506"/>
      <c r="R605" s="507"/>
      <c r="S605" s="506"/>
      <c r="T605" s="506"/>
      <c r="U605" s="372"/>
      <c r="V605" s="506"/>
      <c r="W605" s="506"/>
      <c r="X605" s="506"/>
      <c r="Y605" s="507"/>
      <c r="Z605" s="506"/>
      <c r="AA605" s="506"/>
      <c r="AB605" s="372"/>
      <c r="AC605" s="506"/>
      <c r="AD605" s="506"/>
      <c r="AE605" s="506"/>
      <c r="AF605" s="507"/>
      <c r="AG605" s="506"/>
      <c r="AH605" s="506"/>
      <c r="AI605" s="372"/>
      <c r="AJ605" s="506"/>
      <c r="AK605" s="506"/>
      <c r="AL605" s="506"/>
      <c r="AM605" s="507"/>
      <c r="AN605" s="506"/>
      <c r="AO605" s="506"/>
      <c r="AP605" s="372">
        <f t="shared" ref="AP605:AW608" si="1679">AP582/AP254</f>
        <v>0.19</v>
      </c>
      <c r="AQ605" s="506"/>
      <c r="AR605" s="506"/>
      <c r="AS605" s="506"/>
      <c r="AT605" s="507"/>
      <c r="AU605" s="506"/>
      <c r="AV605" s="506"/>
      <c r="AW605" s="372">
        <f t="shared" si="1679"/>
        <v>0.21826406826568279</v>
      </c>
      <c r="AX605" s="506"/>
      <c r="AY605" s="506"/>
      <c r="AZ605" s="506"/>
      <c r="BA605" s="507"/>
      <c r="BB605" s="506"/>
      <c r="BC605" s="506"/>
      <c r="BD605" s="372">
        <f t="shared" si="1678"/>
        <v>0.30305240062395306</v>
      </c>
      <c r="BE605" s="506"/>
      <c r="BF605" s="506"/>
      <c r="BG605" s="506"/>
      <c r="BH605" s="507"/>
      <c r="BI605" s="506"/>
      <c r="BJ605" s="506"/>
      <c r="BK605" s="372">
        <f t="shared" si="1678"/>
        <v>0.24090743667450218</v>
      </c>
      <c r="BL605" s="506"/>
      <c r="BM605" s="506"/>
      <c r="BN605" s="506"/>
      <c r="BO605" s="507"/>
      <c r="BP605" s="506"/>
      <c r="BQ605" s="506"/>
      <c r="BR605" s="372">
        <f t="shared" si="1676"/>
        <v>0.27146116559403194</v>
      </c>
      <c r="BS605" s="506"/>
      <c r="BT605" s="506"/>
      <c r="BU605" s="506"/>
      <c r="BV605" s="507"/>
      <c r="BW605" s="506"/>
      <c r="BX605" s="506"/>
      <c r="BY605" s="372">
        <f t="shared" si="1677"/>
        <v>0.14803776878285763</v>
      </c>
      <c r="BZ605" s="506"/>
      <c r="CA605" s="506"/>
      <c r="CB605" s="506"/>
      <c r="CC605" s="507"/>
      <c r="CD605" s="506"/>
      <c r="CE605" s="506"/>
      <c r="CF605" s="372">
        <f t="shared" si="1677"/>
        <v>0.16783239481945847</v>
      </c>
      <c r="CG605" s="506"/>
      <c r="CH605" s="506"/>
      <c r="CI605" s="506"/>
      <c r="CJ605" s="507"/>
      <c r="CK605" s="506"/>
      <c r="CL605" s="506"/>
      <c r="CM605" s="372">
        <f t="shared" si="1677"/>
        <v>0.10700720719790197</v>
      </c>
      <c r="CN605" s="506"/>
      <c r="CO605" s="506"/>
      <c r="CP605" s="506"/>
      <c r="CQ605" s="507"/>
      <c r="CR605" s="506"/>
      <c r="CS605" s="506"/>
      <c r="CT605" s="372">
        <f>CT582/CT254</f>
        <v>5.6827856806093494E-2</v>
      </c>
      <c r="CU605" s="506"/>
      <c r="CV605" s="506"/>
      <c r="CW605" s="506"/>
      <c r="CX605" s="507"/>
      <c r="CY605" s="506"/>
      <c r="CZ605" s="506"/>
      <c r="DA605" s="372">
        <f>DA582/DA254</f>
        <v>1.5895315000358255E-2</v>
      </c>
      <c r="DB605" s="506"/>
      <c r="DC605" s="506"/>
      <c r="DD605" s="506"/>
      <c r="DE605" s="507"/>
      <c r="DF605" s="506"/>
      <c r="DG605" s="506"/>
      <c r="DH605" s="372">
        <f>DH582/DH254</f>
        <v>-5.6339579449117778E-2</v>
      </c>
      <c r="DI605" s="506"/>
      <c r="DJ605" s="506"/>
      <c r="DK605" s="506"/>
      <c r="DL605" s="507"/>
      <c r="DM605" s="506"/>
      <c r="DN605" s="506"/>
      <c r="DO605" s="372">
        <f>DO582/DO254</f>
        <v>-0.10462616940984544</v>
      </c>
      <c r="DP605" s="506"/>
      <c r="DQ605" s="506"/>
      <c r="DR605" s="506"/>
      <c r="DS605" s="507"/>
      <c r="DT605" s="506"/>
      <c r="DU605" s="506"/>
      <c r="DV605" s="372">
        <f>DV582/DV254</f>
        <v>-0.15397722203781034</v>
      </c>
      <c r="DW605" s="506"/>
      <c r="DX605" s="506"/>
      <c r="DY605" s="506"/>
      <c r="DZ605" s="507"/>
      <c r="EA605" s="506"/>
      <c r="EB605" s="506"/>
      <c r="EC605" s="372">
        <f>EC582/EC254</f>
        <v>-0.20648044936856663</v>
      </c>
      <c r="ED605" s="506"/>
      <c r="EE605" s="506"/>
      <c r="EF605" s="506"/>
      <c r="EG605" s="507"/>
      <c r="EH605" s="506"/>
      <c r="EI605" s="506"/>
      <c r="EJ605" s="372">
        <f>EJ582/EJ254</f>
        <v>-0.25705753719939722</v>
      </c>
      <c r="EK605" s="506"/>
      <c r="EL605" s="506"/>
      <c r="EM605" s="506"/>
      <c r="EN605" s="507"/>
      <c r="EO605" s="506"/>
      <c r="EP605" s="506"/>
      <c r="EQ605" s="372">
        <f>EQ582/EQ254</f>
        <v>-0.30977682743732698</v>
      </c>
    </row>
    <row r="606" spans="1:147" ht="10.199999999999999" hidden="1" customHeight="1" outlineLevel="1">
      <c r="A606" s="43" t="s">
        <v>198</v>
      </c>
      <c r="B606" s="48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3"/>
      <c r="O606" s="415"/>
      <c r="P606" s="415"/>
      <c r="Q606" s="415"/>
      <c r="R606" s="448"/>
      <c r="S606" s="415"/>
      <c r="T606" s="415"/>
      <c r="U606" s="345"/>
      <c r="V606" s="415"/>
      <c r="W606" s="415"/>
      <c r="X606" s="415"/>
      <c r="Y606" s="448"/>
      <c r="Z606" s="415"/>
      <c r="AA606" s="415"/>
      <c r="AB606" s="345"/>
      <c r="AC606" s="415"/>
      <c r="AD606" s="415"/>
      <c r="AE606" s="415"/>
      <c r="AF606" s="448"/>
      <c r="AG606" s="415"/>
      <c r="AH606" s="415"/>
      <c r="AI606" s="345">
        <v>0.1225</v>
      </c>
      <c r="AJ606" s="415"/>
      <c r="AK606" s="415"/>
      <c r="AL606" s="415"/>
      <c r="AM606" s="448"/>
      <c r="AN606" s="415"/>
      <c r="AO606" s="415"/>
      <c r="AP606" s="345">
        <f t="shared" si="1679"/>
        <v>0.10593552915766744</v>
      </c>
      <c r="AQ606" s="415"/>
      <c r="AR606" s="415"/>
      <c r="AS606" s="415"/>
      <c r="AT606" s="448"/>
      <c r="AU606" s="415"/>
      <c r="AV606" s="415"/>
      <c r="AW606" s="345">
        <f t="shared" si="1679"/>
        <v>2.6203945680068605E-2</v>
      </c>
      <c r="AX606" s="415"/>
      <c r="AY606" s="415"/>
      <c r="AZ606" s="415"/>
      <c r="BA606" s="448"/>
      <c r="BB606" s="415"/>
      <c r="BC606" s="415"/>
      <c r="BD606" s="345">
        <f t="shared" si="1678"/>
        <v>7.0081182872350573E-2</v>
      </c>
      <c r="BE606" s="415"/>
      <c r="BF606" s="415"/>
      <c r="BG606" s="415"/>
      <c r="BH606" s="448"/>
      <c r="BI606" s="415"/>
      <c r="BJ606" s="415"/>
      <c r="BK606" s="345">
        <f t="shared" si="1678"/>
        <v>8.8406627067318638E-2</v>
      </c>
      <c r="BL606" s="415"/>
      <c r="BM606" s="415"/>
      <c r="BN606" s="415"/>
      <c r="BO606" s="448"/>
      <c r="BP606" s="415"/>
      <c r="BQ606" s="415"/>
      <c r="BR606" s="345">
        <f t="shared" si="1676"/>
        <v>8.3938032101962518E-2</v>
      </c>
      <c r="BS606" s="415"/>
      <c r="BT606" s="415"/>
      <c r="BU606" s="415"/>
      <c r="BV606" s="448"/>
      <c r="BW606" s="415"/>
      <c r="BX606" s="415"/>
      <c r="BY606" s="345"/>
      <c r="BZ606" s="415"/>
      <c r="CA606" s="415"/>
      <c r="CB606" s="415"/>
      <c r="CC606" s="448"/>
      <c r="CD606" s="415"/>
      <c r="CE606" s="415"/>
      <c r="CF606" s="345"/>
      <c r="CG606" s="415"/>
      <c r="CH606" s="415"/>
      <c r="CI606" s="415"/>
      <c r="CJ606" s="448"/>
      <c r="CK606" s="415"/>
      <c r="CL606" s="415"/>
      <c r="CM606" s="345"/>
      <c r="CN606" s="415"/>
      <c r="CO606" s="415"/>
      <c r="CP606" s="415"/>
      <c r="CQ606" s="448"/>
      <c r="CR606" s="415"/>
      <c r="CS606" s="415"/>
      <c r="CT606" s="345"/>
      <c r="CU606" s="415"/>
      <c r="CV606" s="415"/>
      <c r="CW606" s="415"/>
      <c r="CX606" s="448"/>
      <c r="CY606" s="415"/>
      <c r="CZ606" s="415"/>
      <c r="DA606" s="345"/>
      <c r="DB606" s="415"/>
      <c r="DC606" s="415"/>
      <c r="DD606" s="415"/>
      <c r="DE606" s="448"/>
      <c r="DF606" s="415"/>
      <c r="DG606" s="415"/>
      <c r="DH606" s="345"/>
      <c r="DI606" s="415"/>
      <c r="DJ606" s="415"/>
      <c r="DK606" s="415"/>
      <c r="DL606" s="448"/>
      <c r="DM606" s="415"/>
      <c r="DN606" s="415"/>
      <c r="DO606" s="345"/>
      <c r="DP606" s="415"/>
      <c r="DQ606" s="415"/>
      <c r="DR606" s="415"/>
      <c r="DS606" s="448"/>
      <c r="DT606" s="415"/>
      <c r="DU606" s="415"/>
      <c r="DV606" s="345"/>
      <c r="DW606" s="415"/>
      <c r="DX606" s="415"/>
      <c r="DY606" s="415"/>
      <c r="DZ606" s="448"/>
      <c r="EA606" s="415"/>
      <c r="EB606" s="415"/>
      <c r="EC606" s="345"/>
      <c r="ED606" s="415"/>
      <c r="EE606" s="415"/>
      <c r="EF606" s="415"/>
      <c r="EG606" s="448"/>
      <c r="EH606" s="415"/>
      <c r="EI606" s="415"/>
      <c r="EJ606" s="345"/>
      <c r="EK606" s="415"/>
      <c r="EL606" s="415"/>
      <c r="EM606" s="415"/>
      <c r="EN606" s="448"/>
      <c r="EO606" s="415"/>
      <c r="EP606" s="415"/>
      <c r="EQ606" s="345"/>
    </row>
    <row r="607" spans="1:147" ht="10.199999999999999" hidden="1" customHeight="1" outlineLevel="1">
      <c r="A607" s="43" t="s">
        <v>199</v>
      </c>
      <c r="B607" s="48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3"/>
      <c r="O607" s="415"/>
      <c r="P607" s="415"/>
      <c r="Q607" s="415"/>
      <c r="R607" s="448"/>
      <c r="S607" s="415"/>
      <c r="T607" s="415"/>
      <c r="U607" s="345"/>
      <c r="V607" s="415"/>
      <c r="W607" s="415"/>
      <c r="X607" s="415"/>
      <c r="Y607" s="448"/>
      <c r="Z607" s="415"/>
      <c r="AA607" s="415"/>
      <c r="AB607" s="345"/>
      <c r="AC607" s="415"/>
      <c r="AD607" s="415"/>
      <c r="AE607" s="415"/>
      <c r="AF607" s="448"/>
      <c r="AG607" s="415"/>
      <c r="AH607" s="415"/>
      <c r="AI607" s="345">
        <v>0.1225</v>
      </c>
      <c r="AJ607" s="415"/>
      <c r="AK607" s="415"/>
      <c r="AL607" s="415"/>
      <c r="AM607" s="448"/>
      <c r="AN607" s="415"/>
      <c r="AO607" s="415"/>
      <c r="AP607" s="345">
        <f t="shared" si="1679"/>
        <v>0.10569265795631831</v>
      </c>
      <c r="AQ607" s="415"/>
      <c r="AR607" s="415"/>
      <c r="AS607" s="415"/>
      <c r="AT607" s="448"/>
      <c r="AU607" s="415"/>
      <c r="AV607" s="415"/>
      <c r="AW607" s="345">
        <f t="shared" si="1679"/>
        <v>2.6137286679536693E-2</v>
      </c>
      <c r="AX607" s="415"/>
      <c r="AY607" s="415"/>
      <c r="AZ607" s="415"/>
      <c r="BA607" s="448"/>
      <c r="BB607" s="415"/>
      <c r="BC607" s="415"/>
      <c r="BD607" s="345">
        <f t="shared" si="1678"/>
        <v>5.5210455812955653E-2</v>
      </c>
      <c r="BE607" s="415"/>
      <c r="BF607" s="415"/>
      <c r="BG607" s="415"/>
      <c r="BH607" s="448"/>
      <c r="BI607" s="415"/>
      <c r="BJ607" s="415"/>
      <c r="BK607" s="345">
        <f t="shared" si="1678"/>
        <v>7.3805859407855973E-2</v>
      </c>
      <c r="BL607" s="415"/>
      <c r="BM607" s="415"/>
      <c r="BN607" s="415"/>
      <c r="BO607" s="448"/>
      <c r="BP607" s="415"/>
      <c r="BQ607" s="415"/>
      <c r="BR607" s="345">
        <f t="shared" si="1676"/>
        <v>6.9265692052012148E-2</v>
      </c>
      <c r="BS607" s="415"/>
      <c r="BT607" s="415"/>
      <c r="BU607" s="415"/>
      <c r="BV607" s="448"/>
      <c r="BW607" s="415"/>
      <c r="BX607" s="415"/>
      <c r="BY607" s="345"/>
      <c r="BZ607" s="415"/>
      <c r="CA607" s="415"/>
      <c r="CB607" s="415"/>
      <c r="CC607" s="448"/>
      <c r="CD607" s="415"/>
      <c r="CE607" s="415"/>
      <c r="CF607" s="345"/>
      <c r="CG607" s="415"/>
      <c r="CH607" s="415"/>
      <c r="CI607" s="415"/>
      <c r="CJ607" s="448"/>
      <c r="CK607" s="415"/>
      <c r="CL607" s="415"/>
      <c r="CM607" s="345"/>
      <c r="CN607" s="415"/>
      <c r="CO607" s="415"/>
      <c r="CP607" s="415"/>
      <c r="CQ607" s="448"/>
      <c r="CR607" s="415"/>
      <c r="CS607" s="415"/>
      <c r="CT607" s="345"/>
      <c r="CU607" s="415"/>
      <c r="CV607" s="415"/>
      <c r="CW607" s="415"/>
      <c r="CX607" s="448"/>
      <c r="CY607" s="415"/>
      <c r="CZ607" s="415"/>
      <c r="DA607" s="345"/>
      <c r="DB607" s="415"/>
      <c r="DC607" s="415"/>
      <c r="DD607" s="415"/>
      <c r="DE607" s="448"/>
      <c r="DF607" s="415"/>
      <c r="DG607" s="415"/>
      <c r="DH607" s="345"/>
      <c r="DI607" s="415"/>
      <c r="DJ607" s="415"/>
      <c r="DK607" s="415"/>
      <c r="DL607" s="448"/>
      <c r="DM607" s="415"/>
      <c r="DN607" s="415"/>
      <c r="DO607" s="345"/>
      <c r="DP607" s="415"/>
      <c r="DQ607" s="415"/>
      <c r="DR607" s="415"/>
      <c r="DS607" s="448"/>
      <c r="DT607" s="415"/>
      <c r="DU607" s="415"/>
      <c r="DV607" s="345"/>
      <c r="DW607" s="415"/>
      <c r="DX607" s="415"/>
      <c r="DY607" s="415"/>
      <c r="DZ607" s="448"/>
      <c r="EA607" s="415"/>
      <c r="EB607" s="415"/>
      <c r="EC607" s="345"/>
      <c r="ED607" s="415"/>
      <c r="EE607" s="415"/>
      <c r="EF607" s="415"/>
      <c r="EG607" s="448"/>
      <c r="EH607" s="415"/>
      <c r="EI607" s="415"/>
      <c r="EJ607" s="345"/>
      <c r="EK607" s="415"/>
      <c r="EL607" s="415"/>
      <c r="EM607" s="415"/>
      <c r="EN607" s="448"/>
      <c r="EO607" s="415"/>
      <c r="EP607" s="415"/>
      <c r="EQ607" s="345"/>
    </row>
    <row r="608" spans="1:147" ht="10.199999999999999" hidden="1" customHeight="1" outlineLevel="1">
      <c r="A608" s="48" t="s">
        <v>380</v>
      </c>
      <c r="B608" s="48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3"/>
      <c r="O608" s="415"/>
      <c r="P608" s="415"/>
      <c r="Q608" s="415"/>
      <c r="R608" s="448"/>
      <c r="S608" s="415"/>
      <c r="T608" s="415"/>
      <c r="U608" s="345"/>
      <c r="V608" s="415"/>
      <c r="W608" s="415"/>
      <c r="X608" s="415"/>
      <c r="Y608" s="448"/>
      <c r="Z608" s="415"/>
      <c r="AA608" s="415"/>
      <c r="AB608" s="345"/>
      <c r="AC608" s="415"/>
      <c r="AD608" s="415"/>
      <c r="AE608" s="415"/>
      <c r="AF608" s="448"/>
      <c r="AG608" s="415"/>
      <c r="AH608" s="415"/>
      <c r="AI608" s="345">
        <f>AI585/AI257</f>
        <v>0.1225</v>
      </c>
      <c r="AJ608" s="415"/>
      <c r="AK608" s="415"/>
      <c r="AL608" s="415"/>
      <c r="AM608" s="448"/>
      <c r="AN608" s="415"/>
      <c r="AO608" s="415"/>
      <c r="AP608" s="345">
        <f t="shared" si="1679"/>
        <v>0.10577531700235231</v>
      </c>
      <c r="AQ608" s="415"/>
      <c r="AR608" s="415"/>
      <c r="AS608" s="415"/>
      <c r="AT608" s="448"/>
      <c r="AU608" s="415"/>
      <c r="AV608" s="415"/>
      <c r="AW608" s="345">
        <f t="shared" si="1679"/>
        <v>2.6153886543309281E-2</v>
      </c>
      <c r="AX608" s="415"/>
      <c r="AY608" s="415"/>
      <c r="AZ608" s="415"/>
      <c r="BA608" s="448"/>
      <c r="BB608" s="415"/>
      <c r="BC608" s="415"/>
      <c r="BD608" s="345">
        <f t="shared" si="1678"/>
        <v>5.8913662302935037E-2</v>
      </c>
      <c r="BE608" s="415"/>
      <c r="BF608" s="415"/>
      <c r="BG608" s="415"/>
      <c r="BH608" s="448"/>
      <c r="BI608" s="415"/>
      <c r="BJ608" s="415"/>
      <c r="BK608" s="345">
        <f t="shared" si="1678"/>
        <v>7.7939693858900289E-2</v>
      </c>
      <c r="BL608" s="415"/>
      <c r="BM608" s="415"/>
      <c r="BN608" s="415"/>
      <c r="BO608" s="448"/>
      <c r="BP608" s="415"/>
      <c r="BQ608" s="415"/>
      <c r="BR608" s="345">
        <f t="shared" si="1676"/>
        <v>7.7456787759550075E-2</v>
      </c>
      <c r="BS608" s="415"/>
      <c r="BT608" s="415"/>
      <c r="BU608" s="415"/>
      <c r="BV608" s="448"/>
      <c r="BW608" s="415"/>
      <c r="BX608" s="415"/>
      <c r="BY608" s="345"/>
      <c r="BZ608" s="415"/>
      <c r="CA608" s="415"/>
      <c r="CB608" s="415"/>
      <c r="CC608" s="448"/>
      <c r="CD608" s="415"/>
      <c r="CE608" s="415"/>
      <c r="CF608" s="345"/>
      <c r="CG608" s="415"/>
      <c r="CH608" s="415"/>
      <c r="CI608" s="415"/>
      <c r="CJ608" s="448"/>
      <c r="CK608" s="415"/>
      <c r="CL608" s="415"/>
      <c r="CM608" s="345"/>
      <c r="CN608" s="415"/>
      <c r="CO608" s="415"/>
      <c r="CP608" s="415"/>
      <c r="CQ608" s="448"/>
      <c r="CR608" s="415"/>
      <c r="CS608" s="415"/>
      <c r="CT608" s="345"/>
      <c r="CU608" s="415"/>
      <c r="CV608" s="415"/>
      <c r="CW608" s="415"/>
      <c r="CX608" s="448"/>
      <c r="CY608" s="415"/>
      <c r="CZ608" s="415"/>
      <c r="DA608" s="345"/>
      <c r="DB608" s="415"/>
      <c r="DC608" s="415"/>
      <c r="DD608" s="415"/>
      <c r="DE608" s="448"/>
      <c r="DF608" s="415"/>
      <c r="DG608" s="415"/>
      <c r="DH608" s="345"/>
      <c r="DI608" s="415"/>
      <c r="DJ608" s="415"/>
      <c r="DK608" s="415"/>
      <c r="DL608" s="448"/>
      <c r="DM608" s="415"/>
      <c r="DN608" s="415"/>
      <c r="DO608" s="345"/>
      <c r="DP608" s="415"/>
      <c r="DQ608" s="415"/>
      <c r="DR608" s="415"/>
      <c r="DS608" s="448"/>
      <c r="DT608" s="415"/>
      <c r="DU608" s="415"/>
      <c r="DV608" s="345"/>
      <c r="DW608" s="415"/>
      <c r="DX608" s="415"/>
      <c r="DY608" s="415"/>
      <c r="DZ608" s="448"/>
      <c r="EA608" s="415"/>
      <c r="EB608" s="415"/>
      <c r="EC608" s="345"/>
      <c r="ED608" s="415"/>
      <c r="EE608" s="415"/>
      <c r="EF608" s="415"/>
      <c r="EG608" s="448"/>
      <c r="EH608" s="415"/>
      <c r="EI608" s="415"/>
      <c r="EJ608" s="345"/>
      <c r="EK608" s="415"/>
      <c r="EL608" s="415"/>
      <c r="EM608" s="415"/>
      <c r="EN608" s="448"/>
      <c r="EO608" s="415"/>
      <c r="EP608" s="415"/>
      <c r="EQ608" s="345"/>
    </row>
    <row r="609" spans="1:147" ht="10.199999999999999" hidden="1" customHeight="1" outlineLevel="1">
      <c r="A609" s="108" t="s">
        <v>384</v>
      </c>
      <c r="B609" s="48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3"/>
      <c r="O609" s="415"/>
      <c r="P609" s="415"/>
      <c r="Q609" s="415"/>
      <c r="R609" s="448"/>
      <c r="S609" s="415"/>
      <c r="T609" s="415"/>
      <c r="U609" s="345"/>
      <c r="V609" s="415"/>
      <c r="W609" s="415"/>
      <c r="X609" s="415"/>
      <c r="Y609" s="448"/>
      <c r="Z609" s="415"/>
      <c r="AA609" s="415"/>
      <c r="AB609" s="345"/>
      <c r="AC609" s="415"/>
      <c r="AD609" s="415"/>
      <c r="AE609" s="415"/>
      <c r="AF609" s="448"/>
      <c r="AG609" s="415"/>
      <c r="AH609" s="415"/>
      <c r="AI609" s="345"/>
      <c r="AJ609" s="415"/>
      <c r="AK609" s="415"/>
      <c r="AL609" s="415"/>
      <c r="AM609" s="448"/>
      <c r="AN609" s="415"/>
      <c r="AO609" s="415"/>
      <c r="AP609" s="345"/>
      <c r="AQ609" s="415"/>
      <c r="AR609" s="415"/>
      <c r="AS609" s="415"/>
      <c r="AT609" s="448"/>
      <c r="AU609" s="415"/>
      <c r="AV609" s="415"/>
      <c r="AW609" s="345"/>
      <c r="AX609" s="415"/>
      <c r="AY609" s="415"/>
      <c r="AZ609" s="415"/>
      <c r="BA609" s="448"/>
      <c r="BB609" s="415"/>
      <c r="BC609" s="415"/>
      <c r="BD609" s="345"/>
      <c r="BE609" s="415"/>
      <c r="BF609" s="415"/>
      <c r="BG609" s="415"/>
      <c r="BH609" s="448"/>
      <c r="BI609" s="415"/>
      <c r="BJ609" s="415"/>
      <c r="BK609" s="345"/>
      <c r="BL609" s="415"/>
      <c r="BM609" s="415"/>
      <c r="BN609" s="415"/>
      <c r="BO609" s="448"/>
      <c r="BP609" s="415"/>
      <c r="BQ609" s="415"/>
      <c r="BR609" s="345"/>
      <c r="BS609" s="415"/>
      <c r="BT609" s="415"/>
      <c r="BU609" s="415"/>
      <c r="BV609" s="448"/>
      <c r="BW609" s="415"/>
      <c r="BX609" s="415"/>
      <c r="BY609" s="345"/>
      <c r="BZ609" s="415"/>
      <c r="CA609" s="415"/>
      <c r="CB609" s="415"/>
      <c r="CC609" s="448"/>
      <c r="CD609" s="415"/>
      <c r="CE609" s="415"/>
      <c r="CF609" s="345"/>
      <c r="CG609" s="415"/>
      <c r="CH609" s="415"/>
      <c r="CI609" s="415"/>
      <c r="CJ609" s="448"/>
      <c r="CK609" s="415"/>
      <c r="CL609" s="415"/>
      <c r="CM609" s="345"/>
      <c r="CN609" s="415"/>
      <c r="CO609" s="415"/>
      <c r="CP609" s="415"/>
      <c r="CQ609" s="448"/>
      <c r="CR609" s="415"/>
      <c r="CS609" s="415"/>
      <c r="CT609" s="345"/>
      <c r="CU609" s="415"/>
      <c r="CV609" s="415"/>
      <c r="CW609" s="415"/>
      <c r="CX609" s="448"/>
      <c r="CY609" s="415"/>
      <c r="CZ609" s="415"/>
      <c r="DA609" s="345"/>
      <c r="DB609" s="415"/>
      <c r="DC609" s="415"/>
      <c r="DD609" s="415"/>
      <c r="DE609" s="448"/>
      <c r="DF609" s="415"/>
      <c r="DG609" s="415"/>
      <c r="DH609" s="345"/>
      <c r="DI609" s="415"/>
      <c r="DJ609" s="415"/>
      <c r="DK609" s="415"/>
      <c r="DL609" s="448"/>
      <c r="DM609" s="415"/>
      <c r="DN609" s="415"/>
      <c r="DO609" s="345"/>
      <c r="DP609" s="415"/>
      <c r="DQ609" s="415"/>
      <c r="DR609" s="415"/>
      <c r="DS609" s="448"/>
      <c r="DT609" s="415"/>
      <c r="DU609" s="415"/>
      <c r="DV609" s="345"/>
      <c r="DW609" s="415"/>
      <c r="DX609" s="415"/>
      <c r="DY609" s="415"/>
      <c r="DZ609" s="448"/>
      <c r="EA609" s="415"/>
      <c r="EB609" s="415"/>
      <c r="EC609" s="345"/>
      <c r="ED609" s="415"/>
      <c r="EE609" s="415"/>
      <c r="EF609" s="415"/>
      <c r="EG609" s="448"/>
      <c r="EH609" s="415"/>
      <c r="EI609" s="415"/>
      <c r="EJ609" s="345"/>
      <c r="EK609" s="415"/>
      <c r="EL609" s="415"/>
      <c r="EM609" s="415"/>
      <c r="EN609" s="448"/>
      <c r="EO609" s="415"/>
      <c r="EP609" s="415"/>
      <c r="EQ609" s="345"/>
    </row>
    <row r="610" spans="1:147" ht="10.199999999999999" hidden="1" customHeight="1" outlineLevel="1">
      <c r="A610" s="108" t="s">
        <v>385</v>
      </c>
      <c r="B610" s="48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3"/>
      <c r="O610" s="504"/>
      <c r="P610" s="504"/>
      <c r="Q610" s="504"/>
      <c r="R610" s="505"/>
      <c r="S610" s="504"/>
      <c r="T610" s="504"/>
      <c r="U610" s="371"/>
      <c r="V610" s="504"/>
      <c r="W610" s="504"/>
      <c r="X610" s="504"/>
      <c r="Y610" s="505"/>
      <c r="Z610" s="504"/>
      <c r="AA610" s="504"/>
      <c r="AB610" s="371"/>
      <c r="AC610" s="504"/>
      <c r="AD610" s="504"/>
      <c r="AE610" s="504"/>
      <c r="AF610" s="505"/>
      <c r="AG610" s="504"/>
      <c r="AH610" s="504"/>
      <c r="AI610" s="371"/>
      <c r="AJ610" s="504"/>
      <c r="AK610" s="504"/>
      <c r="AL610" s="504"/>
      <c r="AM610" s="505"/>
      <c r="AN610" s="504"/>
      <c r="AO610" s="504"/>
      <c r="AP610" s="371"/>
      <c r="AQ610" s="504"/>
      <c r="AR610" s="504"/>
      <c r="AS610" s="504"/>
      <c r="AT610" s="505"/>
      <c r="AU610" s="504"/>
      <c r="AV610" s="504"/>
      <c r="AW610" s="371"/>
      <c r="AX610" s="504"/>
      <c r="AY610" s="504"/>
      <c r="AZ610" s="504"/>
      <c r="BA610" s="505"/>
      <c r="BB610" s="504"/>
      <c r="BC610" s="504"/>
      <c r="BD610" s="371"/>
      <c r="BE610" s="504"/>
      <c r="BF610" s="504"/>
      <c r="BG610" s="504"/>
      <c r="BH610" s="505"/>
      <c r="BI610" s="504"/>
      <c r="BJ610" s="504"/>
      <c r="BK610" s="371">
        <v>8.5000000000000006E-2</v>
      </c>
      <c r="BL610" s="504"/>
      <c r="BM610" s="504"/>
      <c r="BN610" s="504"/>
      <c r="BO610" s="505"/>
      <c r="BP610" s="504"/>
      <c r="BQ610" s="504"/>
      <c r="BR610" s="371">
        <f t="shared" ref="BR610:CM611" si="1680">BR587/BR259</f>
        <v>7.6029411764705776E-2</v>
      </c>
      <c r="BS610" s="504"/>
      <c r="BT610" s="504"/>
      <c r="BU610" s="504"/>
      <c r="BV610" s="505"/>
      <c r="BW610" s="504"/>
      <c r="BX610" s="504"/>
      <c r="BY610" s="371">
        <f t="shared" si="1680"/>
        <v>-0.22290224913494819</v>
      </c>
      <c r="BZ610" s="504"/>
      <c r="CA610" s="504"/>
      <c r="CB610" s="504"/>
      <c r="CC610" s="505"/>
      <c r="CD610" s="504"/>
      <c r="CE610" s="504"/>
      <c r="CF610" s="371">
        <f t="shared" si="1680"/>
        <v>-5.5052920822308254E-2</v>
      </c>
      <c r="CG610" s="504"/>
      <c r="CH610" s="504"/>
      <c r="CI610" s="504"/>
      <c r="CJ610" s="505"/>
      <c r="CK610" s="504"/>
      <c r="CL610" s="504"/>
      <c r="CM610" s="371">
        <f t="shared" si="1680"/>
        <v>-2.4021952562828502E-2</v>
      </c>
      <c r="CN610" s="504"/>
      <c r="CO610" s="504"/>
      <c r="CP610" s="504"/>
      <c r="CQ610" s="505"/>
      <c r="CR610" s="504"/>
      <c r="CS610" s="504"/>
      <c r="CT610" s="371">
        <f>CT587/CT259</f>
        <v>1.0606809118039984E-2</v>
      </c>
      <c r="CU610" s="504"/>
      <c r="CV610" s="504"/>
      <c r="CW610" s="504"/>
      <c r="CX610" s="505"/>
      <c r="CY610" s="504"/>
      <c r="CZ610" s="504"/>
      <c r="DA610" s="371">
        <f>DA587/DA259</f>
        <v>3.473835035906335E-2</v>
      </c>
      <c r="DB610" s="504"/>
      <c r="DC610" s="504"/>
      <c r="DD610" s="504"/>
      <c r="DE610" s="505"/>
      <c r="DF610" s="504"/>
      <c r="DG610" s="504"/>
      <c r="DH610" s="371">
        <f>DH587/DH259</f>
        <v>5.8281317423476517E-2</v>
      </c>
      <c r="DI610" s="504"/>
      <c r="DJ610" s="504"/>
      <c r="DK610" s="504"/>
      <c r="DL610" s="505"/>
      <c r="DM610" s="504"/>
      <c r="DN610" s="504"/>
      <c r="DO610" s="371">
        <f>DO587/DO259</f>
        <v>8.1250065779001263E-2</v>
      </c>
      <c r="DP610" s="504"/>
      <c r="DQ610" s="504"/>
      <c r="DR610" s="504"/>
      <c r="DS610" s="505"/>
      <c r="DT610" s="504"/>
      <c r="DU610" s="504"/>
      <c r="DV610" s="371">
        <f>DV587/DV259</f>
        <v>0.10365860076000112</v>
      </c>
      <c r="DW610" s="504"/>
      <c r="DX610" s="504"/>
      <c r="DY610" s="504"/>
      <c r="DZ610" s="505"/>
      <c r="EA610" s="504"/>
      <c r="EB610" s="504"/>
      <c r="EC610" s="371">
        <f>EC587/EC259</f>
        <v>0.12552058610731812</v>
      </c>
      <c r="ED610" s="504"/>
      <c r="EE610" s="504"/>
      <c r="EF610" s="504"/>
      <c r="EG610" s="505"/>
      <c r="EH610" s="504"/>
      <c r="EI610" s="504"/>
      <c r="EJ610" s="371">
        <f>EJ587/EJ259</f>
        <v>0.14684935229982254</v>
      </c>
      <c r="EK610" s="504"/>
      <c r="EL610" s="504"/>
      <c r="EM610" s="504"/>
      <c r="EN610" s="505"/>
      <c r="EO610" s="504"/>
      <c r="EP610" s="504"/>
      <c r="EQ610" s="371">
        <f>EQ587/EQ259</f>
        <v>0.16765790468275368</v>
      </c>
    </row>
    <row r="611" spans="1:147" ht="10.199999999999999" hidden="1" customHeight="1" outlineLevel="1">
      <c r="A611" s="48" t="s">
        <v>381</v>
      </c>
      <c r="B611" s="48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3"/>
      <c r="O611" s="506"/>
      <c r="P611" s="506"/>
      <c r="Q611" s="506"/>
      <c r="R611" s="507"/>
      <c r="S611" s="506"/>
      <c r="T611" s="506"/>
      <c r="U611" s="372"/>
      <c r="V611" s="506"/>
      <c r="W611" s="506"/>
      <c r="X611" s="506"/>
      <c r="Y611" s="507"/>
      <c r="Z611" s="506"/>
      <c r="AA611" s="506"/>
      <c r="AB611" s="372"/>
      <c r="AC611" s="506"/>
      <c r="AD611" s="506"/>
      <c r="AE611" s="506"/>
      <c r="AF611" s="507"/>
      <c r="AG611" s="506"/>
      <c r="AH611" s="506"/>
      <c r="AI611" s="372"/>
      <c r="AJ611" s="506"/>
      <c r="AK611" s="506"/>
      <c r="AL611" s="506"/>
      <c r="AM611" s="507"/>
      <c r="AN611" s="506"/>
      <c r="AO611" s="506"/>
      <c r="AP611" s="372"/>
      <c r="AQ611" s="506"/>
      <c r="AR611" s="506"/>
      <c r="AS611" s="506"/>
      <c r="AT611" s="507"/>
      <c r="AU611" s="506"/>
      <c r="AV611" s="506"/>
      <c r="AW611" s="372"/>
      <c r="AX611" s="506"/>
      <c r="AY611" s="506"/>
      <c r="AZ611" s="506"/>
      <c r="BA611" s="507"/>
      <c r="BB611" s="506"/>
      <c r="BC611" s="506"/>
      <c r="BD611" s="372"/>
      <c r="BE611" s="506"/>
      <c r="BF611" s="506"/>
      <c r="BG611" s="506"/>
      <c r="BH611" s="507"/>
      <c r="BI611" s="506"/>
      <c r="BJ611" s="506"/>
      <c r="BK611" s="372">
        <f>BK588/BK260</f>
        <v>8.5000000000000006E-2</v>
      </c>
      <c r="BL611" s="506"/>
      <c r="BM611" s="506"/>
      <c r="BN611" s="506"/>
      <c r="BO611" s="507"/>
      <c r="BP611" s="506"/>
      <c r="BQ611" s="506"/>
      <c r="BR611" s="372">
        <f t="shared" si="1680"/>
        <v>7.6029411764705776E-2</v>
      </c>
      <c r="BS611" s="506"/>
      <c r="BT611" s="506"/>
      <c r="BU611" s="506"/>
      <c r="BV611" s="507"/>
      <c r="BW611" s="506"/>
      <c r="BX611" s="506"/>
      <c r="BY611" s="372">
        <f t="shared" si="1680"/>
        <v>-0.25867108645638875</v>
      </c>
      <c r="BZ611" s="506"/>
      <c r="CA611" s="506"/>
      <c r="CB611" s="506"/>
      <c r="CC611" s="507"/>
      <c r="CD611" s="506"/>
      <c r="CE611" s="506"/>
      <c r="CF611" s="372">
        <f t="shared" si="1680"/>
        <v>-6.4415550374231204E-2</v>
      </c>
      <c r="CG611" s="506"/>
      <c r="CH611" s="506"/>
      <c r="CI611" s="506"/>
      <c r="CJ611" s="507"/>
      <c r="CK611" s="506"/>
      <c r="CL611" s="506"/>
      <c r="CM611" s="372">
        <f t="shared" si="1680"/>
        <v>-4.0738622033083545E-2</v>
      </c>
      <c r="CN611" s="506"/>
      <c r="CO611" s="506"/>
      <c r="CP611" s="506"/>
      <c r="CQ611" s="507"/>
      <c r="CR611" s="506"/>
      <c r="CS611" s="506"/>
      <c r="CT611" s="372">
        <f>CT588/CT260</f>
        <v>1.0606809118039984E-2</v>
      </c>
      <c r="CU611" s="506"/>
      <c r="CV611" s="506"/>
      <c r="CW611" s="506"/>
      <c r="CX611" s="507"/>
      <c r="CY611" s="506"/>
      <c r="CZ611" s="506"/>
      <c r="DA611" s="372">
        <f>DA588/DA260</f>
        <v>3.473835035906335E-2</v>
      </c>
      <c r="DB611" s="506"/>
      <c r="DC611" s="506"/>
      <c r="DD611" s="506"/>
      <c r="DE611" s="507"/>
      <c r="DF611" s="506"/>
      <c r="DG611" s="506"/>
      <c r="DH611" s="372">
        <f>DH588/DH260</f>
        <v>5.4858113599787567E-2</v>
      </c>
      <c r="DI611" s="506"/>
      <c r="DJ611" s="506"/>
      <c r="DK611" s="506"/>
      <c r="DL611" s="507"/>
      <c r="DM611" s="506"/>
      <c r="DN611" s="506"/>
      <c r="DO611" s="372">
        <f>DO588/DO260</f>
        <v>6.7328456430335332E-2</v>
      </c>
      <c r="DP611" s="506"/>
      <c r="DQ611" s="506"/>
      <c r="DR611" s="506"/>
      <c r="DS611" s="507"/>
      <c r="DT611" s="506"/>
      <c r="DU611" s="506"/>
      <c r="DV611" s="372">
        <f>DV588/DV260</f>
        <v>9.0076542858863642E-2</v>
      </c>
      <c r="DW611" s="506"/>
      <c r="DX611" s="506"/>
      <c r="DY611" s="506"/>
      <c r="DZ611" s="507"/>
      <c r="EA611" s="506"/>
      <c r="EB611" s="506"/>
      <c r="EC611" s="372">
        <f>EC588/EC260</f>
        <v>0.11226979791108639</v>
      </c>
      <c r="ED611" s="506"/>
      <c r="EE611" s="506"/>
      <c r="EF611" s="506"/>
      <c r="EG611" s="507"/>
      <c r="EH611" s="506"/>
      <c r="EI611" s="506"/>
      <c r="EJ611" s="372">
        <f>EJ588/EJ260</f>
        <v>0.1339217540595965</v>
      </c>
      <c r="EK611" s="506"/>
      <c r="EL611" s="506"/>
      <c r="EM611" s="506"/>
      <c r="EN611" s="507"/>
      <c r="EO611" s="506"/>
      <c r="EP611" s="506"/>
      <c r="EQ611" s="372">
        <f>EQ588/EQ260</f>
        <v>0.15687072039135538</v>
      </c>
    </row>
    <row r="612" spans="1:147" ht="10.199999999999999" hidden="1" customHeight="1" outlineLevel="1">
      <c r="A612" s="108" t="s">
        <v>371</v>
      </c>
      <c r="B612" s="48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3"/>
      <c r="O612" s="504"/>
      <c r="P612" s="504"/>
      <c r="Q612" s="504"/>
      <c r="R612" s="505"/>
      <c r="S612" s="504"/>
      <c r="T612" s="504"/>
      <c r="U612" s="371"/>
      <c r="V612" s="504"/>
      <c r="W612" s="504"/>
      <c r="X612" s="504"/>
      <c r="Y612" s="505"/>
      <c r="Z612" s="504"/>
      <c r="AA612" s="504"/>
      <c r="AB612" s="371"/>
      <c r="AC612" s="504"/>
      <c r="AD612" s="504"/>
      <c r="AE612" s="504"/>
      <c r="AF612" s="505"/>
      <c r="AG612" s="504"/>
      <c r="AH612" s="504"/>
      <c r="AI612" s="371"/>
      <c r="AJ612" s="504"/>
      <c r="AK612" s="504"/>
      <c r="AL612" s="504"/>
      <c r="AM612" s="505"/>
      <c r="AN612" s="504"/>
      <c r="AO612" s="504"/>
      <c r="AP612" s="371"/>
      <c r="AQ612" s="504"/>
      <c r="AR612" s="504"/>
      <c r="AS612" s="504"/>
      <c r="AT612" s="505"/>
      <c r="AU612" s="504"/>
      <c r="AV612" s="504"/>
      <c r="AW612" s="371"/>
      <c r="AX612" s="504"/>
      <c r="AY612" s="504"/>
      <c r="AZ612" s="504"/>
      <c r="BA612" s="505"/>
      <c r="BB612" s="504"/>
      <c r="BC612" s="504"/>
      <c r="BD612" s="371"/>
      <c r="BE612" s="504"/>
      <c r="BF612" s="504"/>
      <c r="BG612" s="504"/>
      <c r="BH612" s="505"/>
      <c r="BI612" s="504"/>
      <c r="BJ612" s="504"/>
      <c r="BK612" s="371"/>
      <c r="BL612" s="504"/>
      <c r="BM612" s="504"/>
      <c r="BN612" s="504"/>
      <c r="BO612" s="505"/>
      <c r="BP612" s="504"/>
      <c r="BQ612" s="504"/>
      <c r="BR612" s="371"/>
      <c r="BS612" s="504"/>
      <c r="BT612" s="504"/>
      <c r="BU612" s="504"/>
      <c r="BV612" s="505"/>
      <c r="BW612" s="504"/>
      <c r="BX612" s="504"/>
      <c r="BY612" s="371">
        <f>BY613</f>
        <v>-5.7278882254812868E-2</v>
      </c>
      <c r="BZ612" s="504"/>
      <c r="CA612" s="504"/>
      <c r="CB612" s="504"/>
      <c r="CC612" s="505"/>
      <c r="CD612" s="504"/>
      <c r="CE612" s="504"/>
      <c r="CF612" s="371">
        <f>CF613</f>
        <v>-5.4514860658512448E-3</v>
      </c>
      <c r="CG612" s="504"/>
      <c r="CH612" s="504"/>
      <c r="CI612" s="504"/>
      <c r="CJ612" s="505"/>
      <c r="CK612" s="504"/>
      <c r="CL612" s="504"/>
      <c r="CM612" s="371">
        <f>CM613</f>
        <v>-6.4595691128548224E-2</v>
      </c>
      <c r="CN612" s="504"/>
      <c r="CO612" s="504"/>
      <c r="CP612" s="504"/>
      <c r="CQ612" s="505"/>
      <c r="CR612" s="504"/>
      <c r="CS612" s="504"/>
      <c r="CT612" s="371">
        <f>CT613</f>
        <v>-4.9166768068714332E-2</v>
      </c>
      <c r="CU612" s="504"/>
      <c r="CV612" s="504"/>
      <c r="CW612" s="504"/>
      <c r="CX612" s="505"/>
      <c r="CY612" s="504"/>
      <c r="CZ612" s="504"/>
      <c r="DA612" s="371">
        <f>DA613</f>
        <v>-4.4048881395208399E-2</v>
      </c>
      <c r="DB612" s="504"/>
      <c r="DC612" s="504"/>
      <c r="DD612" s="504"/>
      <c r="DE612" s="505"/>
      <c r="DF612" s="504"/>
      <c r="DG612" s="504"/>
      <c r="DH612" s="371">
        <f>DH613</f>
        <v>-3.8955960022548967E-2</v>
      </c>
      <c r="DI612" s="504"/>
      <c r="DJ612" s="504"/>
      <c r="DK612" s="504"/>
      <c r="DL612" s="505"/>
      <c r="DM612" s="504"/>
      <c r="DN612" s="504"/>
      <c r="DO612" s="371">
        <f>DO613</f>
        <v>-3.38878821687804E-2</v>
      </c>
      <c r="DP612" s="504"/>
      <c r="DQ612" s="504"/>
      <c r="DR612" s="504"/>
      <c r="DS612" s="505"/>
      <c r="DT612" s="504"/>
      <c r="DU612" s="504"/>
      <c r="DV612" s="371">
        <f>DV613</f>
        <v>-2.8844526646006168E-2</v>
      </c>
      <c r="DW612" s="504"/>
      <c r="DX612" s="504"/>
      <c r="DY612" s="504"/>
      <c r="DZ612" s="505"/>
      <c r="EA612" s="504"/>
      <c r="EB612" s="504"/>
      <c r="EC612" s="371">
        <f>EC613</f>
        <v>-2.3825772857489116E-2</v>
      </c>
      <c r="ED612" s="504"/>
      <c r="EE612" s="504"/>
      <c r="EF612" s="504"/>
      <c r="EG612" s="505"/>
      <c r="EH612" s="504"/>
      <c r="EI612" s="504"/>
      <c r="EJ612" s="371">
        <f>EJ613</f>
        <v>-1.8831500794769727E-2</v>
      </c>
      <c r="EK612" s="504"/>
      <c r="EL612" s="504"/>
      <c r="EM612" s="504"/>
      <c r="EN612" s="505"/>
      <c r="EO612" s="504"/>
      <c r="EP612" s="504"/>
      <c r="EQ612" s="371">
        <f>EQ613</f>
        <v>-1.3861591034795496E-2</v>
      </c>
    </row>
    <row r="613" spans="1:147" ht="10.199999999999999" hidden="1" customHeight="1" outlineLevel="1">
      <c r="A613" s="108" t="s">
        <v>369</v>
      </c>
      <c r="B613" s="48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3"/>
      <c r="O613" s="504"/>
      <c r="P613" s="504"/>
      <c r="Q613" s="504"/>
      <c r="R613" s="505"/>
      <c r="S613" s="504"/>
      <c r="T613" s="504"/>
      <c r="U613" s="371"/>
      <c r="V613" s="504"/>
      <c r="W613" s="504"/>
      <c r="X613" s="504"/>
      <c r="Y613" s="505"/>
      <c r="Z613" s="504"/>
      <c r="AA613" s="504"/>
      <c r="AB613" s="371"/>
      <c r="AC613" s="504"/>
      <c r="AD613" s="504"/>
      <c r="AE613" s="504"/>
      <c r="AF613" s="505"/>
      <c r="AG613" s="504"/>
      <c r="AH613" s="504"/>
      <c r="AI613" s="371">
        <v>-0.72</v>
      </c>
      <c r="AJ613" s="504"/>
      <c r="AK613" s="504"/>
      <c r="AL613" s="504"/>
      <c r="AM613" s="505"/>
      <c r="AN613" s="504"/>
      <c r="AO613" s="504"/>
      <c r="AP613" s="371">
        <f t="shared" ref="AP613:CM613" si="1681">AP590/AP266</f>
        <v>-0.20811996105160646</v>
      </c>
      <c r="AQ613" s="504"/>
      <c r="AR613" s="504"/>
      <c r="AS613" s="504"/>
      <c r="AT613" s="505"/>
      <c r="AU613" s="504"/>
      <c r="AV613" s="504"/>
      <c r="AW613" s="371">
        <f t="shared" si="1681"/>
        <v>-0.10781424843187654</v>
      </c>
      <c r="AX613" s="504"/>
      <c r="AY613" s="504"/>
      <c r="AZ613" s="504"/>
      <c r="BA613" s="505"/>
      <c r="BB613" s="504"/>
      <c r="BC613" s="504"/>
      <c r="BD613" s="371">
        <f t="shared" si="1681"/>
        <v>-0.20234145284204511</v>
      </c>
      <c r="BE613" s="504"/>
      <c r="BF613" s="504"/>
      <c r="BG613" s="504"/>
      <c r="BH613" s="505"/>
      <c r="BI613" s="504"/>
      <c r="BJ613" s="504"/>
      <c r="BK613" s="371">
        <f t="shared" si="1681"/>
        <v>-2.0401622539802756E-2</v>
      </c>
      <c r="BL613" s="504"/>
      <c r="BM613" s="504"/>
      <c r="BN613" s="504"/>
      <c r="BO613" s="505"/>
      <c r="BP613" s="504"/>
      <c r="BQ613" s="504"/>
      <c r="BR613" s="371">
        <f t="shared" si="1681"/>
        <v>1.9614127363718824E-2</v>
      </c>
      <c r="BS613" s="504"/>
      <c r="BT613" s="504"/>
      <c r="BU613" s="504"/>
      <c r="BV613" s="505"/>
      <c r="BW613" s="504"/>
      <c r="BX613" s="504"/>
      <c r="BY613" s="371">
        <f t="shared" si="1681"/>
        <v>-5.7278882254812868E-2</v>
      </c>
      <c r="BZ613" s="504"/>
      <c r="CA613" s="504"/>
      <c r="CB613" s="504"/>
      <c r="CC613" s="505"/>
      <c r="CD613" s="504"/>
      <c r="CE613" s="504"/>
      <c r="CF613" s="371">
        <f t="shared" si="1681"/>
        <v>-5.4514860658512448E-3</v>
      </c>
      <c r="CG613" s="504"/>
      <c r="CH613" s="504"/>
      <c r="CI613" s="504"/>
      <c r="CJ613" s="505"/>
      <c r="CK613" s="504"/>
      <c r="CL613" s="504"/>
      <c r="CM613" s="371">
        <f t="shared" si="1681"/>
        <v>-6.4595691128548224E-2</v>
      </c>
      <c r="CN613" s="504"/>
      <c r="CO613" s="504"/>
      <c r="CP613" s="504"/>
      <c r="CQ613" s="505"/>
      <c r="CR613" s="504"/>
      <c r="CS613" s="504"/>
      <c r="CT613" s="371">
        <f>CT590/CT266</f>
        <v>-4.9166768068714332E-2</v>
      </c>
      <c r="CU613" s="504"/>
      <c r="CV613" s="504"/>
      <c r="CW613" s="504"/>
      <c r="CX613" s="505"/>
      <c r="CY613" s="504"/>
      <c r="CZ613" s="504"/>
      <c r="DA613" s="371">
        <f>DA590/DA266</f>
        <v>-4.4048881395208399E-2</v>
      </c>
      <c r="DB613" s="504"/>
      <c r="DC613" s="504"/>
      <c r="DD613" s="504"/>
      <c r="DE613" s="505"/>
      <c r="DF613" s="504"/>
      <c r="DG613" s="504"/>
      <c r="DH613" s="371">
        <f>DH590/DH266</f>
        <v>-3.8955960022548967E-2</v>
      </c>
      <c r="DI613" s="504"/>
      <c r="DJ613" s="504"/>
      <c r="DK613" s="504"/>
      <c r="DL613" s="505"/>
      <c r="DM613" s="504"/>
      <c r="DN613" s="504"/>
      <c r="DO613" s="371">
        <f>DO590/DO266</f>
        <v>-3.38878821687804E-2</v>
      </c>
      <c r="DP613" s="504"/>
      <c r="DQ613" s="504"/>
      <c r="DR613" s="504"/>
      <c r="DS613" s="505"/>
      <c r="DT613" s="504"/>
      <c r="DU613" s="504"/>
      <c r="DV613" s="371">
        <f>DV590/DV266</f>
        <v>-2.8844526646006168E-2</v>
      </c>
      <c r="DW613" s="504"/>
      <c r="DX613" s="504"/>
      <c r="DY613" s="504"/>
      <c r="DZ613" s="505"/>
      <c r="EA613" s="504"/>
      <c r="EB613" s="504"/>
      <c r="EC613" s="371">
        <f>EC590/EC266</f>
        <v>-2.3825772857489116E-2</v>
      </c>
      <c r="ED613" s="504"/>
      <c r="EE613" s="504"/>
      <c r="EF613" s="504"/>
      <c r="EG613" s="505"/>
      <c r="EH613" s="504"/>
      <c r="EI613" s="504"/>
      <c r="EJ613" s="371">
        <f>EJ590/EJ266</f>
        <v>-1.8831500794769727E-2</v>
      </c>
      <c r="EK613" s="504"/>
      <c r="EL613" s="504"/>
      <c r="EM613" s="504"/>
      <c r="EN613" s="505"/>
      <c r="EO613" s="504"/>
      <c r="EP613" s="504"/>
      <c r="EQ613" s="371">
        <f>EQ590/EQ266</f>
        <v>-1.3861591034795496E-2</v>
      </c>
    </row>
    <row r="614" spans="1:147" ht="10.199999999999999" hidden="1" customHeight="1" outlineLevel="1">
      <c r="A614" s="108" t="s">
        <v>370</v>
      </c>
      <c r="B614" s="48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3"/>
      <c r="O614" s="504"/>
      <c r="P614" s="504"/>
      <c r="Q614" s="504"/>
      <c r="R614" s="505"/>
      <c r="S614" s="504"/>
      <c r="T614" s="504"/>
      <c r="U614" s="371"/>
      <c r="V614" s="504"/>
      <c r="W614" s="504"/>
      <c r="X614" s="504"/>
      <c r="Y614" s="505"/>
      <c r="Z614" s="504"/>
      <c r="AA614" s="504"/>
      <c r="AB614" s="371"/>
      <c r="AC614" s="504"/>
      <c r="AD614" s="504"/>
      <c r="AE614" s="504"/>
      <c r="AF614" s="505"/>
      <c r="AG614" s="504"/>
      <c r="AH614" s="504"/>
      <c r="AI614" s="371"/>
      <c r="AJ614" s="504"/>
      <c r="AK614" s="504"/>
      <c r="AL614" s="504"/>
      <c r="AM614" s="505"/>
      <c r="AN614" s="504"/>
      <c r="AO614" s="504"/>
      <c r="AP614" s="371"/>
      <c r="AQ614" s="504"/>
      <c r="AR614" s="504"/>
      <c r="AS614" s="504"/>
      <c r="AT614" s="505"/>
      <c r="AU614" s="504"/>
      <c r="AV614" s="504"/>
      <c r="AW614" s="371">
        <f>AW613</f>
        <v>-0.10781424843187654</v>
      </c>
      <c r="AX614" s="504"/>
      <c r="AY614" s="504"/>
      <c r="AZ614" s="504"/>
      <c r="BA614" s="505"/>
      <c r="BB614" s="504"/>
      <c r="BC614" s="504"/>
      <c r="BD614" s="371">
        <f>BD613</f>
        <v>-0.20234145284204511</v>
      </c>
      <c r="BE614" s="504"/>
      <c r="BF614" s="504"/>
      <c r="BG614" s="504"/>
      <c r="BH614" s="505"/>
      <c r="BI614" s="504"/>
      <c r="BJ614" s="504"/>
      <c r="BK614" s="371">
        <f>BK613</f>
        <v>-2.0401622539802756E-2</v>
      </c>
      <c r="BL614" s="504"/>
      <c r="BM614" s="504"/>
      <c r="BN614" s="504"/>
      <c r="BO614" s="505"/>
      <c r="BP614" s="504"/>
      <c r="BQ614" s="504"/>
      <c r="BR614" s="371">
        <f t="shared" ref="BR614:CM615" si="1682">BR591/BR267</f>
        <v>1.9614127363718953E-2</v>
      </c>
      <c r="BS614" s="504"/>
      <c r="BT614" s="504"/>
      <c r="BU614" s="504"/>
      <c r="BV614" s="505"/>
      <c r="BW614" s="504"/>
      <c r="BX614" s="504"/>
      <c r="BY614" s="371">
        <f t="shared" si="1682"/>
        <v>-5.7278882254813202E-2</v>
      </c>
      <c r="BZ614" s="504"/>
      <c r="CA614" s="504"/>
      <c r="CB614" s="504"/>
      <c r="CC614" s="505"/>
      <c r="CD614" s="504"/>
      <c r="CE614" s="504"/>
      <c r="CF614" s="371">
        <f t="shared" si="1682"/>
        <v>-5.4514860658515822E-3</v>
      </c>
      <c r="CG614" s="504"/>
      <c r="CH614" s="504"/>
      <c r="CI614" s="504"/>
      <c r="CJ614" s="505"/>
      <c r="CK614" s="504"/>
      <c r="CL614" s="504"/>
      <c r="CM614" s="371">
        <f t="shared" si="1682"/>
        <v>-6.4595691128548613E-2</v>
      </c>
      <c r="CN614" s="504"/>
      <c r="CO614" s="504"/>
      <c r="CP614" s="504"/>
      <c r="CQ614" s="505"/>
      <c r="CR614" s="504"/>
      <c r="CS614" s="504"/>
      <c r="CT614" s="371">
        <f>CT591/CT267</f>
        <v>-4.9166768068714548E-2</v>
      </c>
      <c r="CU614" s="504"/>
      <c r="CV614" s="504"/>
      <c r="CW614" s="504"/>
      <c r="CX614" s="505"/>
      <c r="CY614" s="504"/>
      <c r="CZ614" s="504"/>
      <c r="DA614" s="371">
        <f>DA591/DA267</f>
        <v>-4.4048881395208614E-2</v>
      </c>
      <c r="DB614" s="504"/>
      <c r="DC614" s="504"/>
      <c r="DD614" s="504"/>
      <c r="DE614" s="505"/>
      <c r="DF614" s="504"/>
      <c r="DG614" s="504"/>
      <c r="DH614" s="371">
        <f>DH591/DH267</f>
        <v>-3.8955960022549127E-2</v>
      </c>
      <c r="DI614" s="504"/>
      <c r="DJ614" s="504"/>
      <c r="DK614" s="504"/>
      <c r="DL614" s="505"/>
      <c r="DM614" s="504"/>
      <c r="DN614" s="504"/>
      <c r="DO614" s="371">
        <f>DO591/DO267</f>
        <v>-3.3887882168780706E-2</v>
      </c>
      <c r="DP614" s="504"/>
      <c r="DQ614" s="504"/>
      <c r="DR614" s="504"/>
      <c r="DS614" s="505"/>
      <c r="DT614" s="504"/>
      <c r="DU614" s="504"/>
      <c r="DV614" s="371">
        <f>DV591/DV267</f>
        <v>-2.8844526646006237E-2</v>
      </c>
      <c r="DW614" s="504"/>
      <c r="DX614" s="504"/>
      <c r="DY614" s="504"/>
      <c r="DZ614" s="505"/>
      <c r="EA614" s="504"/>
      <c r="EB614" s="504"/>
      <c r="EC614" s="371">
        <f>EC591/EC267</f>
        <v>-2.3825772857489113E-2</v>
      </c>
      <c r="ED614" s="504"/>
      <c r="EE614" s="504"/>
      <c r="EF614" s="504"/>
      <c r="EG614" s="505"/>
      <c r="EH614" s="504"/>
      <c r="EI614" s="504"/>
      <c r="EJ614" s="371">
        <f>EJ591/EJ267</f>
        <v>-1.8831500794769779E-2</v>
      </c>
      <c r="EK614" s="504"/>
      <c r="EL614" s="504"/>
      <c r="EM614" s="504"/>
      <c r="EN614" s="505"/>
      <c r="EO614" s="504"/>
      <c r="EP614" s="504"/>
      <c r="EQ614" s="371">
        <f>EQ591/EQ267</f>
        <v>-1.3861591034795475E-2</v>
      </c>
    </row>
    <row r="615" spans="1:147" ht="10.199999999999999" hidden="1" customHeight="1" outlineLevel="1">
      <c r="A615" s="48" t="s">
        <v>238</v>
      </c>
      <c r="B615" s="48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3"/>
      <c r="O615" s="506"/>
      <c r="P615" s="506"/>
      <c r="Q615" s="506"/>
      <c r="R615" s="507"/>
      <c r="S615" s="506"/>
      <c r="T615" s="506"/>
      <c r="U615" s="372"/>
      <c r="V615" s="506"/>
      <c r="W615" s="506"/>
      <c r="X615" s="506"/>
      <c r="Y615" s="507"/>
      <c r="Z615" s="506"/>
      <c r="AA615" s="506"/>
      <c r="AB615" s="372"/>
      <c r="AC615" s="506"/>
      <c r="AD615" s="506"/>
      <c r="AE615" s="506"/>
      <c r="AF615" s="507"/>
      <c r="AG615" s="506"/>
      <c r="AH615" s="506"/>
      <c r="AI615" s="372">
        <f>AI592/AI268</f>
        <v>-0.72</v>
      </c>
      <c r="AJ615" s="506"/>
      <c r="AK615" s="506"/>
      <c r="AL615" s="506"/>
      <c r="AM615" s="507"/>
      <c r="AN615" s="506"/>
      <c r="AO615" s="506"/>
      <c r="AP615" s="372">
        <f>AP592/AP268</f>
        <v>-0.20811996105160646</v>
      </c>
      <c r="AQ615" s="506"/>
      <c r="AR615" s="506"/>
      <c r="AS615" s="506"/>
      <c r="AT615" s="507"/>
      <c r="AU615" s="506"/>
      <c r="AV615" s="506"/>
      <c r="AW615" s="372">
        <f>AW592/AW268</f>
        <v>-0.10781424843187654</v>
      </c>
      <c r="AX615" s="506"/>
      <c r="AY615" s="506"/>
      <c r="AZ615" s="506"/>
      <c r="BA615" s="507"/>
      <c r="BB615" s="506"/>
      <c r="BC615" s="506"/>
      <c r="BD615" s="372">
        <f>BD592/BD268</f>
        <v>-0.20234145284204511</v>
      </c>
      <c r="BE615" s="506"/>
      <c r="BF615" s="506"/>
      <c r="BG615" s="506"/>
      <c r="BH615" s="507"/>
      <c r="BI615" s="506"/>
      <c r="BJ615" s="506"/>
      <c r="BK615" s="372">
        <f>BK592/BK268</f>
        <v>-2.0401622539802756E-2</v>
      </c>
      <c r="BL615" s="506"/>
      <c r="BM615" s="506"/>
      <c r="BN615" s="506"/>
      <c r="BO615" s="507"/>
      <c r="BP615" s="506"/>
      <c r="BQ615" s="506"/>
      <c r="BR615" s="372">
        <f t="shared" si="1682"/>
        <v>1.9614127363718856E-2</v>
      </c>
      <c r="BS615" s="506"/>
      <c r="BT615" s="506"/>
      <c r="BU615" s="506"/>
      <c r="BV615" s="507"/>
      <c r="BW615" s="506"/>
      <c r="BX615" s="506"/>
      <c r="BY615" s="372">
        <f t="shared" si="1682"/>
        <v>-5.7278882254812959E-2</v>
      </c>
      <c r="BZ615" s="506"/>
      <c r="CA615" s="506"/>
      <c r="CB615" s="506"/>
      <c r="CC615" s="507"/>
      <c r="CD615" s="506"/>
      <c r="CE615" s="506"/>
      <c r="CF615" s="372">
        <f t="shared" si="1682"/>
        <v>-5.4514860658512873E-3</v>
      </c>
      <c r="CG615" s="506"/>
      <c r="CH615" s="506"/>
      <c r="CI615" s="506"/>
      <c r="CJ615" s="507"/>
      <c r="CK615" s="506"/>
      <c r="CL615" s="506"/>
      <c r="CM615" s="372">
        <f t="shared" si="1682"/>
        <v>-6.4595691128548294E-2</v>
      </c>
      <c r="CN615" s="506"/>
      <c r="CO615" s="506"/>
      <c r="CP615" s="506"/>
      <c r="CQ615" s="507"/>
      <c r="CR615" s="506"/>
      <c r="CS615" s="506"/>
      <c r="CT615" s="372">
        <f>CT592/CT268</f>
        <v>-4.9166768068714381E-2</v>
      </c>
      <c r="CU615" s="506"/>
      <c r="CV615" s="506"/>
      <c r="CW615" s="506"/>
      <c r="CX615" s="507"/>
      <c r="CY615" s="506"/>
      <c r="CZ615" s="506"/>
      <c r="DA615" s="372">
        <f>DA592/DA268</f>
        <v>-4.4048881395208454E-2</v>
      </c>
      <c r="DB615" s="506"/>
      <c r="DC615" s="506"/>
      <c r="DD615" s="506"/>
      <c r="DE615" s="507"/>
      <c r="DF615" s="506"/>
      <c r="DG615" s="506"/>
      <c r="DH615" s="372">
        <f>DH592/DH268</f>
        <v>-3.8955960022549016E-2</v>
      </c>
      <c r="DI615" s="506"/>
      <c r="DJ615" s="506"/>
      <c r="DK615" s="506"/>
      <c r="DL615" s="507"/>
      <c r="DM615" s="506"/>
      <c r="DN615" s="506"/>
      <c r="DO615" s="372">
        <f>DO592/DO268</f>
        <v>-3.3887882168780491E-2</v>
      </c>
      <c r="DP615" s="506"/>
      <c r="DQ615" s="506"/>
      <c r="DR615" s="506"/>
      <c r="DS615" s="507"/>
      <c r="DT615" s="506"/>
      <c r="DU615" s="506"/>
      <c r="DV615" s="372">
        <f>DV592/DV268</f>
        <v>-2.8844526646006188E-2</v>
      </c>
      <c r="DW615" s="506"/>
      <c r="DX615" s="506"/>
      <c r="DY615" s="506"/>
      <c r="DZ615" s="507"/>
      <c r="EA615" s="506"/>
      <c r="EB615" s="506"/>
      <c r="EC615" s="372">
        <f>EC592/EC268</f>
        <v>-2.3825772857489116E-2</v>
      </c>
      <c r="ED615" s="506"/>
      <c r="EE615" s="506"/>
      <c r="EF615" s="506"/>
      <c r="EG615" s="507"/>
      <c r="EH615" s="506"/>
      <c r="EI615" s="506"/>
      <c r="EJ615" s="372">
        <f>EJ592/EJ268</f>
        <v>-1.8831500794769741E-2</v>
      </c>
      <c r="EK615" s="506"/>
      <c r="EL615" s="506"/>
      <c r="EM615" s="506"/>
      <c r="EN615" s="507"/>
      <c r="EO615" s="506"/>
      <c r="EP615" s="506"/>
      <c r="EQ615" s="372">
        <f>EQ592/EQ268</f>
        <v>-1.3861591034795491E-2</v>
      </c>
    </row>
    <row r="616" spans="1:147" ht="10.199999999999999" hidden="1" customHeight="1" outlineLevel="1">
      <c r="A616" s="48" t="s">
        <v>133</v>
      </c>
      <c r="B616" s="48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3"/>
      <c r="O616" s="506"/>
      <c r="P616" s="506"/>
      <c r="Q616" s="506"/>
      <c r="R616" s="507"/>
      <c r="S616" s="506"/>
      <c r="T616" s="506"/>
      <c r="U616" s="372"/>
      <c r="V616" s="506"/>
      <c r="W616" s="506"/>
      <c r="X616" s="506"/>
      <c r="Y616" s="507"/>
      <c r="Z616" s="506"/>
      <c r="AA616" s="506"/>
      <c r="AB616" s="372"/>
      <c r="AC616" s="506"/>
      <c r="AD616" s="506"/>
      <c r="AE616" s="506"/>
      <c r="AF616" s="507"/>
      <c r="AG616" s="506"/>
      <c r="AH616" s="506"/>
      <c r="AI616" s="372">
        <v>0</v>
      </c>
      <c r="AJ616" s="506"/>
      <c r="AK616" s="506"/>
      <c r="AL616" s="506"/>
      <c r="AM616" s="507"/>
      <c r="AN616" s="506"/>
      <c r="AO616" s="506"/>
      <c r="AP616" s="372">
        <f>AP593/AP269</f>
        <v>-9.786575140532737E-3</v>
      </c>
      <c r="AQ616" s="506"/>
      <c r="AR616" s="506"/>
      <c r="AS616" s="506"/>
      <c r="AT616" s="507"/>
      <c r="AU616" s="506"/>
      <c r="AV616" s="506"/>
      <c r="AW616" s="372">
        <f>AW593/AW269</f>
        <v>-6.6201747293944749E-2</v>
      </c>
      <c r="AX616" s="506"/>
      <c r="AY616" s="506"/>
      <c r="AZ616" s="506"/>
      <c r="BA616" s="507"/>
      <c r="BB616" s="506"/>
      <c r="BC616" s="506"/>
      <c r="BD616" s="372">
        <f>BD593/BD269</f>
        <v>-3.5490724953071484E-2</v>
      </c>
      <c r="BE616" s="506"/>
      <c r="BF616" s="506"/>
      <c r="BG616" s="506"/>
      <c r="BH616" s="507"/>
      <c r="BI616" s="506"/>
      <c r="BJ616" s="506"/>
      <c r="BK616" s="372">
        <f>BK593/BK269</f>
        <v>-1.5273558644517146E-2</v>
      </c>
      <c r="BL616" s="506"/>
      <c r="BM616" s="506"/>
      <c r="BN616" s="506"/>
      <c r="BO616" s="507"/>
      <c r="BP616" s="506"/>
      <c r="BQ616" s="506"/>
      <c r="BR616" s="372">
        <f>BR593/BR269</f>
        <v>0</v>
      </c>
      <c r="BS616" s="506"/>
      <c r="BT616" s="506"/>
      <c r="BU616" s="506"/>
      <c r="BV616" s="507"/>
      <c r="BW616" s="506"/>
      <c r="BX616" s="506"/>
      <c r="BY616" s="372"/>
      <c r="BZ616" s="506"/>
      <c r="CA616" s="506"/>
      <c r="CB616" s="506"/>
      <c r="CC616" s="507"/>
      <c r="CD616" s="506"/>
      <c r="CE616" s="506"/>
      <c r="CF616" s="372"/>
      <c r="CG616" s="506"/>
      <c r="CH616" s="506"/>
      <c r="CI616" s="506"/>
      <c r="CJ616" s="507"/>
      <c r="CK616" s="506"/>
      <c r="CL616" s="506"/>
      <c r="CM616" s="372"/>
      <c r="CN616" s="506"/>
      <c r="CO616" s="506"/>
      <c r="CP616" s="506"/>
      <c r="CQ616" s="507"/>
      <c r="CR616" s="506"/>
      <c r="CS616" s="506"/>
      <c r="CT616" s="372"/>
      <c r="CU616" s="506"/>
      <c r="CV616" s="506"/>
      <c r="CW616" s="506"/>
      <c r="CX616" s="507"/>
      <c r="CY616" s="506"/>
      <c r="CZ616" s="506"/>
      <c r="DA616" s="372"/>
      <c r="DB616" s="506"/>
      <c r="DC616" s="506"/>
      <c r="DD616" s="506"/>
      <c r="DE616" s="507"/>
      <c r="DF616" s="506"/>
      <c r="DG616" s="506"/>
      <c r="DH616" s="372"/>
      <c r="DI616" s="506"/>
      <c r="DJ616" s="506"/>
      <c r="DK616" s="506"/>
      <c r="DL616" s="507"/>
      <c r="DM616" s="506"/>
      <c r="DN616" s="506"/>
      <c r="DO616" s="372"/>
      <c r="DP616" s="506"/>
      <c r="DQ616" s="506"/>
      <c r="DR616" s="506"/>
      <c r="DS616" s="507"/>
      <c r="DT616" s="506"/>
      <c r="DU616" s="506"/>
      <c r="DV616" s="372"/>
      <c r="DW616" s="506"/>
      <c r="DX616" s="506"/>
      <c r="DY616" s="506"/>
      <c r="DZ616" s="507"/>
      <c r="EA616" s="506"/>
      <c r="EB616" s="506"/>
      <c r="EC616" s="372"/>
      <c r="ED616" s="506"/>
      <c r="EE616" s="506"/>
      <c r="EF616" s="506"/>
      <c r="EG616" s="507"/>
      <c r="EH616" s="506"/>
      <c r="EI616" s="506"/>
      <c r="EJ616" s="372"/>
      <c r="EK616" s="506"/>
      <c r="EL616" s="506"/>
      <c r="EM616" s="506"/>
      <c r="EN616" s="507"/>
      <c r="EO616" s="506"/>
      <c r="EP616" s="506"/>
      <c r="EQ616" s="372"/>
    </row>
    <row r="617" spans="1:147" ht="10.199999999999999" hidden="1" customHeight="1" outlineLevel="1">
      <c r="A617" s="48" t="s">
        <v>632</v>
      </c>
      <c r="B617" s="48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3"/>
      <c r="O617" s="506"/>
      <c r="P617" s="506"/>
      <c r="Q617" s="506"/>
      <c r="R617" s="507"/>
      <c r="S617" s="506"/>
      <c r="T617" s="506"/>
      <c r="U617" s="372"/>
      <c r="V617" s="506"/>
      <c r="W617" s="506"/>
      <c r="X617" s="506"/>
      <c r="Y617" s="507"/>
      <c r="Z617" s="506"/>
      <c r="AA617" s="506"/>
      <c r="AB617" s="372"/>
      <c r="AC617" s="506"/>
      <c r="AD617" s="506"/>
      <c r="AE617" s="506"/>
      <c r="AF617" s="507"/>
      <c r="AG617" s="506"/>
      <c r="AH617" s="506"/>
      <c r="AI617" s="372"/>
      <c r="AJ617" s="506"/>
      <c r="AK617" s="506"/>
      <c r="AL617" s="506"/>
      <c r="AM617" s="507"/>
      <c r="AN617" s="506"/>
      <c r="AO617" s="506"/>
      <c r="AP617" s="372"/>
      <c r="AQ617" s="506"/>
      <c r="AR617" s="506"/>
      <c r="AS617" s="506"/>
      <c r="AT617" s="507"/>
      <c r="AU617" s="506"/>
      <c r="AV617" s="506"/>
      <c r="AW617" s="372"/>
      <c r="AX617" s="506"/>
      <c r="AY617" s="506"/>
      <c r="AZ617" s="506"/>
      <c r="BA617" s="507"/>
      <c r="BB617" s="506"/>
      <c r="BC617" s="506"/>
      <c r="BD617" s="372"/>
      <c r="BE617" s="506"/>
      <c r="BF617" s="506"/>
      <c r="BG617" s="506"/>
      <c r="BH617" s="507"/>
      <c r="BI617" s="506"/>
      <c r="BJ617" s="506"/>
      <c r="BK617" s="372"/>
      <c r="BL617" s="506"/>
      <c r="BM617" s="506"/>
      <c r="BN617" s="506"/>
      <c r="BO617" s="507"/>
      <c r="BP617" s="506"/>
      <c r="BQ617" s="506"/>
      <c r="BR617" s="372"/>
      <c r="BS617" s="506"/>
      <c r="BT617" s="506"/>
      <c r="BU617" s="506"/>
      <c r="BV617" s="507"/>
      <c r="BW617" s="506"/>
      <c r="BX617" s="506"/>
      <c r="BY617" s="372"/>
      <c r="BZ617" s="506"/>
      <c r="CA617" s="506"/>
      <c r="CB617" s="506"/>
      <c r="CC617" s="507"/>
      <c r="CD617" s="506"/>
      <c r="CE617" s="506"/>
      <c r="CF617" s="372"/>
      <c r="CG617" s="506"/>
      <c r="CH617" s="506"/>
      <c r="CI617" s="506"/>
      <c r="CJ617" s="507"/>
      <c r="CK617" s="506"/>
      <c r="CL617" s="506"/>
      <c r="CM617" s="372"/>
      <c r="CN617" s="506"/>
      <c r="CO617" s="506"/>
      <c r="CP617" s="506"/>
      <c r="CQ617" s="507"/>
      <c r="CR617" s="506"/>
      <c r="CS617" s="506"/>
      <c r="CT617" s="372"/>
      <c r="CU617" s="506"/>
      <c r="CV617" s="506"/>
      <c r="CW617" s="506"/>
      <c r="CX617" s="507"/>
      <c r="CY617" s="506"/>
      <c r="CZ617" s="506"/>
      <c r="DA617" s="372"/>
      <c r="DB617" s="506"/>
      <c r="DC617" s="506"/>
      <c r="DD617" s="506"/>
      <c r="DE617" s="507"/>
      <c r="DF617" s="506"/>
      <c r="DG617" s="506"/>
      <c r="DH617" s="372"/>
      <c r="DI617" s="506"/>
      <c r="DJ617" s="506"/>
      <c r="DK617" s="506"/>
      <c r="DL617" s="507"/>
      <c r="DM617" s="506"/>
      <c r="DN617" s="506"/>
      <c r="DO617" s="372"/>
      <c r="DP617" s="506"/>
      <c r="DQ617" s="506"/>
      <c r="DR617" s="506"/>
      <c r="DS617" s="507"/>
      <c r="DT617" s="506"/>
      <c r="DU617" s="506"/>
      <c r="DV617" s="372"/>
      <c r="DW617" s="506"/>
      <c r="DX617" s="506"/>
      <c r="DY617" s="506"/>
      <c r="DZ617" s="507"/>
      <c r="EA617" s="506"/>
      <c r="EB617" s="506"/>
      <c r="EC617" s="372"/>
      <c r="ED617" s="506"/>
      <c r="EE617" s="506"/>
      <c r="EF617" s="506"/>
      <c r="EG617" s="507"/>
      <c r="EH617" s="506"/>
      <c r="EI617" s="506"/>
      <c r="EJ617" s="372"/>
      <c r="EK617" s="506"/>
      <c r="EL617" s="506"/>
      <c r="EM617" s="506"/>
      <c r="EN617" s="507"/>
      <c r="EO617" s="506"/>
      <c r="EP617" s="506"/>
      <c r="EQ617" s="372"/>
    </row>
    <row r="618" spans="1:147" ht="10.199999999999999" hidden="1" customHeight="1" outlineLevel="1">
      <c r="A618" s="48"/>
      <c r="B618" s="48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3"/>
      <c r="O618" s="506"/>
      <c r="P618" s="506"/>
      <c r="Q618" s="506"/>
      <c r="R618" s="507"/>
      <c r="S618" s="506"/>
      <c r="T618" s="506"/>
      <c r="U618" s="372"/>
      <c r="V618" s="506"/>
      <c r="W618" s="506"/>
      <c r="X618" s="506"/>
      <c r="Y618" s="507"/>
      <c r="Z618" s="506"/>
      <c r="AA618" s="506"/>
      <c r="AB618" s="372"/>
      <c r="AC618" s="506"/>
      <c r="AD618" s="506"/>
      <c r="AE618" s="506"/>
      <c r="AF618" s="507"/>
      <c r="AG618" s="506"/>
      <c r="AH618" s="506"/>
      <c r="AI618" s="372"/>
      <c r="AJ618" s="506"/>
      <c r="AK618" s="506"/>
      <c r="AL618" s="506"/>
      <c r="AM618" s="507"/>
      <c r="AN618" s="506"/>
      <c r="AO618" s="506"/>
      <c r="AP618" s="372"/>
      <c r="AQ618" s="506"/>
      <c r="AR618" s="506"/>
      <c r="AS618" s="506"/>
      <c r="AT618" s="507"/>
      <c r="AU618" s="506"/>
      <c r="AV618" s="506"/>
      <c r="AW618" s="372"/>
      <c r="AX618" s="506"/>
      <c r="AY618" s="506"/>
      <c r="AZ618" s="506"/>
      <c r="BA618" s="507"/>
      <c r="BB618" s="506"/>
      <c r="BC618" s="506"/>
      <c r="BD618" s="372"/>
      <c r="BE618" s="506"/>
      <c r="BF618" s="506"/>
      <c r="BG618" s="506"/>
      <c r="BH618" s="507"/>
      <c r="BI618" s="506"/>
      <c r="BJ618" s="506"/>
      <c r="BK618" s="372"/>
      <c r="BL618" s="506"/>
      <c r="BM618" s="506"/>
      <c r="BN618" s="506"/>
      <c r="BO618" s="507"/>
      <c r="BP618" s="506"/>
      <c r="BQ618" s="506"/>
      <c r="BR618" s="372"/>
      <c r="BS618" s="506"/>
      <c r="BT618" s="506"/>
      <c r="BU618" s="506"/>
      <c r="BV618" s="507"/>
      <c r="BW618" s="506"/>
      <c r="BX618" s="506"/>
      <c r="BY618" s="372"/>
      <c r="BZ618" s="506"/>
      <c r="CA618" s="506"/>
      <c r="CB618" s="506"/>
      <c r="CC618" s="507"/>
      <c r="CD618" s="506"/>
      <c r="CE618" s="506"/>
      <c r="CF618" s="372"/>
      <c r="CG618" s="506"/>
      <c r="CH618" s="506"/>
      <c r="CI618" s="506"/>
      <c r="CJ618" s="507"/>
      <c r="CK618" s="506"/>
      <c r="CL618" s="506"/>
      <c r="CM618" s="372"/>
      <c r="CN618" s="506"/>
      <c r="CO618" s="506"/>
      <c r="CP618" s="506"/>
      <c r="CQ618" s="507"/>
      <c r="CR618" s="506"/>
      <c r="CS618" s="506"/>
      <c r="CT618" s="372"/>
      <c r="CU618" s="506"/>
      <c r="CV618" s="506"/>
      <c r="CW618" s="506"/>
      <c r="CX618" s="507"/>
      <c r="CY618" s="506"/>
      <c r="CZ618" s="506"/>
      <c r="DA618" s="372"/>
      <c r="DB618" s="506"/>
      <c r="DC618" s="506"/>
      <c r="DD618" s="506"/>
      <c r="DE618" s="507"/>
      <c r="DF618" s="506"/>
      <c r="DG618" s="506"/>
      <c r="DH618" s="372"/>
      <c r="DI618" s="506"/>
      <c r="DJ618" s="506"/>
      <c r="DK618" s="506"/>
      <c r="DL618" s="507"/>
      <c r="DM618" s="506"/>
      <c r="DN618" s="506"/>
      <c r="DO618" s="372"/>
      <c r="DP618" s="506"/>
      <c r="DQ618" s="506"/>
      <c r="DR618" s="506"/>
      <c r="DS618" s="507"/>
      <c r="DT618" s="506"/>
      <c r="DU618" s="506"/>
      <c r="DV618" s="372"/>
      <c r="DW618" s="506"/>
      <c r="DX618" s="506"/>
      <c r="DY618" s="506"/>
      <c r="DZ618" s="507"/>
      <c r="EA618" s="506"/>
      <c r="EB618" s="506"/>
      <c r="EC618" s="372"/>
      <c r="ED618" s="506"/>
      <c r="EE618" s="506"/>
      <c r="EF618" s="506"/>
      <c r="EG618" s="507"/>
      <c r="EH618" s="506"/>
      <c r="EI618" s="506"/>
      <c r="EJ618" s="372"/>
      <c r="EK618" s="506"/>
      <c r="EL618" s="506"/>
      <c r="EM618" s="506"/>
      <c r="EN618" s="507"/>
      <c r="EO618" s="506"/>
      <c r="EP618" s="506"/>
      <c r="EQ618" s="372"/>
    </row>
    <row r="619" spans="1:147" ht="10.199999999999999" hidden="1" customHeight="1" outlineLevel="1">
      <c r="A619" s="178" t="s">
        <v>565</v>
      </c>
      <c r="B619" s="178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1758"/>
      <c r="O619" s="488"/>
      <c r="P619" s="488"/>
      <c r="Q619" s="488"/>
      <c r="R619" s="489"/>
      <c r="S619" s="488"/>
      <c r="T619" s="488"/>
      <c r="U619" s="363"/>
      <c r="V619" s="488"/>
      <c r="W619" s="488"/>
      <c r="X619" s="488"/>
      <c r="Y619" s="489"/>
      <c r="Z619" s="488"/>
      <c r="AA619" s="488"/>
      <c r="AB619" s="363"/>
      <c r="AC619" s="488"/>
      <c r="AD619" s="488"/>
      <c r="AE619" s="488"/>
      <c r="AF619" s="489"/>
      <c r="AG619" s="488"/>
      <c r="AH619" s="488"/>
      <c r="AI619" s="363"/>
      <c r="AJ619" s="488"/>
      <c r="AK619" s="488"/>
      <c r="AL619" s="488"/>
      <c r="AM619" s="489"/>
      <c r="AN619" s="488"/>
      <c r="AO619" s="488"/>
      <c r="AP619" s="363"/>
      <c r="AQ619" s="488"/>
      <c r="AR619" s="488"/>
      <c r="AS619" s="488"/>
      <c r="AT619" s="489"/>
      <c r="AU619" s="488"/>
      <c r="AV619" s="488"/>
      <c r="AW619" s="363"/>
      <c r="AX619" s="488"/>
      <c r="AY619" s="488"/>
      <c r="AZ619" s="488"/>
      <c r="BA619" s="489"/>
      <c r="BB619" s="488"/>
      <c r="BC619" s="488"/>
      <c r="BD619" s="363"/>
      <c r="BE619" s="488"/>
      <c r="BF619" s="488"/>
      <c r="BG619" s="488"/>
      <c r="BH619" s="489"/>
      <c r="BI619" s="488"/>
      <c r="BJ619" s="488"/>
      <c r="BK619" s="363"/>
      <c r="BL619" s="488"/>
      <c r="BM619" s="488"/>
      <c r="BN619" s="488"/>
      <c r="BO619" s="489"/>
      <c r="BP619" s="488"/>
      <c r="BQ619" s="488"/>
      <c r="BR619" s="363"/>
      <c r="BS619" s="488"/>
      <c r="BT619" s="488"/>
      <c r="BU619" s="488"/>
      <c r="BV619" s="489"/>
      <c r="BW619" s="488"/>
      <c r="BX619" s="488"/>
      <c r="BY619" s="363"/>
      <c r="BZ619" s="488"/>
      <c r="CA619" s="488"/>
      <c r="CB619" s="488"/>
      <c r="CC619" s="489"/>
      <c r="CD619" s="488"/>
      <c r="CE619" s="488"/>
      <c r="CF619" s="363"/>
      <c r="CG619" s="488"/>
      <c r="CH619" s="488"/>
      <c r="CI619" s="488"/>
      <c r="CJ619" s="489"/>
      <c r="CK619" s="488"/>
      <c r="CL619" s="488"/>
      <c r="CM619" s="363"/>
      <c r="CN619" s="488"/>
      <c r="CO619" s="488"/>
      <c r="CP619" s="488"/>
      <c r="CQ619" s="489"/>
      <c r="CR619" s="488"/>
      <c r="CS619" s="488"/>
      <c r="CT619" s="363"/>
      <c r="CU619" s="488"/>
      <c r="CV619" s="488"/>
      <c r="CW619" s="488"/>
      <c r="CX619" s="489"/>
      <c r="CY619" s="488"/>
      <c r="CZ619" s="488"/>
      <c r="DA619" s="363"/>
      <c r="DB619" s="488"/>
      <c r="DC619" s="488"/>
      <c r="DD619" s="488"/>
      <c r="DE619" s="489"/>
      <c r="DF619" s="488"/>
      <c r="DG619" s="488"/>
      <c r="DH619" s="363"/>
      <c r="DI619" s="488"/>
      <c r="DJ619" s="488"/>
      <c r="DK619" s="488"/>
      <c r="DL619" s="489"/>
      <c r="DM619" s="488"/>
      <c r="DN619" s="488"/>
      <c r="DO619" s="363"/>
      <c r="DP619" s="488"/>
      <c r="DQ619" s="488"/>
      <c r="DR619" s="488"/>
      <c r="DS619" s="489"/>
      <c r="DT619" s="488"/>
      <c r="DU619" s="488"/>
      <c r="DV619" s="363"/>
      <c r="DW619" s="488"/>
      <c r="DX619" s="488"/>
      <c r="DY619" s="488"/>
      <c r="DZ619" s="489"/>
      <c r="EA619" s="488"/>
      <c r="EB619" s="488"/>
      <c r="EC619" s="363"/>
      <c r="ED619" s="488"/>
      <c r="EE619" s="488"/>
      <c r="EF619" s="488"/>
      <c r="EG619" s="489"/>
      <c r="EH619" s="488"/>
      <c r="EI619" s="488"/>
      <c r="EJ619" s="363"/>
      <c r="EK619" s="488"/>
      <c r="EL619" s="488"/>
      <c r="EM619" s="488"/>
      <c r="EN619" s="489"/>
      <c r="EO619" s="488"/>
      <c r="EP619" s="488"/>
      <c r="EQ619" s="363"/>
    </row>
    <row r="620" spans="1:147" ht="10.199999999999999" hidden="1" customHeight="1" outlineLevel="1">
      <c r="A620" s="43" t="s">
        <v>100</v>
      </c>
      <c r="B620" s="48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3"/>
      <c r="O620" s="415"/>
      <c r="P620" s="415"/>
      <c r="Q620" s="415"/>
      <c r="R620" s="448"/>
      <c r="S620" s="415"/>
      <c r="T620" s="415"/>
      <c r="U620" s="345"/>
      <c r="V620" s="415"/>
      <c r="W620" s="415"/>
      <c r="X620" s="415"/>
      <c r="Y620" s="448"/>
      <c r="Z620" s="415"/>
      <c r="AA620" s="415"/>
      <c r="AB620" s="345"/>
      <c r="AC620" s="415"/>
      <c r="AD620" s="415"/>
      <c r="AE620" s="415"/>
      <c r="AF620" s="448"/>
      <c r="AG620" s="415"/>
      <c r="AH620" s="415"/>
      <c r="AI620" s="345">
        <f>+AI574/AI$406</f>
        <v>8.009734868067115</v>
      </c>
      <c r="AJ620" s="415"/>
      <c r="AK620" s="415"/>
      <c r="AL620" s="415"/>
      <c r="AM620" s="448"/>
      <c r="AN620" s="415"/>
      <c r="AO620" s="415"/>
      <c r="AP620" s="345">
        <f>+AP574/AP$406</f>
        <v>0</v>
      </c>
      <c r="AQ620" s="415"/>
      <c r="AR620" s="415"/>
      <c r="AS620" s="415"/>
      <c r="AT620" s="448"/>
      <c r="AU620" s="415"/>
      <c r="AV620" s="415"/>
      <c r="AW620" s="345">
        <f>+AW574/AW$406</f>
        <v>0</v>
      </c>
      <c r="AX620" s="415"/>
      <c r="AY620" s="415"/>
      <c r="AZ620" s="415"/>
      <c r="BA620" s="448"/>
      <c r="BB620" s="415"/>
      <c r="BC620" s="415"/>
      <c r="BD620" s="345"/>
      <c r="BE620" s="415"/>
      <c r="BF620" s="415"/>
      <c r="BG620" s="415"/>
      <c r="BH620" s="448"/>
      <c r="BI620" s="415"/>
      <c r="BJ620" s="415"/>
      <c r="BK620" s="345">
        <f>+BK574/BK$406</f>
        <v>0</v>
      </c>
      <c r="BL620" s="415"/>
      <c r="BM620" s="415"/>
      <c r="BN620" s="415"/>
      <c r="BO620" s="448"/>
      <c r="BP620" s="415"/>
      <c r="BQ620" s="415"/>
      <c r="BR620" s="345">
        <f>+BR574/BR$406</f>
        <v>0</v>
      </c>
      <c r="BS620" s="415"/>
      <c r="BT620" s="415"/>
      <c r="BU620" s="415"/>
      <c r="BV620" s="448"/>
      <c r="BW620" s="415"/>
      <c r="BX620" s="415"/>
      <c r="BY620" s="345">
        <f>+BY574/BY$406</f>
        <v>0</v>
      </c>
      <c r="BZ620" s="415"/>
      <c r="CA620" s="415"/>
      <c r="CB620" s="415"/>
      <c r="CC620" s="448"/>
      <c r="CD620" s="415"/>
      <c r="CE620" s="415"/>
      <c r="CF620" s="345"/>
      <c r="CG620" s="415"/>
      <c r="CH620" s="415"/>
      <c r="CI620" s="415"/>
      <c r="CJ620" s="448"/>
      <c r="CK620" s="415"/>
      <c r="CL620" s="415"/>
      <c r="CM620" s="345"/>
      <c r="CN620" s="415"/>
      <c r="CO620" s="415"/>
      <c r="CP620" s="415"/>
      <c r="CQ620" s="448"/>
      <c r="CR620" s="415"/>
      <c r="CS620" s="415"/>
      <c r="CT620" s="345"/>
      <c r="CU620" s="415"/>
      <c r="CV620" s="415"/>
      <c r="CW620" s="415"/>
      <c r="CX620" s="448"/>
      <c r="CY620" s="415"/>
      <c r="CZ620" s="415"/>
      <c r="DA620" s="345"/>
      <c r="DB620" s="415"/>
      <c r="DC620" s="415"/>
      <c r="DD620" s="415"/>
      <c r="DE620" s="448"/>
      <c r="DF620" s="415"/>
      <c r="DG620" s="415"/>
      <c r="DH620" s="345"/>
      <c r="DI620" s="415"/>
      <c r="DJ620" s="415"/>
      <c r="DK620" s="415"/>
      <c r="DL620" s="448"/>
      <c r="DM620" s="415"/>
      <c r="DN620" s="415"/>
      <c r="DO620" s="345"/>
      <c r="DP620" s="415"/>
      <c r="DQ620" s="415"/>
      <c r="DR620" s="415"/>
      <c r="DS620" s="448"/>
      <c r="DT620" s="415"/>
      <c r="DU620" s="415"/>
      <c r="DV620" s="345"/>
      <c r="DW620" s="415"/>
      <c r="DX620" s="415"/>
      <c r="DY620" s="415"/>
      <c r="DZ620" s="448"/>
      <c r="EA620" s="415"/>
      <c r="EB620" s="415"/>
      <c r="EC620" s="345"/>
      <c r="ED620" s="415"/>
      <c r="EE620" s="415"/>
      <c r="EF620" s="415"/>
      <c r="EG620" s="448"/>
      <c r="EH620" s="415"/>
      <c r="EI620" s="415"/>
      <c r="EJ620" s="345"/>
      <c r="EK620" s="415"/>
      <c r="EL620" s="415"/>
      <c r="EM620" s="415"/>
      <c r="EN620" s="448"/>
      <c r="EO620" s="415"/>
      <c r="EP620" s="415"/>
      <c r="EQ620" s="345"/>
    </row>
    <row r="621" spans="1:147" ht="10.199999999999999" hidden="1" customHeight="1" outlineLevel="1">
      <c r="A621" s="43" t="s">
        <v>101</v>
      </c>
      <c r="B621" s="48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3"/>
      <c r="O621" s="415"/>
      <c r="P621" s="415"/>
      <c r="Q621" s="415"/>
      <c r="R621" s="448"/>
      <c r="S621" s="415"/>
      <c r="T621" s="415"/>
      <c r="U621" s="345"/>
      <c r="V621" s="415"/>
      <c r="W621" s="415"/>
      <c r="X621" s="415"/>
      <c r="Y621" s="448"/>
      <c r="Z621" s="415"/>
      <c r="AA621" s="415"/>
      <c r="AB621" s="345"/>
      <c r="AC621" s="415"/>
      <c r="AD621" s="415"/>
      <c r="AE621" s="415"/>
      <c r="AF621" s="448"/>
      <c r="AG621" s="415"/>
      <c r="AH621" s="415"/>
      <c r="AI621" s="345">
        <f t="shared" ref="AI621:AI639" si="1683">+AI575/AB$406</f>
        <v>209.16949067910406</v>
      </c>
      <c r="AJ621" s="415"/>
      <c r="AK621" s="415"/>
      <c r="AL621" s="415"/>
      <c r="AM621" s="448"/>
      <c r="AN621" s="415"/>
      <c r="AO621" s="415"/>
      <c r="AP621" s="345">
        <f t="shared" ref="AP621:AP639" si="1684">+AP575/AI$406</f>
        <v>30.752207620744187</v>
      </c>
      <c r="AQ621" s="415"/>
      <c r="AR621" s="415"/>
      <c r="AS621" s="415"/>
      <c r="AT621" s="448"/>
      <c r="AU621" s="415"/>
      <c r="AV621" s="415"/>
      <c r="AW621" s="345">
        <f t="shared" ref="AW621:AW639" si="1685">+AW575/AP$406</f>
        <v>87.547093225541275</v>
      </c>
      <c r="AX621" s="415"/>
      <c r="AY621" s="415"/>
      <c r="AZ621" s="415"/>
      <c r="BA621" s="448"/>
      <c r="BB621" s="415"/>
      <c r="BC621" s="415"/>
      <c r="BD621" s="345">
        <f t="shared" ref="BD621:BD639" si="1686">+BD575/BD$406</f>
        <v>66.548938444956391</v>
      </c>
      <c r="BE621" s="415"/>
      <c r="BF621" s="415"/>
      <c r="BG621" s="415"/>
      <c r="BH621" s="448"/>
      <c r="BI621" s="415"/>
      <c r="BJ621" s="415"/>
      <c r="BK621" s="345">
        <f t="shared" ref="BK621:BK638" si="1687">+BK575/AW$406</f>
        <v>61.149026642187444</v>
      </c>
      <c r="BL621" s="415"/>
      <c r="BM621" s="415"/>
      <c r="BN621" s="415"/>
      <c r="BO621" s="448"/>
      <c r="BP621" s="415"/>
      <c r="BQ621" s="415"/>
      <c r="BR621" s="345">
        <f t="shared" ref="BR621:BR638" si="1688">+BR575/BK$406</f>
        <v>33.137631470219183</v>
      </c>
      <c r="BS621" s="415"/>
      <c r="BT621" s="415"/>
      <c r="BU621" s="415"/>
      <c r="BV621" s="448"/>
      <c r="BW621" s="415"/>
      <c r="BX621" s="415"/>
      <c r="BY621" s="345">
        <f t="shared" ref="BY621:BY638" si="1689">+BY575/BR$406</f>
        <v>15.123678467254596</v>
      </c>
      <c r="BZ621" s="415"/>
      <c r="CA621" s="415"/>
      <c r="CB621" s="415"/>
      <c r="CC621" s="448"/>
      <c r="CD621" s="415"/>
      <c r="CE621" s="415"/>
      <c r="CF621" s="345"/>
      <c r="CG621" s="415"/>
      <c r="CH621" s="415"/>
      <c r="CI621" s="415"/>
      <c r="CJ621" s="448"/>
      <c r="CK621" s="415"/>
      <c r="CL621" s="415"/>
      <c r="CM621" s="345"/>
      <c r="CN621" s="415"/>
      <c r="CO621" s="415"/>
      <c r="CP621" s="415"/>
      <c r="CQ621" s="448"/>
      <c r="CR621" s="415"/>
      <c r="CS621" s="415"/>
      <c r="CT621" s="345"/>
      <c r="CU621" s="415"/>
      <c r="CV621" s="415"/>
      <c r="CW621" s="415"/>
      <c r="CX621" s="448"/>
      <c r="CY621" s="415"/>
      <c r="CZ621" s="415"/>
      <c r="DA621" s="345"/>
      <c r="DB621" s="415"/>
      <c r="DC621" s="415"/>
      <c r="DD621" s="415"/>
      <c r="DE621" s="448"/>
      <c r="DF621" s="415"/>
      <c r="DG621" s="415"/>
      <c r="DH621" s="345"/>
      <c r="DI621" s="415"/>
      <c r="DJ621" s="415"/>
      <c r="DK621" s="415"/>
      <c r="DL621" s="448"/>
      <c r="DM621" s="415"/>
      <c r="DN621" s="415"/>
      <c r="DO621" s="345"/>
      <c r="DP621" s="415"/>
      <c r="DQ621" s="415"/>
      <c r="DR621" s="415"/>
      <c r="DS621" s="448"/>
      <c r="DT621" s="415"/>
      <c r="DU621" s="415"/>
      <c r="DV621" s="345"/>
      <c r="DW621" s="415"/>
      <c r="DX621" s="415"/>
      <c r="DY621" s="415"/>
      <c r="DZ621" s="448"/>
      <c r="EA621" s="415"/>
      <c r="EB621" s="415"/>
      <c r="EC621" s="345"/>
      <c r="ED621" s="415"/>
      <c r="EE621" s="415"/>
      <c r="EF621" s="415"/>
      <c r="EG621" s="448"/>
      <c r="EH621" s="415"/>
      <c r="EI621" s="415"/>
      <c r="EJ621" s="345"/>
      <c r="EK621" s="415"/>
      <c r="EL621" s="415"/>
      <c r="EM621" s="415"/>
      <c r="EN621" s="448"/>
      <c r="EO621" s="415"/>
      <c r="EP621" s="415"/>
      <c r="EQ621" s="345"/>
    </row>
    <row r="622" spans="1:147" ht="10.199999999999999" hidden="1" customHeight="1" outlineLevel="1">
      <c r="A622" s="43" t="s">
        <v>102</v>
      </c>
      <c r="B622" s="48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3"/>
      <c r="O622" s="415"/>
      <c r="P622" s="415"/>
      <c r="Q622" s="415"/>
      <c r="R622" s="448"/>
      <c r="S622" s="415"/>
      <c r="T622" s="415"/>
      <c r="U622" s="345"/>
      <c r="V622" s="415"/>
      <c r="W622" s="415"/>
      <c r="X622" s="415"/>
      <c r="Y622" s="448"/>
      <c r="Z622" s="415"/>
      <c r="AA622" s="415"/>
      <c r="AB622" s="345"/>
      <c r="AC622" s="415"/>
      <c r="AD622" s="415"/>
      <c r="AE622" s="415"/>
      <c r="AF622" s="448"/>
      <c r="AG622" s="415"/>
      <c r="AH622" s="415"/>
      <c r="AI622" s="345">
        <f t="shared" si="1683"/>
        <v>2690.7553837642085</v>
      </c>
      <c r="AJ622" s="415"/>
      <c r="AK622" s="415"/>
      <c r="AL622" s="415"/>
      <c r="AM622" s="448"/>
      <c r="AN622" s="415"/>
      <c r="AO622" s="415"/>
      <c r="AP622" s="345">
        <f t="shared" si="1684"/>
        <v>2135.108535632955</v>
      </c>
      <c r="AQ622" s="415"/>
      <c r="AR622" s="415"/>
      <c r="AS622" s="415"/>
      <c r="AT622" s="448"/>
      <c r="AU622" s="415"/>
      <c r="AV622" s="415"/>
      <c r="AW622" s="345">
        <f t="shared" si="1685"/>
        <v>1756.6253605914164</v>
      </c>
      <c r="AX622" s="415"/>
      <c r="AY622" s="415"/>
      <c r="AZ622" s="415"/>
      <c r="BA622" s="448"/>
      <c r="BB622" s="415"/>
      <c r="BC622" s="415"/>
      <c r="BD622" s="345">
        <f t="shared" si="1686"/>
        <v>1205.6190707450114</v>
      </c>
      <c r="BE622" s="415"/>
      <c r="BF622" s="415"/>
      <c r="BG622" s="415"/>
      <c r="BH622" s="448"/>
      <c r="BI622" s="415"/>
      <c r="BJ622" s="415"/>
      <c r="BK622" s="345">
        <f t="shared" si="1687"/>
        <v>1013.9949989771217</v>
      </c>
      <c r="BL622" s="415"/>
      <c r="BM622" s="415"/>
      <c r="BN622" s="415"/>
      <c r="BO622" s="448"/>
      <c r="BP622" s="415"/>
      <c r="BQ622" s="415"/>
      <c r="BR622" s="345">
        <f t="shared" si="1688"/>
        <v>408.15856312066876</v>
      </c>
      <c r="BS622" s="415"/>
      <c r="BT622" s="415"/>
      <c r="BU622" s="415"/>
      <c r="BV622" s="448"/>
      <c r="BW622" s="415"/>
      <c r="BX622" s="415"/>
      <c r="BY622" s="345">
        <f t="shared" si="1689"/>
        <v>14.328837599590223</v>
      </c>
      <c r="BZ622" s="415"/>
      <c r="CA622" s="415"/>
      <c r="CB622" s="415"/>
      <c r="CC622" s="448"/>
      <c r="CD622" s="415"/>
      <c r="CE622" s="415"/>
      <c r="CF622" s="345"/>
      <c r="CG622" s="415"/>
      <c r="CH622" s="415"/>
      <c r="CI622" s="415"/>
      <c r="CJ622" s="448"/>
      <c r="CK622" s="415"/>
      <c r="CL622" s="415"/>
      <c r="CM622" s="345"/>
      <c r="CN622" s="415"/>
      <c r="CO622" s="415"/>
      <c r="CP622" s="415"/>
      <c r="CQ622" s="448"/>
      <c r="CR622" s="415"/>
      <c r="CS622" s="415"/>
      <c r="CT622" s="345"/>
      <c r="CU622" s="415"/>
      <c r="CV622" s="415"/>
      <c r="CW622" s="415"/>
      <c r="CX622" s="448"/>
      <c r="CY622" s="415"/>
      <c r="CZ622" s="415"/>
      <c r="DA622" s="345"/>
      <c r="DB622" s="415"/>
      <c r="DC622" s="415"/>
      <c r="DD622" s="415"/>
      <c r="DE622" s="448"/>
      <c r="DF622" s="415"/>
      <c r="DG622" s="415"/>
      <c r="DH622" s="345"/>
      <c r="DI622" s="415"/>
      <c r="DJ622" s="415"/>
      <c r="DK622" s="415"/>
      <c r="DL622" s="448"/>
      <c r="DM622" s="415"/>
      <c r="DN622" s="415"/>
      <c r="DO622" s="345"/>
      <c r="DP622" s="415"/>
      <c r="DQ622" s="415"/>
      <c r="DR622" s="415"/>
      <c r="DS622" s="448"/>
      <c r="DT622" s="415"/>
      <c r="DU622" s="415"/>
      <c r="DV622" s="345"/>
      <c r="DW622" s="415"/>
      <c r="DX622" s="415"/>
      <c r="DY622" s="415"/>
      <c r="DZ622" s="448"/>
      <c r="EA622" s="415"/>
      <c r="EB622" s="415"/>
      <c r="EC622" s="345"/>
      <c r="ED622" s="415"/>
      <c r="EE622" s="415"/>
      <c r="EF622" s="415"/>
      <c r="EG622" s="448"/>
      <c r="EH622" s="415"/>
      <c r="EI622" s="415"/>
      <c r="EJ622" s="345"/>
      <c r="EK622" s="415"/>
      <c r="EL622" s="415"/>
      <c r="EM622" s="415"/>
      <c r="EN622" s="448"/>
      <c r="EO622" s="415"/>
      <c r="EP622" s="415"/>
      <c r="EQ622" s="345"/>
    </row>
    <row r="623" spans="1:147" ht="10.199999999999999" hidden="1" customHeight="1" outlineLevel="1">
      <c r="A623" s="43" t="s">
        <v>202</v>
      </c>
      <c r="B623" s="48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3"/>
      <c r="O623" s="415"/>
      <c r="P623" s="415"/>
      <c r="Q623" s="415"/>
      <c r="R623" s="448"/>
      <c r="S623" s="415"/>
      <c r="T623" s="415"/>
      <c r="U623" s="345"/>
      <c r="V623" s="415"/>
      <c r="W623" s="415"/>
      <c r="X623" s="415"/>
      <c r="Y623" s="448"/>
      <c r="Z623" s="415"/>
      <c r="AA623" s="415"/>
      <c r="AB623" s="345"/>
      <c r="AC623" s="415"/>
      <c r="AD623" s="415"/>
      <c r="AE623" s="415"/>
      <c r="AF623" s="448"/>
      <c r="AG623" s="415"/>
      <c r="AH623" s="415"/>
      <c r="AI623" s="345">
        <f t="shared" si="1683"/>
        <v>2057.9350454286118</v>
      </c>
      <c r="AJ623" s="415"/>
      <c r="AK623" s="415"/>
      <c r="AL623" s="415"/>
      <c r="AM623" s="448"/>
      <c r="AN623" s="415"/>
      <c r="AO623" s="415"/>
      <c r="AP623" s="345">
        <f t="shared" si="1684"/>
        <v>2142.3766531619121</v>
      </c>
      <c r="AQ623" s="415"/>
      <c r="AR623" s="415"/>
      <c r="AS623" s="415"/>
      <c r="AT623" s="448"/>
      <c r="AU623" s="415"/>
      <c r="AV623" s="415"/>
      <c r="AW623" s="345">
        <f t="shared" si="1685"/>
        <v>2044.0324871225698</v>
      </c>
      <c r="AX623" s="415"/>
      <c r="AY623" s="415"/>
      <c r="AZ623" s="415"/>
      <c r="BA623" s="448"/>
      <c r="BB623" s="415"/>
      <c r="BC623" s="415"/>
      <c r="BD623" s="345">
        <f t="shared" si="1686"/>
        <v>1168.4543279945019</v>
      </c>
      <c r="BE623" s="415"/>
      <c r="BF623" s="415"/>
      <c r="BG623" s="415"/>
      <c r="BH623" s="448"/>
      <c r="BI623" s="415"/>
      <c r="BJ623" s="415"/>
      <c r="BK623" s="345">
        <f t="shared" si="1687"/>
        <v>751.05197572838256</v>
      </c>
      <c r="BL623" s="415"/>
      <c r="BM623" s="415"/>
      <c r="BN623" s="415"/>
      <c r="BO623" s="448"/>
      <c r="BP623" s="415"/>
      <c r="BQ623" s="415"/>
      <c r="BR623" s="345">
        <f t="shared" si="1688"/>
        <v>320.00946174662045</v>
      </c>
      <c r="BS623" s="415"/>
      <c r="BT623" s="415"/>
      <c r="BU623" s="415"/>
      <c r="BV623" s="448"/>
      <c r="BW623" s="415"/>
      <c r="BX623" s="415"/>
      <c r="BY623" s="345">
        <f t="shared" si="1689"/>
        <v>38.257001909486803</v>
      </c>
      <c r="BZ623" s="415"/>
      <c r="CA623" s="415"/>
      <c r="CB623" s="415"/>
      <c r="CC623" s="448"/>
      <c r="CD623" s="415"/>
      <c r="CE623" s="415"/>
      <c r="CF623" s="345"/>
      <c r="CG623" s="415"/>
      <c r="CH623" s="415"/>
      <c r="CI623" s="415"/>
      <c r="CJ623" s="448"/>
      <c r="CK623" s="415"/>
      <c r="CL623" s="415"/>
      <c r="CM623" s="345"/>
      <c r="CN623" s="415"/>
      <c r="CO623" s="415"/>
      <c r="CP623" s="415"/>
      <c r="CQ623" s="448"/>
      <c r="CR623" s="415"/>
      <c r="CS623" s="415"/>
      <c r="CT623" s="345"/>
      <c r="CU623" s="415"/>
      <c r="CV623" s="415"/>
      <c r="CW623" s="415"/>
      <c r="CX623" s="448"/>
      <c r="CY623" s="415"/>
      <c r="CZ623" s="415"/>
      <c r="DA623" s="345"/>
      <c r="DB623" s="415"/>
      <c r="DC623" s="415"/>
      <c r="DD623" s="415"/>
      <c r="DE623" s="448"/>
      <c r="DF623" s="415"/>
      <c r="DG623" s="415"/>
      <c r="DH623" s="345"/>
      <c r="DI623" s="415"/>
      <c r="DJ623" s="415"/>
      <c r="DK623" s="415"/>
      <c r="DL623" s="448"/>
      <c r="DM623" s="415"/>
      <c r="DN623" s="415"/>
      <c r="DO623" s="345"/>
      <c r="DP623" s="415"/>
      <c r="DQ623" s="415"/>
      <c r="DR623" s="415"/>
      <c r="DS623" s="448"/>
      <c r="DT623" s="415"/>
      <c r="DU623" s="415"/>
      <c r="DV623" s="345"/>
      <c r="DW623" s="415"/>
      <c r="DX623" s="415"/>
      <c r="DY623" s="415"/>
      <c r="DZ623" s="448"/>
      <c r="EA623" s="415"/>
      <c r="EB623" s="415"/>
      <c r="EC623" s="345"/>
      <c r="ED623" s="415"/>
      <c r="EE623" s="415"/>
      <c r="EF623" s="415"/>
      <c r="EG623" s="448"/>
      <c r="EH623" s="415"/>
      <c r="EI623" s="415"/>
      <c r="EJ623" s="345"/>
      <c r="EK623" s="415"/>
      <c r="EL623" s="415"/>
      <c r="EM623" s="415"/>
      <c r="EN623" s="448"/>
      <c r="EO623" s="415"/>
      <c r="EP623" s="415"/>
      <c r="EQ623" s="345"/>
    </row>
    <row r="624" spans="1:147" ht="10.199999999999999" hidden="1" customHeight="1" outlineLevel="1">
      <c r="A624" s="48" t="s">
        <v>377</v>
      </c>
      <c r="B624" s="48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3"/>
      <c r="O624" s="415"/>
      <c r="P624" s="415"/>
      <c r="Q624" s="415"/>
      <c r="R624" s="448"/>
      <c r="S624" s="415"/>
      <c r="T624" s="415"/>
      <c r="U624" s="345"/>
      <c r="V624" s="415"/>
      <c r="W624" s="415"/>
      <c r="X624" s="415"/>
      <c r="Y624" s="448"/>
      <c r="Z624" s="415"/>
      <c r="AA624" s="415"/>
      <c r="AB624" s="345"/>
      <c r="AC624" s="415"/>
      <c r="AD624" s="415"/>
      <c r="AE624" s="415"/>
      <c r="AF624" s="448"/>
      <c r="AG624" s="415"/>
      <c r="AH624" s="415"/>
      <c r="AI624" s="345">
        <f t="shared" si="1683"/>
        <v>4965.1686544267859</v>
      </c>
      <c r="AJ624" s="415"/>
      <c r="AK624" s="415"/>
      <c r="AL624" s="415"/>
      <c r="AM624" s="448"/>
      <c r="AN624" s="415"/>
      <c r="AO624" s="415"/>
      <c r="AP624" s="345">
        <f t="shared" si="1684"/>
        <v>4308.2373964156113</v>
      </c>
      <c r="AQ624" s="415"/>
      <c r="AR624" s="415"/>
      <c r="AS624" s="415"/>
      <c r="AT624" s="448"/>
      <c r="AU624" s="415"/>
      <c r="AV624" s="415"/>
      <c r="AW624" s="345">
        <f t="shared" si="1685"/>
        <v>3888.2049409395272</v>
      </c>
      <c r="AX624" s="415"/>
      <c r="AY624" s="415"/>
      <c r="AZ624" s="415"/>
      <c r="BA624" s="448"/>
      <c r="BB624" s="415"/>
      <c r="BC624" s="415"/>
      <c r="BD624" s="345">
        <f t="shared" si="1686"/>
        <v>2440.6223371844699</v>
      </c>
      <c r="BE624" s="415"/>
      <c r="BF624" s="415"/>
      <c r="BG624" s="415"/>
      <c r="BH624" s="448"/>
      <c r="BI624" s="415"/>
      <c r="BJ624" s="415"/>
      <c r="BK624" s="345">
        <f t="shared" si="1687"/>
        <v>1826.1960013476914</v>
      </c>
      <c r="BL624" s="415"/>
      <c r="BM624" s="415"/>
      <c r="BN624" s="415"/>
      <c r="BO624" s="448"/>
      <c r="BP624" s="415"/>
      <c r="BQ624" s="415"/>
      <c r="BR624" s="345">
        <f t="shared" si="1688"/>
        <v>761.30565633750837</v>
      </c>
      <c r="BS624" s="415"/>
      <c r="BT624" s="415"/>
      <c r="BU624" s="415"/>
      <c r="BV624" s="448"/>
      <c r="BW624" s="415"/>
      <c r="BX624" s="415"/>
      <c r="BY624" s="345">
        <f t="shared" si="1689"/>
        <v>67.709517976331625</v>
      </c>
      <c r="BZ624" s="415"/>
      <c r="CA624" s="415"/>
      <c r="CB624" s="415"/>
      <c r="CC624" s="448"/>
      <c r="CD624" s="415"/>
      <c r="CE624" s="415"/>
      <c r="CF624" s="345"/>
      <c r="CG624" s="415"/>
      <c r="CH624" s="415"/>
      <c r="CI624" s="415"/>
      <c r="CJ624" s="448"/>
      <c r="CK624" s="415"/>
      <c r="CL624" s="415"/>
      <c r="CM624" s="345"/>
      <c r="CN624" s="415"/>
      <c r="CO624" s="415"/>
      <c r="CP624" s="415"/>
      <c r="CQ624" s="448"/>
      <c r="CR624" s="415"/>
      <c r="CS624" s="415"/>
      <c r="CT624" s="345"/>
      <c r="CU624" s="415"/>
      <c r="CV624" s="415"/>
      <c r="CW624" s="415"/>
      <c r="CX624" s="448"/>
      <c r="CY624" s="415"/>
      <c r="CZ624" s="415"/>
      <c r="DA624" s="345"/>
      <c r="DB624" s="415"/>
      <c r="DC624" s="415"/>
      <c r="DD624" s="415"/>
      <c r="DE624" s="448"/>
      <c r="DF624" s="415"/>
      <c r="DG624" s="415"/>
      <c r="DH624" s="345"/>
      <c r="DI624" s="415"/>
      <c r="DJ624" s="415"/>
      <c r="DK624" s="415"/>
      <c r="DL624" s="448"/>
      <c r="DM624" s="415"/>
      <c r="DN624" s="415"/>
      <c r="DO624" s="345"/>
      <c r="DP624" s="415"/>
      <c r="DQ624" s="415"/>
      <c r="DR624" s="415"/>
      <c r="DS624" s="448"/>
      <c r="DT624" s="415"/>
      <c r="DU624" s="415"/>
      <c r="DV624" s="345"/>
      <c r="DW624" s="415"/>
      <c r="DX624" s="415"/>
      <c r="DY624" s="415"/>
      <c r="DZ624" s="448"/>
      <c r="EA624" s="415"/>
      <c r="EB624" s="415"/>
      <c r="EC624" s="345"/>
      <c r="ED624" s="415"/>
      <c r="EE624" s="415"/>
      <c r="EF624" s="415"/>
      <c r="EG624" s="448"/>
      <c r="EH624" s="415"/>
      <c r="EI624" s="415"/>
      <c r="EJ624" s="345"/>
      <c r="EK624" s="415"/>
      <c r="EL624" s="415"/>
      <c r="EM624" s="415"/>
      <c r="EN624" s="448"/>
      <c r="EO624" s="415"/>
      <c r="EP624" s="415"/>
      <c r="EQ624" s="345"/>
    </row>
    <row r="625" spans="1:147" ht="10.199999999999999" hidden="1" customHeight="1" outlineLevel="1">
      <c r="A625" s="108" t="s">
        <v>366</v>
      </c>
      <c r="B625" s="48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3"/>
      <c r="O625" s="500"/>
      <c r="P625" s="500"/>
      <c r="Q625" s="500"/>
      <c r="R625" s="501"/>
      <c r="S625" s="500"/>
      <c r="T625" s="500"/>
      <c r="U625" s="369"/>
      <c r="V625" s="500"/>
      <c r="W625" s="500"/>
      <c r="X625" s="500"/>
      <c r="Y625" s="501"/>
      <c r="Z625" s="500"/>
      <c r="AA625" s="500"/>
      <c r="AB625" s="369"/>
      <c r="AC625" s="500"/>
      <c r="AD625" s="500"/>
      <c r="AE625" s="500"/>
      <c r="AF625" s="501"/>
      <c r="AG625" s="500"/>
      <c r="AH625" s="500"/>
      <c r="AI625" s="369">
        <f t="shared" si="1683"/>
        <v>0</v>
      </c>
      <c r="AJ625" s="500"/>
      <c r="AK625" s="500"/>
      <c r="AL625" s="500"/>
      <c r="AM625" s="501"/>
      <c r="AN625" s="500"/>
      <c r="AO625" s="500"/>
      <c r="AP625" s="369">
        <f t="shared" si="1684"/>
        <v>0</v>
      </c>
      <c r="AQ625" s="500"/>
      <c r="AR625" s="500"/>
      <c r="AS625" s="500"/>
      <c r="AT625" s="501"/>
      <c r="AU625" s="500"/>
      <c r="AV625" s="500"/>
      <c r="AW625" s="369">
        <f t="shared" si="1685"/>
        <v>0</v>
      </c>
      <c r="AX625" s="500"/>
      <c r="AY625" s="500"/>
      <c r="AZ625" s="500"/>
      <c r="BA625" s="501"/>
      <c r="BB625" s="500"/>
      <c r="BC625" s="500"/>
      <c r="BD625" s="369">
        <f t="shared" si="1686"/>
        <v>0</v>
      </c>
      <c r="BE625" s="500"/>
      <c r="BF625" s="500"/>
      <c r="BG625" s="500"/>
      <c r="BH625" s="501"/>
      <c r="BI625" s="500"/>
      <c r="BJ625" s="500"/>
      <c r="BK625" s="369">
        <f t="shared" si="1687"/>
        <v>0</v>
      </c>
      <c r="BL625" s="500"/>
      <c r="BM625" s="500"/>
      <c r="BN625" s="500"/>
      <c r="BO625" s="501"/>
      <c r="BP625" s="500"/>
      <c r="BQ625" s="500"/>
      <c r="BR625" s="369">
        <f t="shared" si="1688"/>
        <v>21.875046932796103</v>
      </c>
      <c r="BS625" s="500"/>
      <c r="BT625" s="500"/>
      <c r="BU625" s="500"/>
      <c r="BV625" s="501"/>
      <c r="BW625" s="500"/>
      <c r="BX625" s="500"/>
      <c r="BY625" s="369">
        <f t="shared" si="1689"/>
        <v>0</v>
      </c>
      <c r="BZ625" s="500"/>
      <c r="CA625" s="500"/>
      <c r="CB625" s="500"/>
      <c r="CC625" s="501"/>
      <c r="CD625" s="500"/>
      <c r="CE625" s="500"/>
      <c r="CF625" s="369">
        <f t="shared" ref="CF625:CF638" si="1690">+CF579/BY$406</f>
        <v>13.390587616834043</v>
      </c>
      <c r="CG625" s="500"/>
      <c r="CH625" s="500"/>
      <c r="CI625" s="500"/>
      <c r="CJ625" s="501"/>
      <c r="CK625" s="500"/>
      <c r="CL625" s="500"/>
      <c r="CM625" s="369">
        <f t="shared" ref="CM625:CM638" si="1691">+CM579/CF$406</f>
        <v>26.774669530716448</v>
      </c>
      <c r="CN625" s="500"/>
      <c r="CO625" s="500"/>
      <c r="CP625" s="500"/>
      <c r="CQ625" s="501"/>
      <c r="CR625" s="500"/>
      <c r="CS625" s="500"/>
      <c r="CT625" s="369">
        <f t="shared" ref="CT625:CT638" si="1692">+CT579/CM$406</f>
        <v>6.7080644843484079</v>
      </c>
      <c r="CU625" s="500"/>
      <c r="CV625" s="500"/>
      <c r="CW625" s="500"/>
      <c r="CX625" s="501"/>
      <c r="CY625" s="500"/>
      <c r="CZ625" s="500"/>
      <c r="DA625" s="369">
        <f t="shared" ref="DA625:DA638" si="1693">+DA579/CT$406</f>
        <v>-3.3958676566250912</v>
      </c>
      <c r="DB625" s="500"/>
      <c r="DC625" s="500"/>
      <c r="DD625" s="500"/>
      <c r="DE625" s="501"/>
      <c r="DF625" s="500"/>
      <c r="DG625" s="500"/>
      <c r="DH625" s="369">
        <f t="shared" ref="DH625:DH638" si="1694">+DH579/DA$406</f>
        <v>-27.488304673674005</v>
      </c>
      <c r="DI625" s="500"/>
      <c r="DJ625" s="500"/>
      <c r="DK625" s="500"/>
      <c r="DL625" s="501"/>
      <c r="DM625" s="500"/>
      <c r="DN625" s="500"/>
      <c r="DO625" s="369">
        <f t="shared" ref="DO625:DO638" si="1695">+DO579/DH$406</f>
        <v>-16.811215237335283</v>
      </c>
      <c r="DP625" s="500"/>
      <c r="DQ625" s="500"/>
      <c r="DR625" s="500"/>
      <c r="DS625" s="501"/>
      <c r="DT625" s="500"/>
      <c r="DU625" s="500"/>
      <c r="DV625" s="369">
        <f t="shared" ref="DV625:DV638" si="1696">+DV579/DO$406</f>
        <v>-24.792594605196896</v>
      </c>
      <c r="DW625" s="500"/>
      <c r="DX625" s="500"/>
      <c r="DY625" s="500"/>
      <c r="DZ625" s="501"/>
      <c r="EA625" s="500"/>
      <c r="EB625" s="500"/>
      <c r="EC625" s="369">
        <f t="shared" ref="EC625:EC638" si="1697">+EC579/DV$406</f>
        <v>-33.187531724543639</v>
      </c>
      <c r="ED625" s="500"/>
      <c r="EE625" s="500"/>
      <c r="EF625" s="500"/>
      <c r="EG625" s="501"/>
      <c r="EH625" s="500"/>
      <c r="EI625" s="500"/>
      <c r="EJ625" s="369">
        <f t="shared" ref="EJ625:EJ638" si="1698">+EJ579/EC$406</f>
        <v>-42.684692738965161</v>
      </c>
      <c r="EK625" s="500"/>
      <c r="EL625" s="500"/>
      <c r="EM625" s="500"/>
      <c r="EN625" s="501"/>
      <c r="EO625" s="500"/>
      <c r="EP625" s="500"/>
      <c r="EQ625" s="369">
        <f t="shared" ref="EQ625:EQ638" si="1699">+EQ579/EJ$406</f>
        <v>-51.989183841950712</v>
      </c>
    </row>
    <row r="626" spans="1:147" ht="10.199999999999999" hidden="1" customHeight="1" outlineLevel="1">
      <c r="A626" s="108" t="s">
        <v>378</v>
      </c>
      <c r="B626" s="48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3"/>
      <c r="O626" s="500"/>
      <c r="P626" s="500"/>
      <c r="Q626" s="500"/>
      <c r="R626" s="501"/>
      <c r="S626" s="500"/>
      <c r="T626" s="500"/>
      <c r="U626" s="369"/>
      <c r="V626" s="500"/>
      <c r="W626" s="500"/>
      <c r="X626" s="500"/>
      <c r="Y626" s="501"/>
      <c r="Z626" s="500"/>
      <c r="AA626" s="500"/>
      <c r="AB626" s="369"/>
      <c r="AC626" s="500"/>
      <c r="AD626" s="500"/>
      <c r="AE626" s="500"/>
      <c r="AF626" s="501"/>
      <c r="AG626" s="500"/>
      <c r="AH626" s="500"/>
      <c r="AI626" s="369">
        <f t="shared" si="1683"/>
        <v>0</v>
      </c>
      <c r="AJ626" s="500"/>
      <c r="AK626" s="500"/>
      <c r="AL626" s="500"/>
      <c r="AM626" s="501"/>
      <c r="AN626" s="500"/>
      <c r="AO626" s="500"/>
      <c r="AP626" s="369">
        <f t="shared" si="1684"/>
        <v>624.46469018614528</v>
      </c>
      <c r="AQ626" s="500"/>
      <c r="AR626" s="500"/>
      <c r="AS626" s="500"/>
      <c r="AT626" s="501"/>
      <c r="AU626" s="500"/>
      <c r="AV626" s="500"/>
      <c r="AW626" s="369">
        <f t="shared" si="1685"/>
        <v>1748.5244218540083</v>
      </c>
      <c r="AX626" s="500"/>
      <c r="AY626" s="500"/>
      <c r="AZ626" s="500"/>
      <c r="BA626" s="501"/>
      <c r="BB626" s="500"/>
      <c r="BC626" s="500"/>
      <c r="BD626" s="369">
        <f t="shared" si="1686"/>
        <v>2205.5702024037255</v>
      </c>
      <c r="BE626" s="500"/>
      <c r="BF626" s="500"/>
      <c r="BG626" s="500"/>
      <c r="BH626" s="501"/>
      <c r="BI626" s="500"/>
      <c r="BJ626" s="500"/>
      <c r="BK626" s="369">
        <f t="shared" si="1687"/>
        <v>2948.2663055059497</v>
      </c>
      <c r="BL626" s="500"/>
      <c r="BM626" s="500"/>
      <c r="BN626" s="500"/>
      <c r="BO626" s="501"/>
      <c r="BP626" s="500"/>
      <c r="BQ626" s="500"/>
      <c r="BR626" s="369">
        <f t="shared" si="1688"/>
        <v>4711.6471425889031</v>
      </c>
      <c r="BS626" s="500"/>
      <c r="BT626" s="500"/>
      <c r="BU626" s="500"/>
      <c r="BV626" s="501"/>
      <c r="BW626" s="500"/>
      <c r="BX626" s="500"/>
      <c r="BY626" s="369">
        <f t="shared" si="1689"/>
        <v>1737.8079509631411</v>
      </c>
      <c r="BZ626" s="500"/>
      <c r="CA626" s="500"/>
      <c r="CB626" s="500"/>
      <c r="CC626" s="501"/>
      <c r="CD626" s="500"/>
      <c r="CE626" s="500"/>
      <c r="CF626" s="369">
        <f t="shared" si="1690"/>
        <v>2107.4060703391533</v>
      </c>
      <c r="CG626" s="500"/>
      <c r="CH626" s="500"/>
      <c r="CI626" s="500"/>
      <c r="CJ626" s="501"/>
      <c r="CK626" s="500"/>
      <c r="CL626" s="500"/>
      <c r="CM626" s="369">
        <f t="shared" si="1691"/>
        <v>1419.5731889442047</v>
      </c>
      <c r="CN626" s="500"/>
      <c r="CO626" s="500"/>
      <c r="CP626" s="500"/>
      <c r="CQ626" s="501"/>
      <c r="CR626" s="500"/>
      <c r="CS626" s="500"/>
      <c r="CT626" s="369">
        <f t="shared" si="1692"/>
        <v>1054.9303025941556</v>
      </c>
      <c r="CU626" s="500"/>
      <c r="CV626" s="500"/>
      <c r="CW626" s="500"/>
      <c r="CX626" s="501"/>
      <c r="CY626" s="500"/>
      <c r="CZ626" s="500"/>
      <c r="DA626" s="369">
        <f t="shared" si="1693"/>
        <v>219.9661375460486</v>
      </c>
      <c r="DB626" s="500"/>
      <c r="DC626" s="500"/>
      <c r="DD626" s="500"/>
      <c r="DE626" s="501"/>
      <c r="DF626" s="500"/>
      <c r="DG626" s="500"/>
      <c r="DH626" s="369">
        <f t="shared" si="1694"/>
        <v>-176.62230605193361</v>
      </c>
      <c r="DI626" s="500"/>
      <c r="DJ626" s="500"/>
      <c r="DK626" s="500"/>
      <c r="DL626" s="501"/>
      <c r="DM626" s="500"/>
      <c r="DN626" s="500"/>
      <c r="DO626" s="369">
        <f t="shared" si="1695"/>
        <v>-553.90854296766736</v>
      </c>
      <c r="DP626" s="500"/>
      <c r="DQ626" s="500"/>
      <c r="DR626" s="500"/>
      <c r="DS626" s="501"/>
      <c r="DT626" s="500"/>
      <c r="DU626" s="500"/>
      <c r="DV626" s="369">
        <f t="shared" si="1696"/>
        <v>-895.93251332766215</v>
      </c>
      <c r="DW626" s="500"/>
      <c r="DX626" s="500"/>
      <c r="DY626" s="500"/>
      <c r="DZ626" s="501"/>
      <c r="EA626" s="500"/>
      <c r="EB626" s="500"/>
      <c r="EC626" s="369">
        <f t="shared" si="1697"/>
        <v>-1145.465102314927</v>
      </c>
      <c r="ED626" s="500"/>
      <c r="EE626" s="500"/>
      <c r="EF626" s="500"/>
      <c r="EG626" s="501"/>
      <c r="EH626" s="500"/>
      <c r="EI626" s="500"/>
      <c r="EJ626" s="369">
        <f t="shared" si="1698"/>
        <v>-1558.0141797292285</v>
      </c>
      <c r="EK626" s="500"/>
      <c r="EL626" s="500"/>
      <c r="EM626" s="500"/>
      <c r="EN626" s="501"/>
      <c r="EO626" s="500"/>
      <c r="EP626" s="500"/>
      <c r="EQ626" s="369">
        <f t="shared" si="1699"/>
        <v>-1945.1017357874607</v>
      </c>
    </row>
    <row r="627" spans="1:147" ht="10.199999999999999" hidden="1" customHeight="1" outlineLevel="1">
      <c r="A627" s="108" t="s">
        <v>368</v>
      </c>
      <c r="B627" s="48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3"/>
      <c r="O627" s="500"/>
      <c r="P627" s="500"/>
      <c r="Q627" s="500"/>
      <c r="R627" s="501"/>
      <c r="S627" s="500"/>
      <c r="T627" s="500"/>
      <c r="U627" s="369"/>
      <c r="V627" s="500"/>
      <c r="W627" s="500"/>
      <c r="X627" s="500"/>
      <c r="Y627" s="501"/>
      <c r="Z627" s="500"/>
      <c r="AA627" s="500"/>
      <c r="AB627" s="369"/>
      <c r="AC627" s="500"/>
      <c r="AD627" s="500"/>
      <c r="AE627" s="500"/>
      <c r="AF627" s="501"/>
      <c r="AG627" s="500"/>
      <c r="AH627" s="500"/>
      <c r="AI627" s="369">
        <f t="shared" si="1683"/>
        <v>0</v>
      </c>
      <c r="AJ627" s="500"/>
      <c r="AK627" s="500"/>
      <c r="AL627" s="500"/>
      <c r="AM627" s="501"/>
      <c r="AN627" s="500"/>
      <c r="AO627" s="500"/>
      <c r="AP627" s="369">
        <f t="shared" si="1684"/>
        <v>0</v>
      </c>
      <c r="AQ627" s="500"/>
      <c r="AR627" s="500"/>
      <c r="AS627" s="500"/>
      <c r="AT627" s="501"/>
      <c r="AU627" s="500"/>
      <c r="AV627" s="500"/>
      <c r="AW627" s="369">
        <f t="shared" si="1685"/>
        <v>254.47801056067826</v>
      </c>
      <c r="AX627" s="500"/>
      <c r="AY627" s="500"/>
      <c r="AZ627" s="500"/>
      <c r="BA627" s="501"/>
      <c r="BB627" s="500"/>
      <c r="BC627" s="500"/>
      <c r="BD627" s="369">
        <f t="shared" si="1686"/>
        <v>295.49653878255674</v>
      </c>
      <c r="BE627" s="500"/>
      <c r="BF627" s="500"/>
      <c r="BG627" s="500"/>
      <c r="BH627" s="501"/>
      <c r="BI627" s="500"/>
      <c r="BJ627" s="500"/>
      <c r="BK627" s="369">
        <f t="shared" si="1687"/>
        <v>1106.3374639215151</v>
      </c>
      <c r="BL627" s="500"/>
      <c r="BM627" s="500"/>
      <c r="BN627" s="500"/>
      <c r="BO627" s="501"/>
      <c r="BP627" s="500"/>
      <c r="BQ627" s="500"/>
      <c r="BR627" s="369">
        <f t="shared" si="1688"/>
        <v>2209.7168426325438</v>
      </c>
      <c r="BS627" s="500"/>
      <c r="BT627" s="500"/>
      <c r="BU627" s="500"/>
      <c r="BV627" s="501"/>
      <c r="BW627" s="500"/>
      <c r="BX627" s="500"/>
      <c r="BY627" s="369">
        <f t="shared" si="1689"/>
        <v>1098.4171924956233</v>
      </c>
      <c r="BZ627" s="500"/>
      <c r="CA627" s="500"/>
      <c r="CB627" s="500"/>
      <c r="CC627" s="501"/>
      <c r="CD627" s="500"/>
      <c r="CE627" s="500"/>
      <c r="CF627" s="369">
        <f t="shared" si="1690"/>
        <v>1518.1724799976596</v>
      </c>
      <c r="CG627" s="500"/>
      <c r="CH627" s="500"/>
      <c r="CI627" s="500"/>
      <c r="CJ627" s="501"/>
      <c r="CK627" s="500"/>
      <c r="CL627" s="500"/>
      <c r="CM627" s="369">
        <f t="shared" si="1691"/>
        <v>1136.271159250959</v>
      </c>
      <c r="CN627" s="500"/>
      <c r="CO627" s="500"/>
      <c r="CP627" s="500"/>
      <c r="CQ627" s="501"/>
      <c r="CR627" s="500"/>
      <c r="CS627" s="500"/>
      <c r="CT627" s="369">
        <f t="shared" si="1692"/>
        <v>551.15561421301675</v>
      </c>
      <c r="CU627" s="500"/>
      <c r="CV627" s="500"/>
      <c r="CW627" s="500"/>
      <c r="CX627" s="501"/>
      <c r="CY627" s="500"/>
      <c r="CZ627" s="500"/>
      <c r="DA627" s="369">
        <f t="shared" si="1693"/>
        <v>278.37893211082024</v>
      </c>
      <c r="DB627" s="500"/>
      <c r="DC627" s="500"/>
      <c r="DD627" s="500"/>
      <c r="DE627" s="501"/>
      <c r="DF627" s="500"/>
      <c r="DG627" s="500"/>
      <c r="DH627" s="369">
        <f t="shared" si="1694"/>
        <v>-1564.1661811006952</v>
      </c>
      <c r="DI627" s="500"/>
      <c r="DJ627" s="500"/>
      <c r="DK627" s="500"/>
      <c r="DL627" s="501"/>
      <c r="DM627" s="500"/>
      <c r="DN627" s="500"/>
      <c r="DO627" s="369">
        <f t="shared" si="1695"/>
        <v>-2994.9024417604251</v>
      </c>
      <c r="DP627" s="500"/>
      <c r="DQ627" s="500"/>
      <c r="DR627" s="500"/>
      <c r="DS627" s="501"/>
      <c r="DT627" s="500"/>
      <c r="DU627" s="500"/>
      <c r="DV627" s="369">
        <f t="shared" si="1696"/>
        <v>-5063.6274558415635</v>
      </c>
      <c r="DW627" s="500"/>
      <c r="DX627" s="500"/>
      <c r="DY627" s="500"/>
      <c r="DZ627" s="501"/>
      <c r="EA627" s="500"/>
      <c r="EB627" s="500"/>
      <c r="EC627" s="369">
        <f t="shared" si="1697"/>
        <v>-7620.704002356516</v>
      </c>
      <c r="ED627" s="500"/>
      <c r="EE627" s="500"/>
      <c r="EF627" s="500"/>
      <c r="EG627" s="501"/>
      <c r="EH627" s="500"/>
      <c r="EI627" s="500"/>
      <c r="EJ627" s="369">
        <f t="shared" si="1698"/>
        <v>-9825.673034436968</v>
      </c>
      <c r="EK627" s="500"/>
      <c r="EL627" s="500"/>
      <c r="EM627" s="500"/>
      <c r="EN627" s="501"/>
      <c r="EO627" s="500"/>
      <c r="EP627" s="500"/>
      <c r="EQ627" s="369">
        <f t="shared" si="1699"/>
        <v>-11858.256308289574</v>
      </c>
    </row>
    <row r="628" spans="1:147" ht="10.199999999999999" hidden="1" customHeight="1" outlineLevel="1">
      <c r="A628" s="48" t="s">
        <v>378</v>
      </c>
      <c r="B628" s="48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3"/>
      <c r="O628" s="298"/>
      <c r="P628" s="298"/>
      <c r="Q628" s="298"/>
      <c r="R628" s="337"/>
      <c r="S628" s="298"/>
      <c r="T628" s="298"/>
      <c r="U628" s="367"/>
      <c r="V628" s="298"/>
      <c r="W628" s="298"/>
      <c r="X628" s="298"/>
      <c r="Y628" s="337"/>
      <c r="Z628" s="298"/>
      <c r="AA628" s="298"/>
      <c r="AB628" s="367"/>
      <c r="AC628" s="298"/>
      <c r="AD628" s="298"/>
      <c r="AE628" s="298"/>
      <c r="AF628" s="337"/>
      <c r="AG628" s="298"/>
      <c r="AH628" s="298"/>
      <c r="AI628" s="367">
        <f t="shared" si="1683"/>
        <v>0</v>
      </c>
      <c r="AJ628" s="298"/>
      <c r="AK628" s="298"/>
      <c r="AL628" s="298"/>
      <c r="AM628" s="337"/>
      <c r="AN628" s="298"/>
      <c r="AO628" s="298"/>
      <c r="AP628" s="367">
        <f t="shared" si="1684"/>
        <v>624.46469018614528</v>
      </c>
      <c r="AQ628" s="298"/>
      <c r="AR628" s="298"/>
      <c r="AS628" s="298"/>
      <c r="AT628" s="337"/>
      <c r="AU628" s="298"/>
      <c r="AV628" s="298"/>
      <c r="AW628" s="367">
        <f t="shared" si="1685"/>
        <v>2003.0024324146864</v>
      </c>
      <c r="AX628" s="298"/>
      <c r="AY628" s="298"/>
      <c r="AZ628" s="298"/>
      <c r="BA628" s="337"/>
      <c r="BB628" s="298"/>
      <c r="BC628" s="298"/>
      <c r="BD628" s="367">
        <f t="shared" si="1686"/>
        <v>2501.0667411862823</v>
      </c>
      <c r="BE628" s="298"/>
      <c r="BF628" s="298"/>
      <c r="BG628" s="298"/>
      <c r="BH628" s="337"/>
      <c r="BI628" s="298"/>
      <c r="BJ628" s="298"/>
      <c r="BK628" s="367">
        <f t="shared" si="1687"/>
        <v>4054.6037694274646</v>
      </c>
      <c r="BL628" s="298"/>
      <c r="BM628" s="298"/>
      <c r="BN628" s="298"/>
      <c r="BO628" s="337"/>
      <c r="BP628" s="298"/>
      <c r="BQ628" s="298"/>
      <c r="BR628" s="367">
        <f t="shared" si="1688"/>
        <v>6943.2390321542434</v>
      </c>
      <c r="BS628" s="298"/>
      <c r="BT628" s="298"/>
      <c r="BU628" s="298"/>
      <c r="BV628" s="337"/>
      <c r="BW628" s="298"/>
      <c r="BX628" s="298"/>
      <c r="BY628" s="367">
        <f t="shared" si="1689"/>
        <v>2836.2251434587643</v>
      </c>
      <c r="BZ628" s="298"/>
      <c r="CA628" s="298"/>
      <c r="CB628" s="298"/>
      <c r="CC628" s="337"/>
      <c r="CD628" s="298"/>
      <c r="CE628" s="298"/>
      <c r="CF628" s="367">
        <f t="shared" si="1690"/>
        <v>3638.9691379536466</v>
      </c>
      <c r="CG628" s="298"/>
      <c r="CH628" s="298"/>
      <c r="CI628" s="298"/>
      <c r="CJ628" s="337"/>
      <c r="CK628" s="298"/>
      <c r="CL628" s="298"/>
      <c r="CM628" s="367">
        <f t="shared" si="1691"/>
        <v>2582.6190177258804</v>
      </c>
      <c r="CN628" s="298"/>
      <c r="CO628" s="298"/>
      <c r="CP628" s="298"/>
      <c r="CQ628" s="337"/>
      <c r="CR628" s="298"/>
      <c r="CS628" s="298"/>
      <c r="CT628" s="367">
        <f t="shared" si="1692"/>
        <v>1612.7939812915206</v>
      </c>
      <c r="CU628" s="298"/>
      <c r="CV628" s="298"/>
      <c r="CW628" s="298"/>
      <c r="CX628" s="337"/>
      <c r="CY628" s="298"/>
      <c r="CZ628" s="298"/>
      <c r="DA628" s="367">
        <f t="shared" si="1693"/>
        <v>494.9492020002437</v>
      </c>
      <c r="DB628" s="298"/>
      <c r="DC628" s="298"/>
      <c r="DD628" s="298"/>
      <c r="DE628" s="337"/>
      <c r="DF628" s="298"/>
      <c r="DG628" s="298"/>
      <c r="DH628" s="367">
        <f t="shared" si="1694"/>
        <v>-1768.2767918263028</v>
      </c>
      <c r="DI628" s="298"/>
      <c r="DJ628" s="298"/>
      <c r="DK628" s="298"/>
      <c r="DL628" s="337"/>
      <c r="DM628" s="298"/>
      <c r="DN628" s="298"/>
      <c r="DO628" s="367">
        <f t="shared" si="1695"/>
        <v>-3565.6221999654276</v>
      </c>
      <c r="DP628" s="298"/>
      <c r="DQ628" s="298"/>
      <c r="DR628" s="298"/>
      <c r="DS628" s="337"/>
      <c r="DT628" s="298"/>
      <c r="DU628" s="298"/>
      <c r="DV628" s="367">
        <f t="shared" si="1696"/>
        <v>-5984.3525637744224</v>
      </c>
      <c r="DW628" s="298"/>
      <c r="DX628" s="298"/>
      <c r="DY628" s="298"/>
      <c r="DZ628" s="337"/>
      <c r="EA628" s="298"/>
      <c r="EB628" s="298"/>
      <c r="EC628" s="367">
        <f t="shared" si="1697"/>
        <v>-8799.3566363959872</v>
      </c>
      <c r="ED628" s="298"/>
      <c r="EE628" s="298"/>
      <c r="EF628" s="298"/>
      <c r="EG628" s="337"/>
      <c r="EH628" s="298"/>
      <c r="EI628" s="298"/>
      <c r="EJ628" s="367">
        <f t="shared" si="1698"/>
        <v>-11426.37190690516</v>
      </c>
      <c r="EK628" s="298"/>
      <c r="EL628" s="298"/>
      <c r="EM628" s="298"/>
      <c r="EN628" s="337"/>
      <c r="EO628" s="298"/>
      <c r="EP628" s="298"/>
      <c r="EQ628" s="367">
        <f t="shared" si="1699"/>
        <v>-13855.347227918985</v>
      </c>
    </row>
    <row r="629" spans="1:147" ht="10.199999999999999" hidden="1" customHeight="1" outlineLevel="1">
      <c r="A629" s="43" t="s">
        <v>198</v>
      </c>
      <c r="B629" s="48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3"/>
      <c r="O629" s="401"/>
      <c r="P629" s="401"/>
      <c r="Q629" s="401"/>
      <c r="R629" s="431"/>
      <c r="S629" s="401"/>
      <c r="T629" s="401"/>
      <c r="U629" s="340"/>
      <c r="V629" s="401"/>
      <c r="W629" s="401"/>
      <c r="X629" s="401"/>
      <c r="Y629" s="431"/>
      <c r="Z629" s="401"/>
      <c r="AA629" s="401"/>
      <c r="AB629" s="340"/>
      <c r="AC629" s="401"/>
      <c r="AD629" s="401"/>
      <c r="AE629" s="401"/>
      <c r="AF629" s="431"/>
      <c r="AG629" s="401"/>
      <c r="AH629" s="401"/>
      <c r="AI629" s="340">
        <f t="shared" si="1683"/>
        <v>380.50048118549478</v>
      </c>
      <c r="AJ629" s="401"/>
      <c r="AK629" s="401"/>
      <c r="AL629" s="401"/>
      <c r="AM629" s="431"/>
      <c r="AN629" s="401"/>
      <c r="AO629" s="401"/>
      <c r="AP629" s="340">
        <f t="shared" si="1684"/>
        <v>265.124295995605</v>
      </c>
      <c r="AQ629" s="401"/>
      <c r="AR629" s="401"/>
      <c r="AS629" s="401"/>
      <c r="AT629" s="431"/>
      <c r="AU629" s="401"/>
      <c r="AV629" s="401"/>
      <c r="AW629" s="340">
        <f t="shared" si="1685"/>
        <v>46.017743147561283</v>
      </c>
      <c r="AX629" s="401"/>
      <c r="AY629" s="401"/>
      <c r="AZ629" s="401"/>
      <c r="BA629" s="431"/>
      <c r="BB629" s="401"/>
      <c r="BC629" s="401"/>
      <c r="BD629" s="340">
        <f t="shared" si="1686"/>
        <v>109.57300317130752</v>
      </c>
      <c r="BE629" s="401"/>
      <c r="BF629" s="401"/>
      <c r="BG629" s="401"/>
      <c r="BH629" s="431"/>
      <c r="BI629" s="401"/>
      <c r="BJ629" s="401"/>
      <c r="BK629" s="340">
        <f t="shared" si="1687"/>
        <v>110.68951801796942</v>
      </c>
      <c r="BL629" s="401"/>
      <c r="BM629" s="401"/>
      <c r="BN629" s="401"/>
      <c r="BO629" s="431"/>
      <c r="BP629" s="401"/>
      <c r="BQ629" s="401"/>
      <c r="BR629" s="340">
        <f t="shared" si="1688"/>
        <v>53.267571753210383</v>
      </c>
      <c r="BS629" s="401"/>
      <c r="BT629" s="401"/>
      <c r="BU629" s="401"/>
      <c r="BV629" s="431"/>
      <c r="BW629" s="401"/>
      <c r="BX629" s="401"/>
      <c r="BY629" s="340">
        <f t="shared" si="1689"/>
        <v>0</v>
      </c>
      <c r="BZ629" s="401"/>
      <c r="CA629" s="401"/>
      <c r="CB629" s="401"/>
      <c r="CC629" s="431"/>
      <c r="CD629" s="401"/>
      <c r="CE629" s="401"/>
      <c r="CF629" s="340">
        <f t="shared" si="1690"/>
        <v>0</v>
      </c>
      <c r="CG629" s="401"/>
      <c r="CH629" s="401"/>
      <c r="CI629" s="401"/>
      <c r="CJ629" s="431"/>
      <c r="CK629" s="401"/>
      <c r="CL629" s="401"/>
      <c r="CM629" s="340">
        <f t="shared" si="1691"/>
        <v>0</v>
      </c>
      <c r="CN629" s="401"/>
      <c r="CO629" s="401"/>
      <c r="CP629" s="401"/>
      <c r="CQ629" s="431"/>
      <c r="CR629" s="401"/>
      <c r="CS629" s="401"/>
      <c r="CT629" s="340">
        <f t="shared" si="1692"/>
        <v>0</v>
      </c>
      <c r="CU629" s="401"/>
      <c r="CV629" s="401"/>
      <c r="CW629" s="401"/>
      <c r="CX629" s="431"/>
      <c r="CY629" s="401"/>
      <c r="CZ629" s="401"/>
      <c r="DA629" s="340">
        <f t="shared" si="1693"/>
        <v>0</v>
      </c>
      <c r="DB629" s="401"/>
      <c r="DC629" s="401"/>
      <c r="DD629" s="401"/>
      <c r="DE629" s="431"/>
      <c r="DF629" s="401"/>
      <c r="DG629" s="401"/>
      <c r="DH629" s="340">
        <f t="shared" si="1694"/>
        <v>0</v>
      </c>
      <c r="DI629" s="401"/>
      <c r="DJ629" s="401"/>
      <c r="DK629" s="401"/>
      <c r="DL629" s="431"/>
      <c r="DM629" s="401"/>
      <c r="DN629" s="401"/>
      <c r="DO629" s="340">
        <f t="shared" si="1695"/>
        <v>0</v>
      </c>
      <c r="DP629" s="401"/>
      <c r="DQ629" s="401"/>
      <c r="DR629" s="401"/>
      <c r="DS629" s="431"/>
      <c r="DT629" s="401"/>
      <c r="DU629" s="401"/>
      <c r="DV629" s="340">
        <f t="shared" si="1696"/>
        <v>0</v>
      </c>
      <c r="DW629" s="401"/>
      <c r="DX629" s="401"/>
      <c r="DY629" s="401"/>
      <c r="DZ629" s="431"/>
      <c r="EA629" s="401"/>
      <c r="EB629" s="401"/>
      <c r="EC629" s="340">
        <f t="shared" si="1697"/>
        <v>0</v>
      </c>
      <c r="ED629" s="401"/>
      <c r="EE629" s="401"/>
      <c r="EF629" s="401"/>
      <c r="EG629" s="431"/>
      <c r="EH629" s="401"/>
      <c r="EI629" s="401"/>
      <c r="EJ629" s="340">
        <f t="shared" si="1698"/>
        <v>0</v>
      </c>
      <c r="EK629" s="401"/>
      <c r="EL629" s="401"/>
      <c r="EM629" s="401"/>
      <c r="EN629" s="431"/>
      <c r="EO629" s="401"/>
      <c r="EP629" s="401"/>
      <c r="EQ629" s="340">
        <f t="shared" si="1699"/>
        <v>0</v>
      </c>
    </row>
    <row r="630" spans="1:147" ht="10.199999999999999" hidden="1" customHeight="1" outlineLevel="1">
      <c r="A630" s="43" t="s">
        <v>199</v>
      </c>
      <c r="B630" s="48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3"/>
      <c r="O630" s="401"/>
      <c r="P630" s="401"/>
      <c r="Q630" s="401"/>
      <c r="R630" s="431"/>
      <c r="S630" s="401"/>
      <c r="T630" s="401"/>
      <c r="U630" s="340"/>
      <c r="V630" s="401"/>
      <c r="W630" s="401"/>
      <c r="X630" s="401"/>
      <c r="Y630" s="431"/>
      <c r="Z630" s="401"/>
      <c r="AA630" s="401"/>
      <c r="AB630" s="340"/>
      <c r="AC630" s="401"/>
      <c r="AD630" s="401"/>
      <c r="AE630" s="401"/>
      <c r="AF630" s="431"/>
      <c r="AG630" s="401"/>
      <c r="AH630" s="401"/>
      <c r="AI630" s="340">
        <f t="shared" si="1683"/>
        <v>894.17864832250893</v>
      </c>
      <c r="AJ630" s="401"/>
      <c r="AK630" s="401"/>
      <c r="AL630" s="401"/>
      <c r="AM630" s="431"/>
      <c r="AN630" s="401"/>
      <c r="AO630" s="401"/>
      <c r="AP630" s="340">
        <f t="shared" si="1684"/>
        <v>512.6934651221535</v>
      </c>
      <c r="AQ630" s="401"/>
      <c r="AR630" s="401"/>
      <c r="AS630" s="401"/>
      <c r="AT630" s="431"/>
      <c r="AU630" s="401"/>
      <c r="AV630" s="401"/>
      <c r="AW630" s="340">
        <f t="shared" si="1685"/>
        <v>138.41971755777081</v>
      </c>
      <c r="AX630" s="401"/>
      <c r="AY630" s="401"/>
      <c r="AZ630" s="401"/>
      <c r="BA630" s="431"/>
      <c r="BB630" s="401"/>
      <c r="BC630" s="401"/>
      <c r="BD630" s="340">
        <f t="shared" si="1686"/>
        <v>260.31686551167883</v>
      </c>
      <c r="BE630" s="401"/>
      <c r="BF630" s="401"/>
      <c r="BG630" s="401"/>
      <c r="BH630" s="431"/>
      <c r="BI630" s="401"/>
      <c r="BJ630" s="401"/>
      <c r="BK630" s="340">
        <f t="shared" si="1687"/>
        <v>233.98008211254003</v>
      </c>
      <c r="BL630" s="401"/>
      <c r="BM630" s="401"/>
      <c r="BN630" s="401"/>
      <c r="BO630" s="431"/>
      <c r="BP630" s="401"/>
      <c r="BQ630" s="401"/>
      <c r="BR630" s="340">
        <f t="shared" si="1688"/>
        <v>34.780729630970534</v>
      </c>
      <c r="BS630" s="401"/>
      <c r="BT630" s="401"/>
      <c r="BU630" s="401"/>
      <c r="BV630" s="431"/>
      <c r="BW630" s="401"/>
      <c r="BX630" s="401"/>
      <c r="BY630" s="340">
        <f t="shared" si="1689"/>
        <v>0</v>
      </c>
      <c r="BZ630" s="401"/>
      <c r="CA630" s="401"/>
      <c r="CB630" s="401"/>
      <c r="CC630" s="431"/>
      <c r="CD630" s="401"/>
      <c r="CE630" s="401"/>
      <c r="CF630" s="340">
        <f t="shared" si="1690"/>
        <v>0</v>
      </c>
      <c r="CG630" s="401"/>
      <c r="CH630" s="401"/>
      <c r="CI630" s="401"/>
      <c r="CJ630" s="431"/>
      <c r="CK630" s="401"/>
      <c r="CL630" s="401"/>
      <c r="CM630" s="340">
        <f t="shared" si="1691"/>
        <v>0</v>
      </c>
      <c r="CN630" s="401"/>
      <c r="CO630" s="401"/>
      <c r="CP630" s="401"/>
      <c r="CQ630" s="431"/>
      <c r="CR630" s="401"/>
      <c r="CS630" s="401"/>
      <c r="CT630" s="340">
        <f t="shared" si="1692"/>
        <v>0</v>
      </c>
      <c r="CU630" s="401"/>
      <c r="CV630" s="401"/>
      <c r="CW630" s="401"/>
      <c r="CX630" s="431"/>
      <c r="CY630" s="401"/>
      <c r="CZ630" s="401"/>
      <c r="DA630" s="340">
        <f t="shared" si="1693"/>
        <v>0</v>
      </c>
      <c r="DB630" s="401"/>
      <c r="DC630" s="401"/>
      <c r="DD630" s="401"/>
      <c r="DE630" s="431"/>
      <c r="DF630" s="401"/>
      <c r="DG630" s="401"/>
      <c r="DH630" s="340">
        <f t="shared" si="1694"/>
        <v>0</v>
      </c>
      <c r="DI630" s="401"/>
      <c r="DJ630" s="401"/>
      <c r="DK630" s="401"/>
      <c r="DL630" s="431"/>
      <c r="DM630" s="401"/>
      <c r="DN630" s="401"/>
      <c r="DO630" s="340">
        <f t="shared" si="1695"/>
        <v>0</v>
      </c>
      <c r="DP630" s="401"/>
      <c r="DQ630" s="401"/>
      <c r="DR630" s="401"/>
      <c r="DS630" s="431"/>
      <c r="DT630" s="401"/>
      <c r="DU630" s="401"/>
      <c r="DV630" s="340">
        <f t="shared" si="1696"/>
        <v>0</v>
      </c>
      <c r="DW630" s="401"/>
      <c r="DX630" s="401"/>
      <c r="DY630" s="401"/>
      <c r="DZ630" s="431"/>
      <c r="EA630" s="401"/>
      <c r="EB630" s="401"/>
      <c r="EC630" s="340">
        <f t="shared" si="1697"/>
        <v>0</v>
      </c>
      <c r="ED630" s="401"/>
      <c r="EE630" s="401"/>
      <c r="EF630" s="401"/>
      <c r="EG630" s="431"/>
      <c r="EH630" s="401"/>
      <c r="EI630" s="401"/>
      <c r="EJ630" s="340">
        <f t="shared" si="1698"/>
        <v>0</v>
      </c>
      <c r="EK630" s="401"/>
      <c r="EL630" s="401"/>
      <c r="EM630" s="401"/>
      <c r="EN630" s="431"/>
      <c r="EO630" s="401"/>
      <c r="EP630" s="401"/>
      <c r="EQ630" s="340">
        <f t="shared" si="1699"/>
        <v>0</v>
      </c>
    </row>
    <row r="631" spans="1:147" ht="10.199999999999999" hidden="1" customHeight="1" outlineLevel="1">
      <c r="A631" s="48" t="s">
        <v>380</v>
      </c>
      <c r="B631" s="48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3"/>
      <c r="O631" s="401"/>
      <c r="P631" s="401"/>
      <c r="Q631" s="401"/>
      <c r="R631" s="431"/>
      <c r="S631" s="401"/>
      <c r="T631" s="401"/>
      <c r="U631" s="340"/>
      <c r="V631" s="401"/>
      <c r="W631" s="401"/>
      <c r="X631" s="401"/>
      <c r="Y631" s="431"/>
      <c r="Z631" s="401"/>
      <c r="AA631" s="401"/>
      <c r="AB631" s="340"/>
      <c r="AC631" s="401"/>
      <c r="AD631" s="401"/>
      <c r="AE631" s="401"/>
      <c r="AF631" s="431"/>
      <c r="AG631" s="401"/>
      <c r="AH631" s="401"/>
      <c r="AI631" s="340">
        <f t="shared" si="1683"/>
        <v>1274.6791295080036</v>
      </c>
      <c r="AJ631" s="401"/>
      <c r="AK631" s="401"/>
      <c r="AL631" s="401"/>
      <c r="AM631" s="431"/>
      <c r="AN631" s="401"/>
      <c r="AO631" s="401"/>
      <c r="AP631" s="340">
        <f t="shared" si="1684"/>
        <v>777.81776111775855</v>
      </c>
      <c r="AQ631" s="401"/>
      <c r="AR631" s="401"/>
      <c r="AS631" s="401"/>
      <c r="AT631" s="431"/>
      <c r="AU631" s="401"/>
      <c r="AV631" s="401"/>
      <c r="AW631" s="340">
        <f t="shared" si="1685"/>
        <v>184.43746070533209</v>
      </c>
      <c r="AX631" s="401"/>
      <c r="AY631" s="401"/>
      <c r="AZ631" s="401"/>
      <c r="BA631" s="431"/>
      <c r="BB631" s="401"/>
      <c r="BC631" s="401"/>
      <c r="BD631" s="340">
        <f t="shared" si="1686"/>
        <v>369.88986868298639</v>
      </c>
      <c r="BE631" s="401"/>
      <c r="BF631" s="401"/>
      <c r="BG631" s="401"/>
      <c r="BH631" s="431"/>
      <c r="BI631" s="401"/>
      <c r="BJ631" s="401"/>
      <c r="BK631" s="340">
        <f t="shared" si="1687"/>
        <v>344.66960013050948</v>
      </c>
      <c r="BL631" s="401"/>
      <c r="BM631" s="401"/>
      <c r="BN631" s="401"/>
      <c r="BO631" s="431"/>
      <c r="BP631" s="401"/>
      <c r="BQ631" s="401"/>
      <c r="BR631" s="340">
        <f t="shared" si="1688"/>
        <v>88.048301384180917</v>
      </c>
      <c r="BS631" s="401"/>
      <c r="BT631" s="401"/>
      <c r="BU631" s="401"/>
      <c r="BV631" s="431"/>
      <c r="BW631" s="401"/>
      <c r="BX631" s="401"/>
      <c r="BY631" s="340">
        <f t="shared" si="1689"/>
        <v>0</v>
      </c>
      <c r="BZ631" s="401"/>
      <c r="CA631" s="401"/>
      <c r="CB631" s="401"/>
      <c r="CC631" s="431"/>
      <c r="CD631" s="401"/>
      <c r="CE631" s="401"/>
      <c r="CF631" s="340">
        <f t="shared" si="1690"/>
        <v>0</v>
      </c>
      <c r="CG631" s="401"/>
      <c r="CH631" s="401"/>
      <c r="CI631" s="401"/>
      <c r="CJ631" s="431"/>
      <c r="CK631" s="401"/>
      <c r="CL631" s="401"/>
      <c r="CM631" s="340">
        <f t="shared" si="1691"/>
        <v>0</v>
      </c>
      <c r="CN631" s="401"/>
      <c r="CO631" s="401"/>
      <c r="CP631" s="401"/>
      <c r="CQ631" s="431"/>
      <c r="CR631" s="401"/>
      <c r="CS631" s="401"/>
      <c r="CT631" s="340">
        <f t="shared" si="1692"/>
        <v>0</v>
      </c>
      <c r="CU631" s="401"/>
      <c r="CV631" s="401"/>
      <c r="CW631" s="401"/>
      <c r="CX631" s="431"/>
      <c r="CY631" s="401"/>
      <c r="CZ631" s="401"/>
      <c r="DA631" s="340">
        <f t="shared" si="1693"/>
        <v>0</v>
      </c>
      <c r="DB631" s="401"/>
      <c r="DC631" s="401"/>
      <c r="DD631" s="401"/>
      <c r="DE631" s="431"/>
      <c r="DF631" s="401"/>
      <c r="DG631" s="401"/>
      <c r="DH631" s="340">
        <f t="shared" si="1694"/>
        <v>0</v>
      </c>
      <c r="DI631" s="401"/>
      <c r="DJ631" s="401"/>
      <c r="DK631" s="401"/>
      <c r="DL631" s="431"/>
      <c r="DM631" s="401"/>
      <c r="DN631" s="401"/>
      <c r="DO631" s="340">
        <f t="shared" si="1695"/>
        <v>0</v>
      </c>
      <c r="DP631" s="401"/>
      <c r="DQ631" s="401"/>
      <c r="DR631" s="401"/>
      <c r="DS631" s="431"/>
      <c r="DT631" s="401"/>
      <c r="DU631" s="401"/>
      <c r="DV631" s="340">
        <f t="shared" si="1696"/>
        <v>0</v>
      </c>
      <c r="DW631" s="401"/>
      <c r="DX631" s="401"/>
      <c r="DY631" s="401"/>
      <c r="DZ631" s="431"/>
      <c r="EA631" s="401"/>
      <c r="EB631" s="401"/>
      <c r="EC631" s="340">
        <f t="shared" si="1697"/>
        <v>0</v>
      </c>
      <c r="ED631" s="401"/>
      <c r="EE631" s="401"/>
      <c r="EF631" s="401"/>
      <c r="EG631" s="431"/>
      <c r="EH631" s="401"/>
      <c r="EI631" s="401"/>
      <c r="EJ631" s="340">
        <f t="shared" si="1698"/>
        <v>0</v>
      </c>
      <c r="EK631" s="401"/>
      <c r="EL631" s="401"/>
      <c r="EM631" s="401"/>
      <c r="EN631" s="431"/>
      <c r="EO631" s="401"/>
      <c r="EP631" s="401"/>
      <c r="EQ631" s="340">
        <f t="shared" si="1699"/>
        <v>0</v>
      </c>
    </row>
    <row r="632" spans="1:147" ht="10.199999999999999" hidden="1" customHeight="1" outlineLevel="1">
      <c r="A632" s="108" t="s">
        <v>384</v>
      </c>
      <c r="B632" s="48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3"/>
      <c r="O632" s="322"/>
      <c r="P632" s="322"/>
      <c r="Q632" s="322"/>
      <c r="R632" s="430"/>
      <c r="S632" s="322"/>
      <c r="T632" s="322"/>
      <c r="U632" s="339"/>
      <c r="V632" s="322"/>
      <c r="W632" s="322"/>
      <c r="X632" s="322"/>
      <c r="Y632" s="430"/>
      <c r="Z632" s="322"/>
      <c r="AA632" s="322"/>
      <c r="AB632" s="339"/>
      <c r="AC632" s="322"/>
      <c r="AD632" s="322"/>
      <c r="AE632" s="322"/>
      <c r="AF632" s="430"/>
      <c r="AG632" s="322"/>
      <c r="AH632" s="322"/>
      <c r="AI632" s="339">
        <f t="shared" si="1683"/>
        <v>0</v>
      </c>
      <c r="AJ632" s="322"/>
      <c r="AK632" s="322"/>
      <c r="AL632" s="322"/>
      <c r="AM632" s="430"/>
      <c r="AN632" s="322"/>
      <c r="AO632" s="322"/>
      <c r="AP632" s="339">
        <f t="shared" si="1684"/>
        <v>0</v>
      </c>
      <c r="AQ632" s="322"/>
      <c r="AR632" s="322"/>
      <c r="AS632" s="322"/>
      <c r="AT632" s="430"/>
      <c r="AU632" s="322"/>
      <c r="AV632" s="322"/>
      <c r="AW632" s="339">
        <f t="shared" si="1685"/>
        <v>0</v>
      </c>
      <c r="AX632" s="322"/>
      <c r="AY632" s="322"/>
      <c r="AZ632" s="322"/>
      <c r="BA632" s="430"/>
      <c r="BB632" s="322"/>
      <c r="BC632" s="322"/>
      <c r="BD632" s="339">
        <f t="shared" si="1686"/>
        <v>0</v>
      </c>
      <c r="BE632" s="322"/>
      <c r="BF632" s="322"/>
      <c r="BG632" s="322"/>
      <c r="BH632" s="430"/>
      <c r="BI632" s="322"/>
      <c r="BJ632" s="322"/>
      <c r="BK632" s="339">
        <f t="shared" si="1687"/>
        <v>0</v>
      </c>
      <c r="BL632" s="322"/>
      <c r="BM632" s="322"/>
      <c r="BN632" s="322"/>
      <c r="BO632" s="430"/>
      <c r="BP632" s="322"/>
      <c r="BQ632" s="322"/>
      <c r="BR632" s="339">
        <f t="shared" si="1688"/>
        <v>0</v>
      </c>
      <c r="BS632" s="322"/>
      <c r="BT632" s="322"/>
      <c r="BU632" s="322"/>
      <c r="BV632" s="430"/>
      <c r="BW632" s="322"/>
      <c r="BX632" s="322"/>
      <c r="BY632" s="339">
        <f t="shared" si="1689"/>
        <v>-106.71198300000006</v>
      </c>
      <c r="BZ632" s="322"/>
      <c r="CA632" s="322"/>
      <c r="CB632" s="322"/>
      <c r="CC632" s="430"/>
      <c r="CD632" s="322"/>
      <c r="CE632" s="322"/>
      <c r="CF632" s="339">
        <f t="shared" si="1690"/>
        <v>-18.753431958725351</v>
      </c>
      <c r="CG632" s="322"/>
      <c r="CH632" s="322"/>
      <c r="CI632" s="322"/>
      <c r="CJ632" s="430"/>
      <c r="CK632" s="322"/>
      <c r="CL632" s="322"/>
      <c r="CM632" s="339">
        <f t="shared" si="1691"/>
        <v>-47.419138947687543</v>
      </c>
      <c r="CN632" s="322"/>
      <c r="CO632" s="322"/>
      <c r="CP632" s="322"/>
      <c r="CQ632" s="430"/>
      <c r="CR632" s="322"/>
      <c r="CS632" s="322"/>
      <c r="CT632" s="339">
        <f t="shared" si="1692"/>
        <v>0</v>
      </c>
      <c r="CU632" s="322"/>
      <c r="CV632" s="322"/>
      <c r="CW632" s="322"/>
      <c r="CX632" s="430"/>
      <c r="CY632" s="322"/>
      <c r="CZ632" s="322"/>
      <c r="DA632" s="339">
        <f t="shared" si="1693"/>
        <v>0</v>
      </c>
      <c r="DB632" s="322"/>
      <c r="DC632" s="322"/>
      <c r="DD632" s="322"/>
      <c r="DE632" s="430"/>
      <c r="DF632" s="322"/>
      <c r="DG632" s="322"/>
      <c r="DH632" s="339">
        <f t="shared" si="1694"/>
        <v>-7.9517490615655939</v>
      </c>
      <c r="DI632" s="322"/>
      <c r="DJ632" s="322"/>
      <c r="DK632" s="322"/>
      <c r="DL632" s="430"/>
      <c r="DM632" s="322"/>
      <c r="DN632" s="322"/>
      <c r="DO632" s="339">
        <f t="shared" si="1695"/>
        <v>-20.751255419119644</v>
      </c>
      <c r="DP632" s="322"/>
      <c r="DQ632" s="322"/>
      <c r="DR632" s="322"/>
      <c r="DS632" s="430"/>
      <c r="DT632" s="322"/>
      <c r="DU632" s="322"/>
      <c r="DV632" s="339">
        <f t="shared" si="1696"/>
        <v>-9.7174138841460866</v>
      </c>
      <c r="DW632" s="322"/>
      <c r="DX632" s="322"/>
      <c r="DY632" s="322"/>
      <c r="DZ632" s="430"/>
      <c r="EA632" s="322"/>
      <c r="EB632" s="322"/>
      <c r="EC632" s="339">
        <f t="shared" si="1697"/>
        <v>1.1943151182417007</v>
      </c>
      <c r="ED632" s="322"/>
      <c r="EE632" s="322"/>
      <c r="EF632" s="322"/>
      <c r="EG632" s="430"/>
      <c r="EH632" s="322"/>
      <c r="EI632" s="322"/>
      <c r="EJ632" s="339">
        <f t="shared" si="1698"/>
        <v>12.20547418586497</v>
      </c>
      <c r="EK632" s="322"/>
      <c r="EL632" s="322"/>
      <c r="EM632" s="322"/>
      <c r="EN632" s="430"/>
      <c r="EO632" s="322"/>
      <c r="EP632" s="322"/>
      <c r="EQ632" s="339">
        <f t="shared" si="1699"/>
        <v>23.062045703899663</v>
      </c>
    </row>
    <row r="633" spans="1:147" ht="10.199999999999999" hidden="1" customHeight="1" outlineLevel="1">
      <c r="A633" s="108" t="s">
        <v>385</v>
      </c>
      <c r="B633" s="48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3"/>
      <c r="O633" s="322"/>
      <c r="P633" s="322"/>
      <c r="Q633" s="322"/>
      <c r="R633" s="430"/>
      <c r="S633" s="322"/>
      <c r="T633" s="322"/>
      <c r="U633" s="339"/>
      <c r="V633" s="322"/>
      <c r="W633" s="322"/>
      <c r="X633" s="322"/>
      <c r="Y633" s="430"/>
      <c r="Z633" s="322"/>
      <c r="AA633" s="322"/>
      <c r="AB633" s="339"/>
      <c r="AC633" s="322"/>
      <c r="AD633" s="322"/>
      <c r="AE633" s="322"/>
      <c r="AF633" s="430"/>
      <c r="AG633" s="322"/>
      <c r="AH633" s="322"/>
      <c r="AI633" s="339">
        <f t="shared" si="1683"/>
        <v>0</v>
      </c>
      <c r="AJ633" s="322"/>
      <c r="AK633" s="322"/>
      <c r="AL633" s="322"/>
      <c r="AM633" s="430"/>
      <c r="AN633" s="322"/>
      <c r="AO633" s="322"/>
      <c r="AP633" s="339">
        <f t="shared" si="1684"/>
        <v>0</v>
      </c>
      <c r="AQ633" s="322"/>
      <c r="AR633" s="322"/>
      <c r="AS633" s="322"/>
      <c r="AT633" s="430"/>
      <c r="AU633" s="322"/>
      <c r="AV633" s="322"/>
      <c r="AW633" s="339">
        <f t="shared" si="1685"/>
        <v>0</v>
      </c>
      <c r="AX633" s="322"/>
      <c r="AY633" s="322"/>
      <c r="AZ633" s="322"/>
      <c r="BA633" s="430"/>
      <c r="BB633" s="322"/>
      <c r="BC633" s="322"/>
      <c r="BD633" s="339">
        <f t="shared" si="1686"/>
        <v>0</v>
      </c>
      <c r="BE633" s="322"/>
      <c r="BF633" s="322"/>
      <c r="BG633" s="322"/>
      <c r="BH633" s="430"/>
      <c r="BI633" s="322"/>
      <c r="BJ633" s="322"/>
      <c r="BK633" s="339">
        <f t="shared" si="1687"/>
        <v>25.192491061605001</v>
      </c>
      <c r="BL633" s="322"/>
      <c r="BM633" s="322"/>
      <c r="BN633" s="322"/>
      <c r="BO633" s="430"/>
      <c r="BP633" s="322"/>
      <c r="BQ633" s="322"/>
      <c r="BR633" s="339">
        <f t="shared" si="1688"/>
        <v>312.18271769073448</v>
      </c>
      <c r="BS633" s="322"/>
      <c r="BT633" s="322"/>
      <c r="BU633" s="322"/>
      <c r="BV633" s="430"/>
      <c r="BW633" s="322"/>
      <c r="BX633" s="322"/>
      <c r="BY633" s="339">
        <f t="shared" si="1689"/>
        <v>-229.12461000000008</v>
      </c>
      <c r="BZ633" s="322"/>
      <c r="CA633" s="322"/>
      <c r="CB633" s="322"/>
      <c r="CC633" s="430"/>
      <c r="CD633" s="322"/>
      <c r="CE633" s="322"/>
      <c r="CF633" s="339">
        <f t="shared" si="1690"/>
        <v>-75.318785045341443</v>
      </c>
      <c r="CG633" s="322"/>
      <c r="CH633" s="322"/>
      <c r="CI633" s="322"/>
      <c r="CJ633" s="430"/>
      <c r="CK633" s="322"/>
      <c r="CL633" s="322"/>
      <c r="CM633" s="339">
        <f t="shared" si="1691"/>
        <v>-51.601483206494706</v>
      </c>
      <c r="CN633" s="322"/>
      <c r="CO633" s="322"/>
      <c r="CP633" s="322"/>
      <c r="CQ633" s="430"/>
      <c r="CR633" s="322"/>
      <c r="CS633" s="322"/>
      <c r="CT633" s="339">
        <f t="shared" si="1692"/>
        <v>35.671858085685784</v>
      </c>
      <c r="CU633" s="322"/>
      <c r="CV633" s="322"/>
      <c r="CW633" s="322"/>
      <c r="CX633" s="430"/>
      <c r="CY633" s="322"/>
      <c r="CZ633" s="322"/>
      <c r="DA633" s="339">
        <f t="shared" si="1693"/>
        <v>124.92586849982671</v>
      </c>
      <c r="DB633" s="322"/>
      <c r="DC633" s="322"/>
      <c r="DD633" s="322"/>
      <c r="DE633" s="430"/>
      <c r="DF633" s="322"/>
      <c r="DG633" s="322"/>
      <c r="DH633" s="339">
        <f t="shared" si="1694"/>
        <v>235.78077215940394</v>
      </c>
      <c r="DI633" s="322"/>
      <c r="DJ633" s="322"/>
      <c r="DK633" s="322"/>
      <c r="DL633" s="430"/>
      <c r="DM633" s="322"/>
      <c r="DN633" s="322"/>
      <c r="DO633" s="339">
        <f t="shared" si="1695"/>
        <v>291.77683990809743</v>
      </c>
      <c r="DP633" s="322"/>
      <c r="DQ633" s="322"/>
      <c r="DR633" s="322"/>
      <c r="DS633" s="430"/>
      <c r="DT633" s="322"/>
      <c r="DU633" s="322"/>
      <c r="DV633" s="339">
        <f t="shared" si="1696"/>
        <v>374.77950878879818</v>
      </c>
      <c r="DW633" s="322"/>
      <c r="DX633" s="322"/>
      <c r="DY633" s="322"/>
      <c r="DZ633" s="430"/>
      <c r="EA633" s="322"/>
      <c r="EB633" s="322"/>
      <c r="EC633" s="339">
        <f t="shared" si="1697"/>
        <v>457.39492736925348</v>
      </c>
      <c r="ED633" s="322"/>
      <c r="EE633" s="322"/>
      <c r="EF633" s="322"/>
      <c r="EG633" s="430"/>
      <c r="EH633" s="322"/>
      <c r="EI633" s="322"/>
      <c r="EJ633" s="339">
        <f t="shared" si="1698"/>
        <v>548.18304991080015</v>
      </c>
      <c r="EK633" s="322"/>
      <c r="EL633" s="322"/>
      <c r="EM633" s="322"/>
      <c r="EN633" s="430"/>
      <c r="EO633" s="322"/>
      <c r="EP633" s="322"/>
      <c r="EQ633" s="339">
        <f t="shared" si="1699"/>
        <v>749.18517041797543</v>
      </c>
    </row>
    <row r="634" spans="1:147" ht="10.199999999999999" hidden="1" customHeight="1" outlineLevel="1">
      <c r="A634" s="48" t="s">
        <v>381</v>
      </c>
      <c r="B634" s="48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3"/>
      <c r="O634" s="298"/>
      <c r="P634" s="298"/>
      <c r="Q634" s="298"/>
      <c r="R634" s="337"/>
      <c r="S634" s="298"/>
      <c r="T634" s="298"/>
      <c r="U634" s="367"/>
      <c r="V634" s="298"/>
      <c r="W634" s="298"/>
      <c r="X634" s="298"/>
      <c r="Y634" s="337"/>
      <c r="Z634" s="298"/>
      <c r="AA634" s="298"/>
      <c r="AB634" s="367"/>
      <c r="AC634" s="298"/>
      <c r="AD634" s="298"/>
      <c r="AE634" s="298"/>
      <c r="AF634" s="337"/>
      <c r="AG634" s="298"/>
      <c r="AH634" s="298"/>
      <c r="AI634" s="367">
        <f t="shared" si="1683"/>
        <v>0</v>
      </c>
      <c r="AJ634" s="298"/>
      <c r="AK634" s="298"/>
      <c r="AL634" s="298"/>
      <c r="AM634" s="337"/>
      <c r="AN634" s="298"/>
      <c r="AO634" s="298"/>
      <c r="AP634" s="367">
        <f t="shared" si="1684"/>
        <v>0</v>
      </c>
      <c r="AQ634" s="298"/>
      <c r="AR634" s="298"/>
      <c r="AS634" s="298"/>
      <c r="AT634" s="337"/>
      <c r="AU634" s="298"/>
      <c r="AV634" s="298"/>
      <c r="AW634" s="367">
        <f t="shared" si="1685"/>
        <v>0</v>
      </c>
      <c r="AX634" s="298"/>
      <c r="AY634" s="298"/>
      <c r="AZ634" s="298"/>
      <c r="BA634" s="337"/>
      <c r="BB634" s="298"/>
      <c r="BC634" s="298"/>
      <c r="BD634" s="367">
        <f t="shared" si="1686"/>
        <v>0</v>
      </c>
      <c r="BE634" s="298"/>
      <c r="BF634" s="298"/>
      <c r="BG634" s="298"/>
      <c r="BH634" s="337"/>
      <c r="BI634" s="298"/>
      <c r="BJ634" s="298"/>
      <c r="BK634" s="367">
        <f t="shared" si="1687"/>
        <v>25.192491061605001</v>
      </c>
      <c r="BL634" s="298"/>
      <c r="BM634" s="298"/>
      <c r="BN634" s="298"/>
      <c r="BO634" s="337"/>
      <c r="BP634" s="298"/>
      <c r="BQ634" s="298"/>
      <c r="BR634" s="367">
        <f t="shared" si="1688"/>
        <v>312.18271769073448</v>
      </c>
      <c r="BS634" s="298"/>
      <c r="BT634" s="298"/>
      <c r="BU634" s="298"/>
      <c r="BV634" s="337"/>
      <c r="BW634" s="298"/>
      <c r="BX634" s="298"/>
      <c r="BY634" s="367">
        <f t="shared" si="1689"/>
        <v>-335.83659300000016</v>
      </c>
      <c r="BZ634" s="298"/>
      <c r="CA634" s="298"/>
      <c r="CB634" s="298"/>
      <c r="CC634" s="337"/>
      <c r="CD634" s="298"/>
      <c r="CE634" s="298"/>
      <c r="CF634" s="367">
        <f t="shared" si="1690"/>
        <v>-94.072217004066786</v>
      </c>
      <c r="CG634" s="298"/>
      <c r="CH634" s="298"/>
      <c r="CI634" s="298"/>
      <c r="CJ634" s="337"/>
      <c r="CK634" s="298"/>
      <c r="CL634" s="298"/>
      <c r="CM634" s="367">
        <f t="shared" si="1691"/>
        <v>-99.020622154182249</v>
      </c>
      <c r="CN634" s="298"/>
      <c r="CO634" s="298"/>
      <c r="CP634" s="298"/>
      <c r="CQ634" s="337"/>
      <c r="CR634" s="298"/>
      <c r="CS634" s="298"/>
      <c r="CT634" s="367">
        <f t="shared" si="1692"/>
        <v>35.671858085685784</v>
      </c>
      <c r="CU634" s="298"/>
      <c r="CV634" s="298"/>
      <c r="CW634" s="298"/>
      <c r="CX634" s="337"/>
      <c r="CY634" s="298"/>
      <c r="CZ634" s="298"/>
      <c r="DA634" s="367">
        <f t="shared" si="1693"/>
        <v>124.92586849982671</v>
      </c>
      <c r="DB634" s="298"/>
      <c r="DC634" s="298"/>
      <c r="DD634" s="298"/>
      <c r="DE634" s="337"/>
      <c r="DF634" s="298"/>
      <c r="DG634" s="298"/>
      <c r="DH634" s="367">
        <f t="shared" si="1694"/>
        <v>227.82902309783839</v>
      </c>
      <c r="DI634" s="298"/>
      <c r="DJ634" s="298"/>
      <c r="DK634" s="298"/>
      <c r="DL634" s="337"/>
      <c r="DM634" s="298"/>
      <c r="DN634" s="298"/>
      <c r="DO634" s="367">
        <f t="shared" si="1695"/>
        <v>271.02558448897781</v>
      </c>
      <c r="DP634" s="298"/>
      <c r="DQ634" s="298"/>
      <c r="DR634" s="298"/>
      <c r="DS634" s="337"/>
      <c r="DT634" s="298"/>
      <c r="DU634" s="298"/>
      <c r="DV634" s="367">
        <f t="shared" si="1696"/>
        <v>365.0620949046521</v>
      </c>
      <c r="DW634" s="298"/>
      <c r="DX634" s="298"/>
      <c r="DY634" s="298"/>
      <c r="DZ634" s="337"/>
      <c r="EA634" s="298"/>
      <c r="EB634" s="298"/>
      <c r="EC634" s="367">
        <f t="shared" si="1697"/>
        <v>458.5892424874952</v>
      </c>
      <c r="ED634" s="298"/>
      <c r="EE634" s="298"/>
      <c r="EF634" s="298"/>
      <c r="EG634" s="337"/>
      <c r="EH634" s="298"/>
      <c r="EI634" s="298"/>
      <c r="EJ634" s="367">
        <f t="shared" si="1698"/>
        <v>560.38852409666515</v>
      </c>
      <c r="EK634" s="298"/>
      <c r="EL634" s="298"/>
      <c r="EM634" s="298"/>
      <c r="EN634" s="337"/>
      <c r="EO634" s="298"/>
      <c r="EP634" s="298"/>
      <c r="EQ634" s="367">
        <f t="shared" si="1699"/>
        <v>772.24721612187511</v>
      </c>
    </row>
    <row r="635" spans="1:147" ht="10.199999999999999" hidden="1" customHeight="1" outlineLevel="1">
      <c r="A635" s="108" t="s">
        <v>371</v>
      </c>
      <c r="B635" s="48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3"/>
      <c r="O635" s="500"/>
      <c r="P635" s="500"/>
      <c r="Q635" s="500"/>
      <c r="R635" s="501"/>
      <c r="S635" s="500"/>
      <c r="T635" s="500"/>
      <c r="U635" s="369"/>
      <c r="V635" s="500"/>
      <c r="W635" s="500"/>
      <c r="X635" s="500"/>
      <c r="Y635" s="501"/>
      <c r="Z635" s="500"/>
      <c r="AA635" s="500"/>
      <c r="AB635" s="369"/>
      <c r="AC635" s="500"/>
      <c r="AD635" s="500"/>
      <c r="AE635" s="500"/>
      <c r="AF635" s="501"/>
      <c r="AG635" s="500"/>
      <c r="AH635" s="500"/>
      <c r="AI635" s="369">
        <f t="shared" si="1683"/>
        <v>0</v>
      </c>
      <c r="AJ635" s="500"/>
      <c r="AK635" s="500"/>
      <c r="AL635" s="500"/>
      <c r="AM635" s="501"/>
      <c r="AN635" s="500"/>
      <c r="AO635" s="500"/>
      <c r="AP635" s="369">
        <f t="shared" si="1684"/>
        <v>0</v>
      </c>
      <c r="AQ635" s="500"/>
      <c r="AR635" s="500"/>
      <c r="AS635" s="500"/>
      <c r="AT635" s="501"/>
      <c r="AU635" s="500"/>
      <c r="AV635" s="500"/>
      <c r="AW635" s="369">
        <f t="shared" si="1685"/>
        <v>0</v>
      </c>
      <c r="AX635" s="500"/>
      <c r="AY635" s="500"/>
      <c r="AZ635" s="500"/>
      <c r="BA635" s="501"/>
      <c r="BB635" s="500"/>
      <c r="BC635" s="500"/>
      <c r="BD635" s="369">
        <f t="shared" si="1686"/>
        <v>0</v>
      </c>
      <c r="BE635" s="500"/>
      <c r="BF635" s="500"/>
      <c r="BG635" s="500"/>
      <c r="BH635" s="501"/>
      <c r="BI635" s="500"/>
      <c r="BJ635" s="500"/>
      <c r="BK635" s="369">
        <f t="shared" si="1687"/>
        <v>0</v>
      </c>
      <c r="BL635" s="500"/>
      <c r="BM635" s="500"/>
      <c r="BN635" s="500"/>
      <c r="BO635" s="501"/>
      <c r="BP635" s="500"/>
      <c r="BQ635" s="500"/>
      <c r="BR635" s="369">
        <f t="shared" si="1688"/>
        <v>0</v>
      </c>
      <c r="BS635" s="500"/>
      <c r="BT635" s="500"/>
      <c r="BU635" s="500"/>
      <c r="BV635" s="501"/>
      <c r="BW635" s="500"/>
      <c r="BX635" s="500"/>
      <c r="BY635" s="369">
        <f t="shared" si="1689"/>
        <v>0</v>
      </c>
      <c r="BZ635" s="500"/>
      <c r="CA635" s="500"/>
      <c r="CB635" s="500"/>
      <c r="CC635" s="501"/>
      <c r="CD635" s="500"/>
      <c r="CE635" s="500"/>
      <c r="CF635" s="369">
        <f t="shared" si="1690"/>
        <v>0</v>
      </c>
      <c r="CG635" s="500"/>
      <c r="CH635" s="500"/>
      <c r="CI635" s="500"/>
      <c r="CJ635" s="501"/>
      <c r="CK635" s="500"/>
      <c r="CL635" s="500"/>
      <c r="CM635" s="369">
        <f t="shared" si="1691"/>
        <v>0</v>
      </c>
      <c r="CN635" s="500"/>
      <c r="CO635" s="500"/>
      <c r="CP635" s="500"/>
      <c r="CQ635" s="501"/>
      <c r="CR635" s="500"/>
      <c r="CS635" s="500"/>
      <c r="CT635" s="369">
        <f t="shared" si="1692"/>
        <v>0</v>
      </c>
      <c r="CU635" s="500"/>
      <c r="CV635" s="500"/>
      <c r="CW635" s="500"/>
      <c r="CX635" s="501"/>
      <c r="CY635" s="500"/>
      <c r="CZ635" s="500"/>
      <c r="DA635" s="369">
        <f t="shared" si="1693"/>
        <v>0</v>
      </c>
      <c r="DB635" s="500"/>
      <c r="DC635" s="500"/>
      <c r="DD635" s="500"/>
      <c r="DE635" s="501"/>
      <c r="DF635" s="500"/>
      <c r="DG635" s="500"/>
      <c r="DH635" s="369">
        <f t="shared" si="1694"/>
        <v>0</v>
      </c>
      <c r="DI635" s="500"/>
      <c r="DJ635" s="500"/>
      <c r="DK635" s="500"/>
      <c r="DL635" s="501"/>
      <c r="DM635" s="500"/>
      <c r="DN635" s="500"/>
      <c r="DO635" s="369">
        <f t="shared" si="1695"/>
        <v>0</v>
      </c>
      <c r="DP635" s="500"/>
      <c r="DQ635" s="500"/>
      <c r="DR635" s="500"/>
      <c r="DS635" s="501"/>
      <c r="DT635" s="500"/>
      <c r="DU635" s="500"/>
      <c r="DV635" s="369">
        <f t="shared" si="1696"/>
        <v>0</v>
      </c>
      <c r="DW635" s="500"/>
      <c r="DX635" s="500"/>
      <c r="DY635" s="500"/>
      <c r="DZ635" s="501"/>
      <c r="EA635" s="500"/>
      <c r="EB635" s="500"/>
      <c r="EC635" s="369">
        <f t="shared" si="1697"/>
        <v>0</v>
      </c>
      <c r="ED635" s="500"/>
      <c r="EE635" s="500"/>
      <c r="EF635" s="500"/>
      <c r="EG635" s="501"/>
      <c r="EH635" s="500"/>
      <c r="EI635" s="500"/>
      <c r="EJ635" s="369">
        <f t="shared" si="1698"/>
        <v>0</v>
      </c>
      <c r="EK635" s="500"/>
      <c r="EL635" s="500"/>
      <c r="EM635" s="500"/>
      <c r="EN635" s="501"/>
      <c r="EO635" s="500"/>
      <c r="EP635" s="500"/>
      <c r="EQ635" s="369">
        <f t="shared" si="1699"/>
        <v>0</v>
      </c>
    </row>
    <row r="636" spans="1:147" ht="10.199999999999999" hidden="1" customHeight="1" outlineLevel="1">
      <c r="A636" s="108" t="s">
        <v>369</v>
      </c>
      <c r="B636" s="48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3"/>
      <c r="O636" s="500"/>
      <c r="P636" s="500"/>
      <c r="Q636" s="500"/>
      <c r="R636" s="501"/>
      <c r="S636" s="500"/>
      <c r="T636" s="500"/>
      <c r="U636" s="369"/>
      <c r="V636" s="500"/>
      <c r="W636" s="500"/>
      <c r="X636" s="500"/>
      <c r="Y636" s="501"/>
      <c r="Z636" s="500"/>
      <c r="AA636" s="500"/>
      <c r="AB636" s="369"/>
      <c r="AC636" s="500"/>
      <c r="AD636" s="500"/>
      <c r="AE636" s="500"/>
      <c r="AF636" s="501"/>
      <c r="AG636" s="500"/>
      <c r="AH636" s="500"/>
      <c r="AI636" s="369">
        <f t="shared" si="1683"/>
        <v>-1148.0280754445459</v>
      </c>
      <c r="AJ636" s="500"/>
      <c r="AK636" s="500"/>
      <c r="AL636" s="500"/>
      <c r="AM636" s="501"/>
      <c r="AN636" s="500"/>
      <c r="AO636" s="500"/>
      <c r="AP636" s="369">
        <f t="shared" si="1684"/>
        <v>-1286.6323896223887</v>
      </c>
      <c r="AQ636" s="500"/>
      <c r="AR636" s="500"/>
      <c r="AS636" s="500"/>
      <c r="AT636" s="501"/>
      <c r="AU636" s="500"/>
      <c r="AV636" s="500"/>
      <c r="AW636" s="369">
        <f t="shared" si="1685"/>
        <v>-1092.0737397909393</v>
      </c>
      <c r="AX636" s="500"/>
      <c r="AY636" s="500"/>
      <c r="AZ636" s="500"/>
      <c r="BA636" s="501"/>
      <c r="BB636" s="500"/>
      <c r="BC636" s="500"/>
      <c r="BD636" s="369">
        <f t="shared" si="1686"/>
        <v>-1824.7534123804814</v>
      </c>
      <c r="BE636" s="500"/>
      <c r="BF636" s="500"/>
      <c r="BG636" s="500"/>
      <c r="BH636" s="501"/>
      <c r="BI636" s="500"/>
      <c r="BJ636" s="500"/>
      <c r="BK636" s="369">
        <f t="shared" si="1687"/>
        <v>-191.8244571153671</v>
      </c>
      <c r="BL636" s="500"/>
      <c r="BM636" s="500"/>
      <c r="BN636" s="500"/>
      <c r="BO636" s="501"/>
      <c r="BP636" s="500"/>
      <c r="BQ636" s="500"/>
      <c r="BR636" s="369">
        <f t="shared" si="1688"/>
        <v>205.87938352271226</v>
      </c>
      <c r="BS636" s="500"/>
      <c r="BT636" s="500"/>
      <c r="BU636" s="500"/>
      <c r="BV636" s="501"/>
      <c r="BW636" s="500"/>
      <c r="BX636" s="500"/>
      <c r="BY636" s="369">
        <f t="shared" si="1689"/>
        <v>-319.18728448702876</v>
      </c>
      <c r="BZ636" s="500"/>
      <c r="CA636" s="500"/>
      <c r="CB636" s="500"/>
      <c r="CC636" s="501"/>
      <c r="CD636" s="500"/>
      <c r="CE636" s="500"/>
      <c r="CF636" s="369">
        <f t="shared" si="1690"/>
        <v>-33.86661730060414</v>
      </c>
      <c r="CG636" s="500"/>
      <c r="CH636" s="500"/>
      <c r="CI636" s="500"/>
      <c r="CJ636" s="501"/>
      <c r="CK636" s="500"/>
      <c r="CL636" s="500"/>
      <c r="CM636" s="369">
        <f t="shared" si="1691"/>
        <v>-394.6890699035398</v>
      </c>
      <c r="CN636" s="500"/>
      <c r="CO636" s="500"/>
      <c r="CP636" s="500"/>
      <c r="CQ636" s="501"/>
      <c r="CR636" s="500"/>
      <c r="CS636" s="500"/>
      <c r="CT636" s="369">
        <f t="shared" si="1692"/>
        <v>-337.34606383168563</v>
      </c>
      <c r="CU636" s="500"/>
      <c r="CV636" s="500"/>
      <c r="CW636" s="500"/>
      <c r="CX636" s="501"/>
      <c r="CY636" s="500"/>
      <c r="CZ636" s="500"/>
      <c r="DA636" s="369">
        <f t="shared" si="1693"/>
        <v>-264.34259808655622</v>
      </c>
      <c r="DB636" s="500"/>
      <c r="DC636" s="500"/>
      <c r="DD636" s="500"/>
      <c r="DE636" s="501"/>
      <c r="DF636" s="500"/>
      <c r="DG636" s="500"/>
      <c r="DH636" s="369">
        <f t="shared" si="1694"/>
        <v>-228.21592649350163</v>
      </c>
      <c r="DI636" s="500"/>
      <c r="DJ636" s="500"/>
      <c r="DK636" s="500"/>
      <c r="DL636" s="501"/>
      <c r="DM636" s="500"/>
      <c r="DN636" s="500"/>
      <c r="DO636" s="369">
        <f t="shared" si="1695"/>
        <v>-257.82495297088502</v>
      </c>
      <c r="DP636" s="500"/>
      <c r="DQ636" s="500"/>
      <c r="DR636" s="500"/>
      <c r="DS636" s="501"/>
      <c r="DT636" s="500"/>
      <c r="DU636" s="500"/>
      <c r="DV636" s="369">
        <f t="shared" si="1696"/>
        <v>-270.04585232614926</v>
      </c>
      <c r="DW636" s="500"/>
      <c r="DX636" s="500"/>
      <c r="DY636" s="500"/>
      <c r="DZ636" s="501"/>
      <c r="EA636" s="500"/>
      <c r="EB636" s="500"/>
      <c r="EC636" s="369">
        <f t="shared" si="1697"/>
        <v>-252.91786346078973</v>
      </c>
      <c r="ED636" s="500"/>
      <c r="EE636" s="500"/>
      <c r="EF636" s="500"/>
      <c r="EG636" s="501"/>
      <c r="EH636" s="500"/>
      <c r="EI636" s="500"/>
      <c r="EJ636" s="369">
        <f t="shared" si="1698"/>
        <v>-227.53704459126573</v>
      </c>
      <c r="EK636" s="500"/>
      <c r="EL636" s="500"/>
      <c r="EM636" s="500"/>
      <c r="EN636" s="501"/>
      <c r="EO636" s="500"/>
      <c r="EP636" s="500"/>
      <c r="EQ636" s="369">
        <f t="shared" si="1699"/>
        <v>-168.52748311134607</v>
      </c>
    </row>
    <row r="637" spans="1:147" ht="10.199999999999999" hidden="1" customHeight="1" outlineLevel="1">
      <c r="A637" s="108" t="s">
        <v>370</v>
      </c>
      <c r="B637" s="48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3"/>
      <c r="O637" s="500"/>
      <c r="P637" s="500"/>
      <c r="Q637" s="500"/>
      <c r="R637" s="501"/>
      <c r="S637" s="500"/>
      <c r="T637" s="500"/>
      <c r="U637" s="369"/>
      <c r="V637" s="500"/>
      <c r="W637" s="500"/>
      <c r="X637" s="500"/>
      <c r="Y637" s="501"/>
      <c r="Z637" s="500"/>
      <c r="AA637" s="500"/>
      <c r="AB637" s="369"/>
      <c r="AC637" s="500"/>
      <c r="AD637" s="500"/>
      <c r="AE637" s="500"/>
      <c r="AF637" s="501"/>
      <c r="AG637" s="500"/>
      <c r="AH637" s="500"/>
      <c r="AI637" s="369">
        <f t="shared" si="1683"/>
        <v>0</v>
      </c>
      <c r="AJ637" s="500"/>
      <c r="AK637" s="500"/>
      <c r="AL637" s="500"/>
      <c r="AM637" s="501"/>
      <c r="AN637" s="500"/>
      <c r="AO637" s="500"/>
      <c r="AP637" s="369">
        <f t="shared" si="1684"/>
        <v>0</v>
      </c>
      <c r="AQ637" s="500"/>
      <c r="AR637" s="500"/>
      <c r="AS637" s="500"/>
      <c r="AT637" s="501"/>
      <c r="AU637" s="500"/>
      <c r="AV637" s="500"/>
      <c r="AW637" s="369">
        <f t="shared" si="1685"/>
        <v>0</v>
      </c>
      <c r="AX637" s="500"/>
      <c r="AY637" s="500"/>
      <c r="AZ637" s="500"/>
      <c r="BA637" s="501"/>
      <c r="BB637" s="500"/>
      <c r="BC637" s="500"/>
      <c r="BD637" s="369">
        <f t="shared" si="1686"/>
        <v>0</v>
      </c>
      <c r="BE637" s="500"/>
      <c r="BF637" s="500"/>
      <c r="BG637" s="500"/>
      <c r="BH637" s="501"/>
      <c r="BI637" s="500"/>
      <c r="BJ637" s="500"/>
      <c r="BK637" s="369">
        <f t="shared" si="1687"/>
        <v>-39.252920862504233</v>
      </c>
      <c r="BL637" s="500"/>
      <c r="BM637" s="500"/>
      <c r="BN637" s="500"/>
      <c r="BO637" s="501"/>
      <c r="BP637" s="500"/>
      <c r="BQ637" s="500"/>
      <c r="BR637" s="369">
        <f t="shared" si="1688"/>
        <v>68.312577462242217</v>
      </c>
      <c r="BS637" s="500"/>
      <c r="BT637" s="500"/>
      <c r="BU637" s="500"/>
      <c r="BV637" s="501"/>
      <c r="BW637" s="500"/>
      <c r="BX637" s="500"/>
      <c r="BY637" s="369">
        <f t="shared" si="1689"/>
        <v>-114.66428318301155</v>
      </c>
      <c r="BZ637" s="500"/>
      <c r="CA637" s="500"/>
      <c r="CB637" s="500"/>
      <c r="CC637" s="501"/>
      <c r="CD637" s="500"/>
      <c r="CE637" s="500"/>
      <c r="CF637" s="369">
        <f t="shared" si="1690"/>
        <v>-4.7884399678531633</v>
      </c>
      <c r="CG637" s="500"/>
      <c r="CH637" s="500"/>
      <c r="CI637" s="500"/>
      <c r="CJ637" s="501"/>
      <c r="CK637" s="500"/>
      <c r="CL637" s="500"/>
      <c r="CM637" s="369">
        <f t="shared" si="1691"/>
        <v>-91.149051115090231</v>
      </c>
      <c r="CN637" s="500"/>
      <c r="CO637" s="500"/>
      <c r="CP637" s="500"/>
      <c r="CQ637" s="501"/>
      <c r="CR637" s="500"/>
      <c r="CS637" s="500"/>
      <c r="CT637" s="369">
        <f t="shared" si="1692"/>
        <v>-89.891909549449863</v>
      </c>
      <c r="CU637" s="500"/>
      <c r="CV637" s="500"/>
      <c r="CW637" s="500"/>
      <c r="CX637" s="501"/>
      <c r="CY637" s="500"/>
      <c r="CZ637" s="500"/>
      <c r="DA637" s="369">
        <f t="shared" si="1693"/>
        <v>-90.183043233617141</v>
      </c>
      <c r="DB637" s="500"/>
      <c r="DC637" s="500"/>
      <c r="DD637" s="500"/>
      <c r="DE637" s="501"/>
      <c r="DF637" s="500"/>
      <c r="DG637" s="500"/>
      <c r="DH637" s="369">
        <f t="shared" si="1694"/>
        <v>-94.114160882920046</v>
      </c>
      <c r="DI637" s="500"/>
      <c r="DJ637" s="500"/>
      <c r="DK637" s="500"/>
      <c r="DL637" s="501"/>
      <c r="DM637" s="500"/>
      <c r="DN637" s="500"/>
      <c r="DO637" s="369">
        <f t="shared" si="1695"/>
        <v>-99.236342432083802</v>
      </c>
      <c r="DP637" s="500"/>
      <c r="DQ637" s="500"/>
      <c r="DR637" s="500"/>
      <c r="DS637" s="501"/>
      <c r="DT637" s="500"/>
      <c r="DU637" s="500"/>
      <c r="DV637" s="369">
        <f t="shared" si="1696"/>
        <v>-103.94014374872289</v>
      </c>
      <c r="DW637" s="500"/>
      <c r="DX637" s="500"/>
      <c r="DY637" s="500"/>
      <c r="DZ637" s="501"/>
      <c r="EA637" s="500"/>
      <c r="EB637" s="500"/>
      <c r="EC637" s="369">
        <f t="shared" si="1697"/>
        <v>-97.347612852740411</v>
      </c>
      <c r="ED637" s="500"/>
      <c r="EE637" s="500"/>
      <c r="EF637" s="500"/>
      <c r="EG637" s="501"/>
      <c r="EH637" s="500"/>
      <c r="EI637" s="500"/>
      <c r="EJ637" s="369">
        <f t="shared" si="1698"/>
        <v>-87.57858311562606</v>
      </c>
      <c r="EK637" s="500"/>
      <c r="EL637" s="500"/>
      <c r="EM637" s="500"/>
      <c r="EN637" s="501"/>
      <c r="EO637" s="500"/>
      <c r="EP637" s="500"/>
      <c r="EQ637" s="369">
        <f t="shared" si="1699"/>
        <v>-64.865913211833913</v>
      </c>
    </row>
    <row r="638" spans="1:147" ht="10.199999999999999" hidden="1" customHeight="1" outlineLevel="1">
      <c r="A638" s="48" t="s">
        <v>238</v>
      </c>
      <c r="B638" s="48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3"/>
      <c r="O638" s="298"/>
      <c r="P638" s="298"/>
      <c r="Q638" s="298"/>
      <c r="R638" s="337"/>
      <c r="S638" s="298"/>
      <c r="T638" s="298"/>
      <c r="U638" s="367"/>
      <c r="V638" s="298"/>
      <c r="W638" s="298"/>
      <c r="X638" s="298"/>
      <c r="Y638" s="337"/>
      <c r="Z638" s="298"/>
      <c r="AA638" s="298"/>
      <c r="AB638" s="367"/>
      <c r="AC638" s="298"/>
      <c r="AD638" s="298"/>
      <c r="AE638" s="298"/>
      <c r="AF638" s="337"/>
      <c r="AG638" s="298"/>
      <c r="AH638" s="298"/>
      <c r="AI638" s="367">
        <f t="shared" si="1683"/>
        <v>-1148.0280754445459</v>
      </c>
      <c r="AJ638" s="298"/>
      <c r="AK638" s="298"/>
      <c r="AL638" s="298"/>
      <c r="AM638" s="337"/>
      <c r="AN638" s="298"/>
      <c r="AO638" s="298"/>
      <c r="AP638" s="367">
        <f t="shared" si="1684"/>
        <v>-1286.6323896223887</v>
      </c>
      <c r="AQ638" s="298"/>
      <c r="AR638" s="298"/>
      <c r="AS638" s="298"/>
      <c r="AT638" s="337"/>
      <c r="AU638" s="298"/>
      <c r="AV638" s="298"/>
      <c r="AW638" s="367">
        <f t="shared" si="1685"/>
        <v>-1092.0737397909393</v>
      </c>
      <c r="AX638" s="298"/>
      <c r="AY638" s="298"/>
      <c r="AZ638" s="298"/>
      <c r="BA638" s="337"/>
      <c r="BB638" s="298"/>
      <c r="BC638" s="298"/>
      <c r="BD638" s="367">
        <f t="shared" si="1686"/>
        <v>-1824.7534123804814</v>
      </c>
      <c r="BE638" s="298"/>
      <c r="BF638" s="298"/>
      <c r="BG638" s="298"/>
      <c r="BH638" s="337"/>
      <c r="BI638" s="298"/>
      <c r="BJ638" s="298"/>
      <c r="BK638" s="367">
        <f t="shared" si="1687"/>
        <v>-231.07737797787132</v>
      </c>
      <c r="BL638" s="298"/>
      <c r="BM638" s="298"/>
      <c r="BN638" s="298"/>
      <c r="BO638" s="337"/>
      <c r="BP638" s="298"/>
      <c r="BQ638" s="298"/>
      <c r="BR638" s="367">
        <f t="shared" si="1688"/>
        <v>274.19196098495451</v>
      </c>
      <c r="BS638" s="298"/>
      <c r="BT638" s="298"/>
      <c r="BU638" s="298"/>
      <c r="BV638" s="337"/>
      <c r="BW638" s="298"/>
      <c r="BX638" s="298"/>
      <c r="BY638" s="367">
        <f t="shared" si="1689"/>
        <v>-433.85156767004031</v>
      </c>
      <c r="BZ638" s="298"/>
      <c r="CA638" s="298"/>
      <c r="CB638" s="298"/>
      <c r="CC638" s="337"/>
      <c r="CD638" s="298"/>
      <c r="CE638" s="298"/>
      <c r="CF638" s="367">
        <f t="shared" si="1690"/>
        <v>-38.655057268457305</v>
      </c>
      <c r="CG638" s="298"/>
      <c r="CH638" s="298"/>
      <c r="CI638" s="298"/>
      <c r="CJ638" s="337"/>
      <c r="CK638" s="298"/>
      <c r="CL638" s="298"/>
      <c r="CM638" s="367">
        <f t="shared" si="1691"/>
        <v>-485.83812101863003</v>
      </c>
      <c r="CN638" s="298"/>
      <c r="CO638" s="298"/>
      <c r="CP638" s="298"/>
      <c r="CQ638" s="337"/>
      <c r="CR638" s="298"/>
      <c r="CS638" s="298"/>
      <c r="CT638" s="367">
        <f t="shared" si="1692"/>
        <v>-427.23797338113548</v>
      </c>
      <c r="CU638" s="298"/>
      <c r="CV638" s="298"/>
      <c r="CW638" s="298"/>
      <c r="CX638" s="337"/>
      <c r="CY638" s="298"/>
      <c r="CZ638" s="298"/>
      <c r="DA638" s="367">
        <f t="shared" si="1693"/>
        <v>-354.52564132017341</v>
      </c>
      <c r="DB638" s="298"/>
      <c r="DC638" s="298"/>
      <c r="DD638" s="298"/>
      <c r="DE638" s="337"/>
      <c r="DF638" s="298"/>
      <c r="DG638" s="298"/>
      <c r="DH638" s="367">
        <f t="shared" si="1694"/>
        <v>-322.33008737642166</v>
      </c>
      <c r="DI638" s="298"/>
      <c r="DJ638" s="298"/>
      <c r="DK638" s="298"/>
      <c r="DL638" s="337"/>
      <c r="DM638" s="298"/>
      <c r="DN638" s="298"/>
      <c r="DO638" s="367">
        <f t="shared" si="1695"/>
        <v>-357.06129540296882</v>
      </c>
      <c r="DP638" s="298"/>
      <c r="DQ638" s="298"/>
      <c r="DR638" s="298"/>
      <c r="DS638" s="337"/>
      <c r="DT638" s="298"/>
      <c r="DU638" s="298"/>
      <c r="DV638" s="367">
        <f t="shared" si="1696"/>
        <v>-373.98599607487216</v>
      </c>
      <c r="DW638" s="298"/>
      <c r="DX638" s="298"/>
      <c r="DY638" s="298"/>
      <c r="DZ638" s="337"/>
      <c r="EA638" s="298"/>
      <c r="EB638" s="298"/>
      <c r="EC638" s="367">
        <f t="shared" si="1697"/>
        <v>-350.26547631353014</v>
      </c>
      <c r="ED638" s="298"/>
      <c r="EE638" s="298"/>
      <c r="EF638" s="298"/>
      <c r="EG638" s="337"/>
      <c r="EH638" s="298"/>
      <c r="EI638" s="298"/>
      <c r="EJ638" s="367">
        <f t="shared" si="1698"/>
        <v>-315.11562770689181</v>
      </c>
      <c r="EK638" s="298"/>
      <c r="EL638" s="298"/>
      <c r="EM638" s="298"/>
      <c r="EN638" s="337"/>
      <c r="EO638" s="298"/>
      <c r="EP638" s="298"/>
      <c r="EQ638" s="367">
        <f t="shared" si="1699"/>
        <v>-233.39339632317999</v>
      </c>
    </row>
    <row r="639" spans="1:147" ht="10.199999999999999" hidden="1" customHeight="1" outlineLevel="1">
      <c r="A639" s="48" t="s">
        <v>133</v>
      </c>
      <c r="B639" s="48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3"/>
      <c r="O639" s="298"/>
      <c r="P639" s="298"/>
      <c r="Q639" s="298"/>
      <c r="R639" s="337"/>
      <c r="S639" s="298"/>
      <c r="T639" s="298"/>
      <c r="U639" s="367"/>
      <c r="V639" s="298"/>
      <c r="W639" s="298"/>
      <c r="X639" s="298"/>
      <c r="Y639" s="337"/>
      <c r="Z639" s="298"/>
      <c r="AA639" s="298"/>
      <c r="AB639" s="367"/>
      <c r="AC639" s="298"/>
      <c r="AD639" s="298"/>
      <c r="AE639" s="298"/>
      <c r="AF639" s="337"/>
      <c r="AG639" s="298"/>
      <c r="AH639" s="298"/>
      <c r="AI639" s="367">
        <f t="shared" si="1683"/>
        <v>0</v>
      </c>
      <c r="AJ639" s="298"/>
      <c r="AK639" s="298"/>
      <c r="AL639" s="298"/>
      <c r="AM639" s="337"/>
      <c r="AN639" s="298"/>
      <c r="AO639" s="298"/>
      <c r="AP639" s="367">
        <f t="shared" si="1684"/>
        <v>-55.824660110902897</v>
      </c>
      <c r="AQ639" s="298"/>
      <c r="AR639" s="298"/>
      <c r="AS639" s="298"/>
      <c r="AT639" s="337"/>
      <c r="AU639" s="298"/>
      <c r="AV639" s="298"/>
      <c r="AW639" s="367">
        <f t="shared" si="1685"/>
        <v>-199.14850675463742</v>
      </c>
      <c r="AX639" s="298"/>
      <c r="AY639" s="298"/>
      <c r="AZ639" s="298"/>
      <c r="BA639" s="337"/>
      <c r="BB639" s="298"/>
      <c r="BC639" s="298"/>
      <c r="BD639" s="367">
        <f t="shared" si="1686"/>
        <v>-96.013166832727123</v>
      </c>
      <c r="BE639" s="298"/>
      <c r="BF639" s="298"/>
      <c r="BG639" s="298"/>
      <c r="BH639" s="337"/>
      <c r="BI639" s="298"/>
      <c r="BJ639" s="298"/>
      <c r="BK639" s="367">
        <f>+BK593/BK$406</f>
        <v>-33.817513871383127</v>
      </c>
      <c r="BL639" s="298"/>
      <c r="BM639" s="298"/>
      <c r="BN639" s="298"/>
      <c r="BO639" s="337"/>
      <c r="BP639" s="298"/>
      <c r="BQ639" s="298"/>
      <c r="BR639" s="367">
        <f>+BR593/BR$406</f>
        <v>0</v>
      </c>
      <c r="BS639" s="298"/>
      <c r="BT639" s="298"/>
      <c r="BU639" s="298"/>
      <c r="BV639" s="337"/>
      <c r="BW639" s="298"/>
      <c r="BX639" s="298"/>
      <c r="BY639" s="367">
        <f>+BY593/BY$406</f>
        <v>0</v>
      </c>
      <c r="BZ639" s="298"/>
      <c r="CA639" s="298"/>
      <c r="CB639" s="298"/>
      <c r="CC639" s="337"/>
      <c r="CD639" s="298"/>
      <c r="CE639" s="298"/>
      <c r="CF639" s="367">
        <f>+CF593/CF$406</f>
        <v>0</v>
      </c>
      <c r="CG639" s="298"/>
      <c r="CH639" s="298"/>
      <c r="CI639" s="298"/>
      <c r="CJ639" s="337"/>
      <c r="CK639" s="298"/>
      <c r="CL639" s="298"/>
      <c r="CM639" s="367">
        <f>+CM593/CM$406</f>
        <v>0</v>
      </c>
      <c r="CN639" s="298"/>
      <c r="CO639" s="298"/>
      <c r="CP639" s="298"/>
      <c r="CQ639" s="337"/>
      <c r="CR639" s="298"/>
      <c r="CS639" s="298"/>
      <c r="CT639" s="367">
        <f>+CT593/CT$406</f>
        <v>0</v>
      </c>
      <c r="CU639" s="298"/>
      <c r="CV639" s="298"/>
      <c r="CW639" s="298"/>
      <c r="CX639" s="337"/>
      <c r="CY639" s="298"/>
      <c r="CZ639" s="298"/>
      <c r="DA639" s="367">
        <f>+DA593/DA$406</f>
        <v>0</v>
      </c>
      <c r="DB639" s="298"/>
      <c r="DC639" s="298"/>
      <c r="DD639" s="298"/>
      <c r="DE639" s="337"/>
      <c r="DF639" s="298"/>
      <c r="DG639" s="298"/>
      <c r="DH639" s="367">
        <f>+DH593/DH$406</f>
        <v>0</v>
      </c>
      <c r="DI639" s="298"/>
      <c r="DJ639" s="298"/>
      <c r="DK639" s="298"/>
      <c r="DL639" s="337"/>
      <c r="DM639" s="298"/>
      <c r="DN639" s="298"/>
      <c r="DO639" s="367">
        <f>+DO593/DO$406</f>
        <v>0</v>
      </c>
      <c r="DP639" s="298"/>
      <c r="DQ639" s="298"/>
      <c r="DR639" s="298"/>
      <c r="DS639" s="337"/>
      <c r="DT639" s="298"/>
      <c r="DU639" s="298"/>
      <c r="DV639" s="367">
        <f>+DV593/DV$406</f>
        <v>0</v>
      </c>
      <c r="DW639" s="298"/>
      <c r="DX639" s="298"/>
      <c r="DY639" s="298"/>
      <c r="DZ639" s="337"/>
      <c r="EA639" s="298"/>
      <c r="EB639" s="298"/>
      <c r="EC639" s="367">
        <f>+EC593/EC$406</f>
        <v>0</v>
      </c>
      <c r="ED639" s="298"/>
      <c r="EE639" s="298"/>
      <c r="EF639" s="298"/>
      <c r="EG639" s="337"/>
      <c r="EH639" s="298"/>
      <c r="EI639" s="298"/>
      <c r="EJ639" s="367">
        <f>+EJ593/EJ$406</f>
        <v>0</v>
      </c>
      <c r="EK639" s="298"/>
      <c r="EL639" s="298"/>
      <c r="EM639" s="298"/>
      <c r="EN639" s="337"/>
      <c r="EO639" s="298"/>
      <c r="EP639" s="298"/>
      <c r="EQ639" s="367">
        <f>+EQ593/EQ$406</f>
        <v>0</v>
      </c>
    </row>
    <row r="640" spans="1:147" ht="10.199999999999999" hidden="1" customHeight="1" outlineLevel="1">
      <c r="A640" s="48" t="s">
        <v>632</v>
      </c>
      <c r="B640" s="48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3"/>
      <c r="O640" s="298"/>
      <c r="P640" s="298"/>
      <c r="Q640" s="298"/>
      <c r="R640" s="337"/>
      <c r="S640" s="298"/>
      <c r="T640" s="298"/>
      <c r="U640" s="367"/>
      <c r="V640" s="298"/>
      <c r="W640" s="298"/>
      <c r="X640" s="298"/>
      <c r="Y640" s="337"/>
      <c r="Z640" s="298"/>
      <c r="AA640" s="298"/>
      <c r="AB640" s="367"/>
      <c r="AC640" s="298"/>
      <c r="AD640" s="298"/>
      <c r="AE640" s="298"/>
      <c r="AF640" s="337"/>
      <c r="AG640" s="298"/>
      <c r="AH640" s="298"/>
      <c r="AI640" s="367"/>
      <c r="AJ640" s="298"/>
      <c r="AK640" s="298"/>
      <c r="AL640" s="298"/>
      <c r="AM640" s="337"/>
      <c r="AN640" s="298"/>
      <c r="AO640" s="298"/>
      <c r="AP640" s="367"/>
      <c r="AQ640" s="298"/>
      <c r="AR640" s="298"/>
      <c r="AS640" s="298"/>
      <c r="AT640" s="337"/>
      <c r="AU640" s="298"/>
      <c r="AV640" s="298"/>
      <c r="AW640" s="367"/>
      <c r="AX640" s="298"/>
      <c r="AY640" s="298"/>
      <c r="AZ640" s="298"/>
      <c r="BA640" s="337"/>
      <c r="BB640" s="298"/>
      <c r="BC640" s="298"/>
      <c r="BD640" s="367"/>
      <c r="BE640" s="298"/>
      <c r="BF640" s="298"/>
      <c r="BG640" s="298"/>
      <c r="BH640" s="337"/>
      <c r="BI640" s="298"/>
      <c r="BJ640" s="298"/>
      <c r="BK640" s="367">
        <f>+BK594/AW$406</f>
        <v>-61.561312701742949</v>
      </c>
      <c r="BL640" s="298"/>
      <c r="BM640" s="298"/>
      <c r="BN640" s="298"/>
      <c r="BO640" s="337"/>
      <c r="BP640" s="298"/>
      <c r="BQ640" s="298"/>
      <c r="BR640" s="367">
        <f>+BR594/BK$406</f>
        <v>-221.56425443521786</v>
      </c>
      <c r="BS640" s="298"/>
      <c r="BT640" s="298"/>
      <c r="BU640" s="298"/>
      <c r="BV640" s="337"/>
      <c r="BW640" s="298"/>
      <c r="BX640" s="298"/>
      <c r="BY640" s="367">
        <f>+BY594/BR$406</f>
        <v>-186.36604875000003</v>
      </c>
      <c r="BZ640" s="298"/>
      <c r="CA640" s="298"/>
      <c r="CB640" s="298"/>
      <c r="CC640" s="337"/>
      <c r="CD640" s="298"/>
      <c r="CE640" s="298"/>
      <c r="CF640" s="367">
        <f>+CF594/BY$406</f>
        <v>-425.42706466898414</v>
      </c>
      <c r="CG640" s="298"/>
      <c r="CH640" s="298"/>
      <c r="CI640" s="298"/>
      <c r="CJ640" s="337"/>
      <c r="CK640" s="298"/>
      <c r="CL640" s="298"/>
      <c r="CM640" s="367">
        <f>+CM594/CF$406</f>
        <v>-186.41939347187858</v>
      </c>
      <c r="CN640" s="298"/>
      <c r="CO640" s="298"/>
      <c r="CP640" s="298"/>
      <c r="CQ640" s="337"/>
      <c r="CR640" s="298"/>
      <c r="CS640" s="298"/>
      <c r="CT640" s="367">
        <f>+CT594/CM$406</f>
        <v>-127.13244325996625</v>
      </c>
      <c r="CU640" s="298"/>
      <c r="CV640" s="298"/>
      <c r="CW640" s="298"/>
      <c r="CX640" s="337"/>
      <c r="CY640" s="298"/>
      <c r="CZ640" s="298"/>
      <c r="DA640" s="367">
        <f>+DA594/CT$406</f>
        <v>0</v>
      </c>
      <c r="DB640" s="298"/>
      <c r="DC640" s="298"/>
      <c r="DD640" s="298"/>
      <c r="DE640" s="337"/>
      <c r="DF640" s="298"/>
      <c r="DG640" s="298"/>
      <c r="DH640" s="367">
        <f>+DH594/DA$406</f>
        <v>0</v>
      </c>
      <c r="DI640" s="298"/>
      <c r="DJ640" s="298"/>
      <c r="DK640" s="298"/>
      <c r="DL640" s="337"/>
      <c r="DM640" s="298"/>
      <c r="DN640" s="298"/>
      <c r="DO640" s="367">
        <f>+DO594/DH$406</f>
        <v>0</v>
      </c>
      <c r="DP640" s="298"/>
      <c r="DQ640" s="298"/>
      <c r="DR640" s="298"/>
      <c r="DS640" s="337"/>
      <c r="DT640" s="298"/>
      <c r="DU640" s="298"/>
      <c r="DV640" s="367">
        <f>+DV594/DO$406</f>
        <v>0</v>
      </c>
      <c r="DW640" s="298"/>
      <c r="DX640" s="298"/>
      <c r="DY640" s="298"/>
      <c r="DZ640" s="337"/>
      <c r="EA640" s="298"/>
      <c r="EB640" s="298"/>
      <c r="EC640" s="367">
        <f>+EC594/DV$406</f>
        <v>0</v>
      </c>
      <c r="ED640" s="298"/>
      <c r="EE640" s="298"/>
      <c r="EF640" s="298"/>
      <c r="EG640" s="337"/>
      <c r="EH640" s="298"/>
      <c r="EI640" s="298"/>
      <c r="EJ640" s="367">
        <f>+EJ594/EC$406</f>
        <v>0</v>
      </c>
      <c r="EK640" s="298"/>
      <c r="EL640" s="298"/>
      <c r="EM640" s="298"/>
      <c r="EN640" s="337"/>
      <c r="EO640" s="298"/>
      <c r="EP640" s="298"/>
      <c r="EQ640" s="367">
        <f>+EQ594/EJ$406</f>
        <v>0</v>
      </c>
    </row>
    <row r="641" spans="1:147" ht="10.199999999999999" hidden="1" customHeight="1" outlineLevel="1">
      <c r="A641" s="48" t="s">
        <v>628</v>
      </c>
      <c r="B641" s="48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3"/>
      <c r="O641" s="298"/>
      <c r="P641" s="298"/>
      <c r="Q641" s="298"/>
      <c r="R641" s="337"/>
      <c r="S641" s="298"/>
      <c r="T641" s="298"/>
      <c r="U641" s="367"/>
      <c r="V641" s="298"/>
      <c r="W641" s="298"/>
      <c r="X641" s="298"/>
      <c r="Y641" s="337"/>
      <c r="Z641" s="298"/>
      <c r="AA641" s="298"/>
      <c r="AB641" s="367"/>
      <c r="AC641" s="298"/>
      <c r="AD641" s="298"/>
      <c r="AE641" s="298"/>
      <c r="AF641" s="337"/>
      <c r="AG641" s="298"/>
      <c r="AH641" s="298"/>
      <c r="AI641" s="367">
        <f>+AI645-AI639-AI638-AI631-AI628-AI624</f>
        <v>390.18029150975599</v>
      </c>
      <c r="AJ641" s="298"/>
      <c r="AK641" s="298"/>
      <c r="AL641" s="298"/>
      <c r="AM641" s="337"/>
      <c r="AN641" s="298"/>
      <c r="AO641" s="298"/>
      <c r="AP641" s="367">
        <f>+AP645-AP639-AP638-AP631-AP628-AP624</f>
        <v>589.93720201377619</v>
      </c>
      <c r="AQ641" s="298"/>
      <c r="AR641" s="298"/>
      <c r="AS641" s="298"/>
      <c r="AT641" s="337"/>
      <c r="AU641" s="298"/>
      <c r="AV641" s="298"/>
      <c r="AW641" s="367">
        <f>+AW645-AW639-AW638-AW631-AW628-AW624</f>
        <v>334.84097837750005</v>
      </c>
      <c r="AX641" s="298"/>
      <c r="AY641" s="298"/>
      <c r="AZ641" s="298"/>
      <c r="BA641" s="337"/>
      <c r="BB641" s="298"/>
      <c r="BC641" s="298"/>
      <c r="BD641" s="367">
        <f>+BD645-BD639-BD638-BD631-BD628-BD624</f>
        <v>388.45119805093964</v>
      </c>
      <c r="BE641" s="298"/>
      <c r="BF641" s="298"/>
      <c r="BG641" s="298"/>
      <c r="BH641" s="337"/>
      <c r="BI641" s="298"/>
      <c r="BJ641" s="298"/>
      <c r="BK641" s="367">
        <f>+BK645-BK639-BK638-BK634-BK631-BK628-BK624-BK640</f>
        <v>-141.89057864658639</v>
      </c>
      <c r="BL641" s="298"/>
      <c r="BM641" s="298"/>
      <c r="BN641" s="298"/>
      <c r="BO641" s="337"/>
      <c r="BP641" s="298"/>
      <c r="BQ641" s="298"/>
      <c r="BR641" s="367">
        <v>0</v>
      </c>
      <c r="BS641" s="298"/>
      <c r="BT641" s="298"/>
      <c r="BU641" s="298"/>
      <c r="BV641" s="337"/>
      <c r="BW641" s="298"/>
      <c r="BX641" s="298"/>
      <c r="BY641" s="367">
        <f>+BR641-411-1100</f>
        <v>-1511</v>
      </c>
      <c r="BZ641" s="298"/>
      <c r="CA641" s="298"/>
      <c r="CB641" s="298"/>
      <c r="CC641" s="337"/>
      <c r="CD641" s="298"/>
      <c r="CE641" s="298"/>
      <c r="CF641" s="367">
        <v>-400</v>
      </c>
      <c r="CG641" s="298"/>
      <c r="CH641" s="298"/>
      <c r="CI641" s="298"/>
      <c r="CJ641" s="337"/>
      <c r="CK641" s="298"/>
      <c r="CL641" s="298"/>
      <c r="CM641" s="367">
        <f>+CF641</f>
        <v>-400</v>
      </c>
      <c r="CN641" s="298"/>
      <c r="CO641" s="298"/>
      <c r="CP641" s="298"/>
      <c r="CQ641" s="337"/>
      <c r="CR641" s="298"/>
      <c r="CS641" s="298"/>
      <c r="CT641" s="367">
        <f>+CM641</f>
        <v>-400</v>
      </c>
      <c r="CU641" s="298"/>
      <c r="CV641" s="298"/>
      <c r="CW641" s="298"/>
      <c r="CX641" s="337"/>
      <c r="CY641" s="298"/>
      <c r="CZ641" s="298"/>
      <c r="DA641" s="367">
        <f>+CT641</f>
        <v>-400</v>
      </c>
      <c r="DB641" s="298"/>
      <c r="DC641" s="298"/>
      <c r="DD641" s="298"/>
      <c r="DE641" s="337"/>
      <c r="DF641" s="298"/>
      <c r="DG641" s="298"/>
      <c r="DH641" s="367">
        <f>+DA641</f>
        <v>-400</v>
      </c>
      <c r="DI641" s="298"/>
      <c r="DJ641" s="298"/>
      <c r="DK641" s="298"/>
      <c r="DL641" s="337"/>
      <c r="DM641" s="298"/>
      <c r="DN641" s="298"/>
      <c r="DO641" s="367">
        <f>+DH641</f>
        <v>-400</v>
      </c>
      <c r="DP641" s="298"/>
      <c r="DQ641" s="298"/>
      <c r="DR641" s="298"/>
      <c r="DS641" s="337"/>
      <c r="DT641" s="298"/>
      <c r="DU641" s="298"/>
      <c r="DV641" s="367">
        <f>+DO641</f>
        <v>-400</v>
      </c>
      <c r="DW641" s="298"/>
      <c r="DX641" s="298"/>
      <c r="DY641" s="298"/>
      <c r="DZ641" s="337"/>
      <c r="EA641" s="298"/>
      <c r="EB641" s="298"/>
      <c r="EC641" s="367">
        <f>+DV641</f>
        <v>-400</v>
      </c>
      <c r="ED641" s="298"/>
      <c r="EE641" s="298"/>
      <c r="EF641" s="298"/>
      <c r="EG641" s="337"/>
      <c r="EH641" s="298"/>
      <c r="EI641" s="298"/>
      <c r="EJ641" s="367">
        <f>+EC641</f>
        <v>-400</v>
      </c>
      <c r="EK641" s="298"/>
      <c r="EL641" s="298"/>
      <c r="EM641" s="298"/>
      <c r="EN641" s="337"/>
      <c r="EO641" s="298"/>
      <c r="EP641" s="298"/>
      <c r="EQ641" s="367">
        <f>+EJ641</f>
        <v>-400</v>
      </c>
    </row>
    <row r="642" spans="1:147" ht="10.199999999999999" hidden="1" customHeight="1" outlineLevel="1">
      <c r="A642" s="268" t="s">
        <v>137</v>
      </c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9"/>
      <c r="O642" s="508"/>
      <c r="P642" s="508"/>
      <c r="Q642" s="508"/>
      <c r="R642" s="509"/>
      <c r="S642" s="508"/>
      <c r="T642" s="508"/>
      <c r="U642" s="373"/>
      <c r="V642" s="508"/>
      <c r="W642" s="508"/>
      <c r="X642" s="508"/>
      <c r="Y642" s="509"/>
      <c r="Z642" s="508"/>
      <c r="AA642" s="508"/>
      <c r="AB642" s="373"/>
      <c r="AC642" s="508"/>
      <c r="AD642" s="508"/>
      <c r="AE642" s="508"/>
      <c r="AF642" s="509"/>
      <c r="AG642" s="508"/>
      <c r="AH642" s="508"/>
      <c r="AI642" s="373">
        <f>+AI641/AI9</f>
        <v>0.17018375343906994</v>
      </c>
      <c r="AJ642" s="508"/>
      <c r="AK642" s="508"/>
      <c r="AL642" s="508"/>
      <c r="AM642" s="509"/>
      <c r="AN642" s="508"/>
      <c r="AO642" s="508"/>
      <c r="AP642" s="373">
        <f>+AP641/AP9</f>
        <v>0.23963165993613569</v>
      </c>
      <c r="AQ642" s="508"/>
      <c r="AR642" s="508"/>
      <c r="AS642" s="508"/>
      <c r="AT642" s="509"/>
      <c r="AU642" s="508"/>
      <c r="AV642" s="508"/>
      <c r="AW642" s="373">
        <f>+AW641/AW9</f>
        <v>0.1095153454405261</v>
      </c>
      <c r="AX642" s="508"/>
      <c r="AY642" s="508"/>
      <c r="AZ642" s="508"/>
      <c r="BA642" s="509"/>
      <c r="BB642" s="508"/>
      <c r="BC642" s="508"/>
      <c r="BD642" s="373">
        <f>+BD641/BD9</f>
        <v>0.14887979198322041</v>
      </c>
      <c r="BE642" s="508"/>
      <c r="BF642" s="508"/>
      <c r="BG642" s="508"/>
      <c r="BH642" s="509"/>
      <c r="BI642" s="508"/>
      <c r="BJ642" s="508"/>
      <c r="BK642" s="373">
        <f>+BK641/BK9</f>
        <v>-4.9298373513510622E-2</v>
      </c>
      <c r="BL642" s="508"/>
      <c r="BM642" s="508"/>
      <c r="BN642" s="508"/>
      <c r="BO642" s="509"/>
      <c r="BP642" s="508"/>
      <c r="BQ642" s="508"/>
      <c r="BR642" s="373">
        <v>0</v>
      </c>
      <c r="BS642" s="508"/>
      <c r="BT642" s="508"/>
      <c r="BU642" s="508"/>
      <c r="BV642" s="509"/>
      <c r="BW642" s="508"/>
      <c r="BX642" s="508"/>
      <c r="BY642" s="373">
        <f t="shared" ref="BY642" si="1700">+BR642</f>
        <v>0</v>
      </c>
      <c r="BZ642" s="508"/>
      <c r="CA642" s="508"/>
      <c r="CB642" s="508"/>
      <c r="CC642" s="509"/>
      <c r="CD642" s="508"/>
      <c r="CE642" s="508"/>
      <c r="CF642" s="373">
        <f>+BY642</f>
        <v>0</v>
      </c>
      <c r="CG642" s="508"/>
      <c r="CH642" s="508"/>
      <c r="CI642" s="508"/>
      <c r="CJ642" s="509"/>
      <c r="CK642" s="508"/>
      <c r="CL642" s="508"/>
      <c r="CM642" s="373">
        <f>+CF642</f>
        <v>0</v>
      </c>
      <c r="CN642" s="508"/>
      <c r="CO642" s="508"/>
      <c r="CP642" s="508"/>
      <c r="CQ642" s="509"/>
      <c r="CR642" s="508"/>
      <c r="CS642" s="508"/>
      <c r="CT642" s="373">
        <f>+CM642</f>
        <v>0</v>
      </c>
      <c r="CU642" s="508"/>
      <c r="CV642" s="508"/>
      <c r="CW642" s="508"/>
      <c r="CX642" s="509"/>
      <c r="CY642" s="508"/>
      <c r="CZ642" s="508"/>
      <c r="DA642" s="373">
        <f>+CT642</f>
        <v>0</v>
      </c>
      <c r="DB642" s="508"/>
      <c r="DC642" s="508"/>
      <c r="DD642" s="508"/>
      <c r="DE642" s="509"/>
      <c r="DF642" s="508"/>
      <c r="DG642" s="508"/>
      <c r="DH642" s="373">
        <f>+DA642</f>
        <v>0</v>
      </c>
      <c r="DI642" s="508"/>
      <c r="DJ642" s="508"/>
      <c r="DK642" s="508"/>
      <c r="DL642" s="509"/>
      <c r="DM642" s="508"/>
      <c r="DN642" s="508"/>
      <c r="DO642" s="373">
        <f>+DH642</f>
        <v>0</v>
      </c>
      <c r="DP642" s="508"/>
      <c r="DQ642" s="508"/>
      <c r="DR642" s="508"/>
      <c r="DS642" s="509"/>
      <c r="DT642" s="508"/>
      <c r="DU642" s="508"/>
      <c r="DV642" s="373">
        <f>+DO642</f>
        <v>0</v>
      </c>
      <c r="DW642" s="508"/>
      <c r="DX642" s="508"/>
      <c r="DY642" s="508"/>
      <c r="DZ642" s="509"/>
      <c r="EA642" s="508"/>
      <c r="EB642" s="508"/>
      <c r="EC642" s="373">
        <f>+DV642</f>
        <v>0</v>
      </c>
      <c r="ED642" s="508"/>
      <c r="EE642" s="508"/>
      <c r="EF642" s="508"/>
      <c r="EG642" s="509"/>
      <c r="EH642" s="508"/>
      <c r="EI642" s="508"/>
      <c r="EJ642" s="373">
        <f>+EC642</f>
        <v>0</v>
      </c>
      <c r="EK642" s="508"/>
      <c r="EL642" s="508"/>
      <c r="EM642" s="508"/>
      <c r="EN642" s="509"/>
      <c r="EO642" s="508"/>
      <c r="EP642" s="508"/>
      <c r="EQ642" s="373">
        <f>+EJ642</f>
        <v>0</v>
      </c>
    </row>
    <row r="643" spans="1:147" ht="10.199999999999999" hidden="1" customHeight="1" outlineLevel="1">
      <c r="A643" s="48" t="s">
        <v>567</v>
      </c>
      <c r="B643" s="48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3"/>
      <c r="O643" s="298"/>
      <c r="P643" s="298"/>
      <c r="Q643" s="298"/>
      <c r="R643" s="337"/>
      <c r="S643" s="298"/>
      <c r="T643" s="298"/>
      <c r="U643" s="367"/>
      <c r="V643" s="298"/>
      <c r="W643" s="298"/>
      <c r="X643" s="298"/>
      <c r="Y643" s="337"/>
      <c r="Z643" s="298"/>
      <c r="AA643" s="298"/>
      <c r="AB643" s="367"/>
      <c r="AC643" s="298"/>
      <c r="AD643" s="298"/>
      <c r="AE643" s="298"/>
      <c r="AF643" s="337"/>
      <c r="AG643" s="298"/>
      <c r="AH643" s="298"/>
      <c r="AI643" s="367">
        <f t="shared" ref="AI643:CM643" si="1701">+AI624+AI628+AI631+AI634+AI638+AI639+AI641</f>
        <v>5482</v>
      </c>
      <c r="AJ643" s="298"/>
      <c r="AK643" s="298"/>
      <c r="AL643" s="298"/>
      <c r="AM643" s="337"/>
      <c r="AN643" s="298"/>
      <c r="AO643" s="298"/>
      <c r="AP643" s="367">
        <f t="shared" si="1701"/>
        <v>4958</v>
      </c>
      <c r="AQ643" s="298"/>
      <c r="AR643" s="298"/>
      <c r="AS643" s="298"/>
      <c r="AT643" s="337"/>
      <c r="AU643" s="298"/>
      <c r="AV643" s="298"/>
      <c r="AW643" s="367">
        <f t="shared" si="1701"/>
        <v>5119.2635658914696</v>
      </c>
      <c r="AX643" s="298"/>
      <c r="AY643" s="298"/>
      <c r="AZ643" s="298"/>
      <c r="BA643" s="337"/>
      <c r="BB643" s="298"/>
      <c r="BC643" s="298"/>
      <c r="BD643" s="367">
        <f t="shared" si="1701"/>
        <v>3779.2635658914692</v>
      </c>
      <c r="BE643" s="298"/>
      <c r="BF643" s="298"/>
      <c r="BG643" s="298"/>
      <c r="BH643" s="337"/>
      <c r="BI643" s="298"/>
      <c r="BJ643" s="298"/>
      <c r="BK643" s="367">
        <f t="shared" si="1701"/>
        <v>5843.8763914714309</v>
      </c>
      <c r="BL643" s="298"/>
      <c r="BM643" s="298"/>
      <c r="BN643" s="298"/>
      <c r="BO643" s="337"/>
      <c r="BP643" s="298"/>
      <c r="BQ643" s="298"/>
      <c r="BR643" s="367">
        <f t="shared" si="1701"/>
        <v>8378.9676685516224</v>
      </c>
      <c r="BS643" s="298"/>
      <c r="BT643" s="298"/>
      <c r="BU643" s="298"/>
      <c r="BV643" s="337"/>
      <c r="BW643" s="298"/>
      <c r="BX643" s="298"/>
      <c r="BY643" s="367">
        <f t="shared" si="1701"/>
        <v>623.24650076505532</v>
      </c>
      <c r="BZ643" s="298"/>
      <c r="CA643" s="298"/>
      <c r="CB643" s="298"/>
      <c r="CC643" s="337"/>
      <c r="CD643" s="298"/>
      <c r="CE643" s="298"/>
      <c r="CF643" s="367">
        <f t="shared" si="1701"/>
        <v>3106.2418636811226</v>
      </c>
      <c r="CG643" s="298"/>
      <c r="CH643" s="298"/>
      <c r="CI643" s="298"/>
      <c r="CJ643" s="337"/>
      <c r="CK643" s="298"/>
      <c r="CL643" s="298"/>
      <c r="CM643" s="367">
        <f t="shared" si="1701"/>
        <v>1597.7602745530683</v>
      </c>
      <c r="CN643" s="298"/>
      <c r="CO643" s="298"/>
      <c r="CP643" s="298"/>
      <c r="CQ643" s="337"/>
      <c r="CR643" s="298"/>
      <c r="CS643" s="298"/>
      <c r="CT643" s="367">
        <f>+CT624+CT628+CT631+CT634+CT638+CT639+CT641</f>
        <v>821.2278659960707</v>
      </c>
      <c r="CU643" s="298"/>
      <c r="CV643" s="298"/>
      <c r="CW643" s="298"/>
      <c r="CX643" s="337"/>
      <c r="CY643" s="298"/>
      <c r="CZ643" s="298"/>
      <c r="DA643" s="367">
        <f>+DA624+DA628+DA631+DA634+DA638+DA639+DA641</f>
        <v>-134.65057082010304</v>
      </c>
      <c r="DB643" s="298"/>
      <c r="DC643" s="298"/>
      <c r="DD643" s="298"/>
      <c r="DE643" s="337"/>
      <c r="DF643" s="298"/>
      <c r="DG643" s="298"/>
      <c r="DH643" s="367">
        <f>+DH624+DH628+DH631+DH634+DH638+DH639+DH641</f>
        <v>-2262.7778561048863</v>
      </c>
      <c r="DI643" s="298"/>
      <c r="DJ643" s="298"/>
      <c r="DK643" s="298"/>
      <c r="DL643" s="337"/>
      <c r="DM643" s="298"/>
      <c r="DN643" s="298"/>
      <c r="DO643" s="367">
        <f>+DO624+DO628+DO631+DO634+DO638+DO639+DO641</f>
        <v>-4051.6579108794185</v>
      </c>
      <c r="DP643" s="298"/>
      <c r="DQ643" s="298"/>
      <c r="DR643" s="298"/>
      <c r="DS643" s="337"/>
      <c r="DT643" s="298"/>
      <c r="DU643" s="298"/>
      <c r="DV643" s="367">
        <f>+DV624+DV628+DV631+DV634+DV638+DV639+DV641</f>
        <v>-6393.2764649446417</v>
      </c>
      <c r="DW643" s="298"/>
      <c r="DX643" s="298"/>
      <c r="DY643" s="298"/>
      <c r="DZ643" s="337"/>
      <c r="EA643" s="298"/>
      <c r="EB643" s="298"/>
      <c r="EC643" s="367">
        <f>+EC624+EC628+EC631+EC634+EC638+EC639+EC641</f>
        <v>-9091.0328702220231</v>
      </c>
      <c r="ED643" s="298"/>
      <c r="EE643" s="298"/>
      <c r="EF643" s="298"/>
      <c r="EG643" s="337"/>
      <c r="EH643" s="298"/>
      <c r="EI643" s="298"/>
      <c r="EJ643" s="367">
        <f>+EJ624+EJ628+EJ631+EJ634+EJ638+EJ639+EJ641</f>
        <v>-11581.099010515387</v>
      </c>
      <c r="EK643" s="298"/>
      <c r="EL643" s="298"/>
      <c r="EM643" s="298"/>
      <c r="EN643" s="337"/>
      <c r="EO643" s="298"/>
      <c r="EP643" s="298"/>
      <c r="EQ643" s="367">
        <f>+EQ624+EQ628+EQ631+EQ634+EQ638+EQ639+EQ641</f>
        <v>-13716.493408120288</v>
      </c>
    </row>
    <row r="644" spans="1:147" ht="10.199999999999999" hidden="1" customHeight="1" outlineLevel="1">
      <c r="A644" s="255" t="s">
        <v>471</v>
      </c>
      <c r="B644" s="25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1759"/>
      <c r="O644" s="510"/>
      <c r="P644" s="510"/>
      <c r="Q644" s="510"/>
      <c r="R644" s="511"/>
      <c r="S644" s="510"/>
      <c r="T644" s="510"/>
      <c r="U644" s="374"/>
      <c r="V644" s="510"/>
      <c r="W644" s="510"/>
      <c r="X644" s="510"/>
      <c r="Y644" s="511"/>
      <c r="Z644" s="510"/>
      <c r="AA644" s="510"/>
      <c r="AB644" s="374"/>
      <c r="AC644" s="510"/>
      <c r="AD644" s="510"/>
      <c r="AE644" s="510"/>
      <c r="AF644" s="511"/>
      <c r="AG644" s="510"/>
      <c r="AH644" s="510"/>
      <c r="AI644" s="374">
        <f t="shared" ref="AI644:CM644" si="1702">+AI643-AI645</f>
        <v>0</v>
      </c>
      <c r="AJ644" s="510"/>
      <c r="AK644" s="510"/>
      <c r="AL644" s="510"/>
      <c r="AM644" s="511"/>
      <c r="AN644" s="510"/>
      <c r="AO644" s="510"/>
      <c r="AP644" s="374">
        <f t="shared" si="1702"/>
        <v>0</v>
      </c>
      <c r="AQ644" s="510"/>
      <c r="AR644" s="510"/>
      <c r="AS644" s="510"/>
      <c r="AT644" s="511"/>
      <c r="AU644" s="510"/>
      <c r="AV644" s="510"/>
      <c r="AW644" s="374">
        <f t="shared" si="1702"/>
        <v>0</v>
      </c>
      <c r="AX644" s="510"/>
      <c r="AY644" s="510"/>
      <c r="AZ644" s="510"/>
      <c r="BA644" s="511"/>
      <c r="BB644" s="510"/>
      <c r="BC644" s="510"/>
      <c r="BD644" s="374">
        <f t="shared" si="1702"/>
        <v>0</v>
      </c>
      <c r="BE644" s="510"/>
      <c r="BF644" s="510"/>
      <c r="BG644" s="510"/>
      <c r="BH644" s="511"/>
      <c r="BI644" s="510"/>
      <c r="BJ644" s="510"/>
      <c r="BK644" s="374">
        <f t="shared" si="1702"/>
        <v>61.5613127017441</v>
      </c>
      <c r="BL644" s="510"/>
      <c r="BM644" s="510"/>
      <c r="BN644" s="510"/>
      <c r="BO644" s="511"/>
      <c r="BP644" s="510"/>
      <c r="BQ644" s="510"/>
      <c r="BR644" s="374">
        <f t="shared" si="1702"/>
        <v>1986.8728948582084</v>
      </c>
      <c r="BS644" s="510"/>
      <c r="BT644" s="510"/>
      <c r="BU644" s="510"/>
      <c r="BV644" s="511"/>
      <c r="BW644" s="510"/>
      <c r="BX644" s="510"/>
      <c r="BY644" s="374">
        <f t="shared" si="1702"/>
        <v>59.899626231306684</v>
      </c>
      <c r="BZ644" s="510"/>
      <c r="CA644" s="510"/>
      <c r="CB644" s="510"/>
      <c r="CC644" s="511"/>
      <c r="CD644" s="510"/>
      <c r="CE644" s="510"/>
      <c r="CF644" s="374">
        <f t="shared" si="1702"/>
        <v>-225.10501085262604</v>
      </c>
      <c r="CG644" s="510"/>
      <c r="CH644" s="510"/>
      <c r="CI644" s="510"/>
      <c r="CJ644" s="511"/>
      <c r="CK644" s="510"/>
      <c r="CL644" s="510"/>
      <c r="CM644" s="374">
        <f t="shared" si="1702"/>
        <v>-3538.0658670973635</v>
      </c>
      <c r="CN644" s="510"/>
      <c r="CO644" s="510"/>
      <c r="CP644" s="510"/>
      <c r="CQ644" s="511"/>
      <c r="CR644" s="510"/>
      <c r="CS644" s="510"/>
      <c r="CT644" s="374">
        <f>+CT643-CT645</f>
        <v>0</v>
      </c>
      <c r="CU644" s="510"/>
      <c r="CV644" s="510"/>
      <c r="CW644" s="510"/>
      <c r="CX644" s="511"/>
      <c r="CY644" s="510"/>
      <c r="CZ644" s="510"/>
      <c r="DA644" s="374">
        <f>+DA643-DA645</f>
        <v>0</v>
      </c>
      <c r="DB644" s="510"/>
      <c r="DC644" s="510"/>
      <c r="DD644" s="510"/>
      <c r="DE644" s="511"/>
      <c r="DF644" s="510"/>
      <c r="DG644" s="510"/>
      <c r="DH644" s="374">
        <f>+DH643-DH645</f>
        <v>0</v>
      </c>
      <c r="DI644" s="510"/>
      <c r="DJ644" s="510"/>
      <c r="DK644" s="510"/>
      <c r="DL644" s="511"/>
      <c r="DM644" s="510"/>
      <c r="DN644" s="510"/>
      <c r="DO644" s="374">
        <f>+DO643-DO645</f>
        <v>0</v>
      </c>
      <c r="DP644" s="510"/>
      <c r="DQ644" s="510"/>
      <c r="DR644" s="510"/>
      <c r="DS644" s="511"/>
      <c r="DT644" s="510"/>
      <c r="DU644" s="510"/>
      <c r="DV644" s="374">
        <f>+DV643-DV645</f>
        <v>0</v>
      </c>
      <c r="DW644" s="510"/>
      <c r="DX644" s="510"/>
      <c r="DY644" s="510"/>
      <c r="DZ644" s="511"/>
      <c r="EA644" s="510"/>
      <c r="EB644" s="510"/>
      <c r="EC644" s="374">
        <f>+EC643-EC645</f>
        <v>0</v>
      </c>
      <c r="ED644" s="510"/>
      <c r="EE644" s="510"/>
      <c r="EF644" s="510"/>
      <c r="EG644" s="511"/>
      <c r="EH644" s="510"/>
      <c r="EI644" s="510"/>
      <c r="EJ644" s="374">
        <f>+EJ643-EJ645</f>
        <v>0</v>
      </c>
      <c r="EK644" s="510"/>
      <c r="EL644" s="510"/>
      <c r="EM644" s="510"/>
      <c r="EN644" s="511"/>
      <c r="EO644" s="510"/>
      <c r="EP644" s="510"/>
      <c r="EQ644" s="374">
        <f>+EQ643-EQ645</f>
        <v>0</v>
      </c>
    </row>
    <row r="645" spans="1:147" ht="10.199999999999999" hidden="1" customHeight="1" outlineLevel="1">
      <c r="A645" s="48" t="s">
        <v>566</v>
      </c>
      <c r="B645" s="48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3"/>
      <c r="O645" s="323"/>
      <c r="P645" s="323"/>
      <c r="Q645" s="323"/>
      <c r="R645" s="441"/>
      <c r="S645" s="323"/>
      <c r="T645" s="323"/>
      <c r="U645" s="375">
        <f t="shared" ref="U645:BR645" si="1703">+U647-U646</f>
        <v>4647</v>
      </c>
      <c r="V645" s="323"/>
      <c r="W645" s="323"/>
      <c r="X645" s="323"/>
      <c r="Y645" s="441"/>
      <c r="Z645" s="323"/>
      <c r="AA645" s="323"/>
      <c r="AB645" s="375">
        <f t="shared" si="1703"/>
        <v>5196</v>
      </c>
      <c r="AC645" s="323"/>
      <c r="AD645" s="323"/>
      <c r="AE645" s="323"/>
      <c r="AF645" s="441"/>
      <c r="AG645" s="323"/>
      <c r="AH645" s="323"/>
      <c r="AI645" s="375">
        <f t="shared" si="1703"/>
        <v>5482</v>
      </c>
      <c r="AJ645" s="323"/>
      <c r="AK645" s="323"/>
      <c r="AL645" s="323"/>
      <c r="AM645" s="441"/>
      <c r="AN645" s="323"/>
      <c r="AO645" s="323"/>
      <c r="AP645" s="375">
        <f t="shared" si="1703"/>
        <v>4958</v>
      </c>
      <c r="AQ645" s="323"/>
      <c r="AR645" s="323"/>
      <c r="AS645" s="323"/>
      <c r="AT645" s="441"/>
      <c r="AU645" s="323"/>
      <c r="AV645" s="323"/>
      <c r="AW645" s="375">
        <f t="shared" si="1703"/>
        <v>5119.2635658914696</v>
      </c>
      <c r="AX645" s="323"/>
      <c r="AY645" s="323"/>
      <c r="AZ645" s="323"/>
      <c r="BA645" s="441"/>
      <c r="BB645" s="323"/>
      <c r="BC645" s="323"/>
      <c r="BD645" s="375">
        <f t="shared" si="1703"/>
        <v>3779.2635658914696</v>
      </c>
      <c r="BE645" s="323"/>
      <c r="BF645" s="323"/>
      <c r="BG645" s="323"/>
      <c r="BH645" s="441"/>
      <c r="BI645" s="323"/>
      <c r="BJ645" s="323"/>
      <c r="BK645" s="375">
        <f t="shared" si="1703"/>
        <v>5782.3150787696868</v>
      </c>
      <c r="BL645" s="323"/>
      <c r="BM645" s="323"/>
      <c r="BN645" s="323"/>
      <c r="BO645" s="441"/>
      <c r="BP645" s="323"/>
      <c r="BQ645" s="323"/>
      <c r="BR645" s="375">
        <f t="shared" si="1703"/>
        <v>6392.094773693414</v>
      </c>
      <c r="BS645" s="323"/>
      <c r="BT645" s="323"/>
      <c r="BU645" s="323"/>
      <c r="BV645" s="441"/>
      <c r="BW645" s="323"/>
      <c r="BX645" s="323"/>
      <c r="BY645" s="375">
        <f>+BY647-BY646</f>
        <v>563.34687453374863</v>
      </c>
      <c r="BZ645" s="323"/>
      <c r="CA645" s="323"/>
      <c r="CB645" s="323"/>
      <c r="CC645" s="441"/>
      <c r="CD645" s="323"/>
      <c r="CE645" s="323"/>
      <c r="CF645" s="375">
        <f>+CF647-CF646</f>
        <v>3331.3468745337486</v>
      </c>
      <c r="CG645" s="323"/>
      <c r="CH645" s="323"/>
      <c r="CI645" s="323"/>
      <c r="CJ645" s="441"/>
      <c r="CK645" s="323"/>
      <c r="CL645" s="323"/>
      <c r="CM645" s="375">
        <f>+CM647-CM646</f>
        <v>5135.826141650432</v>
      </c>
      <c r="CN645" s="323"/>
      <c r="CO645" s="323"/>
      <c r="CP645" s="323"/>
      <c r="CQ645" s="441"/>
      <c r="CR645" s="323"/>
      <c r="CS645" s="323"/>
      <c r="CT645" s="375">
        <f>+CT643</f>
        <v>821.2278659960707</v>
      </c>
      <c r="CU645" s="323"/>
      <c r="CV645" s="323"/>
      <c r="CW645" s="323"/>
      <c r="CX645" s="441"/>
      <c r="CY645" s="323"/>
      <c r="CZ645" s="323"/>
      <c r="DA645" s="375">
        <f>+DA643</f>
        <v>-134.65057082010304</v>
      </c>
      <c r="DB645" s="323"/>
      <c r="DC645" s="323"/>
      <c r="DD645" s="323"/>
      <c r="DE645" s="441"/>
      <c r="DF645" s="323"/>
      <c r="DG645" s="323"/>
      <c r="DH645" s="375">
        <f>+DH643</f>
        <v>-2262.7778561048863</v>
      </c>
      <c r="DI645" s="323"/>
      <c r="DJ645" s="323"/>
      <c r="DK645" s="323"/>
      <c r="DL645" s="441"/>
      <c r="DM645" s="323"/>
      <c r="DN645" s="323"/>
      <c r="DO645" s="375">
        <f>+DO643</f>
        <v>-4051.6579108794185</v>
      </c>
      <c r="DP645" s="323"/>
      <c r="DQ645" s="323"/>
      <c r="DR645" s="323"/>
      <c r="DS645" s="441"/>
      <c r="DT645" s="323"/>
      <c r="DU645" s="323"/>
      <c r="DV645" s="375">
        <f>+DV643</f>
        <v>-6393.2764649446417</v>
      </c>
      <c r="DW645" s="323"/>
      <c r="DX645" s="323"/>
      <c r="DY645" s="323"/>
      <c r="DZ645" s="441"/>
      <c r="EA645" s="323"/>
      <c r="EB645" s="323"/>
      <c r="EC645" s="375">
        <f>+EC643</f>
        <v>-9091.0328702220231</v>
      </c>
      <c r="ED645" s="323"/>
      <c r="EE645" s="323"/>
      <c r="EF645" s="323"/>
      <c r="EG645" s="441"/>
      <c r="EH645" s="323"/>
      <c r="EI645" s="323"/>
      <c r="EJ645" s="375">
        <f>+EJ643</f>
        <v>-11581.099010515387</v>
      </c>
      <c r="EK645" s="323"/>
      <c r="EL645" s="323"/>
      <c r="EM645" s="323"/>
      <c r="EN645" s="441"/>
      <c r="EO645" s="323"/>
      <c r="EP645" s="323"/>
      <c r="EQ645" s="375">
        <f>+EQ643</f>
        <v>-13716.493408120288</v>
      </c>
    </row>
    <row r="646" spans="1:147" ht="10.199999999999999" hidden="1" customHeight="1" outlineLevel="1">
      <c r="A646" s="266" t="s">
        <v>229</v>
      </c>
      <c r="B646" s="266"/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1760"/>
      <c r="O646" s="409"/>
      <c r="P646" s="409"/>
      <c r="Q646" s="409"/>
      <c r="R646" s="438"/>
      <c r="S646" s="409"/>
      <c r="T646" s="409"/>
      <c r="U646" s="376">
        <f>-Divisional!T115</f>
        <v>-2433</v>
      </c>
      <c r="V646" s="409"/>
      <c r="W646" s="409"/>
      <c r="X646" s="409"/>
      <c r="Y646" s="438"/>
      <c r="Z646" s="409"/>
      <c r="AA646" s="409"/>
      <c r="AB646" s="376">
        <f>-Divisional!AA115</f>
        <v>-2667</v>
      </c>
      <c r="AC646" s="409"/>
      <c r="AD646" s="409"/>
      <c r="AE646" s="409"/>
      <c r="AF646" s="438"/>
      <c r="AG646" s="409"/>
      <c r="AH646" s="409"/>
      <c r="AI646" s="376">
        <f>-Divisional!AH115</f>
        <v>-2702</v>
      </c>
      <c r="AJ646" s="409"/>
      <c r="AK646" s="409"/>
      <c r="AL646" s="409"/>
      <c r="AM646" s="438"/>
      <c r="AN646" s="409"/>
      <c r="AO646" s="409"/>
      <c r="AP646" s="376">
        <f>-Divisional!AO115</f>
        <v>-2147</v>
      </c>
      <c r="AQ646" s="409"/>
      <c r="AR646" s="409"/>
      <c r="AS646" s="409"/>
      <c r="AT646" s="438"/>
      <c r="AU646" s="409"/>
      <c r="AV646" s="409"/>
      <c r="AW646" s="376">
        <f>-Divisional!AV115</f>
        <v>-2011</v>
      </c>
      <c r="AX646" s="409"/>
      <c r="AY646" s="409"/>
      <c r="AZ646" s="409"/>
      <c r="BA646" s="438"/>
      <c r="BB646" s="409"/>
      <c r="BC646" s="409"/>
      <c r="BD646" s="376">
        <f>-Divisional!BC115</f>
        <v>-1842</v>
      </c>
      <c r="BE646" s="409"/>
      <c r="BF646" s="409"/>
      <c r="BG646" s="409"/>
      <c r="BH646" s="438"/>
      <c r="BI646" s="409"/>
      <c r="BJ646" s="409"/>
      <c r="BK646" s="376">
        <f>-BK42</f>
        <v>-2214</v>
      </c>
      <c r="BL646" s="409"/>
      <c r="BM646" s="409"/>
      <c r="BN646" s="409"/>
      <c r="BO646" s="438"/>
      <c r="BP646" s="409"/>
      <c r="BQ646" s="409"/>
      <c r="BR646" s="376">
        <f>-BR42</f>
        <v>-2405</v>
      </c>
      <c r="BS646" s="409"/>
      <c r="BT646" s="409"/>
      <c r="BU646" s="409"/>
      <c r="BV646" s="438"/>
      <c r="BW646" s="409"/>
      <c r="BX646" s="409"/>
      <c r="BY646" s="376">
        <f>-BY42</f>
        <v>-2436</v>
      </c>
      <c r="BZ646" s="409"/>
      <c r="CA646" s="409"/>
      <c r="CB646" s="409"/>
      <c r="CC646" s="438"/>
      <c r="CD646" s="409"/>
      <c r="CE646" s="409"/>
      <c r="CF646" s="376">
        <f>-CF42</f>
        <v>-2252</v>
      </c>
      <c r="CG646" s="409"/>
      <c r="CH646" s="409"/>
      <c r="CI646" s="409"/>
      <c r="CJ646" s="438"/>
      <c r="CK646" s="409"/>
      <c r="CL646" s="409"/>
      <c r="CM646" s="376">
        <f>-CM42</f>
        <v>-2607</v>
      </c>
      <c r="CN646" s="409"/>
      <c r="CO646" s="409"/>
      <c r="CP646" s="409"/>
      <c r="CQ646" s="438"/>
      <c r="CR646" s="409"/>
      <c r="CS646" s="409"/>
      <c r="CT646" s="376">
        <f>-CT42</f>
        <v>-2698</v>
      </c>
      <c r="CU646" s="409"/>
      <c r="CV646" s="409"/>
      <c r="CW646" s="409"/>
      <c r="CX646" s="438"/>
      <c r="CY646" s="409"/>
      <c r="CZ646" s="409"/>
      <c r="DA646" s="376">
        <f>-DA42</f>
        <v>-2676</v>
      </c>
      <c r="DB646" s="409"/>
      <c r="DC646" s="409"/>
      <c r="DD646" s="409"/>
      <c r="DE646" s="438"/>
      <c r="DF646" s="409"/>
      <c r="DG646" s="409"/>
      <c r="DH646" s="376">
        <f>-DH42</f>
        <v>-2537</v>
      </c>
      <c r="DI646" s="409"/>
      <c r="DJ646" s="409"/>
      <c r="DK646" s="409"/>
      <c r="DL646" s="438"/>
      <c r="DM646" s="409"/>
      <c r="DN646" s="409"/>
      <c r="DO646" s="376">
        <f>-DO42</f>
        <v>-2771.0910690262472</v>
      </c>
      <c r="DP646" s="409"/>
      <c r="DQ646" s="409"/>
      <c r="DR646" s="409"/>
      <c r="DS646" s="438"/>
      <c r="DT646" s="409"/>
      <c r="DU646" s="409"/>
      <c r="DV646" s="376">
        <f>-DV42</f>
        <v>-3146.066910543856</v>
      </c>
      <c r="DW646" s="409"/>
      <c r="DX646" s="409"/>
      <c r="DY646" s="409"/>
      <c r="DZ646" s="438"/>
      <c r="EA646" s="409"/>
      <c r="EB646" s="409"/>
      <c r="EC646" s="376">
        <f>-EC42</f>
        <v>-3474.4108007755331</v>
      </c>
      <c r="ED646" s="409"/>
      <c r="EE646" s="409"/>
      <c r="EF646" s="409"/>
      <c r="EG646" s="438"/>
      <c r="EH646" s="409"/>
      <c r="EI646" s="409"/>
      <c r="EJ646" s="376">
        <f>-EJ42</f>
        <v>-3627.6035258859647</v>
      </c>
      <c r="EK646" s="409"/>
      <c r="EL646" s="409"/>
      <c r="EM646" s="409"/>
      <c r="EN646" s="438"/>
      <c r="EO646" s="409"/>
      <c r="EP646" s="409"/>
      <c r="EQ646" s="376">
        <f>-EQ42</f>
        <v>-3734.8552765267941</v>
      </c>
    </row>
    <row r="647" spans="1:147" ht="10.199999999999999" hidden="1" customHeight="1" outlineLevel="1">
      <c r="A647" s="48" t="s">
        <v>578</v>
      </c>
      <c r="B647" s="48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3"/>
      <c r="O647" s="323"/>
      <c r="P647" s="323"/>
      <c r="Q647" s="323"/>
      <c r="R647" s="441"/>
      <c r="S647" s="323"/>
      <c r="T647" s="323"/>
      <c r="U647" s="375">
        <f>+Divisional!T26</f>
        <v>2214</v>
      </c>
      <c r="V647" s="323"/>
      <c r="W647" s="323"/>
      <c r="X647" s="323"/>
      <c r="Y647" s="441"/>
      <c r="Z647" s="323"/>
      <c r="AA647" s="323"/>
      <c r="AB647" s="375">
        <f>+Divisional!AA26</f>
        <v>2529</v>
      </c>
      <c r="AC647" s="323"/>
      <c r="AD647" s="323"/>
      <c r="AE647" s="323"/>
      <c r="AF647" s="441"/>
      <c r="AG647" s="323"/>
      <c r="AH647" s="323"/>
      <c r="AI647" s="375">
        <f>+Divisional!AH26</f>
        <v>2780</v>
      </c>
      <c r="AJ647" s="323"/>
      <c r="AK647" s="323"/>
      <c r="AL647" s="323"/>
      <c r="AM647" s="441"/>
      <c r="AN647" s="323"/>
      <c r="AO647" s="323"/>
      <c r="AP647" s="375">
        <f>+Divisional!AO26</f>
        <v>2811</v>
      </c>
      <c r="AQ647" s="323"/>
      <c r="AR647" s="323"/>
      <c r="AS647" s="323"/>
      <c r="AT647" s="441"/>
      <c r="AU647" s="323"/>
      <c r="AV647" s="323"/>
      <c r="AW647" s="375">
        <f>+Divisional!AV26-AW651</f>
        <v>3108.2635658914696</v>
      </c>
      <c r="AX647" s="323"/>
      <c r="AY647" s="323"/>
      <c r="AZ647" s="323"/>
      <c r="BA647" s="441"/>
      <c r="BB647" s="323"/>
      <c r="BC647" s="323"/>
      <c r="BD647" s="375">
        <f>+Divisional!BC26-BD651</f>
        <v>1937.2635658914696</v>
      </c>
      <c r="BE647" s="323"/>
      <c r="BF647" s="323"/>
      <c r="BG647" s="323"/>
      <c r="BH647" s="441"/>
      <c r="BI647" s="323"/>
      <c r="BJ647" s="323"/>
      <c r="BK647" s="375">
        <f>+Divisional!BJ26-BK651</f>
        <v>3568.3150787696868</v>
      </c>
      <c r="BL647" s="323"/>
      <c r="BM647" s="323"/>
      <c r="BN647" s="323"/>
      <c r="BO647" s="441"/>
      <c r="BP647" s="323"/>
      <c r="BQ647" s="323"/>
      <c r="BR647" s="375">
        <f>+Divisional!BQ26-BR651</f>
        <v>3987.094773693414</v>
      </c>
      <c r="BS647" s="323"/>
      <c r="BT647" s="323"/>
      <c r="BU647" s="323"/>
      <c r="BV647" s="441"/>
      <c r="BW647" s="323"/>
      <c r="BX647" s="323"/>
      <c r="BY647" s="375">
        <f>+Divisional!CE26-BY651</f>
        <v>-1872.6531254662514</v>
      </c>
      <c r="BZ647" s="323"/>
      <c r="CA647" s="323"/>
      <c r="CB647" s="323"/>
      <c r="CC647" s="441"/>
      <c r="CD647" s="323"/>
      <c r="CE647" s="323"/>
      <c r="CF647" s="375">
        <f>+Divisional!CL26-CF651</f>
        <v>1079.3468745337486</v>
      </c>
      <c r="CG647" s="323"/>
      <c r="CH647" s="323"/>
      <c r="CI647" s="323"/>
      <c r="CJ647" s="441"/>
      <c r="CK647" s="323"/>
      <c r="CL647" s="323"/>
      <c r="CM647" s="375">
        <f>+Divisional!CS26-CM651</f>
        <v>2528.826141650432</v>
      </c>
      <c r="CN647" s="323"/>
      <c r="CO647" s="323"/>
      <c r="CP647" s="323"/>
      <c r="CQ647" s="441"/>
      <c r="CR647" s="323"/>
      <c r="CS647" s="323"/>
      <c r="CT647" s="375">
        <f>+CT645+CT646</f>
        <v>-1876.7721340039293</v>
      </c>
      <c r="CU647" s="323"/>
      <c r="CV647" s="323"/>
      <c r="CW647" s="323"/>
      <c r="CX647" s="441"/>
      <c r="CY647" s="323"/>
      <c r="CZ647" s="323"/>
      <c r="DA647" s="375">
        <f>+DA645+DA646</f>
        <v>-2810.650570820103</v>
      </c>
      <c r="DB647" s="323"/>
      <c r="DC647" s="323"/>
      <c r="DD647" s="323"/>
      <c r="DE647" s="441"/>
      <c r="DF647" s="323"/>
      <c r="DG647" s="323"/>
      <c r="DH647" s="375">
        <f>+DH645+DH646</f>
        <v>-4799.7778561048863</v>
      </c>
      <c r="DI647" s="323"/>
      <c r="DJ647" s="323"/>
      <c r="DK647" s="323"/>
      <c r="DL647" s="441"/>
      <c r="DM647" s="323"/>
      <c r="DN647" s="323"/>
      <c r="DO647" s="375">
        <f>+DO645+DO646</f>
        <v>-6822.7489799056657</v>
      </c>
      <c r="DP647" s="323"/>
      <c r="DQ647" s="323"/>
      <c r="DR647" s="323"/>
      <c r="DS647" s="441"/>
      <c r="DT647" s="323"/>
      <c r="DU647" s="323"/>
      <c r="DV647" s="375">
        <f>+DV645+DV646</f>
        <v>-9539.3433754884973</v>
      </c>
      <c r="DW647" s="323"/>
      <c r="DX647" s="323"/>
      <c r="DY647" s="323"/>
      <c r="DZ647" s="441"/>
      <c r="EA647" s="323"/>
      <c r="EB647" s="323"/>
      <c r="EC647" s="375">
        <f>+EC645+EC646</f>
        <v>-12565.443670997556</v>
      </c>
      <c r="ED647" s="323"/>
      <c r="EE647" s="323"/>
      <c r="EF647" s="323"/>
      <c r="EG647" s="441"/>
      <c r="EH647" s="323"/>
      <c r="EI647" s="323"/>
      <c r="EJ647" s="375">
        <f>+EJ645+EJ646</f>
        <v>-15208.702536401352</v>
      </c>
      <c r="EK647" s="323"/>
      <c r="EL647" s="323"/>
      <c r="EM647" s="323"/>
      <c r="EN647" s="441"/>
      <c r="EO647" s="323"/>
      <c r="EP647" s="323"/>
      <c r="EQ647" s="375">
        <f>+EQ645+EQ646</f>
        <v>-17451.348684647084</v>
      </c>
    </row>
    <row r="648" spans="1:147" ht="10.199999999999999" hidden="1" customHeight="1" outlineLevel="1">
      <c r="A648" s="268" t="s">
        <v>137</v>
      </c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9"/>
      <c r="O648" s="403"/>
      <c r="P648" s="403"/>
      <c r="Q648" s="403"/>
      <c r="R648" s="432"/>
      <c r="S648" s="403"/>
      <c r="T648" s="403"/>
      <c r="U648" s="341">
        <f>+U647/U$11</f>
        <v>5.6059148225046845E-2</v>
      </c>
      <c r="V648" s="403"/>
      <c r="W648" s="403"/>
      <c r="X648" s="403"/>
      <c r="Y648" s="432"/>
      <c r="Z648" s="403"/>
      <c r="AA648" s="403"/>
      <c r="AB648" s="341">
        <f>+AB647/AB11</f>
        <v>5.9815515610217598E-2</v>
      </c>
      <c r="AC648" s="403"/>
      <c r="AD648" s="403"/>
      <c r="AE648" s="403"/>
      <c r="AF648" s="432"/>
      <c r="AG648" s="403"/>
      <c r="AH648" s="403"/>
      <c r="AI648" s="341">
        <f>+AI647/AI11</f>
        <v>6.0627208095258865E-2</v>
      </c>
      <c r="AJ648" s="403"/>
      <c r="AK648" s="403"/>
      <c r="AL648" s="403"/>
      <c r="AM648" s="432"/>
      <c r="AN648" s="403"/>
      <c r="AO648" s="403"/>
      <c r="AP648" s="341">
        <f>+AP647/AP11</f>
        <v>5.7091211893494732E-2</v>
      </c>
      <c r="AQ648" s="403"/>
      <c r="AR648" s="403"/>
      <c r="AS648" s="403"/>
      <c r="AT648" s="432"/>
      <c r="AU648" s="403"/>
      <c r="AV648" s="403"/>
      <c r="AW648" s="341">
        <f>+AW647/AW11</f>
        <v>6.0996576904342195E-2</v>
      </c>
      <c r="AX648" s="403"/>
      <c r="AY648" s="403"/>
      <c r="AZ648" s="403"/>
      <c r="BA648" s="432"/>
      <c r="BB648" s="403"/>
      <c r="BC648" s="403"/>
      <c r="BD648" s="341">
        <f>+BD647/BD11</f>
        <v>4.4549132269959747E-2</v>
      </c>
      <c r="BE648" s="403"/>
      <c r="BF648" s="403"/>
      <c r="BG648" s="403"/>
      <c r="BH648" s="432"/>
      <c r="BI648" s="403"/>
      <c r="BJ648" s="403"/>
      <c r="BK648" s="341">
        <f>+BK647/BK11</f>
        <v>7.4386388967473141E-2</v>
      </c>
      <c r="BL648" s="403"/>
      <c r="BM648" s="403"/>
      <c r="BN648" s="403"/>
      <c r="BO648" s="432"/>
      <c r="BP648" s="403"/>
      <c r="BQ648" s="403"/>
      <c r="BR648" s="341">
        <f>+BR647/BR11</f>
        <v>7.2790411203896191E-2</v>
      </c>
      <c r="BS648" s="403"/>
      <c r="BT648" s="403"/>
      <c r="BU648" s="403"/>
      <c r="BV648" s="432"/>
      <c r="BW648" s="403"/>
      <c r="BX648" s="403"/>
      <c r="BY648" s="341">
        <f>+BY647/BY11</f>
        <v>-5.4676003663248214E-2</v>
      </c>
      <c r="BZ648" s="403"/>
      <c r="CA648" s="403"/>
      <c r="CB648" s="403"/>
      <c r="CC648" s="432"/>
      <c r="CD648" s="403"/>
      <c r="CE648" s="403"/>
      <c r="CF648" s="341">
        <f>+CF647/CF11</f>
        <v>2.9845893002260499E-2</v>
      </c>
      <c r="CG648" s="403"/>
      <c r="CH648" s="403"/>
      <c r="CI648" s="403"/>
      <c r="CJ648" s="432"/>
      <c r="CK648" s="403"/>
      <c r="CL648" s="403"/>
      <c r="CM648" s="341">
        <f>+CM647/CM11</f>
        <v>6.104147295670638E-2</v>
      </c>
      <c r="CN648" s="403"/>
      <c r="CO648" s="403"/>
      <c r="CP648" s="403"/>
      <c r="CQ648" s="432"/>
      <c r="CR648" s="403"/>
      <c r="CS648" s="403"/>
      <c r="CT648" s="341">
        <f>+CT647/CT11</f>
        <v>-3.9293430772856172E-2</v>
      </c>
      <c r="CU648" s="403"/>
      <c r="CV648" s="403"/>
      <c r="CW648" s="403"/>
      <c r="CX648" s="432"/>
      <c r="CY648" s="403"/>
      <c r="CZ648" s="403"/>
      <c r="DA648" s="341">
        <f>+DA647/DA11</f>
        <v>-5.5496003056906822E-2</v>
      </c>
      <c r="DB648" s="403"/>
      <c r="DC648" s="403"/>
      <c r="DD648" s="403"/>
      <c r="DE648" s="432"/>
      <c r="DF648" s="403"/>
      <c r="DG648" s="403"/>
      <c r="DH648" s="341">
        <f>+DH647/DH11</f>
        <v>-9.1290447460008875E-2</v>
      </c>
      <c r="DI648" s="403"/>
      <c r="DJ648" s="403"/>
      <c r="DK648" s="403"/>
      <c r="DL648" s="432"/>
      <c r="DM648" s="403"/>
      <c r="DN648" s="403"/>
      <c r="DO648" s="341">
        <f>+DO647/DO11</f>
        <v>-0.11695053265044807</v>
      </c>
      <c r="DP648" s="403"/>
      <c r="DQ648" s="403"/>
      <c r="DR648" s="403"/>
      <c r="DS648" s="432"/>
      <c r="DT648" s="403"/>
      <c r="DU648" s="403"/>
      <c r="DV648" s="341">
        <f>+DV647/DV11</f>
        <v>-0.14402707355558869</v>
      </c>
      <c r="DW648" s="403"/>
      <c r="DX648" s="403"/>
      <c r="DY648" s="403"/>
      <c r="DZ648" s="432"/>
      <c r="EA648" s="403"/>
      <c r="EB648" s="403"/>
      <c r="EC648" s="341">
        <f>+EC647/EC11</f>
        <v>-0.17178699025433533</v>
      </c>
      <c r="ED648" s="403"/>
      <c r="EE648" s="403"/>
      <c r="EF648" s="403"/>
      <c r="EG648" s="432"/>
      <c r="EH648" s="403"/>
      <c r="EI648" s="403"/>
      <c r="EJ648" s="341">
        <f>+EJ647/EJ11</f>
        <v>-0.19914341942939595</v>
      </c>
      <c r="EK648" s="403"/>
      <c r="EL648" s="403"/>
      <c r="EM648" s="403"/>
      <c r="EN648" s="432"/>
      <c r="EO648" s="403"/>
      <c r="EP648" s="403"/>
      <c r="EQ648" s="341">
        <f>+EQ647/EQ11</f>
        <v>-0.2219467693247818</v>
      </c>
    </row>
    <row r="649" spans="1:147" ht="10.199999999999999" hidden="1" customHeight="1" outlineLevel="1">
      <c r="A649" s="268" t="s">
        <v>581</v>
      </c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9"/>
      <c r="O649" s="403"/>
      <c r="P649" s="403"/>
      <c r="Q649" s="403"/>
      <c r="R649" s="432"/>
      <c r="S649" s="403"/>
      <c r="T649" s="403"/>
      <c r="U649" s="341">
        <f t="shared" ref="U649:CM649" si="1704">+U645/U$11</f>
        <v>0.11766344254823517</v>
      </c>
      <c r="V649" s="403"/>
      <c r="W649" s="403"/>
      <c r="X649" s="403"/>
      <c r="Y649" s="432"/>
      <c r="Z649" s="403"/>
      <c r="AA649" s="403"/>
      <c r="AB649" s="341">
        <f t="shared" si="1704"/>
        <v>0.12289498580889309</v>
      </c>
      <c r="AC649" s="403"/>
      <c r="AD649" s="403"/>
      <c r="AE649" s="403"/>
      <c r="AF649" s="432"/>
      <c r="AG649" s="403"/>
      <c r="AH649" s="403"/>
      <c r="AI649" s="341">
        <f t="shared" si="1704"/>
        <v>0.11955336502813277</v>
      </c>
      <c r="AJ649" s="403"/>
      <c r="AK649" s="403"/>
      <c r="AL649" s="403"/>
      <c r="AM649" s="432"/>
      <c r="AN649" s="403"/>
      <c r="AO649" s="403"/>
      <c r="AP649" s="341">
        <f t="shared" si="1704"/>
        <v>0.10069663058269188</v>
      </c>
      <c r="AQ649" s="403"/>
      <c r="AR649" s="403"/>
      <c r="AS649" s="403"/>
      <c r="AT649" s="432"/>
      <c r="AU649" s="403"/>
      <c r="AV649" s="403"/>
      <c r="AW649" s="341">
        <f t="shared" si="1704"/>
        <v>0.10046044911282762</v>
      </c>
      <c r="AX649" s="403"/>
      <c r="AY649" s="403"/>
      <c r="AZ649" s="403"/>
      <c r="BA649" s="432"/>
      <c r="BB649" s="403"/>
      <c r="BC649" s="403"/>
      <c r="BD649" s="341">
        <f t="shared" si="1704"/>
        <v>8.6907592464045197E-2</v>
      </c>
      <c r="BE649" s="403"/>
      <c r="BF649" s="403"/>
      <c r="BG649" s="403"/>
      <c r="BH649" s="432"/>
      <c r="BI649" s="403"/>
      <c r="BJ649" s="403"/>
      <c r="BK649" s="341">
        <f t="shared" si="1704"/>
        <v>0.1205402351213193</v>
      </c>
      <c r="BL649" s="403"/>
      <c r="BM649" s="403"/>
      <c r="BN649" s="403"/>
      <c r="BO649" s="432"/>
      <c r="BP649" s="403"/>
      <c r="BQ649" s="403"/>
      <c r="BR649" s="341">
        <f t="shared" si="1704"/>
        <v>0.1166973030341107</v>
      </c>
      <c r="BS649" s="403"/>
      <c r="BT649" s="403"/>
      <c r="BU649" s="403"/>
      <c r="BV649" s="432"/>
      <c r="BW649" s="403"/>
      <c r="BX649" s="403"/>
      <c r="BY649" s="341">
        <f t="shared" si="1704"/>
        <v>1.6448083927992661E-2</v>
      </c>
      <c r="BZ649" s="403"/>
      <c r="CA649" s="403"/>
      <c r="CB649" s="403"/>
      <c r="CC649" s="432"/>
      <c r="CD649" s="403"/>
      <c r="CE649" s="403"/>
      <c r="CF649" s="341">
        <f t="shared" si="1704"/>
        <v>9.211776558272726E-2</v>
      </c>
      <c r="CG649" s="403"/>
      <c r="CH649" s="403"/>
      <c r="CI649" s="403"/>
      <c r="CJ649" s="432"/>
      <c r="CK649" s="403"/>
      <c r="CL649" s="403"/>
      <c r="CM649" s="341">
        <f t="shared" si="1704"/>
        <v>0.12396992714228136</v>
      </c>
      <c r="CN649" s="403"/>
      <c r="CO649" s="403"/>
      <c r="CP649" s="403"/>
      <c r="CQ649" s="432"/>
      <c r="CR649" s="403"/>
      <c r="CS649" s="403"/>
      <c r="CT649" s="341">
        <f>+CT645/CT$11</f>
        <v>1.7193808303416259E-2</v>
      </c>
      <c r="CU649" s="403"/>
      <c r="CV649" s="403"/>
      <c r="CW649" s="403"/>
      <c r="CX649" s="432"/>
      <c r="CY649" s="403"/>
      <c r="CZ649" s="403"/>
      <c r="DA649" s="341">
        <f>+DA645/DA$11</f>
        <v>-2.6586615096967784E-3</v>
      </c>
      <c r="DB649" s="403"/>
      <c r="DC649" s="403"/>
      <c r="DD649" s="403"/>
      <c r="DE649" s="432"/>
      <c r="DF649" s="403"/>
      <c r="DG649" s="403"/>
      <c r="DH649" s="341">
        <f>+DH645/DH$11</f>
        <v>-4.3037409059187216E-2</v>
      </c>
      <c r="DI649" s="403"/>
      <c r="DJ649" s="403"/>
      <c r="DK649" s="403"/>
      <c r="DL649" s="432"/>
      <c r="DM649" s="403"/>
      <c r="DN649" s="403"/>
      <c r="DO649" s="341">
        <f>+DO645/DO$11</f>
        <v>-6.9450532650448052E-2</v>
      </c>
      <c r="DP649" s="403"/>
      <c r="DQ649" s="403"/>
      <c r="DR649" s="403"/>
      <c r="DS649" s="432"/>
      <c r="DT649" s="403"/>
      <c r="DU649" s="403"/>
      <c r="DV649" s="341">
        <f>+DV645/DV$11</f>
        <v>-9.6527073555588705E-2</v>
      </c>
      <c r="DW649" s="403"/>
      <c r="DX649" s="403"/>
      <c r="DY649" s="403"/>
      <c r="DZ649" s="432"/>
      <c r="EA649" s="403"/>
      <c r="EB649" s="403"/>
      <c r="EC649" s="341">
        <f>+EC645/EC$11</f>
        <v>-0.12428699025433533</v>
      </c>
      <c r="ED649" s="403"/>
      <c r="EE649" s="403"/>
      <c r="EF649" s="403"/>
      <c r="EG649" s="432"/>
      <c r="EH649" s="403"/>
      <c r="EI649" s="403"/>
      <c r="EJ649" s="341">
        <f>+EJ645/EJ$11</f>
        <v>-0.15164341942939594</v>
      </c>
      <c r="EK649" s="403"/>
      <c r="EL649" s="403"/>
      <c r="EM649" s="403"/>
      <c r="EN649" s="432"/>
      <c r="EO649" s="403"/>
      <c r="EP649" s="403"/>
      <c r="EQ649" s="341">
        <f>+EQ645/EQ$11</f>
        <v>-0.17444676932478179</v>
      </c>
    </row>
    <row r="650" spans="1:147" ht="10.199999999999999" hidden="1" customHeight="1" outlineLevel="1">
      <c r="A650" s="48"/>
      <c r="B650" s="48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3"/>
      <c r="O650" s="323"/>
      <c r="P650" s="323"/>
      <c r="Q650" s="323"/>
      <c r="R650" s="441"/>
      <c r="S650" s="323"/>
      <c r="T650" s="323"/>
      <c r="U650" s="375"/>
      <c r="V650" s="323"/>
      <c r="W650" s="323"/>
      <c r="X650" s="323"/>
      <c r="Y650" s="441"/>
      <c r="Z650" s="323"/>
      <c r="AA650" s="323"/>
      <c r="AB650" s="375"/>
      <c r="AC650" s="323"/>
      <c r="AD650" s="323"/>
      <c r="AE650" s="323"/>
      <c r="AF650" s="441"/>
      <c r="AG650" s="323"/>
      <c r="AH650" s="323"/>
      <c r="AI650" s="375"/>
      <c r="AJ650" s="323"/>
      <c r="AK650" s="323"/>
      <c r="AL650" s="323"/>
      <c r="AM650" s="441"/>
      <c r="AN650" s="323"/>
      <c r="AO650" s="323"/>
      <c r="AP650" s="375"/>
      <c r="AQ650" s="323"/>
      <c r="AR650" s="323"/>
      <c r="AS650" s="323"/>
      <c r="AT650" s="441"/>
      <c r="AU650" s="323"/>
      <c r="AV650" s="323"/>
      <c r="AW650" s="375"/>
      <c r="AX650" s="323"/>
      <c r="AY650" s="323"/>
      <c r="AZ650" s="323"/>
      <c r="BA650" s="441"/>
      <c r="BB650" s="323"/>
      <c r="BC650" s="323"/>
      <c r="BD650" s="375"/>
      <c r="BE650" s="323"/>
      <c r="BF650" s="323"/>
      <c r="BG650" s="323"/>
      <c r="BH650" s="441"/>
      <c r="BI650" s="323"/>
      <c r="BJ650" s="323"/>
      <c r="BK650" s="375"/>
      <c r="BL650" s="323"/>
      <c r="BM650" s="323"/>
      <c r="BN650" s="323"/>
      <c r="BO650" s="441"/>
      <c r="BP650" s="323"/>
      <c r="BQ650" s="323"/>
      <c r="BR650" s="375"/>
      <c r="BS650" s="323"/>
      <c r="BT650" s="323"/>
      <c r="BU650" s="323"/>
      <c r="BV650" s="441"/>
      <c r="BW650" s="323"/>
      <c r="BX650" s="323"/>
      <c r="BY650" s="375"/>
      <c r="BZ650" s="323"/>
      <c r="CA650" s="323"/>
      <c r="CB650" s="323"/>
      <c r="CC650" s="441"/>
      <c r="CD650" s="323"/>
      <c r="CE650" s="323"/>
      <c r="CF650" s="375"/>
      <c r="CG650" s="323"/>
      <c r="CH650" s="323"/>
      <c r="CI650" s="323"/>
      <c r="CJ650" s="441"/>
      <c r="CK650" s="323"/>
      <c r="CL650" s="323"/>
      <c r="CM650" s="375"/>
      <c r="CN650" s="323"/>
      <c r="CO650" s="323"/>
      <c r="CP650" s="323"/>
      <c r="CQ650" s="441"/>
      <c r="CR650" s="323"/>
      <c r="CS650" s="323"/>
      <c r="CT650" s="375"/>
      <c r="CU650" s="323"/>
      <c r="CV650" s="323"/>
      <c r="CW650" s="323"/>
      <c r="CX650" s="441"/>
      <c r="CY650" s="323"/>
      <c r="CZ650" s="323"/>
      <c r="DA650" s="375"/>
      <c r="DB650" s="323"/>
      <c r="DC650" s="323"/>
      <c r="DD650" s="323"/>
      <c r="DE650" s="441"/>
      <c r="DF650" s="323"/>
      <c r="DG650" s="323"/>
      <c r="DH650" s="375"/>
      <c r="DI650" s="323"/>
      <c r="DJ650" s="323"/>
      <c r="DK650" s="323"/>
      <c r="DL650" s="441"/>
      <c r="DM650" s="323"/>
      <c r="DN650" s="323"/>
      <c r="DO650" s="375"/>
      <c r="DP650" s="323"/>
      <c r="DQ650" s="323"/>
      <c r="DR650" s="323"/>
      <c r="DS650" s="441"/>
      <c r="DT650" s="323"/>
      <c r="DU650" s="323"/>
      <c r="DV650" s="375"/>
      <c r="DW650" s="323"/>
      <c r="DX650" s="323"/>
      <c r="DY650" s="323"/>
      <c r="DZ650" s="441"/>
      <c r="EA650" s="323"/>
      <c r="EB650" s="323"/>
      <c r="EC650" s="375"/>
      <c r="ED650" s="323"/>
      <c r="EE650" s="323"/>
      <c r="EF650" s="323"/>
      <c r="EG650" s="441"/>
      <c r="EH650" s="323"/>
      <c r="EI650" s="323"/>
      <c r="EJ650" s="375"/>
      <c r="EK650" s="323"/>
      <c r="EL650" s="323"/>
      <c r="EM650" s="323"/>
      <c r="EN650" s="441"/>
      <c r="EO650" s="323"/>
      <c r="EP650" s="323"/>
      <c r="EQ650" s="375"/>
    </row>
    <row r="651" spans="1:147" ht="10.199999999999999" hidden="1" customHeight="1" outlineLevel="1">
      <c r="A651" s="48" t="s">
        <v>577</v>
      </c>
      <c r="B651" s="48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3"/>
      <c r="O651" s="323"/>
      <c r="P651" s="323"/>
      <c r="Q651" s="323"/>
      <c r="R651" s="441"/>
      <c r="S651" s="323"/>
      <c r="T651" s="323"/>
      <c r="U651" s="377"/>
      <c r="V651" s="323"/>
      <c r="W651" s="323"/>
      <c r="X651" s="323"/>
      <c r="Y651" s="441"/>
      <c r="Z651" s="323"/>
      <c r="AA651" s="323"/>
      <c r="AB651" s="377"/>
      <c r="AC651" s="323"/>
      <c r="AD651" s="323"/>
      <c r="AE651" s="323"/>
      <c r="AF651" s="441"/>
      <c r="AG651" s="323"/>
      <c r="AH651" s="323"/>
      <c r="AI651" s="377"/>
      <c r="AJ651" s="323"/>
      <c r="AK651" s="323"/>
      <c r="AL651" s="323"/>
      <c r="AM651" s="441"/>
      <c r="AN651" s="323"/>
      <c r="AO651" s="323"/>
      <c r="AP651" s="377"/>
      <c r="AQ651" s="323"/>
      <c r="AR651" s="323"/>
      <c r="AS651" s="323"/>
      <c r="AT651" s="441"/>
      <c r="AU651" s="323"/>
      <c r="AV651" s="323"/>
      <c r="AW651" s="377">
        <f t="shared" ref="AW651:CM651" si="1705">AW413</f>
        <v>445.73643410853037</v>
      </c>
      <c r="AX651" s="323"/>
      <c r="AY651" s="323"/>
      <c r="AZ651" s="323"/>
      <c r="BA651" s="441"/>
      <c r="BB651" s="323"/>
      <c r="BC651" s="323"/>
      <c r="BD651" s="377">
        <f t="shared" si="1705"/>
        <v>445.73643410853037</v>
      </c>
      <c r="BE651" s="323"/>
      <c r="BF651" s="323"/>
      <c r="BG651" s="323"/>
      <c r="BH651" s="441"/>
      <c r="BI651" s="323"/>
      <c r="BJ651" s="323"/>
      <c r="BK651" s="377">
        <f t="shared" si="1705"/>
        <v>1239.6849212303132</v>
      </c>
      <c r="BL651" s="323"/>
      <c r="BM651" s="323"/>
      <c r="BN651" s="323"/>
      <c r="BO651" s="441"/>
      <c r="BP651" s="323"/>
      <c r="BQ651" s="323"/>
      <c r="BR651" s="377">
        <f t="shared" si="1705"/>
        <v>2370.905226306586</v>
      </c>
      <c r="BS651" s="323"/>
      <c r="BT651" s="323"/>
      <c r="BU651" s="323"/>
      <c r="BV651" s="441"/>
      <c r="BW651" s="323"/>
      <c r="BX651" s="323"/>
      <c r="BY651" s="377">
        <f t="shared" si="1705"/>
        <v>2490.6531254662514</v>
      </c>
      <c r="BZ651" s="323"/>
      <c r="CA651" s="323"/>
      <c r="CB651" s="323"/>
      <c r="CC651" s="441"/>
      <c r="CD651" s="323"/>
      <c r="CE651" s="323"/>
      <c r="CF651" s="377">
        <f t="shared" si="1705"/>
        <v>2490.6531254662514</v>
      </c>
      <c r="CG651" s="323"/>
      <c r="CH651" s="323"/>
      <c r="CI651" s="323"/>
      <c r="CJ651" s="441"/>
      <c r="CK651" s="323"/>
      <c r="CL651" s="323"/>
      <c r="CM651" s="377">
        <f t="shared" si="1705"/>
        <v>2071.173858349568</v>
      </c>
      <c r="CN651" s="323"/>
      <c r="CO651" s="323"/>
      <c r="CP651" s="323"/>
      <c r="CQ651" s="441"/>
      <c r="CR651" s="323"/>
      <c r="CS651" s="323"/>
      <c r="CT651" s="377">
        <f>CT413</f>
        <v>2338.3767485032804</v>
      </c>
      <c r="CU651" s="323"/>
      <c r="CV651" s="323"/>
      <c r="CW651" s="323"/>
      <c r="CX651" s="441"/>
      <c r="CY651" s="323"/>
      <c r="CZ651" s="323"/>
      <c r="DA651" s="377">
        <f>DA413</f>
        <v>2218.7911743722507</v>
      </c>
      <c r="DB651" s="323"/>
      <c r="DC651" s="323"/>
      <c r="DD651" s="323"/>
      <c r="DE651" s="441"/>
      <c r="DF651" s="323"/>
      <c r="DG651" s="323"/>
      <c r="DH651" s="377">
        <f>DH413</f>
        <v>2588.3431534936099</v>
      </c>
      <c r="DI651" s="323"/>
      <c r="DJ651" s="323"/>
      <c r="DK651" s="323"/>
      <c r="DL651" s="441"/>
      <c r="DM651" s="323"/>
      <c r="DN651" s="323"/>
      <c r="DO651" s="377">
        <f>DO413</f>
        <v>2277.0380927705046</v>
      </c>
      <c r="DP651" s="323"/>
      <c r="DQ651" s="323"/>
      <c r="DR651" s="323"/>
      <c r="DS651" s="441"/>
      <c r="DT651" s="323"/>
      <c r="DU651" s="323"/>
      <c r="DV651" s="377">
        <f>DV413</f>
        <v>1927.2929166553004</v>
      </c>
      <c r="DW651" s="323"/>
      <c r="DX651" s="323"/>
      <c r="DY651" s="323"/>
      <c r="DZ651" s="441"/>
      <c r="EA651" s="323"/>
      <c r="EB651" s="323"/>
      <c r="EC651" s="377">
        <f>EC413</f>
        <v>2243.6672294302407</v>
      </c>
      <c r="ED651" s="323"/>
      <c r="EE651" s="323"/>
      <c r="EF651" s="323"/>
      <c r="EG651" s="441"/>
      <c r="EH651" s="323"/>
      <c r="EI651" s="323"/>
      <c r="EJ651" s="377">
        <f>EJ413</f>
        <v>1968.5653873924966</v>
      </c>
      <c r="EK651" s="323"/>
      <c r="EL651" s="323"/>
      <c r="EM651" s="323"/>
      <c r="EN651" s="441"/>
      <c r="EO651" s="323"/>
      <c r="EP651" s="323"/>
      <c r="EQ651" s="377">
        <f>EQ413</f>
        <v>1617.1703701762053</v>
      </c>
    </row>
    <row r="652" spans="1:147" ht="10.199999999999999" hidden="1" customHeight="1" outlineLevel="1">
      <c r="A652" s="108" t="s">
        <v>377</v>
      </c>
      <c r="B652" s="48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3"/>
      <c r="O652" s="512"/>
      <c r="P652" s="512"/>
      <c r="Q652" s="512"/>
      <c r="R652" s="513"/>
      <c r="S652" s="512"/>
      <c r="T652" s="512"/>
      <c r="U652" s="378"/>
      <c r="V652" s="512"/>
      <c r="W652" s="512"/>
      <c r="X652" s="512"/>
      <c r="Y652" s="513"/>
      <c r="Z652" s="512"/>
      <c r="AA652" s="512"/>
      <c r="AB652" s="378"/>
      <c r="AC652" s="512"/>
      <c r="AD652" s="512"/>
      <c r="AE652" s="512"/>
      <c r="AF652" s="513"/>
      <c r="AG652" s="512"/>
      <c r="AH652" s="512"/>
      <c r="AI652" s="378"/>
      <c r="AJ652" s="512"/>
      <c r="AK652" s="512"/>
      <c r="AL652" s="512"/>
      <c r="AM652" s="513"/>
      <c r="AN652" s="512"/>
      <c r="AO652" s="512"/>
      <c r="AP652" s="378"/>
      <c r="AQ652" s="512"/>
      <c r="AR652" s="512"/>
      <c r="AS652" s="512"/>
      <c r="AT652" s="513"/>
      <c r="AU652" s="512"/>
      <c r="AV652" s="512"/>
      <c r="AW652" s="378">
        <f t="shared" ref="AW652:CM652" si="1706">(AW250)/AW$273*AW$651</f>
        <v>166.44101788652193</v>
      </c>
      <c r="AX652" s="512"/>
      <c r="AY652" s="512"/>
      <c r="AZ652" s="512"/>
      <c r="BA652" s="513"/>
      <c r="BB652" s="512"/>
      <c r="BC652" s="512"/>
      <c r="BD652" s="378">
        <f t="shared" si="1706"/>
        <v>150.12029769093604</v>
      </c>
      <c r="BE652" s="512"/>
      <c r="BF652" s="512"/>
      <c r="BG652" s="512"/>
      <c r="BH652" s="513"/>
      <c r="BI652" s="512"/>
      <c r="BJ652" s="512"/>
      <c r="BK652" s="378">
        <f t="shared" si="1706"/>
        <v>249.27309835889048</v>
      </c>
      <c r="BL652" s="512"/>
      <c r="BM652" s="512"/>
      <c r="BN652" s="512"/>
      <c r="BO652" s="513"/>
      <c r="BP652" s="512"/>
      <c r="BQ652" s="512"/>
      <c r="BR652" s="378">
        <f t="shared" si="1706"/>
        <v>162.47689073112701</v>
      </c>
      <c r="BS652" s="512"/>
      <c r="BT652" s="512"/>
      <c r="BU652" s="512"/>
      <c r="BV652" s="513"/>
      <c r="BW652" s="512"/>
      <c r="BX652" s="512"/>
      <c r="BY652" s="378">
        <f t="shared" si="1706"/>
        <v>41.630744209110262</v>
      </c>
      <c r="BZ652" s="512"/>
      <c r="CA652" s="512"/>
      <c r="CB652" s="512"/>
      <c r="CC652" s="513"/>
      <c r="CD652" s="512"/>
      <c r="CE652" s="512"/>
      <c r="CF652" s="378">
        <f t="shared" si="1706"/>
        <v>68.194670180798127</v>
      </c>
      <c r="CG652" s="512"/>
      <c r="CH652" s="512"/>
      <c r="CI652" s="512"/>
      <c r="CJ652" s="513"/>
      <c r="CK652" s="512"/>
      <c r="CL652" s="512"/>
      <c r="CM652" s="378">
        <f t="shared" si="1706"/>
        <v>0</v>
      </c>
      <c r="CN652" s="512"/>
      <c r="CO652" s="512"/>
      <c r="CP652" s="512"/>
      <c r="CQ652" s="513"/>
      <c r="CR652" s="512"/>
      <c r="CS652" s="512"/>
      <c r="CT652" s="378">
        <f>(CT250)/CT$273*CT$651</f>
        <v>0</v>
      </c>
      <c r="CU652" s="512"/>
      <c r="CV652" s="512"/>
      <c r="CW652" s="512"/>
      <c r="CX652" s="513"/>
      <c r="CY652" s="512"/>
      <c r="CZ652" s="512"/>
      <c r="DA652" s="378">
        <f>(DA250)/DA$273*DA$651</f>
        <v>0</v>
      </c>
      <c r="DB652" s="512"/>
      <c r="DC652" s="512"/>
      <c r="DD652" s="512"/>
      <c r="DE652" s="513"/>
      <c r="DF652" s="512"/>
      <c r="DG652" s="512"/>
      <c r="DH652" s="378">
        <f>(DH250)/DH$273*DH$651</f>
        <v>0</v>
      </c>
      <c r="DI652" s="512"/>
      <c r="DJ652" s="512"/>
      <c r="DK652" s="512"/>
      <c r="DL652" s="513"/>
      <c r="DM652" s="512"/>
      <c r="DN652" s="512"/>
      <c r="DO652" s="378">
        <f>(DO250)/DO$273*DO$651</f>
        <v>0</v>
      </c>
      <c r="DP652" s="512"/>
      <c r="DQ652" s="512"/>
      <c r="DR652" s="512"/>
      <c r="DS652" s="513"/>
      <c r="DT652" s="512"/>
      <c r="DU652" s="512"/>
      <c r="DV652" s="378">
        <f>(DV250)/DV$273*DV$651</f>
        <v>0</v>
      </c>
      <c r="DW652" s="512"/>
      <c r="DX652" s="512"/>
      <c r="DY652" s="512"/>
      <c r="DZ652" s="513"/>
      <c r="EA652" s="512"/>
      <c r="EB652" s="512"/>
      <c r="EC652" s="378">
        <f>(EC250)/EC$273*EC$651</f>
        <v>0</v>
      </c>
      <c r="ED652" s="512"/>
      <c r="EE652" s="512"/>
      <c r="EF652" s="512"/>
      <c r="EG652" s="513"/>
      <c r="EH652" s="512"/>
      <c r="EI652" s="512"/>
      <c r="EJ652" s="378">
        <f>(EJ250)/EJ$273*EJ$651</f>
        <v>0</v>
      </c>
      <c r="EK652" s="512"/>
      <c r="EL652" s="512"/>
      <c r="EM652" s="512"/>
      <c r="EN652" s="513"/>
      <c r="EO652" s="512"/>
      <c r="EP652" s="512"/>
      <c r="EQ652" s="378">
        <f>(EQ250)/EQ$273*EQ$651</f>
        <v>0</v>
      </c>
    </row>
    <row r="653" spans="1:147" ht="10.199999999999999" hidden="1" customHeight="1" outlineLevel="1">
      <c r="A653" s="108" t="s">
        <v>378</v>
      </c>
      <c r="B653" s="48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3"/>
      <c r="O653" s="512"/>
      <c r="P653" s="512"/>
      <c r="Q653" s="512"/>
      <c r="R653" s="513"/>
      <c r="S653" s="512"/>
      <c r="T653" s="512"/>
      <c r="U653" s="378"/>
      <c r="V653" s="512"/>
      <c r="W653" s="512"/>
      <c r="X653" s="512"/>
      <c r="Y653" s="513"/>
      <c r="Z653" s="512"/>
      <c r="AA653" s="512"/>
      <c r="AB653" s="378"/>
      <c r="AC653" s="512"/>
      <c r="AD653" s="512"/>
      <c r="AE653" s="512"/>
      <c r="AF653" s="513"/>
      <c r="AG653" s="512"/>
      <c r="AH653" s="512"/>
      <c r="AI653" s="378"/>
      <c r="AJ653" s="512"/>
      <c r="AK653" s="512"/>
      <c r="AL653" s="512"/>
      <c r="AM653" s="513"/>
      <c r="AN653" s="512"/>
      <c r="AO653" s="512"/>
      <c r="AP653" s="378"/>
      <c r="AQ653" s="512"/>
      <c r="AR653" s="512"/>
      <c r="AS653" s="512"/>
      <c r="AT653" s="513"/>
      <c r="AU653" s="512"/>
      <c r="AV653" s="512"/>
      <c r="AW653" s="378">
        <f t="shared" ref="AW653:CM653" si="1707">(AW254)/AW$273*AW$651</f>
        <v>80.146788338980869</v>
      </c>
      <c r="AX653" s="512"/>
      <c r="AY653" s="512"/>
      <c r="AZ653" s="512"/>
      <c r="BA653" s="513"/>
      <c r="BB653" s="512"/>
      <c r="BC653" s="512"/>
      <c r="BD653" s="378">
        <f t="shared" si="1707"/>
        <v>84.593350279235665</v>
      </c>
      <c r="BE653" s="512"/>
      <c r="BF653" s="512"/>
      <c r="BG653" s="512"/>
      <c r="BH653" s="513"/>
      <c r="BI653" s="512"/>
      <c r="BJ653" s="512"/>
      <c r="BK653" s="378">
        <f t="shared" si="1707"/>
        <v>432.26699688331649</v>
      </c>
      <c r="BL653" s="512"/>
      <c r="BM653" s="512"/>
      <c r="BN653" s="512"/>
      <c r="BO653" s="513"/>
      <c r="BP653" s="512"/>
      <c r="BQ653" s="512"/>
      <c r="BR653" s="378">
        <f t="shared" si="1707"/>
        <v>1114.0378884965701</v>
      </c>
      <c r="BS653" s="512"/>
      <c r="BT653" s="512"/>
      <c r="BU653" s="512"/>
      <c r="BV653" s="513"/>
      <c r="BW653" s="512"/>
      <c r="BX653" s="512"/>
      <c r="BY653" s="378">
        <f t="shared" si="1707"/>
        <v>1398.4372117948822</v>
      </c>
      <c r="BZ653" s="512"/>
      <c r="CA653" s="512"/>
      <c r="CB653" s="512"/>
      <c r="CC653" s="513"/>
      <c r="CD653" s="512"/>
      <c r="CE653" s="512"/>
      <c r="CF653" s="378">
        <f t="shared" si="1707"/>
        <v>1494.1131627039545</v>
      </c>
      <c r="CG653" s="512"/>
      <c r="CH653" s="512"/>
      <c r="CI653" s="512"/>
      <c r="CJ653" s="513"/>
      <c r="CK653" s="512"/>
      <c r="CL653" s="512"/>
      <c r="CM653" s="378">
        <f t="shared" si="1707"/>
        <v>1258.7765680113159</v>
      </c>
      <c r="CN653" s="512"/>
      <c r="CO653" s="512"/>
      <c r="CP653" s="512"/>
      <c r="CQ653" s="513"/>
      <c r="CR653" s="512"/>
      <c r="CS653" s="512"/>
      <c r="CT653" s="378">
        <f>(CT254)/CT$273*CT$651</f>
        <v>1401.18535471624</v>
      </c>
      <c r="CU653" s="512"/>
      <c r="CV653" s="512"/>
      <c r="CW653" s="512"/>
      <c r="CX653" s="513"/>
      <c r="CY653" s="512"/>
      <c r="CZ653" s="512"/>
      <c r="DA653" s="378">
        <f>(DA254)/DA$273*DA$651</f>
        <v>1361.0750002075954</v>
      </c>
      <c r="DB653" s="512"/>
      <c r="DC653" s="512"/>
      <c r="DD653" s="512"/>
      <c r="DE653" s="513"/>
      <c r="DF653" s="512"/>
      <c r="DG653" s="512"/>
      <c r="DH653" s="378">
        <f>(DH254)/DH$273*DH$651</f>
        <v>1522.6596656013348</v>
      </c>
      <c r="DI653" s="512"/>
      <c r="DJ653" s="512"/>
      <c r="DK653" s="512"/>
      <c r="DL653" s="513"/>
      <c r="DM653" s="512"/>
      <c r="DN653" s="512"/>
      <c r="DO653" s="378">
        <f>(DO254)/DO$273*DO$651</f>
        <v>1306.5548363348412</v>
      </c>
      <c r="DP653" s="512"/>
      <c r="DQ653" s="512"/>
      <c r="DR653" s="512"/>
      <c r="DS653" s="513"/>
      <c r="DT653" s="512"/>
      <c r="DU653" s="512"/>
      <c r="DV653" s="378">
        <f>(DV254)/DV$273*DV$651</f>
        <v>1112.0289564432592</v>
      </c>
      <c r="DW653" s="512"/>
      <c r="DX653" s="512"/>
      <c r="DY653" s="512"/>
      <c r="DZ653" s="513"/>
      <c r="EA653" s="512"/>
      <c r="EB653" s="512"/>
      <c r="EC653" s="378">
        <f>(EC254)/EC$273*EC$651</f>
        <v>1306.4602119690921</v>
      </c>
      <c r="ED653" s="512"/>
      <c r="EE653" s="512"/>
      <c r="EF653" s="512"/>
      <c r="EG653" s="513"/>
      <c r="EH653" s="512"/>
      <c r="EI653" s="512"/>
      <c r="EJ653" s="378">
        <f>(EJ254)/EJ$273*EJ$651</f>
        <v>1124.7817473112236</v>
      </c>
      <c r="EK653" s="512"/>
      <c r="EL653" s="512"/>
      <c r="EM653" s="512"/>
      <c r="EN653" s="513"/>
      <c r="EO653" s="512"/>
      <c r="EP653" s="512"/>
      <c r="EQ653" s="378">
        <f>(EQ254)/EQ$273*EQ$651</f>
        <v>911.35162046024311</v>
      </c>
    </row>
    <row r="654" spans="1:147" ht="10.199999999999999" hidden="1" customHeight="1" outlineLevel="1">
      <c r="A654" s="108" t="s">
        <v>380</v>
      </c>
      <c r="B654" s="48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3"/>
      <c r="O654" s="512"/>
      <c r="P654" s="512"/>
      <c r="Q654" s="512"/>
      <c r="R654" s="513"/>
      <c r="S654" s="512"/>
      <c r="T654" s="512"/>
      <c r="U654" s="378"/>
      <c r="V654" s="512"/>
      <c r="W654" s="512"/>
      <c r="X654" s="512"/>
      <c r="Y654" s="513"/>
      <c r="Z654" s="512"/>
      <c r="AA654" s="512"/>
      <c r="AB654" s="378"/>
      <c r="AC654" s="512"/>
      <c r="AD654" s="512"/>
      <c r="AE654" s="512"/>
      <c r="AF654" s="513"/>
      <c r="AG654" s="512"/>
      <c r="AH654" s="512"/>
      <c r="AI654" s="378"/>
      <c r="AJ654" s="512"/>
      <c r="AK654" s="512"/>
      <c r="AL654" s="512"/>
      <c r="AM654" s="513"/>
      <c r="AN654" s="512"/>
      <c r="AO654" s="512"/>
      <c r="AP654" s="378"/>
      <c r="AQ654" s="512"/>
      <c r="AR654" s="512"/>
      <c r="AS654" s="512"/>
      <c r="AT654" s="513"/>
      <c r="AU654" s="512"/>
      <c r="AV654" s="512"/>
      <c r="AW654" s="378">
        <f t="shared" ref="AW654:CM654" si="1708">AW257/AW$273*AW$651</f>
        <v>61.58852340506543</v>
      </c>
      <c r="AX654" s="512"/>
      <c r="AY654" s="512"/>
      <c r="AZ654" s="512"/>
      <c r="BA654" s="513"/>
      <c r="BB654" s="512"/>
      <c r="BC654" s="512"/>
      <c r="BD654" s="378">
        <f t="shared" si="1708"/>
        <v>64.355413924192362</v>
      </c>
      <c r="BE654" s="512"/>
      <c r="BF654" s="512"/>
      <c r="BG654" s="512"/>
      <c r="BH654" s="513"/>
      <c r="BI654" s="512"/>
      <c r="BJ654" s="512"/>
      <c r="BK654" s="378">
        <f t="shared" si="1708"/>
        <v>113.5790287170292</v>
      </c>
      <c r="BL654" s="512"/>
      <c r="BM654" s="512"/>
      <c r="BN654" s="512"/>
      <c r="BO654" s="513"/>
      <c r="BP654" s="512"/>
      <c r="BQ654" s="512"/>
      <c r="BR654" s="378">
        <f t="shared" si="1708"/>
        <v>49.511610594627378</v>
      </c>
      <c r="BS654" s="512"/>
      <c r="BT654" s="512"/>
      <c r="BU654" s="512"/>
      <c r="BV654" s="513"/>
      <c r="BW654" s="512"/>
      <c r="BX654" s="512"/>
      <c r="BY654" s="378">
        <f t="shared" si="1708"/>
        <v>36.874319037705774</v>
      </c>
      <c r="BZ654" s="512"/>
      <c r="CA654" s="512"/>
      <c r="CB654" s="512"/>
      <c r="CC654" s="513"/>
      <c r="CD654" s="512"/>
      <c r="CE654" s="512"/>
      <c r="CF654" s="378">
        <f t="shared" si="1708"/>
        <v>23.970406994879419</v>
      </c>
      <c r="CG654" s="512"/>
      <c r="CH654" s="512"/>
      <c r="CI654" s="512"/>
      <c r="CJ654" s="513"/>
      <c r="CK654" s="512"/>
      <c r="CL654" s="512"/>
      <c r="CM654" s="378">
        <f t="shared" si="1708"/>
        <v>37.196532462320306</v>
      </c>
      <c r="CN654" s="512"/>
      <c r="CO654" s="512"/>
      <c r="CP654" s="512"/>
      <c r="CQ654" s="513"/>
      <c r="CR654" s="512"/>
      <c r="CS654" s="512"/>
      <c r="CT654" s="378">
        <f>CT257/CT$273*CT$651</f>
        <v>12.093734915888311</v>
      </c>
      <c r="CU654" s="512"/>
      <c r="CV654" s="512"/>
      <c r="CW654" s="512"/>
      <c r="CX654" s="513"/>
      <c r="CY654" s="512"/>
      <c r="CZ654" s="512"/>
      <c r="DA654" s="378">
        <f>DA257/DA$273*DA$651</f>
        <v>7.3783751330855107</v>
      </c>
      <c r="DB654" s="512"/>
      <c r="DC654" s="512"/>
      <c r="DD654" s="512"/>
      <c r="DE654" s="513"/>
      <c r="DF654" s="512"/>
      <c r="DG654" s="512"/>
      <c r="DH654" s="378">
        <f>DH257/DH$273*DH$651</f>
        <v>8.3748977967511493</v>
      </c>
      <c r="DI654" s="512"/>
      <c r="DJ654" s="512"/>
      <c r="DK654" s="512"/>
      <c r="DL654" s="513"/>
      <c r="DM654" s="512"/>
      <c r="DN654" s="512"/>
      <c r="DO654" s="378">
        <f>DO257/DO$273*DO$651</f>
        <v>10.387881900821583</v>
      </c>
      <c r="DP654" s="512"/>
      <c r="DQ654" s="512"/>
      <c r="DR654" s="512"/>
      <c r="DS654" s="513"/>
      <c r="DT654" s="512"/>
      <c r="DU654" s="512"/>
      <c r="DV654" s="378">
        <f>DV257/DV$273*DV$651</f>
        <v>7.8053640960302957</v>
      </c>
      <c r="DW654" s="512"/>
      <c r="DX654" s="512"/>
      <c r="DY654" s="512"/>
      <c r="DZ654" s="513"/>
      <c r="EA654" s="512"/>
      <c r="EB654" s="512"/>
      <c r="EC654" s="378">
        <f>EC257/EC$273*EC$651</f>
        <v>8.4288409035732883</v>
      </c>
      <c r="ED654" s="512"/>
      <c r="EE654" s="512"/>
      <c r="EF654" s="512"/>
      <c r="EG654" s="513"/>
      <c r="EH654" s="512"/>
      <c r="EI654" s="512"/>
      <c r="EJ654" s="378">
        <f>EJ257/EJ$273*EJ$651</f>
        <v>7.1270709296084211</v>
      </c>
      <c r="EK654" s="512"/>
      <c r="EL654" s="512"/>
      <c r="EM654" s="512"/>
      <c r="EN654" s="513"/>
      <c r="EO654" s="512"/>
      <c r="EP654" s="512"/>
      <c r="EQ654" s="378">
        <f>EQ257/EQ$273*EQ$651</f>
        <v>5.7746915402571037</v>
      </c>
    </row>
    <row r="655" spans="1:147" ht="10.199999999999999" hidden="1" customHeight="1" outlineLevel="1">
      <c r="A655" s="108" t="s">
        <v>381</v>
      </c>
      <c r="B655" s="48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3"/>
      <c r="O655" s="512"/>
      <c r="P655" s="512"/>
      <c r="Q655" s="512"/>
      <c r="R655" s="513"/>
      <c r="S655" s="512"/>
      <c r="T655" s="512"/>
      <c r="U655" s="378"/>
      <c r="V655" s="512"/>
      <c r="W655" s="512"/>
      <c r="X655" s="512"/>
      <c r="Y655" s="513"/>
      <c r="Z655" s="512"/>
      <c r="AA655" s="512"/>
      <c r="AB655" s="378"/>
      <c r="AC655" s="512"/>
      <c r="AD655" s="512"/>
      <c r="AE655" s="512"/>
      <c r="AF655" s="513"/>
      <c r="AG655" s="512"/>
      <c r="AH655" s="512"/>
      <c r="AI655" s="378"/>
      <c r="AJ655" s="512"/>
      <c r="AK655" s="512"/>
      <c r="AL655" s="512"/>
      <c r="AM655" s="513"/>
      <c r="AN655" s="512"/>
      <c r="AO655" s="512"/>
      <c r="AP655" s="378"/>
      <c r="AQ655" s="512"/>
      <c r="AR655" s="512"/>
      <c r="AS655" s="512"/>
      <c r="AT655" s="513"/>
      <c r="AU655" s="512"/>
      <c r="AV655" s="512"/>
      <c r="AW655" s="378">
        <f t="shared" ref="AW655:CM655" si="1709">AW260/AW$273*AW$651</f>
        <v>0</v>
      </c>
      <c r="AX655" s="512"/>
      <c r="AY655" s="512"/>
      <c r="AZ655" s="512"/>
      <c r="BA655" s="513"/>
      <c r="BB655" s="512"/>
      <c r="BC655" s="512"/>
      <c r="BD655" s="378">
        <f t="shared" si="1709"/>
        <v>0</v>
      </c>
      <c r="BE655" s="512"/>
      <c r="BF655" s="512"/>
      <c r="BG655" s="512"/>
      <c r="BH655" s="513"/>
      <c r="BI655" s="512"/>
      <c r="BJ655" s="512"/>
      <c r="BK655" s="378">
        <f t="shared" si="1709"/>
        <v>7.6121274863855977</v>
      </c>
      <c r="BL655" s="512"/>
      <c r="BM655" s="512"/>
      <c r="BN655" s="512"/>
      <c r="BO655" s="513"/>
      <c r="BP655" s="512"/>
      <c r="BQ655" s="512"/>
      <c r="BR655" s="378">
        <f t="shared" si="1709"/>
        <v>178.84334365197935</v>
      </c>
      <c r="BS655" s="512"/>
      <c r="BT655" s="512"/>
      <c r="BU655" s="512"/>
      <c r="BV655" s="513"/>
      <c r="BW655" s="512"/>
      <c r="BX655" s="512"/>
      <c r="BY655" s="378">
        <f t="shared" si="1709"/>
        <v>94.766518968530988</v>
      </c>
      <c r="BZ655" s="512"/>
      <c r="CA655" s="512"/>
      <c r="CB655" s="512"/>
      <c r="CC655" s="513"/>
      <c r="CD655" s="512"/>
      <c r="CE655" s="512"/>
      <c r="CF655" s="378">
        <f t="shared" si="1709"/>
        <v>100.63558335269832</v>
      </c>
      <c r="CG655" s="512"/>
      <c r="CH655" s="512"/>
      <c r="CI655" s="512"/>
      <c r="CJ655" s="513"/>
      <c r="CK655" s="512"/>
      <c r="CL655" s="512"/>
      <c r="CM655" s="378">
        <f t="shared" si="1709"/>
        <v>126.77121430667624</v>
      </c>
      <c r="CN655" s="512"/>
      <c r="CO655" s="512"/>
      <c r="CP655" s="512"/>
      <c r="CQ655" s="513"/>
      <c r="CR655" s="512"/>
      <c r="CS655" s="512"/>
      <c r="CT655" s="378">
        <f>CT260/CT$273*CT$651</f>
        <v>166.04238050196199</v>
      </c>
      <c r="CU655" s="512"/>
      <c r="CV655" s="512"/>
      <c r="CW655" s="512"/>
      <c r="CX655" s="513"/>
      <c r="CY655" s="512"/>
      <c r="CZ655" s="512"/>
      <c r="DA655" s="378">
        <f>DA260/DA$273*DA$651</f>
        <v>157.1931996008299</v>
      </c>
      <c r="DB655" s="512"/>
      <c r="DC655" s="512"/>
      <c r="DD655" s="512"/>
      <c r="DE655" s="513"/>
      <c r="DF655" s="512"/>
      <c r="DG655" s="512"/>
      <c r="DH655" s="378">
        <f>DH260/DH$273*DH$651</f>
        <v>201.48112912119319</v>
      </c>
      <c r="DI655" s="512"/>
      <c r="DJ655" s="512"/>
      <c r="DK655" s="512"/>
      <c r="DL655" s="513"/>
      <c r="DM655" s="512"/>
      <c r="DN655" s="512"/>
      <c r="DO655" s="378">
        <f>DO260/DO$273*DO$651</f>
        <v>154.32783854875669</v>
      </c>
      <c r="DP655" s="512"/>
      <c r="DQ655" s="512"/>
      <c r="DR655" s="512"/>
      <c r="DS655" s="513"/>
      <c r="DT655" s="512"/>
      <c r="DU655" s="512"/>
      <c r="DV655" s="378">
        <f>DV260/DV$273*DV$651</f>
        <v>115.96059538674133</v>
      </c>
      <c r="DW655" s="512"/>
      <c r="DX655" s="512"/>
      <c r="DY655" s="512"/>
      <c r="DZ655" s="513"/>
      <c r="EA655" s="512"/>
      <c r="EB655" s="512"/>
      <c r="EC655" s="378">
        <f>EC260/EC$273*EC$651</f>
        <v>125.22329484867684</v>
      </c>
      <c r="ED655" s="512"/>
      <c r="EE655" s="512"/>
      <c r="EF655" s="512"/>
      <c r="EG655" s="513"/>
      <c r="EH655" s="512"/>
      <c r="EI655" s="512"/>
      <c r="EJ655" s="378">
        <f>EJ260/EJ$273*EJ$651</f>
        <v>105.88351525859699</v>
      </c>
      <c r="EK655" s="512"/>
      <c r="EL655" s="512"/>
      <c r="EM655" s="512"/>
      <c r="EN655" s="513"/>
      <c r="EO655" s="512"/>
      <c r="EP655" s="512"/>
      <c r="EQ655" s="378">
        <f>EQ260/EQ$273*EQ$651</f>
        <v>100.30716225057806</v>
      </c>
    </row>
    <row r="656" spans="1:147" ht="10.199999999999999" hidden="1" customHeight="1" outlineLevel="1">
      <c r="A656" s="108" t="s">
        <v>238</v>
      </c>
      <c r="B656" s="48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3"/>
      <c r="O656" s="512"/>
      <c r="P656" s="512"/>
      <c r="Q656" s="512"/>
      <c r="R656" s="513"/>
      <c r="S656" s="512"/>
      <c r="T656" s="512"/>
      <c r="U656" s="378"/>
      <c r="V656" s="512"/>
      <c r="W656" s="512"/>
      <c r="X656" s="512"/>
      <c r="Y656" s="513"/>
      <c r="Z656" s="512"/>
      <c r="AA656" s="512"/>
      <c r="AB656" s="378"/>
      <c r="AC656" s="512"/>
      <c r="AD656" s="512"/>
      <c r="AE656" s="512"/>
      <c r="AF656" s="513"/>
      <c r="AG656" s="512"/>
      <c r="AH656" s="512"/>
      <c r="AI656" s="378"/>
      <c r="AJ656" s="512"/>
      <c r="AK656" s="512"/>
      <c r="AL656" s="512"/>
      <c r="AM656" s="513"/>
      <c r="AN656" s="512"/>
      <c r="AO656" s="512"/>
      <c r="AP656" s="378"/>
      <c r="AQ656" s="512"/>
      <c r="AR656" s="512"/>
      <c r="AS656" s="512"/>
      <c r="AT656" s="513"/>
      <c r="AU656" s="512"/>
      <c r="AV656" s="512"/>
      <c r="AW656" s="378">
        <f t="shared" ref="AW656:CM657" si="1710">AW268/AW$273*AW$651</f>
        <v>88.463210630270666</v>
      </c>
      <c r="AX656" s="512"/>
      <c r="AY656" s="512"/>
      <c r="AZ656" s="512"/>
      <c r="BA656" s="513"/>
      <c r="BB656" s="512"/>
      <c r="BC656" s="512"/>
      <c r="BD656" s="378">
        <f t="shared" si="1710"/>
        <v>92.437457864200837</v>
      </c>
      <c r="BE656" s="512"/>
      <c r="BF656" s="512"/>
      <c r="BG656" s="512"/>
      <c r="BH656" s="513"/>
      <c r="BI656" s="512"/>
      <c r="BJ656" s="512"/>
      <c r="BK656" s="378">
        <f t="shared" si="1710"/>
        <v>290.90192055006167</v>
      </c>
      <c r="BL656" s="512"/>
      <c r="BM656" s="512"/>
      <c r="BN656" s="512"/>
      <c r="BO656" s="513"/>
      <c r="BP656" s="512"/>
      <c r="BQ656" s="512"/>
      <c r="BR656" s="378">
        <f t="shared" si="1710"/>
        <v>608.87939966935119</v>
      </c>
      <c r="BS656" s="512"/>
      <c r="BT656" s="512"/>
      <c r="BU656" s="512"/>
      <c r="BV656" s="513"/>
      <c r="BW656" s="512"/>
      <c r="BX656" s="512"/>
      <c r="BY656" s="378">
        <f t="shared" si="1710"/>
        <v>552.86797797952374</v>
      </c>
      <c r="BZ656" s="512"/>
      <c r="CA656" s="512"/>
      <c r="CB656" s="512"/>
      <c r="CC656" s="513"/>
      <c r="CD656" s="512"/>
      <c r="CE656" s="512"/>
      <c r="CF656" s="378">
        <f t="shared" si="1710"/>
        <v>488.62122222271017</v>
      </c>
      <c r="CG656" s="512"/>
      <c r="CH656" s="512"/>
      <c r="CI656" s="512"/>
      <c r="CJ656" s="513"/>
      <c r="CK656" s="512"/>
      <c r="CL656" s="512"/>
      <c r="CM656" s="378">
        <f t="shared" si="1710"/>
        <v>392.27386450623584</v>
      </c>
      <c r="CN656" s="512"/>
      <c r="CO656" s="512"/>
      <c r="CP656" s="512"/>
      <c r="CQ656" s="513"/>
      <c r="CR656" s="512"/>
      <c r="CS656" s="512"/>
      <c r="CT656" s="378">
        <f>CT268/CT$273*CT$651</f>
        <v>429.01863605841203</v>
      </c>
      <c r="CU656" s="512"/>
      <c r="CV656" s="512"/>
      <c r="CW656" s="512"/>
      <c r="CX656" s="513"/>
      <c r="CY656" s="512"/>
      <c r="CZ656" s="512"/>
      <c r="DA656" s="378">
        <f>DA268/DA$273*DA$651</f>
        <v>351.806075076892</v>
      </c>
      <c r="DB656" s="512"/>
      <c r="DC656" s="512"/>
      <c r="DD656" s="512"/>
      <c r="DE656" s="513"/>
      <c r="DF656" s="512"/>
      <c r="DG656" s="512"/>
      <c r="DH656" s="378">
        <f>DH268/DH$273*DH$651</f>
        <v>401.4145701065716</v>
      </c>
      <c r="DI656" s="512"/>
      <c r="DJ656" s="512"/>
      <c r="DK656" s="512"/>
      <c r="DL656" s="513"/>
      <c r="DM656" s="512"/>
      <c r="DN656" s="512"/>
      <c r="DO656" s="378">
        <f>DO268/DO$273*DO$651</f>
        <v>403.95314142700147</v>
      </c>
      <c r="DP656" s="512"/>
      <c r="DQ656" s="512"/>
      <c r="DR656" s="512"/>
      <c r="DS656" s="513"/>
      <c r="DT656" s="512"/>
      <c r="DU656" s="512"/>
      <c r="DV656" s="378">
        <f>DV268/DV$273*DV$651</f>
        <v>370.97729347243336</v>
      </c>
      <c r="DW656" s="512"/>
      <c r="DX656" s="512"/>
      <c r="DY656" s="512"/>
      <c r="DZ656" s="513"/>
      <c r="EA656" s="512"/>
      <c r="EB656" s="512"/>
      <c r="EC656" s="378">
        <f>EC268/EC$273*EC$651</f>
        <v>450.68649142147274</v>
      </c>
      <c r="ED656" s="512"/>
      <c r="EE656" s="512"/>
      <c r="EF656" s="512"/>
      <c r="EG656" s="513"/>
      <c r="EH656" s="512"/>
      <c r="EI656" s="512"/>
      <c r="EJ656" s="378">
        <f>EJ268/EJ$273*EJ$651</f>
        <v>423.42379088966624</v>
      </c>
      <c r="EK656" s="512"/>
      <c r="EL656" s="512"/>
      <c r="EM656" s="512"/>
      <c r="EN656" s="513"/>
      <c r="EO656" s="512"/>
      <c r="EP656" s="512"/>
      <c r="EQ656" s="378">
        <f>EQ268/EQ$273*EQ$651</f>
        <v>343.07807616115457</v>
      </c>
    </row>
    <row r="657" spans="1:147" ht="10.199999999999999" hidden="1" customHeight="1" outlineLevel="1">
      <c r="A657" s="108" t="s">
        <v>133</v>
      </c>
      <c r="B657" s="48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3"/>
      <c r="O657" s="512"/>
      <c r="P657" s="512"/>
      <c r="Q657" s="512"/>
      <c r="R657" s="513"/>
      <c r="S657" s="512"/>
      <c r="T657" s="512"/>
      <c r="U657" s="378"/>
      <c r="V657" s="512"/>
      <c r="W657" s="512"/>
      <c r="X657" s="512"/>
      <c r="Y657" s="513"/>
      <c r="Z657" s="512"/>
      <c r="AA657" s="512"/>
      <c r="AB657" s="378"/>
      <c r="AC657" s="512"/>
      <c r="AD657" s="512"/>
      <c r="AE657" s="512"/>
      <c r="AF657" s="513"/>
      <c r="AG657" s="512"/>
      <c r="AH657" s="512"/>
      <c r="AI657" s="378"/>
      <c r="AJ657" s="512"/>
      <c r="AK657" s="512"/>
      <c r="AL657" s="512"/>
      <c r="AM657" s="513"/>
      <c r="AN657" s="512"/>
      <c r="AO657" s="512"/>
      <c r="AP657" s="378"/>
      <c r="AQ657" s="512"/>
      <c r="AR657" s="512"/>
      <c r="AS657" s="512"/>
      <c r="AT657" s="513"/>
      <c r="AU657" s="512"/>
      <c r="AV657" s="512"/>
      <c r="AW657" s="378">
        <f t="shared" si="1710"/>
        <v>26.272082260234441</v>
      </c>
      <c r="AX657" s="512"/>
      <c r="AY657" s="512"/>
      <c r="AZ657" s="512"/>
      <c r="BA657" s="513"/>
      <c r="BB657" s="512"/>
      <c r="BC657" s="512"/>
      <c r="BD657" s="378">
        <f t="shared" si="1710"/>
        <v>27.729663324811973</v>
      </c>
      <c r="BE657" s="512"/>
      <c r="BF657" s="512"/>
      <c r="BG657" s="512"/>
      <c r="BH657" s="513"/>
      <c r="BI657" s="512"/>
      <c r="BJ657" s="512"/>
      <c r="BK657" s="378">
        <f t="shared" si="1710"/>
        <v>57.219365855826972</v>
      </c>
      <c r="BL657" s="512"/>
      <c r="BM657" s="512"/>
      <c r="BN657" s="512"/>
      <c r="BO657" s="513"/>
      <c r="BP657" s="512"/>
      <c r="BQ657" s="512"/>
      <c r="BR657" s="378">
        <f t="shared" si="1710"/>
        <v>59.019892809806969</v>
      </c>
      <c r="BS657" s="512"/>
      <c r="BT657" s="512"/>
      <c r="BU657" s="512"/>
      <c r="BV657" s="513"/>
      <c r="BW657" s="512"/>
      <c r="BX657" s="512"/>
      <c r="BY657" s="378">
        <f t="shared" si="1710"/>
        <v>45.118958092130697</v>
      </c>
      <c r="BZ657" s="512"/>
      <c r="CA657" s="512"/>
      <c r="CB657" s="512"/>
      <c r="CC657" s="513"/>
      <c r="CD657" s="512"/>
      <c r="CE657" s="512"/>
      <c r="CF657" s="378">
        <f t="shared" si="1710"/>
        <v>54.512674068175315</v>
      </c>
      <c r="CG657" s="512"/>
      <c r="CH657" s="512"/>
      <c r="CI657" s="512"/>
      <c r="CJ657" s="513"/>
      <c r="CK657" s="512"/>
      <c r="CL657" s="512"/>
      <c r="CM657" s="378">
        <f t="shared" si="1710"/>
        <v>0</v>
      </c>
      <c r="CN657" s="512"/>
      <c r="CO657" s="512"/>
      <c r="CP657" s="512"/>
      <c r="CQ657" s="513"/>
      <c r="CR657" s="512"/>
      <c r="CS657" s="512"/>
      <c r="CT657" s="378">
        <f>CT269/CT$273*CT$651</f>
        <v>0</v>
      </c>
      <c r="CU657" s="512"/>
      <c r="CV657" s="512"/>
      <c r="CW657" s="512"/>
      <c r="CX657" s="513"/>
      <c r="CY657" s="512"/>
      <c r="CZ657" s="512"/>
      <c r="DA657" s="378">
        <f>DA269/DA$273*DA$651</f>
        <v>0</v>
      </c>
      <c r="DB657" s="512"/>
      <c r="DC657" s="512"/>
      <c r="DD657" s="512"/>
      <c r="DE657" s="513"/>
      <c r="DF657" s="512"/>
      <c r="DG657" s="512"/>
      <c r="DH657" s="378">
        <f>DH269/DH$273*DH$651</f>
        <v>0</v>
      </c>
      <c r="DI657" s="512"/>
      <c r="DJ657" s="512"/>
      <c r="DK657" s="512"/>
      <c r="DL657" s="513"/>
      <c r="DM657" s="512"/>
      <c r="DN657" s="512"/>
      <c r="DO657" s="378">
        <f>DO269/DO$273*DO$651</f>
        <v>0</v>
      </c>
      <c r="DP657" s="512"/>
      <c r="DQ657" s="512"/>
      <c r="DR657" s="512"/>
      <c r="DS657" s="513"/>
      <c r="DT657" s="512"/>
      <c r="DU657" s="512"/>
      <c r="DV657" s="378">
        <f>DV269/DV$273*DV$651</f>
        <v>0</v>
      </c>
      <c r="DW657" s="512"/>
      <c r="DX657" s="512"/>
      <c r="DY657" s="512"/>
      <c r="DZ657" s="513"/>
      <c r="EA657" s="512"/>
      <c r="EB657" s="512"/>
      <c r="EC657" s="378">
        <f>EC269/EC$273*EC$651</f>
        <v>0</v>
      </c>
      <c r="ED657" s="512"/>
      <c r="EE657" s="512"/>
      <c r="EF657" s="512"/>
      <c r="EG657" s="513"/>
      <c r="EH657" s="512"/>
      <c r="EI657" s="512"/>
      <c r="EJ657" s="378">
        <f>EJ269/EJ$273*EJ$651</f>
        <v>0</v>
      </c>
      <c r="EK657" s="512"/>
      <c r="EL657" s="512"/>
      <c r="EM657" s="512"/>
      <c r="EN657" s="513"/>
      <c r="EO657" s="512"/>
      <c r="EP657" s="512"/>
      <c r="EQ657" s="378">
        <f>EQ269/EQ$273*EQ$651</f>
        <v>0</v>
      </c>
    </row>
    <row r="658" spans="1:147" ht="10.199999999999999" hidden="1" customHeight="1" outlineLevel="1">
      <c r="A658" s="108" t="s">
        <v>301</v>
      </c>
      <c r="B658" s="48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3"/>
      <c r="O658" s="512"/>
      <c r="P658" s="512"/>
      <c r="Q658" s="512"/>
      <c r="R658" s="513"/>
      <c r="S658" s="512"/>
      <c r="T658" s="512"/>
      <c r="U658" s="378"/>
      <c r="V658" s="512"/>
      <c r="W658" s="512"/>
      <c r="X658" s="512"/>
      <c r="Y658" s="513"/>
      <c r="Z658" s="512"/>
      <c r="AA658" s="512"/>
      <c r="AB658" s="378"/>
      <c r="AC658" s="512"/>
      <c r="AD658" s="512"/>
      <c r="AE658" s="512"/>
      <c r="AF658" s="513"/>
      <c r="AG658" s="512"/>
      <c r="AH658" s="512"/>
      <c r="AI658" s="378"/>
      <c r="AJ658" s="512"/>
      <c r="AK658" s="512"/>
      <c r="AL658" s="512"/>
      <c r="AM658" s="513"/>
      <c r="AN658" s="512"/>
      <c r="AO658" s="512"/>
      <c r="AP658" s="378"/>
      <c r="AQ658" s="512"/>
      <c r="AR658" s="512"/>
      <c r="AS658" s="512"/>
      <c r="AT658" s="513"/>
      <c r="AU658" s="512"/>
      <c r="AV658" s="512"/>
      <c r="AW658" s="378">
        <f t="shared" ref="AW658:CT658" si="1711">+AW651-SUM(AW652:AW657)</f>
        <v>22.82481158745702</v>
      </c>
      <c r="AX658" s="512"/>
      <c r="AY658" s="512"/>
      <c r="AZ658" s="512"/>
      <c r="BA658" s="513"/>
      <c r="BB658" s="512"/>
      <c r="BC658" s="512"/>
      <c r="BD658" s="378">
        <f t="shared" si="1711"/>
        <v>26.500251025153545</v>
      </c>
      <c r="BE658" s="512"/>
      <c r="BF658" s="512"/>
      <c r="BG658" s="512"/>
      <c r="BH658" s="513"/>
      <c r="BI658" s="512"/>
      <c r="BJ658" s="512"/>
      <c r="BK658" s="378">
        <f t="shared" si="1711"/>
        <v>88.832383378802888</v>
      </c>
      <c r="BL658" s="512"/>
      <c r="BM658" s="512"/>
      <c r="BN658" s="512"/>
      <c r="BO658" s="513"/>
      <c r="BP658" s="512"/>
      <c r="BQ658" s="512"/>
      <c r="BR658" s="378">
        <f t="shared" si="1711"/>
        <v>198.13620035312397</v>
      </c>
      <c r="BS658" s="512"/>
      <c r="BT658" s="512"/>
      <c r="BU658" s="512"/>
      <c r="BV658" s="513"/>
      <c r="BW658" s="512"/>
      <c r="BX658" s="512"/>
      <c r="BY658" s="378">
        <f t="shared" si="1711"/>
        <v>320.95739538436737</v>
      </c>
      <c r="BZ658" s="512"/>
      <c r="CA658" s="512"/>
      <c r="CB658" s="512"/>
      <c r="CC658" s="513"/>
      <c r="CD658" s="512"/>
      <c r="CE658" s="512"/>
      <c r="CF658" s="378">
        <f t="shared" si="1711"/>
        <v>260.60540594303575</v>
      </c>
      <c r="CG658" s="512"/>
      <c r="CH658" s="512"/>
      <c r="CI658" s="512"/>
      <c r="CJ658" s="513"/>
      <c r="CK658" s="512"/>
      <c r="CL658" s="512"/>
      <c r="CM658" s="378">
        <f t="shared" si="1711"/>
        <v>256.15567906301953</v>
      </c>
      <c r="CN658" s="512"/>
      <c r="CO658" s="512"/>
      <c r="CP658" s="512"/>
      <c r="CQ658" s="513"/>
      <c r="CR658" s="512"/>
      <c r="CS658" s="512"/>
      <c r="CT658" s="378">
        <f t="shared" si="1711"/>
        <v>330.03664231077801</v>
      </c>
      <c r="CU658" s="512"/>
      <c r="CV658" s="512"/>
      <c r="CW658" s="512"/>
      <c r="CX658" s="513"/>
      <c r="CY658" s="512"/>
      <c r="CZ658" s="512"/>
      <c r="DA658" s="378">
        <f>+DA651-SUM(DA652:DA657)</f>
        <v>341.33852435384779</v>
      </c>
      <c r="DB658" s="512"/>
      <c r="DC658" s="512"/>
      <c r="DD658" s="512"/>
      <c r="DE658" s="513"/>
      <c r="DF658" s="512"/>
      <c r="DG658" s="512"/>
      <c r="DH658" s="378">
        <f>+DH651-SUM(DH652:DH657)</f>
        <v>454.41289086775896</v>
      </c>
      <c r="DI658" s="512"/>
      <c r="DJ658" s="512"/>
      <c r="DK658" s="512"/>
      <c r="DL658" s="513"/>
      <c r="DM658" s="512"/>
      <c r="DN658" s="512"/>
      <c r="DO658" s="378">
        <f>+DO651-SUM(DO652:DO657)</f>
        <v>401.81439455908367</v>
      </c>
      <c r="DP658" s="512"/>
      <c r="DQ658" s="512"/>
      <c r="DR658" s="512"/>
      <c r="DS658" s="513"/>
      <c r="DT658" s="512"/>
      <c r="DU658" s="512"/>
      <c r="DV658" s="378">
        <f>+DV651-SUM(DV652:DV657)</f>
        <v>320.52070725683643</v>
      </c>
      <c r="DW658" s="512"/>
      <c r="DX658" s="512"/>
      <c r="DY658" s="512"/>
      <c r="DZ658" s="513"/>
      <c r="EA658" s="512"/>
      <c r="EB658" s="512"/>
      <c r="EC658" s="378">
        <f>+EC651-SUM(EC652:EC657)</f>
        <v>352.86839028742565</v>
      </c>
      <c r="ED658" s="512"/>
      <c r="EE658" s="512"/>
      <c r="EF658" s="512"/>
      <c r="EG658" s="513"/>
      <c r="EH658" s="512"/>
      <c r="EI658" s="512"/>
      <c r="EJ658" s="378">
        <f>+EJ651-SUM(EJ652:EJ657)</f>
        <v>307.34926300340135</v>
      </c>
      <c r="EK658" s="512"/>
      <c r="EL658" s="512"/>
      <c r="EM658" s="512"/>
      <c r="EN658" s="513"/>
      <c r="EO658" s="512"/>
      <c r="EP658" s="512"/>
      <c r="EQ658" s="378">
        <f>+EQ651-SUM(EQ652:EQ657)</f>
        <v>256.65881976397259</v>
      </c>
    </row>
    <row r="659" spans="1:147" ht="10.199999999999999" hidden="1" customHeight="1" outlineLevel="1">
      <c r="A659" s="127" t="s">
        <v>482</v>
      </c>
      <c r="B659" s="270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1761"/>
      <c r="O659" s="512"/>
      <c r="P659" s="512"/>
      <c r="Q659" s="512"/>
      <c r="R659" s="513"/>
      <c r="S659" s="512"/>
      <c r="T659" s="512"/>
      <c r="U659" s="379"/>
      <c r="V659" s="512"/>
      <c r="W659" s="512"/>
      <c r="X659" s="512"/>
      <c r="Y659" s="513"/>
      <c r="Z659" s="512"/>
      <c r="AA659" s="512"/>
      <c r="AB659" s="379"/>
      <c r="AC659" s="512"/>
      <c r="AD659" s="512"/>
      <c r="AE659" s="512"/>
      <c r="AF659" s="513"/>
      <c r="AG659" s="512"/>
      <c r="AH659" s="512"/>
      <c r="AI659" s="379"/>
      <c r="AJ659" s="512"/>
      <c r="AK659" s="512"/>
      <c r="AL659" s="512"/>
      <c r="AM659" s="513"/>
      <c r="AN659" s="512"/>
      <c r="AO659" s="512"/>
      <c r="AP659" s="379"/>
      <c r="AQ659" s="512"/>
      <c r="AR659" s="512"/>
      <c r="AS659" s="512"/>
      <c r="AT659" s="513"/>
      <c r="AU659" s="512"/>
      <c r="AV659" s="512"/>
      <c r="AW659" s="379">
        <f t="shared" ref="AW659:CT659" si="1712">AW651-SUM(AW652:AW658)</f>
        <v>0</v>
      </c>
      <c r="AX659" s="512"/>
      <c r="AY659" s="512"/>
      <c r="AZ659" s="512"/>
      <c r="BA659" s="513"/>
      <c r="BB659" s="512"/>
      <c r="BC659" s="512"/>
      <c r="BD659" s="379">
        <f>BD651-SUM(BD652:BD658)</f>
        <v>0</v>
      </c>
      <c r="BE659" s="512"/>
      <c r="BF659" s="512"/>
      <c r="BG659" s="512"/>
      <c r="BH659" s="513"/>
      <c r="BI659" s="512"/>
      <c r="BJ659" s="512"/>
      <c r="BK659" s="379">
        <f t="shared" si="1712"/>
        <v>0</v>
      </c>
      <c r="BL659" s="512"/>
      <c r="BM659" s="512"/>
      <c r="BN659" s="512"/>
      <c r="BO659" s="513"/>
      <c r="BP659" s="512"/>
      <c r="BQ659" s="512"/>
      <c r="BR659" s="379">
        <f t="shared" si="1712"/>
        <v>0</v>
      </c>
      <c r="BS659" s="512"/>
      <c r="BT659" s="512"/>
      <c r="BU659" s="512"/>
      <c r="BV659" s="513"/>
      <c r="BW659" s="512"/>
      <c r="BX659" s="512"/>
      <c r="BY659" s="379">
        <f t="shared" si="1712"/>
        <v>0</v>
      </c>
      <c r="BZ659" s="512"/>
      <c r="CA659" s="512"/>
      <c r="CB659" s="512"/>
      <c r="CC659" s="513"/>
      <c r="CD659" s="512"/>
      <c r="CE659" s="512"/>
      <c r="CF659" s="379">
        <f t="shared" si="1712"/>
        <v>0</v>
      </c>
      <c r="CG659" s="512"/>
      <c r="CH659" s="512"/>
      <c r="CI659" s="512"/>
      <c r="CJ659" s="513"/>
      <c r="CK659" s="512"/>
      <c r="CL659" s="512"/>
      <c r="CM659" s="379">
        <f t="shared" si="1712"/>
        <v>0</v>
      </c>
      <c r="CN659" s="512"/>
      <c r="CO659" s="512"/>
      <c r="CP659" s="512"/>
      <c r="CQ659" s="513"/>
      <c r="CR659" s="512"/>
      <c r="CS659" s="512"/>
      <c r="CT659" s="379">
        <f t="shared" si="1712"/>
        <v>0</v>
      </c>
      <c r="CU659" s="512"/>
      <c r="CV659" s="512"/>
      <c r="CW659" s="512"/>
      <c r="CX659" s="513"/>
      <c r="CY659" s="512"/>
      <c r="CZ659" s="512"/>
      <c r="DA659" s="379">
        <f>DA651-SUM(DA652:DA658)</f>
        <v>0</v>
      </c>
      <c r="DB659" s="512"/>
      <c r="DC659" s="512"/>
      <c r="DD659" s="512"/>
      <c r="DE659" s="513"/>
      <c r="DF659" s="512"/>
      <c r="DG659" s="512"/>
      <c r="DH659" s="379">
        <f>DH651-SUM(DH652:DH658)</f>
        <v>0</v>
      </c>
      <c r="DI659" s="512"/>
      <c r="DJ659" s="512"/>
      <c r="DK659" s="512"/>
      <c r="DL659" s="513"/>
      <c r="DM659" s="512"/>
      <c r="DN659" s="512"/>
      <c r="DO659" s="379">
        <f>DO651-SUM(DO652:DO658)</f>
        <v>0</v>
      </c>
      <c r="DP659" s="512"/>
      <c r="DQ659" s="512"/>
      <c r="DR659" s="512"/>
      <c r="DS659" s="513"/>
      <c r="DT659" s="512"/>
      <c r="DU659" s="512"/>
      <c r="DV659" s="379">
        <f>DV651-SUM(DV652:DV658)</f>
        <v>0</v>
      </c>
      <c r="DW659" s="512"/>
      <c r="DX659" s="512"/>
      <c r="DY659" s="512"/>
      <c r="DZ659" s="513"/>
      <c r="EA659" s="512"/>
      <c r="EB659" s="512"/>
      <c r="EC659" s="379">
        <f>EC651-SUM(EC652:EC658)</f>
        <v>0</v>
      </c>
      <c r="ED659" s="512"/>
      <c r="EE659" s="512"/>
      <c r="EF659" s="512"/>
      <c r="EG659" s="513"/>
      <c r="EH659" s="512"/>
      <c r="EI659" s="512"/>
      <c r="EJ659" s="379">
        <f>EJ651-SUM(EJ652:EJ658)</f>
        <v>0</v>
      </c>
      <c r="EK659" s="512"/>
      <c r="EL659" s="512"/>
      <c r="EM659" s="512"/>
      <c r="EN659" s="513"/>
      <c r="EO659" s="512"/>
      <c r="EP659" s="512"/>
      <c r="EQ659" s="379">
        <f>EQ651-SUM(EQ652:EQ658)</f>
        <v>0</v>
      </c>
    </row>
    <row r="660" spans="1:147" ht="10.199999999999999" hidden="1" customHeight="1" outlineLevel="1">
      <c r="A660" s="48"/>
      <c r="B660" s="48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3"/>
      <c r="O660" s="323"/>
      <c r="P660" s="323"/>
      <c r="Q660" s="323"/>
      <c r="R660" s="441"/>
      <c r="S660" s="323"/>
      <c r="T660" s="323"/>
      <c r="U660" s="375"/>
      <c r="V660" s="323"/>
      <c r="W660" s="323"/>
      <c r="X660" s="323"/>
      <c r="Y660" s="441"/>
      <c r="Z660" s="323"/>
      <c r="AA660" s="323"/>
      <c r="AB660" s="375"/>
      <c r="AC660" s="323"/>
      <c r="AD660" s="323"/>
      <c r="AE660" s="323"/>
      <c r="AF660" s="441"/>
      <c r="AG660" s="323"/>
      <c r="AH660" s="323"/>
      <c r="AI660" s="375"/>
      <c r="AJ660" s="323"/>
      <c r="AK660" s="323"/>
      <c r="AL660" s="323"/>
      <c r="AM660" s="441"/>
      <c r="AN660" s="323"/>
      <c r="AO660" s="323"/>
      <c r="AP660" s="375"/>
      <c r="AQ660" s="323"/>
      <c r="AR660" s="323"/>
      <c r="AS660" s="323"/>
      <c r="AT660" s="441"/>
      <c r="AU660" s="323"/>
      <c r="AV660" s="323"/>
      <c r="AW660" s="375"/>
      <c r="AX660" s="323"/>
      <c r="AY660" s="323"/>
      <c r="AZ660" s="323"/>
      <c r="BA660" s="441"/>
      <c r="BB660" s="323"/>
      <c r="BC660" s="323"/>
      <c r="BD660" s="375"/>
      <c r="BE660" s="323"/>
      <c r="BF660" s="323"/>
      <c r="BG660" s="323"/>
      <c r="BH660" s="441"/>
      <c r="BI660" s="323"/>
      <c r="BJ660" s="323"/>
      <c r="BK660" s="375"/>
      <c r="BL660" s="323"/>
      <c r="BM660" s="323"/>
      <c r="BN660" s="323"/>
      <c r="BO660" s="441"/>
      <c r="BP660" s="323"/>
      <c r="BQ660" s="323"/>
      <c r="BR660" s="375"/>
      <c r="BS660" s="323"/>
      <c r="BT660" s="323"/>
      <c r="BU660" s="323"/>
      <c r="BV660" s="441"/>
      <c r="BW660" s="323"/>
      <c r="BX660" s="323"/>
      <c r="BY660" s="375"/>
      <c r="BZ660" s="323"/>
      <c r="CA660" s="323"/>
      <c r="CB660" s="323"/>
      <c r="CC660" s="441"/>
      <c r="CD660" s="323"/>
      <c r="CE660" s="323"/>
      <c r="CF660" s="375"/>
      <c r="CG660" s="323"/>
      <c r="CH660" s="323"/>
      <c r="CI660" s="323"/>
      <c r="CJ660" s="441"/>
      <c r="CK660" s="323"/>
      <c r="CL660" s="323"/>
      <c r="CM660" s="375"/>
      <c r="CN660" s="323"/>
      <c r="CO660" s="323"/>
      <c r="CP660" s="323"/>
      <c r="CQ660" s="441"/>
      <c r="CR660" s="323"/>
      <c r="CS660" s="323"/>
      <c r="CT660" s="375"/>
      <c r="CU660" s="323"/>
      <c r="CV660" s="323"/>
      <c r="CW660" s="323"/>
      <c r="CX660" s="441"/>
      <c r="CY660" s="323"/>
      <c r="CZ660" s="323"/>
      <c r="DA660" s="375"/>
      <c r="DB660" s="323"/>
      <c r="DC660" s="323"/>
      <c r="DD660" s="323"/>
      <c r="DE660" s="441"/>
      <c r="DF660" s="323"/>
      <c r="DG660" s="323"/>
      <c r="DH660" s="375"/>
      <c r="DI660" s="323"/>
      <c r="DJ660" s="323"/>
      <c r="DK660" s="323"/>
      <c r="DL660" s="441"/>
      <c r="DM660" s="323"/>
      <c r="DN660" s="323"/>
      <c r="DO660" s="375"/>
      <c r="DP660" s="323"/>
      <c r="DQ660" s="323"/>
      <c r="DR660" s="323"/>
      <c r="DS660" s="441"/>
      <c r="DT660" s="323"/>
      <c r="DU660" s="323"/>
      <c r="DV660" s="375"/>
      <c r="DW660" s="323"/>
      <c r="DX660" s="323"/>
      <c r="DY660" s="323"/>
      <c r="DZ660" s="441"/>
      <c r="EA660" s="323"/>
      <c r="EB660" s="323"/>
      <c r="EC660" s="375"/>
      <c r="ED660" s="323"/>
      <c r="EE660" s="323"/>
      <c r="EF660" s="323"/>
      <c r="EG660" s="441"/>
      <c r="EH660" s="323"/>
      <c r="EI660" s="323"/>
      <c r="EJ660" s="375"/>
      <c r="EK660" s="323"/>
      <c r="EL660" s="323"/>
      <c r="EM660" s="323"/>
      <c r="EN660" s="441"/>
      <c r="EO660" s="323"/>
      <c r="EP660" s="323"/>
      <c r="EQ660" s="375"/>
    </row>
    <row r="661" spans="1:147" ht="10.199999999999999" hidden="1" customHeight="1" outlineLevel="1">
      <c r="A661" s="178" t="s">
        <v>677</v>
      </c>
      <c r="B661" s="178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1758"/>
      <c r="O661" s="488"/>
      <c r="P661" s="488"/>
      <c r="Q661" s="488"/>
      <c r="R661" s="489"/>
      <c r="S661" s="488"/>
      <c r="T661" s="488"/>
      <c r="U661" s="363"/>
      <c r="V661" s="488"/>
      <c r="W661" s="488"/>
      <c r="X661" s="488"/>
      <c r="Y661" s="489"/>
      <c r="Z661" s="488"/>
      <c r="AA661" s="488"/>
      <c r="AB661" s="363"/>
      <c r="AC661" s="488"/>
      <c r="AD661" s="488"/>
      <c r="AE661" s="488"/>
      <c r="AF661" s="489"/>
      <c r="AG661" s="488"/>
      <c r="AH661" s="488"/>
      <c r="AI661" s="363"/>
      <c r="AJ661" s="488"/>
      <c r="AK661" s="488"/>
      <c r="AL661" s="488"/>
      <c r="AM661" s="489"/>
      <c r="AN661" s="488"/>
      <c r="AO661" s="488"/>
      <c r="AP661" s="363"/>
      <c r="AQ661" s="488"/>
      <c r="AR661" s="488"/>
      <c r="AS661" s="488"/>
      <c r="AT661" s="489"/>
      <c r="AU661" s="488"/>
      <c r="AV661" s="488"/>
      <c r="AW661" s="363"/>
      <c r="AX661" s="488"/>
      <c r="AY661" s="488"/>
      <c r="AZ661" s="488"/>
      <c r="BA661" s="489"/>
      <c r="BB661" s="488"/>
      <c r="BC661" s="488"/>
      <c r="BD661" s="363"/>
      <c r="BE661" s="488"/>
      <c r="BF661" s="488"/>
      <c r="BG661" s="488"/>
      <c r="BH661" s="489"/>
      <c r="BI661" s="488"/>
      <c r="BJ661" s="488"/>
      <c r="BK661" s="363"/>
      <c r="BL661" s="488"/>
      <c r="BM661" s="488"/>
      <c r="BN661" s="488"/>
      <c r="BO661" s="489"/>
      <c r="BP661" s="488"/>
      <c r="BQ661" s="488"/>
      <c r="BR661" s="363"/>
      <c r="BS661" s="488"/>
      <c r="BT661" s="488"/>
      <c r="BU661" s="488"/>
      <c r="BV661" s="489"/>
      <c r="BW661" s="488"/>
      <c r="BX661" s="488"/>
      <c r="BY661" s="363"/>
      <c r="BZ661" s="488"/>
      <c r="CA661" s="488"/>
      <c r="CB661" s="488"/>
      <c r="CC661" s="489"/>
      <c r="CD661" s="488"/>
      <c r="CE661" s="488"/>
      <c r="CF661" s="363"/>
      <c r="CG661" s="488"/>
      <c r="CH661" s="488"/>
      <c r="CI661" s="488"/>
      <c r="CJ661" s="489"/>
      <c r="CK661" s="488"/>
      <c r="CL661" s="488"/>
      <c r="CM661" s="363"/>
      <c r="CN661" s="488"/>
      <c r="CO661" s="488"/>
      <c r="CP661" s="488"/>
      <c r="CQ661" s="489"/>
      <c r="CR661" s="488"/>
      <c r="CS661" s="488"/>
      <c r="CT661" s="363"/>
      <c r="CU661" s="488"/>
      <c r="CV661" s="488"/>
      <c r="CW661" s="488"/>
      <c r="CX661" s="489"/>
      <c r="CY661" s="488"/>
      <c r="CZ661" s="488"/>
      <c r="DA661" s="363"/>
      <c r="DB661" s="488"/>
      <c r="DC661" s="488"/>
      <c r="DD661" s="488"/>
      <c r="DE661" s="489"/>
      <c r="DF661" s="488"/>
      <c r="DG661" s="488"/>
      <c r="DH661" s="363"/>
      <c r="DI661" s="488"/>
      <c r="DJ661" s="488"/>
      <c r="DK661" s="488"/>
      <c r="DL661" s="489"/>
      <c r="DM661" s="488"/>
      <c r="DN661" s="488"/>
      <c r="DO661" s="363"/>
      <c r="DP661" s="488"/>
      <c r="DQ661" s="488"/>
      <c r="DR661" s="488"/>
      <c r="DS661" s="489"/>
      <c r="DT661" s="488"/>
      <c r="DU661" s="488"/>
      <c r="DV661" s="363"/>
      <c r="DW661" s="488"/>
      <c r="DX661" s="488"/>
      <c r="DY661" s="488"/>
      <c r="DZ661" s="489"/>
      <c r="EA661" s="488"/>
      <c r="EB661" s="488"/>
      <c r="EC661" s="363"/>
      <c r="ED661" s="488"/>
      <c r="EE661" s="488"/>
      <c r="EF661" s="488"/>
      <c r="EG661" s="489"/>
      <c r="EH661" s="488"/>
      <c r="EI661" s="488"/>
      <c r="EJ661" s="363"/>
      <c r="EK661" s="488"/>
      <c r="EL661" s="488"/>
      <c r="EM661" s="488"/>
      <c r="EN661" s="489"/>
      <c r="EO661" s="488"/>
      <c r="EP661" s="488"/>
      <c r="EQ661" s="363"/>
    </row>
    <row r="662" spans="1:147" ht="10.199999999999999" hidden="1" customHeight="1" outlineLevel="1">
      <c r="A662" s="43" t="s">
        <v>100</v>
      </c>
      <c r="B662" s="48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3"/>
      <c r="O662" s="415"/>
      <c r="P662" s="415"/>
      <c r="Q662" s="415"/>
      <c r="R662" s="448"/>
      <c r="S662" s="415"/>
      <c r="T662" s="415"/>
      <c r="U662" s="345"/>
      <c r="V662" s="415"/>
      <c r="W662" s="415"/>
      <c r="X662" s="415"/>
      <c r="Y662" s="448"/>
      <c r="Z662" s="415"/>
      <c r="AA662" s="415"/>
      <c r="AB662" s="345"/>
      <c r="AC662" s="415"/>
      <c r="AD662" s="415"/>
      <c r="AE662" s="415"/>
      <c r="AF662" s="448"/>
      <c r="AG662" s="415"/>
      <c r="AH662" s="415"/>
      <c r="AI662" s="345">
        <f>+AI620/AI108</f>
        <v>8.009734868067115</v>
      </c>
      <c r="AJ662" s="415"/>
      <c r="AK662" s="415"/>
      <c r="AL662" s="415"/>
      <c r="AM662" s="448"/>
      <c r="AN662" s="415"/>
      <c r="AO662" s="415"/>
      <c r="AP662" s="345"/>
      <c r="AQ662" s="415"/>
      <c r="AR662" s="415"/>
      <c r="AS662" s="415"/>
      <c r="AT662" s="448"/>
      <c r="AU662" s="415"/>
      <c r="AV662" s="415"/>
      <c r="AW662" s="345"/>
      <c r="AX662" s="415"/>
      <c r="AY662" s="415"/>
      <c r="AZ662" s="415"/>
      <c r="BA662" s="448"/>
      <c r="BB662" s="415"/>
      <c r="BC662" s="415"/>
      <c r="BD662" s="345"/>
      <c r="BE662" s="415"/>
      <c r="BF662" s="415"/>
      <c r="BG662" s="415"/>
      <c r="BH662" s="448"/>
      <c r="BI662" s="415"/>
      <c r="BJ662" s="415"/>
      <c r="BK662" s="345"/>
      <c r="BL662" s="415"/>
      <c r="BM662" s="415"/>
      <c r="BN662" s="415"/>
      <c r="BO662" s="448"/>
      <c r="BP662" s="415"/>
      <c r="BQ662" s="415"/>
      <c r="BR662" s="345">
        <f>+(BR624+BR628)/(BR112+BR117)</f>
        <v>12.000848424441982</v>
      </c>
      <c r="BS662" s="415"/>
      <c r="BT662" s="415"/>
      <c r="BU662" s="415"/>
      <c r="BV662" s="448"/>
      <c r="BW662" s="415"/>
      <c r="BX662" s="415"/>
      <c r="BY662" s="345"/>
      <c r="BZ662" s="415"/>
      <c r="CA662" s="415"/>
      <c r="CB662" s="415"/>
      <c r="CC662" s="448"/>
      <c r="CD662" s="415"/>
      <c r="CE662" s="415"/>
      <c r="CF662" s="345"/>
      <c r="CG662" s="415"/>
      <c r="CH662" s="415"/>
      <c r="CI662" s="415"/>
      <c r="CJ662" s="448"/>
      <c r="CK662" s="415"/>
      <c r="CL662" s="415"/>
      <c r="CM662" s="345"/>
      <c r="CN662" s="415"/>
      <c r="CO662" s="415"/>
      <c r="CP662" s="415"/>
      <c r="CQ662" s="448"/>
      <c r="CR662" s="415"/>
      <c r="CS662" s="415"/>
      <c r="CT662" s="345"/>
      <c r="CU662" s="415"/>
      <c r="CV662" s="415"/>
      <c r="CW662" s="415"/>
      <c r="CX662" s="448"/>
      <c r="CY662" s="415"/>
      <c r="CZ662" s="415"/>
      <c r="DA662" s="345"/>
      <c r="DB662" s="415"/>
      <c r="DC662" s="415"/>
      <c r="DD662" s="415"/>
      <c r="DE662" s="448"/>
      <c r="DF662" s="415"/>
      <c r="DG662" s="415"/>
      <c r="DH662" s="345"/>
      <c r="DI662" s="415"/>
      <c r="DJ662" s="415"/>
      <c r="DK662" s="415"/>
      <c r="DL662" s="448"/>
      <c r="DM662" s="415"/>
      <c r="DN662" s="415"/>
      <c r="DO662" s="345"/>
      <c r="DP662" s="415"/>
      <c r="DQ662" s="415"/>
      <c r="DR662" s="415"/>
      <c r="DS662" s="448"/>
      <c r="DT662" s="415"/>
      <c r="DU662" s="415"/>
      <c r="DV662" s="345"/>
      <c r="DW662" s="415"/>
      <c r="DX662" s="415"/>
      <c r="DY662" s="415"/>
      <c r="DZ662" s="448"/>
      <c r="EA662" s="415"/>
      <c r="EB662" s="415"/>
      <c r="EC662" s="345"/>
      <c r="ED662" s="415"/>
      <c r="EE662" s="415"/>
      <c r="EF662" s="415"/>
      <c r="EG662" s="448"/>
      <c r="EH662" s="415"/>
      <c r="EI662" s="415"/>
      <c r="EJ662" s="345"/>
      <c r="EK662" s="415"/>
      <c r="EL662" s="415"/>
      <c r="EM662" s="415"/>
      <c r="EN662" s="448"/>
      <c r="EO662" s="415"/>
      <c r="EP662" s="415"/>
      <c r="EQ662" s="345"/>
    </row>
    <row r="663" spans="1:147" ht="10.199999999999999" hidden="1" customHeight="1" outlineLevel="1">
      <c r="A663" s="43" t="s">
        <v>101</v>
      </c>
      <c r="B663" s="48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3"/>
      <c r="O663" s="415"/>
      <c r="P663" s="415"/>
      <c r="Q663" s="415"/>
      <c r="R663" s="448"/>
      <c r="S663" s="415"/>
      <c r="T663" s="415"/>
      <c r="U663" s="345"/>
      <c r="V663" s="415"/>
      <c r="W663" s="415"/>
      <c r="X663" s="415"/>
      <c r="Y663" s="448"/>
      <c r="Z663" s="415"/>
      <c r="AA663" s="415"/>
      <c r="AB663" s="345"/>
      <c r="AC663" s="415"/>
      <c r="AD663" s="415"/>
      <c r="AE663" s="415"/>
      <c r="AF663" s="448"/>
      <c r="AG663" s="415"/>
      <c r="AH663" s="415"/>
      <c r="AI663" s="345">
        <f>+AI621/AI109</f>
        <v>8.7153954449626685</v>
      </c>
      <c r="AJ663" s="415"/>
      <c r="AK663" s="415"/>
      <c r="AL663" s="415"/>
      <c r="AM663" s="448"/>
      <c r="AN663" s="415"/>
      <c r="AO663" s="415"/>
      <c r="AP663" s="345">
        <f>+AP621/AP109</f>
        <v>7.6880519051860468</v>
      </c>
      <c r="AQ663" s="415"/>
      <c r="AR663" s="415"/>
      <c r="AS663" s="415"/>
      <c r="AT663" s="448"/>
      <c r="AU663" s="415"/>
      <c r="AV663" s="415"/>
      <c r="AW663" s="345">
        <f>+AW621/AW109</f>
        <v>8.7547093225541275</v>
      </c>
      <c r="AX663" s="415"/>
      <c r="AY663" s="415"/>
      <c r="AZ663" s="415"/>
      <c r="BA663" s="448"/>
      <c r="BB663" s="415"/>
      <c r="BC663" s="415"/>
      <c r="BD663" s="345">
        <f>+BD621/BD109</f>
        <v>6.6548938444956391</v>
      </c>
      <c r="BE663" s="415"/>
      <c r="BF663" s="415"/>
      <c r="BG663" s="415"/>
      <c r="BH663" s="448"/>
      <c r="BI663" s="415"/>
      <c r="BJ663" s="415"/>
      <c r="BK663" s="345">
        <f>+BK621/BK109</f>
        <v>7.6436283302734305</v>
      </c>
      <c r="BL663" s="415"/>
      <c r="BM663" s="415"/>
      <c r="BN663" s="415"/>
      <c r="BO663" s="448"/>
      <c r="BP663" s="415"/>
      <c r="BQ663" s="415"/>
      <c r="BR663" s="345">
        <f>+BR621/BR109</f>
        <v>8.2844078675547959</v>
      </c>
      <c r="BS663" s="415"/>
      <c r="BT663" s="415"/>
      <c r="BU663" s="415"/>
      <c r="BV663" s="448"/>
      <c r="BW663" s="415"/>
      <c r="BX663" s="415"/>
      <c r="BY663" s="345"/>
      <c r="BZ663" s="415"/>
      <c r="CA663" s="415"/>
      <c r="CB663" s="415"/>
      <c r="CC663" s="448"/>
      <c r="CD663" s="415"/>
      <c r="CE663" s="415"/>
      <c r="CF663" s="345"/>
      <c r="CG663" s="415"/>
      <c r="CH663" s="415"/>
      <c r="CI663" s="415"/>
      <c r="CJ663" s="448"/>
      <c r="CK663" s="415"/>
      <c r="CL663" s="415"/>
      <c r="CM663" s="345"/>
      <c r="CN663" s="415"/>
      <c r="CO663" s="415"/>
      <c r="CP663" s="415"/>
      <c r="CQ663" s="448"/>
      <c r="CR663" s="415"/>
      <c r="CS663" s="415"/>
      <c r="CT663" s="345"/>
      <c r="CU663" s="415"/>
      <c r="CV663" s="415"/>
      <c r="CW663" s="415"/>
      <c r="CX663" s="448"/>
      <c r="CY663" s="415"/>
      <c r="CZ663" s="415"/>
      <c r="DA663" s="345"/>
      <c r="DB663" s="415"/>
      <c r="DC663" s="415"/>
      <c r="DD663" s="415"/>
      <c r="DE663" s="448"/>
      <c r="DF663" s="415"/>
      <c r="DG663" s="415"/>
      <c r="DH663" s="345"/>
      <c r="DI663" s="415"/>
      <c r="DJ663" s="415"/>
      <c r="DK663" s="415"/>
      <c r="DL663" s="448"/>
      <c r="DM663" s="415"/>
      <c r="DN663" s="415"/>
      <c r="DO663" s="345"/>
      <c r="DP663" s="415"/>
      <c r="DQ663" s="415"/>
      <c r="DR663" s="415"/>
      <c r="DS663" s="448"/>
      <c r="DT663" s="415"/>
      <c r="DU663" s="415"/>
      <c r="DV663" s="345"/>
      <c r="DW663" s="415"/>
      <c r="DX663" s="415"/>
      <c r="DY663" s="415"/>
      <c r="DZ663" s="448"/>
      <c r="EA663" s="415"/>
      <c r="EB663" s="415"/>
      <c r="EC663" s="345"/>
      <c r="ED663" s="415"/>
      <c r="EE663" s="415"/>
      <c r="EF663" s="415"/>
      <c r="EG663" s="448"/>
      <c r="EH663" s="415"/>
      <c r="EI663" s="415"/>
      <c r="EJ663" s="345"/>
      <c r="EK663" s="415"/>
      <c r="EL663" s="415"/>
      <c r="EM663" s="415"/>
      <c r="EN663" s="448"/>
      <c r="EO663" s="415"/>
      <c r="EP663" s="415"/>
      <c r="EQ663" s="345"/>
    </row>
    <row r="664" spans="1:147" ht="10.199999999999999" hidden="1" customHeight="1" outlineLevel="1">
      <c r="A664" s="43" t="s">
        <v>102</v>
      </c>
      <c r="B664" s="48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3"/>
      <c r="O664" s="415"/>
      <c r="P664" s="415"/>
      <c r="Q664" s="415"/>
      <c r="R664" s="448"/>
      <c r="S664" s="415"/>
      <c r="T664" s="415"/>
      <c r="U664" s="345"/>
      <c r="V664" s="415"/>
      <c r="W664" s="415"/>
      <c r="X664" s="415"/>
      <c r="Y664" s="448"/>
      <c r="Z664" s="415"/>
      <c r="AA664" s="415"/>
      <c r="AB664" s="345"/>
      <c r="AC664" s="415"/>
      <c r="AD664" s="415"/>
      <c r="AE664" s="415"/>
      <c r="AF664" s="448"/>
      <c r="AG664" s="415"/>
      <c r="AH664" s="415"/>
      <c r="AI664" s="345">
        <f>+AI622/AI110</f>
        <v>9.541685758029109</v>
      </c>
      <c r="AJ664" s="415"/>
      <c r="AK664" s="415"/>
      <c r="AL664" s="415"/>
      <c r="AM664" s="448"/>
      <c r="AN664" s="415"/>
      <c r="AO664" s="415"/>
      <c r="AP664" s="345">
        <f>+AP622/AP110</f>
        <v>8.3729746495409998</v>
      </c>
      <c r="AQ664" s="415"/>
      <c r="AR664" s="415"/>
      <c r="AS664" s="415"/>
      <c r="AT664" s="448"/>
      <c r="AU664" s="415"/>
      <c r="AV664" s="415"/>
      <c r="AW664" s="345">
        <f>+AW622/AW110</f>
        <v>9.5468769597359593</v>
      </c>
      <c r="AX664" s="415"/>
      <c r="AY664" s="415"/>
      <c r="AZ664" s="415"/>
      <c r="BA664" s="448"/>
      <c r="BB664" s="415"/>
      <c r="BC664" s="415"/>
      <c r="BD664" s="345">
        <f>+BD622/BD110</f>
        <v>6.5522775583968009</v>
      </c>
      <c r="BE664" s="415"/>
      <c r="BF664" s="415"/>
      <c r="BG664" s="415"/>
      <c r="BH664" s="448"/>
      <c r="BI664" s="415"/>
      <c r="BJ664" s="415"/>
      <c r="BK664" s="345">
        <f>+BK622/BK110</f>
        <v>7.6240225487001627</v>
      </c>
      <c r="BL664" s="415"/>
      <c r="BM664" s="415"/>
      <c r="BN664" s="415"/>
      <c r="BO664" s="448"/>
      <c r="BP664" s="415"/>
      <c r="BQ664" s="415"/>
      <c r="BR664" s="345">
        <f>+BR622/BR110</f>
        <v>8.3297665942993628</v>
      </c>
      <c r="BS664" s="415"/>
      <c r="BT664" s="415"/>
      <c r="BU664" s="415"/>
      <c r="BV664" s="448"/>
      <c r="BW664" s="415"/>
      <c r="BX664" s="415"/>
      <c r="BY664" s="345">
        <f>+BY622/BY110</f>
        <v>4.7762791998634073</v>
      </c>
      <c r="BZ664" s="415"/>
      <c r="CA664" s="415"/>
      <c r="CB664" s="415"/>
      <c r="CC664" s="448"/>
      <c r="CD664" s="415"/>
      <c r="CE664" s="415"/>
      <c r="CF664" s="345"/>
      <c r="CG664" s="415"/>
      <c r="CH664" s="415"/>
      <c r="CI664" s="415"/>
      <c r="CJ664" s="448"/>
      <c r="CK664" s="415"/>
      <c r="CL664" s="415"/>
      <c r="CM664" s="345"/>
      <c r="CN664" s="415"/>
      <c r="CO664" s="415"/>
      <c r="CP664" s="415"/>
      <c r="CQ664" s="448"/>
      <c r="CR664" s="415"/>
      <c r="CS664" s="415"/>
      <c r="CT664" s="345"/>
      <c r="CU664" s="415"/>
      <c r="CV664" s="415"/>
      <c r="CW664" s="415"/>
      <c r="CX664" s="448"/>
      <c r="CY664" s="415"/>
      <c r="CZ664" s="415"/>
      <c r="DA664" s="345"/>
      <c r="DB664" s="415"/>
      <c r="DC664" s="415"/>
      <c r="DD664" s="415"/>
      <c r="DE664" s="448"/>
      <c r="DF664" s="415"/>
      <c r="DG664" s="415"/>
      <c r="DH664" s="345"/>
      <c r="DI664" s="415"/>
      <c r="DJ664" s="415"/>
      <c r="DK664" s="415"/>
      <c r="DL664" s="448"/>
      <c r="DM664" s="415"/>
      <c r="DN664" s="415"/>
      <c r="DO664" s="345"/>
      <c r="DP664" s="415"/>
      <c r="DQ664" s="415"/>
      <c r="DR664" s="415"/>
      <c r="DS664" s="448"/>
      <c r="DT664" s="415"/>
      <c r="DU664" s="415"/>
      <c r="DV664" s="345"/>
      <c r="DW664" s="415"/>
      <c r="DX664" s="415"/>
      <c r="DY664" s="415"/>
      <c r="DZ664" s="448"/>
      <c r="EA664" s="415"/>
      <c r="EB664" s="415"/>
      <c r="EC664" s="345"/>
      <c r="ED664" s="415"/>
      <c r="EE664" s="415"/>
      <c r="EF664" s="415"/>
      <c r="EG664" s="448"/>
      <c r="EH664" s="415"/>
      <c r="EI664" s="415"/>
      <c r="EJ664" s="345"/>
      <c r="EK664" s="415"/>
      <c r="EL664" s="415"/>
      <c r="EM664" s="415"/>
      <c r="EN664" s="448"/>
      <c r="EO664" s="415"/>
      <c r="EP664" s="415"/>
      <c r="EQ664" s="345"/>
    </row>
    <row r="665" spans="1:147" ht="10.199999999999999" hidden="1" customHeight="1" outlineLevel="1">
      <c r="A665" s="43" t="s">
        <v>202</v>
      </c>
      <c r="B665" s="48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3"/>
      <c r="O665" s="415"/>
      <c r="P665" s="415"/>
      <c r="Q665" s="415"/>
      <c r="R665" s="448"/>
      <c r="S665" s="415"/>
      <c r="T665" s="415"/>
      <c r="U665" s="345"/>
      <c r="V665" s="415"/>
      <c r="W665" s="415"/>
      <c r="X665" s="415"/>
      <c r="Y665" s="448"/>
      <c r="Z665" s="415"/>
      <c r="AA665" s="415"/>
      <c r="AB665" s="345"/>
      <c r="AC665" s="415"/>
      <c r="AD665" s="415"/>
      <c r="AE665" s="415"/>
      <c r="AF665" s="448"/>
      <c r="AG665" s="415"/>
      <c r="AH665" s="415"/>
      <c r="AI665" s="345">
        <f>+AI623/AI111</f>
        <v>11.184429594720717</v>
      </c>
      <c r="AJ665" s="415"/>
      <c r="AK665" s="415"/>
      <c r="AL665" s="415"/>
      <c r="AM665" s="448"/>
      <c r="AN665" s="415"/>
      <c r="AO665" s="415"/>
      <c r="AP665" s="345">
        <f>+AP623/AP111</f>
        <v>9.8274158401922573</v>
      </c>
      <c r="AQ665" s="415"/>
      <c r="AR665" s="415"/>
      <c r="AS665" s="415"/>
      <c r="AT665" s="448"/>
      <c r="AU665" s="415"/>
      <c r="AV665" s="415"/>
      <c r="AW665" s="345">
        <f>+AW623/AW111</f>
        <v>11.169576432363769</v>
      </c>
      <c r="AX665" s="415"/>
      <c r="AY665" s="415"/>
      <c r="AZ665" s="415"/>
      <c r="BA665" s="448"/>
      <c r="BB665" s="415"/>
      <c r="BC665" s="415"/>
      <c r="BD665" s="345">
        <f>+BD623/BD111</f>
        <v>6.3849963278388087</v>
      </c>
      <c r="BE665" s="415"/>
      <c r="BF665" s="415"/>
      <c r="BG665" s="415"/>
      <c r="BH665" s="448"/>
      <c r="BI665" s="415"/>
      <c r="BJ665" s="415"/>
      <c r="BK665" s="345">
        <f>+BK623/BK111</f>
        <v>7.5863835932159853</v>
      </c>
      <c r="BL665" s="415"/>
      <c r="BM665" s="415"/>
      <c r="BN665" s="415"/>
      <c r="BO665" s="448"/>
      <c r="BP665" s="415"/>
      <c r="BQ665" s="415"/>
      <c r="BR665" s="345">
        <f>+BR623/BR111</f>
        <v>8.4213016249110648</v>
      </c>
      <c r="BS665" s="415"/>
      <c r="BT665" s="415"/>
      <c r="BU665" s="415"/>
      <c r="BV665" s="448"/>
      <c r="BW665" s="415"/>
      <c r="BX665" s="415"/>
      <c r="BY665" s="345">
        <f>+BY623/BY111</f>
        <v>4.2507779899429785</v>
      </c>
      <c r="BZ665" s="415"/>
      <c r="CA665" s="415"/>
      <c r="CB665" s="415"/>
      <c r="CC665" s="448"/>
      <c r="CD665" s="415"/>
      <c r="CE665" s="415"/>
      <c r="CF665" s="345"/>
      <c r="CG665" s="415"/>
      <c r="CH665" s="415"/>
      <c r="CI665" s="415"/>
      <c r="CJ665" s="448"/>
      <c r="CK665" s="415"/>
      <c r="CL665" s="415"/>
      <c r="CM665" s="345"/>
      <c r="CN665" s="415"/>
      <c r="CO665" s="415"/>
      <c r="CP665" s="415"/>
      <c r="CQ665" s="448"/>
      <c r="CR665" s="415"/>
      <c r="CS665" s="415"/>
      <c r="CT665" s="345"/>
      <c r="CU665" s="415"/>
      <c r="CV665" s="415"/>
      <c r="CW665" s="415"/>
      <c r="CX665" s="448"/>
      <c r="CY665" s="415"/>
      <c r="CZ665" s="415"/>
      <c r="DA665" s="345"/>
      <c r="DB665" s="415"/>
      <c r="DC665" s="415"/>
      <c r="DD665" s="415"/>
      <c r="DE665" s="448"/>
      <c r="DF665" s="415"/>
      <c r="DG665" s="415"/>
      <c r="DH665" s="345"/>
      <c r="DI665" s="415"/>
      <c r="DJ665" s="415"/>
      <c r="DK665" s="415"/>
      <c r="DL665" s="448"/>
      <c r="DM665" s="415"/>
      <c r="DN665" s="415"/>
      <c r="DO665" s="345"/>
      <c r="DP665" s="415"/>
      <c r="DQ665" s="415"/>
      <c r="DR665" s="415"/>
      <c r="DS665" s="448"/>
      <c r="DT665" s="415"/>
      <c r="DU665" s="415"/>
      <c r="DV665" s="345"/>
      <c r="DW665" s="415"/>
      <c r="DX665" s="415"/>
      <c r="DY665" s="415"/>
      <c r="DZ665" s="448"/>
      <c r="EA665" s="415"/>
      <c r="EB665" s="415"/>
      <c r="EC665" s="345"/>
      <c r="ED665" s="415"/>
      <c r="EE665" s="415"/>
      <c r="EF665" s="415"/>
      <c r="EG665" s="448"/>
      <c r="EH665" s="415"/>
      <c r="EI665" s="415"/>
      <c r="EJ665" s="345"/>
      <c r="EK665" s="415"/>
      <c r="EL665" s="415"/>
      <c r="EM665" s="415"/>
      <c r="EN665" s="448"/>
      <c r="EO665" s="415"/>
      <c r="EP665" s="415"/>
      <c r="EQ665" s="345"/>
    </row>
    <row r="666" spans="1:147" ht="10.199999999999999" hidden="1" customHeight="1" outlineLevel="1">
      <c r="A666" s="48" t="s">
        <v>377</v>
      </c>
      <c r="B666" s="48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3"/>
      <c r="O666" s="415"/>
      <c r="P666" s="415"/>
      <c r="Q666" s="415"/>
      <c r="R666" s="448"/>
      <c r="S666" s="415"/>
      <c r="T666" s="415"/>
      <c r="U666" s="345"/>
      <c r="V666" s="415"/>
      <c r="W666" s="415"/>
      <c r="X666" s="415"/>
      <c r="Y666" s="448"/>
      <c r="Z666" s="415"/>
      <c r="AA666" s="415"/>
      <c r="AB666" s="345"/>
      <c r="AC666" s="415"/>
      <c r="AD666" s="415"/>
      <c r="AE666" s="415"/>
      <c r="AF666" s="448"/>
      <c r="AG666" s="415"/>
      <c r="AH666" s="415"/>
      <c r="AI666" s="345">
        <f>+AI624/AI112</f>
        <v>10.112359784983271</v>
      </c>
      <c r="AJ666" s="415"/>
      <c r="AK666" s="415"/>
      <c r="AL666" s="415"/>
      <c r="AM666" s="448"/>
      <c r="AN666" s="415"/>
      <c r="AO666" s="415"/>
      <c r="AP666" s="345">
        <f>+AP624/AP112</f>
        <v>9.031944227286397</v>
      </c>
      <c r="AQ666" s="415"/>
      <c r="AR666" s="415"/>
      <c r="AS666" s="415"/>
      <c r="AT666" s="448"/>
      <c r="AU666" s="415"/>
      <c r="AV666" s="415"/>
      <c r="AW666" s="345">
        <f>+AW624/AW112</f>
        <v>10.313540957399276</v>
      </c>
      <c r="AX666" s="415"/>
      <c r="AY666" s="415"/>
      <c r="AZ666" s="415"/>
      <c r="BA666" s="448"/>
      <c r="BB666" s="415"/>
      <c r="BC666" s="415"/>
      <c r="BD666" s="345">
        <f>+BD624/BD112</f>
        <v>6.4737993028765777</v>
      </c>
      <c r="BE666" s="415"/>
      <c r="BF666" s="415"/>
      <c r="BG666" s="415"/>
      <c r="BH666" s="448"/>
      <c r="BI666" s="415"/>
      <c r="BJ666" s="415"/>
      <c r="BK666" s="345">
        <f>+BK624/BK112</f>
        <v>7.6091500056153807</v>
      </c>
      <c r="BL666" s="415"/>
      <c r="BM666" s="415"/>
      <c r="BN666" s="415"/>
      <c r="BO666" s="448"/>
      <c r="BP666" s="415"/>
      <c r="BQ666" s="415"/>
      <c r="BR666" s="345">
        <f>+BR624/BR112</f>
        <v>8.3659962234891037</v>
      </c>
      <c r="BS666" s="415"/>
      <c r="BT666" s="415"/>
      <c r="BU666" s="415"/>
      <c r="BV666" s="448"/>
      <c r="BW666" s="415"/>
      <c r="BX666" s="415"/>
      <c r="BY666" s="345">
        <f>+BY624/BY112</f>
        <v>4.5139678650887749</v>
      </c>
      <c r="BZ666" s="415"/>
      <c r="CA666" s="415"/>
      <c r="CB666" s="415"/>
      <c r="CC666" s="448"/>
      <c r="CD666" s="415"/>
      <c r="CE666" s="415"/>
      <c r="CF666" s="345"/>
      <c r="CG666" s="415"/>
      <c r="CH666" s="415"/>
      <c r="CI666" s="415"/>
      <c r="CJ666" s="448"/>
      <c r="CK666" s="415"/>
      <c r="CL666" s="415"/>
      <c r="CM666" s="345"/>
      <c r="CN666" s="415"/>
      <c r="CO666" s="415"/>
      <c r="CP666" s="415"/>
      <c r="CQ666" s="448"/>
      <c r="CR666" s="415"/>
      <c r="CS666" s="415"/>
      <c r="CT666" s="345"/>
      <c r="CU666" s="415"/>
      <c r="CV666" s="415"/>
      <c r="CW666" s="415"/>
      <c r="CX666" s="448"/>
      <c r="CY666" s="415"/>
      <c r="CZ666" s="415"/>
      <c r="DA666" s="345"/>
      <c r="DB666" s="415"/>
      <c r="DC666" s="415"/>
      <c r="DD666" s="415"/>
      <c r="DE666" s="448"/>
      <c r="DF666" s="415"/>
      <c r="DG666" s="415"/>
      <c r="DH666" s="345"/>
      <c r="DI666" s="415"/>
      <c r="DJ666" s="415"/>
      <c r="DK666" s="415"/>
      <c r="DL666" s="448"/>
      <c r="DM666" s="415"/>
      <c r="DN666" s="415"/>
      <c r="DO666" s="345"/>
      <c r="DP666" s="415"/>
      <c r="DQ666" s="415"/>
      <c r="DR666" s="415"/>
      <c r="DS666" s="448"/>
      <c r="DT666" s="415"/>
      <c r="DU666" s="415"/>
      <c r="DV666" s="345"/>
      <c r="DW666" s="415"/>
      <c r="DX666" s="415"/>
      <c r="DY666" s="415"/>
      <c r="DZ666" s="448"/>
      <c r="EA666" s="415"/>
      <c r="EB666" s="415"/>
      <c r="EC666" s="345"/>
      <c r="ED666" s="415"/>
      <c r="EE666" s="415"/>
      <c r="EF666" s="415"/>
      <c r="EG666" s="448"/>
      <c r="EH666" s="415"/>
      <c r="EI666" s="415"/>
      <c r="EJ666" s="345"/>
      <c r="EK666" s="415"/>
      <c r="EL666" s="415"/>
      <c r="EM666" s="415"/>
      <c r="EN666" s="448"/>
      <c r="EO666" s="415"/>
      <c r="EP666" s="415"/>
      <c r="EQ666" s="345"/>
    </row>
    <row r="667" spans="1:147" ht="10.199999999999999" hidden="1" customHeight="1" outlineLevel="1">
      <c r="A667" s="108" t="s">
        <v>366</v>
      </c>
      <c r="B667" s="48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3"/>
      <c r="O667" s="514"/>
      <c r="P667" s="514"/>
      <c r="Q667" s="514"/>
      <c r="R667" s="515"/>
      <c r="S667" s="514"/>
      <c r="T667" s="514"/>
      <c r="U667" s="380"/>
      <c r="V667" s="514"/>
      <c r="W667" s="514"/>
      <c r="X667" s="514"/>
      <c r="Y667" s="515"/>
      <c r="Z667" s="514"/>
      <c r="AA667" s="514"/>
      <c r="AB667" s="380"/>
      <c r="AC667" s="514"/>
      <c r="AD667" s="514"/>
      <c r="AE667" s="514"/>
      <c r="AF667" s="515"/>
      <c r="AG667" s="514"/>
      <c r="AH667" s="514"/>
      <c r="AI667" s="380"/>
      <c r="AJ667" s="514"/>
      <c r="AK667" s="514"/>
      <c r="AL667" s="514"/>
      <c r="AM667" s="515"/>
      <c r="AN667" s="514"/>
      <c r="AO667" s="514"/>
      <c r="AP667" s="380"/>
      <c r="AQ667" s="514"/>
      <c r="AR667" s="514"/>
      <c r="AS667" s="514"/>
      <c r="AT667" s="515"/>
      <c r="AU667" s="514"/>
      <c r="AV667" s="514"/>
      <c r="AW667" s="380"/>
      <c r="AX667" s="514"/>
      <c r="AY667" s="514"/>
      <c r="AZ667" s="514"/>
      <c r="BA667" s="515"/>
      <c r="BB667" s="514"/>
      <c r="BC667" s="514"/>
      <c r="BD667" s="380"/>
      <c r="BE667" s="514"/>
      <c r="BF667" s="514"/>
      <c r="BG667" s="514"/>
      <c r="BH667" s="515"/>
      <c r="BI667" s="514"/>
      <c r="BJ667" s="514"/>
      <c r="BK667" s="380"/>
      <c r="BL667" s="514"/>
      <c r="BM667" s="514"/>
      <c r="BN667" s="514"/>
      <c r="BO667" s="515"/>
      <c r="BP667" s="514"/>
      <c r="BQ667" s="514"/>
      <c r="BR667" s="380">
        <f>+BR625/BR114</f>
        <v>10.937523466398051</v>
      </c>
      <c r="BS667" s="514"/>
      <c r="BT667" s="514"/>
      <c r="BU667" s="514"/>
      <c r="BV667" s="515"/>
      <c r="BW667" s="514"/>
      <c r="BX667" s="514"/>
      <c r="BY667" s="380"/>
      <c r="BZ667" s="514"/>
      <c r="CA667" s="514"/>
      <c r="CB667" s="514"/>
      <c r="CC667" s="515"/>
      <c r="CD667" s="514"/>
      <c r="CE667" s="514"/>
      <c r="CF667" s="380"/>
      <c r="CG667" s="514"/>
      <c r="CH667" s="514"/>
      <c r="CI667" s="514"/>
      <c r="CJ667" s="515"/>
      <c r="CK667" s="514"/>
      <c r="CL667" s="514"/>
      <c r="CM667" s="380"/>
      <c r="CN667" s="514"/>
      <c r="CO667" s="514"/>
      <c r="CP667" s="514"/>
      <c r="CQ667" s="515"/>
      <c r="CR667" s="514"/>
      <c r="CS667" s="514"/>
      <c r="CT667" s="380"/>
      <c r="CU667" s="514"/>
      <c r="CV667" s="514"/>
      <c r="CW667" s="514"/>
      <c r="CX667" s="515"/>
      <c r="CY667" s="514"/>
      <c r="CZ667" s="514"/>
      <c r="DA667" s="380"/>
      <c r="DB667" s="514"/>
      <c r="DC667" s="514"/>
      <c r="DD667" s="514"/>
      <c r="DE667" s="515"/>
      <c r="DF667" s="514"/>
      <c r="DG667" s="514"/>
      <c r="DH667" s="380"/>
      <c r="DI667" s="514"/>
      <c r="DJ667" s="514"/>
      <c r="DK667" s="514"/>
      <c r="DL667" s="515"/>
      <c r="DM667" s="514"/>
      <c r="DN667" s="514"/>
      <c r="DO667" s="380"/>
      <c r="DP667" s="514"/>
      <c r="DQ667" s="514"/>
      <c r="DR667" s="514"/>
      <c r="DS667" s="515"/>
      <c r="DT667" s="514"/>
      <c r="DU667" s="514"/>
      <c r="DV667" s="380"/>
      <c r="DW667" s="514"/>
      <c r="DX667" s="514"/>
      <c r="DY667" s="514"/>
      <c r="DZ667" s="515"/>
      <c r="EA667" s="514"/>
      <c r="EB667" s="514"/>
      <c r="EC667" s="380"/>
      <c r="ED667" s="514"/>
      <c r="EE667" s="514"/>
      <c r="EF667" s="514"/>
      <c r="EG667" s="515"/>
      <c r="EH667" s="514"/>
      <c r="EI667" s="514"/>
      <c r="EJ667" s="380"/>
      <c r="EK667" s="514"/>
      <c r="EL667" s="514"/>
      <c r="EM667" s="514"/>
      <c r="EN667" s="515"/>
      <c r="EO667" s="514"/>
      <c r="EP667" s="514"/>
      <c r="EQ667" s="380"/>
    </row>
    <row r="668" spans="1:147" ht="10.199999999999999" hidden="1" customHeight="1" outlineLevel="1">
      <c r="A668" s="108" t="s">
        <v>378</v>
      </c>
      <c r="B668" s="48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3"/>
      <c r="O668" s="514"/>
      <c r="P668" s="514"/>
      <c r="Q668" s="514"/>
      <c r="R668" s="515"/>
      <c r="S668" s="514"/>
      <c r="T668" s="514"/>
      <c r="U668" s="380"/>
      <c r="V668" s="514"/>
      <c r="W668" s="514"/>
      <c r="X668" s="514"/>
      <c r="Y668" s="515"/>
      <c r="Z668" s="514"/>
      <c r="AA668" s="514"/>
      <c r="AB668" s="380"/>
      <c r="AC668" s="514"/>
      <c r="AD668" s="514"/>
      <c r="AE668" s="514"/>
      <c r="AF668" s="515"/>
      <c r="AG668" s="514"/>
      <c r="AH668" s="514"/>
      <c r="AI668" s="380"/>
      <c r="AJ668" s="514"/>
      <c r="AK668" s="514"/>
      <c r="AL668" s="514"/>
      <c r="AM668" s="515"/>
      <c r="AN668" s="514"/>
      <c r="AO668" s="514"/>
      <c r="AP668" s="380">
        <f>+AP626/AP115</f>
        <v>9.1833042674433134</v>
      </c>
      <c r="AQ668" s="514"/>
      <c r="AR668" s="514"/>
      <c r="AS668" s="514"/>
      <c r="AT668" s="515"/>
      <c r="AU668" s="514"/>
      <c r="AV668" s="514"/>
      <c r="AW668" s="380">
        <f>+AW626/AW115</f>
        <v>10.860400135739182</v>
      </c>
      <c r="AX668" s="514"/>
      <c r="AY668" s="514"/>
      <c r="AZ668" s="514"/>
      <c r="BA668" s="515"/>
      <c r="BB668" s="514"/>
      <c r="BC668" s="514"/>
      <c r="BD668" s="380">
        <f>+BD626/BD115</f>
        <v>13.699193803749848</v>
      </c>
      <c r="BE668" s="514"/>
      <c r="BF668" s="514"/>
      <c r="BG668" s="514"/>
      <c r="BH668" s="515"/>
      <c r="BI668" s="514"/>
      <c r="BJ668" s="514"/>
      <c r="BK668" s="380">
        <f>+BK626/BK115</f>
        <v>10.38121938558433</v>
      </c>
      <c r="BL668" s="514"/>
      <c r="BM668" s="514"/>
      <c r="BN668" s="514"/>
      <c r="BO668" s="515"/>
      <c r="BP668" s="514"/>
      <c r="BQ668" s="514"/>
      <c r="BR668" s="380">
        <f>+BR626/BR115</f>
        <v>12.366527933304207</v>
      </c>
      <c r="BS668" s="514"/>
      <c r="BT668" s="514"/>
      <c r="BU668" s="514"/>
      <c r="BV668" s="515"/>
      <c r="BW668" s="514"/>
      <c r="BX668" s="514"/>
      <c r="BY668" s="380">
        <f>+BY626/BY115</f>
        <v>6.8688061302890953</v>
      </c>
      <c r="BZ668" s="514"/>
      <c r="CA668" s="514"/>
      <c r="CB668" s="514"/>
      <c r="CC668" s="515"/>
      <c r="CD668" s="514"/>
      <c r="CE668" s="514"/>
      <c r="CF668" s="380">
        <f>+CF626/CF115</f>
        <v>8.1682405827098972</v>
      </c>
      <c r="CG668" s="514"/>
      <c r="CH668" s="514"/>
      <c r="CI668" s="514"/>
      <c r="CJ668" s="515"/>
      <c r="CK668" s="514"/>
      <c r="CL668" s="514"/>
      <c r="CM668" s="380">
        <f>+CM626/CM115</f>
        <v>5.7706227192853854</v>
      </c>
      <c r="CN668" s="514"/>
      <c r="CO668" s="514"/>
      <c r="CP668" s="514"/>
      <c r="CQ668" s="515"/>
      <c r="CR668" s="514"/>
      <c r="CS668" s="514"/>
      <c r="CT668" s="380">
        <f>+CT626/CT115</f>
        <v>4.2709728849965813</v>
      </c>
      <c r="CU668" s="514"/>
      <c r="CV668" s="514"/>
      <c r="CW668" s="514"/>
      <c r="CX668" s="515"/>
      <c r="CY668" s="514"/>
      <c r="CZ668" s="514"/>
      <c r="DA668" s="380">
        <f>+DA626/DA115</f>
        <v>0.94812990321572677</v>
      </c>
      <c r="DB668" s="514"/>
      <c r="DC668" s="514"/>
      <c r="DD668" s="514"/>
      <c r="DE668" s="515"/>
      <c r="DF668" s="514"/>
      <c r="DG668" s="514"/>
      <c r="DH668" s="380">
        <f>+DH626/DH115</f>
        <v>-0.86157222464357852</v>
      </c>
      <c r="DI668" s="514"/>
      <c r="DJ668" s="514"/>
      <c r="DK668" s="514"/>
      <c r="DL668" s="515"/>
      <c r="DM668" s="514"/>
      <c r="DN668" s="514"/>
      <c r="DO668" s="380">
        <f>+DO626/DO115</f>
        <v>-2.4777836858316586</v>
      </c>
      <c r="DP668" s="514"/>
      <c r="DQ668" s="514"/>
      <c r="DR668" s="514"/>
      <c r="DS668" s="515"/>
      <c r="DT668" s="514"/>
      <c r="DU668" s="514"/>
      <c r="DV668" s="380">
        <f>+DV626/DV115</f>
        <v>-4.1683396956215741</v>
      </c>
      <c r="DW668" s="514"/>
      <c r="DX668" s="514"/>
      <c r="DY668" s="514"/>
      <c r="DZ668" s="515"/>
      <c r="EA668" s="514"/>
      <c r="EB668" s="514"/>
      <c r="EC668" s="380">
        <f>+EC626/EC115</f>
        <v>-5.9456420558114624</v>
      </c>
      <c r="ED668" s="514"/>
      <c r="EE668" s="514"/>
      <c r="EF668" s="514"/>
      <c r="EG668" s="515"/>
      <c r="EH668" s="514"/>
      <c r="EI668" s="514"/>
      <c r="EJ668" s="380">
        <f>+EJ626/EJ115</f>
        <v>-7.9389257565820559</v>
      </c>
      <c r="EK668" s="514"/>
      <c r="EL668" s="514"/>
      <c r="EM668" s="514"/>
      <c r="EN668" s="515"/>
      <c r="EO668" s="514"/>
      <c r="EP668" s="514"/>
      <c r="EQ668" s="380">
        <f>+EQ626/EQ115</f>
        <v>-9.9113464243947043</v>
      </c>
    </row>
    <row r="669" spans="1:147" ht="10.199999999999999" hidden="1" customHeight="1" outlineLevel="1">
      <c r="A669" s="108" t="s">
        <v>368</v>
      </c>
      <c r="B669" s="48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3"/>
      <c r="O669" s="514"/>
      <c r="P669" s="514"/>
      <c r="Q669" s="514"/>
      <c r="R669" s="515"/>
      <c r="S669" s="514"/>
      <c r="T669" s="514"/>
      <c r="U669" s="380"/>
      <c r="V669" s="514"/>
      <c r="W669" s="514"/>
      <c r="X669" s="514"/>
      <c r="Y669" s="515"/>
      <c r="Z669" s="514"/>
      <c r="AA669" s="514"/>
      <c r="AB669" s="380"/>
      <c r="AC669" s="514"/>
      <c r="AD669" s="514"/>
      <c r="AE669" s="514"/>
      <c r="AF669" s="515"/>
      <c r="AG669" s="514"/>
      <c r="AH669" s="514"/>
      <c r="AI669" s="380"/>
      <c r="AJ669" s="514"/>
      <c r="AK669" s="514"/>
      <c r="AL669" s="514"/>
      <c r="AM669" s="515"/>
      <c r="AN669" s="514"/>
      <c r="AO669" s="514"/>
      <c r="AP669" s="380"/>
      <c r="AQ669" s="514"/>
      <c r="AR669" s="514"/>
      <c r="AS669" s="514"/>
      <c r="AT669" s="515"/>
      <c r="AU669" s="514"/>
      <c r="AV669" s="514"/>
      <c r="AW669" s="380">
        <f>+AW627/AW116</f>
        <v>12.723900528033912</v>
      </c>
      <c r="AX669" s="514"/>
      <c r="AY669" s="514"/>
      <c r="AZ669" s="514"/>
      <c r="BA669" s="515"/>
      <c r="BB669" s="514"/>
      <c r="BC669" s="514"/>
      <c r="BD669" s="380">
        <f>+BD627/BD116</f>
        <v>14.774826939127838</v>
      </c>
      <c r="BE669" s="514"/>
      <c r="BF669" s="514"/>
      <c r="BG669" s="514"/>
      <c r="BH669" s="515"/>
      <c r="BI669" s="514"/>
      <c r="BJ669" s="514"/>
      <c r="BK669" s="380">
        <f>+BK627/BK116</f>
        <v>10.846445724720736</v>
      </c>
      <c r="BL669" s="514"/>
      <c r="BM669" s="514"/>
      <c r="BN669" s="514"/>
      <c r="BO669" s="515"/>
      <c r="BP669" s="514"/>
      <c r="BQ669" s="514"/>
      <c r="BR669" s="380">
        <f>+BR627/BR116</f>
        <v>13.153076444241332</v>
      </c>
      <c r="BS669" s="514"/>
      <c r="BT669" s="514"/>
      <c r="BU669" s="514"/>
      <c r="BV669" s="515"/>
      <c r="BW669" s="514"/>
      <c r="BX669" s="514"/>
      <c r="BY669" s="380">
        <f>+BY627/BY116</f>
        <v>6.1708831039079959</v>
      </c>
      <c r="BZ669" s="514"/>
      <c r="CA669" s="514"/>
      <c r="CB669" s="514"/>
      <c r="CC669" s="515"/>
      <c r="CD669" s="514"/>
      <c r="CE669" s="514"/>
      <c r="CF669" s="380">
        <f>+CF627/CF116</f>
        <v>7.6290074371741685</v>
      </c>
      <c r="CG669" s="514"/>
      <c r="CH669" s="514"/>
      <c r="CI669" s="514"/>
      <c r="CJ669" s="515"/>
      <c r="CK669" s="514"/>
      <c r="CL669" s="514"/>
      <c r="CM669" s="380">
        <f>+CM627/CM116</f>
        <v>4.3040574214051475</v>
      </c>
      <c r="CN669" s="514"/>
      <c r="CO669" s="514"/>
      <c r="CP669" s="514"/>
      <c r="CQ669" s="515"/>
      <c r="CR669" s="514"/>
      <c r="CS669" s="514"/>
      <c r="CT669" s="380">
        <f>+CT627/CT116</f>
        <v>1.7386612435741853</v>
      </c>
      <c r="CU669" s="514"/>
      <c r="CV669" s="514"/>
      <c r="CW669" s="514"/>
      <c r="CX669" s="515"/>
      <c r="CY669" s="514"/>
      <c r="CZ669" s="514"/>
      <c r="DA669" s="380">
        <f>+DA627/DA116</f>
        <v>0.77113277593024998</v>
      </c>
      <c r="DB669" s="514"/>
      <c r="DC669" s="514"/>
      <c r="DD669" s="514"/>
      <c r="DE669" s="515"/>
      <c r="DF669" s="514"/>
      <c r="DG669" s="514"/>
      <c r="DH669" s="380">
        <f>+DH627/DH116</f>
        <v>-4.041773077779574</v>
      </c>
      <c r="DI669" s="514"/>
      <c r="DJ669" s="514"/>
      <c r="DK669" s="514"/>
      <c r="DL669" s="515"/>
      <c r="DM669" s="514"/>
      <c r="DN669" s="514"/>
      <c r="DO669" s="380">
        <f>+DO627/DO116</f>
        <v>-7.0559605177533875</v>
      </c>
      <c r="DP669" s="514"/>
      <c r="DQ669" s="514"/>
      <c r="DR669" s="514"/>
      <c r="DS669" s="515"/>
      <c r="DT669" s="514"/>
      <c r="DU669" s="514"/>
      <c r="DV669" s="380">
        <f>+DV627/DV116</f>
        <v>-9.8670124581007208</v>
      </c>
      <c r="DW669" s="514"/>
      <c r="DX669" s="514"/>
      <c r="DY669" s="514"/>
      <c r="DZ669" s="515"/>
      <c r="EA669" s="514"/>
      <c r="EB669" s="514"/>
      <c r="EC669" s="380">
        <f>+EC627/EC116</f>
        <v>-12.851780135726404</v>
      </c>
      <c r="ED669" s="514"/>
      <c r="EE669" s="514"/>
      <c r="EF669" s="514"/>
      <c r="EG669" s="515"/>
      <c r="EH669" s="514"/>
      <c r="EI669" s="514"/>
      <c r="EJ669" s="380">
        <f>+EJ627/EJ116</f>
        <v>-16.274406682297254</v>
      </c>
      <c r="EK669" s="514"/>
      <c r="EL669" s="514"/>
      <c r="EM669" s="514"/>
      <c r="EN669" s="515"/>
      <c r="EO669" s="514"/>
      <c r="EP669" s="514"/>
      <c r="EQ669" s="380">
        <f>+EQ627/EQ116</f>
        <v>-19.641004237332627</v>
      </c>
    </row>
    <row r="670" spans="1:147" ht="10.199999999999999" hidden="1" customHeight="1" outlineLevel="1">
      <c r="A670" s="48" t="s">
        <v>378</v>
      </c>
      <c r="B670" s="48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3"/>
      <c r="O670" s="516"/>
      <c r="P670" s="516"/>
      <c r="Q670" s="516"/>
      <c r="R670" s="517"/>
      <c r="S670" s="516"/>
      <c r="T670" s="516"/>
      <c r="U670" s="381"/>
      <c r="V670" s="516"/>
      <c r="W670" s="516"/>
      <c r="X670" s="516"/>
      <c r="Y670" s="517"/>
      <c r="Z670" s="516"/>
      <c r="AA670" s="516"/>
      <c r="AB670" s="381"/>
      <c r="AC670" s="516"/>
      <c r="AD670" s="516"/>
      <c r="AE670" s="516"/>
      <c r="AF670" s="517"/>
      <c r="AG670" s="516"/>
      <c r="AH670" s="516"/>
      <c r="AI670" s="381"/>
      <c r="AJ670" s="516"/>
      <c r="AK670" s="516"/>
      <c r="AL670" s="516"/>
      <c r="AM670" s="517"/>
      <c r="AN670" s="516"/>
      <c r="AO670" s="516"/>
      <c r="AP670" s="381">
        <f>+AP628/AP117</f>
        <v>9.1833042674433134</v>
      </c>
      <c r="AQ670" s="516"/>
      <c r="AR670" s="516"/>
      <c r="AS670" s="516"/>
      <c r="AT670" s="517"/>
      <c r="AU670" s="516"/>
      <c r="AV670" s="516"/>
      <c r="AW670" s="381">
        <f>+AW628/AW117</f>
        <v>11.06631178129661</v>
      </c>
      <c r="AX670" s="516"/>
      <c r="AY670" s="516"/>
      <c r="AZ670" s="516"/>
      <c r="BA670" s="517"/>
      <c r="BB670" s="516"/>
      <c r="BC670" s="516"/>
      <c r="BD670" s="381">
        <f>+BD628/BD117</f>
        <v>13.818048293846864</v>
      </c>
      <c r="BE670" s="516"/>
      <c r="BF670" s="516"/>
      <c r="BG670" s="516"/>
      <c r="BH670" s="517"/>
      <c r="BI670" s="516"/>
      <c r="BJ670" s="516"/>
      <c r="BK670" s="381">
        <f>+BK628/BK117</f>
        <v>10.504154843076334</v>
      </c>
      <c r="BL670" s="516"/>
      <c r="BM670" s="516"/>
      <c r="BN670" s="516"/>
      <c r="BO670" s="517"/>
      <c r="BP670" s="516"/>
      <c r="BQ670" s="516"/>
      <c r="BR670" s="381">
        <f>+BR628/BR117</f>
        <v>12.601159767975034</v>
      </c>
      <c r="BS670" s="516"/>
      <c r="BT670" s="516"/>
      <c r="BU670" s="516"/>
      <c r="BV670" s="517"/>
      <c r="BW670" s="516"/>
      <c r="BX670" s="516"/>
      <c r="BY670" s="381">
        <f>+BY628/BY117</f>
        <v>6.5805687783265991</v>
      </c>
      <c r="BZ670" s="516"/>
      <c r="CA670" s="516"/>
      <c r="CB670" s="516"/>
      <c r="CC670" s="517"/>
      <c r="CD670" s="516"/>
      <c r="CE670" s="516"/>
      <c r="CF670" s="381">
        <f>+CF628/CF117</f>
        <v>7.928037337589644</v>
      </c>
      <c r="CG670" s="516"/>
      <c r="CH670" s="516"/>
      <c r="CI670" s="516"/>
      <c r="CJ670" s="517"/>
      <c r="CK670" s="516"/>
      <c r="CL670" s="516"/>
      <c r="CM670" s="381">
        <f>+CM628/CM117</f>
        <v>5.0050756157478302</v>
      </c>
      <c r="CN670" s="516"/>
      <c r="CO670" s="516"/>
      <c r="CP670" s="516"/>
      <c r="CQ670" s="517"/>
      <c r="CR670" s="516"/>
      <c r="CS670" s="516"/>
      <c r="CT670" s="381">
        <f>+CT628/CT117</f>
        <v>2.8245078481462706</v>
      </c>
      <c r="CU670" s="516"/>
      <c r="CV670" s="516"/>
      <c r="CW670" s="516"/>
      <c r="CX670" s="517"/>
      <c r="CY670" s="516"/>
      <c r="CZ670" s="516"/>
      <c r="DA670" s="381">
        <f>+DA628/DA117</f>
        <v>0.82217475415322872</v>
      </c>
      <c r="DB670" s="516"/>
      <c r="DC670" s="516"/>
      <c r="DD670" s="516"/>
      <c r="DE670" s="517"/>
      <c r="DF670" s="516"/>
      <c r="DG670" s="516"/>
      <c r="DH670" s="381">
        <f>+DH628/DH117</f>
        <v>-2.9131413374403672</v>
      </c>
      <c r="DI670" s="516"/>
      <c r="DJ670" s="516"/>
      <c r="DK670" s="516"/>
      <c r="DL670" s="517"/>
      <c r="DM670" s="516"/>
      <c r="DN670" s="516"/>
      <c r="DO670" s="381">
        <f>+DO628/DO117</f>
        <v>-5.4603709034692613</v>
      </c>
      <c r="DP670" s="516"/>
      <c r="DQ670" s="516"/>
      <c r="DR670" s="516"/>
      <c r="DS670" s="517"/>
      <c r="DT670" s="516"/>
      <c r="DU670" s="516"/>
      <c r="DV670" s="381">
        <f>+DV628/DV117</f>
        <v>-8.1627997459838664</v>
      </c>
      <c r="DW670" s="516"/>
      <c r="DX670" s="516"/>
      <c r="DY670" s="516"/>
      <c r="DZ670" s="517"/>
      <c r="EA670" s="516"/>
      <c r="EB670" s="516"/>
      <c r="EC670" s="381">
        <f>+EC628/EC117</f>
        <v>-11.129621042081881</v>
      </c>
      <c r="ED670" s="516"/>
      <c r="EE670" s="516"/>
      <c r="EF670" s="516"/>
      <c r="EG670" s="517"/>
      <c r="EH670" s="516"/>
      <c r="EI670" s="516"/>
      <c r="EJ670" s="381">
        <f>+EJ628/EJ117</f>
        <v>-14.194250816031255</v>
      </c>
      <c r="EK670" s="516"/>
      <c r="EL670" s="516"/>
      <c r="EM670" s="516"/>
      <c r="EN670" s="517"/>
      <c r="EO670" s="516"/>
      <c r="EP670" s="516"/>
      <c r="EQ670" s="381">
        <f>+EQ628/EQ117</f>
        <v>-17.211611463253398</v>
      </c>
    </row>
    <row r="671" spans="1:147" ht="10.199999999999999" hidden="1" customHeight="1" outlineLevel="1">
      <c r="A671" s="43" t="s">
        <v>198</v>
      </c>
      <c r="B671" s="48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4"/>
      <c r="N671" s="95"/>
      <c r="O671" s="415"/>
      <c r="P671" s="415"/>
      <c r="Q671" s="415"/>
      <c r="R671" s="448"/>
      <c r="S671" s="415"/>
      <c r="T671" s="415"/>
      <c r="U671" s="345"/>
      <c r="V671" s="415"/>
      <c r="W671" s="415"/>
      <c r="X671" s="415"/>
      <c r="Y671" s="448"/>
      <c r="Z671" s="415"/>
      <c r="AA671" s="415"/>
      <c r="AB671" s="345"/>
      <c r="AC671" s="415"/>
      <c r="AD671" s="415"/>
      <c r="AE671" s="415"/>
      <c r="AF671" s="448"/>
      <c r="AG671" s="415"/>
      <c r="AH671" s="415"/>
      <c r="AI671" s="345">
        <f>+AI629/AI121</f>
        <v>11.53031761168166</v>
      </c>
      <c r="AJ671" s="415"/>
      <c r="AK671" s="415"/>
      <c r="AL671" s="415"/>
      <c r="AM671" s="448"/>
      <c r="AN671" s="415"/>
      <c r="AO671" s="415"/>
      <c r="AP671" s="345">
        <f>+AP629/AP121</f>
        <v>11.046845666483541</v>
      </c>
      <c r="AQ671" s="415"/>
      <c r="AR671" s="415"/>
      <c r="AS671" s="415"/>
      <c r="AT671" s="448"/>
      <c r="AU671" s="415"/>
      <c r="AV671" s="415"/>
      <c r="AW671" s="345">
        <f>+AW629/AW121</f>
        <v>2.5565412859756269</v>
      </c>
      <c r="AX671" s="415"/>
      <c r="AY671" s="415"/>
      <c r="AZ671" s="415"/>
      <c r="BA671" s="448"/>
      <c r="BB671" s="415"/>
      <c r="BC671" s="415"/>
      <c r="BD671" s="345">
        <f>+BD629/BD121</f>
        <v>6.0873890650726397</v>
      </c>
      <c r="BE671" s="415"/>
      <c r="BF671" s="415"/>
      <c r="BG671" s="415"/>
      <c r="BH671" s="448"/>
      <c r="BI671" s="415"/>
      <c r="BJ671" s="415"/>
      <c r="BK671" s="345">
        <f>+BK629/BK121</f>
        <v>7.9063941441406724</v>
      </c>
      <c r="BL671" s="415"/>
      <c r="BM671" s="415"/>
      <c r="BN671" s="415"/>
      <c r="BO671" s="448"/>
      <c r="BP671" s="415"/>
      <c r="BQ671" s="415"/>
      <c r="BR671" s="345">
        <f>+BR629/BR121</f>
        <v>7.6096531076014831</v>
      </c>
      <c r="BS671" s="415"/>
      <c r="BT671" s="415"/>
      <c r="BU671" s="415"/>
      <c r="BV671" s="448"/>
      <c r="BW671" s="415"/>
      <c r="BX671" s="415"/>
      <c r="BY671" s="345"/>
      <c r="BZ671" s="415"/>
      <c r="CA671" s="415"/>
      <c r="CB671" s="415"/>
      <c r="CC671" s="448"/>
      <c r="CD671" s="415"/>
      <c r="CE671" s="415"/>
      <c r="CF671" s="345"/>
      <c r="CG671" s="415"/>
      <c r="CH671" s="415"/>
      <c r="CI671" s="415"/>
      <c r="CJ671" s="448"/>
      <c r="CK671" s="415"/>
      <c r="CL671" s="415"/>
      <c r="CM671" s="345"/>
      <c r="CN671" s="415"/>
      <c r="CO671" s="415"/>
      <c r="CP671" s="415"/>
      <c r="CQ671" s="448"/>
      <c r="CR671" s="415"/>
      <c r="CS671" s="415"/>
      <c r="CT671" s="345"/>
      <c r="CU671" s="415"/>
      <c r="CV671" s="415"/>
      <c r="CW671" s="415"/>
      <c r="CX671" s="448"/>
      <c r="CY671" s="415"/>
      <c r="CZ671" s="415"/>
      <c r="DA671" s="345"/>
      <c r="DB671" s="415"/>
      <c r="DC671" s="415"/>
      <c r="DD671" s="415"/>
      <c r="DE671" s="448"/>
      <c r="DF671" s="415"/>
      <c r="DG671" s="415"/>
      <c r="DH671" s="345"/>
      <c r="DI671" s="415"/>
      <c r="DJ671" s="415"/>
      <c r="DK671" s="415"/>
      <c r="DL671" s="448"/>
      <c r="DM671" s="415"/>
      <c r="DN671" s="415"/>
      <c r="DO671" s="345"/>
      <c r="DP671" s="415"/>
      <c r="DQ671" s="415"/>
      <c r="DR671" s="415"/>
      <c r="DS671" s="448"/>
      <c r="DT671" s="415"/>
      <c r="DU671" s="415"/>
      <c r="DV671" s="345"/>
      <c r="DW671" s="415"/>
      <c r="DX671" s="415"/>
      <c r="DY671" s="415"/>
      <c r="DZ671" s="448"/>
      <c r="EA671" s="415"/>
      <c r="EB671" s="415"/>
      <c r="EC671" s="345"/>
      <c r="ED671" s="415"/>
      <c r="EE671" s="415"/>
      <c r="EF671" s="415"/>
      <c r="EG671" s="448"/>
      <c r="EH671" s="415"/>
      <c r="EI671" s="415"/>
      <c r="EJ671" s="345"/>
      <c r="EK671" s="415"/>
      <c r="EL671" s="415"/>
      <c r="EM671" s="415"/>
      <c r="EN671" s="448"/>
      <c r="EO671" s="415"/>
      <c r="EP671" s="415"/>
      <c r="EQ671" s="345"/>
    </row>
    <row r="672" spans="1:147" ht="10.199999999999999" hidden="1" customHeight="1" outlineLevel="1">
      <c r="A672" s="43" t="s">
        <v>199</v>
      </c>
      <c r="B672" s="48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4"/>
      <c r="N672" s="95"/>
      <c r="O672" s="415"/>
      <c r="P672" s="415"/>
      <c r="Q672" s="415"/>
      <c r="R672" s="448"/>
      <c r="S672" s="415"/>
      <c r="T672" s="415"/>
      <c r="U672" s="345"/>
      <c r="V672" s="415"/>
      <c r="W672" s="415"/>
      <c r="X672" s="415"/>
      <c r="Y672" s="448"/>
      <c r="Z672" s="415"/>
      <c r="AA672" s="415"/>
      <c r="AB672" s="345"/>
      <c r="AC672" s="415"/>
      <c r="AD672" s="415"/>
      <c r="AE672" s="415"/>
      <c r="AF672" s="448"/>
      <c r="AG672" s="415"/>
      <c r="AH672" s="415"/>
      <c r="AI672" s="345">
        <f>+AI630/AI122</f>
        <v>12.773980690321556</v>
      </c>
      <c r="AJ672" s="415"/>
      <c r="AK672" s="415"/>
      <c r="AL672" s="415"/>
      <c r="AM672" s="448"/>
      <c r="AN672" s="415"/>
      <c r="AO672" s="415"/>
      <c r="AP672" s="345">
        <f>+AP630/AP122</f>
        <v>12.206987264813179</v>
      </c>
      <c r="AQ672" s="415"/>
      <c r="AR672" s="415"/>
      <c r="AS672" s="415"/>
      <c r="AT672" s="448"/>
      <c r="AU672" s="415"/>
      <c r="AV672" s="415"/>
      <c r="AW672" s="345">
        <f>+AW630/AW122</f>
        <v>2.8248921950565471</v>
      </c>
      <c r="AX672" s="415"/>
      <c r="AY672" s="415"/>
      <c r="AZ672" s="415"/>
      <c r="BA672" s="448"/>
      <c r="BB672" s="415"/>
      <c r="BC672" s="415"/>
      <c r="BD672" s="345">
        <f>+BD630/BD122</f>
        <v>5.3125890920750782</v>
      </c>
      <c r="BE672" s="415"/>
      <c r="BF672" s="415"/>
      <c r="BG672" s="415"/>
      <c r="BH672" s="448"/>
      <c r="BI672" s="415"/>
      <c r="BJ672" s="415"/>
      <c r="BK672" s="345">
        <f>+BK630/BK122</f>
        <v>7.311877566016876</v>
      </c>
      <c r="BL672" s="415"/>
      <c r="BM672" s="415"/>
      <c r="BN672" s="415"/>
      <c r="BO672" s="448"/>
      <c r="BP672" s="415"/>
      <c r="BQ672" s="415"/>
      <c r="BR672" s="345">
        <f>+BR630/BR122</f>
        <v>6.9561459261941065</v>
      </c>
      <c r="BS672" s="415"/>
      <c r="BT672" s="415"/>
      <c r="BU672" s="415"/>
      <c r="BV672" s="448"/>
      <c r="BW672" s="415"/>
      <c r="BX672" s="415"/>
      <c r="BY672" s="345"/>
      <c r="BZ672" s="415"/>
      <c r="CA672" s="415"/>
      <c r="CB672" s="415"/>
      <c r="CC672" s="448"/>
      <c r="CD672" s="415"/>
      <c r="CE672" s="415"/>
      <c r="CF672" s="345"/>
      <c r="CG672" s="415"/>
      <c r="CH672" s="415"/>
      <c r="CI672" s="415"/>
      <c r="CJ672" s="448"/>
      <c r="CK672" s="415"/>
      <c r="CL672" s="415"/>
      <c r="CM672" s="345"/>
      <c r="CN672" s="415"/>
      <c r="CO672" s="415"/>
      <c r="CP672" s="415"/>
      <c r="CQ672" s="448"/>
      <c r="CR672" s="415"/>
      <c r="CS672" s="415"/>
      <c r="CT672" s="345"/>
      <c r="CU672" s="415"/>
      <c r="CV672" s="415"/>
      <c r="CW672" s="415"/>
      <c r="CX672" s="448"/>
      <c r="CY672" s="415"/>
      <c r="CZ672" s="415"/>
      <c r="DA672" s="345"/>
      <c r="DB672" s="415"/>
      <c r="DC672" s="415"/>
      <c r="DD672" s="415"/>
      <c r="DE672" s="448"/>
      <c r="DF672" s="415"/>
      <c r="DG672" s="415"/>
      <c r="DH672" s="345"/>
      <c r="DI672" s="415"/>
      <c r="DJ672" s="415"/>
      <c r="DK672" s="415"/>
      <c r="DL672" s="448"/>
      <c r="DM672" s="415"/>
      <c r="DN672" s="415"/>
      <c r="DO672" s="345"/>
      <c r="DP672" s="415"/>
      <c r="DQ672" s="415"/>
      <c r="DR672" s="415"/>
      <c r="DS672" s="448"/>
      <c r="DT672" s="415"/>
      <c r="DU672" s="415"/>
      <c r="DV672" s="345"/>
      <c r="DW672" s="415"/>
      <c r="DX672" s="415"/>
      <c r="DY672" s="415"/>
      <c r="DZ672" s="448"/>
      <c r="EA672" s="415"/>
      <c r="EB672" s="415"/>
      <c r="EC672" s="345"/>
      <c r="ED672" s="415"/>
      <c r="EE672" s="415"/>
      <c r="EF672" s="415"/>
      <c r="EG672" s="448"/>
      <c r="EH672" s="415"/>
      <c r="EI672" s="415"/>
      <c r="EJ672" s="345"/>
      <c r="EK672" s="415"/>
      <c r="EL672" s="415"/>
      <c r="EM672" s="415"/>
      <c r="EN672" s="448"/>
      <c r="EO672" s="415"/>
      <c r="EP672" s="415"/>
      <c r="EQ672" s="345"/>
    </row>
    <row r="673" spans="1:147" ht="10.199999999999999" hidden="1" customHeight="1" outlineLevel="1">
      <c r="A673" s="48" t="s">
        <v>380</v>
      </c>
      <c r="B673" s="48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297"/>
      <c r="N673" s="329"/>
      <c r="O673" s="415"/>
      <c r="P673" s="415"/>
      <c r="Q673" s="415"/>
      <c r="R673" s="448"/>
      <c r="S673" s="415"/>
      <c r="T673" s="415"/>
      <c r="U673" s="345"/>
      <c r="V673" s="415"/>
      <c r="W673" s="415"/>
      <c r="X673" s="415"/>
      <c r="Y673" s="448"/>
      <c r="Z673" s="415"/>
      <c r="AA673" s="415"/>
      <c r="AB673" s="345"/>
      <c r="AC673" s="415"/>
      <c r="AD673" s="415"/>
      <c r="AE673" s="415"/>
      <c r="AF673" s="448"/>
      <c r="AG673" s="415"/>
      <c r="AH673" s="415"/>
      <c r="AI673" s="345">
        <f>+AI631/AI123</f>
        <v>12.375525529203918</v>
      </c>
      <c r="AJ673" s="415"/>
      <c r="AK673" s="415"/>
      <c r="AL673" s="415"/>
      <c r="AM673" s="448"/>
      <c r="AN673" s="415"/>
      <c r="AO673" s="415"/>
      <c r="AP673" s="345">
        <f>+AP631/AP123</f>
        <v>11.785117592693311</v>
      </c>
      <c r="AQ673" s="415"/>
      <c r="AR673" s="415"/>
      <c r="AS673" s="415"/>
      <c r="AT673" s="448"/>
      <c r="AU673" s="415"/>
      <c r="AV673" s="415"/>
      <c r="AW673" s="345">
        <f>+AW631/AW123</f>
        <v>2.7527979209751057</v>
      </c>
      <c r="AX673" s="415"/>
      <c r="AY673" s="415"/>
      <c r="AZ673" s="415"/>
      <c r="BA673" s="448"/>
      <c r="BB673" s="415"/>
      <c r="BC673" s="415"/>
      <c r="BD673" s="345">
        <f>+BD631/BD123</f>
        <v>5.5207443087012891</v>
      </c>
      <c r="BE673" s="415"/>
      <c r="BF673" s="415"/>
      <c r="BG673" s="415"/>
      <c r="BH673" s="448"/>
      <c r="BI673" s="415"/>
      <c r="BJ673" s="415"/>
      <c r="BK673" s="345">
        <f>+BK631/BK123</f>
        <v>7.4928173941415102</v>
      </c>
      <c r="BL673" s="415"/>
      <c r="BM673" s="415"/>
      <c r="BN673" s="415"/>
      <c r="BO673" s="448"/>
      <c r="BP673" s="415"/>
      <c r="BQ673" s="415"/>
      <c r="BR673" s="345">
        <f>+BR631/BR123</f>
        <v>7.3373584486817434</v>
      </c>
      <c r="BS673" s="415"/>
      <c r="BT673" s="415"/>
      <c r="BU673" s="415"/>
      <c r="BV673" s="448"/>
      <c r="BW673" s="415"/>
      <c r="BX673" s="415"/>
      <c r="BY673" s="345"/>
      <c r="BZ673" s="415"/>
      <c r="CA673" s="415"/>
      <c r="CB673" s="415"/>
      <c r="CC673" s="448"/>
      <c r="CD673" s="415"/>
      <c r="CE673" s="415"/>
      <c r="CF673" s="345"/>
      <c r="CG673" s="415"/>
      <c r="CH673" s="415"/>
      <c r="CI673" s="415"/>
      <c r="CJ673" s="448"/>
      <c r="CK673" s="415"/>
      <c r="CL673" s="415"/>
      <c r="CM673" s="345"/>
      <c r="CN673" s="415"/>
      <c r="CO673" s="415"/>
      <c r="CP673" s="415"/>
      <c r="CQ673" s="448"/>
      <c r="CR673" s="415"/>
      <c r="CS673" s="415"/>
      <c r="CT673" s="345"/>
      <c r="CU673" s="415"/>
      <c r="CV673" s="415"/>
      <c r="CW673" s="415"/>
      <c r="CX673" s="448"/>
      <c r="CY673" s="415"/>
      <c r="CZ673" s="415"/>
      <c r="DA673" s="345"/>
      <c r="DB673" s="415"/>
      <c r="DC673" s="415"/>
      <c r="DD673" s="415"/>
      <c r="DE673" s="448"/>
      <c r="DF673" s="415"/>
      <c r="DG673" s="415"/>
      <c r="DH673" s="345"/>
      <c r="DI673" s="415"/>
      <c r="DJ673" s="415"/>
      <c r="DK673" s="415"/>
      <c r="DL673" s="448"/>
      <c r="DM673" s="415"/>
      <c r="DN673" s="415"/>
      <c r="DO673" s="345"/>
      <c r="DP673" s="415"/>
      <c r="DQ673" s="415"/>
      <c r="DR673" s="415"/>
      <c r="DS673" s="448"/>
      <c r="DT673" s="415"/>
      <c r="DU673" s="415"/>
      <c r="DV673" s="345"/>
      <c r="DW673" s="415"/>
      <c r="DX673" s="415"/>
      <c r="DY673" s="415"/>
      <c r="DZ673" s="448"/>
      <c r="EA673" s="415"/>
      <c r="EB673" s="415"/>
      <c r="EC673" s="345"/>
      <c r="ED673" s="415"/>
      <c r="EE673" s="415"/>
      <c r="EF673" s="415"/>
      <c r="EG673" s="448"/>
      <c r="EH673" s="415"/>
      <c r="EI673" s="415"/>
      <c r="EJ673" s="345"/>
      <c r="EK673" s="415"/>
      <c r="EL673" s="415"/>
      <c r="EM673" s="415"/>
      <c r="EN673" s="448"/>
      <c r="EO673" s="415"/>
      <c r="EP673" s="415"/>
      <c r="EQ673" s="345"/>
    </row>
    <row r="674" spans="1:147" ht="10.199999999999999" hidden="1" customHeight="1" outlineLevel="1">
      <c r="A674" s="108" t="s">
        <v>384</v>
      </c>
      <c r="B674" s="48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4"/>
      <c r="N674" s="112"/>
      <c r="O674" s="518"/>
      <c r="P674" s="518"/>
      <c r="Q674" s="518"/>
      <c r="R674" s="519"/>
      <c r="S674" s="518"/>
      <c r="T674" s="518"/>
      <c r="U674" s="382"/>
      <c r="V674" s="518"/>
      <c r="W674" s="518"/>
      <c r="X674" s="518"/>
      <c r="Y674" s="519"/>
      <c r="Z674" s="518"/>
      <c r="AA674" s="518"/>
      <c r="AB674" s="382"/>
      <c r="AC674" s="518"/>
      <c r="AD674" s="518"/>
      <c r="AE674" s="518"/>
      <c r="AF674" s="519"/>
      <c r="AG674" s="518"/>
      <c r="AH674" s="518"/>
      <c r="AI674" s="382"/>
      <c r="AJ674" s="518"/>
      <c r="AK674" s="518"/>
      <c r="AL674" s="518"/>
      <c r="AM674" s="519"/>
      <c r="AN674" s="518"/>
      <c r="AO674" s="518"/>
      <c r="AP674" s="382"/>
      <c r="AQ674" s="518"/>
      <c r="AR674" s="518"/>
      <c r="AS674" s="518"/>
      <c r="AT674" s="519"/>
      <c r="AU674" s="518"/>
      <c r="AV674" s="518"/>
      <c r="AW674" s="382"/>
      <c r="AX674" s="518"/>
      <c r="AY674" s="518"/>
      <c r="AZ674" s="518"/>
      <c r="BA674" s="519"/>
      <c r="BB674" s="518"/>
      <c r="BC674" s="518"/>
      <c r="BD674" s="382"/>
      <c r="BE674" s="518"/>
      <c r="BF674" s="518"/>
      <c r="BG674" s="518"/>
      <c r="BH674" s="519"/>
      <c r="BI674" s="518"/>
      <c r="BJ674" s="518"/>
      <c r="BK674" s="382"/>
      <c r="BL674" s="518"/>
      <c r="BM674" s="518"/>
      <c r="BN674" s="518"/>
      <c r="BO674" s="519"/>
      <c r="BP674" s="518"/>
      <c r="BQ674" s="518"/>
      <c r="BR674" s="382"/>
      <c r="BS674" s="518"/>
      <c r="BT674" s="518"/>
      <c r="BU674" s="518"/>
      <c r="BV674" s="519"/>
      <c r="BW674" s="518"/>
      <c r="BX674" s="518"/>
      <c r="BY674" s="382"/>
      <c r="BZ674" s="518"/>
      <c r="CA674" s="518"/>
      <c r="CB674" s="518"/>
      <c r="CC674" s="519"/>
      <c r="CD674" s="518"/>
      <c r="CE674" s="518"/>
      <c r="CF674" s="382"/>
      <c r="CG674" s="518"/>
      <c r="CH674" s="518"/>
      <c r="CI674" s="518"/>
      <c r="CJ674" s="519"/>
      <c r="CK674" s="518"/>
      <c r="CL674" s="518"/>
      <c r="CM674" s="382"/>
      <c r="CN674" s="518"/>
      <c r="CO674" s="518"/>
      <c r="CP674" s="518"/>
      <c r="CQ674" s="519"/>
      <c r="CR674" s="518"/>
      <c r="CS674" s="518"/>
      <c r="CT674" s="382"/>
      <c r="CU674" s="518"/>
      <c r="CV674" s="518"/>
      <c r="CW674" s="518"/>
      <c r="CX674" s="519"/>
      <c r="CY674" s="518"/>
      <c r="CZ674" s="518"/>
      <c r="DA674" s="382"/>
      <c r="DB674" s="518"/>
      <c r="DC674" s="518"/>
      <c r="DD674" s="518"/>
      <c r="DE674" s="519"/>
      <c r="DF674" s="518"/>
      <c r="DG674" s="518"/>
      <c r="DH674" s="382"/>
      <c r="DI674" s="518"/>
      <c r="DJ674" s="518"/>
      <c r="DK674" s="518"/>
      <c r="DL674" s="519"/>
      <c r="DM674" s="518"/>
      <c r="DN674" s="518"/>
      <c r="DO674" s="382"/>
      <c r="DP674" s="518"/>
      <c r="DQ674" s="518"/>
      <c r="DR674" s="518"/>
      <c r="DS674" s="519"/>
      <c r="DT674" s="518"/>
      <c r="DU674" s="518"/>
      <c r="DV674" s="382"/>
      <c r="DW674" s="518"/>
      <c r="DX674" s="518"/>
      <c r="DY674" s="518"/>
      <c r="DZ674" s="519"/>
      <c r="EA674" s="518"/>
      <c r="EB674" s="518"/>
      <c r="EC674" s="382"/>
      <c r="ED674" s="518"/>
      <c r="EE674" s="518"/>
      <c r="EF674" s="518"/>
      <c r="EG674" s="519"/>
      <c r="EH674" s="518"/>
      <c r="EI674" s="518"/>
      <c r="EJ674" s="382"/>
      <c r="EK674" s="518"/>
      <c r="EL674" s="518"/>
      <c r="EM674" s="518"/>
      <c r="EN674" s="519"/>
      <c r="EO674" s="518"/>
      <c r="EP674" s="518"/>
      <c r="EQ674" s="382"/>
    </row>
    <row r="675" spans="1:147" ht="10.199999999999999" hidden="1" customHeight="1" outlineLevel="1">
      <c r="A675" s="108" t="s">
        <v>385</v>
      </c>
      <c r="B675" s="48"/>
      <c r="C675" s="125"/>
      <c r="D675" s="125"/>
      <c r="E675" s="125"/>
      <c r="F675" s="125"/>
      <c r="G675" s="125"/>
      <c r="H675" s="125"/>
      <c r="I675" s="125"/>
      <c r="J675" s="125"/>
      <c r="K675" s="297"/>
      <c r="L675" s="125"/>
      <c r="M675" s="125"/>
      <c r="N675" s="123"/>
      <c r="O675" s="514"/>
      <c r="P675" s="514"/>
      <c r="Q675" s="514"/>
      <c r="R675" s="515"/>
      <c r="S675" s="514"/>
      <c r="T675" s="514"/>
      <c r="U675" s="380"/>
      <c r="V675" s="514"/>
      <c r="W675" s="514"/>
      <c r="X675" s="514"/>
      <c r="Y675" s="515"/>
      <c r="Z675" s="514"/>
      <c r="AA675" s="514"/>
      <c r="AB675" s="380"/>
      <c r="AC675" s="514"/>
      <c r="AD675" s="514"/>
      <c r="AE675" s="514"/>
      <c r="AF675" s="515"/>
      <c r="AG675" s="514"/>
      <c r="AH675" s="514"/>
      <c r="AI675" s="380"/>
      <c r="AJ675" s="514"/>
      <c r="AK675" s="514"/>
      <c r="AL675" s="514"/>
      <c r="AM675" s="515"/>
      <c r="AN675" s="514"/>
      <c r="AO675" s="514"/>
      <c r="AP675" s="380"/>
      <c r="AQ675" s="514"/>
      <c r="AR675" s="514"/>
      <c r="AS675" s="514"/>
      <c r="AT675" s="515"/>
      <c r="AU675" s="514"/>
      <c r="AV675" s="514"/>
      <c r="AW675" s="380"/>
      <c r="AX675" s="514"/>
      <c r="AY675" s="514"/>
      <c r="AZ675" s="514"/>
      <c r="BA675" s="515"/>
      <c r="BB675" s="514"/>
      <c r="BC675" s="514"/>
      <c r="BD675" s="380"/>
      <c r="BE675" s="514"/>
      <c r="BF675" s="514"/>
      <c r="BG675" s="514"/>
      <c r="BH675" s="515"/>
      <c r="BI675" s="514"/>
      <c r="BJ675" s="514"/>
      <c r="BK675" s="380">
        <f>+BK633/BK126</f>
        <v>8.3974970205350008</v>
      </c>
      <c r="BL675" s="514"/>
      <c r="BM675" s="514"/>
      <c r="BN675" s="514"/>
      <c r="BO675" s="515"/>
      <c r="BP675" s="514"/>
      <c r="BQ675" s="514"/>
      <c r="BR675" s="380">
        <f>+BR633/BR126</f>
        <v>7.6142126266032797</v>
      </c>
      <c r="BS675" s="514"/>
      <c r="BT675" s="514"/>
      <c r="BU675" s="514"/>
      <c r="BV675" s="515"/>
      <c r="BW675" s="514"/>
      <c r="BX675" s="514"/>
      <c r="BY675" s="380">
        <f>+BY633/BY126</f>
        <v>-22.912461000000008</v>
      </c>
      <c r="BZ675" s="514"/>
      <c r="CA675" s="514"/>
      <c r="CB675" s="514"/>
      <c r="CC675" s="515"/>
      <c r="CD675" s="514"/>
      <c r="CE675" s="514"/>
      <c r="CF675" s="380">
        <f>+CF633/CF126</f>
        <v>-5.7937526957954955</v>
      </c>
      <c r="CG675" s="514"/>
      <c r="CH675" s="514"/>
      <c r="CI675" s="514"/>
      <c r="CJ675" s="515"/>
      <c r="CK675" s="514"/>
      <c r="CL675" s="514"/>
      <c r="CM675" s="380">
        <f>+CM633/CM126</f>
        <v>-2.5800741603247355</v>
      </c>
      <c r="CN675" s="514"/>
      <c r="CO675" s="514"/>
      <c r="CP675" s="514"/>
      <c r="CQ675" s="515"/>
      <c r="CR675" s="514"/>
      <c r="CS675" s="514"/>
      <c r="CT675" s="380">
        <f>+CT633/CT126</f>
        <v>1.2300640719201994</v>
      </c>
      <c r="CU675" s="514"/>
      <c r="CV675" s="514"/>
      <c r="CW675" s="514"/>
      <c r="CX675" s="515"/>
      <c r="CY675" s="514"/>
      <c r="CZ675" s="514"/>
      <c r="DA675" s="380">
        <f>+DA633/DA126</f>
        <v>4.1641956166608898</v>
      </c>
      <c r="DB675" s="514"/>
      <c r="DC675" s="514"/>
      <c r="DD675" s="514"/>
      <c r="DE675" s="515"/>
      <c r="DF675" s="514"/>
      <c r="DG675" s="514"/>
      <c r="DH675" s="380">
        <f>+DH633/DH126</f>
        <v>7.1448718836183014</v>
      </c>
      <c r="DI675" s="514"/>
      <c r="DJ675" s="514"/>
      <c r="DK675" s="514"/>
      <c r="DL675" s="515"/>
      <c r="DM675" s="514"/>
      <c r="DN675" s="514"/>
      <c r="DO675" s="380">
        <f>+DO633/DO126</f>
        <v>10.061270341658531</v>
      </c>
      <c r="DP675" s="514"/>
      <c r="DQ675" s="514"/>
      <c r="DR675" s="514"/>
      <c r="DS675" s="515"/>
      <c r="DT675" s="514"/>
      <c r="DU675" s="514"/>
      <c r="DV675" s="380">
        <f>+DV633/DV126</f>
        <v>12.923431337544764</v>
      </c>
      <c r="DW675" s="514"/>
      <c r="DX675" s="514"/>
      <c r="DY675" s="514"/>
      <c r="DZ675" s="515"/>
      <c r="EA675" s="514"/>
      <c r="EB675" s="514"/>
      <c r="EC675" s="380">
        <f>+EC633/EC126</f>
        <v>15.772238874801845</v>
      </c>
      <c r="ED675" s="514"/>
      <c r="EE675" s="514"/>
      <c r="EF675" s="514"/>
      <c r="EG675" s="515"/>
      <c r="EH675" s="514"/>
      <c r="EI675" s="514"/>
      <c r="EJ675" s="380">
        <f>+EJ633/EJ126</f>
        <v>18.902863790027592</v>
      </c>
      <c r="EK675" s="514"/>
      <c r="EL675" s="514"/>
      <c r="EM675" s="514"/>
      <c r="EN675" s="515"/>
      <c r="EO675" s="514"/>
      <c r="EP675" s="514"/>
      <c r="EQ675" s="380">
        <f>+EQ633/EQ126</f>
        <v>21.715512186028274</v>
      </c>
    </row>
    <row r="676" spans="1:147" ht="10.199999999999999" hidden="1" customHeight="1" outlineLevel="1">
      <c r="A676" s="48" t="s">
        <v>381</v>
      </c>
      <c r="B676" s="48"/>
      <c r="C676" s="125"/>
      <c r="D676" s="125"/>
      <c r="E676" s="125"/>
      <c r="F676" s="125"/>
      <c r="G676" s="125"/>
      <c r="H676" s="125"/>
      <c r="I676" s="125"/>
      <c r="J676" s="125"/>
      <c r="K676" s="297"/>
      <c r="L676" s="125"/>
      <c r="M676" s="125"/>
      <c r="N676" s="123"/>
      <c r="O676" s="516"/>
      <c r="P676" s="516"/>
      <c r="Q676" s="516"/>
      <c r="R676" s="517"/>
      <c r="S676" s="516"/>
      <c r="T676" s="516"/>
      <c r="U676" s="381"/>
      <c r="V676" s="516"/>
      <c r="W676" s="516"/>
      <c r="X676" s="516"/>
      <c r="Y676" s="517"/>
      <c r="Z676" s="516"/>
      <c r="AA676" s="516"/>
      <c r="AB676" s="381"/>
      <c r="AC676" s="516"/>
      <c r="AD676" s="516"/>
      <c r="AE676" s="516"/>
      <c r="AF676" s="517"/>
      <c r="AG676" s="516"/>
      <c r="AH676" s="516"/>
      <c r="AI676" s="381"/>
      <c r="AJ676" s="516"/>
      <c r="AK676" s="516"/>
      <c r="AL676" s="516"/>
      <c r="AM676" s="517"/>
      <c r="AN676" s="516"/>
      <c r="AO676" s="516"/>
      <c r="AP676" s="381"/>
      <c r="AQ676" s="516"/>
      <c r="AR676" s="516"/>
      <c r="AS676" s="516"/>
      <c r="AT676" s="517"/>
      <c r="AU676" s="516"/>
      <c r="AV676" s="516"/>
      <c r="AW676" s="381"/>
      <c r="AX676" s="516"/>
      <c r="AY676" s="516"/>
      <c r="AZ676" s="516"/>
      <c r="BA676" s="517"/>
      <c r="BB676" s="516"/>
      <c r="BC676" s="516"/>
      <c r="BD676" s="381"/>
      <c r="BE676" s="516"/>
      <c r="BF676" s="516"/>
      <c r="BG676" s="516"/>
      <c r="BH676" s="517"/>
      <c r="BI676" s="516"/>
      <c r="BJ676" s="516"/>
      <c r="BK676" s="381">
        <f>+BK634/BK127</f>
        <v>8.3974970205350008</v>
      </c>
      <c r="BL676" s="516"/>
      <c r="BM676" s="516"/>
      <c r="BN676" s="516"/>
      <c r="BO676" s="517"/>
      <c r="BP676" s="516"/>
      <c r="BQ676" s="516"/>
      <c r="BR676" s="381">
        <f>+BR634/BR127</f>
        <v>7.6142126266032797</v>
      </c>
      <c r="BS676" s="516"/>
      <c r="BT676" s="516"/>
      <c r="BU676" s="516"/>
      <c r="BV676" s="517"/>
      <c r="BW676" s="516"/>
      <c r="BX676" s="516"/>
      <c r="BY676" s="381">
        <f>+BY634/BY127</f>
        <v>-25.833584076923088</v>
      </c>
      <c r="BZ676" s="516"/>
      <c r="CA676" s="516"/>
      <c r="CB676" s="516"/>
      <c r="CC676" s="517"/>
      <c r="CD676" s="516"/>
      <c r="CE676" s="516"/>
      <c r="CF676" s="381">
        <f>+CF634/CF127</f>
        <v>-6.7194440717190558</v>
      </c>
      <c r="CG676" s="516"/>
      <c r="CH676" s="516"/>
      <c r="CI676" s="516"/>
      <c r="CJ676" s="517"/>
      <c r="CK676" s="516"/>
      <c r="CL676" s="516"/>
      <c r="CM676" s="381">
        <f>+CM634/CM127</f>
        <v>-4.3052444414861846</v>
      </c>
      <c r="CN676" s="516"/>
      <c r="CO676" s="516"/>
      <c r="CP676" s="516"/>
      <c r="CQ676" s="517"/>
      <c r="CR676" s="516"/>
      <c r="CS676" s="516"/>
      <c r="CT676" s="381">
        <f>+CT634/CT127</f>
        <v>1.2300640719201994</v>
      </c>
      <c r="CU676" s="516"/>
      <c r="CV676" s="516"/>
      <c r="CW676" s="516"/>
      <c r="CX676" s="517"/>
      <c r="CY676" s="516"/>
      <c r="CZ676" s="516"/>
      <c r="DA676" s="381">
        <f>+DA634/DA127</f>
        <v>4.1641956166608898</v>
      </c>
      <c r="DB676" s="516"/>
      <c r="DC676" s="516"/>
      <c r="DD676" s="516"/>
      <c r="DE676" s="517"/>
      <c r="DF676" s="516"/>
      <c r="DG676" s="516"/>
      <c r="DH676" s="381">
        <f>+DH634/DH127</f>
        <v>6.7008536205246587</v>
      </c>
      <c r="DI676" s="516"/>
      <c r="DJ676" s="516"/>
      <c r="DK676" s="516"/>
      <c r="DL676" s="517"/>
      <c r="DM676" s="516"/>
      <c r="DN676" s="516"/>
      <c r="DO676" s="381">
        <f>+DO634/DO127</f>
        <v>8.2128964996659946</v>
      </c>
      <c r="DP676" s="516"/>
      <c r="DQ676" s="516"/>
      <c r="DR676" s="516"/>
      <c r="DS676" s="517"/>
      <c r="DT676" s="516"/>
      <c r="DU676" s="516"/>
      <c r="DV676" s="381">
        <f>+DV634/DV127</f>
        <v>11.062487724383397</v>
      </c>
      <c r="DW676" s="516"/>
      <c r="DX676" s="516"/>
      <c r="DY676" s="516"/>
      <c r="DZ676" s="517"/>
      <c r="EA676" s="516"/>
      <c r="EB676" s="516"/>
      <c r="EC676" s="381">
        <f>+EC634/EC127</f>
        <v>13.896643711742279</v>
      </c>
      <c r="ED676" s="516"/>
      <c r="EE676" s="516"/>
      <c r="EF676" s="516"/>
      <c r="EG676" s="517"/>
      <c r="EH676" s="516"/>
      <c r="EI676" s="516"/>
      <c r="EJ676" s="381">
        <f>+EJ634/EJ127</f>
        <v>16.981470427171672</v>
      </c>
      <c r="EK676" s="516"/>
      <c r="EL676" s="516"/>
      <c r="EM676" s="516"/>
      <c r="EN676" s="517"/>
      <c r="EO676" s="516"/>
      <c r="EP676" s="516"/>
      <c r="EQ676" s="381">
        <f>+EQ634/EQ127</f>
        <v>20.058369249918833</v>
      </c>
    </row>
    <row r="677" spans="1:147" ht="10.199999999999999" hidden="1" customHeight="1" outlineLevel="1">
      <c r="A677" s="108" t="s">
        <v>371</v>
      </c>
      <c r="B677" s="48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3"/>
      <c r="O677" s="514"/>
      <c r="P677" s="514"/>
      <c r="Q677" s="514"/>
      <c r="R677" s="515"/>
      <c r="S677" s="514"/>
      <c r="T677" s="514"/>
      <c r="U677" s="380"/>
      <c r="V677" s="514"/>
      <c r="W677" s="514"/>
      <c r="X677" s="514"/>
      <c r="Y677" s="515"/>
      <c r="Z677" s="514"/>
      <c r="AA677" s="514"/>
      <c r="AB677" s="380"/>
      <c r="AC677" s="514"/>
      <c r="AD677" s="514"/>
      <c r="AE677" s="514"/>
      <c r="AF677" s="515"/>
      <c r="AG677" s="514"/>
      <c r="AH677" s="514"/>
      <c r="AI677" s="380"/>
      <c r="AJ677" s="514"/>
      <c r="AK677" s="514"/>
      <c r="AL677" s="514"/>
      <c r="AM677" s="515"/>
      <c r="AN677" s="514"/>
      <c r="AO677" s="514"/>
      <c r="AP677" s="380"/>
      <c r="AQ677" s="514"/>
      <c r="AR677" s="514"/>
      <c r="AS677" s="514"/>
      <c r="AT677" s="515"/>
      <c r="AU677" s="514"/>
      <c r="AV677" s="514"/>
      <c r="AW677" s="380"/>
      <c r="AX677" s="514"/>
      <c r="AY677" s="514"/>
      <c r="AZ677" s="514"/>
      <c r="BA677" s="515"/>
      <c r="BB677" s="514"/>
      <c r="BC677" s="514"/>
      <c r="BD677" s="380"/>
      <c r="BE677" s="514"/>
      <c r="BF677" s="514"/>
      <c r="BG677" s="514"/>
      <c r="BH677" s="515"/>
      <c r="BI677" s="514"/>
      <c r="BJ677" s="514"/>
      <c r="BK677" s="380"/>
      <c r="BL677" s="514"/>
      <c r="BM677" s="514"/>
      <c r="BN677" s="514"/>
      <c r="BO677" s="515"/>
      <c r="BP677" s="514"/>
      <c r="BQ677" s="514"/>
      <c r="BR677" s="380"/>
      <c r="BS677" s="514"/>
      <c r="BT677" s="514"/>
      <c r="BU677" s="514"/>
      <c r="BV677" s="515"/>
      <c r="BW677" s="514"/>
      <c r="BX677" s="514"/>
      <c r="BY677" s="380">
        <f>IFERROR(+BY635/BY136,0)</f>
        <v>0</v>
      </c>
      <c r="BZ677" s="514"/>
      <c r="CA677" s="514"/>
      <c r="CB677" s="514"/>
      <c r="CC677" s="515"/>
      <c r="CD677" s="514"/>
      <c r="CE677" s="514"/>
      <c r="CF677" s="380">
        <f>IFERROR(+CF635/CF136,0)</f>
        <v>0</v>
      </c>
      <c r="CG677" s="514"/>
      <c r="CH677" s="514"/>
      <c r="CI677" s="514"/>
      <c r="CJ677" s="515"/>
      <c r="CK677" s="514"/>
      <c r="CL677" s="514"/>
      <c r="CM677" s="380">
        <f>IFERROR(+CM635/CM136,0)</f>
        <v>0</v>
      </c>
      <c r="CN677" s="514"/>
      <c r="CO677" s="514"/>
      <c r="CP677" s="514"/>
      <c r="CQ677" s="515"/>
      <c r="CR677" s="514"/>
      <c r="CS677" s="514"/>
      <c r="CT677" s="380">
        <f>IFERROR(+CT635/CT136,0)</f>
        <v>0</v>
      </c>
      <c r="CU677" s="514"/>
      <c r="CV677" s="514"/>
      <c r="CW677" s="514"/>
      <c r="CX677" s="515"/>
      <c r="CY677" s="514"/>
      <c r="CZ677" s="514"/>
      <c r="DA677" s="380">
        <f>IFERROR(+DA635/DA136,0)</f>
        <v>0</v>
      </c>
      <c r="DB677" s="514"/>
      <c r="DC677" s="514"/>
      <c r="DD677" s="514"/>
      <c r="DE677" s="515"/>
      <c r="DF677" s="514"/>
      <c r="DG677" s="514"/>
      <c r="DH677" s="380">
        <f>IFERROR(+DH635/DH136,0)</f>
        <v>0</v>
      </c>
      <c r="DI677" s="514"/>
      <c r="DJ677" s="514"/>
      <c r="DK677" s="514"/>
      <c r="DL677" s="515"/>
      <c r="DM677" s="514"/>
      <c r="DN677" s="514"/>
      <c r="DO677" s="380">
        <f>IFERROR(+DO635/DO136,0)</f>
        <v>0</v>
      </c>
      <c r="DP677" s="514"/>
      <c r="DQ677" s="514"/>
      <c r="DR677" s="514"/>
      <c r="DS677" s="515"/>
      <c r="DT677" s="514"/>
      <c r="DU677" s="514"/>
      <c r="DV677" s="380">
        <f>IFERROR(+DV635/DV136,0)</f>
        <v>0</v>
      </c>
      <c r="DW677" s="514"/>
      <c r="DX677" s="514"/>
      <c r="DY677" s="514"/>
      <c r="DZ677" s="515"/>
      <c r="EA677" s="514"/>
      <c r="EB677" s="514"/>
      <c r="EC677" s="380">
        <f>IFERROR(+EC635/EC136,0)</f>
        <v>0</v>
      </c>
      <c r="ED677" s="514"/>
      <c r="EE677" s="514"/>
      <c r="EF677" s="514"/>
      <c r="EG677" s="515"/>
      <c r="EH677" s="514"/>
      <c r="EI677" s="514"/>
      <c r="EJ677" s="380">
        <f>IFERROR(+EJ635/EJ136,0)</f>
        <v>0</v>
      </c>
      <c r="EK677" s="514"/>
      <c r="EL677" s="514"/>
      <c r="EM677" s="514"/>
      <c r="EN677" s="515"/>
      <c r="EO677" s="514"/>
      <c r="EP677" s="514"/>
      <c r="EQ677" s="380">
        <f>IFERROR(+EQ635/EQ136,0)</f>
        <v>0</v>
      </c>
    </row>
    <row r="678" spans="1:147" ht="10.199999999999999" hidden="1" customHeight="1" outlineLevel="1">
      <c r="A678" s="108" t="s">
        <v>369</v>
      </c>
      <c r="B678" s="48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3"/>
      <c r="O678" s="514"/>
      <c r="P678" s="514"/>
      <c r="Q678" s="514"/>
      <c r="R678" s="515"/>
      <c r="S678" s="514"/>
      <c r="T678" s="514"/>
      <c r="U678" s="380"/>
      <c r="V678" s="514"/>
      <c r="W678" s="514"/>
      <c r="X678" s="514"/>
      <c r="Y678" s="515"/>
      <c r="Z678" s="514"/>
      <c r="AA678" s="514"/>
      <c r="AB678" s="380"/>
      <c r="AC678" s="514"/>
      <c r="AD678" s="514"/>
      <c r="AE678" s="514"/>
      <c r="AF678" s="515"/>
      <c r="AG678" s="514"/>
      <c r="AH678" s="514"/>
      <c r="AI678" s="380">
        <f>+AI636/AI137</f>
        <v>-82.002005388896137</v>
      </c>
      <c r="AJ678" s="514"/>
      <c r="AK678" s="514"/>
      <c r="AL678" s="514"/>
      <c r="AM678" s="515"/>
      <c r="AN678" s="514"/>
      <c r="AO678" s="514"/>
      <c r="AP678" s="380">
        <f>+AP636/AP137</f>
        <v>-26.257803869844668</v>
      </c>
      <c r="AQ678" s="514"/>
      <c r="AR678" s="514"/>
      <c r="AS678" s="514"/>
      <c r="AT678" s="515"/>
      <c r="AU678" s="514"/>
      <c r="AV678" s="514"/>
      <c r="AW678" s="380">
        <f>+AW636/AW137</f>
        <v>-14.00094538193512</v>
      </c>
      <c r="AX678" s="514"/>
      <c r="AY678" s="514"/>
      <c r="AZ678" s="514"/>
      <c r="BA678" s="515"/>
      <c r="BB678" s="514"/>
      <c r="BC678" s="514"/>
      <c r="BD678" s="380">
        <f>+BD636/BD137</f>
        <v>-23.394274517698481</v>
      </c>
      <c r="BE678" s="514"/>
      <c r="BF678" s="514"/>
      <c r="BG678" s="514"/>
      <c r="BH678" s="515"/>
      <c r="BI678" s="514"/>
      <c r="BJ678" s="514"/>
      <c r="BK678" s="380">
        <f>+BK636/BK137</f>
        <v>-2.4281576850046469</v>
      </c>
      <c r="BL678" s="514"/>
      <c r="BM678" s="514"/>
      <c r="BN678" s="514"/>
      <c r="BO678" s="515"/>
      <c r="BP678" s="514"/>
      <c r="BQ678" s="514"/>
      <c r="BR678" s="380">
        <f>+BR636/BR137</f>
        <v>2.3664296956633595</v>
      </c>
      <c r="BS678" s="514"/>
      <c r="BT678" s="514"/>
      <c r="BU678" s="514"/>
      <c r="BV678" s="515"/>
      <c r="BW678" s="514"/>
      <c r="BX678" s="514"/>
      <c r="BY678" s="380">
        <f>+BY636/BY137</f>
        <v>-7.0930507663784166</v>
      </c>
      <c r="BZ678" s="514"/>
      <c r="CA678" s="514"/>
      <c r="CB678" s="514"/>
      <c r="CC678" s="515"/>
      <c r="CD678" s="514"/>
      <c r="CE678" s="514"/>
      <c r="CF678" s="380">
        <f>+CF636/CF137</f>
        <v>-0.69115545511437027</v>
      </c>
      <c r="CG678" s="514"/>
      <c r="CH678" s="514"/>
      <c r="CI678" s="514"/>
      <c r="CJ678" s="515"/>
      <c r="CK678" s="514"/>
      <c r="CL678" s="514"/>
      <c r="CM678" s="380">
        <f>+CM636/CM137</f>
        <v>-7.8937813980707965</v>
      </c>
      <c r="CN678" s="514"/>
      <c r="CO678" s="514"/>
      <c r="CP678" s="514"/>
      <c r="CQ678" s="515"/>
      <c r="CR678" s="514"/>
      <c r="CS678" s="514"/>
      <c r="CT678" s="380">
        <f>+CT636/CT137</f>
        <v>-6.4874243044554927</v>
      </c>
      <c r="CU678" s="514"/>
      <c r="CV678" s="514"/>
      <c r="CW678" s="514"/>
      <c r="CX678" s="515"/>
      <c r="CY678" s="514"/>
      <c r="CZ678" s="514"/>
      <c r="DA678" s="380">
        <f>+DA636/DA137</f>
        <v>-6.0077863201490054</v>
      </c>
      <c r="DB678" s="514"/>
      <c r="DC678" s="514"/>
      <c r="DD678" s="514"/>
      <c r="DE678" s="515"/>
      <c r="DF678" s="514"/>
      <c r="DG678" s="514"/>
      <c r="DH678" s="380">
        <f>+DH636/DH137</f>
        <v>-5.4337125355595628</v>
      </c>
      <c r="DI678" s="514"/>
      <c r="DJ678" s="514"/>
      <c r="DK678" s="514"/>
      <c r="DL678" s="515"/>
      <c r="DM678" s="514"/>
      <c r="DN678" s="514"/>
      <c r="DO678" s="380">
        <f>+DO636/DO137</f>
        <v>-4.7745361661275005</v>
      </c>
      <c r="DP678" s="514"/>
      <c r="DQ678" s="514"/>
      <c r="DR678" s="514"/>
      <c r="DS678" s="515"/>
      <c r="DT678" s="514"/>
      <c r="DU678" s="514"/>
      <c r="DV678" s="380">
        <f>+DV636/DV137</f>
        <v>-4.0916038231234735</v>
      </c>
      <c r="DW678" s="514"/>
      <c r="DX678" s="514"/>
      <c r="DY678" s="514"/>
      <c r="DZ678" s="515"/>
      <c r="EA678" s="514"/>
      <c r="EB678" s="514"/>
      <c r="EC678" s="380">
        <f>+EC636/EC137</f>
        <v>-3.4063011913911074</v>
      </c>
      <c r="ED678" s="514"/>
      <c r="EE678" s="514"/>
      <c r="EF678" s="514"/>
      <c r="EG678" s="515"/>
      <c r="EH678" s="514"/>
      <c r="EI678" s="514"/>
      <c r="EJ678" s="380">
        <f>+EJ636/EJ137</f>
        <v>-2.7580247829244331</v>
      </c>
      <c r="EK678" s="514"/>
      <c r="EL678" s="514"/>
      <c r="EM678" s="514"/>
      <c r="EN678" s="515"/>
      <c r="EO678" s="514"/>
      <c r="EP678" s="514"/>
      <c r="EQ678" s="380">
        <f>+EQ636/EQ137</f>
        <v>-2.0427573710466191</v>
      </c>
    </row>
    <row r="679" spans="1:147" ht="10.199999999999999" hidden="1" customHeight="1" outlineLevel="1">
      <c r="A679" s="108" t="s">
        <v>370</v>
      </c>
      <c r="B679" s="48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3"/>
      <c r="O679" s="514"/>
      <c r="P679" s="514"/>
      <c r="Q679" s="514"/>
      <c r="R679" s="515"/>
      <c r="S679" s="514"/>
      <c r="T679" s="514"/>
      <c r="U679" s="380"/>
      <c r="V679" s="514"/>
      <c r="W679" s="514"/>
      <c r="X679" s="514"/>
      <c r="Y679" s="515"/>
      <c r="Z679" s="514"/>
      <c r="AA679" s="514"/>
      <c r="AB679" s="380"/>
      <c r="AC679" s="514"/>
      <c r="AD679" s="514"/>
      <c r="AE679" s="514"/>
      <c r="AF679" s="515"/>
      <c r="AG679" s="514"/>
      <c r="AH679" s="514"/>
      <c r="AI679" s="380"/>
      <c r="AJ679" s="514"/>
      <c r="AK679" s="514"/>
      <c r="AL679" s="514"/>
      <c r="AM679" s="515"/>
      <c r="AN679" s="514"/>
      <c r="AO679" s="514"/>
      <c r="AP679" s="380"/>
      <c r="AQ679" s="514"/>
      <c r="AR679" s="514"/>
      <c r="AS679" s="514"/>
      <c r="AT679" s="515"/>
      <c r="AU679" s="514"/>
      <c r="AV679" s="514"/>
      <c r="AW679" s="380"/>
      <c r="AX679" s="514"/>
      <c r="AY679" s="514"/>
      <c r="AZ679" s="514"/>
      <c r="BA679" s="515"/>
      <c r="BB679" s="514"/>
      <c r="BC679" s="514"/>
      <c r="BD679" s="380"/>
      <c r="BE679" s="514"/>
      <c r="BF679" s="514"/>
      <c r="BG679" s="514"/>
      <c r="BH679" s="515"/>
      <c r="BI679" s="514"/>
      <c r="BJ679" s="514"/>
      <c r="BK679" s="380">
        <f>+BK637/BK138</f>
        <v>-2.8037800616074451</v>
      </c>
      <c r="BL679" s="514"/>
      <c r="BM679" s="514"/>
      <c r="BN679" s="514"/>
      <c r="BO679" s="515"/>
      <c r="BP679" s="514"/>
      <c r="BQ679" s="514"/>
      <c r="BR679" s="380">
        <f>+BR637/BR138</f>
        <v>2.7325030984896888</v>
      </c>
      <c r="BS679" s="514"/>
      <c r="BT679" s="514"/>
      <c r="BU679" s="514"/>
      <c r="BV679" s="515"/>
      <c r="BW679" s="514"/>
      <c r="BX679" s="514"/>
      <c r="BY679" s="380">
        <f>+BY637/BY138</f>
        <v>-8.1903059416436825</v>
      </c>
      <c r="BZ679" s="514"/>
      <c r="CA679" s="514"/>
      <c r="CB679" s="514"/>
      <c r="CC679" s="515"/>
      <c r="CD679" s="514"/>
      <c r="CE679" s="514"/>
      <c r="CF679" s="380">
        <f>+CF637/CF138</f>
        <v>-0.79807332797552721</v>
      </c>
      <c r="CG679" s="514"/>
      <c r="CH679" s="514"/>
      <c r="CI679" s="514"/>
      <c r="CJ679" s="515"/>
      <c r="CK679" s="514"/>
      <c r="CL679" s="514"/>
      <c r="CM679" s="380">
        <f>+CM637/CM138</f>
        <v>-9.1149051115090227</v>
      </c>
      <c r="CN679" s="514"/>
      <c r="CO679" s="514"/>
      <c r="CP679" s="514"/>
      <c r="CQ679" s="515"/>
      <c r="CR679" s="514"/>
      <c r="CS679" s="514"/>
      <c r="CT679" s="380">
        <f>+CT637/CT138</f>
        <v>-7.4909924624541553</v>
      </c>
      <c r="CU679" s="514"/>
      <c r="CV679" s="514"/>
      <c r="CW679" s="514"/>
      <c r="CX679" s="515"/>
      <c r="CY679" s="514"/>
      <c r="CZ679" s="514"/>
      <c r="DA679" s="380">
        <f>+DA637/DA138</f>
        <v>-6.9371571718167031</v>
      </c>
      <c r="DB679" s="514"/>
      <c r="DC679" s="514"/>
      <c r="DD679" s="514"/>
      <c r="DE679" s="515"/>
      <c r="DF679" s="514"/>
      <c r="DG679" s="514"/>
      <c r="DH679" s="380">
        <f>+DH637/DH138</f>
        <v>-6.2742773921946702</v>
      </c>
      <c r="DI679" s="514"/>
      <c r="DJ679" s="514"/>
      <c r="DK679" s="514"/>
      <c r="DL679" s="515"/>
      <c r="DM679" s="514"/>
      <c r="DN679" s="514"/>
      <c r="DO679" s="380">
        <f>+DO637/DO138</f>
        <v>-5.5131301351157669</v>
      </c>
      <c r="DP679" s="514"/>
      <c r="DQ679" s="514"/>
      <c r="DR679" s="514"/>
      <c r="DS679" s="515"/>
      <c r="DT679" s="514"/>
      <c r="DU679" s="514"/>
      <c r="DV679" s="380">
        <f>+DV637/DV138</f>
        <v>-4.7245519885783134</v>
      </c>
      <c r="DW679" s="514"/>
      <c r="DX679" s="514"/>
      <c r="DY679" s="514"/>
      <c r="DZ679" s="515"/>
      <c r="EA679" s="514"/>
      <c r="EB679" s="514"/>
      <c r="EC679" s="380">
        <f>+EC637/EC138</f>
        <v>-3.9332368829390063</v>
      </c>
      <c r="ED679" s="514"/>
      <c r="EE679" s="514"/>
      <c r="EF679" s="514"/>
      <c r="EG679" s="515"/>
      <c r="EH679" s="514"/>
      <c r="EI679" s="514"/>
      <c r="EJ679" s="380">
        <f>+EJ637/EJ138</f>
        <v>-3.1846757496591294</v>
      </c>
      <c r="EK679" s="514"/>
      <c r="EL679" s="514"/>
      <c r="EM679" s="514"/>
      <c r="EN679" s="515"/>
      <c r="EO679" s="514"/>
      <c r="EP679" s="514"/>
      <c r="EQ679" s="380">
        <f>+EQ637/EQ138</f>
        <v>-2.3587604804303242</v>
      </c>
    </row>
    <row r="680" spans="1:147" ht="10.199999999999999" hidden="1" customHeight="1" outlineLevel="1">
      <c r="A680" s="48" t="s">
        <v>238</v>
      </c>
      <c r="B680" s="48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3"/>
      <c r="O680" s="516"/>
      <c r="P680" s="516"/>
      <c r="Q680" s="516"/>
      <c r="R680" s="517"/>
      <c r="S680" s="516"/>
      <c r="T680" s="516"/>
      <c r="U680" s="381"/>
      <c r="V680" s="516"/>
      <c r="W680" s="516"/>
      <c r="X680" s="516"/>
      <c r="Y680" s="517"/>
      <c r="Z680" s="516"/>
      <c r="AA680" s="516"/>
      <c r="AB680" s="381"/>
      <c r="AC680" s="516"/>
      <c r="AD680" s="516"/>
      <c r="AE680" s="516"/>
      <c r="AF680" s="517"/>
      <c r="AG680" s="516"/>
      <c r="AH680" s="516"/>
      <c r="AI680" s="381">
        <f>+AI638/AI139</f>
        <v>-82.002005388896137</v>
      </c>
      <c r="AJ680" s="516"/>
      <c r="AK680" s="516"/>
      <c r="AL680" s="516"/>
      <c r="AM680" s="517"/>
      <c r="AN680" s="516"/>
      <c r="AO680" s="516"/>
      <c r="AP680" s="381">
        <f>+AP638/AP139</f>
        <v>-26.257803869844668</v>
      </c>
      <c r="AQ680" s="516"/>
      <c r="AR680" s="516"/>
      <c r="AS680" s="516"/>
      <c r="AT680" s="517"/>
      <c r="AU680" s="516"/>
      <c r="AV680" s="516"/>
      <c r="AW680" s="381">
        <f>+AW638/AW139</f>
        <v>-14.00094538193512</v>
      </c>
      <c r="AX680" s="516"/>
      <c r="AY680" s="516"/>
      <c r="AZ680" s="516"/>
      <c r="BA680" s="517"/>
      <c r="BB680" s="516"/>
      <c r="BC680" s="516"/>
      <c r="BD680" s="381">
        <f>+BD638/BD139</f>
        <v>-23.394274517698481</v>
      </c>
      <c r="BE680" s="516"/>
      <c r="BF680" s="516"/>
      <c r="BG680" s="516"/>
      <c r="BH680" s="517"/>
      <c r="BI680" s="516"/>
      <c r="BJ680" s="516"/>
      <c r="BK680" s="381">
        <f>+BK638/BK139</f>
        <v>-2.484702989009369</v>
      </c>
      <c r="BL680" s="516"/>
      <c r="BM680" s="516"/>
      <c r="BN680" s="516"/>
      <c r="BO680" s="517"/>
      <c r="BP680" s="516"/>
      <c r="BQ680" s="516"/>
      <c r="BR680" s="381">
        <f>+BR638/BR139</f>
        <v>2.4481425087942368</v>
      </c>
      <c r="BS680" s="516"/>
      <c r="BT680" s="516"/>
      <c r="BU680" s="516"/>
      <c r="BV680" s="517"/>
      <c r="BW680" s="516"/>
      <c r="BX680" s="516"/>
      <c r="BY680" s="381">
        <f>+BY638/BY139</f>
        <v>-7.3534164011871237</v>
      </c>
      <c r="BZ680" s="516"/>
      <c r="CA680" s="516"/>
      <c r="CB680" s="516"/>
      <c r="CC680" s="517"/>
      <c r="CD680" s="516"/>
      <c r="CE680" s="516"/>
      <c r="CF680" s="381">
        <f>+CF638/CF139</f>
        <v>-0.70281922306286015</v>
      </c>
      <c r="CG680" s="516"/>
      <c r="CH680" s="516"/>
      <c r="CI680" s="516"/>
      <c r="CJ680" s="517"/>
      <c r="CK680" s="516"/>
      <c r="CL680" s="516"/>
      <c r="CM680" s="381">
        <f>+CM638/CM139</f>
        <v>-8.0973020169771672</v>
      </c>
      <c r="CN680" s="516"/>
      <c r="CO680" s="516"/>
      <c r="CP680" s="516"/>
      <c r="CQ680" s="517"/>
      <c r="CR680" s="516"/>
      <c r="CS680" s="516"/>
      <c r="CT680" s="381">
        <f>+CT638/CT139</f>
        <v>-6.6755933340802418</v>
      </c>
      <c r="CU680" s="516"/>
      <c r="CV680" s="516"/>
      <c r="CW680" s="516"/>
      <c r="CX680" s="517"/>
      <c r="CY680" s="516"/>
      <c r="CZ680" s="516"/>
      <c r="DA680" s="381">
        <f>+DA638/DA139</f>
        <v>-6.2197480933363751</v>
      </c>
      <c r="DB680" s="516"/>
      <c r="DC680" s="516"/>
      <c r="DD680" s="516"/>
      <c r="DE680" s="517"/>
      <c r="DF680" s="516"/>
      <c r="DG680" s="516"/>
      <c r="DH680" s="381">
        <f>+DH638/DH139</f>
        <v>-5.654913813621433</v>
      </c>
      <c r="DI680" s="516"/>
      <c r="DJ680" s="516"/>
      <c r="DK680" s="516"/>
      <c r="DL680" s="517"/>
      <c r="DM680" s="516"/>
      <c r="DN680" s="516"/>
      <c r="DO680" s="381">
        <f>+DO638/DO139</f>
        <v>-4.9591846583745669</v>
      </c>
      <c r="DP680" s="516"/>
      <c r="DQ680" s="516"/>
      <c r="DR680" s="516"/>
      <c r="DS680" s="517"/>
      <c r="DT680" s="516"/>
      <c r="DU680" s="516"/>
      <c r="DV680" s="381">
        <f>+DV638/DV139</f>
        <v>-4.2498408644871839</v>
      </c>
      <c r="DW680" s="516"/>
      <c r="DX680" s="516"/>
      <c r="DY680" s="516"/>
      <c r="DZ680" s="517"/>
      <c r="EA680" s="516"/>
      <c r="EB680" s="516"/>
      <c r="EC680" s="381">
        <f>+EC638/EC139</f>
        <v>-3.5380351142780824</v>
      </c>
      <c r="ED680" s="516"/>
      <c r="EE680" s="516"/>
      <c r="EF680" s="516"/>
      <c r="EG680" s="517"/>
      <c r="EH680" s="516"/>
      <c r="EI680" s="516"/>
      <c r="EJ680" s="381">
        <f>+EJ638/EJ139</f>
        <v>-2.8646875246081076</v>
      </c>
      <c r="EK680" s="516"/>
      <c r="EL680" s="516"/>
      <c r="EM680" s="516"/>
      <c r="EN680" s="517"/>
      <c r="EO680" s="516"/>
      <c r="EP680" s="516"/>
      <c r="EQ680" s="381">
        <f>+EQ638/EQ139</f>
        <v>-2.1217581483925452</v>
      </c>
    </row>
    <row r="681" spans="1:147" ht="10.199999999999999" hidden="1" customHeight="1" outlineLevel="1">
      <c r="A681" s="48" t="s">
        <v>133</v>
      </c>
      <c r="B681" s="48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3"/>
      <c r="O681" s="516"/>
      <c r="P681" s="516"/>
      <c r="Q681" s="516"/>
      <c r="R681" s="517"/>
      <c r="S681" s="516"/>
      <c r="T681" s="516"/>
      <c r="U681" s="381"/>
      <c r="V681" s="516"/>
      <c r="W681" s="516"/>
      <c r="X681" s="516"/>
      <c r="Y681" s="517"/>
      <c r="Z681" s="516"/>
      <c r="AA681" s="516"/>
      <c r="AB681" s="381"/>
      <c r="AC681" s="516"/>
      <c r="AD681" s="516"/>
      <c r="AE681" s="516"/>
      <c r="AF681" s="517"/>
      <c r="AG681" s="516"/>
      <c r="AH681" s="516"/>
      <c r="AI681" s="381">
        <f>+AI639/AI141</f>
        <v>0</v>
      </c>
      <c r="AJ681" s="516"/>
      <c r="AK681" s="516"/>
      <c r="AL681" s="516"/>
      <c r="AM681" s="517"/>
      <c r="AN681" s="516"/>
      <c r="AO681" s="516"/>
      <c r="AP681" s="381">
        <f>+AP639/AP141</f>
        <v>-1.9937378611036749</v>
      </c>
      <c r="AQ681" s="516"/>
      <c r="AR681" s="516"/>
      <c r="AS681" s="516"/>
      <c r="AT681" s="517"/>
      <c r="AU681" s="516"/>
      <c r="AV681" s="516"/>
      <c r="AW681" s="381">
        <f>+AW639/AW141</f>
        <v>-13.276567116975828</v>
      </c>
      <c r="AX681" s="516"/>
      <c r="AY681" s="516"/>
      <c r="AZ681" s="516"/>
      <c r="BA681" s="517"/>
      <c r="BB681" s="516"/>
      <c r="BC681" s="516"/>
      <c r="BD681" s="381">
        <f>+BD639/BD141</f>
        <v>-6.4008777888484749</v>
      </c>
      <c r="BE681" s="516"/>
      <c r="BF681" s="516"/>
      <c r="BG681" s="516"/>
      <c r="BH681" s="517"/>
      <c r="BI681" s="516"/>
      <c r="BJ681" s="516"/>
      <c r="BK681" s="381">
        <f>+BK639/BK141</f>
        <v>-2.8181261559485939</v>
      </c>
      <c r="BL681" s="516"/>
      <c r="BM681" s="516"/>
      <c r="BN681" s="516"/>
      <c r="BO681" s="517"/>
      <c r="BP681" s="516"/>
      <c r="BQ681" s="516"/>
      <c r="BR681" s="381">
        <f>+BR639/BR141</f>
        <v>0</v>
      </c>
      <c r="BS681" s="516"/>
      <c r="BT681" s="516"/>
      <c r="BU681" s="516"/>
      <c r="BV681" s="517"/>
      <c r="BW681" s="516"/>
      <c r="BX681" s="516"/>
      <c r="BY681" s="381"/>
      <c r="BZ681" s="516"/>
      <c r="CA681" s="516"/>
      <c r="CB681" s="516"/>
      <c r="CC681" s="517"/>
      <c r="CD681" s="516"/>
      <c r="CE681" s="516"/>
      <c r="CF681" s="381"/>
      <c r="CG681" s="516"/>
      <c r="CH681" s="516"/>
      <c r="CI681" s="516"/>
      <c r="CJ681" s="517"/>
      <c r="CK681" s="516"/>
      <c r="CL681" s="516"/>
      <c r="CM681" s="381"/>
      <c r="CN681" s="516"/>
      <c r="CO681" s="516"/>
      <c r="CP681" s="516"/>
      <c r="CQ681" s="517"/>
      <c r="CR681" s="516"/>
      <c r="CS681" s="516"/>
      <c r="CT681" s="381"/>
      <c r="CU681" s="516"/>
      <c r="CV681" s="516"/>
      <c r="CW681" s="516"/>
      <c r="CX681" s="517"/>
      <c r="CY681" s="516"/>
      <c r="CZ681" s="516"/>
      <c r="DA681" s="381"/>
      <c r="DB681" s="516"/>
      <c r="DC681" s="516"/>
      <c r="DD681" s="516"/>
      <c r="DE681" s="517"/>
      <c r="DF681" s="516"/>
      <c r="DG681" s="516"/>
      <c r="DH681" s="381"/>
      <c r="DI681" s="516"/>
      <c r="DJ681" s="516"/>
      <c r="DK681" s="516"/>
      <c r="DL681" s="517"/>
      <c r="DM681" s="516"/>
      <c r="DN681" s="516"/>
      <c r="DO681" s="381"/>
      <c r="DP681" s="516"/>
      <c r="DQ681" s="516"/>
      <c r="DR681" s="516"/>
      <c r="DS681" s="517"/>
      <c r="DT681" s="516"/>
      <c r="DU681" s="516"/>
      <c r="DV681" s="381"/>
      <c r="DW681" s="516"/>
      <c r="DX681" s="516"/>
      <c r="DY681" s="516"/>
      <c r="DZ681" s="517"/>
      <c r="EA681" s="516"/>
      <c r="EB681" s="516"/>
      <c r="EC681" s="381"/>
      <c r="ED681" s="516"/>
      <c r="EE681" s="516"/>
      <c r="EF681" s="516"/>
      <c r="EG681" s="517"/>
      <c r="EH681" s="516"/>
      <c r="EI681" s="516"/>
      <c r="EJ681" s="381"/>
      <c r="EK681" s="516"/>
      <c r="EL681" s="516"/>
      <c r="EM681" s="516"/>
      <c r="EN681" s="517"/>
      <c r="EO681" s="516"/>
      <c r="EP681" s="516"/>
      <c r="EQ681" s="381"/>
    </row>
    <row r="682" spans="1:147" ht="10.199999999999999" hidden="1" customHeight="1" outlineLevel="1">
      <c r="A682" s="48" t="s">
        <v>632</v>
      </c>
      <c r="B682" s="48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3"/>
      <c r="O682" s="516"/>
      <c r="P682" s="516"/>
      <c r="Q682" s="516"/>
      <c r="R682" s="517"/>
      <c r="S682" s="516"/>
      <c r="T682" s="516"/>
      <c r="U682" s="381"/>
      <c r="V682" s="516"/>
      <c r="W682" s="516"/>
      <c r="X682" s="516"/>
      <c r="Y682" s="517"/>
      <c r="Z682" s="516"/>
      <c r="AA682" s="516"/>
      <c r="AB682" s="381"/>
      <c r="AC682" s="516"/>
      <c r="AD682" s="516"/>
      <c r="AE682" s="516"/>
      <c r="AF682" s="517"/>
      <c r="AG682" s="516"/>
      <c r="AH682" s="516"/>
      <c r="AI682" s="381"/>
      <c r="AJ682" s="516"/>
      <c r="AK682" s="516"/>
      <c r="AL682" s="516"/>
      <c r="AM682" s="517"/>
      <c r="AN682" s="516"/>
      <c r="AO682" s="516"/>
      <c r="AP682" s="381"/>
      <c r="AQ682" s="516"/>
      <c r="AR682" s="516"/>
      <c r="AS682" s="516"/>
      <c r="AT682" s="517"/>
      <c r="AU682" s="516"/>
      <c r="AV682" s="516"/>
      <c r="AW682" s="381"/>
      <c r="AX682" s="516"/>
      <c r="AY682" s="516"/>
      <c r="AZ682" s="516"/>
      <c r="BA682" s="517"/>
      <c r="BB682" s="516"/>
      <c r="BC682" s="516"/>
      <c r="BD682" s="381"/>
      <c r="BE682" s="516"/>
      <c r="BF682" s="516"/>
      <c r="BG682" s="516"/>
      <c r="BH682" s="517"/>
      <c r="BI682" s="516"/>
      <c r="BJ682" s="516"/>
      <c r="BK682" s="381"/>
      <c r="BL682" s="516"/>
      <c r="BM682" s="516"/>
      <c r="BN682" s="516"/>
      <c r="BO682" s="517"/>
      <c r="BP682" s="516"/>
      <c r="BQ682" s="516"/>
      <c r="BR682" s="381">
        <f>BR440/BR104</f>
        <v>-4.6159219674003724</v>
      </c>
      <c r="BS682" s="516"/>
      <c r="BT682" s="516"/>
      <c r="BU682" s="516"/>
      <c r="BV682" s="517"/>
      <c r="BW682" s="516"/>
      <c r="BX682" s="516"/>
      <c r="BY682" s="381">
        <f>BY440/BY104</f>
        <v>-4.9043697039473697</v>
      </c>
      <c r="BZ682" s="516"/>
      <c r="CA682" s="516"/>
      <c r="CB682" s="516"/>
      <c r="CC682" s="517"/>
      <c r="CD682" s="516"/>
      <c r="CE682" s="516"/>
      <c r="CF682" s="381">
        <f>CF440/CF104</f>
        <v>-8.5085412933796825</v>
      </c>
      <c r="CG682" s="516"/>
      <c r="CH682" s="516"/>
      <c r="CI682" s="516"/>
      <c r="CJ682" s="517"/>
      <c r="CK682" s="516"/>
      <c r="CL682" s="516"/>
      <c r="CM682" s="381">
        <f>CM440/CM104</f>
        <v>-3.5173470466392183</v>
      </c>
      <c r="CN682" s="516"/>
      <c r="CO682" s="516"/>
      <c r="CP682" s="516"/>
      <c r="CQ682" s="517"/>
      <c r="CR682" s="516"/>
      <c r="CS682" s="516"/>
      <c r="CT682" s="381">
        <f>CT440/CT104</f>
        <v>-1.8695947538230331</v>
      </c>
      <c r="CU682" s="516"/>
      <c r="CV682" s="516"/>
      <c r="CW682" s="516"/>
      <c r="CX682" s="517"/>
      <c r="CY682" s="516"/>
      <c r="CZ682" s="516"/>
      <c r="DA682" s="381">
        <f>DA440/DA104</f>
        <v>0</v>
      </c>
      <c r="DB682" s="516"/>
      <c r="DC682" s="516"/>
      <c r="DD682" s="516"/>
      <c r="DE682" s="517"/>
      <c r="DF682" s="516"/>
      <c r="DG682" s="516"/>
      <c r="DH682" s="381">
        <f>DH440/DH104</f>
        <v>0</v>
      </c>
      <c r="DI682" s="516"/>
      <c r="DJ682" s="516"/>
      <c r="DK682" s="516"/>
      <c r="DL682" s="517"/>
      <c r="DM682" s="516"/>
      <c r="DN682" s="516"/>
      <c r="DO682" s="381">
        <f>DO440/DO104</f>
        <v>0</v>
      </c>
      <c r="DP682" s="516"/>
      <c r="DQ682" s="516"/>
      <c r="DR682" s="516"/>
      <c r="DS682" s="517"/>
      <c r="DT682" s="516"/>
      <c r="DU682" s="516"/>
      <c r="DV682" s="381">
        <f>DV440/DV104</f>
        <v>0</v>
      </c>
      <c r="DW682" s="516"/>
      <c r="DX682" s="516"/>
      <c r="DY682" s="516"/>
      <c r="DZ682" s="517"/>
      <c r="EA682" s="516"/>
      <c r="EB682" s="516"/>
      <c r="EC682" s="381">
        <f>EC440/EC104</f>
        <v>0</v>
      </c>
      <c r="ED682" s="516"/>
      <c r="EE682" s="516"/>
      <c r="EF682" s="516"/>
      <c r="EG682" s="517"/>
      <c r="EH682" s="516"/>
      <c r="EI682" s="516"/>
      <c r="EJ682" s="381">
        <f>EJ440/EJ104</f>
        <v>0</v>
      </c>
      <c r="EK682" s="516"/>
      <c r="EL682" s="516"/>
      <c r="EM682" s="516"/>
      <c r="EN682" s="517"/>
      <c r="EO682" s="516"/>
      <c r="EP682" s="516"/>
      <c r="EQ682" s="381">
        <f>EQ440/EQ104</f>
        <v>0</v>
      </c>
    </row>
    <row r="683" spans="1:147" ht="10.199999999999999" hidden="1" customHeight="1" outlineLevel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399"/>
      <c r="P683" s="399"/>
      <c r="Q683" s="399"/>
      <c r="R683" s="399"/>
      <c r="S683" s="399"/>
      <c r="T683" s="399"/>
      <c r="U683" s="47"/>
      <c r="V683" s="399"/>
      <c r="W683" s="399"/>
      <c r="X683" s="399"/>
      <c r="Y683" s="399"/>
      <c r="Z683" s="399"/>
      <c r="AA683" s="399"/>
      <c r="AB683" s="47"/>
      <c r="AC683" s="399"/>
      <c r="AD683" s="399"/>
      <c r="AE683" s="399"/>
      <c r="AF683" s="399"/>
      <c r="AG683" s="399"/>
      <c r="AH683" s="399"/>
      <c r="AI683" s="47"/>
      <c r="AJ683" s="399"/>
      <c r="AK683" s="399"/>
      <c r="AL683" s="399"/>
      <c r="AM683" s="399"/>
      <c r="AN683" s="399"/>
      <c r="AO683" s="399"/>
      <c r="AP683" s="47"/>
      <c r="AQ683" s="399"/>
      <c r="AR683" s="399"/>
      <c r="AS683" s="399"/>
      <c r="AT683" s="399"/>
      <c r="AU683" s="399"/>
      <c r="AV683" s="399"/>
      <c r="AW683" s="47"/>
      <c r="AX683" s="399"/>
      <c r="AY683" s="399"/>
      <c r="AZ683" s="399"/>
      <c r="BA683" s="399"/>
      <c r="BB683" s="399"/>
      <c r="BC683" s="399"/>
      <c r="BD683" s="47"/>
      <c r="BE683" s="399"/>
      <c r="BF683" s="399"/>
      <c r="BG683" s="399"/>
      <c r="BH683" s="399"/>
      <c r="BI683" s="399"/>
      <c r="BJ683" s="399"/>
      <c r="BK683" s="47"/>
      <c r="BL683" s="399"/>
      <c r="BM683" s="399"/>
      <c r="BN683" s="399"/>
      <c r="BO683" s="399"/>
      <c r="BP683" s="399"/>
      <c r="BQ683" s="399"/>
      <c r="BR683" s="47"/>
      <c r="BS683" s="399"/>
      <c r="BT683" s="399"/>
      <c r="BU683" s="399"/>
      <c r="BV683" s="399"/>
      <c r="BW683" s="399"/>
      <c r="BX683" s="399"/>
      <c r="BY683" s="47"/>
      <c r="BZ683" s="399"/>
      <c r="CA683" s="399"/>
      <c r="CB683" s="399"/>
      <c r="CC683" s="399"/>
      <c r="CD683" s="399"/>
      <c r="CE683" s="399"/>
      <c r="CF683" s="47"/>
      <c r="CG683" s="399"/>
      <c r="CH683" s="399"/>
      <c r="CI683" s="399"/>
      <c r="CJ683" s="399"/>
      <c r="CK683" s="399"/>
      <c r="CL683" s="399"/>
      <c r="CM683" s="47"/>
      <c r="CN683" s="399"/>
      <c r="CO683" s="399"/>
      <c r="CP683" s="399"/>
      <c r="CQ683" s="399"/>
      <c r="CR683" s="399"/>
      <c r="CS683" s="399"/>
      <c r="CT683" s="47"/>
      <c r="CU683" s="399"/>
      <c r="CV683" s="399"/>
      <c r="CW683" s="399"/>
      <c r="CX683" s="399"/>
      <c r="CY683" s="399"/>
      <c r="CZ683" s="399"/>
      <c r="DA683" s="47"/>
      <c r="DB683" s="399"/>
      <c r="DC683" s="399"/>
      <c r="DD683" s="399"/>
      <c r="DE683" s="399"/>
      <c r="DF683" s="399"/>
      <c r="DG683" s="399"/>
      <c r="DH683" s="47"/>
      <c r="DI683" s="399"/>
      <c r="DJ683" s="399"/>
      <c r="DK683" s="399"/>
      <c r="DL683" s="399"/>
      <c r="DM683" s="399"/>
      <c r="DN683" s="399"/>
      <c r="DO683" s="47"/>
      <c r="DP683" s="399"/>
      <c r="DQ683" s="399"/>
      <c r="DR683" s="399"/>
      <c r="DS683" s="399"/>
      <c r="DT683" s="399"/>
      <c r="DU683" s="399"/>
      <c r="DV683" s="47"/>
      <c r="DW683" s="399"/>
      <c r="DX683" s="399"/>
      <c r="DY683" s="399"/>
      <c r="DZ683" s="399"/>
      <c r="EA683" s="399"/>
      <c r="EB683" s="399"/>
      <c r="EC683" s="47"/>
      <c r="ED683" s="399"/>
      <c r="EE683" s="399"/>
      <c r="EF683" s="399"/>
      <c r="EG683" s="399"/>
      <c r="EH683" s="399"/>
      <c r="EI683" s="399"/>
      <c r="EJ683" s="47"/>
      <c r="EK683" s="399"/>
      <c r="EL683" s="399"/>
      <c r="EM683" s="399"/>
      <c r="EN683" s="399"/>
      <c r="EO683" s="399"/>
      <c r="EP683" s="399"/>
      <c r="EQ683" s="47"/>
    </row>
    <row r="684" spans="1:147" ht="10.199999999999999" hidden="1" customHeight="1" outlineLevel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399"/>
      <c r="P684" s="399"/>
      <c r="Q684" s="399"/>
      <c r="R684" s="399"/>
      <c r="S684" s="399"/>
      <c r="T684" s="399"/>
      <c r="U684" s="47"/>
      <c r="V684" s="399"/>
      <c r="W684" s="399"/>
      <c r="X684" s="399"/>
      <c r="Y684" s="399"/>
      <c r="Z684" s="399"/>
      <c r="AA684" s="399"/>
      <c r="AB684" s="47"/>
      <c r="AC684" s="399"/>
      <c r="AD684" s="399"/>
      <c r="AE684" s="399"/>
      <c r="AF684" s="399"/>
      <c r="AG684" s="399"/>
      <c r="AH684" s="399"/>
      <c r="AI684" s="47"/>
      <c r="AJ684" s="399"/>
      <c r="AK684" s="399"/>
      <c r="AL684" s="399"/>
      <c r="AM684" s="399"/>
      <c r="AN684" s="399"/>
      <c r="AO684" s="399"/>
      <c r="AP684" s="47"/>
      <c r="AQ684" s="399"/>
      <c r="AR684" s="399"/>
      <c r="AS684" s="399"/>
      <c r="AT684" s="399"/>
      <c r="AU684" s="399"/>
      <c r="AV684" s="399"/>
      <c r="AW684" s="47"/>
      <c r="AX684" s="399"/>
      <c r="AY684" s="399"/>
      <c r="AZ684" s="399"/>
      <c r="BA684" s="399"/>
      <c r="BB684" s="399"/>
      <c r="BC684" s="399"/>
      <c r="BD684" s="47"/>
      <c r="BE684" s="399"/>
      <c r="BF684" s="399"/>
      <c r="BG684" s="399"/>
      <c r="BH684" s="399"/>
      <c r="BI684" s="399"/>
      <c r="BJ684" s="399"/>
      <c r="BK684" s="47"/>
      <c r="BL684" s="399"/>
      <c r="BM684" s="399"/>
      <c r="BN684" s="399"/>
      <c r="BO684" s="399"/>
      <c r="BP684" s="399"/>
      <c r="BQ684" s="399"/>
      <c r="BR684" s="47"/>
      <c r="BS684" s="399"/>
      <c r="BT684" s="399"/>
      <c r="BU684" s="399"/>
      <c r="BV684" s="399"/>
      <c r="BW684" s="399"/>
      <c r="BX684" s="399"/>
      <c r="BY684" s="47"/>
      <c r="BZ684" s="399"/>
      <c r="CA684" s="399"/>
      <c r="CB684" s="399"/>
      <c r="CC684" s="399"/>
      <c r="CD684" s="399"/>
      <c r="CE684" s="399"/>
      <c r="CF684" s="47"/>
      <c r="CG684" s="399"/>
      <c r="CH684" s="399"/>
      <c r="CI684" s="399"/>
      <c r="CJ684" s="399"/>
      <c r="CK684" s="399"/>
      <c r="CL684" s="399"/>
      <c r="CM684" s="47"/>
      <c r="CN684" s="399"/>
      <c r="CO684" s="399"/>
      <c r="CP684" s="399"/>
      <c r="CQ684" s="399"/>
      <c r="CR684" s="399"/>
      <c r="CS684" s="399"/>
      <c r="CT684" s="47"/>
      <c r="CU684" s="399"/>
      <c r="CV684" s="399"/>
      <c r="CW684" s="399"/>
      <c r="CX684" s="399"/>
      <c r="CY684" s="399"/>
      <c r="CZ684" s="399"/>
      <c r="DA684" s="47"/>
      <c r="DB684" s="399"/>
      <c r="DC684" s="399"/>
      <c r="DD684" s="399"/>
      <c r="DE684" s="399"/>
      <c r="DF684" s="399"/>
      <c r="DG684" s="399"/>
      <c r="DH684" s="47"/>
      <c r="DI684" s="399"/>
      <c r="DJ684" s="399"/>
      <c r="DK684" s="399"/>
      <c r="DL684" s="399"/>
      <c r="DM684" s="399"/>
      <c r="DN684" s="399"/>
      <c r="DO684" s="47"/>
      <c r="DP684" s="399"/>
      <c r="DQ684" s="399"/>
      <c r="DR684" s="399"/>
      <c r="DS684" s="399"/>
      <c r="DT684" s="399"/>
      <c r="DU684" s="399"/>
      <c r="DV684" s="47"/>
      <c r="DW684" s="399"/>
      <c r="DX684" s="399"/>
      <c r="DY684" s="399"/>
      <c r="DZ684" s="399"/>
      <c r="EA684" s="399"/>
      <c r="EB684" s="399"/>
      <c r="EC684" s="47"/>
      <c r="ED684" s="399"/>
      <c r="EE684" s="399"/>
      <c r="EF684" s="399"/>
      <c r="EG684" s="399"/>
      <c r="EH684" s="399"/>
      <c r="EI684" s="399"/>
      <c r="EJ684" s="47"/>
      <c r="EK684" s="399"/>
      <c r="EL684" s="399"/>
      <c r="EM684" s="399"/>
      <c r="EN684" s="399"/>
      <c r="EO684" s="399"/>
      <c r="EP684" s="399"/>
      <c r="EQ684" s="47"/>
    </row>
    <row r="685" spans="1:147" ht="10.199999999999999" customHeight="1" collapsed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399"/>
      <c r="P685" s="399"/>
      <c r="Q685" s="399"/>
      <c r="R685" s="399"/>
      <c r="S685" s="399"/>
      <c r="T685" s="399"/>
      <c r="U685" s="47"/>
      <c r="V685" s="399"/>
      <c r="W685" s="399"/>
      <c r="X685" s="399"/>
      <c r="Y685" s="399"/>
      <c r="Z685" s="399"/>
      <c r="AA685" s="399"/>
      <c r="AB685" s="47"/>
      <c r="AC685" s="399"/>
      <c r="AD685" s="399"/>
      <c r="AE685" s="399"/>
      <c r="AF685" s="399"/>
      <c r="AG685" s="399"/>
      <c r="AH685" s="399"/>
      <c r="AI685" s="47"/>
      <c r="AJ685" s="399"/>
      <c r="AK685" s="399"/>
      <c r="AL685" s="399"/>
      <c r="AM685" s="399"/>
      <c r="AN685" s="399"/>
      <c r="AO685" s="399"/>
      <c r="AP685" s="47"/>
      <c r="AQ685" s="399"/>
      <c r="AR685" s="399"/>
      <c r="AS685" s="399"/>
      <c r="AT685" s="399"/>
      <c r="AU685" s="399"/>
      <c r="AV685" s="399"/>
      <c r="AW685" s="47"/>
      <c r="AX685" s="399"/>
      <c r="AY685" s="399"/>
      <c r="AZ685" s="399"/>
      <c r="BA685" s="399"/>
      <c r="BB685" s="399"/>
      <c r="BC685" s="399"/>
      <c r="BD685" s="47"/>
      <c r="BE685" s="399"/>
      <c r="BF685" s="399"/>
      <c r="BG685" s="399"/>
      <c r="BH685" s="399"/>
      <c r="BI685" s="399"/>
      <c r="BJ685" s="399"/>
      <c r="BK685" s="47"/>
      <c r="BL685" s="399"/>
      <c r="BM685" s="399"/>
      <c r="BN685" s="399"/>
      <c r="BO685" s="399"/>
      <c r="BP685" s="399"/>
      <c r="BQ685" s="399"/>
      <c r="BR685" s="47"/>
      <c r="BS685" s="399"/>
      <c r="BT685" s="399"/>
      <c r="BU685" s="399"/>
      <c r="BV685" s="399"/>
      <c r="BW685" s="399"/>
      <c r="BX685" s="399"/>
      <c r="BY685" s="47"/>
      <c r="BZ685" s="399"/>
      <c r="CA685" s="399"/>
      <c r="CB685" s="399"/>
      <c r="CC685" s="399"/>
      <c r="CD685" s="399"/>
      <c r="CE685" s="399"/>
      <c r="CF685" s="47"/>
      <c r="CG685" s="399"/>
      <c r="CH685" s="399"/>
      <c r="CI685" s="399"/>
      <c r="CJ685" s="399"/>
      <c r="CK685" s="399"/>
      <c r="CL685" s="399"/>
      <c r="CM685" s="47"/>
      <c r="CN685" s="399"/>
      <c r="CO685" s="399"/>
      <c r="CP685" s="399"/>
      <c r="CQ685" s="399"/>
      <c r="CR685" s="399"/>
      <c r="CS685" s="399"/>
      <c r="CT685" s="47"/>
      <c r="CU685" s="399"/>
      <c r="CV685" s="399"/>
      <c r="CW685" s="399"/>
      <c r="CX685" s="399"/>
      <c r="CY685" s="399"/>
      <c r="CZ685" s="399"/>
      <c r="DA685" s="47"/>
      <c r="DB685" s="399"/>
      <c r="DC685" s="399"/>
      <c r="DD685" s="399"/>
      <c r="DE685" s="399"/>
      <c r="DF685" s="399"/>
      <c r="DG685" s="399"/>
      <c r="DH685" s="47"/>
      <c r="DI685" s="399"/>
      <c r="DJ685" s="399"/>
      <c r="DK685" s="399"/>
      <c r="DL685" s="399"/>
      <c r="DM685" s="399"/>
      <c r="DN685" s="399"/>
      <c r="DO685" s="47"/>
      <c r="DP685" s="399"/>
      <c r="DQ685" s="399"/>
      <c r="DR685" s="399"/>
      <c r="DS685" s="399"/>
      <c r="DT685" s="399"/>
      <c r="DU685" s="399"/>
      <c r="DV685" s="47"/>
      <c r="DW685" s="399"/>
      <c r="DX685" s="399"/>
      <c r="DY685" s="399"/>
      <c r="DZ685" s="399"/>
      <c r="EA685" s="399"/>
      <c r="EB685" s="399"/>
      <c r="EC685" s="47"/>
      <c r="ED685" s="399"/>
      <c r="EE685" s="399"/>
      <c r="EF685" s="399"/>
      <c r="EG685" s="399"/>
      <c r="EH685" s="399"/>
      <c r="EI685" s="399"/>
      <c r="EJ685" s="47"/>
      <c r="EK685" s="399"/>
      <c r="EL685" s="399"/>
      <c r="EM685" s="399"/>
      <c r="EN685" s="399"/>
      <c r="EO685" s="399"/>
      <c r="EP685" s="399"/>
      <c r="EQ685" s="47"/>
    </row>
    <row r="686" spans="1:147" ht="10.199999999999999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399"/>
      <c r="P686" s="399"/>
      <c r="Q686" s="399"/>
      <c r="R686" s="399"/>
      <c r="S686" s="399"/>
      <c r="T686" s="399"/>
      <c r="U686" s="47"/>
      <c r="V686" s="399"/>
      <c r="W686" s="399"/>
      <c r="X686" s="399"/>
      <c r="Y686" s="399"/>
      <c r="Z686" s="399"/>
      <c r="AA686" s="399"/>
      <c r="AB686" s="47"/>
      <c r="AC686" s="399"/>
      <c r="AD686" s="399"/>
      <c r="AE686" s="399"/>
      <c r="AF686" s="399"/>
      <c r="AG686" s="399"/>
      <c r="AH686" s="399"/>
      <c r="AI686" s="47"/>
      <c r="AJ686" s="399"/>
      <c r="AK686" s="399"/>
      <c r="AL686" s="399"/>
      <c r="AM686" s="399"/>
      <c r="AN686" s="399"/>
      <c r="AO686" s="399"/>
      <c r="AP686" s="47"/>
      <c r="AQ686" s="399"/>
      <c r="AR686" s="399"/>
      <c r="AS686" s="399"/>
      <c r="AT686" s="399"/>
      <c r="AU686" s="399"/>
      <c r="AV686" s="399"/>
      <c r="AW686" s="47"/>
      <c r="AX686" s="399"/>
      <c r="AY686" s="399"/>
      <c r="AZ686" s="399"/>
      <c r="BA686" s="399"/>
      <c r="BB686" s="399"/>
      <c r="BC686" s="399"/>
      <c r="BD686" s="47"/>
      <c r="BE686" s="399"/>
      <c r="BF686" s="399"/>
      <c r="BG686" s="399"/>
      <c r="BH686" s="399"/>
      <c r="BI686" s="399"/>
      <c r="BJ686" s="399"/>
      <c r="BK686" s="47"/>
      <c r="BL686" s="399"/>
      <c r="BM686" s="399"/>
      <c r="BN686" s="399"/>
      <c r="BO686" s="399"/>
      <c r="BP686" s="399"/>
      <c r="BQ686" s="399"/>
      <c r="BR686" s="47"/>
      <c r="BS686" s="399"/>
      <c r="BT686" s="399"/>
      <c r="BU686" s="399"/>
      <c r="BV686" s="399"/>
      <c r="BW686" s="399"/>
      <c r="BX686" s="399"/>
      <c r="BY686" s="47"/>
      <c r="BZ686" s="399"/>
      <c r="CA686" s="399"/>
      <c r="CB686" s="399"/>
      <c r="CC686" s="399"/>
      <c r="CD686" s="399"/>
      <c r="CE686" s="399"/>
      <c r="CF686" s="47"/>
      <c r="CG686" s="399"/>
      <c r="CH686" s="399"/>
      <c r="CI686" s="399"/>
      <c r="CJ686" s="399"/>
      <c r="CK686" s="399"/>
      <c r="CL686" s="399"/>
      <c r="CM686" s="47"/>
      <c r="CN686" s="399"/>
      <c r="CO686" s="399"/>
      <c r="CP686" s="399"/>
      <c r="CQ686" s="399"/>
      <c r="CR686" s="399"/>
      <c r="CS686" s="399"/>
      <c r="CT686" s="47"/>
      <c r="CU686" s="399"/>
      <c r="CV686" s="399"/>
      <c r="CW686" s="399"/>
      <c r="CX686" s="399"/>
      <c r="CY686" s="399"/>
      <c r="CZ686" s="399"/>
      <c r="DA686" s="47"/>
      <c r="DB686" s="399"/>
      <c r="DC686" s="399"/>
      <c r="DD686" s="399"/>
      <c r="DE686" s="399"/>
      <c r="DF686" s="399"/>
      <c r="DG686" s="399"/>
      <c r="DH686" s="47"/>
      <c r="DI686" s="399"/>
      <c r="DJ686" s="399"/>
      <c r="DK686" s="399"/>
      <c r="DL686" s="399"/>
      <c r="DM686" s="399"/>
      <c r="DN686" s="399"/>
      <c r="DO686" s="47"/>
      <c r="DP686" s="399"/>
      <c r="DQ686" s="399"/>
      <c r="DR686" s="399"/>
      <c r="DS686" s="399"/>
      <c r="DT686" s="399"/>
      <c r="DU686" s="399"/>
      <c r="DV686" s="47"/>
      <c r="DW686" s="399"/>
      <c r="DX686" s="399"/>
      <c r="DY686" s="399"/>
      <c r="DZ686" s="399"/>
      <c r="EA686" s="399"/>
      <c r="EB686" s="399"/>
      <c r="EC686" s="47"/>
      <c r="ED686" s="399"/>
      <c r="EE686" s="399"/>
      <c r="EF686" s="399"/>
      <c r="EG686" s="399"/>
      <c r="EH686" s="399"/>
      <c r="EI686" s="399"/>
      <c r="EJ686" s="47"/>
      <c r="EK686" s="399"/>
      <c r="EL686" s="399"/>
      <c r="EM686" s="399"/>
      <c r="EN686" s="399"/>
      <c r="EO686" s="399"/>
      <c r="EP686" s="399"/>
      <c r="EQ686" s="47"/>
    </row>
    <row r="687" spans="1:147" ht="10.199999999999999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399"/>
      <c r="P687" s="399"/>
      <c r="Q687" s="399"/>
      <c r="R687" s="399"/>
      <c r="S687" s="399"/>
      <c r="T687" s="399"/>
      <c r="U687" s="47"/>
      <c r="V687" s="399"/>
      <c r="W687" s="399"/>
      <c r="X687" s="399"/>
      <c r="Y687" s="399"/>
      <c r="Z687" s="399"/>
      <c r="AA687" s="399"/>
      <c r="AB687" s="47"/>
      <c r="AC687" s="399"/>
      <c r="AD687" s="399"/>
      <c r="AE687" s="399"/>
      <c r="AF687" s="399"/>
      <c r="AG687" s="399"/>
      <c r="AH687" s="399"/>
      <c r="AI687" s="47"/>
      <c r="AJ687" s="399"/>
      <c r="AK687" s="399"/>
      <c r="AL687" s="399"/>
      <c r="AM687" s="399"/>
      <c r="AN687" s="399"/>
      <c r="AO687" s="399"/>
      <c r="AP687" s="47"/>
      <c r="AQ687" s="399"/>
      <c r="AR687" s="399"/>
      <c r="AS687" s="399"/>
      <c r="AT687" s="399"/>
      <c r="AU687" s="399"/>
      <c r="AV687" s="399"/>
      <c r="AW687" s="47"/>
      <c r="AX687" s="399"/>
      <c r="AY687" s="399"/>
      <c r="AZ687" s="399"/>
      <c r="BA687" s="399"/>
      <c r="BB687" s="399"/>
      <c r="BC687" s="399"/>
      <c r="BD687" s="47"/>
      <c r="BE687" s="399"/>
      <c r="BF687" s="399"/>
      <c r="BG687" s="399"/>
      <c r="BH687" s="399"/>
      <c r="BI687" s="399"/>
      <c r="BJ687" s="399"/>
      <c r="BK687" s="47"/>
      <c r="BL687" s="399"/>
      <c r="BM687" s="399"/>
      <c r="BN687" s="399"/>
      <c r="BO687" s="399"/>
      <c r="BP687" s="399"/>
      <c r="BQ687" s="399"/>
      <c r="BR687" s="47"/>
      <c r="BS687" s="399"/>
      <c r="BT687" s="399"/>
      <c r="BU687" s="399"/>
      <c r="BV687" s="399"/>
      <c r="BW687" s="399"/>
      <c r="BX687" s="399"/>
      <c r="BY687" s="47"/>
      <c r="BZ687" s="399"/>
      <c r="CA687" s="399"/>
      <c r="CB687" s="399"/>
      <c r="CC687" s="399"/>
      <c r="CD687" s="399"/>
      <c r="CE687" s="399"/>
      <c r="CF687" s="47"/>
      <c r="CG687" s="399"/>
      <c r="CH687" s="399"/>
      <c r="CI687" s="399"/>
      <c r="CJ687" s="399"/>
      <c r="CK687" s="399"/>
      <c r="CL687" s="399"/>
      <c r="CM687" s="47"/>
      <c r="CN687" s="399"/>
      <c r="CO687" s="399"/>
      <c r="CP687" s="399"/>
      <c r="CQ687" s="399"/>
      <c r="CR687" s="399"/>
      <c r="CS687" s="399"/>
      <c r="CT687" s="47"/>
      <c r="CU687" s="399"/>
      <c r="CV687" s="399"/>
      <c r="CW687" s="399"/>
      <c r="CX687" s="399"/>
      <c r="CY687" s="399"/>
      <c r="CZ687" s="399"/>
      <c r="DA687" s="47"/>
      <c r="DB687" s="399"/>
      <c r="DC687" s="399"/>
      <c r="DD687" s="399"/>
      <c r="DE687" s="399"/>
      <c r="DF687" s="399"/>
      <c r="DG687" s="399"/>
      <c r="DH687" s="47"/>
      <c r="DI687" s="399"/>
      <c r="DJ687" s="399"/>
      <c r="DK687" s="399"/>
      <c r="DL687" s="399"/>
      <c r="DM687" s="399"/>
      <c r="DN687" s="399"/>
      <c r="DO687" s="47"/>
      <c r="DP687" s="399"/>
      <c r="DQ687" s="399"/>
      <c r="DR687" s="399"/>
      <c r="DS687" s="399"/>
      <c r="DT687" s="399"/>
      <c r="DU687" s="399"/>
      <c r="DV687" s="47"/>
      <c r="DW687" s="399"/>
      <c r="DX687" s="399"/>
      <c r="DY687" s="399"/>
      <c r="DZ687" s="399"/>
      <c r="EA687" s="399"/>
      <c r="EB687" s="399"/>
      <c r="EC687" s="47"/>
      <c r="ED687" s="399"/>
      <c r="EE687" s="399"/>
      <c r="EF687" s="399"/>
      <c r="EG687" s="399"/>
      <c r="EH687" s="399"/>
      <c r="EI687" s="399"/>
      <c r="EJ687" s="47"/>
      <c r="EK687" s="399"/>
      <c r="EL687" s="399"/>
      <c r="EM687" s="399"/>
      <c r="EN687" s="399"/>
      <c r="EO687" s="399"/>
      <c r="EP687" s="399"/>
      <c r="EQ687" s="47"/>
    </row>
    <row r="688" spans="1:147" ht="13.2">
      <c r="A688" s="48" t="s">
        <v>937</v>
      </c>
      <c r="CS688" s="230" t="s">
        <v>947</v>
      </c>
      <c r="CT688" s="47"/>
      <c r="CU688" s="230" t="s">
        <v>940</v>
      </c>
      <c r="CV688" s="230" t="s">
        <v>941</v>
      </c>
      <c r="CW688" s="230" t="s">
        <v>942</v>
      </c>
      <c r="CX688" s="230" t="s">
        <v>943</v>
      </c>
      <c r="CY688" s="230" t="s">
        <v>944</v>
      </c>
      <c r="CZ688" s="230" t="s">
        <v>945</v>
      </c>
      <c r="DA688" s="163" t="s">
        <v>946</v>
      </c>
      <c r="DB688" s="230" t="s">
        <v>934</v>
      </c>
      <c r="DC688" s="230" t="s">
        <v>935</v>
      </c>
      <c r="DD688" s="230" t="s">
        <v>936</v>
      </c>
      <c r="DE688" s="230" t="s">
        <v>933</v>
      </c>
      <c r="DF688" s="230" t="s">
        <v>932</v>
      </c>
      <c r="DG688" s="230" t="s">
        <v>938</v>
      </c>
      <c r="DH688" s="163" t="s">
        <v>939</v>
      </c>
      <c r="DI688" s="399"/>
      <c r="DJ688" s="399"/>
      <c r="DK688" s="399"/>
      <c r="DL688" s="399"/>
      <c r="DM688" s="399"/>
      <c r="DN688" s="399"/>
      <c r="DO688" s="47"/>
      <c r="DP688" s="399"/>
      <c r="DQ688" s="399"/>
      <c r="DR688" s="399"/>
      <c r="DS688" s="399"/>
      <c r="DT688" s="399"/>
      <c r="DU688" s="399"/>
      <c r="DV688" s="47"/>
      <c r="DW688" s="399"/>
      <c r="DX688" s="399"/>
      <c r="DY688" s="399"/>
      <c r="DZ688" s="399"/>
      <c r="EA688" s="399"/>
      <c r="EB688" s="399"/>
      <c r="EC688" s="47"/>
      <c r="ED688" s="399"/>
      <c r="EE688" s="399"/>
      <c r="EF688" s="399"/>
      <c r="EG688" s="399"/>
      <c r="EH688" s="399"/>
      <c r="EI688" s="399"/>
      <c r="EJ688" s="47"/>
      <c r="EK688" s="399"/>
      <c r="EL688" s="399"/>
      <c r="EM688" s="399"/>
      <c r="EN688" s="399"/>
      <c r="EO688" s="399"/>
      <c r="EP688" s="399"/>
      <c r="EQ688" s="47"/>
    </row>
    <row r="689" spans="1:147" ht="10.199999999999999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399"/>
      <c r="P689" s="399"/>
      <c r="Q689" s="399"/>
      <c r="R689" s="399"/>
      <c r="S689" s="399"/>
      <c r="T689" s="399"/>
      <c r="U689" s="47"/>
      <c r="V689" s="399"/>
      <c r="W689" s="399"/>
      <c r="X689" s="399"/>
      <c r="Y689" s="399"/>
      <c r="Z689" s="399"/>
      <c r="AA689" s="399"/>
      <c r="AB689" s="47"/>
      <c r="AC689" s="399"/>
      <c r="AD689" s="399"/>
      <c r="AE689" s="399"/>
      <c r="AF689" s="399"/>
      <c r="AG689" s="399"/>
      <c r="AH689" s="399"/>
      <c r="AI689" s="47"/>
      <c r="AJ689" s="399"/>
      <c r="AK689" s="399"/>
      <c r="AL689" s="399"/>
      <c r="AM689" s="399"/>
      <c r="AN689" s="399"/>
      <c r="AO689" s="399"/>
      <c r="AP689" s="47"/>
      <c r="AQ689" s="399"/>
      <c r="AR689" s="399"/>
      <c r="AS689" s="399"/>
      <c r="AT689" s="399"/>
      <c r="AU689" s="399"/>
      <c r="AV689" s="399"/>
      <c r="AW689" s="47"/>
      <c r="AX689" s="399"/>
      <c r="AY689" s="399"/>
      <c r="AZ689" s="399"/>
      <c r="BA689" s="399"/>
      <c r="BB689" s="399"/>
      <c r="BC689" s="399"/>
      <c r="BD689" s="47"/>
      <c r="BE689" s="399"/>
      <c r="BF689" s="399"/>
      <c r="BG689" s="399"/>
      <c r="BH689" s="399"/>
      <c r="BI689" s="399"/>
      <c r="BJ689" s="399"/>
      <c r="BK689" s="47"/>
      <c r="BL689" s="399"/>
      <c r="BM689" s="399"/>
      <c r="BN689" s="399"/>
      <c r="BO689" s="399"/>
      <c r="BP689" s="399"/>
      <c r="BQ689" s="399"/>
      <c r="BR689" s="47"/>
      <c r="BS689" s="399"/>
      <c r="BT689" s="399"/>
      <c r="BU689" s="399"/>
      <c r="BV689" s="399"/>
      <c r="BW689" s="399"/>
      <c r="BX689" s="399"/>
      <c r="BY689" s="47"/>
      <c r="BZ689" s="399"/>
      <c r="CA689" s="399"/>
      <c r="CB689" s="399"/>
      <c r="CC689" s="399"/>
      <c r="CD689" s="399"/>
      <c r="CE689" s="399"/>
      <c r="CF689" s="47"/>
      <c r="CG689" s="399"/>
      <c r="CH689" s="399"/>
      <c r="CI689" s="399"/>
      <c r="CJ689" s="399"/>
      <c r="CK689" s="399"/>
      <c r="CL689" s="399"/>
      <c r="CM689" s="47"/>
      <c r="CN689" s="399"/>
      <c r="CO689" s="399"/>
      <c r="CP689" s="399"/>
      <c r="CQ689" s="399"/>
      <c r="CR689" s="399"/>
      <c r="CS689" s="399"/>
      <c r="CT689" s="47"/>
      <c r="CU689" s="399"/>
      <c r="CV689" s="399"/>
      <c r="CW689" s="399"/>
      <c r="CX689" s="399"/>
      <c r="CY689" s="399"/>
      <c r="CZ689" s="399"/>
      <c r="DA689" s="47"/>
      <c r="DB689" s="399"/>
      <c r="DC689" s="399"/>
      <c r="DD689" s="399"/>
      <c r="DE689" s="399"/>
      <c r="DF689" s="399"/>
      <c r="DG689" s="399"/>
      <c r="DH689" s="47"/>
      <c r="DI689" s="399"/>
      <c r="DJ689" s="399"/>
      <c r="DK689" s="399"/>
      <c r="DL689" s="399"/>
      <c r="DM689" s="399"/>
      <c r="DN689" s="399"/>
      <c r="DO689" s="47"/>
      <c r="DP689" s="399"/>
      <c r="DQ689" s="399"/>
      <c r="DR689" s="399"/>
      <c r="DS689" s="399"/>
      <c r="DT689" s="399"/>
      <c r="DU689" s="399"/>
      <c r="DV689" s="47"/>
      <c r="DW689" s="399"/>
      <c r="DX689" s="399"/>
      <c r="DY689" s="399"/>
      <c r="DZ689" s="399"/>
      <c r="EA689" s="399"/>
      <c r="EB689" s="399"/>
      <c r="EC689" s="47"/>
      <c r="ED689" s="399"/>
      <c r="EE689" s="399"/>
      <c r="EF689" s="399"/>
      <c r="EG689" s="399"/>
      <c r="EH689" s="399"/>
      <c r="EI689" s="399"/>
      <c r="EJ689" s="47"/>
      <c r="EK689" s="399"/>
      <c r="EL689" s="399"/>
      <c r="EM689" s="399"/>
      <c r="EN689" s="399"/>
      <c r="EO689" s="399"/>
      <c r="EP689" s="399"/>
      <c r="EQ689" s="47"/>
    </row>
    <row r="690" spans="1:147" ht="10.199999999999999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399"/>
      <c r="P690" s="399"/>
      <c r="Q690" s="399"/>
      <c r="R690" s="399"/>
      <c r="S690" s="399"/>
      <c r="T690" s="399"/>
      <c r="U690" s="47"/>
      <c r="V690" s="399"/>
      <c r="W690" s="399"/>
      <c r="X690" s="399"/>
      <c r="Y690" s="399"/>
      <c r="Z690" s="399"/>
      <c r="AA690" s="399"/>
      <c r="AB690" s="47"/>
      <c r="AC690" s="399"/>
      <c r="AD690" s="399"/>
      <c r="AE690" s="399"/>
      <c r="AF690" s="399"/>
      <c r="AG690" s="399"/>
      <c r="AH690" s="399"/>
      <c r="AI690" s="47"/>
      <c r="AJ690" s="399"/>
      <c r="AK690" s="399"/>
      <c r="AL690" s="399"/>
      <c r="AM690" s="399"/>
      <c r="AN690" s="399"/>
      <c r="AO690" s="399"/>
      <c r="AP690" s="47"/>
      <c r="AQ690" s="399"/>
      <c r="AR690" s="399"/>
      <c r="AS690" s="399"/>
      <c r="AT690" s="399"/>
      <c r="AU690" s="399"/>
      <c r="AV690" s="399"/>
      <c r="AW690" s="47"/>
      <c r="AX690" s="399"/>
      <c r="AY690" s="399"/>
      <c r="AZ690" s="399"/>
      <c r="BA690" s="399"/>
      <c r="BB690" s="399"/>
      <c r="BC690" s="399"/>
      <c r="BD690" s="47"/>
      <c r="BE690" s="399"/>
      <c r="BF690" s="399"/>
      <c r="BG690" s="399"/>
      <c r="BH690" s="399"/>
      <c r="BI690" s="399"/>
      <c r="BJ690" s="399"/>
      <c r="BK690" s="47"/>
      <c r="BL690" s="399"/>
      <c r="BM690" s="399"/>
      <c r="BN690" s="399"/>
      <c r="BO690" s="399"/>
      <c r="BP690" s="399"/>
      <c r="BQ690" s="399"/>
      <c r="BR690" s="47"/>
      <c r="BS690" s="399"/>
      <c r="BT690" s="399"/>
      <c r="BU690" s="399"/>
      <c r="BV690" s="399"/>
      <c r="BW690" s="399"/>
      <c r="BX690" s="399"/>
      <c r="BY690" s="47"/>
      <c r="BZ690" s="399"/>
      <c r="CA690" s="399"/>
      <c r="CB690" s="399"/>
      <c r="CC690" s="399"/>
      <c r="CD690" s="399"/>
      <c r="CE690" s="399"/>
      <c r="CF690" s="47"/>
      <c r="CG690" s="399"/>
      <c r="CH690" s="399"/>
      <c r="CI690" s="399"/>
      <c r="CJ690" s="399"/>
      <c r="CK690" s="399"/>
      <c r="CL690" s="399"/>
      <c r="CM690" s="47"/>
      <c r="CN690" s="399"/>
      <c r="CO690" s="399"/>
      <c r="CP690" s="399"/>
      <c r="CQ690" s="399"/>
      <c r="CR690" s="399"/>
      <c r="CS690" s="399"/>
      <c r="CT690" s="47"/>
      <c r="CU690" s="399"/>
      <c r="CV690" s="399"/>
      <c r="CW690" s="399"/>
      <c r="CX690" s="399"/>
      <c r="CY690" s="399"/>
      <c r="CZ690" s="399"/>
      <c r="DA690" s="47"/>
      <c r="DB690" s="399"/>
      <c r="DC690" s="399"/>
      <c r="DD690" s="399"/>
      <c r="DE690" s="399"/>
      <c r="DF690" s="399"/>
      <c r="DG690" s="399"/>
      <c r="DH690" s="47"/>
      <c r="DI690" s="399"/>
      <c r="DJ690" s="399"/>
      <c r="DK690" s="399"/>
      <c r="DL690" s="399"/>
      <c r="DM690" s="399"/>
      <c r="DN690" s="399"/>
      <c r="DO690" s="47"/>
      <c r="DP690" s="399"/>
      <c r="DQ690" s="399"/>
      <c r="DR690" s="399"/>
      <c r="DS690" s="399"/>
      <c r="DT690" s="399"/>
      <c r="DU690" s="399"/>
      <c r="DV690" s="47"/>
      <c r="DW690" s="399"/>
      <c r="DX690" s="399"/>
      <c r="DY690" s="399"/>
      <c r="DZ690" s="399"/>
      <c r="EA690" s="399"/>
      <c r="EB690" s="399"/>
      <c r="EC690" s="47"/>
      <c r="ED690" s="399"/>
      <c r="EE690" s="399"/>
      <c r="EF690" s="399"/>
      <c r="EG690" s="399"/>
      <c r="EH690" s="399"/>
      <c r="EI690" s="399"/>
      <c r="EJ690" s="47"/>
      <c r="EK690" s="399"/>
      <c r="EL690" s="399"/>
      <c r="EM690" s="399"/>
      <c r="EN690" s="399"/>
      <c r="EO690" s="399"/>
      <c r="EP690" s="399"/>
      <c r="EQ690" s="47"/>
    </row>
    <row r="691" spans="1:147" ht="10.199999999999999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399"/>
      <c r="P691" s="399"/>
      <c r="Q691" s="399"/>
      <c r="R691" s="399"/>
      <c r="S691" s="399"/>
      <c r="T691" s="399"/>
      <c r="U691" s="47"/>
      <c r="V691" s="399"/>
      <c r="W691" s="399"/>
      <c r="X691" s="399"/>
      <c r="Y691" s="399"/>
      <c r="Z691" s="399"/>
      <c r="AA691" s="399"/>
      <c r="AB691" s="47"/>
      <c r="AC691" s="399"/>
      <c r="AD691" s="399"/>
      <c r="AE691" s="399"/>
      <c r="AF691" s="399"/>
      <c r="AG691" s="399"/>
      <c r="AH691" s="399"/>
      <c r="AI691" s="47"/>
      <c r="AJ691" s="399"/>
      <c r="AK691" s="399"/>
      <c r="AL691" s="399"/>
      <c r="AM691" s="399"/>
      <c r="AN691" s="399"/>
      <c r="AO691" s="399"/>
      <c r="AP691" s="47"/>
      <c r="AQ691" s="399"/>
      <c r="AR691" s="399"/>
      <c r="AS691" s="399"/>
      <c r="AT691" s="399"/>
      <c r="AU691" s="399"/>
      <c r="AV691" s="399"/>
      <c r="AW691" s="47"/>
      <c r="AX691" s="399"/>
      <c r="AY691" s="399"/>
      <c r="AZ691" s="399"/>
      <c r="BA691" s="399"/>
      <c r="BB691" s="399"/>
      <c r="BC691" s="399"/>
      <c r="BD691" s="47"/>
      <c r="BE691" s="399"/>
      <c r="BF691" s="399"/>
      <c r="BG691" s="399"/>
      <c r="BH691" s="399"/>
      <c r="BI691" s="399"/>
      <c r="BJ691" s="399"/>
      <c r="BK691" s="47"/>
      <c r="BL691" s="399"/>
      <c r="BM691" s="399"/>
      <c r="BN691" s="399"/>
      <c r="BO691" s="399"/>
      <c r="BP691" s="399"/>
      <c r="BQ691" s="399"/>
      <c r="BR691" s="47"/>
      <c r="BS691" s="399"/>
      <c r="BT691" s="399"/>
      <c r="BU691" s="399"/>
      <c r="BV691" s="399"/>
      <c r="BW691" s="399"/>
      <c r="BX691" s="399"/>
      <c r="BY691" s="47"/>
      <c r="BZ691" s="399"/>
      <c r="CA691" s="399"/>
      <c r="CB691" s="399"/>
      <c r="CC691" s="399"/>
      <c r="CD691" s="399"/>
      <c r="CE691" s="399"/>
      <c r="CF691" s="47"/>
      <c r="CG691" s="399"/>
      <c r="CH691" s="399"/>
      <c r="CI691" s="399"/>
      <c r="CJ691" s="399"/>
      <c r="CK691" s="399"/>
      <c r="CL691" s="399"/>
      <c r="CM691" s="47"/>
      <c r="CN691" s="399"/>
      <c r="CO691" s="399"/>
      <c r="CP691" s="399"/>
      <c r="CQ691" s="399"/>
      <c r="CR691" s="399"/>
      <c r="CS691" s="399"/>
      <c r="CT691" s="47"/>
      <c r="CU691" s="399"/>
      <c r="CV691" s="399"/>
      <c r="CW691" s="399"/>
      <c r="CX691" s="399"/>
      <c r="CY691" s="399"/>
      <c r="CZ691" s="399"/>
      <c r="DA691" s="47"/>
      <c r="DB691" s="399"/>
      <c r="DC691" s="399"/>
      <c r="DD691" s="399"/>
      <c r="DE691" s="399"/>
      <c r="DF691" s="399"/>
      <c r="DG691" s="399"/>
      <c r="DH691" s="47"/>
      <c r="DI691" s="399"/>
      <c r="DJ691" s="399"/>
      <c r="DK691" s="399"/>
      <c r="DL691" s="399"/>
      <c r="DM691" s="399"/>
      <c r="DN691" s="399"/>
      <c r="DO691" s="47"/>
      <c r="DP691" s="399"/>
      <c r="DQ691" s="399"/>
      <c r="DR691" s="399"/>
      <c r="DS691" s="399"/>
      <c r="DT691" s="399"/>
      <c r="DU691" s="399"/>
      <c r="DV691" s="47"/>
      <c r="DW691" s="399"/>
      <c r="DX691" s="399"/>
      <c r="DY691" s="399"/>
      <c r="DZ691" s="399"/>
      <c r="EA691" s="399"/>
      <c r="EB691" s="399"/>
      <c r="EC691" s="47"/>
      <c r="ED691" s="399"/>
      <c r="EE691" s="399"/>
      <c r="EF691" s="399"/>
      <c r="EG691" s="399"/>
      <c r="EH691" s="399"/>
      <c r="EI691" s="399"/>
      <c r="EJ691" s="47"/>
      <c r="EK691" s="399"/>
      <c r="EL691" s="399"/>
      <c r="EM691" s="399"/>
      <c r="EN691" s="399"/>
      <c r="EO691" s="399"/>
      <c r="EP691" s="399"/>
      <c r="EQ691" s="47"/>
    </row>
    <row r="692" spans="1:147" ht="10.199999999999999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399"/>
      <c r="P692" s="399"/>
      <c r="Q692" s="399"/>
      <c r="R692" s="399"/>
      <c r="S692" s="399"/>
      <c r="T692" s="399"/>
      <c r="U692" s="47"/>
      <c r="V692" s="399"/>
      <c r="W692" s="399"/>
      <c r="X692" s="399"/>
      <c r="Y692" s="399"/>
      <c r="Z692" s="399"/>
      <c r="AA692" s="399"/>
      <c r="AB692" s="47"/>
      <c r="AC692" s="399"/>
      <c r="AD692" s="399"/>
      <c r="AE692" s="399"/>
      <c r="AF692" s="399"/>
      <c r="AG692" s="399"/>
      <c r="AH692" s="399"/>
      <c r="AI692" s="47"/>
      <c r="AJ692" s="399"/>
      <c r="AK692" s="399"/>
      <c r="AL692" s="399"/>
      <c r="AM692" s="399"/>
      <c r="AN692" s="399"/>
      <c r="AO692" s="399"/>
      <c r="AP692" s="47"/>
      <c r="AQ692" s="399"/>
      <c r="AR692" s="399"/>
      <c r="AS692" s="399"/>
      <c r="AT692" s="399"/>
      <c r="AU692" s="399"/>
      <c r="AV692" s="399"/>
      <c r="AW692" s="47"/>
      <c r="AX692" s="399"/>
      <c r="AY692" s="399"/>
      <c r="AZ692" s="399"/>
      <c r="BA692" s="399"/>
      <c r="BB692" s="399"/>
      <c r="BC692" s="399"/>
      <c r="BD692" s="47"/>
      <c r="BE692" s="399"/>
      <c r="BF692" s="399"/>
      <c r="BG692" s="399"/>
      <c r="BH692" s="399"/>
      <c r="BI692" s="399"/>
      <c r="BJ692" s="399"/>
      <c r="BK692" s="47"/>
      <c r="BL692" s="399"/>
      <c r="BM692" s="399"/>
      <c r="BN692" s="399"/>
      <c r="BO692" s="399"/>
      <c r="BP692" s="399"/>
      <c r="BQ692" s="399"/>
      <c r="BR692" s="47"/>
      <c r="BS692" s="399"/>
      <c r="BT692" s="399"/>
      <c r="BU692" s="399"/>
      <c r="BV692" s="399"/>
      <c r="BW692" s="399"/>
      <c r="BX692" s="399"/>
      <c r="BY692" s="47"/>
      <c r="BZ692" s="399"/>
      <c r="CA692" s="399"/>
      <c r="CB692" s="399"/>
      <c r="CC692" s="399"/>
      <c r="CD692" s="399"/>
      <c r="CE692" s="399"/>
      <c r="CF692" s="47"/>
      <c r="CG692" s="399"/>
      <c r="CH692" s="399"/>
      <c r="CI692" s="399"/>
      <c r="CJ692" s="399"/>
      <c r="CK692" s="399"/>
      <c r="CL692" s="399"/>
      <c r="CM692" s="47"/>
      <c r="CN692" s="399"/>
      <c r="CO692" s="399"/>
      <c r="CP692" s="399"/>
      <c r="CQ692" s="399"/>
      <c r="CR692" s="399"/>
      <c r="CS692" s="399"/>
      <c r="CT692" s="47"/>
      <c r="CU692" s="399"/>
      <c r="CV692" s="399"/>
      <c r="CW692" s="399"/>
      <c r="CX692" s="399"/>
      <c r="CY692" s="399"/>
      <c r="CZ692" s="399"/>
      <c r="DA692" s="47"/>
      <c r="DB692" s="399"/>
      <c r="DC692" s="399"/>
      <c r="DD692" s="399"/>
      <c r="DE692" s="399"/>
      <c r="DF692" s="399"/>
      <c r="DG692" s="399"/>
      <c r="DH692" s="47"/>
      <c r="DI692" s="399"/>
      <c r="DJ692" s="399"/>
      <c r="DK692" s="399"/>
      <c r="DL692" s="399"/>
      <c r="DM692" s="399"/>
      <c r="DN692" s="399"/>
      <c r="DO692" s="47"/>
      <c r="DP692" s="399"/>
      <c r="DQ692" s="399"/>
      <c r="DR692" s="399"/>
      <c r="DS692" s="399"/>
      <c r="DT692" s="399"/>
      <c r="DU692" s="399"/>
      <c r="DV692" s="47"/>
      <c r="DW692" s="399"/>
      <c r="DX692" s="399"/>
      <c r="DY692" s="399"/>
      <c r="DZ692" s="399"/>
      <c r="EA692" s="399"/>
      <c r="EB692" s="399"/>
      <c r="EC692" s="47"/>
      <c r="ED692" s="399"/>
      <c r="EE692" s="399"/>
      <c r="EF692" s="399"/>
      <c r="EG692" s="399"/>
      <c r="EH692" s="399"/>
      <c r="EI692" s="399"/>
      <c r="EJ692" s="47"/>
      <c r="EK692" s="399"/>
      <c r="EL692" s="399"/>
      <c r="EM692" s="399"/>
      <c r="EN692" s="399"/>
      <c r="EO692" s="399"/>
      <c r="EP692" s="399"/>
      <c r="EQ692" s="47"/>
    </row>
    <row r="693" spans="1:147" ht="10.199999999999999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399"/>
      <c r="P693" s="399"/>
      <c r="Q693" s="399"/>
      <c r="R693" s="399"/>
      <c r="S693" s="399"/>
      <c r="T693" s="399"/>
      <c r="U693" s="47"/>
      <c r="V693" s="399"/>
      <c r="W693" s="399"/>
      <c r="X693" s="399"/>
      <c r="Y693" s="399"/>
      <c r="Z693" s="399"/>
      <c r="AA693" s="399"/>
      <c r="AB693" s="47"/>
      <c r="AC693" s="399"/>
      <c r="AD693" s="399"/>
      <c r="AE693" s="399"/>
      <c r="AF693" s="399"/>
      <c r="AG693" s="399"/>
      <c r="AH693" s="399"/>
      <c r="AI693" s="47"/>
      <c r="AJ693" s="399"/>
      <c r="AK693" s="399"/>
      <c r="AL693" s="399"/>
      <c r="AM693" s="399"/>
      <c r="AN693" s="399"/>
      <c r="AO693" s="399"/>
      <c r="AP693" s="47"/>
      <c r="AQ693" s="399"/>
      <c r="AR693" s="399"/>
      <c r="AS693" s="399"/>
      <c r="AT693" s="399"/>
      <c r="AU693" s="399"/>
      <c r="AV693" s="399"/>
      <c r="AW693" s="47"/>
      <c r="AX693" s="399"/>
      <c r="AY693" s="399"/>
      <c r="AZ693" s="399"/>
      <c r="BA693" s="399"/>
      <c r="BB693" s="399"/>
      <c r="BC693" s="399"/>
      <c r="BD693" s="47"/>
      <c r="BE693" s="399"/>
      <c r="BF693" s="399"/>
      <c r="BG693" s="399"/>
      <c r="BH693" s="399"/>
      <c r="BI693" s="399"/>
      <c r="BJ693" s="399"/>
      <c r="BK693" s="47"/>
      <c r="BL693" s="399"/>
      <c r="BM693" s="399"/>
      <c r="BN693" s="399"/>
      <c r="BO693" s="399"/>
      <c r="BP693" s="399"/>
      <c r="BQ693" s="399"/>
      <c r="BR693" s="47"/>
      <c r="BS693" s="399"/>
      <c r="BT693" s="399"/>
      <c r="BU693" s="399"/>
      <c r="BV693" s="399"/>
      <c r="BW693" s="399"/>
      <c r="BX693" s="399"/>
      <c r="BY693" s="47"/>
      <c r="BZ693" s="399"/>
      <c r="CA693" s="399"/>
      <c r="CB693" s="399"/>
      <c r="CC693" s="399"/>
      <c r="CD693" s="399"/>
      <c r="CE693" s="399"/>
      <c r="CF693" s="47"/>
      <c r="CG693" s="399"/>
      <c r="CH693" s="399"/>
      <c r="CI693" s="399"/>
      <c r="CJ693" s="399"/>
      <c r="CK693" s="399"/>
      <c r="CL693" s="399"/>
      <c r="CM693" s="47"/>
      <c r="CN693" s="399"/>
      <c r="CO693" s="399"/>
      <c r="CP693" s="399"/>
      <c r="CQ693" s="399"/>
      <c r="CR693" s="399"/>
      <c r="CS693" s="399"/>
      <c r="CT693" s="47"/>
      <c r="CU693" s="399"/>
      <c r="CV693" s="399"/>
      <c r="CW693" s="399"/>
      <c r="CX693" s="399"/>
      <c r="CY693" s="399"/>
      <c r="CZ693" s="399"/>
      <c r="DA693" s="47"/>
      <c r="DB693" s="399"/>
      <c r="DC693" s="399"/>
      <c r="DD693" s="399"/>
      <c r="DE693" s="399"/>
      <c r="DF693" s="399"/>
      <c r="DG693" s="399"/>
      <c r="DH693" s="47"/>
      <c r="DI693" s="399"/>
      <c r="DJ693" s="399"/>
      <c r="DK693" s="399"/>
      <c r="DL693" s="399"/>
      <c r="DM693" s="399"/>
      <c r="DN693" s="399"/>
      <c r="DO693" s="47"/>
      <c r="DP693" s="399"/>
      <c r="DQ693" s="399"/>
      <c r="DR693" s="399"/>
      <c r="DS693" s="399"/>
      <c r="DT693" s="399"/>
      <c r="DU693" s="399"/>
      <c r="DV693" s="47"/>
      <c r="DW693" s="399"/>
      <c r="DX693" s="399"/>
      <c r="DY693" s="399"/>
      <c r="DZ693" s="399"/>
      <c r="EA693" s="399"/>
      <c r="EB693" s="399"/>
      <c r="EC693" s="47"/>
      <c r="ED693" s="399"/>
      <c r="EE693" s="399"/>
      <c r="EF693" s="399"/>
      <c r="EG693" s="399"/>
      <c r="EH693" s="399"/>
      <c r="EI693" s="399"/>
      <c r="EJ693" s="47"/>
      <c r="EK693" s="399"/>
      <c r="EL693" s="399"/>
      <c r="EM693" s="399"/>
      <c r="EN693" s="399"/>
      <c r="EO693" s="399"/>
      <c r="EP693" s="399"/>
      <c r="EQ693" s="47"/>
    </row>
    <row r="694" spans="1:147" ht="10.199999999999999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399"/>
      <c r="P694" s="399"/>
      <c r="Q694" s="399"/>
      <c r="R694" s="399"/>
      <c r="S694" s="399"/>
      <c r="T694" s="399"/>
      <c r="U694" s="47"/>
      <c r="V694" s="399"/>
      <c r="W694" s="399"/>
      <c r="X694" s="399"/>
      <c r="Y694" s="399"/>
      <c r="Z694" s="399"/>
      <c r="AA694" s="399"/>
      <c r="AB694" s="47"/>
      <c r="AC694" s="399"/>
      <c r="AD694" s="399"/>
      <c r="AE694" s="399"/>
      <c r="AF694" s="399"/>
      <c r="AG694" s="399"/>
      <c r="AH694" s="399"/>
      <c r="AI694" s="47"/>
      <c r="AJ694" s="399"/>
      <c r="AK694" s="399"/>
      <c r="AL694" s="399"/>
      <c r="AM694" s="399"/>
      <c r="AN694" s="399"/>
      <c r="AO694" s="399"/>
      <c r="AP694" s="47"/>
      <c r="AQ694" s="399"/>
      <c r="AR694" s="399"/>
      <c r="AS694" s="399"/>
      <c r="AT694" s="399"/>
      <c r="AU694" s="399"/>
      <c r="AV694" s="399"/>
      <c r="AW694" s="47"/>
      <c r="AX694" s="399"/>
      <c r="AY694" s="399"/>
      <c r="AZ694" s="399"/>
      <c r="BA694" s="399"/>
      <c r="BB694" s="399"/>
      <c r="BC694" s="399"/>
      <c r="BD694" s="47"/>
      <c r="BE694" s="399"/>
      <c r="BF694" s="399"/>
      <c r="BG694" s="399"/>
      <c r="BH694" s="399"/>
      <c r="BI694" s="399"/>
      <c r="BJ694" s="399"/>
      <c r="BK694" s="47"/>
      <c r="BL694" s="399"/>
      <c r="BM694" s="399"/>
      <c r="BN694" s="399"/>
      <c r="BO694" s="399"/>
      <c r="BP694" s="399"/>
      <c r="BQ694" s="399"/>
      <c r="BR694" s="47"/>
      <c r="BS694" s="399"/>
      <c r="BT694" s="399"/>
      <c r="BU694" s="399"/>
      <c r="BV694" s="399"/>
      <c r="BW694" s="399"/>
      <c r="BX694" s="399"/>
      <c r="BY694" s="47"/>
      <c r="BZ694" s="399"/>
      <c r="CA694" s="399"/>
      <c r="CB694" s="399"/>
      <c r="CC694" s="399"/>
      <c r="CD694" s="399"/>
      <c r="CE694" s="399"/>
      <c r="CF694" s="47"/>
      <c r="CG694" s="399"/>
      <c r="CH694" s="399"/>
      <c r="CI694" s="399"/>
      <c r="CJ694" s="399"/>
      <c r="CK694" s="399"/>
      <c r="CL694" s="399"/>
      <c r="CM694" s="47"/>
      <c r="CN694" s="399"/>
      <c r="CO694" s="399"/>
      <c r="CP694" s="399"/>
      <c r="CQ694" s="399"/>
      <c r="CR694" s="399"/>
      <c r="CS694" s="399"/>
      <c r="CT694" s="47"/>
      <c r="CU694" s="399"/>
      <c r="CV694" s="399"/>
      <c r="CW694" s="399"/>
      <c r="CX694" s="399"/>
      <c r="CY694" s="399"/>
      <c r="CZ694" s="399"/>
      <c r="DA694" s="47"/>
      <c r="DB694" s="399"/>
      <c r="DC694" s="399"/>
      <c r="DD694" s="399"/>
      <c r="DE694" s="399"/>
      <c r="DF694" s="399"/>
      <c r="DG694" s="399"/>
      <c r="DH694" s="47"/>
      <c r="DI694" s="399"/>
      <c r="DJ694" s="399"/>
      <c r="DK694" s="399"/>
      <c r="DL694" s="399"/>
      <c r="DM694" s="399"/>
      <c r="DN694" s="399"/>
      <c r="DO694" s="47"/>
      <c r="DP694" s="399"/>
      <c r="DQ694" s="399"/>
      <c r="DR694" s="399"/>
      <c r="DS694" s="399"/>
      <c r="DT694" s="399"/>
      <c r="DU694" s="399"/>
      <c r="DV694" s="47"/>
      <c r="DW694" s="399"/>
      <c r="DX694" s="399"/>
      <c r="DY694" s="399"/>
      <c r="DZ694" s="399"/>
      <c r="EA694" s="399"/>
      <c r="EB694" s="399"/>
      <c r="EC694" s="47"/>
      <c r="ED694" s="399"/>
      <c r="EE694" s="399"/>
      <c r="EF694" s="399"/>
      <c r="EG694" s="399"/>
      <c r="EH694" s="399"/>
      <c r="EI694" s="399"/>
      <c r="EJ694" s="47"/>
      <c r="EK694" s="399"/>
      <c r="EL694" s="399"/>
      <c r="EM694" s="399"/>
      <c r="EN694" s="399"/>
      <c r="EO694" s="399"/>
      <c r="EP694" s="399"/>
      <c r="EQ694" s="47"/>
    </row>
    <row r="695" spans="1:147" ht="10.199999999999999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399"/>
      <c r="P695" s="399"/>
      <c r="Q695" s="399"/>
      <c r="R695" s="399"/>
      <c r="S695" s="399"/>
      <c r="T695" s="399"/>
      <c r="U695" s="47"/>
      <c r="V695" s="399"/>
      <c r="W695" s="399"/>
      <c r="X695" s="399"/>
      <c r="Y695" s="399"/>
      <c r="Z695" s="399"/>
      <c r="AA695" s="399"/>
      <c r="AB695" s="47"/>
      <c r="AC695" s="399"/>
      <c r="AD695" s="399"/>
      <c r="AE695" s="399"/>
      <c r="AF695" s="399"/>
      <c r="AG695" s="399"/>
      <c r="AH695" s="399"/>
      <c r="AI695" s="47"/>
      <c r="AJ695" s="399"/>
      <c r="AK695" s="399"/>
      <c r="AL695" s="399"/>
      <c r="AM695" s="399"/>
      <c r="AN695" s="399"/>
      <c r="AO695" s="399"/>
      <c r="AP695" s="47"/>
      <c r="AQ695" s="399"/>
      <c r="AR695" s="399"/>
      <c r="AS695" s="399"/>
      <c r="AT695" s="399"/>
      <c r="AU695" s="399"/>
      <c r="AV695" s="399"/>
      <c r="AW695" s="47"/>
      <c r="AX695" s="399"/>
      <c r="AY695" s="399"/>
      <c r="AZ695" s="399"/>
      <c r="BA695" s="399"/>
      <c r="BB695" s="399"/>
      <c r="BC695" s="399"/>
      <c r="BD695" s="47"/>
      <c r="BE695" s="399"/>
      <c r="BF695" s="399"/>
      <c r="BG695" s="399"/>
      <c r="BH695" s="399"/>
      <c r="BI695" s="399"/>
      <c r="BJ695" s="399"/>
      <c r="BK695" s="47"/>
      <c r="BL695" s="399"/>
      <c r="BM695" s="399"/>
      <c r="BN695" s="399"/>
      <c r="BO695" s="399"/>
      <c r="BP695" s="399"/>
      <c r="BQ695" s="399"/>
      <c r="BR695" s="47"/>
      <c r="BS695" s="399"/>
      <c r="BT695" s="399"/>
      <c r="BU695" s="399"/>
      <c r="BV695" s="399"/>
      <c r="BW695" s="399"/>
      <c r="BX695" s="399"/>
      <c r="BY695" s="47"/>
      <c r="BZ695" s="399"/>
      <c r="CA695" s="399"/>
      <c r="CB695" s="399"/>
      <c r="CC695" s="399"/>
      <c r="CD695" s="399"/>
      <c r="CE695" s="399"/>
      <c r="CF695" s="47"/>
      <c r="CG695" s="399"/>
      <c r="CH695" s="399"/>
      <c r="CI695" s="399"/>
      <c r="CJ695" s="399"/>
      <c r="CK695" s="399"/>
      <c r="CL695" s="399"/>
      <c r="CM695" s="47"/>
      <c r="CN695" s="399"/>
      <c r="CO695" s="399"/>
      <c r="CP695" s="399"/>
      <c r="CQ695" s="399"/>
      <c r="CR695" s="399"/>
      <c r="CS695" s="399"/>
      <c r="CT695" s="47"/>
      <c r="CU695" s="399"/>
      <c r="CV695" s="399"/>
      <c r="CW695" s="399"/>
      <c r="CX695" s="399"/>
      <c r="CY695" s="399"/>
      <c r="CZ695" s="399"/>
      <c r="DA695" s="47"/>
      <c r="DB695" s="399"/>
      <c r="DC695" s="399"/>
      <c r="DD695" s="399"/>
      <c r="DE695" s="399"/>
      <c r="DF695" s="399"/>
      <c r="DG695" s="399"/>
      <c r="DH695" s="47"/>
      <c r="DI695" s="399"/>
      <c r="DJ695" s="399"/>
      <c r="DK695" s="399"/>
      <c r="DL695" s="399"/>
      <c r="DM695" s="399"/>
      <c r="DN695" s="399"/>
      <c r="DO695" s="47"/>
      <c r="DP695" s="399"/>
      <c r="DQ695" s="399"/>
      <c r="DR695" s="399"/>
      <c r="DS695" s="399"/>
      <c r="DT695" s="399"/>
      <c r="DU695" s="399"/>
      <c r="DV695" s="47"/>
      <c r="DW695" s="399"/>
      <c r="DX695" s="399"/>
      <c r="DY695" s="399"/>
      <c r="DZ695" s="399"/>
      <c r="EA695" s="399"/>
      <c r="EB695" s="399"/>
      <c r="EC695" s="47"/>
      <c r="ED695" s="399"/>
      <c r="EE695" s="399"/>
      <c r="EF695" s="399"/>
      <c r="EG695" s="399"/>
      <c r="EH695" s="399"/>
      <c r="EI695" s="399"/>
      <c r="EJ695" s="47"/>
      <c r="EK695" s="399"/>
      <c r="EL695" s="399"/>
      <c r="EM695" s="399"/>
      <c r="EN695" s="399"/>
      <c r="EO695" s="399"/>
      <c r="EP695" s="399"/>
      <c r="EQ695" s="47"/>
    </row>
    <row r="696" spans="1:147" ht="10.199999999999999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399"/>
      <c r="P696" s="399"/>
      <c r="Q696" s="399"/>
      <c r="R696" s="399"/>
      <c r="S696" s="399"/>
      <c r="T696" s="399"/>
      <c r="U696" s="47"/>
      <c r="V696" s="399"/>
      <c r="W696" s="399"/>
      <c r="X696" s="399"/>
      <c r="Y696" s="399"/>
      <c r="Z696" s="399"/>
      <c r="AA696" s="399"/>
      <c r="AB696" s="47"/>
      <c r="AC696" s="399"/>
      <c r="AD696" s="399"/>
      <c r="AE696" s="399"/>
      <c r="AF696" s="399"/>
      <c r="AG696" s="399"/>
      <c r="AH696" s="399"/>
      <c r="AI696" s="47"/>
      <c r="AJ696" s="399"/>
      <c r="AK696" s="399"/>
      <c r="AL696" s="399"/>
      <c r="AM696" s="399"/>
      <c r="AN696" s="399"/>
      <c r="AO696" s="399"/>
      <c r="AP696" s="47"/>
      <c r="AQ696" s="399"/>
      <c r="AR696" s="399"/>
      <c r="AS696" s="399"/>
      <c r="AT696" s="399"/>
      <c r="AU696" s="399"/>
      <c r="AV696" s="399"/>
      <c r="AW696" s="47"/>
      <c r="AX696" s="399"/>
      <c r="AY696" s="399"/>
      <c r="AZ696" s="399"/>
      <c r="BA696" s="399"/>
      <c r="BB696" s="399"/>
      <c r="BC696" s="399"/>
      <c r="BD696" s="47"/>
      <c r="BE696" s="399"/>
      <c r="BF696" s="399"/>
      <c r="BG696" s="399"/>
      <c r="BH696" s="399"/>
      <c r="BI696" s="399"/>
      <c r="BJ696" s="399"/>
      <c r="BK696" s="47"/>
      <c r="BL696" s="399"/>
      <c r="BM696" s="399"/>
      <c r="BN696" s="399"/>
      <c r="BO696" s="399"/>
      <c r="BP696" s="399"/>
      <c r="BQ696" s="399"/>
      <c r="BR696" s="47"/>
      <c r="BS696" s="399"/>
      <c r="BT696" s="399"/>
      <c r="BU696" s="399"/>
      <c r="BV696" s="399"/>
      <c r="BW696" s="399"/>
      <c r="BX696" s="399"/>
      <c r="BY696" s="47"/>
      <c r="BZ696" s="399"/>
      <c r="CA696" s="399"/>
      <c r="CB696" s="399"/>
      <c r="CC696" s="399"/>
      <c r="CD696" s="399"/>
      <c r="CE696" s="399"/>
      <c r="CF696" s="47"/>
      <c r="CG696" s="399"/>
      <c r="CH696" s="399"/>
      <c r="CI696" s="399"/>
      <c r="CJ696" s="399"/>
      <c r="CK696" s="399"/>
      <c r="CL696" s="399"/>
      <c r="CM696" s="47"/>
      <c r="CN696" s="399"/>
      <c r="CO696" s="399"/>
      <c r="CP696" s="399"/>
      <c r="CQ696" s="399"/>
      <c r="CR696" s="399"/>
      <c r="CS696" s="399"/>
      <c r="CT696" s="47"/>
      <c r="CU696" s="399"/>
      <c r="CV696" s="399"/>
      <c r="CW696" s="399"/>
      <c r="CX696" s="399"/>
      <c r="CY696" s="399"/>
      <c r="CZ696" s="399"/>
      <c r="DA696" s="47"/>
      <c r="DB696" s="399"/>
      <c r="DC696" s="399"/>
      <c r="DD696" s="399"/>
      <c r="DE696" s="399"/>
      <c r="DF696" s="399"/>
      <c r="DG696" s="399"/>
      <c r="DH696" s="47"/>
      <c r="DI696" s="399"/>
      <c r="DJ696" s="399"/>
      <c r="DK696" s="399"/>
      <c r="DL696" s="399"/>
      <c r="DM696" s="399"/>
      <c r="DN696" s="399"/>
      <c r="DO696" s="47"/>
      <c r="DP696" s="399"/>
      <c r="DQ696" s="399"/>
      <c r="DR696" s="399"/>
      <c r="DS696" s="399"/>
      <c r="DT696" s="399"/>
      <c r="DU696" s="399"/>
      <c r="DV696" s="47"/>
      <c r="DW696" s="399"/>
      <c r="DX696" s="399"/>
      <c r="DY696" s="399"/>
      <c r="DZ696" s="399"/>
      <c r="EA696" s="399"/>
      <c r="EB696" s="399"/>
      <c r="EC696" s="47"/>
      <c r="ED696" s="399"/>
      <c r="EE696" s="399"/>
      <c r="EF696" s="399"/>
      <c r="EG696" s="399"/>
      <c r="EH696" s="399"/>
      <c r="EI696" s="399"/>
      <c r="EJ696" s="47"/>
      <c r="EK696" s="399"/>
      <c r="EL696" s="399"/>
      <c r="EM696" s="399"/>
      <c r="EN696" s="399"/>
      <c r="EO696" s="399"/>
      <c r="EP696" s="399"/>
      <c r="EQ696" s="47"/>
    </row>
    <row r="697" spans="1:147" ht="10.199999999999999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399"/>
      <c r="P697" s="399"/>
      <c r="Q697" s="399"/>
      <c r="R697" s="399"/>
      <c r="S697" s="399"/>
      <c r="T697" s="399"/>
      <c r="U697" s="47"/>
      <c r="V697" s="399"/>
      <c r="W697" s="399"/>
      <c r="X697" s="399"/>
      <c r="Y697" s="399"/>
      <c r="Z697" s="399"/>
      <c r="AA697" s="399"/>
      <c r="AB697" s="47"/>
      <c r="AC697" s="399"/>
      <c r="AD697" s="399"/>
      <c r="AE697" s="399"/>
      <c r="AF697" s="399"/>
      <c r="AG697" s="399"/>
      <c r="AH697" s="399"/>
      <c r="AI697" s="47"/>
      <c r="AJ697" s="399"/>
      <c r="AK697" s="399"/>
      <c r="AL697" s="399"/>
      <c r="AM697" s="399"/>
      <c r="AN697" s="399"/>
      <c r="AO697" s="399"/>
      <c r="AP697" s="47"/>
      <c r="AQ697" s="399"/>
      <c r="AR697" s="399"/>
      <c r="AS697" s="399"/>
      <c r="AT697" s="399"/>
      <c r="AU697" s="399"/>
      <c r="AV697" s="399"/>
      <c r="AW697" s="47"/>
      <c r="AX697" s="399"/>
      <c r="AY697" s="399"/>
      <c r="AZ697" s="399"/>
      <c r="BA697" s="399"/>
      <c r="BB697" s="399"/>
      <c r="BC697" s="399"/>
      <c r="BD697" s="47"/>
      <c r="BE697" s="399"/>
      <c r="BF697" s="399"/>
      <c r="BG697" s="399"/>
      <c r="BH697" s="399"/>
      <c r="BI697" s="399"/>
      <c r="BJ697" s="399"/>
      <c r="BK697" s="47"/>
      <c r="BL697" s="399"/>
      <c r="BM697" s="399"/>
      <c r="BN697" s="399"/>
      <c r="BO697" s="399"/>
      <c r="BP697" s="399"/>
      <c r="BQ697" s="399"/>
      <c r="BR697" s="47"/>
      <c r="BS697" s="399"/>
      <c r="BT697" s="399"/>
      <c r="BU697" s="399"/>
      <c r="BV697" s="399"/>
      <c r="BW697" s="399"/>
      <c r="BX697" s="399"/>
      <c r="BY697" s="47"/>
      <c r="BZ697" s="399"/>
      <c r="CA697" s="399"/>
      <c r="CB697" s="399"/>
      <c r="CC697" s="399"/>
      <c r="CD697" s="399"/>
      <c r="CE697" s="399"/>
      <c r="CF697" s="47"/>
      <c r="CG697" s="399"/>
      <c r="CH697" s="399"/>
      <c r="CI697" s="399"/>
      <c r="CJ697" s="399"/>
      <c r="CK697" s="399"/>
      <c r="CL697" s="399"/>
      <c r="CM697" s="47"/>
      <c r="CN697" s="399"/>
      <c r="CO697" s="399"/>
      <c r="CP697" s="399"/>
      <c r="CQ697" s="399"/>
      <c r="CR697" s="399"/>
      <c r="CS697" s="399"/>
      <c r="CT697" s="47"/>
      <c r="CU697" s="399"/>
      <c r="CV697" s="399"/>
      <c r="CW697" s="399"/>
      <c r="CX697" s="399"/>
      <c r="CY697" s="399"/>
      <c r="CZ697" s="399"/>
      <c r="DA697" s="47"/>
      <c r="DB697" s="399"/>
      <c r="DC697" s="399"/>
      <c r="DD697" s="399"/>
      <c r="DE697" s="399"/>
      <c r="DF697" s="399"/>
      <c r="DG697" s="399"/>
      <c r="DH697" s="47"/>
      <c r="DI697" s="399"/>
      <c r="DJ697" s="399"/>
      <c r="DK697" s="399"/>
      <c r="DL697" s="399"/>
      <c r="DM697" s="399"/>
      <c r="DN697" s="399"/>
      <c r="DO697" s="47"/>
      <c r="DP697" s="399"/>
      <c r="DQ697" s="399"/>
      <c r="DR697" s="399"/>
      <c r="DS697" s="399"/>
      <c r="DT697" s="399"/>
      <c r="DU697" s="399"/>
      <c r="DV697" s="47"/>
      <c r="DW697" s="399"/>
      <c r="DX697" s="399"/>
      <c r="DY697" s="399"/>
      <c r="DZ697" s="399"/>
      <c r="EA697" s="399"/>
      <c r="EB697" s="399"/>
      <c r="EC697" s="47"/>
      <c r="ED697" s="399"/>
      <c r="EE697" s="399"/>
      <c r="EF697" s="399"/>
      <c r="EG697" s="399"/>
      <c r="EH697" s="399"/>
      <c r="EI697" s="399"/>
      <c r="EJ697" s="47"/>
      <c r="EK697" s="399"/>
      <c r="EL697" s="399"/>
      <c r="EM697" s="399"/>
      <c r="EN697" s="399"/>
      <c r="EO697" s="399"/>
      <c r="EP697" s="399"/>
      <c r="EQ697" s="47"/>
    </row>
    <row r="698" spans="1:147" ht="10.199999999999999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399"/>
      <c r="P698" s="399"/>
      <c r="Q698" s="399"/>
      <c r="R698" s="399"/>
      <c r="S698" s="399"/>
      <c r="T698" s="399"/>
      <c r="U698" s="47"/>
      <c r="V698" s="399"/>
      <c r="W698" s="399"/>
      <c r="X698" s="399"/>
      <c r="Y698" s="399"/>
      <c r="Z698" s="399"/>
      <c r="AA698" s="399"/>
      <c r="AB698" s="47"/>
      <c r="AC698" s="399"/>
      <c r="AD698" s="399"/>
      <c r="AE698" s="399"/>
      <c r="AF698" s="399"/>
      <c r="AG698" s="399"/>
      <c r="AH698" s="399"/>
      <c r="AI698" s="47"/>
      <c r="AJ698" s="399"/>
      <c r="AK698" s="399"/>
      <c r="AL698" s="399"/>
      <c r="AM698" s="399"/>
      <c r="AN698" s="399"/>
      <c r="AO698" s="399"/>
      <c r="AP698" s="47"/>
      <c r="AQ698" s="399"/>
      <c r="AR698" s="399"/>
      <c r="AS698" s="399"/>
      <c r="AT698" s="399"/>
      <c r="AU698" s="399"/>
      <c r="AV698" s="399"/>
      <c r="AW698" s="47"/>
      <c r="AX698" s="399"/>
      <c r="AY698" s="399"/>
      <c r="AZ698" s="399"/>
      <c r="BA698" s="399"/>
      <c r="BB698" s="399"/>
      <c r="BC698" s="399"/>
      <c r="BD698" s="47"/>
      <c r="BE698" s="399"/>
      <c r="BF698" s="399"/>
      <c r="BG698" s="399"/>
      <c r="BH698" s="399"/>
      <c r="BI698" s="399"/>
      <c r="BJ698" s="399"/>
      <c r="BK698" s="47"/>
      <c r="BL698" s="399"/>
      <c r="BM698" s="399"/>
      <c r="BN698" s="399"/>
      <c r="BO698" s="399"/>
      <c r="BP698" s="399"/>
      <c r="BQ698" s="399"/>
      <c r="BR698" s="47"/>
      <c r="BS698" s="399"/>
      <c r="BT698" s="399"/>
      <c r="BU698" s="399"/>
      <c r="BV698" s="399"/>
      <c r="BW698" s="399"/>
      <c r="BX698" s="399"/>
      <c r="BY698" s="47"/>
      <c r="BZ698" s="399"/>
      <c r="CA698" s="399"/>
      <c r="CB698" s="399"/>
      <c r="CC698" s="399"/>
      <c r="CD698" s="399"/>
      <c r="CE698" s="399"/>
      <c r="CF698" s="47"/>
      <c r="CG698" s="399"/>
      <c r="CH698" s="399"/>
      <c r="CI698" s="399"/>
      <c r="CJ698" s="399"/>
      <c r="CK698" s="399"/>
      <c r="CL698" s="399"/>
      <c r="CM698" s="47"/>
      <c r="CN698" s="399"/>
      <c r="CO698" s="399"/>
      <c r="CP698" s="399"/>
      <c r="CQ698" s="399"/>
      <c r="CR698" s="399"/>
      <c r="CS698" s="399"/>
      <c r="CT698" s="47"/>
      <c r="CU698" s="399"/>
      <c r="CV698" s="399"/>
      <c r="CW698" s="399"/>
      <c r="CX698" s="399"/>
      <c r="CY698" s="399"/>
      <c r="CZ698" s="399"/>
      <c r="DA698" s="47"/>
      <c r="DB698" s="399"/>
      <c r="DC698" s="399"/>
      <c r="DD698" s="399"/>
      <c r="DE698" s="399"/>
      <c r="DF698" s="399"/>
      <c r="DG698" s="399"/>
      <c r="DH698" s="47"/>
      <c r="DI698" s="399"/>
      <c r="DJ698" s="399"/>
      <c r="DK698" s="399"/>
      <c r="DL698" s="399"/>
      <c r="DM698" s="399"/>
      <c r="DN698" s="399"/>
      <c r="DO698" s="47"/>
      <c r="DP698" s="399"/>
      <c r="DQ698" s="399"/>
      <c r="DR698" s="399"/>
      <c r="DS698" s="399"/>
      <c r="DT698" s="399"/>
      <c r="DU698" s="399"/>
      <c r="DV698" s="47"/>
      <c r="DW698" s="399"/>
      <c r="DX698" s="399"/>
      <c r="DY698" s="399"/>
      <c r="DZ698" s="399"/>
      <c r="EA698" s="399"/>
      <c r="EB698" s="399"/>
      <c r="EC698" s="47"/>
      <c r="ED698" s="399"/>
      <c r="EE698" s="399"/>
      <c r="EF698" s="399"/>
      <c r="EG698" s="399"/>
      <c r="EH698" s="399"/>
      <c r="EI698" s="399"/>
      <c r="EJ698" s="47"/>
      <c r="EK698" s="399"/>
      <c r="EL698" s="399"/>
      <c r="EM698" s="399"/>
      <c r="EN698" s="399"/>
      <c r="EO698" s="399"/>
      <c r="EP698" s="399"/>
      <c r="EQ698" s="47"/>
    </row>
    <row r="699" spans="1:147" ht="10.199999999999999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399"/>
      <c r="P699" s="399"/>
      <c r="Q699" s="399"/>
      <c r="R699" s="399"/>
      <c r="S699" s="399"/>
      <c r="T699" s="399"/>
      <c r="U699" s="47"/>
      <c r="V699" s="399"/>
      <c r="W699" s="399"/>
      <c r="X699" s="399"/>
      <c r="Y699" s="399"/>
      <c r="Z699" s="399"/>
      <c r="AA699" s="399"/>
      <c r="AB699" s="47"/>
      <c r="AC699" s="399"/>
      <c r="AD699" s="399"/>
      <c r="AE699" s="399"/>
      <c r="AF699" s="399"/>
      <c r="AG699" s="399"/>
      <c r="AH699" s="399"/>
      <c r="AI699" s="47"/>
      <c r="AJ699" s="399"/>
      <c r="AK699" s="399"/>
      <c r="AL699" s="399"/>
      <c r="AM699" s="399"/>
      <c r="AN699" s="399"/>
      <c r="AO699" s="399"/>
      <c r="AP699" s="47"/>
      <c r="AQ699" s="399"/>
      <c r="AR699" s="399"/>
      <c r="AS699" s="399"/>
      <c r="AT699" s="399"/>
      <c r="AU699" s="399"/>
      <c r="AV699" s="399"/>
      <c r="AW699" s="47"/>
      <c r="AX699" s="399"/>
      <c r="AY699" s="399"/>
      <c r="AZ699" s="399"/>
      <c r="BA699" s="399"/>
      <c r="BB699" s="399"/>
      <c r="BC699" s="399"/>
      <c r="BD699" s="47"/>
      <c r="BE699" s="399"/>
      <c r="BF699" s="399"/>
      <c r="BG699" s="399"/>
      <c r="BH699" s="399"/>
      <c r="BI699" s="399"/>
      <c r="BJ699" s="399"/>
      <c r="BK699" s="47"/>
      <c r="BL699" s="399"/>
      <c r="BM699" s="399"/>
      <c r="BN699" s="399"/>
      <c r="BO699" s="399"/>
      <c r="BP699" s="399"/>
      <c r="BQ699" s="399"/>
      <c r="BR699" s="47"/>
      <c r="BS699" s="399"/>
      <c r="BT699" s="399"/>
      <c r="BU699" s="399"/>
      <c r="BV699" s="399"/>
      <c r="BW699" s="399"/>
      <c r="BX699" s="399"/>
      <c r="BY699" s="47"/>
      <c r="BZ699" s="399"/>
      <c r="CA699" s="399"/>
      <c r="CB699" s="399"/>
      <c r="CC699" s="399"/>
      <c r="CD699" s="399"/>
      <c r="CE699" s="399"/>
      <c r="CF699" s="47"/>
      <c r="CG699" s="399"/>
      <c r="CH699" s="399"/>
      <c r="CI699" s="399"/>
      <c r="CJ699" s="399"/>
      <c r="CK699" s="399"/>
      <c r="CL699" s="399"/>
      <c r="CM699" s="47"/>
      <c r="CN699" s="399"/>
      <c r="CO699" s="399"/>
      <c r="CP699" s="399"/>
      <c r="CQ699" s="399"/>
      <c r="CR699" s="399"/>
      <c r="CS699" s="399"/>
      <c r="CT699" s="47"/>
      <c r="CU699" s="399"/>
      <c r="CV699" s="399"/>
      <c r="CW699" s="399"/>
      <c r="CX699" s="399"/>
      <c r="CY699" s="399"/>
      <c r="CZ699" s="399"/>
      <c r="DA699" s="47"/>
      <c r="DB699" s="399"/>
      <c r="DC699" s="399"/>
      <c r="DD699" s="399"/>
      <c r="DE699" s="399"/>
      <c r="DF699" s="399"/>
      <c r="DG699" s="399"/>
      <c r="DH699" s="47"/>
      <c r="DI699" s="399"/>
      <c r="DJ699" s="399"/>
      <c r="DK699" s="399"/>
      <c r="DL699" s="399"/>
      <c r="DM699" s="399"/>
      <c r="DN699" s="399"/>
      <c r="DO699" s="47"/>
      <c r="DP699" s="399"/>
      <c r="DQ699" s="399"/>
      <c r="DR699" s="399"/>
      <c r="DS699" s="399"/>
      <c r="DT699" s="399"/>
      <c r="DU699" s="399"/>
      <c r="DV699" s="47"/>
      <c r="DW699" s="399"/>
      <c r="DX699" s="399"/>
      <c r="DY699" s="399"/>
      <c r="DZ699" s="399"/>
      <c r="EA699" s="399"/>
      <c r="EB699" s="399"/>
      <c r="EC699" s="47"/>
      <c r="ED699" s="399"/>
      <c r="EE699" s="399"/>
      <c r="EF699" s="399"/>
      <c r="EG699" s="399"/>
      <c r="EH699" s="399"/>
      <c r="EI699" s="399"/>
      <c r="EJ699" s="47"/>
      <c r="EK699" s="399"/>
      <c r="EL699" s="399"/>
      <c r="EM699" s="399"/>
      <c r="EN699" s="399"/>
      <c r="EO699" s="399"/>
      <c r="EP699" s="399"/>
      <c r="EQ699" s="47"/>
    </row>
    <row r="700" spans="1:147" ht="10.199999999999999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399"/>
      <c r="P700" s="399"/>
      <c r="Q700" s="399"/>
      <c r="R700" s="399"/>
      <c r="S700" s="399"/>
      <c r="T700" s="399"/>
      <c r="U700" s="47"/>
      <c r="V700" s="399"/>
      <c r="W700" s="399"/>
      <c r="X700" s="399"/>
      <c r="Y700" s="399"/>
      <c r="Z700" s="399"/>
      <c r="AA700" s="399"/>
      <c r="AB700" s="47"/>
      <c r="AC700" s="399"/>
      <c r="AD700" s="399"/>
      <c r="AE700" s="399"/>
      <c r="AF700" s="399"/>
      <c r="AG700" s="399"/>
      <c r="AH700" s="399"/>
      <c r="AI700" s="47"/>
      <c r="AJ700" s="399"/>
      <c r="AK700" s="399"/>
      <c r="AL700" s="399"/>
      <c r="AM700" s="399"/>
      <c r="AN700" s="399"/>
      <c r="AO700" s="399"/>
      <c r="AP700" s="47"/>
      <c r="AQ700" s="399"/>
      <c r="AR700" s="399"/>
      <c r="AS700" s="399"/>
      <c r="AT700" s="399"/>
      <c r="AU700" s="399"/>
      <c r="AV700" s="399"/>
      <c r="AW700" s="47"/>
      <c r="AX700" s="399"/>
      <c r="AY700" s="399"/>
      <c r="AZ700" s="399"/>
      <c r="BA700" s="399"/>
      <c r="BB700" s="399"/>
      <c r="BC700" s="399"/>
      <c r="BD700" s="47"/>
      <c r="BE700" s="399"/>
      <c r="BF700" s="399"/>
      <c r="BG700" s="399"/>
      <c r="BH700" s="399"/>
      <c r="BI700" s="399"/>
      <c r="BJ700" s="399"/>
      <c r="BK700" s="47"/>
      <c r="BL700" s="399"/>
      <c r="BM700" s="399"/>
      <c r="BN700" s="399"/>
      <c r="BO700" s="399"/>
      <c r="BP700" s="399"/>
      <c r="BQ700" s="399"/>
      <c r="BR700" s="47"/>
      <c r="BS700" s="399"/>
      <c r="BT700" s="399"/>
      <c r="BU700" s="399"/>
      <c r="BV700" s="399"/>
      <c r="BW700" s="399"/>
      <c r="BX700" s="399"/>
      <c r="BY700" s="47"/>
      <c r="BZ700" s="399"/>
      <c r="CA700" s="399"/>
      <c r="CB700" s="399"/>
      <c r="CC700" s="399"/>
      <c r="CD700" s="399"/>
      <c r="CE700" s="399"/>
      <c r="CF700" s="47"/>
      <c r="CG700" s="399"/>
      <c r="CH700" s="399"/>
      <c r="CI700" s="399"/>
      <c r="CJ700" s="399"/>
      <c r="CK700" s="399"/>
      <c r="CL700" s="399"/>
      <c r="CM700" s="47"/>
      <c r="CN700" s="399"/>
      <c r="CO700" s="399"/>
      <c r="CP700" s="399"/>
      <c r="CQ700" s="399"/>
      <c r="CR700" s="399"/>
      <c r="CS700" s="399"/>
      <c r="CT700" s="47"/>
      <c r="CU700" s="399"/>
      <c r="CV700" s="399"/>
      <c r="CW700" s="399"/>
      <c r="CX700" s="399"/>
      <c r="CY700" s="399"/>
      <c r="CZ700" s="399"/>
      <c r="DA700" s="47"/>
      <c r="DB700" s="399"/>
      <c r="DC700" s="399"/>
      <c r="DD700" s="399"/>
      <c r="DE700" s="399"/>
      <c r="DF700" s="399"/>
      <c r="DG700" s="399"/>
      <c r="DH700" s="47"/>
      <c r="DI700" s="399"/>
      <c r="DJ700" s="399"/>
      <c r="DK700" s="399"/>
      <c r="DL700" s="399"/>
      <c r="DM700" s="399"/>
      <c r="DN700" s="399"/>
      <c r="DO700" s="47"/>
      <c r="DP700" s="399"/>
      <c r="DQ700" s="399"/>
      <c r="DR700" s="399"/>
      <c r="DS700" s="399"/>
      <c r="DT700" s="399"/>
      <c r="DU700" s="399"/>
      <c r="DV700" s="47"/>
      <c r="DW700" s="399"/>
      <c r="DX700" s="399"/>
      <c r="DY700" s="399"/>
      <c r="DZ700" s="399"/>
      <c r="EA700" s="399"/>
      <c r="EB700" s="399"/>
      <c r="EC700" s="47"/>
      <c r="ED700" s="399"/>
      <c r="EE700" s="399"/>
      <c r="EF700" s="399"/>
      <c r="EG700" s="399"/>
      <c r="EH700" s="399"/>
      <c r="EI700" s="399"/>
      <c r="EJ700" s="47"/>
      <c r="EK700" s="399"/>
      <c r="EL700" s="399"/>
      <c r="EM700" s="399"/>
      <c r="EN700" s="399"/>
      <c r="EO700" s="399"/>
      <c r="EP700" s="399"/>
      <c r="EQ700" s="47"/>
    </row>
    <row r="701" spans="1:147" ht="10.199999999999999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399"/>
      <c r="P701" s="399"/>
      <c r="Q701" s="399"/>
      <c r="R701" s="399"/>
      <c r="S701" s="399"/>
      <c r="T701" s="399"/>
      <c r="U701" s="47"/>
      <c r="V701" s="399"/>
      <c r="W701" s="399"/>
      <c r="X701" s="399"/>
      <c r="Y701" s="399"/>
      <c r="Z701" s="399"/>
      <c r="AA701" s="399"/>
      <c r="AB701" s="47"/>
      <c r="AC701" s="399"/>
      <c r="AD701" s="399"/>
      <c r="AE701" s="399"/>
      <c r="AF701" s="399"/>
      <c r="AG701" s="399"/>
      <c r="AH701" s="399"/>
      <c r="AI701" s="47"/>
      <c r="AJ701" s="399"/>
      <c r="AK701" s="399"/>
      <c r="AL701" s="399"/>
      <c r="AM701" s="399"/>
      <c r="AN701" s="399"/>
      <c r="AO701" s="399"/>
      <c r="AP701" s="47"/>
      <c r="AQ701" s="399"/>
      <c r="AR701" s="399"/>
      <c r="AS701" s="399"/>
      <c r="AT701" s="399"/>
      <c r="AU701" s="399"/>
      <c r="AV701" s="399"/>
      <c r="AW701" s="47"/>
      <c r="AX701" s="399"/>
      <c r="AY701" s="399"/>
      <c r="AZ701" s="399"/>
      <c r="BA701" s="399"/>
      <c r="BB701" s="399"/>
      <c r="BC701" s="399"/>
      <c r="BD701" s="47"/>
      <c r="BE701" s="399"/>
      <c r="BF701" s="399"/>
      <c r="BG701" s="399"/>
      <c r="BH701" s="399"/>
      <c r="BI701" s="399"/>
      <c r="BJ701" s="399"/>
      <c r="BK701" s="47"/>
      <c r="BL701" s="399"/>
      <c r="BM701" s="399"/>
      <c r="BN701" s="399"/>
      <c r="BO701" s="399"/>
      <c r="BP701" s="399"/>
      <c r="BQ701" s="399"/>
      <c r="BR701" s="47"/>
      <c r="BS701" s="399"/>
      <c r="BT701" s="399"/>
      <c r="BU701" s="399"/>
      <c r="BV701" s="399"/>
      <c r="BW701" s="399"/>
      <c r="BX701" s="399"/>
      <c r="BY701" s="47"/>
      <c r="BZ701" s="399"/>
      <c r="CA701" s="399"/>
      <c r="CB701" s="399"/>
      <c r="CC701" s="399"/>
      <c r="CD701" s="399"/>
      <c r="CE701" s="399"/>
      <c r="CF701" s="47"/>
      <c r="CG701" s="399"/>
      <c r="CH701" s="399"/>
      <c r="CI701" s="399"/>
      <c r="CJ701" s="399"/>
      <c r="CK701" s="399"/>
      <c r="CL701" s="399"/>
      <c r="CM701" s="47"/>
      <c r="CN701" s="399"/>
      <c r="CO701" s="399"/>
      <c r="CP701" s="399"/>
      <c r="CQ701" s="399"/>
      <c r="CR701" s="399"/>
      <c r="CS701" s="399"/>
      <c r="CT701" s="47"/>
      <c r="CU701" s="399"/>
      <c r="CV701" s="399"/>
      <c r="CW701" s="399"/>
      <c r="CX701" s="399"/>
      <c r="CY701" s="399"/>
      <c r="CZ701" s="399"/>
      <c r="DA701" s="47"/>
      <c r="DB701" s="399"/>
      <c r="DC701" s="399"/>
      <c r="DD701" s="399"/>
      <c r="DE701" s="399"/>
      <c r="DF701" s="399"/>
      <c r="DG701" s="399"/>
      <c r="DH701" s="47"/>
      <c r="DI701" s="399"/>
      <c r="DJ701" s="399"/>
      <c r="DK701" s="399"/>
      <c r="DL701" s="399"/>
      <c r="DM701" s="399"/>
      <c r="DN701" s="399"/>
      <c r="DO701" s="47"/>
      <c r="DP701" s="399"/>
      <c r="DQ701" s="399"/>
      <c r="DR701" s="399"/>
      <c r="DS701" s="399"/>
      <c r="DT701" s="399"/>
      <c r="DU701" s="399"/>
      <c r="DV701" s="47"/>
      <c r="DW701" s="399"/>
      <c r="DX701" s="399"/>
      <c r="DY701" s="399"/>
      <c r="DZ701" s="399"/>
      <c r="EA701" s="399"/>
      <c r="EB701" s="399"/>
      <c r="EC701" s="47"/>
      <c r="ED701" s="399"/>
      <c r="EE701" s="399"/>
      <c r="EF701" s="399"/>
      <c r="EG701" s="399"/>
      <c r="EH701" s="399"/>
      <c r="EI701" s="399"/>
      <c r="EJ701" s="47"/>
      <c r="EK701" s="399"/>
      <c r="EL701" s="399"/>
      <c r="EM701" s="399"/>
      <c r="EN701" s="399"/>
      <c r="EO701" s="399"/>
      <c r="EP701" s="399"/>
      <c r="EQ701" s="47"/>
    </row>
    <row r="702" spans="1:147" ht="10.199999999999999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399"/>
      <c r="P702" s="399"/>
      <c r="Q702" s="399"/>
      <c r="R702" s="399"/>
      <c r="S702" s="399"/>
      <c r="T702" s="399"/>
      <c r="U702" s="47"/>
      <c r="V702" s="399"/>
      <c r="W702" s="399"/>
      <c r="X702" s="399"/>
      <c r="Y702" s="399"/>
      <c r="Z702" s="399"/>
      <c r="AA702" s="399"/>
      <c r="AB702" s="47"/>
      <c r="AC702" s="399"/>
      <c r="AD702" s="399"/>
      <c r="AE702" s="399"/>
      <c r="AF702" s="399"/>
      <c r="AG702" s="399"/>
      <c r="AH702" s="399"/>
      <c r="AI702" s="47"/>
      <c r="AJ702" s="399"/>
      <c r="AK702" s="399"/>
      <c r="AL702" s="399"/>
      <c r="AM702" s="399"/>
      <c r="AN702" s="399"/>
      <c r="AO702" s="399"/>
      <c r="AP702" s="47"/>
      <c r="AQ702" s="399"/>
      <c r="AR702" s="399"/>
      <c r="AS702" s="399"/>
      <c r="AT702" s="399"/>
      <c r="AU702" s="399"/>
      <c r="AV702" s="399"/>
      <c r="AW702" s="47"/>
      <c r="AX702" s="399"/>
      <c r="AY702" s="399"/>
      <c r="AZ702" s="399"/>
      <c r="BA702" s="399"/>
      <c r="BB702" s="399"/>
      <c r="BC702" s="399"/>
      <c r="BD702" s="47"/>
      <c r="BE702" s="399"/>
      <c r="BF702" s="399"/>
      <c r="BG702" s="399"/>
      <c r="BH702" s="399"/>
      <c r="BI702" s="399"/>
      <c r="BJ702" s="399"/>
      <c r="BK702" s="47"/>
      <c r="BL702" s="399"/>
      <c r="BM702" s="399"/>
      <c r="BN702" s="399"/>
      <c r="BO702" s="399"/>
      <c r="BP702" s="399"/>
      <c r="BQ702" s="399"/>
      <c r="BR702" s="47"/>
      <c r="BS702" s="399"/>
      <c r="BT702" s="399"/>
      <c r="BU702" s="399"/>
      <c r="BV702" s="399"/>
      <c r="BW702" s="399"/>
      <c r="BX702" s="399"/>
      <c r="BY702" s="47"/>
      <c r="BZ702" s="399"/>
      <c r="CA702" s="399"/>
      <c r="CB702" s="399"/>
      <c r="CC702" s="399"/>
      <c r="CD702" s="399"/>
      <c r="CE702" s="399"/>
      <c r="CF702" s="47"/>
      <c r="CG702" s="399"/>
      <c r="CH702" s="399"/>
      <c r="CI702" s="399"/>
      <c r="CJ702" s="399"/>
      <c r="CK702" s="399"/>
      <c r="CL702" s="399"/>
      <c r="CM702" s="47"/>
      <c r="CN702" s="399"/>
      <c r="CO702" s="399"/>
      <c r="CP702" s="399"/>
      <c r="CQ702" s="399"/>
      <c r="CR702" s="399"/>
      <c r="CS702" s="399"/>
      <c r="CT702" s="47"/>
      <c r="CU702" s="399"/>
      <c r="CV702" s="399"/>
      <c r="CW702" s="399"/>
      <c r="CX702" s="399"/>
      <c r="CY702" s="399"/>
      <c r="CZ702" s="399"/>
      <c r="DA702" s="47"/>
      <c r="DB702" s="399"/>
      <c r="DC702" s="399"/>
      <c r="DD702" s="399"/>
      <c r="DE702" s="399"/>
      <c r="DF702" s="399"/>
      <c r="DG702" s="399"/>
      <c r="DH702" s="47"/>
      <c r="DI702" s="399"/>
      <c r="DJ702" s="399"/>
      <c r="DK702" s="399"/>
      <c r="DL702" s="399"/>
      <c r="DM702" s="399"/>
      <c r="DN702" s="399"/>
      <c r="DO702" s="47"/>
      <c r="DP702" s="399"/>
      <c r="DQ702" s="399"/>
      <c r="DR702" s="399"/>
      <c r="DS702" s="399"/>
      <c r="DT702" s="399"/>
      <c r="DU702" s="399"/>
      <c r="DV702" s="47"/>
      <c r="DW702" s="399"/>
      <c r="DX702" s="399"/>
      <c r="DY702" s="399"/>
      <c r="DZ702" s="399"/>
      <c r="EA702" s="399"/>
      <c r="EB702" s="399"/>
      <c r="EC702" s="47"/>
      <c r="ED702" s="399"/>
      <c r="EE702" s="399"/>
      <c r="EF702" s="399"/>
      <c r="EG702" s="399"/>
      <c r="EH702" s="399"/>
      <c r="EI702" s="399"/>
      <c r="EJ702" s="47"/>
      <c r="EK702" s="399"/>
      <c r="EL702" s="399"/>
      <c r="EM702" s="399"/>
      <c r="EN702" s="399"/>
      <c r="EO702" s="399"/>
      <c r="EP702" s="399"/>
      <c r="EQ702" s="47"/>
    </row>
    <row r="703" spans="1:147" ht="10.199999999999999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399"/>
      <c r="P703" s="399"/>
      <c r="Q703" s="399"/>
      <c r="R703" s="399"/>
      <c r="S703" s="399"/>
      <c r="T703" s="399"/>
      <c r="U703" s="47"/>
      <c r="V703" s="399"/>
      <c r="W703" s="399"/>
      <c r="X703" s="399"/>
      <c r="Y703" s="399"/>
      <c r="Z703" s="399"/>
      <c r="AA703" s="399"/>
      <c r="AB703" s="47"/>
      <c r="AC703" s="399"/>
      <c r="AD703" s="399"/>
      <c r="AE703" s="399"/>
      <c r="AF703" s="399"/>
      <c r="AG703" s="399"/>
      <c r="AH703" s="399"/>
      <c r="AI703" s="47"/>
      <c r="AJ703" s="399"/>
      <c r="AK703" s="399"/>
      <c r="AL703" s="399"/>
      <c r="AM703" s="399"/>
      <c r="AN703" s="399"/>
      <c r="AO703" s="399"/>
      <c r="AP703" s="47"/>
      <c r="AQ703" s="399"/>
      <c r="AR703" s="399"/>
      <c r="AS703" s="399"/>
      <c r="AT703" s="399"/>
      <c r="AU703" s="399"/>
      <c r="AV703" s="399"/>
      <c r="AW703" s="47"/>
      <c r="AX703" s="399"/>
      <c r="AY703" s="399"/>
      <c r="AZ703" s="399"/>
      <c r="BA703" s="399"/>
      <c r="BB703" s="399"/>
      <c r="BC703" s="399"/>
      <c r="BD703" s="47"/>
      <c r="BE703" s="399"/>
      <c r="BF703" s="399"/>
      <c r="BG703" s="399"/>
      <c r="BH703" s="399"/>
      <c r="BI703" s="399"/>
      <c r="BJ703" s="399"/>
      <c r="BK703" s="47"/>
      <c r="BL703" s="399"/>
      <c r="BM703" s="399"/>
      <c r="BN703" s="399"/>
      <c r="BO703" s="399"/>
      <c r="BP703" s="399"/>
      <c r="BQ703" s="399"/>
      <c r="BR703" s="47"/>
      <c r="BS703" s="399"/>
      <c r="BT703" s="399"/>
      <c r="BU703" s="399"/>
      <c r="BV703" s="399"/>
      <c r="BW703" s="399"/>
      <c r="BX703" s="399"/>
      <c r="BY703" s="47"/>
      <c r="BZ703" s="399"/>
      <c r="CA703" s="399"/>
      <c r="CB703" s="399"/>
      <c r="CC703" s="399"/>
      <c r="CD703" s="399"/>
      <c r="CE703" s="399"/>
      <c r="CF703" s="47"/>
      <c r="CG703" s="399"/>
      <c r="CH703" s="399"/>
      <c r="CI703" s="399"/>
      <c r="CJ703" s="399"/>
      <c r="CK703" s="399"/>
      <c r="CL703" s="399"/>
      <c r="CM703" s="47"/>
      <c r="CN703" s="399"/>
      <c r="CO703" s="399"/>
      <c r="CP703" s="399"/>
      <c r="CQ703" s="399"/>
      <c r="CR703" s="399"/>
      <c r="CS703" s="399"/>
      <c r="CT703" s="47"/>
      <c r="CU703" s="399"/>
      <c r="CV703" s="399"/>
      <c r="CW703" s="399"/>
      <c r="CX703" s="399"/>
      <c r="CY703" s="399"/>
      <c r="CZ703" s="399"/>
      <c r="DA703" s="47"/>
      <c r="DB703" s="399"/>
      <c r="DC703" s="399"/>
      <c r="DD703" s="399"/>
      <c r="DE703" s="399"/>
      <c r="DF703" s="399"/>
      <c r="DG703" s="399"/>
      <c r="DH703" s="47"/>
      <c r="DI703" s="399"/>
      <c r="DJ703" s="399"/>
      <c r="DK703" s="399"/>
      <c r="DL703" s="399"/>
      <c r="DM703" s="399"/>
      <c r="DN703" s="399"/>
      <c r="DO703" s="47"/>
      <c r="DP703" s="399"/>
      <c r="DQ703" s="399"/>
      <c r="DR703" s="399"/>
      <c r="DS703" s="399"/>
      <c r="DT703" s="399"/>
      <c r="DU703" s="399"/>
      <c r="DV703" s="47"/>
      <c r="DW703" s="399"/>
      <c r="DX703" s="399"/>
      <c r="DY703" s="399"/>
      <c r="DZ703" s="399"/>
      <c r="EA703" s="399"/>
      <c r="EB703" s="399"/>
      <c r="EC703" s="47"/>
      <c r="ED703" s="399"/>
      <c r="EE703" s="399"/>
      <c r="EF703" s="399"/>
      <c r="EG703" s="399"/>
      <c r="EH703" s="399"/>
      <c r="EI703" s="399"/>
      <c r="EJ703" s="47"/>
      <c r="EK703" s="399"/>
      <c r="EL703" s="399"/>
      <c r="EM703" s="399"/>
      <c r="EN703" s="399"/>
      <c r="EO703" s="399"/>
      <c r="EP703" s="399"/>
      <c r="EQ703" s="47"/>
    </row>
    <row r="704" spans="1:147" ht="10.199999999999999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399"/>
      <c r="P704" s="399"/>
      <c r="Q704" s="399"/>
      <c r="R704" s="399"/>
      <c r="S704" s="399"/>
      <c r="T704" s="399"/>
      <c r="U704" s="47"/>
      <c r="V704" s="399"/>
      <c r="W704" s="399"/>
      <c r="X704" s="399"/>
      <c r="Y704" s="399"/>
      <c r="Z704" s="399"/>
      <c r="AA704" s="399"/>
      <c r="AB704" s="47"/>
      <c r="AC704" s="399"/>
      <c r="AD704" s="399"/>
      <c r="AE704" s="399"/>
      <c r="AF704" s="399"/>
      <c r="AG704" s="399"/>
      <c r="AH704" s="399"/>
      <c r="AI704" s="47"/>
      <c r="AJ704" s="399"/>
      <c r="AK704" s="399"/>
      <c r="AL704" s="399"/>
      <c r="AM704" s="399"/>
      <c r="AN704" s="399"/>
      <c r="AO704" s="399"/>
      <c r="AP704" s="47"/>
      <c r="AQ704" s="399"/>
      <c r="AR704" s="399"/>
      <c r="AS704" s="399"/>
      <c r="AT704" s="399"/>
      <c r="AU704" s="399"/>
      <c r="AV704" s="399"/>
      <c r="AW704" s="47"/>
      <c r="AX704" s="399"/>
      <c r="AY704" s="399"/>
      <c r="AZ704" s="399"/>
      <c r="BA704" s="399"/>
      <c r="BB704" s="399"/>
      <c r="BC704" s="399"/>
      <c r="BD704" s="47"/>
      <c r="BE704" s="399"/>
      <c r="BF704" s="399"/>
      <c r="BG704" s="399"/>
      <c r="BH704" s="399"/>
      <c r="BI704" s="399"/>
      <c r="BJ704" s="399"/>
      <c r="BK704" s="47"/>
      <c r="BL704" s="399"/>
      <c r="BM704" s="399"/>
      <c r="BN704" s="399"/>
      <c r="BO704" s="399"/>
      <c r="BP704" s="399"/>
      <c r="BQ704" s="399"/>
      <c r="BR704" s="47"/>
      <c r="BS704" s="399"/>
      <c r="BT704" s="399"/>
      <c r="BU704" s="399"/>
      <c r="BV704" s="399"/>
      <c r="BW704" s="399"/>
      <c r="BX704" s="399"/>
      <c r="BY704" s="47"/>
      <c r="BZ704" s="399"/>
      <c r="CA704" s="399"/>
      <c r="CB704" s="399"/>
      <c r="CC704" s="399"/>
      <c r="CD704" s="399"/>
      <c r="CE704" s="399"/>
      <c r="CF704" s="47"/>
      <c r="CG704" s="399"/>
      <c r="CH704" s="399"/>
      <c r="CI704" s="399"/>
      <c r="CJ704" s="399"/>
      <c r="CK704" s="399"/>
      <c r="CL704" s="399"/>
      <c r="CM704" s="47"/>
      <c r="CN704" s="399"/>
      <c r="CO704" s="399"/>
      <c r="CP704" s="399"/>
      <c r="CQ704" s="399"/>
      <c r="CR704" s="399"/>
      <c r="CS704" s="399"/>
      <c r="CT704" s="47"/>
      <c r="CU704" s="399"/>
      <c r="CV704" s="399"/>
      <c r="CW704" s="399"/>
      <c r="CX704" s="399"/>
      <c r="CY704" s="399"/>
      <c r="CZ704" s="399"/>
      <c r="DA704" s="47"/>
      <c r="DB704" s="399"/>
      <c r="DC704" s="399"/>
      <c r="DD704" s="399"/>
      <c r="DE704" s="399"/>
      <c r="DF704" s="399"/>
      <c r="DG704" s="399"/>
      <c r="DH704" s="47"/>
      <c r="DI704" s="399"/>
      <c r="DJ704" s="399"/>
      <c r="DK704" s="399"/>
      <c r="DL704" s="399"/>
      <c r="DM704" s="399"/>
      <c r="DN704" s="399"/>
      <c r="DO704" s="47"/>
      <c r="DP704" s="399"/>
      <c r="DQ704" s="399"/>
      <c r="DR704" s="399"/>
      <c r="DS704" s="399"/>
      <c r="DT704" s="399"/>
      <c r="DU704" s="399"/>
      <c r="DV704" s="47"/>
      <c r="DW704" s="399"/>
      <c r="DX704" s="399"/>
      <c r="DY704" s="399"/>
      <c r="DZ704" s="399"/>
      <c r="EA704" s="399"/>
      <c r="EB704" s="399"/>
      <c r="EC704" s="47"/>
      <c r="ED704" s="399"/>
      <c r="EE704" s="399"/>
      <c r="EF704" s="399"/>
      <c r="EG704" s="399"/>
      <c r="EH704" s="399"/>
      <c r="EI704" s="399"/>
      <c r="EJ704" s="47"/>
      <c r="EK704" s="399"/>
      <c r="EL704" s="399"/>
      <c r="EM704" s="399"/>
      <c r="EN704" s="399"/>
      <c r="EO704" s="399"/>
      <c r="EP704" s="399"/>
      <c r="EQ704" s="47"/>
    </row>
    <row r="705" spans="1:147" ht="10.199999999999999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399"/>
      <c r="P705" s="399"/>
      <c r="Q705" s="399"/>
      <c r="R705" s="399"/>
      <c r="S705" s="399"/>
      <c r="T705" s="399"/>
      <c r="U705" s="47"/>
      <c r="V705" s="399"/>
      <c r="W705" s="399"/>
      <c r="X705" s="399"/>
      <c r="Y705" s="399"/>
      <c r="Z705" s="399"/>
      <c r="AA705" s="399"/>
      <c r="AB705" s="47"/>
      <c r="AC705" s="399"/>
      <c r="AD705" s="399"/>
      <c r="AE705" s="399"/>
      <c r="AF705" s="399"/>
      <c r="AG705" s="399"/>
      <c r="AH705" s="399"/>
      <c r="AI705" s="47"/>
      <c r="AJ705" s="399"/>
      <c r="AK705" s="399"/>
      <c r="AL705" s="399"/>
      <c r="AM705" s="399"/>
      <c r="AN705" s="399"/>
      <c r="AO705" s="399"/>
      <c r="AP705" s="47"/>
      <c r="AQ705" s="399"/>
      <c r="AR705" s="399"/>
      <c r="AS705" s="399"/>
      <c r="AT705" s="399"/>
      <c r="AU705" s="399"/>
      <c r="AV705" s="399"/>
      <c r="AW705" s="47"/>
      <c r="AX705" s="399"/>
      <c r="AY705" s="399"/>
      <c r="AZ705" s="399"/>
      <c r="BA705" s="399"/>
      <c r="BB705" s="399"/>
      <c r="BC705" s="399"/>
      <c r="BD705" s="47"/>
      <c r="BE705" s="399"/>
      <c r="BF705" s="399"/>
      <c r="BG705" s="399"/>
      <c r="BH705" s="399"/>
      <c r="BI705" s="399"/>
      <c r="BJ705" s="399"/>
      <c r="BK705" s="47"/>
      <c r="BL705" s="399"/>
      <c r="BM705" s="399"/>
      <c r="BN705" s="399"/>
      <c r="BO705" s="399"/>
      <c r="BP705" s="399"/>
      <c r="BQ705" s="399"/>
      <c r="BR705" s="47"/>
      <c r="BS705" s="399"/>
      <c r="BT705" s="399"/>
      <c r="BU705" s="399"/>
      <c r="BV705" s="399"/>
      <c r="BW705" s="399"/>
      <c r="BX705" s="399"/>
      <c r="BY705" s="47"/>
      <c r="BZ705" s="399"/>
      <c r="CA705" s="399"/>
      <c r="CB705" s="399"/>
      <c r="CC705" s="399"/>
      <c r="CD705" s="399"/>
      <c r="CE705" s="399"/>
      <c r="CF705" s="47"/>
      <c r="CG705" s="399"/>
      <c r="CH705" s="399"/>
      <c r="CI705" s="399"/>
      <c r="CJ705" s="399"/>
      <c r="CK705" s="399"/>
      <c r="CL705" s="399"/>
      <c r="CM705" s="47"/>
      <c r="CN705" s="399"/>
      <c r="CO705" s="399"/>
      <c r="CP705" s="399"/>
      <c r="CQ705" s="399"/>
      <c r="CR705" s="399"/>
      <c r="CS705" s="399"/>
      <c r="CT705" s="47"/>
      <c r="CU705" s="399"/>
      <c r="CV705" s="399"/>
      <c r="CW705" s="399"/>
      <c r="CX705" s="399"/>
      <c r="CY705" s="399"/>
      <c r="CZ705" s="399"/>
      <c r="DA705" s="47"/>
      <c r="DB705" s="399"/>
      <c r="DC705" s="399"/>
      <c r="DD705" s="399"/>
      <c r="DE705" s="399"/>
      <c r="DF705" s="399"/>
      <c r="DG705" s="399"/>
      <c r="DH705" s="47"/>
      <c r="DI705" s="399"/>
      <c r="DJ705" s="399"/>
      <c r="DK705" s="399"/>
      <c r="DL705" s="399"/>
      <c r="DM705" s="399"/>
      <c r="DN705" s="399"/>
      <c r="DO705" s="47"/>
      <c r="DP705" s="399"/>
      <c r="DQ705" s="399"/>
      <c r="DR705" s="399"/>
      <c r="DS705" s="399"/>
      <c r="DT705" s="399"/>
      <c r="DU705" s="399"/>
      <c r="DV705" s="47"/>
      <c r="DW705" s="399"/>
      <c r="DX705" s="399"/>
      <c r="DY705" s="399"/>
      <c r="DZ705" s="399"/>
      <c r="EA705" s="399"/>
      <c r="EB705" s="399"/>
      <c r="EC705" s="47"/>
      <c r="ED705" s="399"/>
      <c r="EE705" s="399"/>
      <c r="EF705" s="399"/>
      <c r="EG705" s="399"/>
      <c r="EH705" s="399"/>
      <c r="EI705" s="399"/>
      <c r="EJ705" s="47"/>
      <c r="EK705" s="399"/>
      <c r="EL705" s="399"/>
      <c r="EM705" s="399"/>
      <c r="EN705" s="399"/>
      <c r="EO705" s="399"/>
      <c r="EP705" s="399"/>
      <c r="EQ705" s="47"/>
    </row>
    <row r="706" spans="1:147" ht="10.199999999999999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399"/>
      <c r="P706" s="399"/>
      <c r="Q706" s="399"/>
      <c r="R706" s="399"/>
      <c r="S706" s="399"/>
      <c r="T706" s="399"/>
      <c r="U706" s="47"/>
      <c r="V706" s="399"/>
      <c r="W706" s="399"/>
      <c r="X706" s="399"/>
      <c r="Y706" s="399"/>
      <c r="Z706" s="399"/>
      <c r="AA706" s="399"/>
      <c r="AB706" s="47"/>
      <c r="AC706" s="399"/>
      <c r="AD706" s="399"/>
      <c r="AE706" s="399"/>
      <c r="AF706" s="399"/>
      <c r="AG706" s="399"/>
      <c r="AH706" s="399"/>
      <c r="AI706" s="47"/>
      <c r="AJ706" s="399"/>
      <c r="AK706" s="399"/>
      <c r="AL706" s="399"/>
      <c r="AM706" s="399"/>
      <c r="AN706" s="399"/>
      <c r="AO706" s="399"/>
      <c r="AP706" s="47"/>
      <c r="AQ706" s="399"/>
      <c r="AR706" s="399"/>
      <c r="AS706" s="399"/>
      <c r="AT706" s="399"/>
      <c r="AU706" s="399"/>
      <c r="AV706" s="399"/>
      <c r="AW706" s="47"/>
      <c r="AX706" s="399"/>
      <c r="AY706" s="399"/>
      <c r="AZ706" s="399"/>
      <c r="BA706" s="399"/>
      <c r="BB706" s="399"/>
      <c r="BC706" s="399"/>
      <c r="BD706" s="47"/>
      <c r="BE706" s="399"/>
      <c r="BF706" s="399"/>
      <c r="BG706" s="399"/>
      <c r="BH706" s="399"/>
      <c r="BI706" s="399"/>
      <c r="BJ706" s="399"/>
      <c r="BK706" s="47"/>
      <c r="BL706" s="399"/>
      <c r="BM706" s="399"/>
      <c r="BN706" s="399"/>
      <c r="BO706" s="399"/>
      <c r="BP706" s="399"/>
      <c r="BQ706" s="399"/>
      <c r="BR706" s="47"/>
      <c r="BS706" s="399"/>
      <c r="BT706" s="399"/>
      <c r="BU706" s="399"/>
      <c r="BV706" s="399"/>
      <c r="BW706" s="399"/>
      <c r="BX706" s="399"/>
      <c r="BY706" s="47"/>
      <c r="BZ706" s="399"/>
      <c r="CA706" s="399"/>
      <c r="CB706" s="399"/>
      <c r="CC706" s="399"/>
      <c r="CD706" s="399"/>
      <c r="CE706" s="399"/>
      <c r="CF706" s="47"/>
      <c r="CG706" s="399"/>
      <c r="CH706" s="399"/>
      <c r="CI706" s="399"/>
      <c r="CJ706" s="399"/>
      <c r="CK706" s="399"/>
      <c r="CL706" s="399"/>
      <c r="CM706" s="47"/>
      <c r="CN706" s="399"/>
      <c r="CO706" s="399"/>
      <c r="CP706" s="399"/>
      <c r="CQ706" s="399"/>
      <c r="CR706" s="399"/>
      <c r="CS706" s="399"/>
      <c r="CT706" s="47"/>
      <c r="CU706" s="399"/>
      <c r="CV706" s="399"/>
      <c r="CW706" s="399"/>
      <c r="CX706" s="399"/>
      <c r="CY706" s="399"/>
      <c r="CZ706" s="399"/>
      <c r="DA706" s="47"/>
      <c r="DB706" s="399"/>
      <c r="DC706" s="399"/>
      <c r="DD706" s="399"/>
      <c r="DE706" s="399"/>
      <c r="DF706" s="399"/>
      <c r="DG706" s="399"/>
      <c r="DH706" s="47"/>
      <c r="DI706" s="399"/>
      <c r="DJ706" s="399"/>
      <c r="DK706" s="399"/>
      <c r="DL706" s="399"/>
      <c r="DM706" s="399"/>
      <c r="DN706" s="399"/>
      <c r="DO706" s="47"/>
      <c r="DP706" s="399"/>
      <c r="DQ706" s="399"/>
      <c r="DR706" s="399"/>
      <c r="DS706" s="399"/>
      <c r="DT706" s="399"/>
      <c r="DU706" s="399"/>
      <c r="DV706" s="47"/>
      <c r="DW706" s="399"/>
      <c r="DX706" s="399"/>
      <c r="DY706" s="399"/>
      <c r="DZ706" s="399"/>
      <c r="EA706" s="399"/>
      <c r="EB706" s="399"/>
      <c r="EC706" s="47"/>
      <c r="ED706" s="399"/>
      <c r="EE706" s="399"/>
      <c r="EF706" s="399"/>
      <c r="EG706" s="399"/>
      <c r="EH706" s="399"/>
      <c r="EI706" s="399"/>
      <c r="EJ706" s="47"/>
      <c r="EK706" s="399"/>
      <c r="EL706" s="399"/>
      <c r="EM706" s="399"/>
      <c r="EN706" s="399"/>
      <c r="EO706" s="399"/>
      <c r="EP706" s="399"/>
      <c r="EQ706" s="47"/>
    </row>
    <row r="707" spans="1:147" ht="10.199999999999999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399"/>
      <c r="P707" s="399"/>
      <c r="Q707" s="399"/>
      <c r="R707" s="399"/>
      <c r="S707" s="399"/>
      <c r="T707" s="399"/>
      <c r="U707" s="47"/>
      <c r="V707" s="399"/>
      <c r="W707" s="399"/>
      <c r="X707" s="399"/>
      <c r="Y707" s="399"/>
      <c r="Z707" s="399"/>
      <c r="AA707" s="399"/>
      <c r="AB707" s="47"/>
      <c r="AC707" s="399"/>
      <c r="AD707" s="399"/>
      <c r="AE707" s="399"/>
      <c r="AF707" s="399"/>
      <c r="AG707" s="399"/>
      <c r="AH707" s="399"/>
      <c r="AI707" s="47"/>
      <c r="AJ707" s="399"/>
      <c r="AK707" s="399"/>
      <c r="AL707" s="399"/>
      <c r="AM707" s="399"/>
      <c r="AN707" s="399"/>
      <c r="AO707" s="399"/>
      <c r="AP707" s="47"/>
      <c r="AQ707" s="399"/>
      <c r="AR707" s="399"/>
      <c r="AS707" s="399"/>
      <c r="AT707" s="399"/>
      <c r="AU707" s="399"/>
      <c r="AV707" s="399"/>
      <c r="AW707" s="47"/>
      <c r="AX707" s="399"/>
      <c r="AY707" s="399"/>
      <c r="AZ707" s="399"/>
      <c r="BA707" s="399"/>
      <c r="BB707" s="399"/>
      <c r="BC707" s="399"/>
      <c r="BD707" s="47"/>
      <c r="BE707" s="399"/>
      <c r="BF707" s="399"/>
      <c r="BG707" s="399"/>
      <c r="BH707" s="399"/>
      <c r="BI707" s="399"/>
      <c r="BJ707" s="399"/>
      <c r="BK707" s="47"/>
      <c r="BL707" s="399"/>
      <c r="BM707" s="399"/>
      <c r="BN707" s="399"/>
      <c r="BO707" s="399"/>
      <c r="BP707" s="399"/>
      <c r="BQ707" s="399"/>
      <c r="BR707" s="47"/>
      <c r="BS707" s="399"/>
      <c r="BT707" s="399"/>
      <c r="BU707" s="399"/>
      <c r="BV707" s="399"/>
      <c r="BW707" s="399"/>
      <c r="BX707" s="399"/>
      <c r="BY707" s="47"/>
      <c r="BZ707" s="399"/>
      <c r="CA707" s="399"/>
      <c r="CB707" s="399"/>
      <c r="CC707" s="399"/>
      <c r="CD707" s="399"/>
      <c r="CE707" s="399"/>
      <c r="CF707" s="47"/>
      <c r="CG707" s="399"/>
      <c r="CH707" s="399"/>
      <c r="CI707" s="399"/>
      <c r="CJ707" s="399"/>
      <c r="CK707" s="399"/>
      <c r="CL707" s="399"/>
      <c r="CM707" s="47"/>
      <c r="CN707" s="399"/>
      <c r="CO707" s="399"/>
      <c r="CP707" s="399"/>
      <c r="CQ707" s="399"/>
      <c r="CR707" s="399"/>
      <c r="CS707" s="399"/>
      <c r="CT707" s="47"/>
      <c r="CU707" s="399"/>
      <c r="CV707" s="399"/>
      <c r="CW707" s="399"/>
      <c r="CX707" s="399"/>
      <c r="CY707" s="399"/>
      <c r="CZ707" s="399"/>
      <c r="DA707" s="47"/>
      <c r="DB707" s="399"/>
      <c r="DC707" s="399"/>
      <c r="DD707" s="399"/>
      <c r="DE707" s="399"/>
      <c r="DF707" s="399"/>
      <c r="DG707" s="399"/>
      <c r="DH707" s="47"/>
      <c r="DI707" s="399"/>
      <c r="DJ707" s="399"/>
      <c r="DK707" s="399"/>
      <c r="DL707" s="399"/>
      <c r="DM707" s="399"/>
      <c r="DN707" s="399"/>
      <c r="DO707" s="47"/>
      <c r="DP707" s="399"/>
      <c r="DQ707" s="399"/>
      <c r="DR707" s="399"/>
      <c r="DS707" s="399"/>
      <c r="DT707" s="399"/>
      <c r="DU707" s="399"/>
      <c r="DV707" s="47"/>
      <c r="DW707" s="399"/>
      <c r="DX707" s="399"/>
      <c r="DY707" s="399"/>
      <c r="DZ707" s="399"/>
      <c r="EA707" s="399"/>
      <c r="EB707" s="399"/>
      <c r="EC707" s="47"/>
      <c r="ED707" s="399"/>
      <c r="EE707" s="399"/>
      <c r="EF707" s="399"/>
      <c r="EG707" s="399"/>
      <c r="EH707" s="399"/>
      <c r="EI707" s="399"/>
      <c r="EJ707" s="47"/>
      <c r="EK707" s="399"/>
      <c r="EL707" s="399"/>
      <c r="EM707" s="399"/>
      <c r="EN707" s="399"/>
      <c r="EO707" s="399"/>
      <c r="EP707" s="399"/>
      <c r="EQ707" s="47"/>
    </row>
    <row r="708" spans="1:147" ht="10.199999999999999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399"/>
      <c r="P708" s="399"/>
      <c r="Q708" s="399"/>
      <c r="R708" s="399"/>
      <c r="S708" s="399"/>
      <c r="T708" s="399"/>
      <c r="U708" s="47"/>
      <c r="V708" s="399"/>
      <c r="W708" s="399"/>
      <c r="X708" s="399"/>
      <c r="Y708" s="399"/>
      <c r="Z708" s="399"/>
      <c r="AA708" s="399"/>
      <c r="AB708" s="47"/>
      <c r="AC708" s="399"/>
      <c r="AD708" s="399"/>
      <c r="AE708" s="399"/>
      <c r="AF708" s="399"/>
      <c r="AG708" s="399"/>
      <c r="AH708" s="399"/>
      <c r="AI708" s="47"/>
      <c r="AJ708" s="399"/>
      <c r="AK708" s="399"/>
      <c r="AL708" s="399"/>
      <c r="AM708" s="399"/>
      <c r="AN708" s="399"/>
      <c r="AO708" s="399"/>
      <c r="AP708" s="47"/>
      <c r="AQ708" s="399"/>
      <c r="AR708" s="399"/>
      <c r="AS708" s="399"/>
      <c r="AT708" s="399"/>
      <c r="AU708" s="399"/>
      <c r="AV708" s="399"/>
      <c r="AW708" s="47"/>
      <c r="AX708" s="399"/>
      <c r="AY708" s="399"/>
      <c r="AZ708" s="399"/>
      <c r="BA708" s="399"/>
      <c r="BB708" s="399"/>
      <c r="BC708" s="399"/>
      <c r="BD708" s="47"/>
      <c r="BE708" s="399"/>
      <c r="BF708" s="399"/>
      <c r="BG708" s="399"/>
      <c r="BH708" s="399"/>
      <c r="BI708" s="399"/>
      <c r="BJ708" s="399"/>
      <c r="BK708" s="47"/>
      <c r="BL708" s="399"/>
      <c r="BM708" s="399"/>
      <c r="BN708" s="399"/>
      <c r="BO708" s="399"/>
      <c r="BP708" s="399"/>
      <c r="BQ708" s="399"/>
      <c r="BR708" s="47"/>
      <c r="BS708" s="399"/>
      <c r="BT708" s="399"/>
      <c r="BU708" s="399"/>
      <c r="BV708" s="399"/>
      <c r="BW708" s="399"/>
      <c r="BX708" s="399"/>
      <c r="BY708" s="47"/>
      <c r="BZ708" s="399"/>
      <c r="CA708" s="399"/>
      <c r="CB708" s="399"/>
      <c r="CC708" s="399"/>
      <c r="CD708" s="399"/>
      <c r="CE708" s="399"/>
      <c r="CF708" s="47"/>
      <c r="CG708" s="399"/>
      <c r="CH708" s="399"/>
      <c r="CI708" s="399"/>
      <c r="CJ708" s="399"/>
      <c r="CK708" s="399"/>
      <c r="CL708" s="399"/>
      <c r="CM708" s="47"/>
      <c r="CN708" s="399"/>
      <c r="CO708" s="399"/>
      <c r="CP708" s="399"/>
      <c r="CQ708" s="399"/>
      <c r="CR708" s="399"/>
      <c r="CS708" s="399"/>
      <c r="CT708" s="47"/>
      <c r="CU708" s="399"/>
      <c r="CV708" s="399"/>
      <c r="CW708" s="399"/>
      <c r="CX708" s="399"/>
      <c r="CY708" s="399"/>
      <c r="CZ708" s="399"/>
      <c r="DA708" s="47"/>
      <c r="DB708" s="399"/>
      <c r="DC708" s="399"/>
      <c r="DD708" s="399"/>
      <c r="DE708" s="399"/>
      <c r="DF708" s="399"/>
      <c r="DG708" s="399"/>
      <c r="DH708" s="47"/>
      <c r="DI708" s="399"/>
      <c r="DJ708" s="399"/>
      <c r="DK708" s="399"/>
      <c r="DL708" s="399"/>
      <c r="DM708" s="399"/>
      <c r="DN708" s="399"/>
      <c r="DO708" s="47"/>
      <c r="DP708" s="399"/>
      <c r="DQ708" s="399"/>
      <c r="DR708" s="399"/>
      <c r="DS708" s="399"/>
      <c r="DT708" s="399"/>
      <c r="DU708" s="399"/>
      <c r="DV708" s="47"/>
      <c r="DW708" s="399"/>
      <c r="DX708" s="399"/>
      <c r="DY708" s="399"/>
      <c r="DZ708" s="399"/>
      <c r="EA708" s="399"/>
      <c r="EB708" s="399"/>
      <c r="EC708" s="47"/>
      <c r="ED708" s="399"/>
      <c r="EE708" s="399"/>
      <c r="EF708" s="399"/>
      <c r="EG708" s="399"/>
      <c r="EH708" s="399"/>
      <c r="EI708" s="399"/>
      <c r="EJ708" s="47"/>
      <c r="EK708" s="399"/>
      <c r="EL708" s="399"/>
      <c r="EM708" s="399"/>
      <c r="EN708" s="399"/>
      <c r="EO708" s="399"/>
      <c r="EP708" s="399"/>
      <c r="EQ708" s="47"/>
    </row>
    <row r="709" spans="1:147" ht="10.199999999999999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399"/>
      <c r="P709" s="399"/>
      <c r="Q709" s="399"/>
      <c r="R709" s="399"/>
      <c r="S709" s="399"/>
      <c r="T709" s="399"/>
      <c r="U709" s="47"/>
      <c r="V709" s="399"/>
      <c r="W709" s="399"/>
      <c r="X709" s="399"/>
      <c r="Y709" s="399"/>
      <c r="Z709" s="399"/>
      <c r="AA709" s="399"/>
      <c r="AB709" s="47"/>
      <c r="AC709" s="399"/>
      <c r="AD709" s="399"/>
      <c r="AE709" s="399"/>
      <c r="AF709" s="399"/>
      <c r="AG709" s="399"/>
      <c r="AH709" s="399"/>
      <c r="AI709" s="47"/>
      <c r="AJ709" s="399"/>
      <c r="AK709" s="399"/>
      <c r="AL709" s="399"/>
      <c r="AM709" s="399"/>
      <c r="AN709" s="399"/>
      <c r="AO709" s="399"/>
      <c r="AP709" s="47"/>
      <c r="AQ709" s="399"/>
      <c r="AR709" s="399"/>
      <c r="AS709" s="399"/>
      <c r="AT709" s="399"/>
      <c r="AU709" s="399"/>
      <c r="AV709" s="399"/>
      <c r="AW709" s="47"/>
      <c r="AX709" s="399"/>
      <c r="AY709" s="399"/>
      <c r="AZ709" s="399"/>
      <c r="BA709" s="399"/>
      <c r="BB709" s="399"/>
      <c r="BC709" s="399"/>
      <c r="BD709" s="47"/>
      <c r="BE709" s="399"/>
      <c r="BF709" s="399"/>
      <c r="BG709" s="399"/>
      <c r="BH709" s="399"/>
      <c r="BI709" s="399"/>
      <c r="BJ709" s="399"/>
      <c r="BK709" s="47"/>
      <c r="BL709" s="399"/>
      <c r="BM709" s="399"/>
      <c r="BN709" s="399"/>
      <c r="BO709" s="399"/>
      <c r="BP709" s="399"/>
      <c r="BQ709" s="399"/>
      <c r="BR709" s="47"/>
      <c r="BS709" s="399"/>
      <c r="BT709" s="399"/>
      <c r="BU709" s="399"/>
      <c r="BV709" s="399"/>
      <c r="BW709" s="399"/>
      <c r="BX709" s="399"/>
      <c r="BY709" s="47"/>
      <c r="BZ709" s="399"/>
      <c r="CA709" s="399"/>
      <c r="CB709" s="399"/>
      <c r="CC709" s="399"/>
      <c r="CD709" s="399"/>
      <c r="CE709" s="399"/>
      <c r="CF709" s="47"/>
      <c r="CG709" s="399"/>
      <c r="CH709" s="399"/>
      <c r="CI709" s="399"/>
      <c r="CJ709" s="399"/>
      <c r="CK709" s="399"/>
      <c r="CL709" s="399"/>
      <c r="CM709" s="47"/>
      <c r="CN709" s="399"/>
      <c r="CO709" s="399"/>
      <c r="CP709" s="399"/>
      <c r="CQ709" s="399"/>
      <c r="CR709" s="399"/>
      <c r="CS709" s="399"/>
      <c r="CT709" s="47"/>
      <c r="CU709" s="399"/>
      <c r="CV709" s="399"/>
      <c r="CW709" s="399"/>
      <c r="CX709" s="399"/>
      <c r="CY709" s="399"/>
      <c r="CZ709" s="399"/>
      <c r="DA709" s="47"/>
      <c r="DB709" s="399"/>
      <c r="DC709" s="399"/>
      <c r="DD709" s="399"/>
      <c r="DE709" s="399"/>
      <c r="DF709" s="399"/>
      <c r="DG709" s="399"/>
      <c r="DH709" s="47"/>
      <c r="DI709" s="399"/>
      <c r="DJ709" s="399"/>
      <c r="DK709" s="399"/>
      <c r="DL709" s="399"/>
      <c r="DM709" s="399"/>
      <c r="DN709" s="399"/>
      <c r="DO709" s="47"/>
      <c r="DP709" s="399"/>
      <c r="DQ709" s="399"/>
      <c r="DR709" s="399"/>
      <c r="DS709" s="399"/>
      <c r="DT709" s="399"/>
      <c r="DU709" s="399"/>
      <c r="DV709" s="47"/>
      <c r="DW709" s="399"/>
      <c r="DX709" s="399"/>
      <c r="DY709" s="399"/>
      <c r="DZ709" s="399"/>
      <c r="EA709" s="399"/>
      <c r="EB709" s="399"/>
      <c r="EC709" s="47"/>
      <c r="ED709" s="399"/>
      <c r="EE709" s="399"/>
      <c r="EF709" s="399"/>
      <c r="EG709" s="399"/>
      <c r="EH709" s="399"/>
      <c r="EI709" s="399"/>
      <c r="EJ709" s="47"/>
      <c r="EK709" s="399"/>
      <c r="EL709" s="399"/>
      <c r="EM709" s="399"/>
      <c r="EN709" s="399"/>
      <c r="EO709" s="399"/>
      <c r="EP709" s="399"/>
      <c r="EQ709" s="47"/>
    </row>
    <row r="710" spans="1:147" ht="10.199999999999999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399"/>
      <c r="P710" s="399"/>
      <c r="Q710" s="399"/>
      <c r="R710" s="399"/>
      <c r="S710" s="399"/>
      <c r="T710" s="399"/>
      <c r="U710" s="47"/>
      <c r="V710" s="399"/>
      <c r="W710" s="399"/>
      <c r="X710" s="399"/>
      <c r="Y710" s="399"/>
      <c r="Z710" s="399"/>
      <c r="AA710" s="399"/>
      <c r="AB710" s="47"/>
      <c r="AC710" s="399"/>
      <c r="AD710" s="399"/>
      <c r="AE710" s="399"/>
      <c r="AF710" s="399"/>
      <c r="AG710" s="399"/>
      <c r="AH710" s="399"/>
      <c r="AI710" s="47"/>
      <c r="AJ710" s="399"/>
      <c r="AK710" s="399"/>
      <c r="AL710" s="399"/>
      <c r="AM710" s="399"/>
      <c r="AN710" s="399"/>
      <c r="AO710" s="399"/>
      <c r="AP710" s="47"/>
      <c r="AQ710" s="399"/>
      <c r="AR710" s="399"/>
      <c r="AS710" s="399"/>
      <c r="AT710" s="399"/>
      <c r="AU710" s="399"/>
      <c r="AV710" s="399"/>
      <c r="AW710" s="47"/>
      <c r="AX710" s="399"/>
      <c r="AY710" s="399"/>
      <c r="AZ710" s="399"/>
      <c r="BA710" s="399"/>
      <c r="BB710" s="399"/>
      <c r="BC710" s="399"/>
      <c r="BD710" s="47"/>
      <c r="BE710" s="399"/>
      <c r="BF710" s="399"/>
      <c r="BG710" s="399"/>
      <c r="BH710" s="399"/>
      <c r="BI710" s="399"/>
      <c r="BJ710" s="399"/>
      <c r="BK710" s="47"/>
      <c r="BL710" s="399"/>
      <c r="BM710" s="399"/>
      <c r="BN710" s="399"/>
      <c r="BO710" s="399"/>
      <c r="BP710" s="399"/>
      <c r="BQ710" s="399"/>
      <c r="BR710" s="47"/>
      <c r="BS710" s="399"/>
      <c r="BT710" s="399"/>
      <c r="BU710" s="399"/>
      <c r="BV710" s="399"/>
      <c r="BW710" s="399"/>
      <c r="BX710" s="399"/>
      <c r="BY710" s="47"/>
      <c r="BZ710" s="399"/>
      <c r="CA710" s="399"/>
      <c r="CB710" s="399"/>
      <c r="CC710" s="399"/>
      <c r="CD710" s="399"/>
      <c r="CE710" s="399"/>
      <c r="CF710" s="47"/>
      <c r="CG710" s="399"/>
      <c r="CH710" s="399"/>
      <c r="CI710" s="399"/>
      <c r="CJ710" s="399"/>
      <c r="CK710" s="399"/>
      <c r="CL710" s="399"/>
      <c r="CM710" s="47"/>
      <c r="CN710" s="399"/>
      <c r="CO710" s="399"/>
      <c r="CP710" s="399"/>
      <c r="CQ710" s="399"/>
      <c r="CR710" s="399"/>
      <c r="CS710" s="399"/>
      <c r="CT710" s="47"/>
      <c r="CU710" s="399"/>
      <c r="CV710" s="399"/>
      <c r="CW710" s="399"/>
      <c r="CX710" s="399"/>
      <c r="CY710" s="399"/>
      <c r="CZ710" s="399"/>
      <c r="DA710" s="47"/>
      <c r="DB710" s="399"/>
      <c r="DC710" s="399"/>
      <c r="DD710" s="399"/>
      <c r="DE710" s="399"/>
      <c r="DF710" s="399"/>
      <c r="DG710" s="399"/>
      <c r="DH710" s="47"/>
      <c r="DI710" s="399"/>
      <c r="DJ710" s="399"/>
      <c r="DK710" s="399"/>
      <c r="DL710" s="399"/>
      <c r="DM710" s="399"/>
      <c r="DN710" s="399"/>
      <c r="DO710" s="47"/>
      <c r="DP710" s="399"/>
      <c r="DQ710" s="399"/>
      <c r="DR710" s="399"/>
      <c r="DS710" s="399"/>
      <c r="DT710" s="399"/>
      <c r="DU710" s="399"/>
      <c r="DV710" s="47"/>
      <c r="DW710" s="399"/>
      <c r="DX710" s="399"/>
      <c r="DY710" s="399"/>
      <c r="DZ710" s="399"/>
      <c r="EA710" s="399"/>
      <c r="EB710" s="399"/>
      <c r="EC710" s="47"/>
      <c r="ED710" s="399"/>
      <c r="EE710" s="399"/>
      <c r="EF710" s="399"/>
      <c r="EG710" s="399"/>
      <c r="EH710" s="399"/>
      <c r="EI710" s="399"/>
      <c r="EJ710" s="47"/>
      <c r="EK710" s="399"/>
      <c r="EL710" s="399"/>
      <c r="EM710" s="399"/>
      <c r="EN710" s="399"/>
      <c r="EO710" s="399"/>
      <c r="EP710" s="399"/>
      <c r="EQ710" s="47"/>
    </row>
    <row r="711" spans="1:147" ht="10.199999999999999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399"/>
      <c r="P711" s="399"/>
      <c r="Q711" s="399"/>
      <c r="R711" s="399"/>
      <c r="S711" s="399"/>
      <c r="T711" s="399"/>
      <c r="U711" s="47"/>
      <c r="V711" s="399"/>
      <c r="W711" s="399"/>
      <c r="X711" s="399"/>
      <c r="Y711" s="399"/>
      <c r="Z711" s="399"/>
      <c r="AA711" s="399"/>
      <c r="AB711" s="47"/>
      <c r="AC711" s="399"/>
      <c r="AD711" s="399"/>
      <c r="AE711" s="399"/>
      <c r="AF711" s="399"/>
      <c r="AG711" s="399"/>
      <c r="AH711" s="399"/>
      <c r="AI711" s="47"/>
      <c r="AJ711" s="399"/>
      <c r="AK711" s="399"/>
      <c r="AL711" s="399"/>
      <c r="AM711" s="399"/>
      <c r="AN711" s="399"/>
      <c r="AO711" s="399"/>
      <c r="AP711" s="47"/>
      <c r="AQ711" s="399"/>
      <c r="AR711" s="399"/>
      <c r="AS711" s="399"/>
      <c r="AT711" s="399"/>
      <c r="AU711" s="399"/>
      <c r="AV711" s="399"/>
      <c r="AW711" s="47"/>
      <c r="AX711" s="399"/>
      <c r="AY711" s="399"/>
      <c r="AZ711" s="399"/>
      <c r="BA711" s="399"/>
      <c r="BB711" s="399"/>
      <c r="BC711" s="399"/>
      <c r="BD711" s="47"/>
      <c r="BE711" s="399"/>
      <c r="BF711" s="399"/>
      <c r="BG711" s="399"/>
      <c r="BH711" s="399"/>
      <c r="BI711" s="399"/>
      <c r="BJ711" s="399"/>
      <c r="BK711" s="47"/>
      <c r="BL711" s="399"/>
      <c r="BM711" s="399"/>
      <c r="BN711" s="399"/>
      <c r="BO711" s="399"/>
      <c r="BP711" s="399"/>
      <c r="BQ711" s="399"/>
      <c r="BR711" s="47"/>
      <c r="BS711" s="399"/>
      <c r="BT711" s="399"/>
      <c r="BU711" s="399"/>
      <c r="BV711" s="399"/>
      <c r="BW711" s="399"/>
      <c r="BX711" s="399"/>
      <c r="BY711" s="47"/>
      <c r="BZ711" s="399"/>
      <c r="CA711" s="399"/>
      <c r="CB711" s="399"/>
      <c r="CC711" s="399"/>
      <c r="CD711" s="399"/>
      <c r="CE711" s="399"/>
      <c r="CF711" s="47"/>
      <c r="CG711" s="399"/>
      <c r="CH711" s="399"/>
      <c r="CI711" s="399"/>
      <c r="CJ711" s="399"/>
      <c r="CK711" s="399"/>
      <c r="CL711" s="399"/>
      <c r="CM711" s="47"/>
      <c r="CN711" s="399"/>
      <c r="CO711" s="399"/>
      <c r="CP711" s="399"/>
      <c r="CQ711" s="399"/>
      <c r="CR711" s="399"/>
      <c r="CS711" s="399"/>
      <c r="CT711" s="47"/>
      <c r="CU711" s="399"/>
      <c r="CV711" s="399"/>
      <c r="CW711" s="399"/>
      <c r="CX711" s="399"/>
      <c r="CY711" s="399"/>
      <c r="CZ711" s="399"/>
      <c r="DA711" s="47"/>
      <c r="DB711" s="399"/>
      <c r="DC711" s="399"/>
      <c r="DD711" s="399"/>
      <c r="DE711" s="399"/>
      <c r="DF711" s="399"/>
      <c r="DG711" s="399"/>
      <c r="DH711" s="47"/>
      <c r="DI711" s="399"/>
      <c r="DJ711" s="399"/>
      <c r="DK711" s="399"/>
      <c r="DL711" s="399"/>
      <c r="DM711" s="399"/>
      <c r="DN711" s="399"/>
      <c r="DO711" s="47"/>
      <c r="DP711" s="399"/>
      <c r="DQ711" s="399"/>
      <c r="DR711" s="399"/>
      <c r="DS711" s="399"/>
      <c r="DT711" s="399"/>
      <c r="DU711" s="399"/>
      <c r="DV711" s="47"/>
      <c r="DW711" s="399"/>
      <c r="DX711" s="399"/>
      <c r="DY711" s="399"/>
      <c r="DZ711" s="399"/>
      <c r="EA711" s="399"/>
      <c r="EB711" s="399"/>
      <c r="EC711" s="47"/>
      <c r="ED711" s="399"/>
      <c r="EE711" s="399"/>
      <c r="EF711" s="399"/>
      <c r="EG711" s="399"/>
      <c r="EH711" s="399"/>
      <c r="EI711" s="399"/>
      <c r="EJ711" s="47"/>
      <c r="EK711" s="399"/>
      <c r="EL711" s="399"/>
      <c r="EM711" s="399"/>
      <c r="EN711" s="399"/>
      <c r="EO711" s="399"/>
      <c r="EP711" s="399"/>
      <c r="EQ711" s="47"/>
    </row>
    <row r="712" spans="1:147" ht="10.199999999999999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399"/>
      <c r="P712" s="399"/>
      <c r="Q712" s="399"/>
      <c r="R712" s="399"/>
      <c r="S712" s="399"/>
      <c r="T712" s="399"/>
      <c r="U712" s="47"/>
      <c r="V712" s="399"/>
      <c r="W712" s="399"/>
      <c r="X712" s="399"/>
      <c r="Y712" s="399"/>
      <c r="Z712" s="399"/>
      <c r="AA712" s="399"/>
      <c r="AB712" s="47"/>
      <c r="AC712" s="399"/>
      <c r="AD712" s="399"/>
      <c r="AE712" s="399"/>
      <c r="AF712" s="399"/>
      <c r="AG712" s="399"/>
      <c r="AH712" s="399"/>
      <c r="AI712" s="47"/>
      <c r="AJ712" s="399"/>
      <c r="AK712" s="399"/>
      <c r="AL712" s="399"/>
      <c r="AM712" s="399"/>
      <c r="AN712" s="399"/>
      <c r="AO712" s="399"/>
      <c r="AP712" s="47"/>
      <c r="AQ712" s="399"/>
      <c r="AR712" s="399"/>
      <c r="AS712" s="399"/>
      <c r="AT712" s="399"/>
      <c r="AU712" s="399"/>
      <c r="AV712" s="399"/>
      <c r="AW712" s="47"/>
      <c r="AX712" s="399"/>
      <c r="AY712" s="399"/>
      <c r="AZ712" s="399"/>
      <c r="BA712" s="399"/>
      <c r="BB712" s="399"/>
      <c r="BC712" s="399"/>
      <c r="BD712" s="47"/>
      <c r="BE712" s="399"/>
      <c r="BF712" s="399"/>
      <c r="BG712" s="399"/>
      <c r="BH712" s="399"/>
      <c r="BI712" s="399"/>
      <c r="BJ712" s="399"/>
      <c r="BK712" s="47"/>
      <c r="BL712" s="399"/>
      <c r="BM712" s="399"/>
      <c r="BN712" s="399"/>
      <c r="BO712" s="399"/>
      <c r="BP712" s="399"/>
      <c r="BQ712" s="399"/>
      <c r="BR712" s="47"/>
      <c r="BS712" s="399"/>
      <c r="BT712" s="399"/>
      <c r="BU712" s="399"/>
      <c r="BV712" s="399"/>
      <c r="BW712" s="399"/>
      <c r="BX712" s="399"/>
      <c r="BY712" s="47"/>
      <c r="BZ712" s="399"/>
      <c r="CA712" s="399"/>
      <c r="CB712" s="399"/>
      <c r="CC712" s="399"/>
      <c r="CD712" s="399"/>
      <c r="CE712" s="399"/>
      <c r="CF712" s="47"/>
      <c r="CG712" s="399"/>
      <c r="CH712" s="399"/>
      <c r="CI712" s="399"/>
      <c r="CJ712" s="399"/>
      <c r="CK712" s="399"/>
      <c r="CL712" s="399"/>
      <c r="CM712" s="47"/>
      <c r="CN712" s="399"/>
      <c r="CO712" s="399"/>
      <c r="CP712" s="399"/>
      <c r="CQ712" s="399"/>
      <c r="CR712" s="399"/>
      <c r="CS712" s="399"/>
      <c r="CT712" s="47"/>
      <c r="CU712" s="399"/>
      <c r="CV712" s="399"/>
      <c r="CW712" s="399"/>
      <c r="CX712" s="399"/>
      <c r="CY712" s="399"/>
      <c r="CZ712" s="399"/>
      <c r="DA712" s="47"/>
      <c r="DB712" s="399"/>
      <c r="DC712" s="399"/>
      <c r="DD712" s="399"/>
      <c r="DE712" s="399"/>
      <c r="DF712" s="399"/>
      <c r="DG712" s="399"/>
      <c r="DH712" s="47"/>
      <c r="DI712" s="399"/>
      <c r="DJ712" s="399"/>
      <c r="DK712" s="399"/>
      <c r="DL712" s="399"/>
      <c r="DM712" s="399"/>
      <c r="DN712" s="399"/>
      <c r="DO712" s="47"/>
      <c r="DP712" s="399"/>
      <c r="DQ712" s="399"/>
      <c r="DR712" s="399"/>
      <c r="DS712" s="399"/>
      <c r="DT712" s="399"/>
      <c r="DU712" s="399"/>
      <c r="DV712" s="47"/>
      <c r="DW712" s="399"/>
      <c r="DX712" s="399"/>
      <c r="DY712" s="399"/>
      <c r="DZ712" s="399"/>
      <c r="EA712" s="399"/>
      <c r="EB712" s="399"/>
      <c r="EC712" s="47"/>
      <c r="ED712" s="399"/>
      <c r="EE712" s="399"/>
      <c r="EF712" s="399"/>
      <c r="EG712" s="399"/>
      <c r="EH712" s="399"/>
      <c r="EI712" s="399"/>
      <c r="EJ712" s="47"/>
      <c r="EK712" s="399"/>
      <c r="EL712" s="399"/>
      <c r="EM712" s="399"/>
      <c r="EN712" s="399"/>
      <c r="EO712" s="399"/>
      <c r="EP712" s="399"/>
      <c r="EQ712" s="47"/>
    </row>
    <row r="713" spans="1:147" ht="10.199999999999999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399"/>
      <c r="P713" s="399"/>
      <c r="Q713" s="399"/>
      <c r="R713" s="399"/>
      <c r="S713" s="399"/>
      <c r="T713" s="399"/>
      <c r="U713" s="47"/>
      <c r="V713" s="399"/>
      <c r="W713" s="399"/>
      <c r="X713" s="399"/>
      <c r="Y713" s="399"/>
      <c r="Z713" s="399"/>
      <c r="AA713" s="399"/>
      <c r="AB713" s="47"/>
      <c r="AC713" s="399"/>
      <c r="AD713" s="399"/>
      <c r="AE713" s="399"/>
      <c r="AF713" s="399"/>
      <c r="AG713" s="399"/>
      <c r="AH713" s="399"/>
      <c r="AI713" s="47"/>
      <c r="AJ713" s="399"/>
      <c r="AK713" s="399"/>
      <c r="AL713" s="399"/>
      <c r="AM713" s="399"/>
      <c r="AN713" s="399"/>
      <c r="AO713" s="399"/>
      <c r="AP713" s="47"/>
      <c r="AQ713" s="399"/>
      <c r="AR713" s="399"/>
      <c r="AS713" s="399"/>
      <c r="AT713" s="399"/>
      <c r="AU713" s="399"/>
      <c r="AV713" s="399"/>
      <c r="AW713" s="47"/>
      <c r="AX713" s="399"/>
      <c r="AY713" s="399"/>
      <c r="AZ713" s="399"/>
      <c r="BA713" s="399"/>
      <c r="BB713" s="399"/>
      <c r="BC713" s="399"/>
      <c r="BD713" s="47"/>
      <c r="BE713" s="399"/>
      <c r="BF713" s="399"/>
      <c r="BG713" s="399"/>
      <c r="BH713" s="399"/>
      <c r="BI713" s="399"/>
      <c r="BJ713" s="399"/>
      <c r="BK713" s="47"/>
      <c r="BL713" s="399"/>
      <c r="BM713" s="399"/>
      <c r="BN713" s="399"/>
      <c r="BO713" s="399"/>
      <c r="BP713" s="399"/>
      <c r="BQ713" s="399"/>
      <c r="BR713" s="47"/>
      <c r="BS713" s="399"/>
      <c r="BT713" s="399"/>
      <c r="BU713" s="399"/>
      <c r="BV713" s="399"/>
      <c r="BW713" s="399"/>
      <c r="BX713" s="399"/>
      <c r="BY713" s="47"/>
      <c r="BZ713" s="399"/>
      <c r="CA713" s="399"/>
      <c r="CB713" s="399"/>
      <c r="CC713" s="399"/>
      <c r="CD713" s="399"/>
      <c r="CE713" s="399"/>
      <c r="CF713" s="47"/>
      <c r="CG713" s="399"/>
      <c r="CH713" s="399"/>
      <c r="CI713" s="399"/>
      <c r="CJ713" s="399"/>
      <c r="CK713" s="399"/>
      <c r="CL713" s="399"/>
      <c r="CM713" s="47"/>
      <c r="CN713" s="399"/>
      <c r="CO713" s="399"/>
      <c r="CP713" s="399"/>
      <c r="CQ713" s="399"/>
      <c r="CR713" s="399"/>
      <c r="CS713" s="399"/>
      <c r="CT713" s="47"/>
      <c r="CU713" s="399"/>
      <c r="CV713" s="399"/>
      <c r="CW713" s="399"/>
      <c r="CX713" s="399"/>
      <c r="CY713" s="399"/>
      <c r="CZ713" s="399"/>
      <c r="DA713" s="47"/>
      <c r="DB713" s="399"/>
      <c r="DC713" s="399"/>
      <c r="DD713" s="399"/>
      <c r="DE713" s="399"/>
      <c r="DF713" s="399"/>
      <c r="DG713" s="399"/>
      <c r="DH713" s="47"/>
      <c r="DI713" s="399"/>
      <c r="DJ713" s="399"/>
      <c r="DK713" s="399"/>
      <c r="DL713" s="399"/>
      <c r="DM713" s="399"/>
      <c r="DN713" s="399"/>
      <c r="DO713" s="47"/>
      <c r="DP713" s="399"/>
      <c r="DQ713" s="399"/>
      <c r="DR713" s="399"/>
      <c r="DS713" s="399"/>
      <c r="DT713" s="399"/>
      <c r="DU713" s="399"/>
      <c r="DV713" s="47"/>
      <c r="DW713" s="399"/>
      <c r="DX713" s="399"/>
      <c r="DY713" s="399"/>
      <c r="DZ713" s="399"/>
      <c r="EA713" s="399"/>
      <c r="EB713" s="399"/>
      <c r="EC713" s="47"/>
      <c r="ED713" s="399"/>
      <c r="EE713" s="399"/>
      <c r="EF713" s="399"/>
      <c r="EG713" s="399"/>
      <c r="EH713" s="399"/>
      <c r="EI713" s="399"/>
      <c r="EJ713" s="47"/>
      <c r="EK713" s="399"/>
      <c r="EL713" s="399"/>
      <c r="EM713" s="399"/>
      <c r="EN713" s="399"/>
      <c r="EO713" s="399"/>
      <c r="EP713" s="399"/>
      <c r="EQ713" s="47"/>
    </row>
    <row r="714" spans="1:147" ht="10.199999999999999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399"/>
      <c r="P714" s="399"/>
      <c r="Q714" s="399"/>
      <c r="R714" s="399"/>
      <c r="S714" s="399"/>
      <c r="T714" s="399"/>
      <c r="U714" s="47"/>
      <c r="V714" s="399"/>
      <c r="W714" s="399"/>
      <c r="X714" s="399"/>
      <c r="Y714" s="399"/>
      <c r="Z714" s="399"/>
      <c r="AA714" s="399"/>
      <c r="AB714" s="47"/>
      <c r="AC714" s="399"/>
      <c r="AD714" s="399"/>
      <c r="AE714" s="399"/>
      <c r="AF714" s="399"/>
      <c r="AG714" s="399"/>
      <c r="AH714" s="399"/>
      <c r="AI714" s="47"/>
      <c r="AJ714" s="399"/>
      <c r="AK714" s="399"/>
      <c r="AL714" s="399"/>
      <c r="AM714" s="399"/>
      <c r="AN714" s="399"/>
      <c r="AO714" s="399"/>
      <c r="AP714" s="47"/>
      <c r="AQ714" s="399"/>
      <c r="AR714" s="399"/>
      <c r="AS714" s="399"/>
      <c r="AT714" s="399"/>
      <c r="AU714" s="399"/>
      <c r="AV714" s="399"/>
      <c r="AW714" s="47"/>
      <c r="AX714" s="399"/>
      <c r="AY714" s="399"/>
      <c r="AZ714" s="399"/>
      <c r="BA714" s="399"/>
      <c r="BB714" s="399"/>
      <c r="BC714" s="399"/>
      <c r="BD714" s="47"/>
      <c r="BE714" s="399"/>
      <c r="BF714" s="399"/>
      <c r="BG714" s="399"/>
      <c r="BH714" s="399"/>
      <c r="BI714" s="399"/>
      <c r="BJ714" s="399"/>
      <c r="BK714" s="47"/>
      <c r="BL714" s="399"/>
      <c r="BM714" s="399"/>
      <c r="BN714" s="399"/>
      <c r="BO714" s="399"/>
      <c r="BP714" s="399"/>
      <c r="BQ714" s="399"/>
      <c r="BR714" s="47"/>
      <c r="BS714" s="399"/>
      <c r="BT714" s="399"/>
      <c r="BU714" s="399"/>
      <c r="BV714" s="399"/>
      <c r="BW714" s="399"/>
      <c r="BX714" s="399"/>
      <c r="BY714" s="47"/>
      <c r="BZ714" s="399"/>
      <c r="CA714" s="399"/>
      <c r="CB714" s="399"/>
      <c r="CC714" s="399"/>
      <c r="CD714" s="399"/>
      <c r="CE714" s="399"/>
      <c r="CF714" s="47"/>
      <c r="CG714" s="399"/>
      <c r="CH714" s="399"/>
      <c r="CI714" s="399"/>
      <c r="CJ714" s="399"/>
      <c r="CK714" s="399"/>
      <c r="CL714" s="399"/>
      <c r="CM714" s="47"/>
      <c r="CN714" s="399"/>
      <c r="CO714" s="399"/>
      <c r="CP714" s="399"/>
      <c r="CQ714" s="399"/>
      <c r="CR714" s="399"/>
      <c r="CS714" s="399"/>
      <c r="CT714" s="47"/>
      <c r="CU714" s="399"/>
      <c r="CV714" s="399"/>
      <c r="CW714" s="399"/>
      <c r="CX714" s="399"/>
      <c r="CY714" s="399"/>
      <c r="CZ714" s="399"/>
      <c r="DA714" s="47"/>
      <c r="DB714" s="399"/>
      <c r="DC714" s="399"/>
      <c r="DD714" s="399"/>
      <c r="DE714" s="399"/>
      <c r="DF714" s="399"/>
      <c r="DG714" s="399"/>
      <c r="DH714" s="47"/>
      <c r="DI714" s="399"/>
      <c r="DJ714" s="399"/>
      <c r="DK714" s="399"/>
      <c r="DL714" s="399"/>
      <c r="DM714" s="399"/>
      <c r="DN714" s="399"/>
      <c r="DO714" s="47"/>
      <c r="DP714" s="399"/>
      <c r="DQ714" s="399"/>
      <c r="DR714" s="399"/>
      <c r="DS714" s="399"/>
      <c r="DT714" s="399"/>
      <c r="DU714" s="399"/>
      <c r="DV714" s="47"/>
      <c r="DW714" s="399"/>
      <c r="DX714" s="399"/>
      <c r="DY714" s="399"/>
      <c r="DZ714" s="399"/>
      <c r="EA714" s="399"/>
      <c r="EB714" s="399"/>
      <c r="EC714" s="47"/>
      <c r="ED714" s="399"/>
      <c r="EE714" s="399"/>
      <c r="EF714" s="399"/>
      <c r="EG714" s="399"/>
      <c r="EH714" s="399"/>
      <c r="EI714" s="399"/>
      <c r="EJ714" s="47"/>
      <c r="EK714" s="399"/>
      <c r="EL714" s="399"/>
      <c r="EM714" s="399"/>
      <c r="EN714" s="399"/>
      <c r="EO714" s="399"/>
      <c r="EP714" s="399"/>
      <c r="EQ714" s="47"/>
    </row>
    <row r="715" spans="1:147" ht="10.199999999999999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399"/>
      <c r="P715" s="399"/>
      <c r="Q715" s="399"/>
      <c r="R715" s="399"/>
      <c r="S715" s="399"/>
      <c r="T715" s="399"/>
      <c r="U715" s="47"/>
      <c r="V715" s="399"/>
      <c r="W715" s="399"/>
      <c r="X715" s="399"/>
      <c r="Y715" s="399"/>
      <c r="Z715" s="399"/>
      <c r="AA715" s="399"/>
      <c r="AB715" s="47"/>
      <c r="AC715" s="399"/>
      <c r="AD715" s="399"/>
      <c r="AE715" s="399"/>
      <c r="AF715" s="399"/>
      <c r="AG715" s="399"/>
      <c r="AH715" s="399"/>
      <c r="AI715" s="47"/>
      <c r="AJ715" s="399"/>
      <c r="AK715" s="399"/>
      <c r="AL715" s="399"/>
      <c r="AM715" s="399"/>
      <c r="AN715" s="399"/>
      <c r="AO715" s="399"/>
      <c r="AP715" s="47"/>
      <c r="AQ715" s="399"/>
      <c r="AR715" s="399"/>
      <c r="AS715" s="399"/>
      <c r="AT715" s="399"/>
      <c r="AU715" s="399"/>
      <c r="AV715" s="399"/>
      <c r="AW715" s="47"/>
      <c r="AX715" s="399"/>
      <c r="AY715" s="399"/>
      <c r="AZ715" s="399"/>
      <c r="BA715" s="399"/>
      <c r="BB715" s="399"/>
      <c r="BC715" s="399"/>
      <c r="BD715" s="47"/>
      <c r="BE715" s="399"/>
      <c r="BF715" s="399"/>
      <c r="BG715" s="399"/>
      <c r="BH715" s="399"/>
      <c r="BI715" s="399"/>
      <c r="BJ715" s="399"/>
      <c r="BK715" s="47"/>
      <c r="BL715" s="399"/>
      <c r="BM715" s="399"/>
      <c r="BN715" s="399"/>
      <c r="BO715" s="399"/>
      <c r="BP715" s="399"/>
      <c r="BQ715" s="399"/>
      <c r="BR715" s="47"/>
      <c r="BS715" s="399"/>
      <c r="BT715" s="399"/>
      <c r="BU715" s="399"/>
      <c r="BV715" s="399"/>
      <c r="BW715" s="399"/>
      <c r="BX715" s="399"/>
      <c r="BY715" s="47"/>
      <c r="BZ715" s="399"/>
      <c r="CA715" s="399"/>
      <c r="CB715" s="399"/>
      <c r="CC715" s="399"/>
      <c r="CD715" s="399"/>
      <c r="CE715" s="399"/>
      <c r="CF715" s="47"/>
      <c r="CG715" s="399"/>
      <c r="CH715" s="399"/>
      <c r="CI715" s="399"/>
      <c r="CJ715" s="399"/>
      <c r="CK715" s="399"/>
      <c r="CL715" s="399"/>
      <c r="CM715" s="47"/>
      <c r="CN715" s="399"/>
      <c r="CO715" s="399"/>
      <c r="CP715" s="399"/>
      <c r="CQ715" s="399"/>
      <c r="CR715" s="399"/>
      <c r="CS715" s="399"/>
      <c r="CT715" s="47"/>
      <c r="CU715" s="399"/>
      <c r="CV715" s="399"/>
      <c r="CW715" s="399"/>
      <c r="CX715" s="399"/>
      <c r="CY715" s="399"/>
      <c r="CZ715" s="399"/>
      <c r="DA715" s="47"/>
      <c r="DB715" s="399"/>
      <c r="DC715" s="399"/>
      <c r="DD715" s="399"/>
      <c r="DE715" s="399"/>
      <c r="DF715" s="399"/>
      <c r="DG715" s="399"/>
      <c r="DH715" s="47"/>
      <c r="DI715" s="399"/>
      <c r="DJ715" s="399"/>
      <c r="DK715" s="399"/>
      <c r="DL715" s="399"/>
      <c r="DM715" s="399"/>
      <c r="DN715" s="399"/>
      <c r="DO715" s="47"/>
      <c r="DP715" s="399"/>
      <c r="DQ715" s="399"/>
      <c r="DR715" s="399"/>
      <c r="DS715" s="399"/>
      <c r="DT715" s="399"/>
      <c r="DU715" s="399"/>
      <c r="DV715" s="47"/>
      <c r="DW715" s="399"/>
      <c r="DX715" s="399"/>
      <c r="DY715" s="399"/>
      <c r="DZ715" s="399"/>
      <c r="EA715" s="399"/>
      <c r="EB715" s="399"/>
      <c r="EC715" s="47"/>
      <c r="ED715" s="399"/>
      <c r="EE715" s="399"/>
      <c r="EF715" s="399"/>
      <c r="EG715" s="399"/>
      <c r="EH715" s="399"/>
      <c r="EI715" s="399"/>
      <c r="EJ715" s="47"/>
      <c r="EK715" s="399"/>
      <c r="EL715" s="399"/>
      <c r="EM715" s="399"/>
      <c r="EN715" s="399"/>
      <c r="EO715" s="399"/>
      <c r="EP715" s="399"/>
      <c r="EQ715" s="47"/>
    </row>
    <row r="716" spans="1:147" ht="10.199999999999999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399"/>
      <c r="P716" s="399"/>
      <c r="Q716" s="399"/>
      <c r="R716" s="399"/>
      <c r="S716" s="399"/>
      <c r="T716" s="399"/>
      <c r="U716" s="47"/>
      <c r="V716" s="399"/>
      <c r="W716" s="399"/>
      <c r="X716" s="399"/>
      <c r="Y716" s="399"/>
      <c r="Z716" s="399"/>
      <c r="AA716" s="399"/>
      <c r="AB716" s="47"/>
      <c r="AC716" s="399"/>
      <c r="AD716" s="399"/>
      <c r="AE716" s="399"/>
      <c r="AF716" s="399"/>
      <c r="AG716" s="399"/>
      <c r="AH716" s="399"/>
      <c r="AI716" s="47"/>
      <c r="AJ716" s="399"/>
      <c r="AK716" s="399"/>
      <c r="AL716" s="399"/>
      <c r="AM716" s="399"/>
      <c r="AN716" s="399"/>
      <c r="AO716" s="399"/>
      <c r="AP716" s="47"/>
      <c r="AQ716" s="399"/>
      <c r="AR716" s="399"/>
      <c r="AS716" s="399"/>
      <c r="AT716" s="399"/>
      <c r="AU716" s="399"/>
      <c r="AV716" s="399"/>
      <c r="AW716" s="47"/>
      <c r="AX716" s="399"/>
      <c r="AY716" s="399"/>
      <c r="AZ716" s="399"/>
      <c r="BA716" s="399"/>
      <c r="BB716" s="399"/>
      <c r="BC716" s="399"/>
      <c r="BD716" s="47"/>
      <c r="BE716" s="399"/>
      <c r="BF716" s="399"/>
      <c r="BG716" s="399"/>
      <c r="BH716" s="399"/>
      <c r="BI716" s="399"/>
      <c r="BJ716" s="399"/>
      <c r="BK716" s="47"/>
      <c r="BL716" s="399"/>
      <c r="BM716" s="399"/>
      <c r="BN716" s="399"/>
      <c r="BO716" s="399"/>
      <c r="BP716" s="399"/>
      <c r="BQ716" s="399"/>
      <c r="BR716" s="47"/>
      <c r="BS716" s="399"/>
      <c r="BT716" s="399"/>
      <c r="BU716" s="399"/>
      <c r="BV716" s="399"/>
      <c r="BW716" s="399"/>
      <c r="BX716" s="399"/>
      <c r="BY716" s="47"/>
      <c r="BZ716" s="399"/>
      <c r="CA716" s="399"/>
      <c r="CB716" s="399"/>
      <c r="CC716" s="399"/>
      <c r="CD716" s="399"/>
      <c r="CE716" s="399"/>
      <c r="CF716" s="47"/>
      <c r="CG716" s="399"/>
      <c r="CH716" s="399"/>
      <c r="CI716" s="399"/>
      <c r="CJ716" s="399"/>
      <c r="CK716" s="399"/>
      <c r="CL716" s="399"/>
      <c r="CM716" s="47"/>
      <c r="CN716" s="399"/>
      <c r="CO716" s="399"/>
      <c r="CP716" s="399"/>
      <c r="CQ716" s="399"/>
      <c r="CR716" s="399"/>
      <c r="CS716" s="399"/>
      <c r="CT716" s="47"/>
      <c r="CU716" s="399"/>
      <c r="CV716" s="399"/>
      <c r="CW716" s="399"/>
      <c r="CX716" s="399"/>
      <c r="CY716" s="399"/>
      <c r="CZ716" s="399"/>
      <c r="DA716" s="47"/>
      <c r="DB716" s="399"/>
      <c r="DC716" s="399"/>
      <c r="DD716" s="399"/>
      <c r="DE716" s="399"/>
      <c r="DF716" s="399"/>
      <c r="DG716" s="399"/>
      <c r="DH716" s="47"/>
      <c r="DI716" s="399"/>
      <c r="DJ716" s="399"/>
      <c r="DK716" s="399"/>
      <c r="DL716" s="399"/>
      <c r="DM716" s="399"/>
      <c r="DN716" s="399"/>
      <c r="DO716" s="47"/>
      <c r="DP716" s="399"/>
      <c r="DQ716" s="399"/>
      <c r="DR716" s="399"/>
      <c r="DS716" s="399"/>
      <c r="DT716" s="399"/>
      <c r="DU716" s="399"/>
      <c r="DV716" s="47"/>
      <c r="DW716" s="399"/>
      <c r="DX716" s="399"/>
      <c r="DY716" s="399"/>
      <c r="DZ716" s="399"/>
      <c r="EA716" s="399"/>
      <c r="EB716" s="399"/>
      <c r="EC716" s="47"/>
      <c r="ED716" s="399"/>
      <c r="EE716" s="399"/>
      <c r="EF716" s="399"/>
      <c r="EG716" s="399"/>
      <c r="EH716" s="399"/>
      <c r="EI716" s="399"/>
      <c r="EJ716" s="47"/>
      <c r="EK716" s="399"/>
      <c r="EL716" s="399"/>
      <c r="EM716" s="399"/>
      <c r="EN716" s="399"/>
      <c r="EO716" s="399"/>
      <c r="EP716" s="399"/>
      <c r="EQ716" s="47"/>
    </row>
    <row r="717" spans="1:147" ht="10.199999999999999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399"/>
      <c r="P717" s="399"/>
      <c r="Q717" s="399"/>
      <c r="R717" s="399"/>
      <c r="S717" s="399"/>
      <c r="T717" s="399"/>
      <c r="U717" s="47"/>
      <c r="V717" s="399"/>
      <c r="W717" s="399"/>
      <c r="X717" s="399"/>
      <c r="Y717" s="399"/>
      <c r="Z717" s="399"/>
      <c r="AA717" s="399"/>
      <c r="AB717" s="47"/>
      <c r="AC717" s="399"/>
      <c r="AD717" s="399"/>
      <c r="AE717" s="399"/>
      <c r="AF717" s="399"/>
      <c r="AG717" s="399"/>
      <c r="AH717" s="399"/>
      <c r="AI717" s="47"/>
      <c r="AJ717" s="399"/>
      <c r="AK717" s="399"/>
      <c r="AL717" s="399"/>
      <c r="AM717" s="399"/>
      <c r="AN717" s="399"/>
      <c r="AO717" s="399"/>
      <c r="AP717" s="47"/>
      <c r="AQ717" s="399"/>
      <c r="AR717" s="399"/>
      <c r="AS717" s="399"/>
      <c r="AT717" s="399"/>
      <c r="AU717" s="399"/>
      <c r="AV717" s="399"/>
      <c r="AW717" s="47"/>
      <c r="AX717" s="399"/>
      <c r="AY717" s="399"/>
      <c r="AZ717" s="399"/>
      <c r="BA717" s="399"/>
      <c r="BB717" s="399"/>
      <c r="BC717" s="399"/>
      <c r="BD717" s="47"/>
      <c r="BE717" s="399"/>
      <c r="BF717" s="399"/>
      <c r="BG717" s="399"/>
      <c r="BH717" s="399"/>
      <c r="BI717" s="399"/>
      <c r="BJ717" s="399"/>
      <c r="BK717" s="47"/>
      <c r="BL717" s="399"/>
      <c r="BM717" s="399"/>
      <c r="BN717" s="399"/>
      <c r="BO717" s="399"/>
      <c r="BP717" s="399"/>
      <c r="BQ717" s="399"/>
      <c r="BR717" s="47"/>
      <c r="BS717" s="399"/>
      <c r="BT717" s="399"/>
      <c r="BU717" s="399"/>
      <c r="BV717" s="399"/>
      <c r="BW717" s="399"/>
      <c r="BX717" s="399"/>
      <c r="BY717" s="47"/>
      <c r="BZ717" s="399"/>
      <c r="CA717" s="399"/>
      <c r="CB717" s="399"/>
      <c r="CC717" s="399"/>
      <c r="CD717" s="399"/>
      <c r="CE717" s="399"/>
      <c r="CF717" s="47"/>
      <c r="CG717" s="399"/>
      <c r="CH717" s="399"/>
      <c r="CI717" s="399"/>
      <c r="CJ717" s="399"/>
      <c r="CK717" s="399"/>
      <c r="CL717" s="399"/>
      <c r="CM717" s="47"/>
      <c r="CN717" s="399"/>
      <c r="CO717" s="399"/>
      <c r="CP717" s="399"/>
      <c r="CQ717" s="399"/>
      <c r="CR717" s="399"/>
      <c r="CS717" s="399"/>
      <c r="CT717" s="47"/>
      <c r="CU717" s="399"/>
      <c r="CV717" s="399"/>
      <c r="CW717" s="399"/>
      <c r="CX717" s="399"/>
      <c r="CY717" s="399"/>
      <c r="CZ717" s="399"/>
      <c r="DA717" s="47"/>
      <c r="DB717" s="399"/>
      <c r="DC717" s="399"/>
      <c r="DD717" s="399"/>
      <c r="DE717" s="399"/>
      <c r="DF717" s="399"/>
      <c r="DG717" s="399"/>
      <c r="DH717" s="47"/>
      <c r="DI717" s="399"/>
      <c r="DJ717" s="399"/>
      <c r="DK717" s="399"/>
      <c r="DL717" s="399"/>
      <c r="DM717" s="399"/>
      <c r="DN717" s="399"/>
      <c r="DO717" s="47"/>
      <c r="DP717" s="399"/>
      <c r="DQ717" s="399"/>
      <c r="DR717" s="399"/>
      <c r="DS717" s="399"/>
      <c r="DT717" s="399"/>
      <c r="DU717" s="399"/>
      <c r="DV717" s="47"/>
      <c r="DW717" s="399"/>
      <c r="DX717" s="399"/>
      <c r="DY717" s="399"/>
      <c r="DZ717" s="399"/>
      <c r="EA717" s="399"/>
      <c r="EB717" s="399"/>
      <c r="EC717" s="47"/>
      <c r="ED717" s="399"/>
      <c r="EE717" s="399"/>
      <c r="EF717" s="399"/>
      <c r="EG717" s="399"/>
      <c r="EH717" s="399"/>
      <c r="EI717" s="399"/>
      <c r="EJ717" s="47"/>
      <c r="EK717" s="399"/>
      <c r="EL717" s="399"/>
      <c r="EM717" s="399"/>
      <c r="EN717" s="399"/>
      <c r="EO717" s="399"/>
      <c r="EP717" s="399"/>
      <c r="EQ717" s="47"/>
    </row>
    <row r="718" spans="1:147" ht="10.199999999999999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399"/>
      <c r="P718" s="399"/>
      <c r="Q718" s="399"/>
      <c r="R718" s="399"/>
      <c r="S718" s="399"/>
      <c r="T718" s="399"/>
      <c r="U718" s="47"/>
      <c r="V718" s="399"/>
      <c r="W718" s="399"/>
      <c r="X718" s="399"/>
      <c r="Y718" s="399"/>
      <c r="Z718" s="399"/>
      <c r="AA718" s="399"/>
      <c r="AB718" s="47"/>
      <c r="AC718" s="399"/>
      <c r="AD718" s="399"/>
      <c r="AE718" s="399"/>
      <c r="AF718" s="399"/>
      <c r="AG718" s="399"/>
      <c r="AH718" s="399"/>
      <c r="AI718" s="47"/>
      <c r="AJ718" s="399"/>
      <c r="AK718" s="399"/>
      <c r="AL718" s="399"/>
      <c r="AM718" s="399"/>
      <c r="AN718" s="399"/>
      <c r="AO718" s="399"/>
      <c r="AP718" s="47"/>
      <c r="AQ718" s="399"/>
      <c r="AR718" s="399"/>
      <c r="AS718" s="399"/>
      <c r="AT718" s="399"/>
      <c r="AU718" s="399"/>
      <c r="AV718" s="399"/>
      <c r="AW718" s="47"/>
      <c r="AX718" s="399"/>
      <c r="AY718" s="399"/>
      <c r="AZ718" s="399"/>
      <c r="BA718" s="399"/>
      <c r="BB718" s="399"/>
      <c r="BC718" s="399"/>
      <c r="BD718" s="47"/>
      <c r="BE718" s="399"/>
      <c r="BF718" s="399"/>
      <c r="BG718" s="399"/>
      <c r="BH718" s="399"/>
      <c r="BI718" s="399"/>
      <c r="BJ718" s="399"/>
      <c r="BK718" s="47"/>
      <c r="BL718" s="399"/>
      <c r="BM718" s="399"/>
      <c r="BN718" s="399"/>
      <c r="BO718" s="399"/>
      <c r="BP718" s="399"/>
      <c r="BQ718" s="399"/>
      <c r="BR718" s="47"/>
      <c r="BS718" s="399"/>
      <c r="BT718" s="399"/>
      <c r="BU718" s="399"/>
      <c r="BV718" s="399"/>
      <c r="BW718" s="399"/>
      <c r="BX718" s="399"/>
      <c r="BY718" s="47"/>
      <c r="BZ718" s="399"/>
      <c r="CA718" s="399"/>
      <c r="CB718" s="399"/>
      <c r="CC718" s="399"/>
      <c r="CD718" s="399"/>
      <c r="CE718" s="399"/>
      <c r="CF718" s="47"/>
      <c r="CG718" s="399"/>
      <c r="CH718" s="399"/>
      <c r="CI718" s="399"/>
      <c r="CJ718" s="399"/>
      <c r="CK718" s="399"/>
      <c r="CL718" s="399"/>
      <c r="CM718" s="47"/>
      <c r="CN718" s="399"/>
      <c r="CO718" s="399"/>
      <c r="CP718" s="399"/>
      <c r="CQ718" s="399"/>
      <c r="CR718" s="399"/>
      <c r="CS718" s="399"/>
      <c r="CT718" s="47"/>
      <c r="CU718" s="399"/>
      <c r="CV718" s="399"/>
      <c r="CW718" s="399"/>
      <c r="CX718" s="399"/>
      <c r="CY718" s="399"/>
      <c r="CZ718" s="399"/>
      <c r="DA718" s="47"/>
      <c r="DB718" s="399"/>
      <c r="DC718" s="399"/>
      <c r="DD718" s="399"/>
      <c r="DE718" s="399"/>
      <c r="DF718" s="399"/>
      <c r="DG718" s="399"/>
      <c r="DH718" s="47"/>
      <c r="DI718" s="399"/>
      <c r="DJ718" s="399"/>
      <c r="DK718" s="399"/>
      <c r="DL718" s="399"/>
      <c r="DM718" s="399"/>
      <c r="DN718" s="399"/>
      <c r="DO718" s="47"/>
      <c r="DP718" s="399"/>
      <c r="DQ718" s="399"/>
      <c r="DR718" s="399"/>
      <c r="DS718" s="399"/>
      <c r="DT718" s="399"/>
      <c r="DU718" s="399"/>
      <c r="DV718" s="47"/>
      <c r="DW718" s="399"/>
      <c r="DX718" s="399"/>
      <c r="DY718" s="399"/>
      <c r="DZ718" s="399"/>
      <c r="EA718" s="399"/>
      <c r="EB718" s="399"/>
      <c r="EC718" s="47"/>
      <c r="ED718" s="399"/>
      <c r="EE718" s="399"/>
      <c r="EF718" s="399"/>
      <c r="EG718" s="399"/>
      <c r="EH718" s="399"/>
      <c r="EI718" s="399"/>
      <c r="EJ718" s="47"/>
      <c r="EK718" s="399"/>
      <c r="EL718" s="399"/>
      <c r="EM718" s="399"/>
      <c r="EN718" s="399"/>
      <c r="EO718" s="399"/>
      <c r="EP718" s="399"/>
      <c r="EQ718" s="47"/>
    </row>
    <row r="719" spans="1:147" ht="10.199999999999999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399"/>
      <c r="P719" s="399"/>
      <c r="Q719" s="399"/>
      <c r="R719" s="399"/>
      <c r="S719" s="399"/>
      <c r="T719" s="399"/>
      <c r="U719" s="47"/>
      <c r="V719" s="399"/>
      <c r="W719" s="399"/>
      <c r="X719" s="399"/>
      <c r="Y719" s="399"/>
      <c r="Z719" s="399"/>
      <c r="AA719" s="399"/>
      <c r="AB719" s="47"/>
      <c r="AC719" s="399"/>
      <c r="AD719" s="399"/>
      <c r="AE719" s="399"/>
      <c r="AF719" s="399"/>
      <c r="AG719" s="399"/>
      <c r="AH719" s="399"/>
      <c r="AI719" s="47"/>
      <c r="AJ719" s="399"/>
      <c r="AK719" s="399"/>
      <c r="AL719" s="399"/>
      <c r="AM719" s="399"/>
      <c r="AN719" s="399"/>
      <c r="AO719" s="399"/>
      <c r="AP719" s="47"/>
      <c r="AQ719" s="399"/>
      <c r="AR719" s="399"/>
      <c r="AS719" s="399"/>
      <c r="AT719" s="399"/>
      <c r="AU719" s="399"/>
      <c r="AV719" s="399"/>
      <c r="AW719" s="47"/>
      <c r="AX719" s="399"/>
      <c r="AY719" s="399"/>
      <c r="AZ719" s="399"/>
      <c r="BA719" s="399"/>
      <c r="BB719" s="399"/>
      <c r="BC719" s="399"/>
      <c r="BD719" s="47"/>
      <c r="BE719" s="399"/>
      <c r="BF719" s="399"/>
      <c r="BG719" s="399"/>
      <c r="BH719" s="399"/>
      <c r="BI719" s="399"/>
      <c r="BJ719" s="399"/>
      <c r="BK719" s="47"/>
      <c r="BL719" s="399"/>
      <c r="BM719" s="399"/>
      <c r="BN719" s="399"/>
      <c r="BO719" s="399"/>
      <c r="BP719" s="399"/>
      <c r="BQ719" s="399"/>
      <c r="BR719" s="47"/>
      <c r="BS719" s="399"/>
      <c r="BT719" s="399"/>
      <c r="BU719" s="399"/>
      <c r="BV719" s="399"/>
      <c r="BW719" s="399"/>
      <c r="BX719" s="399"/>
      <c r="BY719" s="47"/>
      <c r="BZ719" s="399"/>
      <c r="CA719" s="399"/>
      <c r="CB719" s="399"/>
      <c r="CC719" s="399"/>
      <c r="CD719" s="399"/>
      <c r="CE719" s="399"/>
      <c r="CF719" s="47"/>
      <c r="CG719" s="399"/>
      <c r="CH719" s="399"/>
      <c r="CI719" s="399"/>
      <c r="CJ719" s="399"/>
      <c r="CK719" s="399"/>
      <c r="CL719" s="399"/>
      <c r="CM719" s="47"/>
      <c r="CN719" s="399"/>
      <c r="CO719" s="399"/>
      <c r="CP719" s="399"/>
      <c r="CQ719" s="399"/>
      <c r="CR719" s="399"/>
      <c r="CS719" s="399"/>
      <c r="CT719" s="47"/>
      <c r="CU719" s="399"/>
      <c r="CV719" s="399"/>
      <c r="CW719" s="399"/>
      <c r="CX719" s="399"/>
      <c r="CY719" s="399"/>
      <c r="CZ719" s="399"/>
      <c r="DA719" s="47"/>
      <c r="DB719" s="399"/>
      <c r="DC719" s="399"/>
      <c r="DD719" s="399"/>
      <c r="DE719" s="399"/>
      <c r="DF719" s="399"/>
      <c r="DG719" s="399"/>
      <c r="DH719" s="47"/>
      <c r="DI719" s="399"/>
      <c r="DJ719" s="399"/>
      <c r="DK719" s="399"/>
      <c r="DL719" s="399"/>
      <c r="DM719" s="399"/>
      <c r="DN719" s="399"/>
      <c r="DO719" s="47"/>
      <c r="DP719" s="399"/>
      <c r="DQ719" s="399"/>
      <c r="DR719" s="399"/>
      <c r="DS719" s="399"/>
      <c r="DT719" s="399"/>
      <c r="DU719" s="399"/>
      <c r="DV719" s="47"/>
      <c r="DW719" s="399"/>
      <c r="DX719" s="399"/>
      <c r="DY719" s="399"/>
      <c r="DZ719" s="399"/>
      <c r="EA719" s="399"/>
      <c r="EB719" s="399"/>
      <c r="EC719" s="47"/>
      <c r="ED719" s="399"/>
      <c r="EE719" s="399"/>
      <c r="EF719" s="399"/>
      <c r="EG719" s="399"/>
      <c r="EH719" s="399"/>
      <c r="EI719" s="399"/>
      <c r="EJ719" s="47"/>
      <c r="EK719" s="399"/>
      <c r="EL719" s="399"/>
      <c r="EM719" s="399"/>
      <c r="EN719" s="399"/>
      <c r="EO719" s="399"/>
      <c r="EP719" s="399"/>
      <c r="EQ719" s="47"/>
    </row>
    <row r="720" spans="1:147" ht="10.199999999999999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399"/>
      <c r="P720" s="399"/>
      <c r="Q720" s="399"/>
      <c r="R720" s="399"/>
      <c r="S720" s="399"/>
      <c r="T720" s="399"/>
      <c r="U720" s="47"/>
      <c r="V720" s="399"/>
      <c r="W720" s="399"/>
      <c r="X720" s="399"/>
      <c r="Y720" s="399"/>
      <c r="Z720" s="399"/>
      <c r="AA720" s="399"/>
      <c r="AB720" s="47"/>
      <c r="AC720" s="399"/>
      <c r="AD720" s="399"/>
      <c r="AE720" s="399"/>
      <c r="AF720" s="399"/>
      <c r="AG720" s="399"/>
      <c r="AH720" s="399"/>
      <c r="AI720" s="47"/>
      <c r="AJ720" s="399"/>
      <c r="AK720" s="399"/>
      <c r="AL720" s="399"/>
      <c r="AM720" s="399"/>
      <c r="AN720" s="399"/>
      <c r="AO720" s="399"/>
      <c r="AP720" s="47"/>
      <c r="AQ720" s="399"/>
      <c r="AR720" s="399"/>
      <c r="AS720" s="399"/>
      <c r="AT720" s="399"/>
      <c r="AU720" s="399"/>
      <c r="AV720" s="399"/>
      <c r="AW720" s="47"/>
      <c r="AX720" s="399"/>
      <c r="AY720" s="399"/>
      <c r="AZ720" s="399"/>
      <c r="BA720" s="399"/>
      <c r="BB720" s="399"/>
      <c r="BC720" s="399"/>
      <c r="BD720" s="47"/>
      <c r="BE720" s="399"/>
      <c r="BF720" s="399"/>
      <c r="BG720" s="399"/>
      <c r="BH720" s="399"/>
      <c r="BI720" s="399"/>
      <c r="BJ720" s="399"/>
      <c r="BK720" s="47"/>
      <c r="BL720" s="399"/>
      <c r="BM720" s="399"/>
      <c r="BN720" s="399"/>
      <c r="BO720" s="399"/>
      <c r="BP720" s="399"/>
      <c r="BQ720" s="399"/>
      <c r="BR720" s="47"/>
      <c r="BS720" s="399"/>
      <c r="BT720" s="399"/>
      <c r="BU720" s="399"/>
      <c r="BV720" s="399"/>
      <c r="BW720" s="399"/>
      <c r="BX720" s="399"/>
      <c r="BY720" s="47"/>
      <c r="BZ720" s="399"/>
      <c r="CA720" s="399"/>
      <c r="CB720" s="399"/>
      <c r="CC720" s="399"/>
      <c r="CD720" s="399"/>
      <c r="CE720" s="399"/>
      <c r="CF720" s="47"/>
      <c r="CG720" s="399"/>
      <c r="CH720" s="399"/>
      <c r="CI720" s="399"/>
      <c r="CJ720" s="399"/>
      <c r="CK720" s="399"/>
      <c r="CL720" s="399"/>
      <c r="CM720" s="47"/>
      <c r="CN720" s="399"/>
      <c r="CO720" s="399"/>
      <c r="CP720" s="399"/>
      <c r="CQ720" s="399"/>
      <c r="CR720" s="399"/>
      <c r="CS720" s="399"/>
      <c r="CT720" s="47"/>
      <c r="CU720" s="399"/>
      <c r="CV720" s="399"/>
      <c r="CW720" s="399"/>
      <c r="CX720" s="399"/>
      <c r="CY720" s="399"/>
      <c r="CZ720" s="399"/>
      <c r="DA720" s="47"/>
      <c r="DB720" s="399"/>
      <c r="DC720" s="399"/>
      <c r="DD720" s="399"/>
      <c r="DE720" s="399"/>
      <c r="DF720" s="399"/>
      <c r="DG720" s="399"/>
      <c r="DH720" s="47"/>
      <c r="DI720" s="399"/>
      <c r="DJ720" s="399"/>
      <c r="DK720" s="399"/>
      <c r="DL720" s="399"/>
      <c r="DM720" s="399"/>
      <c r="DN720" s="399"/>
      <c r="DO720" s="47"/>
      <c r="DP720" s="399"/>
      <c r="DQ720" s="399"/>
      <c r="DR720" s="399"/>
      <c r="DS720" s="399"/>
      <c r="DT720" s="399"/>
      <c r="DU720" s="399"/>
      <c r="DV720" s="47"/>
      <c r="DW720" s="399"/>
      <c r="DX720" s="399"/>
      <c r="DY720" s="399"/>
      <c r="DZ720" s="399"/>
      <c r="EA720" s="399"/>
      <c r="EB720" s="399"/>
      <c r="EC720" s="47"/>
      <c r="ED720" s="399"/>
      <c r="EE720" s="399"/>
      <c r="EF720" s="399"/>
      <c r="EG720" s="399"/>
      <c r="EH720" s="399"/>
      <c r="EI720" s="399"/>
      <c r="EJ720" s="47"/>
      <c r="EK720" s="399"/>
      <c r="EL720" s="399"/>
      <c r="EM720" s="399"/>
      <c r="EN720" s="399"/>
      <c r="EO720" s="399"/>
      <c r="EP720" s="399"/>
      <c r="EQ720" s="47"/>
    </row>
    <row r="721" spans="1:147" ht="10.199999999999999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399"/>
      <c r="P721" s="399"/>
      <c r="Q721" s="399"/>
      <c r="R721" s="399"/>
      <c r="S721" s="399"/>
      <c r="T721" s="399"/>
      <c r="U721" s="47"/>
      <c r="V721" s="399"/>
      <c r="W721" s="399"/>
      <c r="X721" s="399"/>
      <c r="Y721" s="399"/>
      <c r="Z721" s="399"/>
      <c r="AA721" s="399"/>
      <c r="AB721" s="47"/>
      <c r="AC721" s="399"/>
      <c r="AD721" s="399"/>
      <c r="AE721" s="399"/>
      <c r="AF721" s="399"/>
      <c r="AG721" s="399"/>
      <c r="AH721" s="399"/>
      <c r="AI721" s="47"/>
      <c r="AJ721" s="399"/>
      <c r="AK721" s="399"/>
      <c r="AL721" s="399"/>
      <c r="AM721" s="399"/>
      <c r="AN721" s="399"/>
      <c r="AO721" s="399"/>
      <c r="AP721" s="47"/>
      <c r="AQ721" s="399"/>
      <c r="AR721" s="399"/>
      <c r="AS721" s="399"/>
      <c r="AT721" s="399"/>
      <c r="AU721" s="399"/>
      <c r="AV721" s="399"/>
      <c r="AW721" s="47"/>
      <c r="AX721" s="399"/>
      <c r="AY721" s="399"/>
      <c r="AZ721" s="399"/>
      <c r="BA721" s="399"/>
      <c r="BB721" s="399"/>
      <c r="BC721" s="399"/>
      <c r="BD721" s="47"/>
      <c r="BE721" s="399"/>
      <c r="BF721" s="399"/>
      <c r="BG721" s="399"/>
      <c r="BH721" s="399"/>
      <c r="BI721" s="399"/>
      <c r="BJ721" s="399"/>
      <c r="BK721" s="47"/>
      <c r="BL721" s="399"/>
      <c r="BM721" s="399"/>
      <c r="BN721" s="399"/>
      <c r="BO721" s="399"/>
      <c r="BP721" s="399"/>
      <c r="BQ721" s="399"/>
      <c r="BR721" s="47"/>
      <c r="BS721" s="399"/>
      <c r="BT721" s="399"/>
      <c r="BU721" s="399"/>
      <c r="BV721" s="399"/>
      <c r="BW721" s="399"/>
      <c r="BX721" s="399"/>
      <c r="BY721" s="47"/>
      <c r="BZ721" s="399"/>
      <c r="CA721" s="399"/>
      <c r="CB721" s="399"/>
      <c r="CC721" s="399"/>
      <c r="CD721" s="399"/>
      <c r="CE721" s="399"/>
      <c r="CF721" s="47"/>
      <c r="CG721" s="399"/>
      <c r="CH721" s="399"/>
      <c r="CI721" s="399"/>
      <c r="CJ721" s="399"/>
      <c r="CK721" s="399"/>
      <c r="CL721" s="399"/>
      <c r="CM721" s="47"/>
      <c r="CN721" s="399"/>
      <c r="CO721" s="399"/>
      <c r="CP721" s="399"/>
      <c r="CQ721" s="399"/>
      <c r="CR721" s="399"/>
      <c r="CS721" s="399"/>
      <c r="CT721" s="47"/>
      <c r="CU721" s="399"/>
      <c r="CV721" s="399"/>
      <c r="CW721" s="399"/>
      <c r="CX721" s="399"/>
      <c r="CY721" s="399"/>
      <c r="CZ721" s="399"/>
      <c r="DA721" s="47"/>
      <c r="DB721" s="399"/>
      <c r="DC721" s="399"/>
      <c r="DD721" s="399"/>
      <c r="DE721" s="399"/>
      <c r="DF721" s="399"/>
      <c r="DG721" s="399"/>
      <c r="DH721" s="47"/>
      <c r="DI721" s="399"/>
      <c r="DJ721" s="399"/>
      <c r="DK721" s="399"/>
      <c r="DL721" s="399"/>
      <c r="DM721" s="399"/>
      <c r="DN721" s="399"/>
      <c r="DO721" s="47"/>
      <c r="DP721" s="399"/>
      <c r="DQ721" s="399"/>
      <c r="DR721" s="399"/>
      <c r="DS721" s="399"/>
      <c r="DT721" s="399"/>
      <c r="DU721" s="399"/>
      <c r="DV721" s="47"/>
      <c r="DW721" s="399"/>
      <c r="DX721" s="399"/>
      <c r="DY721" s="399"/>
      <c r="DZ721" s="399"/>
      <c r="EA721" s="399"/>
      <c r="EB721" s="399"/>
      <c r="EC721" s="47"/>
      <c r="ED721" s="399"/>
      <c r="EE721" s="399"/>
      <c r="EF721" s="399"/>
      <c r="EG721" s="399"/>
      <c r="EH721" s="399"/>
      <c r="EI721" s="399"/>
      <c r="EJ721" s="47"/>
      <c r="EK721" s="399"/>
      <c r="EL721" s="399"/>
      <c r="EM721" s="399"/>
      <c r="EN721" s="399"/>
      <c r="EO721" s="399"/>
      <c r="EP721" s="399"/>
      <c r="EQ721" s="47"/>
    </row>
    <row r="722" spans="1:147" ht="10.199999999999999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399"/>
      <c r="P722" s="399"/>
      <c r="Q722" s="399"/>
      <c r="R722" s="399"/>
      <c r="S722" s="399"/>
      <c r="T722" s="399"/>
      <c r="U722" s="47"/>
      <c r="V722" s="399"/>
      <c r="W722" s="399"/>
      <c r="X722" s="399"/>
      <c r="Y722" s="399"/>
      <c r="Z722" s="399"/>
      <c r="AA722" s="399"/>
      <c r="AB722" s="47"/>
      <c r="AC722" s="399"/>
      <c r="AD722" s="399"/>
      <c r="AE722" s="399"/>
      <c r="AF722" s="399"/>
      <c r="AG722" s="399"/>
      <c r="AH722" s="399"/>
      <c r="AI722" s="47"/>
      <c r="AJ722" s="399"/>
      <c r="AK722" s="399"/>
      <c r="AL722" s="399"/>
      <c r="AM722" s="399"/>
      <c r="AN722" s="399"/>
      <c r="AO722" s="399"/>
      <c r="AP722" s="47"/>
      <c r="AQ722" s="399"/>
      <c r="AR722" s="399"/>
      <c r="AS722" s="399"/>
      <c r="AT722" s="399"/>
      <c r="AU722" s="399"/>
      <c r="AV722" s="399"/>
      <c r="AW722" s="47"/>
      <c r="AX722" s="399"/>
      <c r="AY722" s="399"/>
      <c r="AZ722" s="399"/>
      <c r="BA722" s="399"/>
      <c r="BB722" s="399"/>
      <c r="BC722" s="399"/>
      <c r="BD722" s="47"/>
      <c r="BE722" s="399"/>
      <c r="BF722" s="399"/>
      <c r="BG722" s="399"/>
      <c r="BH722" s="399"/>
      <c r="BI722" s="399"/>
      <c r="BJ722" s="399"/>
      <c r="BK722" s="47"/>
      <c r="BL722" s="399"/>
      <c r="BM722" s="399"/>
      <c r="BN722" s="399"/>
      <c r="BO722" s="399"/>
      <c r="BP722" s="399"/>
      <c r="BQ722" s="399"/>
      <c r="BR722" s="47"/>
      <c r="BS722" s="399"/>
      <c r="BT722" s="399"/>
      <c r="BU722" s="399"/>
      <c r="BV722" s="399"/>
      <c r="BW722" s="399"/>
      <c r="BX722" s="399"/>
      <c r="BY722" s="47"/>
      <c r="BZ722" s="399"/>
      <c r="CA722" s="399"/>
      <c r="CB722" s="399"/>
      <c r="CC722" s="399"/>
      <c r="CD722" s="399"/>
      <c r="CE722" s="399"/>
      <c r="CF722" s="47"/>
      <c r="CG722" s="399"/>
      <c r="CH722" s="399"/>
      <c r="CI722" s="399"/>
      <c r="CJ722" s="399"/>
      <c r="CK722" s="399"/>
      <c r="CL722" s="399"/>
      <c r="CM722" s="47"/>
      <c r="CN722" s="399"/>
      <c r="CO722" s="399"/>
      <c r="CP722" s="399"/>
      <c r="CQ722" s="399"/>
      <c r="CR722" s="399"/>
      <c r="CS722" s="399"/>
      <c r="CT722" s="47"/>
      <c r="CU722" s="399"/>
      <c r="CV722" s="399"/>
      <c r="CW722" s="399"/>
      <c r="CX722" s="399"/>
      <c r="CY722" s="399"/>
      <c r="CZ722" s="399"/>
      <c r="DA722" s="47"/>
      <c r="DB722" s="399"/>
      <c r="DC722" s="399"/>
      <c r="DD722" s="399"/>
      <c r="DE722" s="399"/>
      <c r="DF722" s="399"/>
      <c r="DG722" s="399"/>
      <c r="DH722" s="47"/>
      <c r="DI722" s="399"/>
      <c r="DJ722" s="399"/>
      <c r="DK722" s="399"/>
      <c r="DL722" s="399"/>
      <c r="DM722" s="399"/>
      <c r="DN722" s="399"/>
      <c r="DO722" s="47"/>
      <c r="DP722" s="399"/>
      <c r="DQ722" s="399"/>
      <c r="DR722" s="399"/>
      <c r="DS722" s="399"/>
      <c r="DT722" s="399"/>
      <c r="DU722" s="399"/>
      <c r="DV722" s="47"/>
      <c r="DW722" s="399"/>
      <c r="DX722" s="399"/>
      <c r="DY722" s="399"/>
      <c r="DZ722" s="399"/>
      <c r="EA722" s="399"/>
      <c r="EB722" s="399"/>
      <c r="EC722" s="47"/>
      <c r="ED722" s="399"/>
      <c r="EE722" s="399"/>
      <c r="EF722" s="399"/>
      <c r="EG722" s="399"/>
      <c r="EH722" s="399"/>
      <c r="EI722" s="399"/>
      <c r="EJ722" s="47"/>
      <c r="EK722" s="399"/>
      <c r="EL722" s="399"/>
      <c r="EM722" s="399"/>
      <c r="EN722" s="399"/>
      <c r="EO722" s="399"/>
      <c r="EP722" s="399"/>
      <c r="EQ722" s="47"/>
    </row>
    <row r="723" spans="1:147" ht="10.199999999999999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399"/>
      <c r="P723" s="399"/>
      <c r="Q723" s="399"/>
      <c r="R723" s="399"/>
      <c r="S723" s="399"/>
      <c r="T723" s="399"/>
      <c r="U723" s="47"/>
      <c r="V723" s="399"/>
      <c r="W723" s="399"/>
      <c r="X723" s="399"/>
      <c r="Y723" s="399"/>
      <c r="Z723" s="399"/>
      <c r="AA723" s="399"/>
      <c r="AB723" s="47"/>
      <c r="AC723" s="399"/>
      <c r="AD723" s="399"/>
      <c r="AE723" s="399"/>
      <c r="AF723" s="399"/>
      <c r="AG723" s="399"/>
      <c r="AH723" s="399"/>
      <c r="AI723" s="47"/>
      <c r="AJ723" s="399"/>
      <c r="AK723" s="399"/>
      <c r="AL723" s="399"/>
      <c r="AM723" s="399"/>
      <c r="AN723" s="399"/>
      <c r="AO723" s="399"/>
      <c r="AP723" s="47"/>
      <c r="AQ723" s="399"/>
      <c r="AR723" s="399"/>
      <c r="AS723" s="399"/>
      <c r="AT723" s="399"/>
      <c r="AU723" s="399"/>
      <c r="AV723" s="399"/>
      <c r="AW723" s="47"/>
      <c r="AX723" s="399"/>
      <c r="AY723" s="399"/>
      <c r="AZ723" s="399"/>
      <c r="BA723" s="399"/>
      <c r="BB723" s="399"/>
      <c r="BC723" s="399"/>
      <c r="BD723" s="47"/>
      <c r="BE723" s="399"/>
      <c r="BF723" s="399"/>
      <c r="BG723" s="399"/>
      <c r="BH723" s="399"/>
      <c r="BI723" s="399"/>
      <c r="BJ723" s="399"/>
      <c r="BK723" s="47"/>
      <c r="BL723" s="399"/>
      <c r="BM723" s="399"/>
      <c r="BN723" s="399"/>
      <c r="BO723" s="399"/>
      <c r="BP723" s="399"/>
      <c r="BQ723" s="399"/>
      <c r="BR723" s="47"/>
      <c r="BS723" s="399"/>
      <c r="BT723" s="399"/>
      <c r="BU723" s="399"/>
      <c r="BV723" s="399"/>
      <c r="BW723" s="399"/>
      <c r="BX723" s="399"/>
      <c r="BY723" s="47"/>
      <c r="BZ723" s="399"/>
      <c r="CA723" s="399"/>
      <c r="CB723" s="399"/>
      <c r="CC723" s="399"/>
      <c r="CD723" s="399"/>
      <c r="CE723" s="399"/>
      <c r="CF723" s="47"/>
      <c r="CG723" s="399"/>
      <c r="CH723" s="399"/>
      <c r="CI723" s="399"/>
      <c r="CJ723" s="399"/>
      <c r="CK723" s="399"/>
      <c r="CL723" s="399"/>
      <c r="CM723" s="47"/>
      <c r="CN723" s="399"/>
      <c r="CO723" s="399"/>
      <c r="CP723" s="399"/>
      <c r="CQ723" s="399"/>
      <c r="CR723" s="399"/>
      <c r="CS723" s="399"/>
      <c r="CT723" s="47"/>
      <c r="CU723" s="399"/>
      <c r="CV723" s="399"/>
      <c r="CW723" s="399"/>
      <c r="CX723" s="399"/>
      <c r="CY723" s="399"/>
      <c r="CZ723" s="399"/>
      <c r="DA723" s="47"/>
      <c r="DB723" s="399"/>
      <c r="DC723" s="399"/>
      <c r="DD723" s="399"/>
      <c r="DE723" s="399"/>
      <c r="DF723" s="399"/>
      <c r="DG723" s="399"/>
      <c r="DH723" s="47"/>
      <c r="DI723" s="399"/>
      <c r="DJ723" s="399"/>
      <c r="DK723" s="399"/>
      <c r="DL723" s="399"/>
      <c r="DM723" s="399"/>
      <c r="DN723" s="399"/>
      <c r="DO723" s="47"/>
      <c r="DP723" s="399"/>
      <c r="DQ723" s="399"/>
      <c r="DR723" s="399"/>
      <c r="DS723" s="399"/>
      <c r="DT723" s="399"/>
      <c r="DU723" s="399"/>
      <c r="DV723" s="47"/>
      <c r="DW723" s="399"/>
      <c r="DX723" s="399"/>
      <c r="DY723" s="399"/>
      <c r="DZ723" s="399"/>
      <c r="EA723" s="399"/>
      <c r="EB723" s="399"/>
      <c r="EC723" s="47"/>
      <c r="ED723" s="399"/>
      <c r="EE723" s="399"/>
      <c r="EF723" s="399"/>
      <c r="EG723" s="399"/>
      <c r="EH723" s="399"/>
      <c r="EI723" s="399"/>
      <c r="EJ723" s="47"/>
      <c r="EK723" s="399"/>
      <c r="EL723" s="399"/>
      <c r="EM723" s="399"/>
      <c r="EN723" s="399"/>
      <c r="EO723" s="399"/>
      <c r="EP723" s="399"/>
      <c r="EQ723" s="47"/>
    </row>
    <row r="724" spans="1:147" ht="10.199999999999999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399"/>
      <c r="P724" s="399"/>
      <c r="Q724" s="399"/>
      <c r="R724" s="399"/>
      <c r="S724" s="399"/>
      <c r="T724" s="399"/>
      <c r="U724" s="47"/>
      <c r="V724" s="399"/>
      <c r="W724" s="399"/>
      <c r="X724" s="399"/>
      <c r="Y724" s="399"/>
      <c r="Z724" s="399"/>
      <c r="AA724" s="399"/>
      <c r="AB724" s="47"/>
      <c r="AC724" s="399"/>
      <c r="AD724" s="399"/>
      <c r="AE724" s="399"/>
      <c r="AF724" s="399"/>
      <c r="AG724" s="399"/>
      <c r="AH724" s="399"/>
      <c r="AI724" s="47"/>
      <c r="AJ724" s="399"/>
      <c r="AK724" s="399"/>
      <c r="AL724" s="399"/>
      <c r="AM724" s="399"/>
      <c r="AN724" s="399"/>
      <c r="AO724" s="399"/>
      <c r="AP724" s="47"/>
      <c r="AQ724" s="399"/>
      <c r="AR724" s="399"/>
      <c r="AS724" s="399"/>
      <c r="AT724" s="399"/>
      <c r="AU724" s="399"/>
      <c r="AV724" s="399"/>
      <c r="AW724" s="47"/>
      <c r="AX724" s="399"/>
      <c r="AY724" s="399"/>
      <c r="AZ724" s="399"/>
      <c r="BA724" s="399"/>
      <c r="BB724" s="399"/>
      <c r="BC724" s="399"/>
      <c r="BD724" s="47"/>
      <c r="BE724" s="399"/>
      <c r="BF724" s="399"/>
      <c r="BG724" s="399"/>
      <c r="BH724" s="399"/>
      <c r="BI724" s="399"/>
      <c r="BJ724" s="399"/>
      <c r="BK724" s="47"/>
      <c r="BL724" s="399"/>
      <c r="BM724" s="399"/>
      <c r="BN724" s="399"/>
      <c r="BO724" s="399"/>
      <c r="BP724" s="399"/>
      <c r="BQ724" s="399"/>
      <c r="BR724" s="47"/>
      <c r="BS724" s="399"/>
      <c r="BT724" s="399"/>
      <c r="BU724" s="399"/>
      <c r="BV724" s="399"/>
      <c r="BW724" s="399"/>
      <c r="BX724" s="399"/>
      <c r="BY724" s="47"/>
      <c r="BZ724" s="399"/>
      <c r="CA724" s="399"/>
      <c r="CB724" s="399"/>
      <c r="CC724" s="399"/>
      <c r="CD724" s="399"/>
      <c r="CE724" s="399"/>
      <c r="CF724" s="47"/>
      <c r="CG724" s="399"/>
      <c r="CH724" s="399"/>
      <c r="CI724" s="399"/>
      <c r="CJ724" s="399"/>
      <c r="CK724" s="399"/>
      <c r="CL724" s="399"/>
      <c r="CM724" s="47"/>
      <c r="CN724" s="399"/>
      <c r="CO724" s="399"/>
      <c r="CP724" s="399"/>
      <c r="CQ724" s="399"/>
      <c r="CR724" s="399"/>
      <c r="CS724" s="399"/>
      <c r="CT724" s="47"/>
      <c r="CU724" s="399"/>
      <c r="CV724" s="399"/>
      <c r="CW724" s="399"/>
      <c r="CX724" s="399"/>
      <c r="CY724" s="399"/>
      <c r="CZ724" s="399"/>
      <c r="DA724" s="47"/>
      <c r="DB724" s="399"/>
      <c r="DC724" s="399"/>
      <c r="DD724" s="399"/>
      <c r="DE724" s="399"/>
      <c r="DF724" s="399"/>
      <c r="DG724" s="399"/>
      <c r="DH724" s="47"/>
      <c r="DI724" s="399"/>
      <c r="DJ724" s="399"/>
      <c r="DK724" s="399"/>
      <c r="DL724" s="399"/>
      <c r="DM724" s="399"/>
      <c r="DN724" s="399"/>
      <c r="DO724" s="47"/>
      <c r="DP724" s="399"/>
      <c r="DQ724" s="399"/>
      <c r="DR724" s="399"/>
      <c r="DS724" s="399"/>
      <c r="DT724" s="399"/>
      <c r="DU724" s="399"/>
      <c r="DV724" s="47"/>
      <c r="DW724" s="399"/>
      <c r="DX724" s="399"/>
      <c r="DY724" s="399"/>
      <c r="DZ724" s="399"/>
      <c r="EA724" s="399"/>
      <c r="EB724" s="399"/>
      <c r="EC724" s="47"/>
      <c r="ED724" s="399"/>
      <c r="EE724" s="399"/>
      <c r="EF724" s="399"/>
      <c r="EG724" s="399"/>
      <c r="EH724" s="399"/>
      <c r="EI724" s="399"/>
      <c r="EJ724" s="47"/>
      <c r="EK724" s="399"/>
      <c r="EL724" s="399"/>
      <c r="EM724" s="399"/>
      <c r="EN724" s="399"/>
      <c r="EO724" s="399"/>
      <c r="EP724" s="399"/>
      <c r="EQ724" s="47"/>
    </row>
    <row r="725" spans="1:147" ht="10.199999999999999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399"/>
      <c r="P725" s="399"/>
      <c r="Q725" s="399"/>
      <c r="R725" s="399"/>
      <c r="S725" s="399"/>
      <c r="T725" s="399"/>
      <c r="U725" s="47"/>
      <c r="V725" s="399"/>
      <c r="W725" s="399"/>
      <c r="X725" s="399"/>
      <c r="Y725" s="399"/>
      <c r="Z725" s="399"/>
      <c r="AA725" s="399"/>
      <c r="AB725" s="47"/>
      <c r="AC725" s="399"/>
      <c r="AD725" s="399"/>
      <c r="AE725" s="399"/>
      <c r="AF725" s="399"/>
      <c r="AG725" s="399"/>
      <c r="AH725" s="399"/>
      <c r="AI725" s="47"/>
      <c r="AJ725" s="399"/>
      <c r="AK725" s="399"/>
      <c r="AL725" s="399"/>
      <c r="AM725" s="399"/>
      <c r="AN725" s="399"/>
      <c r="AO725" s="399"/>
      <c r="AP725" s="47"/>
      <c r="AQ725" s="399"/>
      <c r="AR725" s="399"/>
      <c r="AS725" s="399"/>
      <c r="AT725" s="399"/>
      <c r="AU725" s="399"/>
      <c r="AV725" s="399"/>
      <c r="AW725" s="47"/>
      <c r="AX725" s="399"/>
      <c r="AY725" s="399"/>
      <c r="AZ725" s="399"/>
      <c r="BA725" s="399"/>
      <c r="BB725" s="399"/>
      <c r="BC725" s="399"/>
      <c r="BD725" s="47"/>
      <c r="BE725" s="399"/>
      <c r="BF725" s="399"/>
      <c r="BG725" s="399"/>
      <c r="BH725" s="399"/>
      <c r="BI725" s="399"/>
      <c r="BJ725" s="399"/>
      <c r="BK725" s="47"/>
      <c r="BL725" s="399"/>
      <c r="BM725" s="399"/>
      <c r="BN725" s="399"/>
      <c r="BO725" s="399"/>
      <c r="BP725" s="399"/>
      <c r="BQ725" s="399"/>
      <c r="BR725" s="47"/>
      <c r="BS725" s="399"/>
      <c r="BT725" s="399"/>
      <c r="BU725" s="399"/>
      <c r="BV725" s="399"/>
      <c r="BW725" s="399"/>
      <c r="BX725" s="399"/>
      <c r="BY725" s="47"/>
      <c r="BZ725" s="399"/>
      <c r="CA725" s="399"/>
      <c r="CB725" s="399"/>
      <c r="CC725" s="399"/>
      <c r="CD725" s="399"/>
      <c r="CE725" s="399"/>
      <c r="CF725" s="47"/>
      <c r="CG725" s="399"/>
      <c r="CH725" s="399"/>
      <c r="CI725" s="399"/>
      <c r="CJ725" s="399"/>
      <c r="CK725" s="399"/>
      <c r="CL725" s="399"/>
      <c r="CM725" s="47"/>
      <c r="CN725" s="399"/>
      <c r="CO725" s="399"/>
      <c r="CP725" s="399"/>
      <c r="CQ725" s="399"/>
      <c r="CR725" s="399"/>
      <c r="CS725" s="399"/>
      <c r="CT725" s="47"/>
      <c r="CU725" s="399"/>
      <c r="CV725" s="399"/>
      <c r="CW725" s="399"/>
      <c r="CX725" s="399"/>
      <c r="CY725" s="399"/>
      <c r="CZ725" s="399"/>
      <c r="DA725" s="47"/>
      <c r="DB725" s="399"/>
      <c r="DC725" s="399"/>
      <c r="DD725" s="399"/>
      <c r="DE725" s="399"/>
      <c r="DF725" s="399"/>
      <c r="DG725" s="399"/>
      <c r="DH725" s="47"/>
      <c r="DI725" s="399"/>
      <c r="DJ725" s="399"/>
      <c r="DK725" s="399"/>
      <c r="DL725" s="399"/>
      <c r="DM725" s="399"/>
      <c r="DN725" s="399"/>
      <c r="DO725" s="47"/>
      <c r="DP725" s="399"/>
      <c r="DQ725" s="399"/>
      <c r="DR725" s="399"/>
      <c r="DS725" s="399"/>
      <c r="DT725" s="399"/>
      <c r="DU725" s="399"/>
      <c r="DV725" s="47"/>
      <c r="DW725" s="399"/>
      <c r="DX725" s="399"/>
      <c r="DY725" s="399"/>
      <c r="DZ725" s="399"/>
      <c r="EA725" s="399"/>
      <c r="EB725" s="399"/>
      <c r="EC725" s="47"/>
      <c r="ED725" s="399"/>
      <c r="EE725" s="399"/>
      <c r="EF725" s="399"/>
      <c r="EG725" s="399"/>
      <c r="EH725" s="399"/>
      <c r="EI725" s="399"/>
      <c r="EJ725" s="47"/>
      <c r="EK725" s="399"/>
      <c r="EL725" s="399"/>
      <c r="EM725" s="399"/>
      <c r="EN725" s="399"/>
      <c r="EO725" s="399"/>
      <c r="EP725" s="399"/>
      <c r="EQ725" s="47"/>
    </row>
    <row r="726" spans="1:147" ht="10.199999999999999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399"/>
      <c r="P726" s="399"/>
      <c r="Q726" s="399"/>
      <c r="R726" s="399"/>
      <c r="S726" s="399"/>
      <c r="T726" s="399"/>
      <c r="U726" s="47"/>
      <c r="V726" s="399"/>
      <c r="W726" s="399"/>
      <c r="X726" s="399"/>
      <c r="Y726" s="399"/>
      <c r="Z726" s="399"/>
      <c r="AA726" s="399"/>
      <c r="AB726" s="47"/>
      <c r="AC726" s="399"/>
      <c r="AD726" s="399"/>
      <c r="AE726" s="399"/>
      <c r="AF726" s="399"/>
      <c r="AG726" s="399"/>
      <c r="AH726" s="399"/>
      <c r="AI726" s="47"/>
      <c r="AJ726" s="399"/>
      <c r="AK726" s="399"/>
      <c r="AL726" s="399"/>
      <c r="AM726" s="399"/>
      <c r="AN726" s="399"/>
      <c r="AO726" s="399"/>
      <c r="AP726" s="47"/>
      <c r="AQ726" s="399"/>
      <c r="AR726" s="399"/>
      <c r="AS726" s="399"/>
      <c r="AT726" s="399"/>
      <c r="AU726" s="399"/>
      <c r="AV726" s="399"/>
      <c r="AW726" s="47"/>
      <c r="AX726" s="399"/>
      <c r="AY726" s="399"/>
      <c r="AZ726" s="399"/>
      <c r="BA726" s="399"/>
      <c r="BB726" s="399"/>
      <c r="BC726" s="399"/>
      <c r="BD726" s="47"/>
      <c r="BE726" s="399"/>
      <c r="BF726" s="399"/>
      <c r="BG726" s="399"/>
      <c r="BH726" s="399"/>
      <c r="BI726" s="399"/>
      <c r="BJ726" s="399"/>
      <c r="BK726" s="47"/>
      <c r="BL726" s="399"/>
      <c r="BM726" s="399"/>
      <c r="BN726" s="399"/>
      <c r="BO726" s="399"/>
      <c r="BP726" s="399"/>
      <c r="BQ726" s="399"/>
      <c r="BR726" s="47"/>
      <c r="BS726" s="399"/>
      <c r="BT726" s="399"/>
      <c r="BU726" s="399"/>
      <c r="BV726" s="399"/>
      <c r="BW726" s="399"/>
      <c r="BX726" s="399"/>
      <c r="BY726" s="47"/>
      <c r="BZ726" s="399"/>
      <c r="CA726" s="399"/>
      <c r="CB726" s="399"/>
      <c r="CC726" s="399"/>
      <c r="CD726" s="399"/>
      <c r="CE726" s="399"/>
      <c r="CF726" s="47"/>
      <c r="CG726" s="399"/>
      <c r="CH726" s="399"/>
      <c r="CI726" s="399"/>
      <c r="CJ726" s="399"/>
      <c r="CK726" s="399"/>
      <c r="CL726" s="399"/>
      <c r="CM726" s="47"/>
      <c r="CN726" s="399"/>
      <c r="CO726" s="399"/>
      <c r="CP726" s="399"/>
      <c r="CQ726" s="399"/>
      <c r="CR726" s="399"/>
      <c r="CS726" s="399"/>
      <c r="CT726" s="47"/>
      <c r="CU726" s="399"/>
      <c r="CV726" s="399"/>
      <c r="CW726" s="399"/>
      <c r="CX726" s="399"/>
      <c r="CY726" s="399"/>
      <c r="CZ726" s="399"/>
      <c r="DA726" s="47"/>
      <c r="DB726" s="399"/>
      <c r="DC726" s="399"/>
      <c r="DD726" s="399"/>
      <c r="DE726" s="399"/>
      <c r="DF726" s="399"/>
      <c r="DG726" s="399"/>
      <c r="DH726" s="47"/>
      <c r="DI726" s="399"/>
      <c r="DJ726" s="399"/>
      <c r="DK726" s="399"/>
      <c r="DL726" s="399"/>
      <c r="DM726" s="399"/>
      <c r="DN726" s="399"/>
      <c r="DO726" s="47"/>
      <c r="DP726" s="399"/>
      <c r="DQ726" s="399"/>
      <c r="DR726" s="399"/>
      <c r="DS726" s="399"/>
      <c r="DT726" s="399"/>
      <c r="DU726" s="399"/>
      <c r="DV726" s="47"/>
      <c r="DW726" s="399"/>
      <c r="DX726" s="399"/>
      <c r="DY726" s="399"/>
      <c r="DZ726" s="399"/>
      <c r="EA726" s="399"/>
      <c r="EB726" s="399"/>
      <c r="EC726" s="47"/>
      <c r="ED726" s="399"/>
      <c r="EE726" s="399"/>
      <c r="EF726" s="399"/>
      <c r="EG726" s="399"/>
      <c r="EH726" s="399"/>
      <c r="EI726" s="399"/>
      <c r="EJ726" s="47"/>
      <c r="EK726" s="399"/>
      <c r="EL726" s="399"/>
      <c r="EM726" s="399"/>
      <c r="EN726" s="399"/>
      <c r="EO726" s="399"/>
      <c r="EP726" s="399"/>
      <c r="EQ726" s="47"/>
    </row>
    <row r="727" spans="1:147" ht="10.199999999999999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399"/>
      <c r="P727" s="399"/>
      <c r="Q727" s="399"/>
      <c r="R727" s="399"/>
      <c r="S727" s="399"/>
      <c r="T727" s="399"/>
      <c r="U727" s="47"/>
      <c r="V727" s="399"/>
      <c r="W727" s="399"/>
      <c r="X727" s="399"/>
      <c r="Y727" s="399"/>
      <c r="Z727" s="399"/>
      <c r="AA727" s="399"/>
      <c r="AB727" s="47"/>
      <c r="AC727" s="399"/>
      <c r="AD727" s="399"/>
      <c r="AE727" s="399"/>
      <c r="AF727" s="399"/>
      <c r="AG727" s="399"/>
      <c r="AH727" s="399"/>
      <c r="AI727" s="47"/>
      <c r="AJ727" s="399"/>
      <c r="AK727" s="399"/>
      <c r="AL727" s="399"/>
      <c r="AM727" s="399"/>
      <c r="AN727" s="399"/>
      <c r="AO727" s="399"/>
      <c r="AP727" s="47"/>
      <c r="AQ727" s="399"/>
      <c r="AR727" s="399"/>
      <c r="AS727" s="399"/>
      <c r="AT727" s="399"/>
      <c r="AU727" s="399"/>
      <c r="AV727" s="399"/>
      <c r="AW727" s="47"/>
      <c r="AX727" s="399"/>
      <c r="AY727" s="399"/>
      <c r="AZ727" s="399"/>
      <c r="BA727" s="399"/>
      <c r="BB727" s="399"/>
      <c r="BC727" s="399"/>
      <c r="BD727" s="47"/>
      <c r="BE727" s="399"/>
      <c r="BF727" s="399"/>
      <c r="BG727" s="399"/>
      <c r="BH727" s="399"/>
      <c r="BI727" s="399"/>
      <c r="BJ727" s="399"/>
      <c r="BK727" s="47"/>
      <c r="BL727" s="399"/>
      <c r="BM727" s="399"/>
      <c r="BN727" s="399"/>
      <c r="BO727" s="399"/>
      <c r="BP727" s="399"/>
      <c r="BQ727" s="399"/>
      <c r="BR727" s="47"/>
      <c r="BS727" s="399"/>
      <c r="BT727" s="399"/>
      <c r="BU727" s="399"/>
      <c r="BV727" s="399"/>
      <c r="BW727" s="399"/>
      <c r="BX727" s="399"/>
      <c r="BY727" s="47"/>
      <c r="BZ727" s="399"/>
      <c r="CA727" s="399"/>
      <c r="CB727" s="399"/>
      <c r="CC727" s="399"/>
      <c r="CD727" s="399"/>
      <c r="CE727" s="399"/>
      <c r="CF727" s="47"/>
      <c r="CG727" s="399"/>
      <c r="CH727" s="399"/>
      <c r="CI727" s="399"/>
      <c r="CJ727" s="399"/>
      <c r="CK727" s="399"/>
      <c r="CL727" s="399"/>
      <c r="CM727" s="47"/>
      <c r="CN727" s="399"/>
      <c r="CO727" s="399"/>
      <c r="CP727" s="399"/>
      <c r="CQ727" s="399"/>
      <c r="CR727" s="399"/>
      <c r="CS727" s="399"/>
      <c r="CT727" s="47"/>
      <c r="CU727" s="399"/>
      <c r="CV727" s="399"/>
      <c r="CW727" s="399"/>
      <c r="CX727" s="399"/>
      <c r="CY727" s="399"/>
      <c r="CZ727" s="399"/>
      <c r="DA727" s="47"/>
      <c r="DB727" s="399"/>
      <c r="DC727" s="399"/>
      <c r="DD727" s="399"/>
      <c r="DE727" s="399"/>
      <c r="DF727" s="399"/>
      <c r="DG727" s="399"/>
      <c r="DH727" s="47"/>
      <c r="DI727" s="399"/>
      <c r="DJ727" s="399"/>
      <c r="DK727" s="399"/>
      <c r="DL727" s="399"/>
      <c r="DM727" s="399"/>
      <c r="DN727" s="399"/>
      <c r="DO727" s="47"/>
      <c r="DP727" s="399"/>
      <c r="DQ727" s="399"/>
      <c r="DR727" s="399"/>
      <c r="DS727" s="399"/>
      <c r="DT727" s="399"/>
      <c r="DU727" s="399"/>
      <c r="DV727" s="47"/>
      <c r="DW727" s="399"/>
      <c r="DX727" s="399"/>
      <c r="DY727" s="399"/>
      <c r="DZ727" s="399"/>
      <c r="EA727" s="399"/>
      <c r="EB727" s="399"/>
      <c r="EC727" s="47"/>
      <c r="ED727" s="399"/>
      <c r="EE727" s="399"/>
      <c r="EF727" s="399"/>
      <c r="EG727" s="399"/>
      <c r="EH727" s="399"/>
      <c r="EI727" s="399"/>
      <c r="EJ727" s="47"/>
      <c r="EK727" s="399"/>
      <c r="EL727" s="399"/>
      <c r="EM727" s="399"/>
      <c r="EN727" s="399"/>
      <c r="EO727" s="399"/>
      <c r="EP727" s="399"/>
      <c r="EQ727" s="47"/>
    </row>
    <row r="728" spans="1:147" ht="10.199999999999999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399"/>
      <c r="P728" s="399"/>
      <c r="Q728" s="399"/>
      <c r="R728" s="399"/>
      <c r="S728" s="399"/>
      <c r="T728" s="399"/>
      <c r="U728" s="47"/>
      <c r="V728" s="399"/>
      <c r="W728" s="399"/>
      <c r="X728" s="399"/>
      <c r="Y728" s="399"/>
      <c r="Z728" s="399"/>
      <c r="AA728" s="399"/>
      <c r="AB728" s="47"/>
      <c r="AC728" s="399"/>
      <c r="AD728" s="399"/>
      <c r="AE728" s="399"/>
      <c r="AF728" s="399"/>
      <c r="AG728" s="399"/>
      <c r="AH728" s="399"/>
      <c r="AI728" s="47"/>
      <c r="AJ728" s="399"/>
      <c r="AK728" s="399"/>
      <c r="AL728" s="399"/>
      <c r="AM728" s="399"/>
      <c r="AN728" s="399"/>
      <c r="AO728" s="399"/>
      <c r="AP728" s="47"/>
      <c r="AQ728" s="399"/>
      <c r="AR728" s="399"/>
      <c r="AS728" s="399"/>
      <c r="AT728" s="399"/>
      <c r="AU728" s="399"/>
      <c r="AV728" s="399"/>
      <c r="AW728" s="47"/>
      <c r="AX728" s="399"/>
      <c r="AY728" s="399"/>
      <c r="AZ728" s="399"/>
      <c r="BA728" s="399"/>
      <c r="BB728" s="399"/>
      <c r="BC728" s="399"/>
      <c r="BD728" s="47"/>
      <c r="BE728" s="399"/>
      <c r="BF728" s="399"/>
      <c r="BG728" s="399"/>
      <c r="BH728" s="399"/>
      <c r="BI728" s="399"/>
      <c r="BJ728" s="399"/>
      <c r="BK728" s="47"/>
      <c r="BL728" s="399"/>
      <c r="BM728" s="399"/>
      <c r="BN728" s="399"/>
      <c r="BO728" s="399"/>
      <c r="BP728" s="399"/>
      <c r="BQ728" s="399"/>
      <c r="BR728" s="47"/>
      <c r="BS728" s="399"/>
      <c r="BT728" s="399"/>
      <c r="BU728" s="399"/>
      <c r="BV728" s="399"/>
      <c r="BW728" s="399"/>
      <c r="BX728" s="399"/>
      <c r="BY728" s="47"/>
      <c r="BZ728" s="399"/>
      <c r="CA728" s="399"/>
      <c r="CB728" s="399"/>
      <c r="CC728" s="399"/>
      <c r="CD728" s="399"/>
      <c r="CE728" s="399"/>
      <c r="CF728" s="47"/>
      <c r="CG728" s="399"/>
      <c r="CH728" s="399"/>
      <c r="CI728" s="399"/>
      <c r="CJ728" s="399"/>
      <c r="CK728" s="399"/>
      <c r="CL728" s="399"/>
      <c r="CM728" s="47"/>
      <c r="CN728" s="399"/>
      <c r="CO728" s="399"/>
      <c r="CP728" s="399"/>
      <c r="CQ728" s="399"/>
      <c r="CR728" s="399"/>
      <c r="CS728" s="399"/>
      <c r="CT728" s="47"/>
      <c r="CU728" s="399"/>
      <c r="CV728" s="399"/>
      <c r="CW728" s="399"/>
      <c r="CX728" s="399"/>
      <c r="CY728" s="399"/>
      <c r="CZ728" s="399"/>
      <c r="DA728" s="47"/>
      <c r="DB728" s="399"/>
      <c r="DC728" s="399"/>
      <c r="DD728" s="399"/>
      <c r="DE728" s="399"/>
      <c r="DF728" s="399"/>
      <c r="DG728" s="399"/>
      <c r="DH728" s="47"/>
      <c r="DI728" s="399"/>
      <c r="DJ728" s="399"/>
      <c r="DK728" s="399"/>
      <c r="DL728" s="399"/>
      <c r="DM728" s="399"/>
      <c r="DN728" s="399"/>
      <c r="DO728" s="47"/>
      <c r="DP728" s="399"/>
      <c r="DQ728" s="399"/>
      <c r="DR728" s="399"/>
      <c r="DS728" s="399"/>
      <c r="DT728" s="399"/>
      <c r="DU728" s="399"/>
      <c r="DV728" s="47"/>
      <c r="DW728" s="399"/>
      <c r="DX728" s="399"/>
      <c r="DY728" s="399"/>
      <c r="DZ728" s="399"/>
      <c r="EA728" s="399"/>
      <c r="EB728" s="399"/>
      <c r="EC728" s="47"/>
      <c r="ED728" s="399"/>
      <c r="EE728" s="399"/>
      <c r="EF728" s="399"/>
      <c r="EG728" s="399"/>
      <c r="EH728" s="399"/>
      <c r="EI728" s="399"/>
      <c r="EJ728" s="47"/>
      <c r="EK728" s="399"/>
      <c r="EL728" s="399"/>
      <c r="EM728" s="399"/>
      <c r="EN728" s="399"/>
      <c r="EO728" s="399"/>
      <c r="EP728" s="399"/>
      <c r="EQ728" s="47"/>
    </row>
    <row r="729" spans="1:147" ht="10.199999999999999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399"/>
      <c r="P729" s="399"/>
      <c r="Q729" s="399"/>
      <c r="R729" s="399"/>
      <c r="S729" s="399"/>
      <c r="T729" s="399"/>
      <c r="U729" s="47"/>
      <c r="V729" s="399"/>
      <c r="W729" s="399"/>
      <c r="X729" s="399"/>
      <c r="Y729" s="399"/>
      <c r="Z729" s="399"/>
      <c r="AA729" s="399"/>
      <c r="AB729" s="47"/>
      <c r="AC729" s="399"/>
      <c r="AD729" s="399"/>
      <c r="AE729" s="399"/>
      <c r="AF729" s="399"/>
      <c r="AG729" s="399"/>
      <c r="AH729" s="399"/>
      <c r="AI729" s="47"/>
      <c r="AJ729" s="399"/>
      <c r="AK729" s="399"/>
      <c r="AL729" s="399"/>
      <c r="AM729" s="399"/>
      <c r="AN729" s="399"/>
      <c r="AO729" s="399"/>
      <c r="AP729" s="47"/>
      <c r="AQ729" s="399"/>
      <c r="AR729" s="399"/>
      <c r="AS729" s="399"/>
      <c r="AT729" s="399"/>
      <c r="AU729" s="399"/>
      <c r="AV729" s="399"/>
      <c r="AW729" s="47"/>
      <c r="AX729" s="399"/>
      <c r="AY729" s="399"/>
      <c r="AZ729" s="399"/>
      <c r="BA729" s="399"/>
      <c r="BB729" s="399"/>
      <c r="BC729" s="399"/>
      <c r="BD729" s="47"/>
      <c r="BE729" s="399"/>
      <c r="BF729" s="399"/>
      <c r="BG729" s="399"/>
      <c r="BH729" s="399"/>
      <c r="BI729" s="399"/>
      <c r="BJ729" s="399"/>
      <c r="BK729" s="47"/>
      <c r="BL729" s="399"/>
      <c r="BM729" s="399"/>
      <c r="BN729" s="399"/>
      <c r="BO729" s="399"/>
      <c r="BP729" s="399"/>
      <c r="BQ729" s="399"/>
      <c r="BR729" s="47"/>
      <c r="BS729" s="399"/>
      <c r="BT729" s="399"/>
      <c r="BU729" s="399"/>
      <c r="BV729" s="399"/>
      <c r="BW729" s="399"/>
      <c r="BX729" s="399"/>
      <c r="BY729" s="47"/>
      <c r="BZ729" s="399"/>
      <c r="CA729" s="399"/>
      <c r="CB729" s="399"/>
      <c r="CC729" s="399"/>
      <c r="CD729" s="399"/>
      <c r="CE729" s="399"/>
      <c r="CF729" s="47"/>
      <c r="CG729" s="399"/>
      <c r="CH729" s="399"/>
      <c r="CI729" s="399"/>
      <c r="CJ729" s="399"/>
      <c r="CK729" s="399"/>
      <c r="CL729" s="399"/>
      <c r="CM729" s="47"/>
      <c r="CN729" s="399"/>
      <c r="CO729" s="399"/>
      <c r="CP729" s="399"/>
      <c r="CQ729" s="399"/>
      <c r="CR729" s="399"/>
      <c r="CS729" s="399"/>
      <c r="CT729" s="47"/>
      <c r="CU729" s="399"/>
      <c r="CV729" s="399"/>
      <c r="CW729" s="399"/>
      <c r="CX729" s="399"/>
      <c r="CY729" s="399"/>
      <c r="CZ729" s="399"/>
      <c r="DA729" s="47"/>
      <c r="DB729" s="399"/>
      <c r="DC729" s="399"/>
      <c r="DD729" s="399"/>
      <c r="DE729" s="399"/>
      <c r="DF729" s="399"/>
      <c r="DG729" s="399"/>
      <c r="DH729" s="47"/>
      <c r="DI729" s="399"/>
      <c r="DJ729" s="399"/>
      <c r="DK729" s="399"/>
      <c r="DL729" s="399"/>
      <c r="DM729" s="399"/>
      <c r="DN729" s="399"/>
      <c r="DO729" s="47"/>
      <c r="DP729" s="399"/>
      <c r="DQ729" s="399"/>
      <c r="DR729" s="399"/>
      <c r="DS729" s="399"/>
      <c r="DT729" s="399"/>
      <c r="DU729" s="399"/>
      <c r="DV729" s="47"/>
      <c r="DW729" s="399"/>
      <c r="DX729" s="399"/>
      <c r="DY729" s="399"/>
      <c r="DZ729" s="399"/>
      <c r="EA729" s="399"/>
      <c r="EB729" s="399"/>
      <c r="EC729" s="47"/>
      <c r="ED729" s="399"/>
      <c r="EE729" s="399"/>
      <c r="EF729" s="399"/>
      <c r="EG729" s="399"/>
      <c r="EH729" s="399"/>
      <c r="EI729" s="399"/>
      <c r="EJ729" s="47"/>
      <c r="EK729" s="399"/>
      <c r="EL729" s="399"/>
      <c r="EM729" s="399"/>
      <c r="EN729" s="399"/>
      <c r="EO729" s="399"/>
      <c r="EP729" s="399"/>
      <c r="EQ729" s="47"/>
    </row>
    <row r="730" spans="1:147" ht="10.199999999999999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399"/>
      <c r="P730" s="399"/>
      <c r="Q730" s="399"/>
      <c r="R730" s="399"/>
      <c r="S730" s="399"/>
      <c r="T730" s="399"/>
      <c r="U730" s="47"/>
      <c r="V730" s="399"/>
      <c r="W730" s="399"/>
      <c r="X730" s="399"/>
      <c r="Y730" s="399"/>
      <c r="Z730" s="399"/>
      <c r="AA730" s="399"/>
      <c r="AB730" s="47"/>
      <c r="AC730" s="399"/>
      <c r="AD730" s="399"/>
      <c r="AE730" s="399"/>
      <c r="AF730" s="399"/>
      <c r="AG730" s="399"/>
      <c r="AH730" s="399"/>
      <c r="AI730" s="47"/>
      <c r="AJ730" s="399"/>
      <c r="AK730" s="399"/>
      <c r="AL730" s="399"/>
      <c r="AM730" s="399"/>
      <c r="AN730" s="399"/>
      <c r="AO730" s="399"/>
      <c r="AP730" s="47"/>
      <c r="AQ730" s="399"/>
      <c r="AR730" s="399"/>
      <c r="AS730" s="399"/>
      <c r="AT730" s="399"/>
      <c r="AU730" s="399"/>
      <c r="AV730" s="399"/>
      <c r="AW730" s="47"/>
      <c r="AX730" s="399"/>
      <c r="AY730" s="399"/>
      <c r="AZ730" s="399"/>
      <c r="BA730" s="399"/>
      <c r="BB730" s="399"/>
      <c r="BC730" s="399"/>
      <c r="BD730" s="47"/>
      <c r="BE730" s="399"/>
      <c r="BF730" s="399"/>
      <c r="BG730" s="399"/>
      <c r="BH730" s="399"/>
      <c r="BI730" s="399"/>
      <c r="BJ730" s="399"/>
      <c r="BK730" s="47"/>
      <c r="BL730" s="399"/>
      <c r="BM730" s="399"/>
      <c r="BN730" s="399"/>
      <c r="BO730" s="399"/>
      <c r="BP730" s="399"/>
      <c r="BQ730" s="399"/>
      <c r="BR730" s="47"/>
      <c r="BS730" s="399"/>
      <c r="BT730" s="399"/>
      <c r="BU730" s="399"/>
      <c r="BV730" s="399"/>
      <c r="BW730" s="399"/>
      <c r="BX730" s="399"/>
      <c r="BY730" s="47"/>
      <c r="BZ730" s="399"/>
      <c r="CA730" s="399"/>
      <c r="CB730" s="399"/>
      <c r="CC730" s="399"/>
      <c r="CD730" s="399"/>
      <c r="CE730" s="399"/>
      <c r="CF730" s="47"/>
      <c r="CG730" s="399"/>
      <c r="CH730" s="399"/>
      <c r="CI730" s="399"/>
      <c r="CJ730" s="399"/>
      <c r="CK730" s="399"/>
      <c r="CL730" s="399"/>
      <c r="CM730" s="47"/>
      <c r="CN730" s="399"/>
      <c r="CO730" s="399"/>
      <c r="CP730" s="399"/>
      <c r="CQ730" s="399"/>
      <c r="CR730" s="399"/>
      <c r="CS730" s="399"/>
      <c r="CT730" s="47"/>
      <c r="CU730" s="399"/>
      <c r="CV730" s="399"/>
      <c r="CW730" s="399"/>
      <c r="CX730" s="399"/>
      <c r="CY730" s="399"/>
      <c r="CZ730" s="399"/>
      <c r="DA730" s="47"/>
      <c r="DB730" s="399"/>
      <c r="DC730" s="399"/>
      <c r="DD730" s="399"/>
      <c r="DE730" s="399"/>
      <c r="DF730" s="399"/>
      <c r="DG730" s="399"/>
      <c r="DH730" s="47"/>
      <c r="DI730" s="399"/>
      <c r="DJ730" s="399"/>
      <c r="DK730" s="399"/>
      <c r="DL730" s="399"/>
      <c r="DM730" s="399"/>
      <c r="DN730" s="399"/>
      <c r="DO730" s="47"/>
      <c r="DP730" s="399"/>
      <c r="DQ730" s="399"/>
      <c r="DR730" s="399"/>
      <c r="DS730" s="399"/>
      <c r="DT730" s="399"/>
      <c r="DU730" s="399"/>
      <c r="DV730" s="47"/>
      <c r="DW730" s="399"/>
      <c r="DX730" s="399"/>
      <c r="DY730" s="399"/>
      <c r="DZ730" s="399"/>
      <c r="EA730" s="399"/>
      <c r="EB730" s="399"/>
      <c r="EC730" s="47"/>
      <c r="ED730" s="399"/>
      <c r="EE730" s="399"/>
      <c r="EF730" s="399"/>
      <c r="EG730" s="399"/>
      <c r="EH730" s="399"/>
      <c r="EI730" s="399"/>
      <c r="EJ730" s="47"/>
      <c r="EK730" s="399"/>
      <c r="EL730" s="399"/>
      <c r="EM730" s="399"/>
      <c r="EN730" s="399"/>
      <c r="EO730" s="399"/>
      <c r="EP730" s="399"/>
      <c r="EQ730" s="47"/>
    </row>
    <row r="731" spans="1:147" ht="10.199999999999999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399"/>
      <c r="P731" s="399"/>
      <c r="Q731" s="399"/>
      <c r="R731" s="399"/>
      <c r="S731" s="399"/>
      <c r="T731" s="399"/>
      <c r="U731" s="47"/>
      <c r="V731" s="399"/>
      <c r="W731" s="399"/>
      <c r="X731" s="399"/>
      <c r="Y731" s="399"/>
      <c r="Z731" s="399"/>
      <c r="AA731" s="399"/>
      <c r="AB731" s="47"/>
      <c r="AC731" s="399"/>
      <c r="AD731" s="399"/>
      <c r="AE731" s="399"/>
      <c r="AF731" s="399"/>
      <c r="AG731" s="399"/>
      <c r="AH731" s="399"/>
      <c r="AI731" s="47"/>
      <c r="AJ731" s="399"/>
      <c r="AK731" s="399"/>
      <c r="AL731" s="399"/>
      <c r="AM731" s="399"/>
      <c r="AN731" s="399"/>
      <c r="AO731" s="399"/>
      <c r="AP731" s="47"/>
      <c r="AQ731" s="399"/>
      <c r="AR731" s="399"/>
      <c r="AS731" s="399"/>
      <c r="AT731" s="399"/>
      <c r="AU731" s="399"/>
      <c r="AV731" s="399"/>
      <c r="AW731" s="47"/>
      <c r="AX731" s="399"/>
      <c r="AY731" s="399"/>
      <c r="AZ731" s="399"/>
      <c r="BA731" s="399"/>
      <c r="BB731" s="399"/>
      <c r="BC731" s="399"/>
      <c r="BD731" s="47"/>
      <c r="BE731" s="399"/>
      <c r="BF731" s="399"/>
      <c r="BG731" s="399"/>
      <c r="BH731" s="399"/>
      <c r="BI731" s="399"/>
      <c r="BJ731" s="399"/>
      <c r="BK731" s="47"/>
      <c r="BL731" s="399"/>
      <c r="BM731" s="399"/>
      <c r="BN731" s="399"/>
      <c r="BO731" s="399"/>
      <c r="BP731" s="399"/>
      <c r="BQ731" s="399"/>
      <c r="BR731" s="47"/>
      <c r="BS731" s="399"/>
      <c r="BT731" s="399"/>
      <c r="BU731" s="399"/>
      <c r="BV731" s="399"/>
      <c r="BW731" s="399"/>
      <c r="BX731" s="399"/>
      <c r="BY731" s="47"/>
      <c r="BZ731" s="399"/>
      <c r="CA731" s="399"/>
      <c r="CB731" s="399"/>
      <c r="CC731" s="399"/>
      <c r="CD731" s="399"/>
      <c r="CE731" s="399"/>
      <c r="CF731" s="47"/>
      <c r="CG731" s="399"/>
      <c r="CH731" s="399"/>
      <c r="CI731" s="399"/>
      <c r="CJ731" s="399"/>
      <c r="CK731" s="399"/>
      <c r="CL731" s="399"/>
      <c r="CM731" s="47"/>
      <c r="CN731" s="399"/>
      <c r="CO731" s="399"/>
      <c r="CP731" s="399"/>
      <c r="CQ731" s="399"/>
      <c r="CR731" s="399"/>
      <c r="CS731" s="399"/>
      <c r="CT731" s="47"/>
      <c r="CU731" s="399"/>
      <c r="CV731" s="399"/>
      <c r="CW731" s="399"/>
      <c r="CX731" s="399"/>
      <c r="CY731" s="399"/>
      <c r="CZ731" s="399"/>
      <c r="DA731" s="47"/>
      <c r="DB731" s="399"/>
      <c r="DC731" s="399"/>
      <c r="DD731" s="399"/>
      <c r="DE731" s="399"/>
      <c r="DF731" s="399"/>
      <c r="DG731" s="399"/>
      <c r="DH731" s="47"/>
      <c r="DI731" s="399"/>
      <c r="DJ731" s="399"/>
      <c r="DK731" s="399"/>
      <c r="DL731" s="399"/>
      <c r="DM731" s="399"/>
      <c r="DN731" s="399"/>
      <c r="DO731" s="47"/>
      <c r="DP731" s="399"/>
      <c r="DQ731" s="399"/>
      <c r="DR731" s="399"/>
      <c r="DS731" s="399"/>
      <c r="DT731" s="399"/>
      <c r="DU731" s="399"/>
      <c r="DV731" s="47"/>
      <c r="DW731" s="399"/>
      <c r="DX731" s="399"/>
      <c r="DY731" s="399"/>
      <c r="DZ731" s="399"/>
      <c r="EA731" s="399"/>
      <c r="EB731" s="399"/>
      <c r="EC731" s="47"/>
      <c r="ED731" s="399"/>
      <c r="EE731" s="399"/>
      <c r="EF731" s="399"/>
      <c r="EG731" s="399"/>
      <c r="EH731" s="399"/>
      <c r="EI731" s="399"/>
      <c r="EJ731" s="47"/>
      <c r="EK731" s="399"/>
      <c r="EL731" s="399"/>
      <c r="EM731" s="399"/>
      <c r="EN731" s="399"/>
      <c r="EO731" s="399"/>
      <c r="EP731" s="399"/>
      <c r="EQ731" s="47"/>
    </row>
    <row r="732" spans="1:147" ht="10.199999999999999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399"/>
      <c r="P732" s="399"/>
      <c r="Q732" s="399"/>
      <c r="R732" s="399"/>
      <c r="S732" s="399"/>
      <c r="T732" s="399"/>
      <c r="U732" s="47"/>
      <c r="V732" s="399"/>
      <c r="W732" s="399"/>
      <c r="X732" s="399"/>
      <c r="Y732" s="399"/>
      <c r="Z732" s="399"/>
      <c r="AA732" s="399"/>
      <c r="AB732" s="47"/>
      <c r="AC732" s="399"/>
      <c r="AD732" s="399"/>
      <c r="AE732" s="399"/>
      <c r="AF732" s="399"/>
      <c r="AG732" s="399"/>
      <c r="AH732" s="399"/>
      <c r="AI732" s="47"/>
      <c r="AJ732" s="399"/>
      <c r="AK732" s="399"/>
      <c r="AL732" s="399"/>
      <c r="AM732" s="399"/>
      <c r="AN732" s="399"/>
      <c r="AO732" s="399"/>
      <c r="AP732" s="47"/>
      <c r="AQ732" s="399"/>
      <c r="AR732" s="399"/>
      <c r="AS732" s="399"/>
      <c r="AT732" s="399"/>
      <c r="AU732" s="399"/>
      <c r="AV732" s="399"/>
      <c r="AW732" s="47"/>
      <c r="AX732" s="399"/>
      <c r="AY732" s="399"/>
      <c r="AZ732" s="399"/>
      <c r="BA732" s="399"/>
      <c r="BB732" s="399"/>
      <c r="BC732" s="399"/>
      <c r="BD732" s="47"/>
      <c r="BE732" s="399"/>
      <c r="BF732" s="399"/>
      <c r="BG732" s="399"/>
      <c r="BH732" s="399"/>
      <c r="BI732" s="399"/>
      <c r="BJ732" s="399"/>
      <c r="BK732" s="47"/>
      <c r="BL732" s="399"/>
      <c r="BM732" s="399"/>
      <c r="BN732" s="399"/>
      <c r="BO732" s="399"/>
      <c r="BP732" s="399"/>
      <c r="BQ732" s="399"/>
      <c r="BR732" s="47"/>
      <c r="BS732" s="399"/>
      <c r="BT732" s="399"/>
      <c r="BU732" s="399"/>
      <c r="BV732" s="399"/>
      <c r="BW732" s="399"/>
      <c r="BX732" s="399"/>
      <c r="BY732" s="47"/>
      <c r="BZ732" s="399"/>
      <c r="CA732" s="399"/>
      <c r="CB732" s="399"/>
      <c r="CC732" s="399"/>
      <c r="CD732" s="399"/>
      <c r="CE732" s="399"/>
      <c r="CF732" s="47"/>
      <c r="CG732" s="399"/>
      <c r="CH732" s="399"/>
      <c r="CI732" s="399"/>
      <c r="CJ732" s="399"/>
      <c r="CK732" s="399"/>
      <c r="CL732" s="399"/>
      <c r="CM732" s="47"/>
      <c r="CN732" s="399"/>
      <c r="CO732" s="399"/>
      <c r="CP732" s="399"/>
      <c r="CQ732" s="399"/>
      <c r="CR732" s="399"/>
      <c r="CS732" s="399"/>
      <c r="CT732" s="47"/>
      <c r="CU732" s="399"/>
      <c r="CV732" s="399"/>
      <c r="CW732" s="399"/>
      <c r="CX732" s="399"/>
      <c r="CY732" s="399"/>
      <c r="CZ732" s="399"/>
      <c r="DA732" s="47"/>
      <c r="DB732" s="399"/>
      <c r="DC732" s="399"/>
      <c r="DD732" s="399"/>
      <c r="DE732" s="399"/>
      <c r="DF732" s="399"/>
      <c r="DG732" s="399"/>
      <c r="DH732" s="47"/>
      <c r="DI732" s="399"/>
      <c r="DJ732" s="399"/>
      <c r="DK732" s="399"/>
      <c r="DL732" s="399"/>
      <c r="DM732" s="399"/>
      <c r="DN732" s="399"/>
      <c r="DO732" s="47"/>
      <c r="DP732" s="399"/>
      <c r="DQ732" s="399"/>
      <c r="DR732" s="399"/>
      <c r="DS732" s="399"/>
      <c r="DT732" s="399"/>
      <c r="DU732" s="399"/>
      <c r="DV732" s="47"/>
      <c r="DW732" s="399"/>
      <c r="DX732" s="399"/>
      <c r="DY732" s="399"/>
      <c r="DZ732" s="399"/>
      <c r="EA732" s="399"/>
      <c r="EB732" s="399"/>
      <c r="EC732" s="47"/>
      <c r="ED732" s="399"/>
      <c r="EE732" s="399"/>
      <c r="EF732" s="399"/>
      <c r="EG732" s="399"/>
      <c r="EH732" s="399"/>
      <c r="EI732" s="399"/>
      <c r="EJ732" s="47"/>
      <c r="EK732" s="399"/>
      <c r="EL732" s="399"/>
      <c r="EM732" s="399"/>
      <c r="EN732" s="399"/>
      <c r="EO732" s="399"/>
      <c r="EP732" s="399"/>
      <c r="EQ732" s="47"/>
    </row>
    <row r="733" spans="1:147" ht="10.199999999999999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399"/>
      <c r="P733" s="399"/>
      <c r="Q733" s="399"/>
      <c r="R733" s="399"/>
      <c r="S733" s="399"/>
      <c r="T733" s="399"/>
      <c r="U733" s="47"/>
      <c r="V733" s="399"/>
      <c r="W733" s="399"/>
      <c r="X733" s="399"/>
      <c r="Y733" s="399"/>
      <c r="Z733" s="399"/>
      <c r="AA733" s="399"/>
      <c r="AB733" s="47"/>
      <c r="AC733" s="399"/>
      <c r="AD733" s="399"/>
      <c r="AE733" s="399"/>
      <c r="AF733" s="399"/>
      <c r="AG733" s="399"/>
      <c r="AH733" s="399"/>
      <c r="AI733" s="47"/>
      <c r="AJ733" s="399"/>
      <c r="AK733" s="399"/>
      <c r="AL733" s="399"/>
      <c r="AM733" s="399"/>
      <c r="AN733" s="399"/>
      <c r="AO733" s="399"/>
      <c r="AP733" s="47"/>
      <c r="AQ733" s="399"/>
      <c r="AR733" s="399"/>
      <c r="AS733" s="399"/>
      <c r="AT733" s="399"/>
      <c r="AU733" s="399"/>
      <c r="AV733" s="399"/>
      <c r="AW733" s="47"/>
      <c r="AX733" s="399"/>
      <c r="AY733" s="399"/>
      <c r="AZ733" s="399"/>
      <c r="BA733" s="399"/>
      <c r="BB733" s="399"/>
      <c r="BC733" s="399"/>
      <c r="BD733" s="47"/>
      <c r="BE733" s="399"/>
      <c r="BF733" s="399"/>
      <c r="BG733" s="399"/>
      <c r="BH733" s="399"/>
      <c r="BI733" s="399"/>
      <c r="BJ733" s="399"/>
      <c r="BK733" s="47"/>
      <c r="BL733" s="399"/>
      <c r="BM733" s="399"/>
      <c r="BN733" s="399"/>
      <c r="BO733" s="399"/>
      <c r="BP733" s="399"/>
      <c r="BQ733" s="399"/>
      <c r="BR733" s="47"/>
      <c r="BS733" s="399"/>
      <c r="BT733" s="399"/>
      <c r="BU733" s="399"/>
      <c r="BV733" s="399"/>
      <c r="BW733" s="399"/>
      <c r="BX733" s="399"/>
      <c r="BY733" s="47"/>
      <c r="BZ733" s="399"/>
      <c r="CA733" s="399"/>
      <c r="CB733" s="399"/>
      <c r="CC733" s="399"/>
      <c r="CD733" s="399"/>
      <c r="CE733" s="399"/>
      <c r="CF733" s="47"/>
      <c r="CG733" s="399"/>
      <c r="CH733" s="399"/>
      <c r="CI733" s="399"/>
      <c r="CJ733" s="399"/>
      <c r="CK733" s="399"/>
      <c r="CL733" s="399"/>
      <c r="CM733" s="47"/>
      <c r="CN733" s="399"/>
      <c r="CO733" s="399"/>
      <c r="CP733" s="399"/>
      <c r="CQ733" s="399"/>
      <c r="CR733" s="399"/>
      <c r="CS733" s="399"/>
      <c r="CT733" s="47"/>
      <c r="CU733" s="399"/>
      <c r="CV733" s="399"/>
      <c r="CW733" s="399"/>
      <c r="CX733" s="399"/>
      <c r="CY733" s="399"/>
      <c r="CZ733" s="399"/>
      <c r="DA733" s="47"/>
      <c r="DB733" s="399"/>
      <c r="DC733" s="399"/>
      <c r="DD733" s="399"/>
      <c r="DE733" s="399"/>
      <c r="DF733" s="399"/>
      <c r="DG733" s="399"/>
      <c r="DH733" s="47"/>
      <c r="DI733" s="399"/>
      <c r="DJ733" s="399"/>
      <c r="DK733" s="399"/>
      <c r="DL733" s="399"/>
      <c r="DM733" s="399"/>
      <c r="DN733" s="399"/>
      <c r="DO733" s="47"/>
      <c r="DP733" s="399"/>
      <c r="DQ733" s="399"/>
      <c r="DR733" s="399"/>
      <c r="DS733" s="399"/>
      <c r="DT733" s="399"/>
      <c r="DU733" s="399"/>
      <c r="DV733" s="47"/>
      <c r="DW733" s="399"/>
      <c r="DX733" s="399"/>
      <c r="DY733" s="399"/>
      <c r="DZ733" s="399"/>
      <c r="EA733" s="399"/>
      <c r="EB733" s="399"/>
      <c r="EC733" s="47"/>
      <c r="ED733" s="399"/>
      <c r="EE733" s="399"/>
      <c r="EF733" s="399"/>
      <c r="EG733" s="399"/>
      <c r="EH733" s="399"/>
      <c r="EI733" s="399"/>
      <c r="EJ733" s="47"/>
      <c r="EK733" s="399"/>
      <c r="EL733" s="399"/>
      <c r="EM733" s="399"/>
      <c r="EN733" s="399"/>
      <c r="EO733" s="399"/>
      <c r="EP733" s="399"/>
      <c r="EQ733" s="47"/>
    </row>
    <row r="734" spans="1:147" ht="10.199999999999999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399"/>
      <c r="P734" s="399"/>
      <c r="Q734" s="399"/>
      <c r="R734" s="399"/>
      <c r="S734" s="399"/>
      <c r="T734" s="399"/>
      <c r="U734" s="47"/>
      <c r="V734" s="399"/>
      <c r="W734" s="399"/>
      <c r="X734" s="399"/>
      <c r="Y734" s="399"/>
      <c r="Z734" s="399"/>
      <c r="AA734" s="399"/>
      <c r="AB734" s="47"/>
      <c r="AC734" s="399"/>
      <c r="AD734" s="399"/>
      <c r="AE734" s="399"/>
      <c r="AF734" s="399"/>
      <c r="AG734" s="399"/>
      <c r="AH734" s="399"/>
      <c r="AI734" s="47"/>
      <c r="AJ734" s="399"/>
      <c r="AK734" s="399"/>
      <c r="AL734" s="399"/>
      <c r="AM734" s="399"/>
      <c r="AN734" s="399"/>
      <c r="AO734" s="399"/>
      <c r="AP734" s="47"/>
      <c r="AQ734" s="399"/>
      <c r="AR734" s="399"/>
      <c r="AS734" s="399"/>
      <c r="AT734" s="399"/>
      <c r="AU734" s="399"/>
      <c r="AV734" s="399"/>
      <c r="AW734" s="47"/>
      <c r="AX734" s="399"/>
      <c r="AY734" s="399"/>
      <c r="AZ734" s="399"/>
      <c r="BA734" s="399"/>
      <c r="BB734" s="399"/>
      <c r="BC734" s="399"/>
      <c r="BD734" s="47"/>
      <c r="BE734" s="399"/>
      <c r="BF734" s="399"/>
      <c r="BG734" s="399"/>
      <c r="BH734" s="399"/>
      <c r="BI734" s="399"/>
      <c r="BJ734" s="399"/>
      <c r="BK734" s="47"/>
      <c r="BL734" s="399"/>
      <c r="BM734" s="399"/>
      <c r="BN734" s="399"/>
      <c r="BO734" s="399"/>
      <c r="BP734" s="399"/>
      <c r="BQ734" s="399"/>
      <c r="BR734" s="47"/>
      <c r="BS734" s="399"/>
      <c r="BT734" s="399"/>
      <c r="BU734" s="399"/>
      <c r="BV734" s="399"/>
      <c r="BW734" s="399"/>
      <c r="BX734" s="399"/>
      <c r="BY734" s="47"/>
      <c r="BZ734" s="399"/>
      <c r="CA734" s="399"/>
      <c r="CB734" s="399"/>
      <c r="CC734" s="399"/>
      <c r="CD734" s="399"/>
      <c r="CE734" s="399"/>
      <c r="CF734" s="47"/>
      <c r="CG734" s="399"/>
      <c r="CH734" s="399"/>
      <c r="CI734" s="399"/>
      <c r="CJ734" s="399"/>
      <c r="CK734" s="399"/>
      <c r="CL734" s="399"/>
      <c r="CM734" s="47"/>
      <c r="CN734" s="399"/>
      <c r="CO734" s="399"/>
      <c r="CP734" s="399"/>
      <c r="CQ734" s="399"/>
      <c r="CR734" s="399"/>
      <c r="CS734" s="399"/>
      <c r="CT734" s="47"/>
      <c r="CU734" s="399"/>
      <c r="CV734" s="399"/>
      <c r="CW734" s="399"/>
      <c r="CX734" s="399"/>
      <c r="CY734" s="399"/>
      <c r="CZ734" s="399"/>
      <c r="DA734" s="47"/>
      <c r="DB734" s="399"/>
      <c r="DC734" s="399"/>
      <c r="DD734" s="399"/>
      <c r="DE734" s="399"/>
      <c r="DF734" s="399"/>
      <c r="DG734" s="399"/>
      <c r="DH734" s="47"/>
      <c r="DI734" s="399"/>
      <c r="DJ734" s="399"/>
      <c r="DK734" s="399"/>
      <c r="DL734" s="399"/>
      <c r="DM734" s="399"/>
      <c r="DN734" s="399"/>
      <c r="DO734" s="47"/>
      <c r="DP734" s="399"/>
      <c r="DQ734" s="399"/>
      <c r="DR734" s="399"/>
      <c r="DS734" s="399"/>
      <c r="DT734" s="399"/>
      <c r="DU734" s="399"/>
      <c r="DV734" s="47"/>
      <c r="DW734" s="399"/>
      <c r="DX734" s="399"/>
      <c r="DY734" s="399"/>
      <c r="DZ734" s="399"/>
      <c r="EA734" s="399"/>
      <c r="EB734" s="399"/>
      <c r="EC734" s="47"/>
      <c r="ED734" s="399"/>
      <c r="EE734" s="399"/>
      <c r="EF734" s="399"/>
      <c r="EG734" s="399"/>
      <c r="EH734" s="399"/>
      <c r="EI734" s="399"/>
      <c r="EJ734" s="47"/>
      <c r="EK734" s="399"/>
      <c r="EL734" s="399"/>
      <c r="EM734" s="399"/>
      <c r="EN734" s="399"/>
      <c r="EO734" s="399"/>
      <c r="EP734" s="399"/>
      <c r="EQ734" s="47"/>
    </row>
    <row r="735" spans="1:147" ht="10.199999999999999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399"/>
      <c r="P735" s="399"/>
      <c r="Q735" s="399"/>
      <c r="R735" s="399"/>
      <c r="S735" s="399"/>
      <c r="T735" s="399"/>
      <c r="U735" s="47"/>
      <c r="V735" s="399"/>
      <c r="W735" s="399"/>
      <c r="X735" s="399"/>
      <c r="Y735" s="399"/>
      <c r="Z735" s="399"/>
      <c r="AA735" s="399"/>
      <c r="AB735" s="47"/>
      <c r="AC735" s="399"/>
      <c r="AD735" s="399"/>
      <c r="AE735" s="399"/>
      <c r="AF735" s="399"/>
      <c r="AG735" s="399"/>
      <c r="AH735" s="399"/>
      <c r="AI735" s="47"/>
      <c r="AJ735" s="399"/>
      <c r="AK735" s="399"/>
      <c r="AL735" s="399"/>
      <c r="AM735" s="399"/>
      <c r="AN735" s="399"/>
      <c r="AO735" s="399"/>
      <c r="AP735" s="47"/>
      <c r="AQ735" s="399"/>
      <c r="AR735" s="399"/>
      <c r="AS735" s="399"/>
      <c r="AT735" s="399"/>
      <c r="AU735" s="399"/>
      <c r="AV735" s="399"/>
      <c r="AW735" s="47"/>
      <c r="AX735" s="399"/>
      <c r="AY735" s="399"/>
      <c r="AZ735" s="399"/>
      <c r="BA735" s="399"/>
      <c r="BB735" s="399"/>
      <c r="BC735" s="399"/>
      <c r="BD735" s="47"/>
      <c r="BE735" s="399"/>
      <c r="BF735" s="399"/>
      <c r="BG735" s="399"/>
      <c r="BH735" s="399"/>
      <c r="BI735" s="399"/>
      <c r="BJ735" s="399"/>
      <c r="BK735" s="47"/>
      <c r="BL735" s="399"/>
      <c r="BM735" s="399"/>
      <c r="BN735" s="399"/>
      <c r="BO735" s="399"/>
      <c r="BP735" s="399"/>
      <c r="BQ735" s="399"/>
      <c r="BR735" s="47"/>
      <c r="BS735" s="399"/>
      <c r="BT735" s="399"/>
      <c r="BU735" s="399"/>
      <c r="BV735" s="399"/>
      <c r="BW735" s="399"/>
      <c r="BX735" s="399"/>
      <c r="BY735" s="47"/>
      <c r="BZ735" s="399"/>
      <c r="CA735" s="399"/>
      <c r="CB735" s="399"/>
      <c r="CC735" s="399"/>
      <c r="CD735" s="399"/>
      <c r="CE735" s="399"/>
      <c r="CF735" s="47"/>
      <c r="CG735" s="399"/>
      <c r="CH735" s="399"/>
      <c r="CI735" s="399"/>
      <c r="CJ735" s="399"/>
      <c r="CK735" s="399"/>
      <c r="CL735" s="399"/>
      <c r="CM735" s="47"/>
      <c r="CN735" s="399"/>
      <c r="CO735" s="399"/>
      <c r="CP735" s="399"/>
      <c r="CQ735" s="399"/>
      <c r="CR735" s="399"/>
      <c r="CS735" s="399"/>
      <c r="CT735" s="47"/>
      <c r="CU735" s="399"/>
      <c r="CV735" s="399"/>
      <c r="CW735" s="399"/>
      <c r="CX735" s="399"/>
      <c r="CY735" s="399"/>
      <c r="CZ735" s="399"/>
      <c r="DA735" s="47"/>
      <c r="DB735" s="399"/>
      <c r="DC735" s="399"/>
      <c r="DD735" s="399"/>
      <c r="DE735" s="399"/>
      <c r="DF735" s="399"/>
      <c r="DG735" s="399"/>
      <c r="DH735" s="47"/>
      <c r="DI735" s="399"/>
      <c r="DJ735" s="399"/>
      <c r="DK735" s="399"/>
      <c r="DL735" s="399"/>
      <c r="DM735" s="399"/>
      <c r="DN735" s="399"/>
      <c r="DO735" s="47"/>
      <c r="DP735" s="399"/>
      <c r="DQ735" s="399"/>
      <c r="DR735" s="399"/>
      <c r="DS735" s="399"/>
      <c r="DT735" s="399"/>
      <c r="DU735" s="399"/>
      <c r="DV735" s="47"/>
      <c r="DW735" s="399"/>
      <c r="DX735" s="399"/>
      <c r="DY735" s="399"/>
      <c r="DZ735" s="399"/>
      <c r="EA735" s="399"/>
      <c r="EB735" s="399"/>
      <c r="EC735" s="47"/>
      <c r="ED735" s="399"/>
      <c r="EE735" s="399"/>
      <c r="EF735" s="399"/>
      <c r="EG735" s="399"/>
      <c r="EH735" s="399"/>
      <c r="EI735" s="399"/>
      <c r="EJ735" s="47"/>
      <c r="EK735" s="399"/>
      <c r="EL735" s="399"/>
      <c r="EM735" s="399"/>
      <c r="EN735" s="399"/>
      <c r="EO735" s="399"/>
      <c r="EP735" s="399"/>
      <c r="EQ735" s="47"/>
    </row>
    <row r="736" spans="1:147" ht="10.199999999999999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399"/>
      <c r="P736" s="399"/>
      <c r="Q736" s="399"/>
      <c r="R736" s="399"/>
      <c r="S736" s="399"/>
      <c r="T736" s="399"/>
      <c r="U736" s="47"/>
      <c r="V736" s="399"/>
      <c r="W736" s="399"/>
      <c r="X736" s="399"/>
      <c r="Y736" s="399"/>
      <c r="Z736" s="399"/>
      <c r="AA736" s="399"/>
      <c r="AB736" s="47"/>
      <c r="AC736" s="399"/>
      <c r="AD736" s="399"/>
      <c r="AE736" s="399"/>
      <c r="AF736" s="399"/>
      <c r="AG736" s="399"/>
      <c r="AH736" s="399"/>
      <c r="AI736" s="47"/>
      <c r="AJ736" s="399"/>
      <c r="AK736" s="399"/>
      <c r="AL736" s="399"/>
      <c r="AM736" s="399"/>
      <c r="AN736" s="399"/>
      <c r="AO736" s="399"/>
      <c r="AP736" s="47"/>
      <c r="AQ736" s="399"/>
      <c r="AR736" s="399"/>
      <c r="AS736" s="399"/>
      <c r="AT736" s="399"/>
      <c r="AU736" s="399"/>
      <c r="AV736" s="399"/>
      <c r="AW736" s="47"/>
      <c r="AX736" s="399"/>
      <c r="AY736" s="399"/>
      <c r="AZ736" s="399"/>
      <c r="BA736" s="399"/>
      <c r="BB736" s="399"/>
      <c r="BC736" s="399"/>
      <c r="BD736" s="47"/>
      <c r="BE736" s="399"/>
      <c r="BF736" s="399"/>
      <c r="BG736" s="399"/>
      <c r="BH736" s="399"/>
      <c r="BI736" s="399"/>
      <c r="BJ736" s="399"/>
      <c r="BK736" s="47"/>
      <c r="BL736" s="399"/>
      <c r="BM736" s="399"/>
      <c r="BN736" s="399"/>
      <c r="BO736" s="399"/>
      <c r="BP736" s="399"/>
      <c r="BQ736" s="399"/>
      <c r="BR736" s="47"/>
      <c r="BS736" s="399"/>
      <c r="BT736" s="399"/>
      <c r="BU736" s="399"/>
      <c r="BV736" s="399"/>
      <c r="BW736" s="399"/>
      <c r="BX736" s="399"/>
      <c r="BY736" s="47"/>
      <c r="BZ736" s="399"/>
      <c r="CA736" s="399"/>
      <c r="CB736" s="399"/>
      <c r="CC736" s="399"/>
      <c r="CD736" s="399"/>
      <c r="CE736" s="399"/>
      <c r="CF736" s="47"/>
      <c r="CG736" s="399"/>
      <c r="CH736" s="399"/>
      <c r="CI736" s="399"/>
      <c r="CJ736" s="399"/>
      <c r="CK736" s="399"/>
      <c r="CL736" s="399"/>
      <c r="CM736" s="47"/>
      <c r="CN736" s="399"/>
      <c r="CO736" s="399"/>
      <c r="CP736" s="399"/>
      <c r="CQ736" s="399"/>
      <c r="CR736" s="399"/>
      <c r="CS736" s="399"/>
      <c r="CT736" s="47"/>
      <c r="CU736" s="399"/>
      <c r="CV736" s="399"/>
      <c r="CW736" s="399"/>
      <c r="CX736" s="399"/>
      <c r="CY736" s="399"/>
      <c r="CZ736" s="399"/>
      <c r="DA736" s="47"/>
      <c r="DB736" s="399"/>
      <c r="DC736" s="399"/>
      <c r="DD736" s="399"/>
      <c r="DE736" s="399"/>
      <c r="DF736" s="399"/>
      <c r="DG736" s="399"/>
      <c r="DH736" s="47"/>
      <c r="DI736" s="399"/>
      <c r="DJ736" s="399"/>
      <c r="DK736" s="399"/>
      <c r="DL736" s="399"/>
      <c r="DM736" s="399"/>
      <c r="DN736" s="399"/>
      <c r="DO736" s="47"/>
      <c r="DP736" s="399"/>
      <c r="DQ736" s="399"/>
      <c r="DR736" s="399"/>
      <c r="DS736" s="399"/>
      <c r="DT736" s="399"/>
      <c r="DU736" s="399"/>
      <c r="DV736" s="47"/>
      <c r="DW736" s="399"/>
      <c r="DX736" s="399"/>
      <c r="DY736" s="399"/>
      <c r="DZ736" s="399"/>
      <c r="EA736" s="399"/>
      <c r="EB736" s="399"/>
      <c r="EC736" s="47"/>
      <c r="ED736" s="399"/>
      <c r="EE736" s="399"/>
      <c r="EF736" s="399"/>
      <c r="EG736" s="399"/>
      <c r="EH736" s="399"/>
      <c r="EI736" s="399"/>
      <c r="EJ736" s="47"/>
      <c r="EK736" s="399"/>
      <c r="EL736" s="399"/>
      <c r="EM736" s="399"/>
      <c r="EN736" s="399"/>
      <c r="EO736" s="399"/>
      <c r="EP736" s="399"/>
      <c r="EQ736" s="47"/>
    </row>
    <row r="737" spans="1:147" ht="10.199999999999999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399"/>
      <c r="P737" s="399"/>
      <c r="Q737" s="399"/>
      <c r="R737" s="399"/>
      <c r="S737" s="399"/>
      <c r="T737" s="399"/>
      <c r="U737" s="47"/>
      <c r="V737" s="399"/>
      <c r="W737" s="399"/>
      <c r="X737" s="399"/>
      <c r="Y737" s="399"/>
      <c r="Z737" s="399"/>
      <c r="AA737" s="399"/>
      <c r="AB737" s="47"/>
      <c r="AC737" s="399"/>
      <c r="AD737" s="399"/>
      <c r="AE737" s="399"/>
      <c r="AF737" s="399"/>
      <c r="AG737" s="399"/>
      <c r="AH737" s="399"/>
      <c r="AI737" s="47"/>
      <c r="AJ737" s="399"/>
      <c r="AK737" s="399"/>
      <c r="AL737" s="399"/>
      <c r="AM737" s="399"/>
      <c r="AN737" s="399"/>
      <c r="AO737" s="399"/>
      <c r="AP737" s="47"/>
      <c r="AQ737" s="399"/>
      <c r="AR737" s="399"/>
      <c r="AS737" s="399"/>
      <c r="AT737" s="399"/>
      <c r="AU737" s="399"/>
      <c r="AV737" s="399"/>
      <c r="AW737" s="47"/>
      <c r="AX737" s="399"/>
      <c r="AY737" s="399"/>
      <c r="AZ737" s="399"/>
      <c r="BA737" s="399"/>
      <c r="BB737" s="399"/>
      <c r="BC737" s="399"/>
      <c r="BD737" s="47"/>
      <c r="BE737" s="399"/>
      <c r="BF737" s="399"/>
      <c r="BG737" s="399"/>
      <c r="BH737" s="399"/>
      <c r="BI737" s="399"/>
      <c r="BJ737" s="399"/>
      <c r="BK737" s="47"/>
      <c r="BL737" s="399"/>
      <c r="BM737" s="399"/>
      <c r="BN737" s="399"/>
      <c r="BO737" s="399"/>
      <c r="BP737" s="399"/>
      <c r="BQ737" s="399"/>
      <c r="BR737" s="47"/>
      <c r="BS737" s="399"/>
      <c r="BT737" s="399"/>
      <c r="BU737" s="399"/>
      <c r="BV737" s="399"/>
      <c r="BW737" s="399"/>
      <c r="BX737" s="399"/>
      <c r="BY737" s="47"/>
      <c r="BZ737" s="399"/>
      <c r="CA737" s="399"/>
      <c r="CB737" s="399"/>
      <c r="CC737" s="399"/>
      <c r="CD737" s="399"/>
      <c r="CE737" s="399"/>
      <c r="CF737" s="47"/>
      <c r="CG737" s="399"/>
      <c r="CH737" s="399"/>
      <c r="CI737" s="399"/>
      <c r="CJ737" s="399"/>
      <c r="CK737" s="399"/>
      <c r="CL737" s="399"/>
      <c r="CM737" s="47"/>
      <c r="CN737" s="399"/>
      <c r="CO737" s="399"/>
      <c r="CP737" s="399"/>
      <c r="CQ737" s="399"/>
      <c r="CR737" s="399"/>
      <c r="CS737" s="399"/>
      <c r="CT737" s="47"/>
      <c r="CU737" s="399"/>
      <c r="CV737" s="399"/>
      <c r="CW737" s="399"/>
      <c r="CX737" s="399"/>
      <c r="CY737" s="399"/>
      <c r="CZ737" s="399"/>
      <c r="DA737" s="47"/>
      <c r="DB737" s="399"/>
      <c r="DC737" s="399"/>
      <c r="DD737" s="399"/>
      <c r="DE737" s="399"/>
      <c r="DF737" s="399"/>
      <c r="DG737" s="399"/>
      <c r="DH737" s="47"/>
      <c r="DI737" s="399"/>
      <c r="DJ737" s="399"/>
      <c r="DK737" s="399"/>
      <c r="DL737" s="399"/>
      <c r="DM737" s="399"/>
      <c r="DN737" s="399"/>
      <c r="DO737" s="47"/>
      <c r="DP737" s="399"/>
      <c r="DQ737" s="399"/>
      <c r="DR737" s="399"/>
      <c r="DS737" s="399"/>
      <c r="DT737" s="399"/>
      <c r="DU737" s="399"/>
      <c r="DV737" s="47"/>
      <c r="DW737" s="399"/>
      <c r="DX737" s="399"/>
      <c r="DY737" s="399"/>
      <c r="DZ737" s="399"/>
      <c r="EA737" s="399"/>
      <c r="EB737" s="399"/>
      <c r="EC737" s="47"/>
      <c r="ED737" s="399"/>
      <c r="EE737" s="399"/>
      <c r="EF737" s="399"/>
      <c r="EG737" s="399"/>
      <c r="EH737" s="399"/>
      <c r="EI737" s="399"/>
      <c r="EJ737" s="47"/>
      <c r="EK737" s="399"/>
      <c r="EL737" s="399"/>
      <c r="EM737" s="399"/>
      <c r="EN737" s="399"/>
      <c r="EO737" s="399"/>
      <c r="EP737" s="399"/>
      <c r="EQ737" s="47"/>
    </row>
    <row r="738" spans="1:147" ht="10.199999999999999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399"/>
      <c r="P738" s="399"/>
      <c r="Q738" s="399"/>
      <c r="R738" s="399"/>
      <c r="S738" s="399"/>
      <c r="T738" s="399"/>
      <c r="U738" s="47"/>
      <c r="V738" s="399"/>
      <c r="W738" s="399"/>
      <c r="X738" s="399"/>
      <c r="Y738" s="399"/>
      <c r="Z738" s="399"/>
      <c r="AA738" s="399"/>
      <c r="AB738" s="47"/>
      <c r="AC738" s="399"/>
      <c r="AD738" s="399"/>
      <c r="AE738" s="399"/>
      <c r="AF738" s="399"/>
      <c r="AG738" s="399"/>
      <c r="AH738" s="399"/>
      <c r="AI738" s="47"/>
      <c r="AJ738" s="399"/>
      <c r="AK738" s="399"/>
      <c r="AL738" s="399"/>
      <c r="AM738" s="399"/>
      <c r="AN738" s="399"/>
      <c r="AO738" s="399"/>
      <c r="AP738" s="47"/>
      <c r="AQ738" s="399"/>
      <c r="AR738" s="399"/>
      <c r="AS738" s="399"/>
      <c r="AT738" s="399"/>
      <c r="AU738" s="399"/>
      <c r="AV738" s="399"/>
      <c r="AW738" s="47"/>
      <c r="AX738" s="399"/>
      <c r="AY738" s="399"/>
      <c r="AZ738" s="399"/>
      <c r="BA738" s="399"/>
      <c r="BB738" s="399"/>
      <c r="BC738" s="399"/>
      <c r="BD738" s="47"/>
      <c r="BE738" s="399"/>
      <c r="BF738" s="399"/>
      <c r="BG738" s="399"/>
      <c r="BH738" s="399"/>
      <c r="BI738" s="399"/>
      <c r="BJ738" s="399"/>
      <c r="BK738" s="47"/>
      <c r="BL738" s="399"/>
      <c r="BM738" s="399"/>
      <c r="BN738" s="399"/>
      <c r="BO738" s="399"/>
      <c r="BP738" s="399"/>
      <c r="BQ738" s="399"/>
      <c r="BR738" s="47"/>
      <c r="BS738" s="399"/>
      <c r="BT738" s="399"/>
      <c r="BU738" s="399"/>
      <c r="BV738" s="399"/>
      <c r="BW738" s="399"/>
      <c r="BX738" s="399"/>
      <c r="BY738" s="47"/>
      <c r="BZ738" s="399"/>
      <c r="CA738" s="399"/>
      <c r="CB738" s="399"/>
      <c r="CC738" s="399"/>
      <c r="CD738" s="399"/>
      <c r="CE738" s="399"/>
      <c r="CF738" s="47"/>
      <c r="CG738" s="399"/>
      <c r="CH738" s="399"/>
      <c r="CI738" s="399"/>
      <c r="CJ738" s="399"/>
      <c r="CK738" s="399"/>
      <c r="CL738" s="399"/>
      <c r="CM738" s="47"/>
      <c r="CN738" s="399"/>
      <c r="CO738" s="399"/>
      <c r="CP738" s="399"/>
      <c r="CQ738" s="399"/>
      <c r="CR738" s="399"/>
      <c r="CS738" s="399"/>
      <c r="CT738" s="47"/>
      <c r="CU738" s="399"/>
      <c r="CV738" s="399"/>
      <c r="CW738" s="399"/>
      <c r="CX738" s="399"/>
      <c r="CY738" s="399"/>
      <c r="CZ738" s="399"/>
      <c r="DA738" s="47"/>
      <c r="DB738" s="399"/>
      <c r="DC738" s="399"/>
      <c r="DD738" s="399"/>
      <c r="DE738" s="399"/>
      <c r="DF738" s="399"/>
      <c r="DG738" s="399"/>
      <c r="DH738" s="47"/>
      <c r="DI738" s="399"/>
      <c r="DJ738" s="399"/>
      <c r="DK738" s="399"/>
      <c r="DL738" s="399"/>
      <c r="DM738" s="399"/>
      <c r="DN738" s="399"/>
      <c r="DO738" s="47"/>
      <c r="DP738" s="399"/>
      <c r="DQ738" s="399"/>
      <c r="DR738" s="399"/>
      <c r="DS738" s="399"/>
      <c r="DT738" s="399"/>
      <c r="DU738" s="399"/>
      <c r="DV738" s="47"/>
      <c r="DW738" s="399"/>
      <c r="DX738" s="399"/>
      <c r="DY738" s="399"/>
      <c r="DZ738" s="399"/>
      <c r="EA738" s="399"/>
      <c r="EB738" s="399"/>
      <c r="EC738" s="47"/>
      <c r="ED738" s="399"/>
      <c r="EE738" s="399"/>
      <c r="EF738" s="399"/>
      <c r="EG738" s="399"/>
      <c r="EH738" s="399"/>
      <c r="EI738" s="399"/>
      <c r="EJ738" s="47"/>
      <c r="EK738" s="399"/>
      <c r="EL738" s="399"/>
      <c r="EM738" s="399"/>
      <c r="EN738" s="399"/>
      <c r="EO738" s="399"/>
      <c r="EP738" s="399"/>
      <c r="EQ738" s="47"/>
    </row>
    <row r="739" spans="1:147" ht="10.199999999999999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399"/>
      <c r="P739" s="399"/>
      <c r="Q739" s="399"/>
      <c r="R739" s="399"/>
      <c r="S739" s="399"/>
      <c r="T739" s="399"/>
      <c r="U739" s="47"/>
      <c r="V739" s="399"/>
      <c r="W739" s="399"/>
      <c r="X739" s="399"/>
      <c r="Y739" s="399"/>
      <c r="Z739" s="399"/>
      <c r="AA739" s="399"/>
      <c r="AB739" s="47"/>
      <c r="AC739" s="399"/>
      <c r="AD739" s="399"/>
      <c r="AE739" s="399"/>
      <c r="AF739" s="399"/>
      <c r="AG739" s="399"/>
      <c r="AH739" s="399"/>
      <c r="AI739" s="47"/>
      <c r="AJ739" s="399"/>
      <c r="AK739" s="399"/>
      <c r="AL739" s="399"/>
      <c r="AM739" s="399"/>
      <c r="AN739" s="399"/>
      <c r="AO739" s="399"/>
      <c r="AP739" s="47"/>
      <c r="AQ739" s="399"/>
      <c r="AR739" s="399"/>
      <c r="AS739" s="399"/>
      <c r="AT739" s="399"/>
      <c r="AU739" s="399"/>
      <c r="AV739" s="399"/>
      <c r="AW739" s="47"/>
      <c r="AX739" s="399"/>
      <c r="AY739" s="399"/>
      <c r="AZ739" s="399"/>
      <c r="BA739" s="399"/>
      <c r="BB739" s="399"/>
      <c r="BC739" s="399"/>
      <c r="BD739" s="47"/>
      <c r="BE739" s="399"/>
      <c r="BF739" s="399"/>
      <c r="BG739" s="399"/>
      <c r="BH739" s="399"/>
      <c r="BI739" s="399"/>
      <c r="BJ739" s="399"/>
      <c r="BK739" s="47"/>
      <c r="BL739" s="399"/>
      <c r="BM739" s="399"/>
      <c r="BN739" s="399"/>
      <c r="BO739" s="399"/>
      <c r="BP739" s="399"/>
      <c r="BQ739" s="399"/>
      <c r="BR739" s="47"/>
      <c r="BS739" s="399"/>
      <c r="BT739" s="399"/>
      <c r="BU739" s="399"/>
      <c r="BV739" s="399"/>
      <c r="BW739" s="399"/>
      <c r="BX739" s="399"/>
      <c r="BY739" s="47"/>
      <c r="BZ739" s="399"/>
      <c r="CA739" s="399"/>
      <c r="CB739" s="399"/>
      <c r="CC739" s="399"/>
      <c r="CD739" s="399"/>
      <c r="CE739" s="399"/>
      <c r="CF739" s="47"/>
      <c r="CG739" s="399"/>
      <c r="CH739" s="399"/>
      <c r="CI739" s="399"/>
      <c r="CJ739" s="399"/>
      <c r="CK739" s="399"/>
      <c r="CL739" s="399"/>
      <c r="CM739" s="47"/>
      <c r="CN739" s="399"/>
      <c r="CO739" s="399"/>
      <c r="CP739" s="399"/>
      <c r="CQ739" s="399"/>
      <c r="CR739" s="399"/>
      <c r="CS739" s="399"/>
      <c r="CT739" s="47"/>
      <c r="CU739" s="399"/>
      <c r="CV739" s="399"/>
      <c r="CW739" s="399"/>
      <c r="CX739" s="399"/>
      <c r="CY739" s="399"/>
      <c r="CZ739" s="399"/>
      <c r="DA739" s="47"/>
      <c r="DB739" s="399"/>
      <c r="DC739" s="399"/>
      <c r="DD739" s="399"/>
      <c r="DE739" s="399"/>
      <c r="DF739" s="399"/>
      <c r="DG739" s="399"/>
      <c r="DH739" s="47"/>
      <c r="DI739" s="399"/>
      <c r="DJ739" s="399"/>
      <c r="DK739" s="399"/>
      <c r="DL739" s="399"/>
      <c r="DM739" s="399"/>
      <c r="DN739" s="399"/>
      <c r="DO739" s="47"/>
      <c r="DP739" s="399"/>
      <c r="DQ739" s="399"/>
      <c r="DR739" s="399"/>
      <c r="DS739" s="399"/>
      <c r="DT739" s="399"/>
      <c r="DU739" s="399"/>
      <c r="DV739" s="47"/>
      <c r="DW739" s="399"/>
      <c r="DX739" s="399"/>
      <c r="DY739" s="399"/>
      <c r="DZ739" s="399"/>
      <c r="EA739" s="399"/>
      <c r="EB739" s="399"/>
      <c r="EC739" s="47"/>
      <c r="ED739" s="399"/>
      <c r="EE739" s="399"/>
      <c r="EF739" s="399"/>
      <c r="EG739" s="399"/>
      <c r="EH739" s="399"/>
      <c r="EI739" s="399"/>
      <c r="EJ739" s="47"/>
      <c r="EK739" s="399"/>
      <c r="EL739" s="399"/>
      <c r="EM739" s="399"/>
      <c r="EN739" s="399"/>
      <c r="EO739" s="399"/>
      <c r="EP739" s="399"/>
      <c r="EQ739" s="47"/>
    </row>
    <row r="740" spans="1:147" ht="10.199999999999999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399"/>
      <c r="P740" s="399"/>
      <c r="Q740" s="399"/>
      <c r="R740" s="399"/>
      <c r="S740" s="399"/>
      <c r="T740" s="399"/>
      <c r="U740" s="47"/>
      <c r="V740" s="399"/>
      <c r="W740" s="399"/>
      <c r="X740" s="399"/>
      <c r="Y740" s="399"/>
      <c r="Z740" s="399"/>
      <c r="AA740" s="399"/>
      <c r="AB740" s="47"/>
      <c r="AC740" s="399"/>
      <c r="AD740" s="399"/>
      <c r="AE740" s="399"/>
      <c r="AF740" s="399"/>
      <c r="AG740" s="399"/>
      <c r="AH740" s="399"/>
      <c r="AI740" s="47"/>
      <c r="AJ740" s="399"/>
      <c r="AK740" s="399"/>
      <c r="AL740" s="399"/>
      <c r="AM740" s="399"/>
      <c r="AN740" s="399"/>
      <c r="AO740" s="399"/>
      <c r="AP740" s="47"/>
      <c r="AQ740" s="399"/>
      <c r="AR740" s="399"/>
      <c r="AS740" s="399"/>
      <c r="AT740" s="399"/>
      <c r="AU740" s="399"/>
      <c r="AV740" s="399"/>
      <c r="AW740" s="47"/>
      <c r="AX740" s="399"/>
      <c r="AY740" s="399"/>
      <c r="AZ740" s="399"/>
      <c r="BA740" s="399"/>
      <c r="BB740" s="399"/>
      <c r="BC740" s="399"/>
      <c r="BD740" s="47"/>
      <c r="BE740" s="399"/>
      <c r="BF740" s="399"/>
      <c r="BG740" s="399"/>
      <c r="BH740" s="399"/>
      <c r="BI740" s="399"/>
      <c r="BJ740" s="399"/>
      <c r="BK740" s="47"/>
      <c r="BL740" s="399"/>
      <c r="BM740" s="399"/>
      <c r="BN740" s="399"/>
      <c r="BO740" s="399"/>
      <c r="BP740" s="399"/>
      <c r="BQ740" s="399"/>
      <c r="BR740" s="47"/>
      <c r="BS740" s="399"/>
      <c r="BT740" s="399"/>
      <c r="BU740" s="399"/>
      <c r="BV740" s="399"/>
      <c r="BW740" s="399"/>
      <c r="BX740" s="399"/>
      <c r="BY740" s="47"/>
      <c r="BZ740" s="399"/>
      <c r="CA740" s="399"/>
      <c r="CB740" s="399"/>
      <c r="CC740" s="399"/>
      <c r="CD740" s="399"/>
      <c r="CE740" s="399"/>
      <c r="CF740" s="47"/>
      <c r="CG740" s="399"/>
      <c r="CH740" s="399"/>
      <c r="CI740" s="399"/>
      <c r="CJ740" s="399"/>
      <c r="CK740" s="399"/>
      <c r="CL740" s="399"/>
      <c r="CM740" s="47"/>
      <c r="CN740" s="399"/>
      <c r="CO740" s="399"/>
      <c r="CP740" s="399"/>
      <c r="CQ740" s="399"/>
      <c r="CR740" s="399"/>
      <c r="CS740" s="399"/>
      <c r="CT740" s="47"/>
      <c r="CU740" s="399"/>
      <c r="CV740" s="399"/>
      <c r="CW740" s="399"/>
      <c r="CX740" s="399"/>
      <c r="CY740" s="399"/>
      <c r="CZ740" s="399"/>
      <c r="DA740" s="47"/>
      <c r="DB740" s="399"/>
      <c r="DC740" s="399"/>
      <c r="DD740" s="399"/>
      <c r="DE740" s="399"/>
      <c r="DF740" s="399"/>
      <c r="DG740" s="399"/>
      <c r="DH740" s="47"/>
      <c r="DI740" s="399"/>
      <c r="DJ740" s="399"/>
      <c r="DK740" s="399"/>
      <c r="DL740" s="399"/>
      <c r="DM740" s="399"/>
      <c r="DN740" s="399"/>
      <c r="DO740" s="47"/>
      <c r="DP740" s="399"/>
      <c r="DQ740" s="399"/>
      <c r="DR740" s="399"/>
      <c r="DS740" s="399"/>
      <c r="DT740" s="399"/>
      <c r="DU740" s="399"/>
      <c r="DV740" s="47"/>
      <c r="DW740" s="399"/>
      <c r="DX740" s="399"/>
      <c r="DY740" s="399"/>
      <c r="DZ740" s="399"/>
      <c r="EA740" s="399"/>
      <c r="EB740" s="399"/>
      <c r="EC740" s="47"/>
      <c r="ED740" s="399"/>
      <c r="EE740" s="399"/>
      <c r="EF740" s="399"/>
      <c r="EG740" s="399"/>
      <c r="EH740" s="399"/>
      <c r="EI740" s="399"/>
      <c r="EJ740" s="47"/>
      <c r="EK740" s="399"/>
      <c r="EL740" s="399"/>
      <c r="EM740" s="399"/>
      <c r="EN740" s="399"/>
      <c r="EO740" s="399"/>
      <c r="EP740" s="399"/>
      <c r="EQ740" s="47"/>
    </row>
    <row r="741" spans="1:147" ht="10.199999999999999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399"/>
      <c r="P741" s="399"/>
      <c r="Q741" s="399"/>
      <c r="R741" s="399"/>
      <c r="S741" s="399"/>
      <c r="T741" s="399"/>
      <c r="U741" s="47"/>
      <c r="V741" s="399"/>
      <c r="W741" s="399"/>
      <c r="X741" s="399"/>
      <c r="Y741" s="399"/>
      <c r="Z741" s="399"/>
      <c r="AA741" s="399"/>
      <c r="AB741" s="47"/>
      <c r="AC741" s="399"/>
      <c r="AD741" s="399"/>
      <c r="AE741" s="399"/>
      <c r="AF741" s="399"/>
      <c r="AG741" s="399"/>
      <c r="AH741" s="399"/>
      <c r="AI741" s="47"/>
      <c r="AJ741" s="399"/>
      <c r="AK741" s="399"/>
      <c r="AL741" s="399"/>
      <c r="AM741" s="399"/>
      <c r="AN741" s="399"/>
      <c r="AO741" s="399"/>
      <c r="AP741" s="47"/>
      <c r="AQ741" s="399"/>
      <c r="AR741" s="399"/>
      <c r="AS741" s="399"/>
      <c r="AT741" s="399"/>
      <c r="AU741" s="399"/>
      <c r="AV741" s="399"/>
      <c r="AW741" s="47"/>
      <c r="AX741" s="399"/>
      <c r="AY741" s="399"/>
      <c r="AZ741" s="399"/>
      <c r="BA741" s="399"/>
      <c r="BB741" s="399"/>
      <c r="BC741" s="399"/>
      <c r="BD741" s="47"/>
      <c r="BE741" s="399"/>
      <c r="BF741" s="399"/>
      <c r="BG741" s="399"/>
      <c r="BH741" s="399"/>
      <c r="BI741" s="399"/>
      <c r="BJ741" s="399"/>
      <c r="BK741" s="47"/>
      <c r="BL741" s="399"/>
      <c r="BM741" s="399"/>
      <c r="BN741" s="399"/>
      <c r="BO741" s="399"/>
      <c r="BP741" s="399"/>
      <c r="BQ741" s="399"/>
      <c r="BR741" s="47"/>
      <c r="BS741" s="399"/>
      <c r="BT741" s="399"/>
      <c r="BU741" s="399"/>
      <c r="BV741" s="399"/>
      <c r="BW741" s="399"/>
      <c r="BX741" s="399"/>
      <c r="BY741" s="47"/>
      <c r="BZ741" s="399"/>
      <c r="CA741" s="399"/>
      <c r="CB741" s="399"/>
      <c r="CC741" s="399"/>
      <c r="CD741" s="399"/>
      <c r="CE741" s="399"/>
      <c r="CF741" s="47"/>
      <c r="CG741" s="399"/>
      <c r="CH741" s="399"/>
      <c r="CI741" s="399"/>
      <c r="CJ741" s="399"/>
      <c r="CK741" s="399"/>
      <c r="CL741" s="399"/>
      <c r="CM741" s="47"/>
      <c r="CN741" s="399"/>
      <c r="CO741" s="399"/>
      <c r="CP741" s="399"/>
      <c r="CQ741" s="399"/>
      <c r="CR741" s="399"/>
      <c r="CS741" s="399"/>
      <c r="CT741" s="47"/>
      <c r="CU741" s="399"/>
      <c r="CV741" s="399"/>
      <c r="CW741" s="399"/>
      <c r="CX741" s="399"/>
      <c r="CY741" s="399"/>
      <c r="CZ741" s="399"/>
      <c r="DA741" s="47"/>
      <c r="DB741" s="399"/>
      <c r="DC741" s="399"/>
      <c r="DD741" s="399"/>
      <c r="DE741" s="399"/>
      <c r="DF741" s="399"/>
      <c r="DG741" s="399"/>
      <c r="DH741" s="47"/>
      <c r="DI741" s="399"/>
      <c r="DJ741" s="399"/>
      <c r="DK741" s="399"/>
      <c r="DL741" s="399"/>
      <c r="DM741" s="399"/>
      <c r="DN741" s="399"/>
      <c r="DO741" s="47"/>
      <c r="DP741" s="399"/>
      <c r="DQ741" s="399"/>
      <c r="DR741" s="399"/>
      <c r="DS741" s="399"/>
      <c r="DT741" s="399"/>
      <c r="DU741" s="399"/>
      <c r="DV741" s="47"/>
      <c r="DW741" s="399"/>
      <c r="DX741" s="399"/>
      <c r="DY741" s="399"/>
      <c r="DZ741" s="399"/>
      <c r="EA741" s="399"/>
      <c r="EB741" s="399"/>
      <c r="EC741" s="47"/>
      <c r="ED741" s="399"/>
      <c r="EE741" s="399"/>
      <c r="EF741" s="399"/>
      <c r="EG741" s="399"/>
      <c r="EH741" s="399"/>
      <c r="EI741" s="399"/>
      <c r="EJ741" s="47"/>
      <c r="EK741" s="399"/>
      <c r="EL741" s="399"/>
      <c r="EM741" s="399"/>
      <c r="EN741" s="399"/>
      <c r="EO741" s="399"/>
      <c r="EP741" s="399"/>
      <c r="EQ741" s="47"/>
    </row>
    <row r="742" spans="1:147" ht="10.199999999999999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399"/>
      <c r="P742" s="399"/>
      <c r="Q742" s="399"/>
      <c r="R742" s="399"/>
      <c r="S742" s="399"/>
      <c r="T742" s="399"/>
      <c r="U742" s="47"/>
      <c r="V742" s="399"/>
      <c r="W742" s="399"/>
      <c r="X742" s="399"/>
      <c r="Y742" s="399"/>
      <c r="Z742" s="399"/>
      <c r="AA742" s="399"/>
      <c r="AB742" s="47"/>
      <c r="AC742" s="399"/>
      <c r="AD742" s="399"/>
      <c r="AE742" s="399"/>
      <c r="AF742" s="399"/>
      <c r="AG742" s="399"/>
      <c r="AH742" s="399"/>
      <c r="AI742" s="47"/>
      <c r="AJ742" s="399"/>
      <c r="AK742" s="399"/>
      <c r="AL742" s="399"/>
      <c r="AM742" s="399"/>
      <c r="AN742" s="399"/>
      <c r="AO742" s="399"/>
      <c r="AP742" s="47"/>
      <c r="AQ742" s="399"/>
      <c r="AR742" s="399"/>
      <c r="AS742" s="399"/>
      <c r="AT742" s="399"/>
      <c r="AU742" s="399"/>
      <c r="AV742" s="399"/>
      <c r="AW742" s="47"/>
      <c r="AX742" s="399"/>
      <c r="AY742" s="399"/>
      <c r="AZ742" s="399"/>
      <c r="BA742" s="399"/>
      <c r="BB742" s="399"/>
      <c r="BC742" s="399"/>
      <c r="BD742" s="47"/>
      <c r="BE742" s="399"/>
      <c r="BF742" s="399"/>
      <c r="BG742" s="399"/>
      <c r="BH742" s="399"/>
      <c r="BI742" s="399"/>
      <c r="BJ742" s="399"/>
      <c r="BK742" s="47"/>
      <c r="BL742" s="399"/>
      <c r="BM742" s="399"/>
      <c r="BN742" s="399"/>
      <c r="BO742" s="399"/>
      <c r="BP742" s="399"/>
      <c r="BQ742" s="399"/>
      <c r="BR742" s="47"/>
      <c r="BS742" s="399"/>
      <c r="BT742" s="399"/>
      <c r="BU742" s="399"/>
      <c r="BV742" s="399"/>
      <c r="BW742" s="399"/>
      <c r="BX742" s="399"/>
      <c r="BY742" s="47"/>
      <c r="BZ742" s="399"/>
      <c r="CA742" s="399"/>
      <c r="CB742" s="399"/>
      <c r="CC742" s="399"/>
      <c r="CD742" s="399"/>
      <c r="CE742" s="399"/>
      <c r="CF742" s="47"/>
      <c r="CG742" s="399"/>
      <c r="CH742" s="399"/>
      <c r="CI742" s="399"/>
      <c r="CJ742" s="399"/>
      <c r="CK742" s="399"/>
      <c r="CL742" s="399"/>
      <c r="CM742" s="47"/>
      <c r="CN742" s="399"/>
      <c r="CO742" s="399"/>
      <c r="CP742" s="399"/>
      <c r="CQ742" s="399"/>
      <c r="CR742" s="399"/>
      <c r="CS742" s="399"/>
      <c r="CT742" s="47"/>
      <c r="CU742" s="399"/>
      <c r="CV742" s="399"/>
      <c r="CW742" s="399"/>
      <c r="CX742" s="399"/>
      <c r="CY742" s="399"/>
      <c r="CZ742" s="399"/>
      <c r="DA742" s="47"/>
      <c r="DB742" s="399"/>
      <c r="DC742" s="399"/>
      <c r="DD742" s="399"/>
      <c r="DE742" s="399"/>
      <c r="DF742" s="399"/>
      <c r="DG742" s="399"/>
      <c r="DH742" s="47"/>
      <c r="DI742" s="399"/>
      <c r="DJ742" s="399"/>
      <c r="DK742" s="399"/>
      <c r="DL742" s="399"/>
      <c r="DM742" s="399"/>
      <c r="DN742" s="399"/>
      <c r="DO742" s="47"/>
      <c r="DP742" s="399"/>
      <c r="DQ742" s="399"/>
      <c r="DR742" s="399"/>
      <c r="DS742" s="399"/>
      <c r="DT742" s="399"/>
      <c r="DU742" s="399"/>
      <c r="DV742" s="47"/>
      <c r="DW742" s="399"/>
      <c r="DX742" s="399"/>
      <c r="DY742" s="399"/>
      <c r="DZ742" s="399"/>
      <c r="EA742" s="399"/>
      <c r="EB742" s="399"/>
      <c r="EC742" s="47"/>
      <c r="ED742" s="399"/>
      <c r="EE742" s="399"/>
      <c r="EF742" s="399"/>
      <c r="EG742" s="399"/>
      <c r="EH742" s="399"/>
      <c r="EI742" s="399"/>
      <c r="EJ742" s="47"/>
      <c r="EK742" s="399"/>
      <c r="EL742" s="399"/>
      <c r="EM742" s="399"/>
      <c r="EN742" s="399"/>
      <c r="EO742" s="399"/>
      <c r="EP742" s="399"/>
      <c r="EQ742" s="47"/>
    </row>
    <row r="743" spans="1:147" ht="10.199999999999999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399"/>
      <c r="P743" s="399"/>
      <c r="Q743" s="399"/>
      <c r="R743" s="399"/>
      <c r="S743" s="399"/>
      <c r="T743" s="399"/>
      <c r="U743" s="47"/>
      <c r="V743" s="399"/>
      <c r="W743" s="399"/>
      <c r="X743" s="399"/>
      <c r="Y743" s="399"/>
      <c r="Z743" s="399"/>
      <c r="AA743" s="399"/>
      <c r="AB743" s="47"/>
      <c r="AC743" s="399"/>
      <c r="AD743" s="399"/>
      <c r="AE743" s="399"/>
      <c r="AF743" s="399"/>
      <c r="AG743" s="399"/>
      <c r="AH743" s="399"/>
      <c r="AI743" s="47"/>
      <c r="AJ743" s="399"/>
      <c r="AK743" s="399"/>
      <c r="AL743" s="399"/>
      <c r="AM743" s="399"/>
      <c r="AN743" s="399"/>
      <c r="AO743" s="399"/>
      <c r="AP743" s="47"/>
      <c r="AQ743" s="399"/>
      <c r="AR743" s="399"/>
      <c r="AS743" s="399"/>
      <c r="AT743" s="399"/>
      <c r="AU743" s="399"/>
      <c r="AV743" s="399"/>
      <c r="AW743" s="47"/>
      <c r="AX743" s="399"/>
      <c r="AY743" s="399"/>
      <c r="AZ743" s="399"/>
      <c r="BA743" s="399"/>
      <c r="BB743" s="399"/>
      <c r="BC743" s="399"/>
      <c r="BD743" s="47"/>
      <c r="BE743" s="399"/>
      <c r="BF743" s="399"/>
      <c r="BG743" s="399"/>
      <c r="BH743" s="399"/>
      <c r="BI743" s="399"/>
      <c r="BJ743" s="399"/>
      <c r="BK743" s="47"/>
      <c r="BL743" s="399"/>
      <c r="BM743" s="399"/>
      <c r="BN743" s="399"/>
      <c r="BO743" s="399"/>
      <c r="BP743" s="399"/>
      <c r="BQ743" s="399"/>
      <c r="BR743" s="47"/>
      <c r="BS743" s="399"/>
      <c r="BT743" s="399"/>
      <c r="BU743" s="399"/>
      <c r="BV743" s="399"/>
      <c r="BW743" s="399"/>
      <c r="BX743" s="399"/>
      <c r="BY743" s="47"/>
      <c r="BZ743" s="399"/>
      <c r="CA743" s="399"/>
      <c r="CB743" s="399"/>
      <c r="CC743" s="399"/>
      <c r="CD743" s="399"/>
      <c r="CE743" s="399"/>
      <c r="CF743" s="47"/>
      <c r="CG743" s="399"/>
      <c r="CH743" s="399"/>
      <c r="CI743" s="399"/>
      <c r="CJ743" s="399"/>
      <c r="CK743" s="399"/>
      <c r="CL743" s="399"/>
      <c r="CM743" s="47"/>
      <c r="CN743" s="399"/>
      <c r="CO743" s="399"/>
      <c r="CP743" s="399"/>
      <c r="CQ743" s="399"/>
      <c r="CR743" s="399"/>
      <c r="CS743" s="399"/>
      <c r="CT743" s="47"/>
      <c r="CU743" s="399"/>
      <c r="CV743" s="399"/>
      <c r="CW743" s="399"/>
      <c r="CX743" s="399"/>
      <c r="CY743" s="399"/>
      <c r="CZ743" s="399"/>
      <c r="DA743" s="47"/>
      <c r="DB743" s="399"/>
      <c r="DC743" s="399"/>
      <c r="DD743" s="399"/>
      <c r="DE743" s="399"/>
      <c r="DF743" s="399"/>
      <c r="DG743" s="399"/>
      <c r="DH743" s="47"/>
      <c r="DI743" s="399"/>
      <c r="DJ743" s="399"/>
      <c r="DK743" s="399"/>
      <c r="DL743" s="399"/>
      <c r="DM743" s="399"/>
      <c r="DN743" s="399"/>
      <c r="DO743" s="47"/>
      <c r="DP743" s="399"/>
      <c r="DQ743" s="399"/>
      <c r="DR743" s="399"/>
      <c r="DS743" s="399"/>
      <c r="DT743" s="399"/>
      <c r="DU743" s="399"/>
      <c r="DV743" s="47"/>
      <c r="DW743" s="399"/>
      <c r="DX743" s="399"/>
      <c r="DY743" s="399"/>
      <c r="DZ743" s="399"/>
      <c r="EA743" s="399"/>
      <c r="EB743" s="399"/>
      <c r="EC743" s="47"/>
      <c r="ED743" s="399"/>
      <c r="EE743" s="399"/>
      <c r="EF743" s="399"/>
      <c r="EG743" s="399"/>
      <c r="EH743" s="399"/>
      <c r="EI743" s="399"/>
      <c r="EJ743" s="47"/>
      <c r="EK743" s="399"/>
      <c r="EL743" s="399"/>
      <c r="EM743" s="399"/>
      <c r="EN743" s="399"/>
      <c r="EO743" s="399"/>
      <c r="EP743" s="399"/>
      <c r="EQ743" s="47"/>
    </row>
    <row r="744" spans="1:147" ht="10.199999999999999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399"/>
      <c r="P744" s="399"/>
      <c r="Q744" s="399"/>
      <c r="R744" s="399"/>
      <c r="S744" s="399"/>
      <c r="T744" s="399"/>
      <c r="U744" s="47"/>
      <c r="V744" s="399"/>
      <c r="W744" s="399"/>
      <c r="X744" s="399"/>
      <c r="Y744" s="399"/>
      <c r="Z744" s="399"/>
      <c r="AA744" s="399"/>
      <c r="AB744" s="47"/>
      <c r="AC744" s="399"/>
      <c r="AD744" s="399"/>
      <c r="AE744" s="399"/>
      <c r="AF744" s="399"/>
      <c r="AG744" s="399"/>
      <c r="AH744" s="399"/>
      <c r="AI744" s="47"/>
      <c r="AJ744" s="399"/>
      <c r="AK744" s="399"/>
      <c r="AL744" s="399"/>
      <c r="AM744" s="399"/>
      <c r="AN744" s="399"/>
      <c r="AO744" s="399"/>
      <c r="AP744" s="47"/>
      <c r="AQ744" s="399"/>
      <c r="AR744" s="399"/>
      <c r="AS744" s="399"/>
      <c r="AT744" s="399"/>
      <c r="AU744" s="399"/>
      <c r="AV744" s="399"/>
      <c r="AW744" s="47"/>
      <c r="AX744" s="399"/>
      <c r="AY744" s="399"/>
      <c r="AZ744" s="399"/>
      <c r="BA744" s="399"/>
      <c r="BB744" s="399"/>
      <c r="BC744" s="399"/>
      <c r="BD744" s="47"/>
      <c r="BE744" s="399"/>
      <c r="BF744" s="399"/>
      <c r="BG744" s="399"/>
      <c r="BH744" s="399"/>
      <c r="BI744" s="399"/>
      <c r="BJ744" s="399"/>
      <c r="BK744" s="47"/>
      <c r="BL744" s="399"/>
      <c r="BM744" s="399"/>
      <c r="BN744" s="399"/>
      <c r="BO744" s="399"/>
      <c r="BP744" s="399"/>
      <c r="BQ744" s="399"/>
      <c r="BR744" s="47"/>
      <c r="BS744" s="399"/>
      <c r="BT744" s="399"/>
      <c r="BU744" s="399"/>
      <c r="BV744" s="399"/>
      <c r="BW744" s="399"/>
      <c r="BX744" s="399"/>
      <c r="BY744" s="47"/>
      <c r="BZ744" s="399"/>
      <c r="CA744" s="399"/>
      <c r="CB744" s="399"/>
      <c r="CC744" s="399"/>
      <c r="CD744" s="399"/>
      <c r="CE744" s="399"/>
      <c r="CF744" s="47"/>
      <c r="CG744" s="399"/>
      <c r="CH744" s="399"/>
      <c r="CI744" s="399"/>
      <c r="CJ744" s="399"/>
      <c r="CK744" s="399"/>
      <c r="CL744" s="399"/>
      <c r="CM744" s="47"/>
      <c r="CN744" s="399"/>
      <c r="CO744" s="399"/>
      <c r="CP744" s="399"/>
      <c r="CQ744" s="399"/>
      <c r="CR744" s="399"/>
      <c r="CS744" s="399"/>
      <c r="CT744" s="47"/>
      <c r="CU744" s="399"/>
      <c r="CV744" s="399"/>
      <c r="CW744" s="399"/>
      <c r="CX744" s="399"/>
      <c r="CY744" s="399"/>
      <c r="CZ744" s="399"/>
      <c r="DA744" s="47"/>
      <c r="DB744" s="399"/>
      <c r="DC744" s="399"/>
      <c r="DD744" s="399"/>
      <c r="DE744" s="399"/>
      <c r="DF744" s="399"/>
      <c r="DG744" s="399"/>
      <c r="DH744" s="47"/>
      <c r="DI744" s="399"/>
      <c r="DJ744" s="399"/>
      <c r="DK744" s="399"/>
      <c r="DL744" s="399"/>
      <c r="DM744" s="399"/>
      <c r="DN744" s="399"/>
      <c r="DO744" s="47"/>
      <c r="DP744" s="399"/>
      <c r="DQ744" s="399"/>
      <c r="DR744" s="399"/>
      <c r="DS744" s="399"/>
      <c r="DT744" s="399"/>
      <c r="DU744" s="399"/>
      <c r="DV744" s="47"/>
      <c r="DW744" s="399"/>
      <c r="DX744" s="399"/>
      <c r="DY744" s="399"/>
      <c r="DZ744" s="399"/>
      <c r="EA744" s="399"/>
      <c r="EB744" s="399"/>
      <c r="EC744" s="47"/>
      <c r="ED744" s="399"/>
      <c r="EE744" s="399"/>
      <c r="EF744" s="399"/>
      <c r="EG744" s="399"/>
      <c r="EH744" s="399"/>
      <c r="EI744" s="399"/>
      <c r="EJ744" s="47"/>
      <c r="EK744" s="399"/>
      <c r="EL744" s="399"/>
      <c r="EM744" s="399"/>
      <c r="EN744" s="399"/>
      <c r="EO744" s="399"/>
      <c r="EP744" s="399"/>
      <c r="EQ744" s="47"/>
    </row>
    <row r="745" spans="1:147" ht="10.199999999999999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399"/>
      <c r="P745" s="399"/>
      <c r="Q745" s="399"/>
      <c r="R745" s="399"/>
      <c r="S745" s="399"/>
      <c r="T745" s="399"/>
      <c r="U745" s="47"/>
      <c r="V745" s="399"/>
      <c r="W745" s="399"/>
      <c r="X745" s="399"/>
      <c r="Y745" s="399"/>
      <c r="Z745" s="399"/>
      <c r="AA745" s="399"/>
      <c r="AB745" s="47"/>
      <c r="AC745" s="399"/>
      <c r="AD745" s="399"/>
      <c r="AE745" s="399"/>
      <c r="AF745" s="399"/>
      <c r="AG745" s="399"/>
      <c r="AH745" s="399"/>
      <c r="AI745" s="47"/>
      <c r="AJ745" s="399"/>
      <c r="AK745" s="399"/>
      <c r="AL745" s="399"/>
      <c r="AM745" s="399"/>
      <c r="AN745" s="399"/>
      <c r="AO745" s="399"/>
      <c r="AP745" s="47"/>
      <c r="AQ745" s="399"/>
      <c r="AR745" s="399"/>
      <c r="AS745" s="399"/>
      <c r="AT745" s="399"/>
      <c r="AU745" s="399"/>
      <c r="AV745" s="399"/>
      <c r="AW745" s="47"/>
      <c r="AX745" s="399"/>
      <c r="AY745" s="399"/>
      <c r="AZ745" s="399"/>
      <c r="BA745" s="399"/>
      <c r="BB745" s="399"/>
      <c r="BC745" s="399"/>
      <c r="BD745" s="47"/>
      <c r="BE745" s="399"/>
      <c r="BF745" s="399"/>
      <c r="BG745" s="399"/>
      <c r="BH745" s="399"/>
      <c r="BI745" s="399"/>
      <c r="BJ745" s="399"/>
      <c r="BK745" s="47"/>
      <c r="BL745" s="399"/>
      <c r="BM745" s="399"/>
      <c r="BN745" s="399"/>
      <c r="BO745" s="399"/>
      <c r="BP745" s="399"/>
      <c r="BQ745" s="399"/>
      <c r="BR745" s="47"/>
      <c r="BS745" s="399"/>
      <c r="BT745" s="399"/>
      <c r="BU745" s="399"/>
      <c r="BV745" s="399"/>
      <c r="BW745" s="399"/>
      <c r="BX745" s="399"/>
      <c r="BY745" s="47"/>
      <c r="BZ745" s="399"/>
      <c r="CA745" s="399"/>
      <c r="CB745" s="399"/>
      <c r="CC745" s="399"/>
      <c r="CD745" s="399"/>
      <c r="CE745" s="399"/>
      <c r="CF745" s="47"/>
      <c r="CG745" s="399"/>
      <c r="CH745" s="399"/>
      <c r="CI745" s="399"/>
      <c r="CJ745" s="399"/>
      <c r="CK745" s="399"/>
      <c r="CL745" s="399"/>
      <c r="CM745" s="47"/>
      <c r="CN745" s="399"/>
      <c r="CO745" s="399"/>
      <c r="CP745" s="399"/>
      <c r="CQ745" s="399"/>
      <c r="CR745" s="399"/>
      <c r="CS745" s="399"/>
      <c r="CT745" s="47"/>
      <c r="CU745" s="399"/>
      <c r="CV745" s="399"/>
      <c r="CW745" s="399"/>
      <c r="CX745" s="399"/>
      <c r="CY745" s="399"/>
      <c r="CZ745" s="399"/>
      <c r="DA745" s="47"/>
      <c r="DB745" s="399"/>
      <c r="DC745" s="399"/>
      <c r="DD745" s="399"/>
      <c r="DE745" s="399"/>
      <c r="DF745" s="399"/>
      <c r="DG745" s="399"/>
      <c r="DH745" s="47"/>
      <c r="DI745" s="399"/>
      <c r="DJ745" s="399"/>
      <c r="DK745" s="399"/>
      <c r="DL745" s="399"/>
      <c r="DM745" s="399"/>
      <c r="DN745" s="399"/>
      <c r="DO745" s="47"/>
      <c r="DP745" s="399"/>
      <c r="DQ745" s="399"/>
      <c r="DR745" s="399"/>
      <c r="DS745" s="399"/>
      <c r="DT745" s="399"/>
      <c r="DU745" s="399"/>
      <c r="DV745" s="47"/>
      <c r="DW745" s="399"/>
      <c r="DX745" s="399"/>
      <c r="DY745" s="399"/>
      <c r="DZ745" s="399"/>
      <c r="EA745" s="399"/>
      <c r="EB745" s="399"/>
      <c r="EC745" s="47"/>
      <c r="ED745" s="399"/>
      <c r="EE745" s="399"/>
      <c r="EF745" s="399"/>
      <c r="EG745" s="399"/>
      <c r="EH745" s="399"/>
      <c r="EI745" s="399"/>
      <c r="EJ745" s="47"/>
      <c r="EK745" s="399"/>
      <c r="EL745" s="399"/>
      <c r="EM745" s="399"/>
      <c r="EN745" s="399"/>
      <c r="EO745" s="399"/>
      <c r="EP745" s="399"/>
      <c r="EQ745" s="47"/>
    </row>
    <row r="746" spans="1:147" ht="10.199999999999999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399"/>
      <c r="P746" s="399"/>
      <c r="Q746" s="399"/>
      <c r="R746" s="399"/>
      <c r="S746" s="399"/>
      <c r="T746" s="399"/>
      <c r="U746" s="47"/>
      <c r="V746" s="399"/>
      <c r="W746" s="399"/>
      <c r="X746" s="399"/>
      <c r="Y746" s="399"/>
      <c r="Z746" s="399"/>
      <c r="AA746" s="399"/>
      <c r="AB746" s="47"/>
      <c r="AC746" s="399"/>
      <c r="AD746" s="399"/>
      <c r="AE746" s="399"/>
      <c r="AF746" s="399"/>
      <c r="AG746" s="399"/>
      <c r="AH746" s="399"/>
      <c r="AI746" s="47"/>
      <c r="AJ746" s="399"/>
      <c r="AK746" s="399"/>
      <c r="AL746" s="399"/>
      <c r="AM746" s="399"/>
      <c r="AN746" s="399"/>
      <c r="AO746" s="399"/>
      <c r="AP746" s="47"/>
      <c r="AQ746" s="399"/>
      <c r="AR746" s="399"/>
      <c r="AS746" s="399"/>
      <c r="AT746" s="399"/>
      <c r="AU746" s="399"/>
      <c r="AV746" s="399"/>
      <c r="AW746" s="47"/>
      <c r="AX746" s="399"/>
      <c r="AY746" s="399"/>
      <c r="AZ746" s="399"/>
      <c r="BA746" s="399"/>
      <c r="BB746" s="399"/>
      <c r="BC746" s="399"/>
      <c r="BD746" s="47"/>
      <c r="BE746" s="399"/>
      <c r="BF746" s="399"/>
      <c r="BG746" s="399"/>
      <c r="BH746" s="399"/>
      <c r="BI746" s="399"/>
      <c r="BJ746" s="399"/>
      <c r="BK746" s="47"/>
      <c r="BL746" s="399"/>
      <c r="BM746" s="399"/>
      <c r="BN746" s="399"/>
      <c r="BO746" s="399"/>
      <c r="BP746" s="399"/>
      <c r="BQ746" s="399"/>
      <c r="BR746" s="47"/>
      <c r="BS746" s="399"/>
      <c r="BT746" s="399"/>
      <c r="BU746" s="399"/>
      <c r="BV746" s="399"/>
      <c r="BW746" s="399"/>
      <c r="BX746" s="399"/>
      <c r="BY746" s="47"/>
      <c r="BZ746" s="399"/>
      <c r="CA746" s="399"/>
      <c r="CB746" s="399"/>
      <c r="CC746" s="399"/>
      <c r="CD746" s="399"/>
      <c r="CE746" s="399"/>
      <c r="CF746" s="47"/>
      <c r="CG746" s="399"/>
      <c r="CH746" s="399"/>
      <c r="CI746" s="399"/>
      <c r="CJ746" s="399"/>
      <c r="CK746" s="399"/>
      <c r="CL746" s="399"/>
      <c r="CM746" s="47"/>
      <c r="CN746" s="399"/>
      <c r="CO746" s="399"/>
      <c r="CP746" s="399"/>
      <c r="CQ746" s="399"/>
      <c r="CR746" s="399"/>
      <c r="CS746" s="399"/>
      <c r="CT746" s="47"/>
      <c r="CU746" s="399"/>
      <c r="CV746" s="399"/>
      <c r="CW746" s="399"/>
      <c r="CX746" s="399"/>
      <c r="CY746" s="399"/>
      <c r="CZ746" s="399"/>
      <c r="DA746" s="47"/>
      <c r="DB746" s="399"/>
      <c r="DC746" s="399"/>
      <c r="DD746" s="399"/>
      <c r="DE746" s="399"/>
      <c r="DF746" s="399"/>
      <c r="DG746" s="399"/>
      <c r="DH746" s="47"/>
      <c r="DI746" s="399"/>
      <c r="DJ746" s="399"/>
      <c r="DK746" s="399"/>
      <c r="DL746" s="399"/>
      <c r="DM746" s="399"/>
      <c r="DN746" s="399"/>
      <c r="DO746" s="47"/>
      <c r="DP746" s="399"/>
      <c r="DQ746" s="399"/>
      <c r="DR746" s="399"/>
      <c r="DS746" s="399"/>
      <c r="DT746" s="399"/>
      <c r="DU746" s="399"/>
      <c r="DV746" s="47"/>
      <c r="DW746" s="399"/>
      <c r="DX746" s="399"/>
      <c r="DY746" s="399"/>
      <c r="DZ746" s="399"/>
      <c r="EA746" s="399"/>
      <c r="EB746" s="399"/>
      <c r="EC746" s="47"/>
      <c r="ED746" s="399"/>
      <c r="EE746" s="399"/>
      <c r="EF746" s="399"/>
      <c r="EG746" s="399"/>
      <c r="EH746" s="399"/>
      <c r="EI746" s="399"/>
      <c r="EJ746" s="47"/>
      <c r="EK746" s="399"/>
      <c r="EL746" s="399"/>
      <c r="EM746" s="399"/>
      <c r="EN746" s="399"/>
      <c r="EO746" s="399"/>
      <c r="EP746" s="399"/>
      <c r="EQ746" s="47"/>
    </row>
    <row r="747" spans="1:147" ht="10.199999999999999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399"/>
      <c r="P747" s="399"/>
      <c r="Q747" s="399"/>
      <c r="R747" s="399"/>
      <c r="S747" s="399"/>
      <c r="T747" s="399"/>
      <c r="U747" s="47"/>
      <c r="V747" s="399"/>
      <c r="W747" s="399"/>
      <c r="X747" s="399"/>
      <c r="Y747" s="399"/>
      <c r="Z747" s="399"/>
      <c r="AA747" s="399"/>
      <c r="AB747" s="47"/>
      <c r="AC747" s="399"/>
      <c r="AD747" s="399"/>
      <c r="AE747" s="399"/>
      <c r="AF747" s="399"/>
      <c r="AG747" s="399"/>
      <c r="AH747" s="399"/>
      <c r="AI747" s="47"/>
      <c r="AJ747" s="399"/>
      <c r="AK747" s="399"/>
      <c r="AL747" s="399"/>
      <c r="AM747" s="399"/>
      <c r="AN747" s="399"/>
      <c r="AO747" s="399"/>
      <c r="AP747" s="47"/>
      <c r="AQ747" s="399"/>
      <c r="AR747" s="399"/>
      <c r="AS747" s="399"/>
      <c r="AT747" s="399"/>
      <c r="AU747" s="399"/>
      <c r="AV747" s="399"/>
      <c r="AW747" s="47"/>
      <c r="AX747" s="399"/>
      <c r="AY747" s="399"/>
      <c r="AZ747" s="399"/>
      <c r="BA747" s="399"/>
      <c r="BB747" s="399"/>
      <c r="BC747" s="399"/>
      <c r="BD747" s="47"/>
      <c r="BE747" s="399"/>
      <c r="BF747" s="399"/>
      <c r="BG747" s="399"/>
      <c r="BH747" s="399"/>
      <c r="BI747" s="399"/>
      <c r="BJ747" s="399"/>
      <c r="BK747" s="47"/>
      <c r="BL747" s="399"/>
      <c r="BM747" s="399"/>
      <c r="BN747" s="399"/>
      <c r="BO747" s="399"/>
      <c r="BP747" s="399"/>
      <c r="BQ747" s="399"/>
      <c r="BR747" s="47"/>
      <c r="BS747" s="399"/>
      <c r="BT747" s="399"/>
      <c r="BU747" s="399"/>
      <c r="BV747" s="399"/>
      <c r="BW747" s="399"/>
      <c r="BX747" s="399"/>
      <c r="BY747" s="47"/>
      <c r="BZ747" s="399"/>
      <c r="CA747" s="399"/>
      <c r="CB747" s="399"/>
      <c r="CC747" s="399"/>
      <c r="CD747" s="399"/>
      <c r="CE747" s="399"/>
      <c r="CF747" s="47"/>
      <c r="CG747" s="399"/>
      <c r="CH747" s="399"/>
      <c r="CI747" s="399"/>
      <c r="CJ747" s="399"/>
      <c r="CK747" s="399"/>
      <c r="CL747" s="399"/>
      <c r="CM747" s="47"/>
      <c r="CN747" s="399"/>
      <c r="CO747" s="399"/>
      <c r="CP747" s="399"/>
      <c r="CQ747" s="399"/>
      <c r="CR747" s="399"/>
      <c r="CS747" s="399"/>
      <c r="CT747" s="47"/>
      <c r="CU747" s="399"/>
      <c r="CV747" s="399"/>
      <c r="CW747" s="399"/>
      <c r="CX747" s="399"/>
      <c r="CY747" s="399"/>
      <c r="CZ747" s="399"/>
      <c r="DA747" s="47"/>
      <c r="DB747" s="399"/>
      <c r="DC747" s="399"/>
      <c r="DD747" s="399"/>
      <c r="DE747" s="399"/>
      <c r="DF747" s="399"/>
      <c r="DG747" s="399"/>
      <c r="DH747" s="47"/>
      <c r="DI747" s="399"/>
      <c r="DJ747" s="399"/>
      <c r="DK747" s="399"/>
      <c r="DL747" s="399"/>
      <c r="DM747" s="399"/>
      <c r="DN747" s="399"/>
      <c r="DO747" s="47"/>
      <c r="DP747" s="399"/>
      <c r="DQ747" s="399"/>
      <c r="DR747" s="399"/>
      <c r="DS747" s="399"/>
      <c r="DT747" s="399"/>
      <c r="DU747" s="399"/>
      <c r="DV747" s="47"/>
      <c r="DW747" s="399"/>
      <c r="DX747" s="399"/>
      <c r="DY747" s="399"/>
      <c r="DZ747" s="399"/>
      <c r="EA747" s="399"/>
      <c r="EB747" s="399"/>
      <c r="EC747" s="47"/>
      <c r="ED747" s="399"/>
      <c r="EE747" s="399"/>
      <c r="EF747" s="399"/>
      <c r="EG747" s="399"/>
      <c r="EH747" s="399"/>
      <c r="EI747" s="399"/>
      <c r="EJ747" s="47"/>
      <c r="EK747" s="399"/>
      <c r="EL747" s="399"/>
      <c r="EM747" s="399"/>
      <c r="EN747" s="399"/>
      <c r="EO747" s="399"/>
      <c r="EP747" s="399"/>
      <c r="EQ747" s="47"/>
    </row>
    <row r="748" spans="1:147" ht="10.199999999999999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399"/>
      <c r="P748" s="399"/>
      <c r="Q748" s="399"/>
      <c r="R748" s="399"/>
      <c r="S748" s="399"/>
      <c r="T748" s="399"/>
      <c r="U748" s="47"/>
      <c r="V748" s="399"/>
      <c r="W748" s="399"/>
      <c r="X748" s="399"/>
      <c r="Y748" s="399"/>
      <c r="Z748" s="399"/>
      <c r="AA748" s="399"/>
      <c r="AB748" s="47"/>
      <c r="AC748" s="399"/>
      <c r="AD748" s="399"/>
      <c r="AE748" s="399"/>
      <c r="AF748" s="399"/>
      <c r="AG748" s="399"/>
      <c r="AH748" s="399"/>
      <c r="AI748" s="47"/>
      <c r="AJ748" s="399"/>
      <c r="AK748" s="399"/>
      <c r="AL748" s="399"/>
      <c r="AM748" s="399"/>
      <c r="AN748" s="399"/>
      <c r="AO748" s="399"/>
      <c r="AP748" s="47"/>
      <c r="AQ748" s="399"/>
      <c r="AR748" s="399"/>
      <c r="AS748" s="399"/>
      <c r="AT748" s="399"/>
      <c r="AU748" s="399"/>
      <c r="AV748" s="399"/>
      <c r="AW748" s="47"/>
      <c r="AX748" s="399"/>
      <c r="AY748" s="399"/>
      <c r="AZ748" s="399"/>
      <c r="BA748" s="399"/>
      <c r="BB748" s="399"/>
      <c r="BC748" s="399"/>
      <c r="BD748" s="47"/>
      <c r="BE748" s="399"/>
      <c r="BF748" s="399"/>
      <c r="BG748" s="399"/>
      <c r="BH748" s="399"/>
      <c r="BI748" s="399"/>
      <c r="BJ748" s="399"/>
      <c r="BK748" s="47"/>
      <c r="BL748" s="399"/>
      <c r="BM748" s="399"/>
      <c r="BN748" s="399"/>
      <c r="BO748" s="399"/>
      <c r="BP748" s="399"/>
      <c r="BQ748" s="399"/>
      <c r="BR748" s="47"/>
      <c r="BS748" s="399"/>
      <c r="BT748" s="399"/>
      <c r="BU748" s="399"/>
      <c r="BV748" s="399"/>
      <c r="BW748" s="399"/>
      <c r="BX748" s="399"/>
      <c r="BY748" s="47"/>
      <c r="BZ748" s="399"/>
      <c r="CA748" s="399"/>
      <c r="CB748" s="399"/>
      <c r="CC748" s="399"/>
      <c r="CD748" s="399"/>
      <c r="CE748" s="399"/>
      <c r="CF748" s="47"/>
      <c r="CG748" s="399"/>
      <c r="CH748" s="399"/>
      <c r="CI748" s="399"/>
      <c r="CJ748" s="399"/>
      <c r="CK748" s="399"/>
      <c r="CL748" s="399"/>
      <c r="CM748" s="47"/>
      <c r="CN748" s="399"/>
      <c r="CO748" s="399"/>
      <c r="CP748" s="399"/>
      <c r="CQ748" s="399"/>
      <c r="CR748" s="399"/>
      <c r="CS748" s="399"/>
      <c r="CT748" s="47"/>
      <c r="CU748" s="399"/>
      <c r="CV748" s="399"/>
      <c r="CW748" s="399"/>
      <c r="CX748" s="399"/>
      <c r="CY748" s="399"/>
      <c r="CZ748" s="399"/>
      <c r="DA748" s="47"/>
      <c r="DB748" s="399"/>
      <c r="DC748" s="399"/>
      <c r="DD748" s="399"/>
      <c r="DE748" s="399"/>
      <c r="DF748" s="399"/>
      <c r="DG748" s="399"/>
      <c r="DH748" s="47"/>
      <c r="DI748" s="399"/>
      <c r="DJ748" s="399"/>
      <c r="DK748" s="399"/>
      <c r="DL748" s="399"/>
      <c r="DM748" s="399"/>
      <c r="DN748" s="399"/>
      <c r="DO748" s="47"/>
      <c r="DP748" s="399"/>
      <c r="DQ748" s="399"/>
      <c r="DR748" s="399"/>
      <c r="DS748" s="399"/>
      <c r="DT748" s="399"/>
      <c r="DU748" s="399"/>
      <c r="DV748" s="47"/>
      <c r="DW748" s="399"/>
      <c r="DX748" s="399"/>
      <c r="DY748" s="399"/>
      <c r="DZ748" s="399"/>
      <c r="EA748" s="399"/>
      <c r="EB748" s="399"/>
      <c r="EC748" s="47"/>
      <c r="ED748" s="399"/>
      <c r="EE748" s="399"/>
      <c r="EF748" s="399"/>
      <c r="EG748" s="399"/>
      <c r="EH748" s="399"/>
      <c r="EI748" s="399"/>
      <c r="EJ748" s="47"/>
      <c r="EK748" s="399"/>
      <c r="EL748" s="399"/>
      <c r="EM748" s="399"/>
      <c r="EN748" s="399"/>
      <c r="EO748" s="399"/>
      <c r="EP748" s="399"/>
      <c r="EQ748" s="47"/>
    </row>
    <row r="749" spans="1:147" ht="10.199999999999999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399"/>
      <c r="P749" s="399"/>
      <c r="Q749" s="399"/>
      <c r="R749" s="399"/>
      <c r="S749" s="399"/>
      <c r="T749" s="399"/>
      <c r="U749" s="47"/>
      <c r="V749" s="399"/>
      <c r="W749" s="399"/>
      <c r="X749" s="399"/>
      <c r="Y749" s="399"/>
      <c r="Z749" s="399"/>
      <c r="AA749" s="399"/>
      <c r="AB749" s="47"/>
      <c r="AC749" s="399"/>
      <c r="AD749" s="399"/>
      <c r="AE749" s="399"/>
      <c r="AF749" s="399"/>
      <c r="AG749" s="399"/>
      <c r="AH749" s="399"/>
      <c r="AI749" s="47"/>
      <c r="AJ749" s="399"/>
      <c r="AK749" s="399"/>
      <c r="AL749" s="399"/>
      <c r="AM749" s="399"/>
      <c r="AN749" s="399"/>
      <c r="AO749" s="399"/>
      <c r="AP749" s="47"/>
      <c r="AQ749" s="399"/>
      <c r="AR749" s="399"/>
      <c r="AS749" s="399"/>
      <c r="AT749" s="399"/>
      <c r="AU749" s="399"/>
      <c r="AV749" s="399"/>
      <c r="AW749" s="47"/>
      <c r="AX749" s="399"/>
      <c r="AY749" s="399"/>
      <c r="AZ749" s="399"/>
      <c r="BA749" s="399"/>
      <c r="BB749" s="399"/>
      <c r="BC749" s="399"/>
      <c r="BD749" s="47"/>
      <c r="BE749" s="399"/>
      <c r="BF749" s="399"/>
      <c r="BG749" s="399"/>
      <c r="BH749" s="399"/>
      <c r="BI749" s="399"/>
      <c r="BJ749" s="399"/>
      <c r="BK749" s="47"/>
      <c r="BL749" s="399"/>
      <c r="BM749" s="399"/>
      <c r="BN749" s="399"/>
      <c r="BO749" s="399"/>
      <c r="BP749" s="399"/>
      <c r="BQ749" s="399"/>
      <c r="BR749" s="47"/>
      <c r="BS749" s="399"/>
      <c r="BT749" s="399"/>
      <c r="BU749" s="399"/>
      <c r="BV749" s="399"/>
      <c r="BW749" s="399"/>
      <c r="BX749" s="399"/>
      <c r="BY749" s="47"/>
      <c r="BZ749" s="399"/>
      <c r="CA749" s="399"/>
      <c r="CB749" s="399"/>
      <c r="CC749" s="399"/>
      <c r="CD749" s="399"/>
      <c r="CE749" s="399"/>
      <c r="CF749" s="47"/>
      <c r="CG749" s="399"/>
      <c r="CH749" s="399"/>
      <c r="CI749" s="399"/>
      <c r="CJ749" s="399"/>
      <c r="CK749" s="399"/>
      <c r="CL749" s="399"/>
      <c r="CM749" s="47"/>
      <c r="CN749" s="399"/>
      <c r="CO749" s="399"/>
      <c r="CP749" s="399"/>
      <c r="CQ749" s="399"/>
      <c r="CR749" s="399"/>
      <c r="CS749" s="399"/>
      <c r="CT749" s="47"/>
      <c r="CU749" s="399"/>
      <c r="CV749" s="399"/>
      <c r="CW749" s="399"/>
      <c r="CX749" s="399"/>
      <c r="CY749" s="399"/>
      <c r="CZ749" s="399"/>
      <c r="DA749" s="47"/>
      <c r="DB749" s="399"/>
      <c r="DC749" s="399"/>
      <c r="DD749" s="399"/>
      <c r="DE749" s="399"/>
      <c r="DF749" s="399"/>
      <c r="DG749" s="399"/>
      <c r="DH749" s="47"/>
      <c r="DI749" s="399"/>
      <c r="DJ749" s="399"/>
      <c r="DK749" s="399"/>
      <c r="DL749" s="399"/>
      <c r="DM749" s="399"/>
      <c r="DN749" s="399"/>
      <c r="DO749" s="47"/>
      <c r="DP749" s="399"/>
      <c r="DQ749" s="399"/>
      <c r="DR749" s="399"/>
      <c r="DS749" s="399"/>
      <c r="DT749" s="399"/>
      <c r="DU749" s="399"/>
      <c r="DV749" s="47"/>
      <c r="DW749" s="399"/>
      <c r="DX749" s="399"/>
      <c r="DY749" s="399"/>
      <c r="DZ749" s="399"/>
      <c r="EA749" s="399"/>
      <c r="EB749" s="399"/>
      <c r="EC749" s="47"/>
      <c r="ED749" s="399"/>
      <c r="EE749" s="399"/>
      <c r="EF749" s="399"/>
      <c r="EG749" s="399"/>
      <c r="EH749" s="399"/>
      <c r="EI749" s="399"/>
      <c r="EJ749" s="47"/>
      <c r="EK749" s="399"/>
      <c r="EL749" s="399"/>
      <c r="EM749" s="399"/>
      <c r="EN749" s="399"/>
      <c r="EO749" s="399"/>
      <c r="EP749" s="399"/>
      <c r="EQ749" s="47"/>
    </row>
    <row r="750" spans="1:147" ht="10.199999999999999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399"/>
      <c r="P750" s="399"/>
      <c r="Q750" s="399"/>
      <c r="R750" s="399"/>
      <c r="S750" s="399"/>
      <c r="T750" s="399"/>
      <c r="U750" s="47"/>
      <c r="V750" s="399"/>
      <c r="W750" s="399"/>
      <c r="X750" s="399"/>
      <c r="Y750" s="399"/>
      <c r="Z750" s="399"/>
      <c r="AA750" s="399"/>
      <c r="AB750" s="47"/>
      <c r="AC750" s="399"/>
      <c r="AD750" s="399"/>
      <c r="AE750" s="399"/>
      <c r="AF750" s="399"/>
      <c r="AG750" s="399"/>
      <c r="AH750" s="399"/>
      <c r="AI750" s="47"/>
      <c r="AJ750" s="399"/>
      <c r="AK750" s="399"/>
      <c r="AL750" s="399"/>
      <c r="AM750" s="399"/>
      <c r="AN750" s="399"/>
      <c r="AO750" s="399"/>
      <c r="AP750" s="47"/>
      <c r="AQ750" s="399"/>
      <c r="AR750" s="399"/>
      <c r="AS750" s="399"/>
      <c r="AT750" s="399"/>
      <c r="AU750" s="399"/>
      <c r="AV750" s="399"/>
      <c r="AW750" s="47"/>
      <c r="AX750" s="399"/>
      <c r="AY750" s="399"/>
      <c r="AZ750" s="399"/>
      <c r="BA750" s="399"/>
      <c r="BB750" s="399"/>
      <c r="BC750" s="399"/>
      <c r="BD750" s="47"/>
      <c r="BE750" s="399"/>
      <c r="BF750" s="399"/>
      <c r="BG750" s="399"/>
      <c r="BH750" s="399"/>
      <c r="BI750" s="399"/>
      <c r="BJ750" s="399"/>
      <c r="BK750" s="47"/>
      <c r="BL750" s="399"/>
      <c r="BM750" s="399"/>
      <c r="BN750" s="399"/>
      <c r="BO750" s="399"/>
      <c r="BP750" s="399"/>
      <c r="BQ750" s="399"/>
      <c r="BR750" s="47"/>
      <c r="BS750" s="399"/>
      <c r="BT750" s="399"/>
      <c r="BU750" s="399"/>
      <c r="BV750" s="399"/>
      <c r="BW750" s="399"/>
      <c r="BX750" s="399"/>
      <c r="BY750" s="47"/>
      <c r="BZ750" s="399"/>
      <c r="CA750" s="399"/>
      <c r="CB750" s="399"/>
      <c r="CC750" s="399"/>
      <c r="CD750" s="399"/>
      <c r="CE750" s="399"/>
      <c r="CF750" s="47"/>
      <c r="CG750" s="399"/>
      <c r="CH750" s="399"/>
      <c r="CI750" s="399"/>
      <c r="CJ750" s="399"/>
      <c r="CK750" s="399"/>
      <c r="CL750" s="399"/>
      <c r="CM750" s="47"/>
      <c r="CN750" s="399"/>
      <c r="CO750" s="399"/>
      <c r="CP750" s="399"/>
      <c r="CQ750" s="399"/>
      <c r="CR750" s="399"/>
      <c r="CS750" s="399"/>
      <c r="CT750" s="47"/>
      <c r="CU750" s="399"/>
      <c r="CV750" s="399"/>
      <c r="CW750" s="399"/>
      <c r="CX750" s="399"/>
      <c r="CY750" s="399"/>
      <c r="CZ750" s="399"/>
      <c r="DA750" s="47"/>
      <c r="DB750" s="399"/>
      <c r="DC750" s="399"/>
      <c r="DD750" s="399"/>
      <c r="DE750" s="399"/>
      <c r="DF750" s="399"/>
      <c r="DG750" s="399"/>
      <c r="DH750" s="47"/>
      <c r="DI750" s="399"/>
      <c r="DJ750" s="399"/>
      <c r="DK750" s="399"/>
      <c r="DL750" s="399"/>
      <c r="DM750" s="399"/>
      <c r="DN750" s="399"/>
      <c r="DO750" s="47"/>
      <c r="DP750" s="399"/>
      <c r="DQ750" s="399"/>
      <c r="DR750" s="399"/>
      <c r="DS750" s="399"/>
      <c r="DT750" s="399"/>
      <c r="DU750" s="399"/>
      <c r="DV750" s="47"/>
      <c r="DW750" s="399"/>
      <c r="DX750" s="399"/>
      <c r="DY750" s="399"/>
      <c r="DZ750" s="399"/>
      <c r="EA750" s="399"/>
      <c r="EB750" s="399"/>
      <c r="EC750" s="47"/>
      <c r="ED750" s="399"/>
      <c r="EE750" s="399"/>
      <c r="EF750" s="399"/>
      <c r="EG750" s="399"/>
      <c r="EH750" s="399"/>
      <c r="EI750" s="399"/>
      <c r="EJ750" s="47"/>
      <c r="EK750" s="399"/>
      <c r="EL750" s="399"/>
      <c r="EM750" s="399"/>
      <c r="EN750" s="399"/>
      <c r="EO750" s="399"/>
      <c r="EP750" s="399"/>
      <c r="EQ750" s="47"/>
    </row>
    <row r="751" spans="1:147" ht="10.199999999999999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399"/>
      <c r="P751" s="399"/>
      <c r="Q751" s="399"/>
      <c r="R751" s="399"/>
      <c r="S751" s="399"/>
      <c r="T751" s="399"/>
      <c r="U751" s="47"/>
      <c r="V751" s="399"/>
      <c r="W751" s="399"/>
      <c r="X751" s="399"/>
      <c r="Y751" s="399"/>
      <c r="Z751" s="399"/>
      <c r="AA751" s="399"/>
      <c r="AB751" s="47"/>
      <c r="AC751" s="399"/>
      <c r="AD751" s="399"/>
      <c r="AE751" s="399"/>
      <c r="AF751" s="399"/>
      <c r="AG751" s="399"/>
      <c r="AH751" s="399"/>
      <c r="AI751" s="47"/>
      <c r="AJ751" s="399"/>
      <c r="AK751" s="399"/>
      <c r="AL751" s="399"/>
      <c r="AM751" s="399"/>
      <c r="AN751" s="399"/>
      <c r="AO751" s="399"/>
      <c r="AP751" s="47"/>
      <c r="AQ751" s="399"/>
      <c r="AR751" s="399"/>
      <c r="AS751" s="399"/>
      <c r="AT751" s="399"/>
      <c r="AU751" s="399"/>
      <c r="AV751" s="399"/>
      <c r="AW751" s="47"/>
      <c r="AX751" s="399"/>
      <c r="AY751" s="399"/>
      <c r="AZ751" s="399"/>
      <c r="BA751" s="399"/>
      <c r="BB751" s="399"/>
      <c r="BC751" s="399"/>
      <c r="BD751" s="47"/>
      <c r="BE751" s="399"/>
      <c r="BF751" s="399"/>
      <c r="BG751" s="399"/>
      <c r="BH751" s="399"/>
      <c r="BI751" s="399"/>
      <c r="BJ751" s="399"/>
      <c r="BK751" s="47"/>
      <c r="BL751" s="399"/>
      <c r="BM751" s="399"/>
      <c r="BN751" s="399"/>
      <c r="BO751" s="399"/>
      <c r="BP751" s="399"/>
      <c r="BQ751" s="399"/>
      <c r="BR751" s="47"/>
      <c r="BS751" s="399"/>
      <c r="BT751" s="399"/>
      <c r="BU751" s="399"/>
      <c r="BV751" s="399"/>
      <c r="BW751" s="399"/>
      <c r="BX751" s="399"/>
      <c r="BY751" s="47"/>
      <c r="BZ751" s="399"/>
      <c r="CA751" s="399"/>
      <c r="CB751" s="399"/>
      <c r="CC751" s="399"/>
      <c r="CD751" s="399"/>
      <c r="CE751" s="399"/>
      <c r="CF751" s="47"/>
      <c r="CG751" s="399"/>
      <c r="CH751" s="399"/>
      <c r="CI751" s="399"/>
      <c r="CJ751" s="399"/>
      <c r="CK751" s="399"/>
      <c r="CL751" s="399"/>
      <c r="CM751" s="47"/>
      <c r="CN751" s="399"/>
      <c r="CO751" s="399"/>
      <c r="CP751" s="399"/>
      <c r="CQ751" s="399"/>
      <c r="CR751" s="399"/>
      <c r="CS751" s="399"/>
      <c r="CT751" s="47"/>
      <c r="CU751" s="399"/>
      <c r="CV751" s="399"/>
      <c r="CW751" s="399"/>
      <c r="CX751" s="399"/>
      <c r="CY751" s="399"/>
      <c r="CZ751" s="399"/>
      <c r="DA751" s="47"/>
      <c r="DB751" s="399"/>
      <c r="DC751" s="399"/>
      <c r="DD751" s="399"/>
      <c r="DE751" s="399"/>
      <c r="DF751" s="399"/>
      <c r="DG751" s="399"/>
      <c r="DH751" s="47"/>
      <c r="DI751" s="399"/>
      <c r="DJ751" s="399"/>
      <c r="DK751" s="399"/>
      <c r="DL751" s="399"/>
      <c r="DM751" s="399"/>
      <c r="DN751" s="399"/>
      <c r="DO751" s="47"/>
      <c r="DP751" s="399"/>
      <c r="DQ751" s="399"/>
      <c r="DR751" s="399"/>
      <c r="DS751" s="399"/>
      <c r="DT751" s="399"/>
      <c r="DU751" s="399"/>
      <c r="DV751" s="47"/>
      <c r="DW751" s="399"/>
      <c r="DX751" s="399"/>
      <c r="DY751" s="399"/>
      <c r="DZ751" s="399"/>
      <c r="EA751" s="399"/>
      <c r="EB751" s="399"/>
      <c r="EC751" s="47"/>
      <c r="ED751" s="399"/>
      <c r="EE751" s="399"/>
      <c r="EF751" s="399"/>
      <c r="EG751" s="399"/>
      <c r="EH751" s="399"/>
      <c r="EI751" s="399"/>
      <c r="EJ751" s="47"/>
      <c r="EK751" s="399"/>
      <c r="EL751" s="399"/>
      <c r="EM751" s="399"/>
      <c r="EN751" s="399"/>
      <c r="EO751" s="399"/>
      <c r="EP751" s="399"/>
      <c r="EQ751" s="47"/>
    </row>
    <row r="752" spans="1:147" ht="10.199999999999999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399"/>
      <c r="P752" s="399"/>
      <c r="Q752" s="399"/>
      <c r="R752" s="399"/>
      <c r="S752" s="399"/>
      <c r="T752" s="399"/>
      <c r="U752" s="47"/>
      <c r="V752" s="399"/>
      <c r="W752" s="399"/>
      <c r="X752" s="399"/>
      <c r="Y752" s="399"/>
      <c r="Z752" s="399"/>
      <c r="AA752" s="399"/>
      <c r="AB752" s="47"/>
      <c r="AC752" s="399"/>
      <c r="AD752" s="399"/>
      <c r="AE752" s="399"/>
      <c r="AF752" s="399"/>
      <c r="AG752" s="399"/>
      <c r="AH752" s="399"/>
      <c r="AI752" s="47"/>
      <c r="AJ752" s="399"/>
      <c r="AK752" s="399"/>
      <c r="AL752" s="399"/>
      <c r="AM752" s="399"/>
      <c r="AN752" s="399"/>
      <c r="AO752" s="399"/>
      <c r="AP752" s="47"/>
      <c r="AQ752" s="399"/>
      <c r="AR752" s="399"/>
      <c r="AS752" s="399"/>
      <c r="AT752" s="399"/>
      <c r="AU752" s="399"/>
      <c r="AV752" s="399"/>
      <c r="AW752" s="47"/>
      <c r="AX752" s="399"/>
      <c r="AY752" s="399"/>
      <c r="AZ752" s="399"/>
      <c r="BA752" s="399"/>
      <c r="BB752" s="399"/>
      <c r="BC752" s="399"/>
      <c r="BD752" s="47"/>
      <c r="BE752" s="399"/>
      <c r="BF752" s="399"/>
      <c r="BG752" s="399"/>
      <c r="BH752" s="399"/>
      <c r="BI752" s="399"/>
      <c r="BJ752" s="399"/>
      <c r="BK752" s="47"/>
      <c r="BL752" s="399"/>
      <c r="BM752" s="399"/>
      <c r="BN752" s="399"/>
      <c r="BO752" s="399"/>
      <c r="BP752" s="399"/>
      <c r="BQ752" s="399"/>
      <c r="BR752" s="47"/>
      <c r="BS752" s="399"/>
      <c r="BT752" s="399"/>
      <c r="BU752" s="399"/>
      <c r="BV752" s="399"/>
      <c r="BW752" s="399"/>
      <c r="BX752" s="399"/>
      <c r="BY752" s="47"/>
      <c r="BZ752" s="399"/>
      <c r="CA752" s="399"/>
      <c r="CB752" s="399"/>
      <c r="CC752" s="399"/>
      <c r="CD752" s="399"/>
      <c r="CE752" s="399"/>
      <c r="CF752" s="47"/>
      <c r="CG752" s="399"/>
      <c r="CH752" s="399"/>
      <c r="CI752" s="399"/>
      <c r="CJ752" s="399"/>
      <c r="CK752" s="399"/>
      <c r="CL752" s="399"/>
      <c r="CM752" s="47"/>
      <c r="CN752" s="399"/>
      <c r="CO752" s="399"/>
      <c r="CP752" s="399"/>
      <c r="CQ752" s="399"/>
      <c r="CR752" s="399"/>
      <c r="CS752" s="399"/>
      <c r="CT752" s="47"/>
      <c r="CU752" s="399"/>
      <c r="CV752" s="399"/>
      <c r="CW752" s="399"/>
      <c r="CX752" s="399"/>
      <c r="CY752" s="399"/>
      <c r="CZ752" s="399"/>
      <c r="DA752" s="47"/>
      <c r="DB752" s="399"/>
      <c r="DC752" s="399"/>
      <c r="DD752" s="399"/>
      <c r="DE752" s="399"/>
      <c r="DF752" s="399"/>
      <c r="DG752" s="399"/>
      <c r="DH752" s="47"/>
      <c r="DI752" s="399"/>
      <c r="DJ752" s="399"/>
      <c r="DK752" s="399"/>
      <c r="DL752" s="399"/>
      <c r="DM752" s="399"/>
      <c r="DN752" s="399"/>
      <c r="DO752" s="47"/>
      <c r="DP752" s="399"/>
      <c r="DQ752" s="399"/>
      <c r="DR752" s="399"/>
      <c r="DS752" s="399"/>
      <c r="DT752" s="399"/>
      <c r="DU752" s="399"/>
      <c r="DV752" s="47"/>
      <c r="DW752" s="399"/>
      <c r="DX752" s="399"/>
      <c r="DY752" s="399"/>
      <c r="DZ752" s="399"/>
      <c r="EA752" s="399"/>
      <c r="EB752" s="399"/>
      <c r="EC752" s="47"/>
      <c r="ED752" s="399"/>
      <c r="EE752" s="399"/>
      <c r="EF752" s="399"/>
      <c r="EG752" s="399"/>
      <c r="EH752" s="399"/>
      <c r="EI752" s="399"/>
      <c r="EJ752" s="47"/>
      <c r="EK752" s="399"/>
      <c r="EL752" s="399"/>
      <c r="EM752" s="399"/>
      <c r="EN752" s="399"/>
      <c r="EO752" s="399"/>
      <c r="EP752" s="399"/>
      <c r="EQ752" s="47"/>
    </row>
    <row r="753" spans="1:147" ht="10.199999999999999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399"/>
      <c r="P753" s="399"/>
      <c r="Q753" s="399"/>
      <c r="R753" s="399"/>
      <c r="S753" s="399"/>
      <c r="T753" s="399"/>
      <c r="U753" s="47"/>
      <c r="V753" s="399"/>
      <c r="W753" s="399"/>
      <c r="X753" s="399"/>
      <c r="Y753" s="399"/>
      <c r="Z753" s="399"/>
      <c r="AA753" s="399"/>
      <c r="AB753" s="47"/>
      <c r="AC753" s="399"/>
      <c r="AD753" s="399"/>
      <c r="AE753" s="399"/>
      <c r="AF753" s="399"/>
      <c r="AG753" s="399"/>
      <c r="AH753" s="399"/>
      <c r="AI753" s="47"/>
      <c r="AJ753" s="399"/>
      <c r="AK753" s="399"/>
      <c r="AL753" s="399"/>
      <c r="AM753" s="399"/>
      <c r="AN753" s="399"/>
      <c r="AO753" s="399"/>
      <c r="AP753" s="47"/>
      <c r="AQ753" s="399"/>
      <c r="AR753" s="399"/>
      <c r="AS753" s="399"/>
      <c r="AT753" s="399"/>
      <c r="AU753" s="399"/>
      <c r="AV753" s="399"/>
      <c r="AW753" s="47"/>
      <c r="AX753" s="399"/>
      <c r="AY753" s="399"/>
      <c r="AZ753" s="399"/>
      <c r="BA753" s="399"/>
      <c r="BB753" s="399"/>
      <c r="BC753" s="399"/>
      <c r="BD753" s="47"/>
      <c r="BE753" s="399"/>
      <c r="BF753" s="399"/>
      <c r="BG753" s="399"/>
      <c r="BH753" s="399"/>
      <c r="BI753" s="399"/>
      <c r="BJ753" s="399"/>
      <c r="BK753" s="47"/>
      <c r="BL753" s="399"/>
      <c r="BM753" s="399"/>
      <c r="BN753" s="399"/>
      <c r="BO753" s="399"/>
      <c r="BP753" s="399"/>
      <c r="BQ753" s="399"/>
      <c r="BR753" s="47"/>
      <c r="BS753" s="399"/>
      <c r="BT753" s="399"/>
      <c r="BU753" s="399"/>
      <c r="BV753" s="399"/>
      <c r="BW753" s="399"/>
      <c r="BX753" s="399"/>
      <c r="BY753" s="47"/>
      <c r="BZ753" s="399"/>
      <c r="CA753" s="399"/>
      <c r="CB753" s="399"/>
      <c r="CC753" s="399"/>
      <c r="CD753" s="399"/>
      <c r="CE753" s="399"/>
      <c r="CF753" s="47"/>
      <c r="CG753" s="399"/>
      <c r="CH753" s="399"/>
      <c r="CI753" s="399"/>
      <c r="CJ753" s="399"/>
      <c r="CK753" s="399"/>
      <c r="CL753" s="399"/>
      <c r="CM753" s="47"/>
      <c r="CN753" s="399"/>
      <c r="CO753" s="399"/>
      <c r="CP753" s="399"/>
      <c r="CQ753" s="399"/>
      <c r="CR753" s="399"/>
      <c r="CS753" s="399"/>
      <c r="CT753" s="47"/>
      <c r="CU753" s="399"/>
      <c r="CV753" s="399"/>
      <c r="CW753" s="399"/>
      <c r="CX753" s="399"/>
      <c r="CY753" s="399"/>
      <c r="CZ753" s="399"/>
      <c r="DA753" s="47"/>
      <c r="DB753" s="399"/>
      <c r="DC753" s="399"/>
      <c r="DD753" s="399"/>
      <c r="DE753" s="399"/>
      <c r="DF753" s="399"/>
      <c r="DG753" s="399"/>
      <c r="DH753" s="47"/>
      <c r="DI753" s="399"/>
      <c r="DJ753" s="399"/>
      <c r="DK753" s="399"/>
      <c r="DL753" s="399"/>
      <c r="DM753" s="399"/>
      <c r="DN753" s="399"/>
      <c r="DO753" s="47"/>
      <c r="DP753" s="399"/>
      <c r="DQ753" s="399"/>
      <c r="DR753" s="399"/>
      <c r="DS753" s="399"/>
      <c r="DT753" s="399"/>
      <c r="DU753" s="399"/>
      <c r="DV753" s="47"/>
      <c r="DW753" s="399"/>
      <c r="DX753" s="399"/>
      <c r="DY753" s="399"/>
      <c r="DZ753" s="399"/>
      <c r="EA753" s="399"/>
      <c r="EB753" s="399"/>
      <c r="EC753" s="47"/>
      <c r="ED753" s="399"/>
      <c r="EE753" s="399"/>
      <c r="EF753" s="399"/>
      <c r="EG753" s="399"/>
      <c r="EH753" s="399"/>
      <c r="EI753" s="399"/>
      <c r="EJ753" s="47"/>
      <c r="EK753" s="399"/>
      <c r="EL753" s="399"/>
      <c r="EM753" s="399"/>
      <c r="EN753" s="399"/>
      <c r="EO753" s="399"/>
      <c r="EP753" s="399"/>
      <c r="EQ753" s="47"/>
    </row>
    <row r="754" spans="1:147" ht="10.199999999999999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399"/>
      <c r="P754" s="399"/>
      <c r="Q754" s="399"/>
      <c r="R754" s="399"/>
      <c r="S754" s="399"/>
      <c r="T754" s="399"/>
      <c r="U754" s="47"/>
      <c r="V754" s="399"/>
      <c r="W754" s="399"/>
      <c r="X754" s="399"/>
      <c r="Y754" s="399"/>
      <c r="Z754" s="399"/>
      <c r="AA754" s="399"/>
      <c r="AB754" s="47"/>
      <c r="AC754" s="399"/>
      <c r="AD754" s="399"/>
      <c r="AE754" s="399"/>
      <c r="AF754" s="399"/>
      <c r="AG754" s="399"/>
      <c r="AH754" s="399"/>
      <c r="AI754" s="47"/>
      <c r="AJ754" s="399"/>
      <c r="AK754" s="399"/>
      <c r="AL754" s="399"/>
      <c r="AM754" s="399"/>
      <c r="AN754" s="399"/>
      <c r="AO754" s="399"/>
      <c r="AP754" s="47"/>
      <c r="AQ754" s="399"/>
      <c r="AR754" s="399"/>
      <c r="AS754" s="399"/>
      <c r="AT754" s="399"/>
      <c r="AU754" s="399"/>
      <c r="AV754" s="399"/>
      <c r="AW754" s="47"/>
      <c r="AX754" s="399"/>
      <c r="AY754" s="399"/>
      <c r="AZ754" s="399"/>
      <c r="BA754" s="399"/>
      <c r="BB754" s="399"/>
      <c r="BC754" s="399"/>
      <c r="BD754" s="47"/>
      <c r="BE754" s="399"/>
      <c r="BF754" s="399"/>
      <c r="BG754" s="399"/>
      <c r="BH754" s="399"/>
      <c r="BI754" s="399"/>
      <c r="BJ754" s="399"/>
      <c r="BK754" s="47"/>
      <c r="BL754" s="399"/>
      <c r="BM754" s="399"/>
      <c r="BN754" s="399"/>
      <c r="BO754" s="399"/>
      <c r="BP754" s="399"/>
      <c r="BQ754" s="399"/>
      <c r="BR754" s="47"/>
      <c r="BS754" s="399"/>
      <c r="BT754" s="399"/>
      <c r="BU754" s="399"/>
      <c r="BV754" s="399"/>
      <c r="BW754" s="399"/>
      <c r="BX754" s="399"/>
      <c r="BY754" s="47"/>
      <c r="BZ754" s="399"/>
      <c r="CA754" s="399"/>
      <c r="CB754" s="399"/>
      <c r="CC754" s="399"/>
      <c r="CD754" s="399"/>
      <c r="CE754" s="399"/>
      <c r="CF754" s="47"/>
      <c r="CG754" s="399"/>
      <c r="CH754" s="399"/>
      <c r="CI754" s="399"/>
      <c r="CJ754" s="399"/>
      <c r="CK754" s="399"/>
      <c r="CL754" s="399"/>
      <c r="CM754" s="47"/>
      <c r="CN754" s="399"/>
      <c r="CO754" s="399"/>
      <c r="CP754" s="399"/>
      <c r="CQ754" s="399"/>
      <c r="CR754" s="399"/>
      <c r="CS754" s="399"/>
      <c r="CT754" s="47"/>
      <c r="CU754" s="399"/>
      <c r="CV754" s="399"/>
      <c r="CW754" s="399"/>
      <c r="CX754" s="399"/>
      <c r="CY754" s="399"/>
      <c r="CZ754" s="399"/>
      <c r="DA754" s="47"/>
      <c r="DB754" s="399"/>
      <c r="DC754" s="399"/>
      <c r="DD754" s="399"/>
      <c r="DE754" s="399"/>
      <c r="DF754" s="399"/>
      <c r="DG754" s="399"/>
      <c r="DH754" s="47"/>
      <c r="DI754" s="399"/>
      <c r="DJ754" s="399"/>
      <c r="DK754" s="399"/>
      <c r="DL754" s="399"/>
      <c r="DM754" s="399"/>
      <c r="DN754" s="399"/>
      <c r="DO754" s="47"/>
      <c r="DP754" s="399"/>
      <c r="DQ754" s="399"/>
      <c r="DR754" s="399"/>
      <c r="DS754" s="399"/>
      <c r="DT754" s="399"/>
      <c r="DU754" s="399"/>
      <c r="DV754" s="47"/>
      <c r="DW754" s="399"/>
      <c r="DX754" s="399"/>
      <c r="DY754" s="399"/>
      <c r="DZ754" s="399"/>
      <c r="EA754" s="399"/>
      <c r="EB754" s="399"/>
      <c r="EC754" s="47"/>
      <c r="ED754" s="399"/>
      <c r="EE754" s="399"/>
      <c r="EF754" s="399"/>
      <c r="EG754" s="399"/>
      <c r="EH754" s="399"/>
      <c r="EI754" s="399"/>
      <c r="EJ754" s="47"/>
      <c r="EK754" s="399"/>
      <c r="EL754" s="399"/>
      <c r="EM754" s="399"/>
      <c r="EN754" s="399"/>
      <c r="EO754" s="399"/>
      <c r="EP754" s="399"/>
      <c r="EQ754" s="47"/>
    </row>
    <row r="755" spans="1:147" ht="10.199999999999999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399"/>
      <c r="P755" s="399"/>
      <c r="Q755" s="399"/>
      <c r="R755" s="399"/>
      <c r="S755" s="399"/>
      <c r="T755" s="399"/>
      <c r="U755" s="47"/>
      <c r="V755" s="399"/>
      <c r="W755" s="399"/>
      <c r="X755" s="399"/>
      <c r="Y755" s="399"/>
      <c r="Z755" s="399"/>
      <c r="AA755" s="399"/>
      <c r="AB755" s="47"/>
      <c r="AC755" s="399"/>
      <c r="AD755" s="399"/>
      <c r="AE755" s="399"/>
      <c r="AF755" s="399"/>
      <c r="AG755" s="399"/>
      <c r="AH755" s="399"/>
      <c r="AI755" s="47"/>
      <c r="AJ755" s="399"/>
      <c r="AK755" s="399"/>
      <c r="AL755" s="399"/>
      <c r="AM755" s="399"/>
      <c r="AN755" s="399"/>
      <c r="AO755" s="399"/>
      <c r="AP755" s="47"/>
      <c r="AQ755" s="399"/>
      <c r="AR755" s="399"/>
      <c r="AS755" s="399"/>
      <c r="AT755" s="399"/>
      <c r="AU755" s="399"/>
      <c r="AV755" s="399"/>
      <c r="AW755" s="47"/>
      <c r="AX755" s="399"/>
      <c r="AY755" s="399"/>
      <c r="AZ755" s="399"/>
      <c r="BA755" s="399"/>
      <c r="BB755" s="399"/>
      <c r="BC755" s="399"/>
      <c r="BD755" s="47"/>
      <c r="BE755" s="399"/>
      <c r="BF755" s="399"/>
      <c r="BG755" s="399"/>
      <c r="BH755" s="399"/>
      <c r="BI755" s="399"/>
      <c r="BJ755" s="399"/>
      <c r="BK755" s="47"/>
      <c r="BL755" s="399"/>
      <c r="BM755" s="399"/>
      <c r="BN755" s="399"/>
      <c r="BO755" s="399"/>
      <c r="BP755" s="399"/>
      <c r="BQ755" s="399"/>
      <c r="BR755" s="47"/>
      <c r="BS755" s="399"/>
      <c r="BT755" s="399"/>
      <c r="BU755" s="399"/>
      <c r="BV755" s="399"/>
      <c r="BW755" s="399"/>
      <c r="BX755" s="399"/>
      <c r="BY755" s="47"/>
      <c r="BZ755" s="399"/>
      <c r="CA755" s="399"/>
      <c r="CB755" s="399"/>
      <c r="CC755" s="399"/>
      <c r="CD755" s="399"/>
      <c r="CE755" s="399"/>
      <c r="CF755" s="47"/>
      <c r="CG755" s="399"/>
      <c r="CH755" s="399"/>
      <c r="CI755" s="399"/>
      <c r="CJ755" s="399"/>
      <c r="CK755" s="399"/>
      <c r="CL755" s="399"/>
      <c r="CM755" s="47"/>
      <c r="CN755" s="399"/>
      <c r="CO755" s="399"/>
      <c r="CP755" s="399"/>
      <c r="CQ755" s="399"/>
      <c r="CR755" s="399"/>
      <c r="CS755" s="399"/>
      <c r="CT755" s="47"/>
      <c r="CU755" s="399"/>
      <c r="CV755" s="399"/>
      <c r="CW755" s="399"/>
      <c r="CX755" s="399"/>
      <c r="CY755" s="399"/>
      <c r="CZ755" s="399"/>
      <c r="DA755" s="47"/>
      <c r="DB755" s="399"/>
      <c r="DC755" s="399"/>
      <c r="DD755" s="399"/>
      <c r="DE755" s="399"/>
      <c r="DF755" s="399"/>
      <c r="DG755" s="399"/>
      <c r="DH755" s="47"/>
      <c r="DI755" s="399"/>
      <c r="DJ755" s="399"/>
      <c r="DK755" s="399"/>
      <c r="DL755" s="399"/>
      <c r="DM755" s="399"/>
      <c r="DN755" s="399"/>
      <c r="DO755" s="47"/>
      <c r="DP755" s="399"/>
      <c r="DQ755" s="399"/>
      <c r="DR755" s="399"/>
      <c r="DS755" s="399"/>
      <c r="DT755" s="399"/>
      <c r="DU755" s="399"/>
      <c r="DV755" s="47"/>
      <c r="DW755" s="399"/>
      <c r="DX755" s="399"/>
      <c r="DY755" s="399"/>
      <c r="DZ755" s="399"/>
      <c r="EA755" s="399"/>
      <c r="EB755" s="399"/>
      <c r="EC755" s="47"/>
      <c r="ED755" s="399"/>
      <c r="EE755" s="399"/>
      <c r="EF755" s="399"/>
      <c r="EG755" s="399"/>
      <c r="EH755" s="399"/>
      <c r="EI755" s="399"/>
      <c r="EJ755" s="47"/>
      <c r="EK755" s="399"/>
      <c r="EL755" s="399"/>
      <c r="EM755" s="399"/>
      <c r="EN755" s="399"/>
      <c r="EO755" s="399"/>
      <c r="EP755" s="399"/>
      <c r="EQ755" s="47"/>
    </row>
    <row r="756" spans="1:147" ht="10.199999999999999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399"/>
      <c r="P756" s="399"/>
      <c r="Q756" s="399"/>
      <c r="R756" s="399"/>
      <c r="S756" s="399"/>
      <c r="T756" s="399"/>
      <c r="U756" s="47"/>
      <c r="V756" s="399"/>
      <c r="W756" s="399"/>
      <c r="X756" s="399"/>
      <c r="Y756" s="399"/>
      <c r="Z756" s="399"/>
      <c r="AA756" s="399"/>
      <c r="AB756" s="47"/>
      <c r="AC756" s="399"/>
      <c r="AD756" s="399"/>
      <c r="AE756" s="399"/>
      <c r="AF756" s="399"/>
      <c r="AG756" s="399"/>
      <c r="AH756" s="399"/>
      <c r="AI756" s="47"/>
      <c r="AJ756" s="399"/>
      <c r="AK756" s="399"/>
      <c r="AL756" s="399"/>
      <c r="AM756" s="399"/>
      <c r="AN756" s="399"/>
      <c r="AO756" s="399"/>
      <c r="AP756" s="47"/>
      <c r="AQ756" s="399"/>
      <c r="AR756" s="399"/>
      <c r="AS756" s="399"/>
      <c r="AT756" s="399"/>
      <c r="AU756" s="399"/>
      <c r="AV756" s="399"/>
      <c r="AW756" s="47"/>
      <c r="AX756" s="399"/>
      <c r="AY756" s="399"/>
      <c r="AZ756" s="399"/>
      <c r="BA756" s="399"/>
      <c r="BB756" s="399"/>
      <c r="BC756" s="399"/>
      <c r="BD756" s="47"/>
      <c r="BE756" s="399"/>
      <c r="BF756" s="399"/>
      <c r="BG756" s="399"/>
      <c r="BH756" s="399"/>
      <c r="BI756" s="399"/>
      <c r="BJ756" s="399"/>
      <c r="BK756" s="47"/>
      <c r="BL756" s="399"/>
      <c r="BM756" s="399"/>
      <c r="BN756" s="399"/>
      <c r="BO756" s="399"/>
      <c r="BP756" s="399"/>
      <c r="BQ756" s="399"/>
      <c r="BR756" s="47"/>
      <c r="BS756" s="399"/>
      <c r="BT756" s="399"/>
      <c r="BU756" s="399"/>
      <c r="BV756" s="399"/>
      <c r="BW756" s="399"/>
      <c r="BX756" s="399"/>
      <c r="BY756" s="47"/>
      <c r="BZ756" s="399"/>
      <c r="CA756" s="399"/>
      <c r="CB756" s="399"/>
      <c r="CC756" s="399"/>
      <c r="CD756" s="399"/>
      <c r="CE756" s="399"/>
      <c r="CF756" s="47"/>
      <c r="CG756" s="399"/>
      <c r="CH756" s="399"/>
      <c r="CI756" s="399"/>
      <c r="CJ756" s="399"/>
      <c r="CK756" s="399"/>
      <c r="CL756" s="399"/>
      <c r="CM756" s="47"/>
      <c r="CN756" s="399"/>
      <c r="CO756" s="399"/>
      <c r="CP756" s="399"/>
      <c r="CQ756" s="399"/>
      <c r="CR756" s="399"/>
      <c r="CS756" s="399"/>
      <c r="CT756" s="47"/>
      <c r="CU756" s="399"/>
      <c r="CV756" s="399"/>
      <c r="CW756" s="399"/>
      <c r="CX756" s="399"/>
      <c r="CY756" s="399"/>
      <c r="CZ756" s="399"/>
      <c r="DA756" s="47"/>
      <c r="DB756" s="399"/>
      <c r="DC756" s="399"/>
      <c r="DD756" s="399"/>
      <c r="DE756" s="399"/>
      <c r="DF756" s="399"/>
      <c r="DG756" s="399"/>
      <c r="DH756" s="47"/>
      <c r="DI756" s="399"/>
      <c r="DJ756" s="399"/>
      <c r="DK756" s="399"/>
      <c r="DL756" s="399"/>
      <c r="DM756" s="399"/>
      <c r="DN756" s="399"/>
      <c r="DO756" s="47"/>
      <c r="DP756" s="399"/>
      <c r="DQ756" s="399"/>
      <c r="DR756" s="399"/>
      <c r="DS756" s="399"/>
      <c r="DT756" s="399"/>
      <c r="DU756" s="399"/>
      <c r="DV756" s="47"/>
      <c r="DW756" s="399"/>
      <c r="DX756" s="399"/>
      <c r="DY756" s="399"/>
      <c r="DZ756" s="399"/>
      <c r="EA756" s="399"/>
      <c r="EB756" s="399"/>
      <c r="EC756" s="47"/>
      <c r="ED756" s="399"/>
      <c r="EE756" s="399"/>
      <c r="EF756" s="399"/>
      <c r="EG756" s="399"/>
      <c r="EH756" s="399"/>
      <c r="EI756" s="399"/>
      <c r="EJ756" s="47"/>
      <c r="EK756" s="399"/>
      <c r="EL756" s="399"/>
      <c r="EM756" s="399"/>
      <c r="EN756" s="399"/>
      <c r="EO756" s="399"/>
      <c r="EP756" s="399"/>
      <c r="EQ756" s="47"/>
    </row>
    <row r="757" spans="1:147" ht="10.199999999999999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399"/>
      <c r="P757" s="399"/>
      <c r="Q757" s="399"/>
      <c r="R757" s="399"/>
      <c r="S757" s="399"/>
      <c r="T757" s="399"/>
      <c r="U757" s="47"/>
      <c r="V757" s="399"/>
      <c r="W757" s="399"/>
      <c r="X757" s="399"/>
      <c r="Y757" s="399"/>
      <c r="Z757" s="399"/>
      <c r="AA757" s="399"/>
      <c r="AB757" s="47"/>
      <c r="AC757" s="399"/>
      <c r="AD757" s="399"/>
      <c r="AE757" s="399"/>
      <c r="AF757" s="399"/>
      <c r="AG757" s="399"/>
      <c r="AH757" s="399"/>
      <c r="AI757" s="47"/>
      <c r="AJ757" s="399"/>
      <c r="AK757" s="399"/>
      <c r="AL757" s="399"/>
      <c r="AM757" s="399"/>
      <c r="AN757" s="399"/>
      <c r="AO757" s="399"/>
      <c r="AP757" s="47"/>
      <c r="AQ757" s="399"/>
      <c r="AR757" s="399"/>
      <c r="AS757" s="399"/>
      <c r="AT757" s="399"/>
      <c r="AU757" s="399"/>
      <c r="AV757" s="399"/>
      <c r="AW757" s="47"/>
      <c r="AX757" s="399"/>
      <c r="AY757" s="399"/>
      <c r="AZ757" s="399"/>
      <c r="BA757" s="399"/>
      <c r="BB757" s="399"/>
      <c r="BC757" s="399"/>
      <c r="BD757" s="47"/>
      <c r="BE757" s="399"/>
      <c r="BF757" s="399"/>
      <c r="BG757" s="399"/>
      <c r="BH757" s="399"/>
      <c r="BI757" s="399"/>
      <c r="BJ757" s="399"/>
      <c r="BK757" s="47"/>
      <c r="BL757" s="399"/>
      <c r="BM757" s="399"/>
      <c r="BN757" s="399"/>
      <c r="BO757" s="399"/>
      <c r="BP757" s="399"/>
      <c r="BQ757" s="399"/>
      <c r="BR757" s="47"/>
      <c r="BS757" s="399"/>
      <c r="BT757" s="399"/>
      <c r="BU757" s="399"/>
      <c r="BV757" s="399"/>
      <c r="BW757" s="399"/>
      <c r="BX757" s="399"/>
      <c r="BY757" s="47"/>
      <c r="BZ757" s="399"/>
      <c r="CA757" s="399"/>
      <c r="CB757" s="399"/>
      <c r="CC757" s="399"/>
      <c r="CD757" s="399"/>
      <c r="CE757" s="399"/>
      <c r="CF757" s="47"/>
      <c r="CG757" s="399"/>
      <c r="CH757" s="399"/>
      <c r="CI757" s="399"/>
      <c r="CJ757" s="399"/>
      <c r="CK757" s="399"/>
      <c r="CL757" s="399"/>
      <c r="CM757" s="47"/>
      <c r="CN757" s="399"/>
      <c r="CO757" s="399"/>
      <c r="CP757" s="399"/>
      <c r="CQ757" s="399"/>
      <c r="CR757" s="399"/>
      <c r="CS757" s="399"/>
      <c r="CT757" s="47"/>
      <c r="CU757" s="399"/>
      <c r="CV757" s="399"/>
      <c r="CW757" s="399"/>
      <c r="CX757" s="399"/>
      <c r="CY757" s="399"/>
      <c r="CZ757" s="399"/>
      <c r="DA757" s="47"/>
      <c r="DB757" s="399"/>
      <c r="DC757" s="399"/>
      <c r="DD757" s="399"/>
      <c r="DE757" s="399"/>
      <c r="DF757" s="399"/>
      <c r="DG757" s="399"/>
      <c r="DH757" s="47"/>
      <c r="DI757" s="399"/>
      <c r="DJ757" s="399"/>
      <c r="DK757" s="399"/>
      <c r="DL757" s="399"/>
      <c r="DM757" s="399"/>
      <c r="DN757" s="399"/>
      <c r="DO757" s="47"/>
      <c r="DP757" s="399"/>
      <c r="DQ757" s="399"/>
      <c r="DR757" s="399"/>
      <c r="DS757" s="399"/>
      <c r="DT757" s="399"/>
      <c r="DU757" s="399"/>
      <c r="DV757" s="47"/>
      <c r="DW757" s="399"/>
      <c r="DX757" s="399"/>
      <c r="DY757" s="399"/>
      <c r="DZ757" s="399"/>
      <c r="EA757" s="399"/>
      <c r="EB757" s="399"/>
      <c r="EC757" s="47"/>
      <c r="ED757" s="399"/>
      <c r="EE757" s="399"/>
      <c r="EF757" s="399"/>
      <c r="EG757" s="399"/>
      <c r="EH757" s="399"/>
      <c r="EI757" s="399"/>
      <c r="EJ757" s="47"/>
      <c r="EK757" s="399"/>
      <c r="EL757" s="399"/>
      <c r="EM757" s="399"/>
      <c r="EN757" s="399"/>
      <c r="EO757" s="399"/>
      <c r="EP757" s="399"/>
      <c r="EQ757" s="47"/>
    </row>
    <row r="758" spans="1:147" ht="10.199999999999999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399"/>
      <c r="P758" s="399"/>
      <c r="Q758" s="399"/>
      <c r="R758" s="399"/>
      <c r="S758" s="399"/>
      <c r="T758" s="399"/>
      <c r="U758" s="47"/>
      <c r="V758" s="399"/>
      <c r="W758" s="399"/>
      <c r="X758" s="399"/>
      <c r="Y758" s="399"/>
      <c r="Z758" s="399"/>
      <c r="AA758" s="399"/>
      <c r="AB758" s="47"/>
      <c r="AC758" s="399"/>
      <c r="AD758" s="399"/>
      <c r="AE758" s="399"/>
      <c r="AF758" s="399"/>
      <c r="AG758" s="399"/>
      <c r="AH758" s="399"/>
      <c r="AI758" s="47"/>
      <c r="AJ758" s="399"/>
      <c r="AK758" s="399"/>
      <c r="AL758" s="399"/>
      <c r="AM758" s="399"/>
      <c r="AN758" s="399"/>
      <c r="AO758" s="399"/>
      <c r="AP758" s="47"/>
      <c r="AQ758" s="399"/>
      <c r="AR758" s="399"/>
      <c r="AS758" s="399"/>
      <c r="AT758" s="399"/>
      <c r="AU758" s="399"/>
      <c r="AV758" s="399"/>
      <c r="AW758" s="47"/>
      <c r="AX758" s="399"/>
      <c r="AY758" s="399"/>
      <c r="AZ758" s="399"/>
      <c r="BA758" s="399"/>
      <c r="BB758" s="399"/>
      <c r="BC758" s="399"/>
      <c r="BD758" s="47"/>
      <c r="BE758" s="399"/>
      <c r="BF758" s="399"/>
      <c r="BG758" s="399"/>
      <c r="BH758" s="399"/>
      <c r="BI758" s="399"/>
      <c r="BJ758" s="399"/>
      <c r="BK758" s="47"/>
      <c r="BL758" s="399"/>
      <c r="BM758" s="399"/>
      <c r="BN758" s="399"/>
      <c r="BO758" s="399"/>
      <c r="BP758" s="399"/>
      <c r="BQ758" s="399"/>
      <c r="BR758" s="47"/>
      <c r="BS758" s="399"/>
      <c r="BT758" s="399"/>
      <c r="BU758" s="399"/>
      <c r="BV758" s="399"/>
      <c r="BW758" s="399"/>
      <c r="BX758" s="399"/>
      <c r="BY758" s="47"/>
      <c r="BZ758" s="399"/>
      <c r="CA758" s="399"/>
      <c r="CB758" s="399"/>
      <c r="CC758" s="399"/>
      <c r="CD758" s="399"/>
      <c r="CE758" s="399"/>
      <c r="CF758" s="47"/>
      <c r="CG758" s="399"/>
      <c r="CH758" s="399"/>
      <c r="CI758" s="399"/>
      <c r="CJ758" s="399"/>
      <c r="CK758" s="399"/>
      <c r="CL758" s="399"/>
      <c r="CM758" s="47"/>
      <c r="CN758" s="399"/>
      <c r="CO758" s="399"/>
      <c r="CP758" s="399"/>
      <c r="CQ758" s="399"/>
      <c r="CR758" s="399"/>
      <c r="CS758" s="399"/>
      <c r="CT758" s="47"/>
      <c r="CU758" s="399"/>
      <c r="CV758" s="399"/>
      <c r="CW758" s="399"/>
      <c r="CX758" s="399"/>
      <c r="CY758" s="399"/>
      <c r="CZ758" s="399"/>
      <c r="DA758" s="47"/>
      <c r="DB758" s="399"/>
      <c r="DC758" s="399"/>
      <c r="DD758" s="399"/>
      <c r="DE758" s="399"/>
      <c r="DF758" s="399"/>
      <c r="DG758" s="399"/>
      <c r="DH758" s="47"/>
      <c r="DI758" s="399"/>
      <c r="DJ758" s="399"/>
      <c r="DK758" s="399"/>
      <c r="DL758" s="399"/>
      <c r="DM758" s="399"/>
      <c r="DN758" s="399"/>
      <c r="DO758" s="47"/>
      <c r="DP758" s="399"/>
      <c r="DQ758" s="399"/>
      <c r="DR758" s="399"/>
      <c r="DS758" s="399"/>
      <c r="DT758" s="399"/>
      <c r="DU758" s="399"/>
      <c r="DV758" s="47"/>
      <c r="DW758" s="399"/>
      <c r="DX758" s="399"/>
      <c r="DY758" s="399"/>
      <c r="DZ758" s="399"/>
      <c r="EA758" s="399"/>
      <c r="EB758" s="399"/>
      <c r="EC758" s="47"/>
      <c r="ED758" s="399"/>
      <c r="EE758" s="399"/>
      <c r="EF758" s="399"/>
      <c r="EG758" s="399"/>
      <c r="EH758" s="399"/>
      <c r="EI758" s="399"/>
      <c r="EJ758" s="47"/>
      <c r="EK758" s="399"/>
      <c r="EL758" s="399"/>
      <c r="EM758" s="399"/>
      <c r="EN758" s="399"/>
      <c r="EO758" s="399"/>
      <c r="EP758" s="399"/>
      <c r="EQ758" s="47"/>
    </row>
    <row r="759" spans="1:147" ht="10.199999999999999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399"/>
      <c r="P759" s="399"/>
      <c r="Q759" s="399"/>
      <c r="R759" s="399"/>
      <c r="S759" s="399"/>
      <c r="T759" s="399"/>
      <c r="U759" s="47"/>
      <c r="V759" s="399"/>
      <c r="W759" s="399"/>
      <c r="X759" s="399"/>
      <c r="Y759" s="399"/>
      <c r="Z759" s="399"/>
      <c r="AA759" s="399"/>
      <c r="AB759" s="47"/>
      <c r="AC759" s="399"/>
      <c r="AD759" s="399"/>
      <c r="AE759" s="399"/>
      <c r="AF759" s="399"/>
      <c r="AG759" s="399"/>
      <c r="AH759" s="399"/>
      <c r="AI759" s="47"/>
      <c r="AJ759" s="399"/>
      <c r="AK759" s="399"/>
      <c r="AL759" s="399"/>
      <c r="AM759" s="399"/>
      <c r="AN759" s="399"/>
      <c r="AO759" s="399"/>
      <c r="AP759" s="47"/>
      <c r="AQ759" s="399"/>
      <c r="AR759" s="399"/>
      <c r="AS759" s="399"/>
      <c r="AT759" s="399"/>
      <c r="AU759" s="399"/>
      <c r="AV759" s="399"/>
      <c r="AW759" s="47"/>
      <c r="AX759" s="399"/>
      <c r="AY759" s="399"/>
      <c r="AZ759" s="399"/>
      <c r="BA759" s="399"/>
      <c r="BB759" s="399"/>
      <c r="BC759" s="399"/>
      <c r="BD759" s="47"/>
      <c r="BE759" s="399"/>
      <c r="BF759" s="399"/>
      <c r="BG759" s="399"/>
      <c r="BH759" s="399"/>
      <c r="BI759" s="399"/>
      <c r="BJ759" s="399"/>
      <c r="BK759" s="47"/>
      <c r="BL759" s="399"/>
      <c r="BM759" s="399"/>
      <c r="BN759" s="399"/>
      <c r="BO759" s="399"/>
      <c r="BP759" s="399"/>
      <c r="BQ759" s="399"/>
      <c r="BR759" s="47"/>
      <c r="BS759" s="399"/>
      <c r="BT759" s="399"/>
      <c r="BU759" s="399"/>
      <c r="BV759" s="399"/>
      <c r="BW759" s="399"/>
      <c r="BX759" s="399"/>
      <c r="BY759" s="47"/>
      <c r="BZ759" s="399"/>
      <c r="CA759" s="399"/>
      <c r="CB759" s="399"/>
      <c r="CC759" s="399"/>
      <c r="CD759" s="399"/>
      <c r="CE759" s="399"/>
      <c r="CF759" s="47"/>
      <c r="CG759" s="399"/>
      <c r="CH759" s="399"/>
      <c r="CI759" s="399"/>
      <c r="CJ759" s="399"/>
      <c r="CK759" s="399"/>
      <c r="CL759" s="399"/>
      <c r="CM759" s="47"/>
      <c r="CN759" s="399"/>
      <c r="CO759" s="399"/>
      <c r="CP759" s="399"/>
      <c r="CQ759" s="399"/>
      <c r="CR759" s="399"/>
      <c r="CS759" s="399"/>
      <c r="CT759" s="47"/>
      <c r="CU759" s="399"/>
      <c r="CV759" s="399"/>
      <c r="CW759" s="399"/>
      <c r="CX759" s="399"/>
      <c r="CY759" s="399"/>
      <c r="CZ759" s="399"/>
      <c r="DA759" s="47"/>
      <c r="DB759" s="399"/>
      <c r="DC759" s="399"/>
      <c r="DD759" s="399"/>
      <c r="DE759" s="399"/>
      <c r="DF759" s="399"/>
      <c r="DG759" s="399"/>
      <c r="DH759" s="47"/>
      <c r="DI759" s="399"/>
      <c r="DJ759" s="399"/>
      <c r="DK759" s="399"/>
      <c r="DL759" s="399"/>
      <c r="DM759" s="399"/>
      <c r="DN759" s="399"/>
      <c r="DO759" s="47"/>
      <c r="DP759" s="399"/>
      <c r="DQ759" s="399"/>
      <c r="DR759" s="399"/>
      <c r="DS759" s="399"/>
      <c r="DT759" s="399"/>
      <c r="DU759" s="399"/>
      <c r="DV759" s="47"/>
      <c r="DW759" s="399"/>
      <c r="DX759" s="399"/>
      <c r="DY759" s="399"/>
      <c r="DZ759" s="399"/>
      <c r="EA759" s="399"/>
      <c r="EB759" s="399"/>
      <c r="EC759" s="47"/>
      <c r="ED759" s="399"/>
      <c r="EE759" s="399"/>
      <c r="EF759" s="399"/>
      <c r="EG759" s="399"/>
      <c r="EH759" s="399"/>
      <c r="EI759" s="399"/>
      <c r="EJ759" s="47"/>
      <c r="EK759" s="399"/>
      <c r="EL759" s="399"/>
      <c r="EM759" s="399"/>
      <c r="EN759" s="399"/>
      <c r="EO759" s="399"/>
      <c r="EP759" s="399"/>
      <c r="EQ759" s="47"/>
    </row>
    <row r="760" spans="1:147" ht="10.199999999999999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399"/>
      <c r="P760" s="399"/>
      <c r="Q760" s="399"/>
      <c r="R760" s="399"/>
      <c r="S760" s="399"/>
      <c r="T760" s="399"/>
      <c r="U760" s="47"/>
      <c r="V760" s="399"/>
      <c r="W760" s="399"/>
      <c r="X760" s="399"/>
      <c r="Y760" s="399"/>
      <c r="Z760" s="399"/>
      <c r="AA760" s="399"/>
      <c r="AB760" s="47"/>
      <c r="AC760" s="399"/>
      <c r="AD760" s="399"/>
      <c r="AE760" s="399"/>
      <c r="AF760" s="399"/>
      <c r="AG760" s="399"/>
      <c r="AH760" s="399"/>
      <c r="AI760" s="47"/>
      <c r="AJ760" s="399"/>
      <c r="AK760" s="399"/>
      <c r="AL760" s="399"/>
      <c r="AM760" s="399"/>
      <c r="AN760" s="399"/>
      <c r="AO760" s="399"/>
      <c r="AP760" s="47"/>
      <c r="AQ760" s="399"/>
      <c r="AR760" s="399"/>
      <c r="AS760" s="399"/>
      <c r="AT760" s="399"/>
      <c r="AU760" s="399"/>
      <c r="AV760" s="399"/>
      <c r="AW760" s="47"/>
      <c r="AX760" s="399"/>
      <c r="AY760" s="399"/>
      <c r="AZ760" s="399"/>
      <c r="BA760" s="399"/>
      <c r="BB760" s="399"/>
      <c r="BC760" s="399"/>
      <c r="BD760" s="47"/>
      <c r="BE760" s="399"/>
      <c r="BF760" s="399"/>
      <c r="BG760" s="399"/>
      <c r="BH760" s="399"/>
      <c r="BI760" s="399"/>
      <c r="BJ760" s="399"/>
      <c r="BK760" s="47"/>
      <c r="BL760" s="399"/>
      <c r="BM760" s="399"/>
      <c r="BN760" s="399"/>
      <c r="BO760" s="399"/>
      <c r="BP760" s="399"/>
      <c r="BQ760" s="399"/>
      <c r="BR760" s="47"/>
      <c r="BS760" s="399"/>
      <c r="BT760" s="399"/>
      <c r="BU760" s="399"/>
      <c r="BV760" s="399"/>
      <c r="BW760" s="399"/>
      <c r="BX760" s="399"/>
      <c r="BY760" s="47"/>
      <c r="BZ760" s="399"/>
      <c r="CA760" s="399"/>
      <c r="CB760" s="399"/>
      <c r="CC760" s="399"/>
      <c r="CD760" s="399"/>
      <c r="CE760" s="399"/>
      <c r="CF760" s="47"/>
      <c r="CG760" s="399"/>
      <c r="CH760" s="399"/>
      <c r="CI760" s="399"/>
      <c r="CJ760" s="399"/>
      <c r="CK760" s="399"/>
      <c r="CL760" s="399"/>
      <c r="CM760" s="47"/>
      <c r="CN760" s="399"/>
      <c r="CO760" s="399"/>
      <c r="CP760" s="399"/>
      <c r="CQ760" s="399"/>
      <c r="CR760" s="399"/>
      <c r="CS760" s="399"/>
      <c r="CT760" s="47"/>
      <c r="CU760" s="399"/>
      <c r="CV760" s="399"/>
      <c r="CW760" s="399"/>
      <c r="CX760" s="399"/>
      <c r="CY760" s="399"/>
      <c r="CZ760" s="399"/>
      <c r="DA760" s="47"/>
      <c r="DB760" s="399"/>
      <c r="DC760" s="399"/>
      <c r="DD760" s="399"/>
      <c r="DE760" s="399"/>
      <c r="DF760" s="399"/>
      <c r="DG760" s="399"/>
      <c r="DH760" s="47"/>
      <c r="DI760" s="399"/>
      <c r="DJ760" s="399"/>
      <c r="DK760" s="399"/>
      <c r="DL760" s="399"/>
      <c r="DM760" s="399"/>
      <c r="DN760" s="399"/>
      <c r="DO760" s="47"/>
      <c r="DP760" s="399"/>
      <c r="DQ760" s="399"/>
      <c r="DR760" s="399"/>
      <c r="DS760" s="399"/>
      <c r="DT760" s="399"/>
      <c r="DU760" s="399"/>
      <c r="DV760" s="47"/>
      <c r="DW760" s="399"/>
      <c r="DX760" s="399"/>
      <c r="DY760" s="399"/>
      <c r="DZ760" s="399"/>
      <c r="EA760" s="399"/>
      <c r="EB760" s="399"/>
      <c r="EC760" s="47"/>
      <c r="ED760" s="399"/>
      <c r="EE760" s="399"/>
      <c r="EF760" s="399"/>
      <c r="EG760" s="399"/>
      <c r="EH760" s="399"/>
      <c r="EI760" s="399"/>
      <c r="EJ760" s="47"/>
      <c r="EK760" s="399"/>
      <c r="EL760" s="399"/>
      <c r="EM760" s="399"/>
      <c r="EN760" s="399"/>
      <c r="EO760" s="399"/>
      <c r="EP760" s="399"/>
      <c r="EQ760" s="47"/>
    </row>
    <row r="761" spans="1:147" ht="10.199999999999999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399"/>
      <c r="P761" s="399"/>
      <c r="Q761" s="399"/>
      <c r="R761" s="399"/>
      <c r="S761" s="399"/>
      <c r="T761" s="399"/>
      <c r="U761" s="47"/>
      <c r="V761" s="399"/>
      <c r="W761" s="399"/>
      <c r="X761" s="399"/>
      <c r="Y761" s="399"/>
      <c r="Z761" s="399"/>
      <c r="AA761" s="399"/>
      <c r="AB761" s="47"/>
      <c r="AC761" s="399"/>
      <c r="AD761" s="399"/>
      <c r="AE761" s="399"/>
      <c r="AF761" s="399"/>
      <c r="AG761" s="399"/>
      <c r="AH761" s="399"/>
      <c r="AI761" s="47"/>
      <c r="AJ761" s="399"/>
      <c r="AK761" s="399"/>
      <c r="AL761" s="399"/>
      <c r="AM761" s="399"/>
      <c r="AN761" s="399"/>
      <c r="AO761" s="399"/>
      <c r="AP761" s="47"/>
      <c r="AQ761" s="399"/>
      <c r="AR761" s="399"/>
      <c r="AS761" s="399"/>
      <c r="AT761" s="399"/>
      <c r="AU761" s="399"/>
      <c r="AV761" s="399"/>
      <c r="AW761" s="47"/>
      <c r="AX761" s="399"/>
      <c r="AY761" s="399"/>
      <c r="AZ761" s="399"/>
      <c r="BA761" s="399"/>
      <c r="BB761" s="399"/>
      <c r="BC761" s="399"/>
      <c r="BD761" s="47"/>
      <c r="BE761" s="399"/>
      <c r="BF761" s="399"/>
      <c r="BG761" s="399"/>
      <c r="BH761" s="399"/>
      <c r="BI761" s="399"/>
      <c r="BJ761" s="399"/>
      <c r="BK761" s="47"/>
      <c r="BL761" s="399"/>
      <c r="BM761" s="399"/>
      <c r="BN761" s="399"/>
      <c r="BO761" s="399"/>
      <c r="BP761" s="399"/>
      <c r="BQ761" s="399"/>
      <c r="BR761" s="47"/>
      <c r="BS761" s="399"/>
      <c r="BT761" s="399"/>
      <c r="BU761" s="399"/>
      <c r="BV761" s="399"/>
      <c r="BW761" s="399"/>
      <c r="BX761" s="399"/>
      <c r="BY761" s="47"/>
      <c r="BZ761" s="399"/>
      <c r="CA761" s="399"/>
      <c r="CB761" s="399"/>
      <c r="CC761" s="399"/>
      <c r="CD761" s="399"/>
      <c r="CE761" s="399"/>
      <c r="CF761" s="47"/>
      <c r="CG761" s="399"/>
      <c r="CH761" s="399"/>
      <c r="CI761" s="399"/>
      <c r="CJ761" s="399"/>
      <c r="CK761" s="399"/>
      <c r="CL761" s="399"/>
      <c r="CM761" s="47"/>
      <c r="CN761" s="399"/>
      <c r="CO761" s="399"/>
      <c r="CP761" s="399"/>
      <c r="CQ761" s="399"/>
      <c r="CR761" s="399"/>
      <c r="CS761" s="399"/>
      <c r="CT761" s="47"/>
      <c r="CU761" s="399"/>
      <c r="CV761" s="399"/>
      <c r="CW761" s="399"/>
      <c r="CX761" s="399"/>
      <c r="CY761" s="399"/>
      <c r="CZ761" s="399"/>
      <c r="DA761" s="47"/>
      <c r="DB761" s="399"/>
      <c r="DC761" s="399"/>
      <c r="DD761" s="399"/>
      <c r="DE761" s="399"/>
      <c r="DF761" s="399"/>
      <c r="DG761" s="399"/>
      <c r="DH761" s="47"/>
      <c r="DI761" s="399"/>
      <c r="DJ761" s="399"/>
      <c r="DK761" s="399"/>
      <c r="DL761" s="399"/>
      <c r="DM761" s="399"/>
      <c r="DN761" s="399"/>
      <c r="DO761" s="47"/>
      <c r="DP761" s="399"/>
      <c r="DQ761" s="399"/>
      <c r="DR761" s="399"/>
      <c r="DS761" s="399"/>
      <c r="DT761" s="399"/>
      <c r="DU761" s="399"/>
      <c r="DV761" s="47"/>
      <c r="DW761" s="399"/>
      <c r="DX761" s="399"/>
      <c r="DY761" s="399"/>
      <c r="DZ761" s="399"/>
      <c r="EA761" s="399"/>
      <c r="EB761" s="399"/>
      <c r="EC761" s="47"/>
      <c r="ED761" s="399"/>
      <c r="EE761" s="399"/>
      <c r="EF761" s="399"/>
      <c r="EG761" s="399"/>
      <c r="EH761" s="399"/>
      <c r="EI761" s="399"/>
      <c r="EJ761" s="47"/>
      <c r="EK761" s="399"/>
      <c r="EL761" s="399"/>
      <c r="EM761" s="399"/>
      <c r="EN761" s="399"/>
      <c r="EO761" s="399"/>
      <c r="EP761" s="399"/>
      <c r="EQ761" s="47"/>
    </row>
    <row r="762" spans="1:147" ht="10.199999999999999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399"/>
      <c r="P762" s="399"/>
      <c r="Q762" s="399"/>
      <c r="R762" s="399"/>
      <c r="S762" s="399"/>
      <c r="T762" s="399"/>
      <c r="U762" s="47"/>
      <c r="V762" s="399"/>
      <c r="W762" s="399"/>
      <c r="X762" s="399"/>
      <c r="Y762" s="399"/>
      <c r="Z762" s="399"/>
      <c r="AA762" s="399"/>
      <c r="AB762" s="47"/>
      <c r="AC762" s="399"/>
      <c r="AD762" s="399"/>
      <c r="AE762" s="399"/>
      <c r="AF762" s="399"/>
      <c r="AG762" s="399"/>
      <c r="AH762" s="399"/>
      <c r="AI762" s="47"/>
      <c r="AJ762" s="399"/>
      <c r="AK762" s="399"/>
      <c r="AL762" s="399"/>
      <c r="AM762" s="399"/>
      <c r="AN762" s="399"/>
      <c r="AO762" s="399"/>
      <c r="AP762" s="47"/>
      <c r="AQ762" s="399"/>
      <c r="AR762" s="399"/>
      <c r="AS762" s="399"/>
      <c r="AT762" s="399"/>
      <c r="AU762" s="399"/>
      <c r="AV762" s="399"/>
      <c r="AW762" s="47"/>
      <c r="AX762" s="399"/>
      <c r="AY762" s="399"/>
      <c r="AZ762" s="399"/>
      <c r="BA762" s="399"/>
      <c r="BB762" s="399"/>
      <c r="BC762" s="399"/>
      <c r="BD762" s="47"/>
      <c r="BE762" s="399"/>
      <c r="BF762" s="399"/>
      <c r="BG762" s="399"/>
      <c r="BH762" s="399"/>
      <c r="BI762" s="399"/>
      <c r="BJ762" s="399"/>
      <c r="BK762" s="47"/>
      <c r="BL762" s="399"/>
      <c r="BM762" s="399"/>
      <c r="BN762" s="399"/>
      <c r="BO762" s="399"/>
      <c r="BP762" s="399"/>
      <c r="BQ762" s="399"/>
      <c r="BR762" s="47"/>
      <c r="BS762" s="399"/>
      <c r="BT762" s="399"/>
      <c r="BU762" s="399"/>
      <c r="BV762" s="399"/>
      <c r="BW762" s="399"/>
      <c r="BX762" s="399"/>
      <c r="BY762" s="47"/>
      <c r="BZ762" s="399"/>
      <c r="CA762" s="399"/>
      <c r="CB762" s="399"/>
      <c r="CC762" s="399"/>
      <c r="CD762" s="399"/>
      <c r="CE762" s="399"/>
      <c r="CF762" s="47"/>
      <c r="CG762" s="399"/>
      <c r="CH762" s="399"/>
      <c r="CI762" s="399"/>
      <c r="CJ762" s="399"/>
      <c r="CK762" s="399"/>
      <c r="CL762" s="399"/>
      <c r="CM762" s="47"/>
      <c r="CN762" s="399"/>
      <c r="CO762" s="399"/>
      <c r="CP762" s="399"/>
      <c r="CQ762" s="399"/>
      <c r="CR762" s="399"/>
      <c r="CS762" s="399"/>
      <c r="CT762" s="47"/>
      <c r="CU762" s="399"/>
      <c r="CV762" s="399"/>
      <c r="CW762" s="399"/>
      <c r="CX762" s="399"/>
      <c r="CY762" s="399"/>
      <c r="CZ762" s="399"/>
      <c r="DA762" s="47"/>
      <c r="DB762" s="399"/>
      <c r="DC762" s="399"/>
      <c r="DD762" s="399"/>
      <c r="DE762" s="399"/>
      <c r="DF762" s="399"/>
      <c r="DG762" s="399"/>
      <c r="DH762" s="47"/>
      <c r="DI762" s="399"/>
      <c r="DJ762" s="399"/>
      <c r="DK762" s="399"/>
      <c r="DL762" s="399"/>
      <c r="DM762" s="399"/>
      <c r="DN762" s="399"/>
      <c r="DO762" s="47"/>
      <c r="DP762" s="399"/>
      <c r="DQ762" s="399"/>
      <c r="DR762" s="399"/>
      <c r="DS762" s="399"/>
      <c r="DT762" s="399"/>
      <c r="DU762" s="399"/>
      <c r="DV762" s="47"/>
      <c r="DW762" s="399"/>
      <c r="DX762" s="399"/>
      <c r="DY762" s="399"/>
      <c r="DZ762" s="399"/>
      <c r="EA762" s="399"/>
      <c r="EB762" s="399"/>
      <c r="EC762" s="47"/>
      <c r="ED762" s="399"/>
      <c r="EE762" s="399"/>
      <c r="EF762" s="399"/>
      <c r="EG762" s="399"/>
      <c r="EH762" s="399"/>
      <c r="EI762" s="399"/>
      <c r="EJ762" s="47"/>
      <c r="EK762" s="399"/>
      <c r="EL762" s="399"/>
      <c r="EM762" s="399"/>
      <c r="EN762" s="399"/>
      <c r="EO762" s="399"/>
      <c r="EP762" s="399"/>
      <c r="EQ762" s="47"/>
    </row>
    <row r="763" spans="1:147" ht="10.199999999999999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399"/>
      <c r="P763" s="399"/>
      <c r="Q763" s="399"/>
      <c r="R763" s="399"/>
      <c r="S763" s="399"/>
      <c r="T763" s="399"/>
      <c r="U763" s="47"/>
      <c r="V763" s="399"/>
      <c r="W763" s="399"/>
      <c r="X763" s="399"/>
      <c r="Y763" s="399"/>
      <c r="Z763" s="399"/>
      <c r="AA763" s="399"/>
      <c r="AB763" s="47"/>
      <c r="AC763" s="399"/>
      <c r="AD763" s="399"/>
      <c r="AE763" s="399"/>
      <c r="AF763" s="399"/>
      <c r="AG763" s="399"/>
      <c r="AH763" s="399"/>
      <c r="AI763" s="47"/>
      <c r="AJ763" s="399"/>
      <c r="AK763" s="399"/>
      <c r="AL763" s="399"/>
      <c r="AM763" s="399"/>
      <c r="AN763" s="399"/>
      <c r="AO763" s="399"/>
      <c r="AP763" s="47"/>
      <c r="AQ763" s="399"/>
      <c r="AR763" s="399"/>
      <c r="AS763" s="399"/>
      <c r="AT763" s="399"/>
      <c r="AU763" s="399"/>
      <c r="AV763" s="399"/>
      <c r="AW763" s="47"/>
      <c r="AX763" s="399"/>
      <c r="AY763" s="399"/>
      <c r="AZ763" s="399"/>
      <c r="BA763" s="399"/>
      <c r="BB763" s="399"/>
      <c r="BC763" s="399"/>
      <c r="BD763" s="47"/>
      <c r="BE763" s="399"/>
      <c r="BF763" s="399"/>
      <c r="BG763" s="399"/>
      <c r="BH763" s="399"/>
      <c r="BI763" s="399"/>
      <c r="BJ763" s="399"/>
      <c r="BK763" s="47"/>
      <c r="BL763" s="399"/>
      <c r="BM763" s="399"/>
      <c r="BN763" s="399"/>
      <c r="BO763" s="399"/>
      <c r="BP763" s="399"/>
      <c r="BQ763" s="399"/>
      <c r="BR763" s="47"/>
      <c r="BS763" s="399"/>
      <c r="BT763" s="399"/>
      <c r="BU763" s="399"/>
      <c r="BV763" s="399"/>
      <c r="BW763" s="399"/>
      <c r="BX763" s="399"/>
      <c r="BY763" s="47"/>
      <c r="BZ763" s="399"/>
      <c r="CA763" s="399"/>
      <c r="CB763" s="399"/>
      <c r="CC763" s="399"/>
      <c r="CD763" s="399"/>
      <c r="CE763" s="399"/>
      <c r="CF763" s="47"/>
      <c r="CG763" s="399"/>
      <c r="CH763" s="399"/>
      <c r="CI763" s="399"/>
      <c r="CJ763" s="399"/>
      <c r="CK763" s="399"/>
      <c r="CL763" s="399"/>
      <c r="CM763" s="47"/>
      <c r="CN763" s="399"/>
      <c r="CO763" s="399"/>
      <c r="CP763" s="399"/>
      <c r="CQ763" s="399"/>
      <c r="CR763" s="399"/>
      <c r="CS763" s="399"/>
      <c r="CT763" s="47"/>
      <c r="CU763" s="399"/>
      <c r="CV763" s="399"/>
      <c r="CW763" s="399"/>
      <c r="CX763" s="399"/>
      <c r="CY763" s="399"/>
      <c r="CZ763" s="399"/>
      <c r="DA763" s="47"/>
      <c r="DB763" s="399"/>
      <c r="DC763" s="399"/>
      <c r="DD763" s="399"/>
      <c r="DE763" s="399"/>
      <c r="DF763" s="399"/>
      <c r="DG763" s="399"/>
      <c r="DH763" s="47"/>
      <c r="DI763" s="399"/>
      <c r="DJ763" s="399"/>
      <c r="DK763" s="399"/>
      <c r="DL763" s="399"/>
      <c r="DM763" s="399"/>
      <c r="DN763" s="399"/>
      <c r="DO763" s="47"/>
      <c r="DP763" s="399"/>
      <c r="DQ763" s="399"/>
      <c r="DR763" s="399"/>
      <c r="DS763" s="399"/>
      <c r="DT763" s="399"/>
      <c r="DU763" s="399"/>
      <c r="DV763" s="47"/>
      <c r="DW763" s="399"/>
      <c r="DX763" s="399"/>
      <c r="DY763" s="399"/>
      <c r="DZ763" s="399"/>
      <c r="EA763" s="399"/>
      <c r="EB763" s="399"/>
      <c r="EC763" s="47"/>
      <c r="ED763" s="399"/>
      <c r="EE763" s="399"/>
      <c r="EF763" s="399"/>
      <c r="EG763" s="399"/>
      <c r="EH763" s="399"/>
      <c r="EI763" s="399"/>
      <c r="EJ763" s="47"/>
      <c r="EK763" s="399"/>
      <c r="EL763" s="399"/>
      <c r="EM763" s="399"/>
      <c r="EN763" s="399"/>
      <c r="EO763" s="399"/>
      <c r="EP763" s="399"/>
      <c r="EQ763" s="47"/>
    </row>
    <row r="764" spans="1:147" ht="10.199999999999999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399"/>
      <c r="P764" s="399"/>
      <c r="Q764" s="399"/>
      <c r="R764" s="399"/>
      <c r="S764" s="399"/>
      <c r="T764" s="399"/>
      <c r="U764" s="47"/>
      <c r="V764" s="399"/>
      <c r="W764" s="399"/>
      <c r="X764" s="399"/>
      <c r="Y764" s="399"/>
      <c r="Z764" s="399"/>
      <c r="AA764" s="399"/>
      <c r="AB764" s="47"/>
      <c r="AC764" s="399"/>
      <c r="AD764" s="399"/>
      <c r="AE764" s="399"/>
      <c r="AF764" s="399"/>
      <c r="AG764" s="399"/>
      <c r="AH764" s="399"/>
      <c r="AI764" s="47"/>
      <c r="AJ764" s="399"/>
      <c r="AK764" s="399"/>
      <c r="AL764" s="399"/>
      <c r="AM764" s="399"/>
      <c r="AN764" s="399"/>
      <c r="AO764" s="399"/>
      <c r="AP764" s="47"/>
      <c r="AQ764" s="399"/>
      <c r="AR764" s="399"/>
      <c r="AS764" s="399"/>
      <c r="AT764" s="399"/>
      <c r="AU764" s="399"/>
      <c r="AV764" s="399"/>
      <c r="AW764" s="47"/>
      <c r="AX764" s="399"/>
      <c r="AY764" s="399"/>
      <c r="AZ764" s="399"/>
      <c r="BA764" s="399"/>
      <c r="BB764" s="399"/>
      <c r="BC764" s="399"/>
      <c r="BD764" s="47"/>
      <c r="BE764" s="399"/>
      <c r="BF764" s="399"/>
      <c r="BG764" s="399"/>
      <c r="BH764" s="399"/>
      <c r="BI764" s="399"/>
      <c r="BJ764" s="399"/>
      <c r="BK764" s="47"/>
      <c r="BL764" s="399"/>
      <c r="BM764" s="399"/>
      <c r="BN764" s="399"/>
      <c r="BO764" s="399"/>
      <c r="BP764" s="399"/>
      <c r="BQ764" s="399"/>
      <c r="BR764" s="47"/>
      <c r="BS764" s="399"/>
      <c r="BT764" s="399"/>
      <c r="BU764" s="399"/>
      <c r="BV764" s="399"/>
      <c r="BW764" s="399"/>
      <c r="BX764" s="399"/>
      <c r="BY764" s="47"/>
      <c r="BZ764" s="399"/>
      <c r="CA764" s="399"/>
      <c r="CB764" s="399"/>
      <c r="CC764" s="399"/>
      <c r="CD764" s="399"/>
      <c r="CE764" s="399"/>
      <c r="CF764" s="47"/>
      <c r="CG764" s="399"/>
      <c r="CH764" s="399"/>
      <c r="CI764" s="399"/>
      <c r="CJ764" s="399"/>
      <c r="CK764" s="399"/>
      <c r="CL764" s="399"/>
      <c r="CM764" s="47"/>
      <c r="CN764" s="399"/>
      <c r="CO764" s="399"/>
      <c r="CP764" s="399"/>
      <c r="CQ764" s="399"/>
      <c r="CR764" s="399"/>
      <c r="CS764" s="399"/>
      <c r="CT764" s="47"/>
      <c r="CU764" s="399"/>
      <c r="CV764" s="399"/>
      <c r="CW764" s="399"/>
      <c r="CX764" s="399"/>
      <c r="CY764" s="399"/>
      <c r="CZ764" s="399"/>
      <c r="DA764" s="47"/>
      <c r="DB764" s="399"/>
      <c r="DC764" s="399"/>
      <c r="DD764" s="399"/>
      <c r="DE764" s="399"/>
      <c r="DF764" s="399"/>
      <c r="DG764" s="399"/>
      <c r="DH764" s="47"/>
      <c r="DI764" s="399"/>
      <c r="DJ764" s="399"/>
      <c r="DK764" s="399"/>
      <c r="DL764" s="399"/>
      <c r="DM764" s="399"/>
      <c r="DN764" s="399"/>
      <c r="DO764" s="47"/>
      <c r="DP764" s="399"/>
      <c r="DQ764" s="399"/>
      <c r="DR764" s="399"/>
      <c r="DS764" s="399"/>
      <c r="DT764" s="399"/>
      <c r="DU764" s="399"/>
      <c r="DV764" s="47"/>
      <c r="DW764" s="399"/>
      <c r="DX764" s="399"/>
      <c r="DY764" s="399"/>
      <c r="DZ764" s="399"/>
      <c r="EA764" s="399"/>
      <c r="EB764" s="399"/>
      <c r="EC764" s="47"/>
      <c r="ED764" s="399"/>
      <c r="EE764" s="399"/>
      <c r="EF764" s="399"/>
      <c r="EG764" s="399"/>
      <c r="EH764" s="399"/>
      <c r="EI764" s="399"/>
      <c r="EJ764" s="47"/>
      <c r="EK764" s="399"/>
      <c r="EL764" s="399"/>
      <c r="EM764" s="399"/>
      <c r="EN764" s="399"/>
      <c r="EO764" s="399"/>
      <c r="EP764" s="399"/>
      <c r="EQ764" s="47"/>
    </row>
    <row r="765" spans="1:147" ht="10.199999999999999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399"/>
      <c r="P765" s="399"/>
      <c r="Q765" s="399"/>
      <c r="R765" s="399"/>
      <c r="S765" s="399"/>
      <c r="T765" s="399"/>
      <c r="U765" s="47"/>
      <c r="V765" s="399"/>
      <c r="W765" s="399"/>
      <c r="X765" s="399"/>
      <c r="Y765" s="399"/>
      <c r="Z765" s="399"/>
      <c r="AA765" s="399"/>
      <c r="AB765" s="47"/>
      <c r="AC765" s="399"/>
      <c r="AD765" s="399"/>
      <c r="AE765" s="399"/>
      <c r="AF765" s="399"/>
      <c r="AG765" s="399"/>
      <c r="AH765" s="399"/>
      <c r="AI765" s="47"/>
      <c r="AJ765" s="399"/>
      <c r="AK765" s="399"/>
      <c r="AL765" s="399"/>
      <c r="AM765" s="399"/>
      <c r="AN765" s="399"/>
      <c r="AO765" s="399"/>
      <c r="AP765" s="47"/>
      <c r="AQ765" s="399"/>
      <c r="AR765" s="399"/>
      <c r="AS765" s="399"/>
      <c r="AT765" s="399"/>
      <c r="AU765" s="399"/>
      <c r="AV765" s="399"/>
      <c r="AW765" s="47"/>
      <c r="AX765" s="399"/>
      <c r="AY765" s="399"/>
      <c r="AZ765" s="399"/>
      <c r="BA765" s="399"/>
      <c r="BB765" s="399"/>
      <c r="BC765" s="399"/>
      <c r="BD765" s="47"/>
      <c r="BE765" s="399"/>
      <c r="BF765" s="399"/>
      <c r="BG765" s="399"/>
      <c r="BH765" s="399"/>
      <c r="BI765" s="399"/>
      <c r="BJ765" s="399"/>
      <c r="BK765" s="47"/>
      <c r="BL765" s="399"/>
      <c r="BM765" s="399"/>
      <c r="BN765" s="399"/>
      <c r="BO765" s="399"/>
      <c r="BP765" s="399"/>
      <c r="BQ765" s="399"/>
      <c r="BR765" s="47"/>
      <c r="BS765" s="399"/>
      <c r="BT765" s="399"/>
      <c r="BU765" s="399"/>
      <c r="BV765" s="399"/>
      <c r="BW765" s="399"/>
      <c r="BX765" s="399"/>
      <c r="BY765" s="47"/>
      <c r="BZ765" s="399"/>
      <c r="CA765" s="399"/>
      <c r="CB765" s="399"/>
      <c r="CC765" s="399"/>
      <c r="CD765" s="399"/>
      <c r="CE765" s="399"/>
      <c r="CF765" s="47"/>
      <c r="CG765" s="399"/>
      <c r="CH765" s="399"/>
      <c r="CI765" s="399"/>
      <c r="CJ765" s="399"/>
      <c r="CK765" s="399"/>
      <c r="CL765" s="399"/>
      <c r="CM765" s="47"/>
      <c r="CN765" s="399"/>
      <c r="CO765" s="399"/>
      <c r="CP765" s="399"/>
      <c r="CQ765" s="399"/>
      <c r="CR765" s="399"/>
      <c r="CS765" s="399"/>
      <c r="CT765" s="47"/>
      <c r="CU765" s="399"/>
      <c r="CV765" s="399"/>
      <c r="CW765" s="399"/>
      <c r="CX765" s="399"/>
      <c r="CY765" s="399"/>
      <c r="CZ765" s="399"/>
      <c r="DA765" s="47"/>
      <c r="DB765" s="399"/>
      <c r="DC765" s="399"/>
      <c r="DD765" s="399"/>
      <c r="DE765" s="399"/>
      <c r="DF765" s="399"/>
      <c r="DG765" s="399"/>
      <c r="DH765" s="47"/>
      <c r="DI765" s="399"/>
      <c r="DJ765" s="399"/>
      <c r="DK765" s="399"/>
      <c r="DL765" s="399"/>
      <c r="DM765" s="399"/>
      <c r="DN765" s="399"/>
      <c r="DO765" s="47"/>
      <c r="DP765" s="399"/>
      <c r="DQ765" s="399"/>
      <c r="DR765" s="399"/>
      <c r="DS765" s="399"/>
      <c r="DT765" s="399"/>
      <c r="DU765" s="399"/>
      <c r="DV765" s="47"/>
      <c r="DW765" s="399"/>
      <c r="DX765" s="399"/>
      <c r="DY765" s="399"/>
      <c r="DZ765" s="399"/>
      <c r="EA765" s="399"/>
      <c r="EB765" s="399"/>
      <c r="EC765" s="47"/>
      <c r="ED765" s="399"/>
      <c r="EE765" s="399"/>
      <c r="EF765" s="399"/>
      <c r="EG765" s="399"/>
      <c r="EH765" s="399"/>
      <c r="EI765" s="399"/>
      <c r="EJ765" s="47"/>
      <c r="EK765" s="399"/>
      <c r="EL765" s="399"/>
      <c r="EM765" s="399"/>
      <c r="EN765" s="399"/>
      <c r="EO765" s="399"/>
      <c r="EP765" s="399"/>
      <c r="EQ765" s="47"/>
    </row>
    <row r="766" spans="1:147" ht="10.199999999999999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399"/>
      <c r="P766" s="399"/>
      <c r="Q766" s="399"/>
      <c r="R766" s="399"/>
      <c r="S766" s="399"/>
      <c r="T766" s="399"/>
      <c r="U766" s="47"/>
      <c r="V766" s="399"/>
      <c r="W766" s="399"/>
      <c r="X766" s="399"/>
      <c r="Y766" s="399"/>
      <c r="Z766" s="399"/>
      <c r="AA766" s="399"/>
      <c r="AB766" s="47"/>
      <c r="AC766" s="399"/>
      <c r="AD766" s="399"/>
      <c r="AE766" s="399"/>
      <c r="AF766" s="399"/>
      <c r="AG766" s="399"/>
      <c r="AH766" s="399"/>
      <c r="AI766" s="47"/>
      <c r="AJ766" s="399"/>
      <c r="AK766" s="399"/>
      <c r="AL766" s="399"/>
      <c r="AM766" s="399"/>
      <c r="AN766" s="399"/>
      <c r="AO766" s="399"/>
      <c r="AP766" s="47"/>
      <c r="AQ766" s="399"/>
      <c r="AR766" s="399"/>
      <c r="AS766" s="399"/>
      <c r="AT766" s="399"/>
      <c r="AU766" s="399"/>
      <c r="AV766" s="399"/>
      <c r="AW766" s="47"/>
      <c r="AX766" s="399"/>
      <c r="AY766" s="399"/>
      <c r="AZ766" s="399"/>
      <c r="BA766" s="399"/>
      <c r="BB766" s="399"/>
      <c r="BC766" s="399"/>
      <c r="BD766" s="47"/>
      <c r="BE766" s="399"/>
      <c r="BF766" s="399"/>
      <c r="BG766" s="399"/>
      <c r="BH766" s="399"/>
      <c r="BI766" s="399"/>
      <c r="BJ766" s="399"/>
      <c r="BK766" s="47"/>
      <c r="BL766" s="399"/>
      <c r="BM766" s="399"/>
      <c r="BN766" s="399"/>
      <c r="BO766" s="399"/>
      <c r="BP766" s="399"/>
      <c r="BQ766" s="399"/>
      <c r="BR766" s="47"/>
      <c r="BS766" s="399"/>
      <c r="BT766" s="399"/>
      <c r="BU766" s="399"/>
      <c r="BV766" s="399"/>
      <c r="BW766" s="399"/>
      <c r="BX766" s="399"/>
      <c r="BY766" s="47"/>
      <c r="BZ766" s="399"/>
      <c r="CA766" s="399"/>
      <c r="CB766" s="399"/>
      <c r="CC766" s="399"/>
      <c r="CD766" s="399"/>
      <c r="CE766" s="399"/>
      <c r="CF766" s="47"/>
      <c r="CG766" s="399"/>
      <c r="CH766" s="399"/>
      <c r="CI766" s="399"/>
      <c r="CJ766" s="399"/>
      <c r="CK766" s="399"/>
      <c r="CL766" s="399"/>
      <c r="CM766" s="47"/>
      <c r="CN766" s="399"/>
      <c r="CO766" s="399"/>
      <c r="CP766" s="399"/>
      <c r="CQ766" s="399"/>
      <c r="CR766" s="399"/>
      <c r="CS766" s="399"/>
      <c r="CT766" s="47"/>
      <c r="CU766" s="399"/>
      <c r="CV766" s="399"/>
      <c r="CW766" s="399"/>
      <c r="CX766" s="399"/>
      <c r="CY766" s="399"/>
      <c r="CZ766" s="399"/>
      <c r="DA766" s="47"/>
      <c r="DB766" s="399"/>
      <c r="DC766" s="399"/>
      <c r="DD766" s="399"/>
      <c r="DE766" s="399"/>
      <c r="DF766" s="399"/>
      <c r="DG766" s="399"/>
      <c r="DH766" s="47"/>
      <c r="DI766" s="399"/>
      <c r="DJ766" s="399"/>
      <c r="DK766" s="399"/>
      <c r="DL766" s="399"/>
      <c r="DM766" s="399"/>
      <c r="DN766" s="399"/>
      <c r="DO766" s="47"/>
      <c r="DP766" s="399"/>
      <c r="DQ766" s="399"/>
      <c r="DR766" s="399"/>
      <c r="DS766" s="399"/>
      <c r="DT766" s="399"/>
      <c r="DU766" s="399"/>
      <c r="DV766" s="47"/>
      <c r="DW766" s="399"/>
      <c r="DX766" s="399"/>
      <c r="DY766" s="399"/>
      <c r="DZ766" s="399"/>
      <c r="EA766" s="399"/>
      <c r="EB766" s="399"/>
      <c r="EC766" s="47"/>
      <c r="ED766" s="399"/>
      <c r="EE766" s="399"/>
      <c r="EF766" s="399"/>
      <c r="EG766" s="399"/>
      <c r="EH766" s="399"/>
      <c r="EI766" s="399"/>
      <c r="EJ766" s="47"/>
      <c r="EK766" s="399"/>
      <c r="EL766" s="399"/>
      <c r="EM766" s="399"/>
      <c r="EN766" s="399"/>
      <c r="EO766" s="399"/>
      <c r="EP766" s="399"/>
      <c r="EQ766" s="47"/>
    </row>
    <row r="767" spans="1:147" ht="10.199999999999999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399"/>
      <c r="P767" s="399"/>
      <c r="Q767" s="399"/>
      <c r="R767" s="399"/>
      <c r="S767" s="399"/>
      <c r="T767" s="399"/>
      <c r="U767" s="47"/>
      <c r="V767" s="399"/>
      <c r="W767" s="399"/>
      <c r="X767" s="399"/>
      <c r="Y767" s="399"/>
      <c r="Z767" s="399"/>
      <c r="AA767" s="399"/>
      <c r="AB767" s="47"/>
      <c r="AC767" s="399"/>
      <c r="AD767" s="399"/>
      <c r="AE767" s="399"/>
      <c r="AF767" s="399"/>
      <c r="AG767" s="399"/>
      <c r="AH767" s="399"/>
      <c r="AI767" s="47"/>
      <c r="AJ767" s="399"/>
      <c r="AK767" s="399"/>
      <c r="AL767" s="399"/>
      <c r="AM767" s="399"/>
      <c r="AN767" s="399"/>
      <c r="AO767" s="399"/>
      <c r="AP767" s="47"/>
      <c r="AQ767" s="399"/>
      <c r="AR767" s="399"/>
      <c r="AS767" s="399"/>
      <c r="AT767" s="399"/>
      <c r="AU767" s="399"/>
      <c r="AV767" s="399"/>
      <c r="AW767" s="47"/>
      <c r="AX767" s="399"/>
      <c r="AY767" s="399"/>
      <c r="AZ767" s="399"/>
      <c r="BA767" s="399"/>
      <c r="BB767" s="399"/>
      <c r="BC767" s="399"/>
      <c r="BD767" s="47"/>
      <c r="BE767" s="399"/>
      <c r="BF767" s="399"/>
      <c r="BG767" s="399"/>
      <c r="BH767" s="399"/>
      <c r="BI767" s="399"/>
      <c r="BJ767" s="399"/>
      <c r="BK767" s="47"/>
      <c r="BL767" s="399"/>
      <c r="BM767" s="399"/>
      <c r="BN767" s="399"/>
      <c r="BO767" s="399"/>
      <c r="BP767" s="399"/>
      <c r="BQ767" s="399"/>
      <c r="BR767" s="47"/>
      <c r="BS767" s="399"/>
      <c r="BT767" s="399"/>
      <c r="BU767" s="399"/>
      <c r="BV767" s="399"/>
      <c r="BW767" s="399"/>
      <c r="BX767" s="399"/>
      <c r="BY767" s="47"/>
      <c r="BZ767" s="399"/>
      <c r="CA767" s="399"/>
      <c r="CB767" s="399"/>
      <c r="CC767" s="399"/>
      <c r="CD767" s="399"/>
      <c r="CE767" s="399"/>
      <c r="CF767" s="47"/>
      <c r="CG767" s="399"/>
      <c r="CH767" s="399"/>
      <c r="CI767" s="399"/>
      <c r="CJ767" s="399"/>
      <c r="CK767" s="399"/>
      <c r="CL767" s="399"/>
      <c r="CM767" s="47"/>
      <c r="CN767" s="399"/>
      <c r="CO767" s="399"/>
      <c r="CP767" s="399"/>
      <c r="CQ767" s="399"/>
      <c r="CR767" s="399"/>
      <c r="CS767" s="399"/>
      <c r="CT767" s="47"/>
      <c r="CU767" s="399"/>
      <c r="CV767" s="399"/>
      <c r="CW767" s="399"/>
      <c r="CX767" s="399"/>
      <c r="CY767" s="399"/>
      <c r="CZ767" s="399"/>
      <c r="DA767" s="47"/>
      <c r="DB767" s="399"/>
      <c r="DC767" s="399"/>
      <c r="DD767" s="399"/>
      <c r="DE767" s="399"/>
      <c r="DF767" s="399"/>
      <c r="DG767" s="399"/>
      <c r="DH767" s="47"/>
      <c r="DI767" s="399"/>
      <c r="DJ767" s="399"/>
      <c r="DK767" s="399"/>
      <c r="DL767" s="399"/>
      <c r="DM767" s="399"/>
      <c r="DN767" s="399"/>
      <c r="DO767" s="47"/>
      <c r="DP767" s="399"/>
      <c r="DQ767" s="399"/>
      <c r="DR767" s="399"/>
      <c r="DS767" s="399"/>
      <c r="DT767" s="399"/>
      <c r="DU767" s="399"/>
      <c r="DV767" s="47"/>
      <c r="DW767" s="399"/>
      <c r="DX767" s="399"/>
      <c r="DY767" s="399"/>
      <c r="DZ767" s="399"/>
      <c r="EA767" s="399"/>
      <c r="EB767" s="399"/>
      <c r="EC767" s="47"/>
      <c r="ED767" s="399"/>
      <c r="EE767" s="399"/>
      <c r="EF767" s="399"/>
      <c r="EG767" s="399"/>
      <c r="EH767" s="399"/>
      <c r="EI767" s="399"/>
      <c r="EJ767" s="47"/>
      <c r="EK767" s="399"/>
      <c r="EL767" s="399"/>
      <c r="EM767" s="399"/>
      <c r="EN767" s="399"/>
      <c r="EO767" s="399"/>
      <c r="EP767" s="399"/>
      <c r="EQ767" s="47"/>
    </row>
    <row r="768" spans="1:147" ht="10.199999999999999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399"/>
      <c r="P768" s="399"/>
      <c r="Q768" s="399"/>
      <c r="R768" s="399"/>
      <c r="S768" s="399"/>
      <c r="T768" s="399"/>
      <c r="U768" s="47"/>
      <c r="V768" s="399"/>
      <c r="W768" s="399"/>
      <c r="X768" s="399"/>
      <c r="Y768" s="399"/>
      <c r="Z768" s="399"/>
      <c r="AA768" s="399"/>
      <c r="AB768" s="47"/>
      <c r="AC768" s="399"/>
      <c r="AD768" s="399"/>
      <c r="AE768" s="399"/>
      <c r="AF768" s="399"/>
      <c r="AG768" s="399"/>
      <c r="AH768" s="399"/>
      <c r="AI768" s="47"/>
      <c r="AJ768" s="399"/>
      <c r="AK768" s="399"/>
      <c r="AL768" s="399"/>
      <c r="AM768" s="399"/>
      <c r="AN768" s="399"/>
      <c r="AO768" s="399"/>
      <c r="AP768" s="47"/>
      <c r="AQ768" s="399"/>
      <c r="AR768" s="399"/>
      <c r="AS768" s="399"/>
      <c r="AT768" s="399"/>
      <c r="AU768" s="399"/>
      <c r="AV768" s="399"/>
      <c r="AW768" s="47"/>
      <c r="AX768" s="399"/>
      <c r="AY768" s="399"/>
      <c r="AZ768" s="399"/>
      <c r="BA768" s="399"/>
      <c r="BB768" s="399"/>
      <c r="BC768" s="399"/>
      <c r="BD768" s="47"/>
      <c r="BE768" s="399"/>
      <c r="BF768" s="399"/>
      <c r="BG768" s="399"/>
      <c r="BH768" s="399"/>
      <c r="BI768" s="399"/>
      <c r="BJ768" s="399"/>
      <c r="BK768" s="47"/>
      <c r="BL768" s="399"/>
      <c r="BM768" s="399"/>
      <c r="BN768" s="399"/>
      <c r="BO768" s="399"/>
      <c r="BP768" s="399"/>
      <c r="BQ768" s="399"/>
      <c r="BR768" s="47"/>
      <c r="BS768" s="399"/>
      <c r="BT768" s="399"/>
      <c r="BU768" s="399"/>
      <c r="BV768" s="399"/>
      <c r="BW768" s="399"/>
      <c r="BX768" s="399"/>
      <c r="BY768" s="47"/>
      <c r="BZ768" s="399"/>
      <c r="CA768" s="399"/>
      <c r="CB768" s="399"/>
      <c r="CC768" s="399"/>
      <c r="CD768" s="399"/>
      <c r="CE768" s="399"/>
      <c r="CF768" s="47"/>
      <c r="CG768" s="399"/>
      <c r="CH768" s="399"/>
      <c r="CI768" s="399"/>
      <c r="CJ768" s="399"/>
      <c r="CK768" s="399"/>
      <c r="CL768" s="399"/>
      <c r="CM768" s="47"/>
      <c r="CN768" s="399"/>
      <c r="CO768" s="399"/>
      <c r="CP768" s="399"/>
      <c r="CQ768" s="399"/>
      <c r="CR768" s="399"/>
      <c r="CS768" s="399"/>
      <c r="CT768" s="47"/>
      <c r="CU768" s="399"/>
      <c r="CV768" s="399"/>
      <c r="CW768" s="399"/>
      <c r="CX768" s="399"/>
      <c r="CY768" s="399"/>
      <c r="CZ768" s="399"/>
      <c r="DA768" s="47"/>
      <c r="DB768" s="399"/>
      <c r="DC768" s="399"/>
      <c r="DD768" s="399"/>
      <c r="DE768" s="399"/>
      <c r="DF768" s="399"/>
      <c r="DG768" s="399"/>
      <c r="DH768" s="47"/>
      <c r="DI768" s="399"/>
      <c r="DJ768" s="399"/>
      <c r="DK768" s="399"/>
      <c r="DL768" s="399"/>
      <c r="DM768" s="399"/>
      <c r="DN768" s="399"/>
      <c r="DO768" s="47"/>
      <c r="DP768" s="399"/>
      <c r="DQ768" s="399"/>
      <c r="DR768" s="399"/>
      <c r="DS768" s="399"/>
      <c r="DT768" s="399"/>
      <c r="DU768" s="399"/>
      <c r="DV768" s="47"/>
      <c r="DW768" s="399"/>
      <c r="DX768" s="399"/>
      <c r="DY768" s="399"/>
      <c r="DZ768" s="399"/>
      <c r="EA768" s="399"/>
      <c r="EB768" s="399"/>
      <c r="EC768" s="47"/>
      <c r="ED768" s="399"/>
      <c r="EE768" s="399"/>
      <c r="EF768" s="399"/>
      <c r="EG768" s="399"/>
      <c r="EH768" s="399"/>
      <c r="EI768" s="399"/>
      <c r="EJ768" s="47"/>
      <c r="EK768" s="399"/>
      <c r="EL768" s="399"/>
      <c r="EM768" s="399"/>
      <c r="EN768" s="399"/>
      <c r="EO768" s="399"/>
      <c r="EP768" s="399"/>
      <c r="EQ768" s="47"/>
    </row>
    <row r="769" spans="1:147" ht="10.199999999999999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399"/>
      <c r="P769" s="399"/>
      <c r="Q769" s="399"/>
      <c r="R769" s="399"/>
      <c r="S769" s="399"/>
      <c r="T769" s="399"/>
      <c r="U769" s="47"/>
      <c r="V769" s="399"/>
      <c r="W769" s="399"/>
      <c r="X769" s="399"/>
      <c r="Y769" s="399"/>
      <c r="Z769" s="399"/>
      <c r="AA769" s="399"/>
      <c r="AB769" s="47"/>
      <c r="AC769" s="399"/>
      <c r="AD769" s="399"/>
      <c r="AE769" s="399"/>
      <c r="AF769" s="399"/>
      <c r="AG769" s="399"/>
      <c r="AH769" s="399"/>
      <c r="AI769" s="47"/>
      <c r="AJ769" s="399"/>
      <c r="AK769" s="399"/>
      <c r="AL769" s="399"/>
      <c r="AM769" s="399"/>
      <c r="AN769" s="399"/>
      <c r="AO769" s="399"/>
      <c r="AP769" s="47"/>
      <c r="AQ769" s="399"/>
      <c r="AR769" s="399"/>
      <c r="AS769" s="399"/>
      <c r="AT769" s="399"/>
      <c r="AU769" s="399"/>
      <c r="AV769" s="399"/>
      <c r="AW769" s="47"/>
      <c r="AX769" s="399"/>
      <c r="AY769" s="399"/>
      <c r="AZ769" s="399"/>
      <c r="BA769" s="399"/>
      <c r="BB769" s="399"/>
      <c r="BC769" s="399"/>
      <c r="BD769" s="47"/>
      <c r="BE769" s="399"/>
      <c r="BF769" s="399"/>
      <c r="BG769" s="399"/>
      <c r="BH769" s="399"/>
      <c r="BI769" s="399"/>
      <c r="BJ769" s="399"/>
      <c r="BK769" s="47"/>
      <c r="BL769" s="399"/>
      <c r="BM769" s="399"/>
      <c r="BN769" s="399"/>
      <c r="BO769" s="399"/>
      <c r="BP769" s="399"/>
      <c r="BQ769" s="399"/>
      <c r="BR769" s="47"/>
      <c r="BS769" s="399"/>
      <c r="BT769" s="399"/>
      <c r="BU769" s="399"/>
      <c r="BV769" s="399"/>
      <c r="BW769" s="399"/>
      <c r="BX769" s="399"/>
      <c r="BY769" s="47"/>
      <c r="BZ769" s="399"/>
      <c r="CA769" s="399"/>
      <c r="CB769" s="399"/>
      <c r="CC769" s="399"/>
      <c r="CD769" s="399"/>
      <c r="CE769" s="399"/>
      <c r="CF769" s="47"/>
      <c r="CG769" s="399"/>
      <c r="CH769" s="399"/>
      <c r="CI769" s="399"/>
      <c r="CJ769" s="399"/>
      <c r="CK769" s="399"/>
      <c r="CL769" s="399"/>
      <c r="CM769" s="47"/>
      <c r="CN769" s="399"/>
      <c r="CO769" s="399"/>
      <c r="CP769" s="399"/>
      <c r="CQ769" s="399"/>
      <c r="CR769" s="399"/>
      <c r="CS769" s="399"/>
      <c r="CT769" s="47"/>
      <c r="CU769" s="399"/>
      <c r="CV769" s="399"/>
      <c r="CW769" s="399"/>
      <c r="CX769" s="399"/>
      <c r="CY769" s="399"/>
      <c r="CZ769" s="399"/>
      <c r="DA769" s="47"/>
      <c r="DB769" s="399"/>
      <c r="DC769" s="399"/>
      <c r="DD769" s="399"/>
      <c r="DE769" s="399"/>
      <c r="DF769" s="399"/>
      <c r="DG769" s="399"/>
      <c r="DH769" s="47"/>
      <c r="DI769" s="399"/>
      <c r="DJ769" s="399"/>
      <c r="DK769" s="399"/>
      <c r="DL769" s="399"/>
      <c r="DM769" s="399"/>
      <c r="DN769" s="399"/>
      <c r="DO769" s="47"/>
      <c r="DP769" s="399"/>
      <c r="DQ769" s="399"/>
      <c r="DR769" s="399"/>
      <c r="DS769" s="399"/>
      <c r="DT769" s="399"/>
      <c r="DU769" s="399"/>
      <c r="DV769" s="47"/>
      <c r="DW769" s="399"/>
      <c r="DX769" s="399"/>
      <c r="DY769" s="399"/>
      <c r="DZ769" s="399"/>
      <c r="EA769" s="399"/>
      <c r="EB769" s="399"/>
      <c r="EC769" s="47"/>
      <c r="ED769" s="399"/>
      <c r="EE769" s="399"/>
      <c r="EF769" s="399"/>
      <c r="EG769" s="399"/>
      <c r="EH769" s="399"/>
      <c r="EI769" s="399"/>
      <c r="EJ769" s="47"/>
      <c r="EK769" s="399"/>
      <c r="EL769" s="399"/>
      <c r="EM769" s="399"/>
      <c r="EN769" s="399"/>
      <c r="EO769" s="399"/>
      <c r="EP769" s="399"/>
      <c r="EQ769" s="47"/>
    </row>
    <row r="770" spans="1:147" ht="10.199999999999999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399"/>
      <c r="P770" s="399"/>
      <c r="Q770" s="399"/>
      <c r="R770" s="399"/>
      <c r="S770" s="399"/>
      <c r="T770" s="399"/>
      <c r="U770" s="47"/>
      <c r="V770" s="399"/>
      <c r="W770" s="399"/>
      <c r="X770" s="399"/>
      <c r="Y770" s="399"/>
      <c r="Z770" s="399"/>
      <c r="AA770" s="399"/>
      <c r="AB770" s="47"/>
      <c r="AC770" s="399"/>
      <c r="AD770" s="399"/>
      <c r="AE770" s="399"/>
      <c r="AF770" s="399"/>
      <c r="AG770" s="399"/>
      <c r="AH770" s="399"/>
      <c r="AI770" s="47"/>
      <c r="AJ770" s="399"/>
      <c r="AK770" s="399"/>
      <c r="AL770" s="399"/>
      <c r="AM770" s="399"/>
      <c r="AN770" s="399"/>
      <c r="AO770" s="399"/>
      <c r="AP770" s="47"/>
      <c r="AQ770" s="399"/>
      <c r="AR770" s="399"/>
      <c r="AS770" s="399"/>
      <c r="AT770" s="399"/>
      <c r="AU770" s="399"/>
      <c r="AV770" s="399"/>
      <c r="AW770" s="47"/>
      <c r="AX770" s="399"/>
      <c r="AY770" s="399"/>
      <c r="AZ770" s="399"/>
      <c r="BA770" s="399"/>
      <c r="BB770" s="399"/>
      <c r="BC770" s="399"/>
      <c r="BD770" s="47"/>
      <c r="BE770" s="399"/>
      <c r="BF770" s="399"/>
      <c r="BG770" s="399"/>
      <c r="BH770" s="399"/>
      <c r="BI770" s="399"/>
      <c r="BJ770" s="399"/>
      <c r="BK770" s="47"/>
      <c r="BL770" s="399"/>
      <c r="BM770" s="399"/>
      <c r="BN770" s="399"/>
      <c r="BO770" s="399"/>
      <c r="BP770" s="399"/>
      <c r="BQ770" s="399"/>
      <c r="BR770" s="47"/>
      <c r="BS770" s="399"/>
      <c r="BT770" s="399"/>
      <c r="BU770" s="399"/>
      <c r="BV770" s="399"/>
      <c r="BW770" s="399"/>
      <c r="BX770" s="399"/>
      <c r="BY770" s="47"/>
      <c r="BZ770" s="399"/>
      <c r="CA770" s="399"/>
      <c r="CB770" s="399"/>
      <c r="CC770" s="399"/>
      <c r="CD770" s="399"/>
      <c r="CE770" s="399"/>
      <c r="CF770" s="47"/>
      <c r="CG770" s="399"/>
      <c r="CH770" s="399"/>
      <c r="CI770" s="399"/>
      <c r="CJ770" s="399"/>
      <c r="CK770" s="399"/>
      <c r="CL770" s="399"/>
      <c r="CM770" s="47"/>
      <c r="CN770" s="399"/>
      <c r="CO770" s="399"/>
      <c r="CP770" s="399"/>
      <c r="CQ770" s="399"/>
      <c r="CR770" s="399"/>
      <c r="CS770" s="399"/>
      <c r="CT770" s="47"/>
      <c r="CU770" s="399"/>
      <c r="CV770" s="399"/>
      <c r="CW770" s="399"/>
      <c r="CX770" s="399"/>
      <c r="CY770" s="399"/>
      <c r="CZ770" s="399"/>
      <c r="DA770" s="47"/>
      <c r="DB770" s="399"/>
      <c r="DC770" s="399"/>
      <c r="DD770" s="399"/>
      <c r="DE770" s="399"/>
      <c r="DF770" s="399"/>
      <c r="DG770" s="399"/>
      <c r="DH770" s="47"/>
      <c r="DI770" s="399"/>
      <c r="DJ770" s="399"/>
      <c r="DK770" s="399"/>
      <c r="DL770" s="399"/>
      <c r="DM770" s="399"/>
      <c r="DN770" s="399"/>
      <c r="DO770" s="47"/>
      <c r="DP770" s="399"/>
      <c r="DQ770" s="399"/>
      <c r="DR770" s="399"/>
      <c r="DS770" s="399"/>
      <c r="DT770" s="399"/>
      <c r="DU770" s="399"/>
      <c r="DV770" s="47"/>
      <c r="DW770" s="399"/>
      <c r="DX770" s="399"/>
      <c r="DY770" s="399"/>
      <c r="DZ770" s="399"/>
      <c r="EA770" s="399"/>
      <c r="EB770" s="399"/>
      <c r="EC770" s="47"/>
      <c r="ED770" s="399"/>
      <c r="EE770" s="399"/>
      <c r="EF770" s="399"/>
      <c r="EG770" s="399"/>
      <c r="EH770" s="399"/>
      <c r="EI770" s="399"/>
      <c r="EJ770" s="47"/>
      <c r="EK770" s="399"/>
      <c r="EL770" s="399"/>
      <c r="EM770" s="399"/>
      <c r="EN770" s="399"/>
      <c r="EO770" s="399"/>
      <c r="EP770" s="399"/>
      <c r="EQ770" s="47"/>
    </row>
    <row r="771" spans="1:147" ht="10.199999999999999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399"/>
      <c r="P771" s="399"/>
      <c r="Q771" s="399"/>
      <c r="R771" s="399"/>
      <c r="S771" s="399"/>
      <c r="T771" s="399"/>
      <c r="U771" s="47"/>
      <c r="V771" s="399"/>
      <c r="W771" s="399"/>
      <c r="X771" s="399"/>
      <c r="Y771" s="399"/>
      <c r="Z771" s="399"/>
      <c r="AA771" s="399"/>
      <c r="AB771" s="47"/>
      <c r="AC771" s="399"/>
      <c r="AD771" s="399"/>
      <c r="AE771" s="399"/>
      <c r="AF771" s="399"/>
      <c r="AG771" s="399"/>
      <c r="AH771" s="399"/>
      <c r="AI771" s="47"/>
      <c r="AJ771" s="399"/>
      <c r="AK771" s="399"/>
      <c r="AL771" s="399"/>
      <c r="AM771" s="399"/>
      <c r="AN771" s="399"/>
      <c r="AO771" s="399"/>
      <c r="AP771" s="47"/>
      <c r="AQ771" s="399"/>
      <c r="AR771" s="399"/>
      <c r="AS771" s="399"/>
      <c r="AT771" s="399"/>
      <c r="AU771" s="399"/>
      <c r="AV771" s="399"/>
      <c r="AW771" s="47"/>
      <c r="AX771" s="399"/>
      <c r="AY771" s="399"/>
      <c r="AZ771" s="399"/>
      <c r="BA771" s="399"/>
      <c r="BB771" s="399"/>
      <c r="BC771" s="399"/>
      <c r="BD771" s="47"/>
      <c r="BE771" s="399"/>
      <c r="BF771" s="399"/>
      <c r="BG771" s="399"/>
      <c r="BH771" s="399"/>
      <c r="BI771" s="399"/>
      <c r="BJ771" s="399"/>
      <c r="BK771" s="47"/>
      <c r="BL771" s="399"/>
      <c r="BM771" s="399"/>
      <c r="BN771" s="399"/>
      <c r="BO771" s="399"/>
      <c r="BP771" s="399"/>
      <c r="BQ771" s="399"/>
      <c r="BR771" s="47"/>
      <c r="BS771" s="399"/>
      <c r="BT771" s="399"/>
      <c r="BU771" s="399"/>
      <c r="BV771" s="399"/>
      <c r="BW771" s="399"/>
      <c r="BX771" s="399"/>
      <c r="BY771" s="47"/>
      <c r="BZ771" s="399"/>
      <c r="CA771" s="399"/>
      <c r="CB771" s="399"/>
      <c r="CC771" s="399"/>
      <c r="CD771" s="399"/>
      <c r="CE771" s="399"/>
      <c r="CF771" s="47"/>
      <c r="CG771" s="399"/>
      <c r="CH771" s="399"/>
      <c r="CI771" s="399"/>
      <c r="CJ771" s="399"/>
      <c r="CK771" s="399"/>
      <c r="CL771" s="399"/>
      <c r="CM771" s="47"/>
      <c r="CN771" s="399"/>
      <c r="CO771" s="399"/>
      <c r="CP771" s="399"/>
      <c r="CQ771" s="399"/>
      <c r="CR771" s="399"/>
      <c r="CS771" s="399"/>
      <c r="CT771" s="47"/>
      <c r="CU771" s="399"/>
      <c r="CV771" s="399"/>
      <c r="CW771" s="399"/>
      <c r="CX771" s="399"/>
      <c r="CY771" s="399"/>
      <c r="CZ771" s="399"/>
      <c r="DA771" s="47"/>
      <c r="DB771" s="399"/>
      <c r="DC771" s="399"/>
      <c r="DD771" s="399"/>
      <c r="DE771" s="399"/>
      <c r="DF771" s="399"/>
      <c r="DG771" s="399"/>
      <c r="DH771" s="47"/>
      <c r="DI771" s="399"/>
      <c r="DJ771" s="399"/>
      <c r="DK771" s="399"/>
      <c r="DL771" s="399"/>
      <c r="DM771" s="399"/>
      <c r="DN771" s="399"/>
      <c r="DO771" s="47"/>
      <c r="DP771" s="399"/>
      <c r="DQ771" s="399"/>
      <c r="DR771" s="399"/>
      <c r="DS771" s="399"/>
      <c r="DT771" s="399"/>
      <c r="DU771" s="399"/>
      <c r="DV771" s="47"/>
      <c r="DW771" s="399"/>
      <c r="DX771" s="399"/>
      <c r="DY771" s="399"/>
      <c r="DZ771" s="399"/>
      <c r="EA771" s="399"/>
      <c r="EB771" s="399"/>
      <c r="EC771" s="47"/>
      <c r="ED771" s="399"/>
      <c r="EE771" s="399"/>
      <c r="EF771" s="399"/>
      <c r="EG771" s="399"/>
      <c r="EH771" s="399"/>
      <c r="EI771" s="399"/>
      <c r="EJ771" s="47"/>
      <c r="EK771" s="399"/>
      <c r="EL771" s="399"/>
      <c r="EM771" s="399"/>
      <c r="EN771" s="399"/>
      <c r="EO771" s="399"/>
      <c r="EP771" s="399"/>
      <c r="EQ771" s="47"/>
    </row>
  </sheetData>
  <phoneticPr fontId="6" type="noConversion"/>
  <pageMargins left="0.75" right="0.75" top="1" bottom="1" header="0.5" footer="0.5"/>
  <pageSetup paperSize="9" scale="9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theme="3"/>
    <pageSetUpPr fitToPage="1"/>
  </sheetPr>
  <dimension ref="A1:FQ90"/>
  <sheetViews>
    <sheetView showGridLines="0" zoomScaleNormal="100" workbookViewId="0">
      <pane xSplit="1" ySplit="2" topLeftCell="H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9.109375" defaultRowHeight="10.5" customHeight="1" outlineLevelRow="1" outlineLevelCol="2"/>
  <cols>
    <col min="1" max="1" width="35" customWidth="1"/>
    <col min="2" max="5" width="7.5546875" hidden="1" customWidth="1" outlineLevel="2"/>
    <col min="6" max="7" width="7.5546875" hidden="1" customWidth="1" outlineLevel="1"/>
    <col min="8" max="8" width="7.5546875" customWidth="1" collapsed="1"/>
    <col min="9" max="12" width="7.5546875" hidden="1" customWidth="1" outlineLevel="2"/>
    <col min="13" max="14" width="7.5546875" hidden="1" customWidth="1" outlineLevel="1"/>
    <col min="15" max="15" width="7.5546875" customWidth="1" collapsed="1"/>
    <col min="16" max="19" width="7.5546875" hidden="1" customWidth="1" outlineLevel="2"/>
    <col min="20" max="21" width="7.5546875" hidden="1" customWidth="1" outlineLevel="1"/>
    <col min="22" max="22" width="7.5546875" customWidth="1" collapsed="1"/>
    <col min="23" max="26" width="7.5546875" hidden="1" customWidth="1" outlineLevel="2"/>
    <col min="27" max="28" width="7.5546875" hidden="1" customWidth="1" outlineLevel="1"/>
    <col min="29" max="29" width="7.5546875" customWidth="1" collapsed="1"/>
    <col min="30" max="33" width="7.5546875" hidden="1" customWidth="1" outlineLevel="2"/>
    <col min="34" max="35" width="7.5546875" hidden="1" customWidth="1" outlineLevel="1"/>
    <col min="36" max="36" width="7.5546875" customWidth="1" collapsed="1"/>
    <col min="37" max="40" width="7.5546875" hidden="1" customWidth="1" outlineLevel="2"/>
    <col min="41" max="42" width="7.5546875" hidden="1" customWidth="1" outlineLevel="1"/>
    <col min="43" max="43" width="7.5546875" customWidth="1" collapsed="1"/>
    <col min="44" max="47" width="7.5546875" hidden="1" customWidth="1" outlineLevel="2"/>
    <col min="48" max="49" width="7.5546875" hidden="1" customWidth="1" outlineLevel="1"/>
    <col min="50" max="50" width="7.5546875" customWidth="1" collapsed="1"/>
    <col min="51" max="54" width="7.5546875" hidden="1" customWidth="1" outlineLevel="2"/>
    <col min="55" max="56" width="7.5546875" hidden="1" customWidth="1" outlineLevel="1"/>
    <col min="57" max="57" width="7.5546875" customWidth="1" collapsed="1"/>
    <col min="58" max="61" width="7.5546875" hidden="1" customWidth="1" outlineLevel="2"/>
    <col min="62" max="63" width="7.5546875" hidden="1" customWidth="1" outlineLevel="1"/>
    <col min="64" max="64" width="7.5546875" customWidth="1" collapsed="1"/>
    <col min="65" max="68" width="7.5546875" hidden="1" customWidth="1" outlineLevel="2"/>
    <col min="69" max="70" width="7.5546875" hidden="1" customWidth="1" outlineLevel="1"/>
    <col min="71" max="71" width="7.5546875" customWidth="1" collapsed="1"/>
    <col min="72" max="75" width="7.5546875" hidden="1" customWidth="1" outlineLevel="2"/>
    <col min="76" max="77" width="7.5546875" hidden="1" customWidth="1" outlineLevel="1"/>
    <col min="78" max="78" width="7.5546875" customWidth="1" collapsed="1"/>
    <col min="79" max="82" width="7.5546875" hidden="1" customWidth="1" outlineLevel="2"/>
    <col min="83" max="84" width="7.5546875" hidden="1" customWidth="1" outlineLevel="1"/>
    <col min="85" max="85" width="7.5546875" customWidth="1" collapsed="1"/>
    <col min="86" max="89" width="7.5546875" hidden="1" customWidth="1" outlineLevel="2"/>
    <col min="90" max="91" width="7.5546875" hidden="1" customWidth="1" outlineLevel="1"/>
    <col min="92" max="92" width="7.5546875" customWidth="1" collapsed="1"/>
    <col min="93" max="96" width="7.5546875" hidden="1" customWidth="1" outlineLevel="2"/>
    <col min="97" max="98" width="7.5546875" hidden="1" customWidth="1" outlineLevel="1"/>
    <col min="99" max="99" width="7.5546875" customWidth="1" collapsed="1"/>
    <col min="100" max="103" width="7.5546875" hidden="1" customWidth="1" outlineLevel="2"/>
    <col min="104" max="105" width="7.5546875" hidden="1" customWidth="1" outlineLevel="1"/>
    <col min="106" max="106" width="7.5546875" customWidth="1" collapsed="1"/>
    <col min="107" max="110" width="7.5546875" hidden="1" customWidth="1" outlineLevel="2"/>
    <col min="111" max="112" width="7.5546875" hidden="1" customWidth="1" outlineLevel="1"/>
    <col min="113" max="113" width="7.5546875" customWidth="1" collapsed="1"/>
    <col min="114" max="117" width="7.5546875" hidden="1" customWidth="1" outlineLevel="2"/>
    <col min="118" max="119" width="7.5546875" hidden="1" customWidth="1" outlineLevel="1"/>
    <col min="120" max="120" width="7.5546875" customWidth="1" collapsed="1"/>
    <col min="121" max="124" width="7.5546875" hidden="1" customWidth="1" outlineLevel="2"/>
    <col min="125" max="126" width="7.5546875" hidden="1" customWidth="1" outlineLevel="1"/>
    <col min="127" max="127" width="7.5546875" customWidth="1" collapsed="1"/>
    <col min="128" max="131" width="10.33203125" customWidth="1"/>
    <col min="132" max="138" width="9.109375" customWidth="1"/>
  </cols>
  <sheetData>
    <row r="1" spans="1:173" ht="10.5" customHeight="1">
      <c r="A1" s="1011" t="s">
        <v>324</v>
      </c>
      <c r="B1" s="1012"/>
      <c r="C1" s="1012"/>
      <c r="D1" s="1012"/>
      <c r="E1" s="1337"/>
      <c r="F1" s="902"/>
      <c r="G1" s="902"/>
      <c r="H1" s="1338"/>
      <c r="I1" s="1012"/>
      <c r="J1" s="1012"/>
      <c r="K1" s="1012"/>
      <c r="L1" s="1337"/>
      <c r="M1" s="902"/>
      <c r="N1" s="902"/>
      <c r="O1" s="1338"/>
      <c r="P1" s="1012"/>
      <c r="Q1" s="1012"/>
      <c r="R1" s="1012"/>
      <c r="S1" s="1337"/>
      <c r="T1" s="902"/>
      <c r="U1" s="902"/>
      <c r="V1" s="1338"/>
      <c r="W1" s="1012"/>
      <c r="X1" s="1012"/>
      <c r="Y1" s="1012"/>
      <c r="Z1" s="1337"/>
      <c r="AA1" s="902"/>
      <c r="AB1" s="902"/>
      <c r="AC1" s="1338"/>
      <c r="AD1" s="1012"/>
      <c r="AE1" s="1012"/>
      <c r="AF1" s="1012"/>
      <c r="AG1" s="1337"/>
      <c r="AH1" s="902"/>
      <c r="AI1" s="902"/>
      <c r="AJ1" s="1338"/>
      <c r="AK1" s="1012"/>
      <c r="AL1" s="1012"/>
      <c r="AM1" s="1012"/>
      <c r="AN1" s="1337"/>
      <c r="AO1" s="902"/>
      <c r="AP1" s="902"/>
      <c r="AQ1" s="1338"/>
      <c r="AR1" s="1012"/>
      <c r="AS1" s="1012"/>
      <c r="AT1" s="1012"/>
      <c r="AU1" s="1337"/>
      <c r="AV1" s="902"/>
      <c r="AW1" s="902"/>
      <c r="AX1" s="1338"/>
      <c r="AY1" s="1012"/>
      <c r="AZ1" s="1012"/>
      <c r="BA1" s="1012"/>
      <c r="BB1" s="1337"/>
      <c r="BC1" s="902"/>
      <c r="BD1" s="902"/>
      <c r="BE1" s="1338"/>
      <c r="BF1" s="1012"/>
      <c r="BG1" s="1012"/>
      <c r="BH1" s="1012"/>
      <c r="BI1" s="1337"/>
      <c r="BJ1" s="902"/>
      <c r="BK1" s="902"/>
      <c r="BL1" s="1338"/>
      <c r="BM1" s="1012"/>
      <c r="BN1" s="1012"/>
      <c r="BO1" s="1012"/>
      <c r="BP1" s="1337"/>
      <c r="BQ1" s="902"/>
      <c r="BR1" s="902"/>
      <c r="BS1" s="1338"/>
      <c r="BT1" s="1012"/>
      <c r="BU1" s="1012"/>
      <c r="BV1" s="1012"/>
      <c r="BW1" s="1337"/>
      <c r="BX1" s="902"/>
      <c r="BY1" s="902"/>
      <c r="BZ1" s="1338"/>
      <c r="CA1" s="1012"/>
      <c r="CB1" s="1012"/>
      <c r="CC1" s="1012"/>
      <c r="CD1" s="1337"/>
      <c r="CE1" s="902"/>
      <c r="CF1" s="902"/>
      <c r="CG1" s="1338"/>
      <c r="CH1" s="1012"/>
      <c r="CI1" s="1012"/>
      <c r="CJ1" s="1012"/>
      <c r="CK1" s="1337"/>
      <c r="CL1" s="902"/>
      <c r="CM1" s="902"/>
      <c r="CN1" s="1338"/>
      <c r="CO1" s="1012"/>
      <c r="CP1" s="1012"/>
      <c r="CQ1" s="1014"/>
      <c r="CR1" s="1030"/>
      <c r="CS1" s="902"/>
      <c r="CT1" s="1014"/>
      <c r="CU1" s="1015"/>
      <c r="CV1" s="1014"/>
      <c r="CW1" s="1014"/>
      <c r="CX1" s="1014"/>
      <c r="CY1" s="1030"/>
      <c r="CZ1" s="1014"/>
      <c r="DA1" s="1014"/>
      <c r="DB1" s="1015"/>
      <c r="DC1" s="1014"/>
      <c r="DD1" s="1014"/>
      <c r="DE1" s="1014"/>
      <c r="DF1" s="1030"/>
      <c r="DG1" s="1014"/>
      <c r="DH1" s="1014"/>
      <c r="DI1" s="1015"/>
      <c r="DJ1" s="1014"/>
      <c r="DK1" s="1014"/>
      <c r="DL1" s="1014"/>
      <c r="DM1" s="1030"/>
      <c r="DN1" s="1014"/>
      <c r="DO1" s="1014"/>
      <c r="DP1" s="1015"/>
      <c r="DQ1" s="1014"/>
      <c r="DR1" s="1014"/>
      <c r="DS1" s="1014"/>
      <c r="DT1" s="1030"/>
      <c r="DU1" s="1014"/>
      <c r="DV1" s="1014"/>
      <c r="DW1" s="1015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/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</row>
    <row r="2" spans="1:173" ht="10.5" customHeight="1">
      <c r="A2" s="1013" t="s">
        <v>246</v>
      </c>
      <c r="B2" s="848" t="s">
        <v>693</v>
      </c>
      <c r="C2" s="848" t="s">
        <v>694</v>
      </c>
      <c r="D2" s="848" t="s">
        <v>695</v>
      </c>
      <c r="E2" s="914" t="s">
        <v>696</v>
      </c>
      <c r="F2" s="848" t="s">
        <v>697</v>
      </c>
      <c r="G2" s="848" t="s">
        <v>698</v>
      </c>
      <c r="H2" s="1267">
        <v>2013</v>
      </c>
      <c r="I2" s="848" t="s">
        <v>693</v>
      </c>
      <c r="J2" s="848" t="s">
        <v>694</v>
      </c>
      <c r="K2" s="848" t="s">
        <v>695</v>
      </c>
      <c r="L2" s="914" t="s">
        <v>696</v>
      </c>
      <c r="M2" s="848" t="s">
        <v>697</v>
      </c>
      <c r="N2" s="848" t="s">
        <v>698</v>
      </c>
      <c r="O2" s="1267">
        <v>2014</v>
      </c>
      <c r="P2" s="848" t="s">
        <v>693</v>
      </c>
      <c r="Q2" s="848" t="s">
        <v>694</v>
      </c>
      <c r="R2" s="848" t="s">
        <v>695</v>
      </c>
      <c r="S2" s="914" t="s">
        <v>696</v>
      </c>
      <c r="T2" s="848" t="s">
        <v>697</v>
      </c>
      <c r="U2" s="848" t="s">
        <v>698</v>
      </c>
      <c r="V2" s="1267">
        <v>2015</v>
      </c>
      <c r="W2" s="848" t="s">
        <v>693</v>
      </c>
      <c r="X2" s="848" t="s">
        <v>694</v>
      </c>
      <c r="Y2" s="848" t="s">
        <v>695</v>
      </c>
      <c r="Z2" s="914" t="s">
        <v>696</v>
      </c>
      <c r="AA2" s="848" t="s">
        <v>697</v>
      </c>
      <c r="AB2" s="848" t="s">
        <v>698</v>
      </c>
      <c r="AC2" s="1267">
        <v>2016</v>
      </c>
      <c r="AD2" s="848" t="s">
        <v>693</v>
      </c>
      <c r="AE2" s="848" t="s">
        <v>694</v>
      </c>
      <c r="AF2" s="848" t="s">
        <v>695</v>
      </c>
      <c r="AG2" s="914" t="s">
        <v>696</v>
      </c>
      <c r="AH2" s="848" t="s">
        <v>697</v>
      </c>
      <c r="AI2" s="848" t="s">
        <v>698</v>
      </c>
      <c r="AJ2" s="1267">
        <v>2017</v>
      </c>
      <c r="AK2" s="848" t="s">
        <v>693</v>
      </c>
      <c r="AL2" s="848" t="s">
        <v>694</v>
      </c>
      <c r="AM2" s="848" t="s">
        <v>695</v>
      </c>
      <c r="AN2" s="914" t="s">
        <v>696</v>
      </c>
      <c r="AO2" s="848" t="s">
        <v>697</v>
      </c>
      <c r="AP2" s="848" t="s">
        <v>698</v>
      </c>
      <c r="AQ2" s="1267">
        <v>2018</v>
      </c>
      <c r="AR2" s="848" t="s">
        <v>693</v>
      </c>
      <c r="AS2" s="848" t="s">
        <v>694</v>
      </c>
      <c r="AT2" s="848" t="s">
        <v>695</v>
      </c>
      <c r="AU2" s="914" t="s">
        <v>696</v>
      </c>
      <c r="AV2" s="848" t="s">
        <v>697</v>
      </c>
      <c r="AW2" s="848" t="s">
        <v>698</v>
      </c>
      <c r="AX2" s="1267">
        <v>2019</v>
      </c>
      <c r="AY2" s="848" t="s">
        <v>693</v>
      </c>
      <c r="AZ2" s="848" t="s">
        <v>694</v>
      </c>
      <c r="BA2" s="848" t="s">
        <v>695</v>
      </c>
      <c r="BB2" s="914" t="s">
        <v>696</v>
      </c>
      <c r="BC2" s="848" t="s">
        <v>697</v>
      </c>
      <c r="BD2" s="848" t="s">
        <v>698</v>
      </c>
      <c r="BE2" s="1267">
        <v>2020</v>
      </c>
      <c r="BF2" s="848" t="s">
        <v>693</v>
      </c>
      <c r="BG2" s="848" t="s">
        <v>694</v>
      </c>
      <c r="BH2" s="848" t="s">
        <v>695</v>
      </c>
      <c r="BI2" s="914" t="s">
        <v>696</v>
      </c>
      <c r="BJ2" s="848" t="s">
        <v>697</v>
      </c>
      <c r="BK2" s="848" t="s">
        <v>698</v>
      </c>
      <c r="BL2" s="1267">
        <v>2021</v>
      </c>
      <c r="BM2" s="848" t="s">
        <v>693</v>
      </c>
      <c r="BN2" s="848" t="s">
        <v>694</v>
      </c>
      <c r="BO2" s="848" t="s">
        <v>695</v>
      </c>
      <c r="BP2" s="914" t="s">
        <v>696</v>
      </c>
      <c r="BQ2" s="848" t="s">
        <v>697</v>
      </c>
      <c r="BR2" s="848" t="s">
        <v>698</v>
      </c>
      <c r="BS2" s="1267">
        <v>2022</v>
      </c>
      <c r="BT2" s="848" t="s">
        <v>693</v>
      </c>
      <c r="BU2" s="848" t="s">
        <v>694</v>
      </c>
      <c r="BV2" s="848" t="s">
        <v>695</v>
      </c>
      <c r="BW2" s="914" t="s">
        <v>696</v>
      </c>
      <c r="BX2" s="848" t="s">
        <v>697</v>
      </c>
      <c r="BY2" s="848" t="s">
        <v>698</v>
      </c>
      <c r="BZ2" s="1267">
        <v>2023</v>
      </c>
      <c r="CA2" s="848" t="s">
        <v>693</v>
      </c>
      <c r="CB2" s="848" t="s">
        <v>694</v>
      </c>
      <c r="CC2" s="848" t="s">
        <v>695</v>
      </c>
      <c r="CD2" s="914" t="s">
        <v>696</v>
      </c>
      <c r="CE2" s="848" t="s">
        <v>697</v>
      </c>
      <c r="CF2" s="848" t="s">
        <v>698</v>
      </c>
      <c r="CG2" s="1267">
        <v>2024</v>
      </c>
      <c r="CH2" s="848" t="s">
        <v>693</v>
      </c>
      <c r="CI2" s="848" t="s">
        <v>694</v>
      </c>
      <c r="CJ2" s="848" t="s">
        <v>695</v>
      </c>
      <c r="CK2" s="914" t="s">
        <v>696</v>
      </c>
      <c r="CL2" s="848" t="s">
        <v>697</v>
      </c>
      <c r="CM2" s="848" t="s">
        <v>698</v>
      </c>
      <c r="CN2" s="1267">
        <v>2025</v>
      </c>
      <c r="CO2" s="848" t="s">
        <v>693</v>
      </c>
      <c r="CP2" s="848" t="s">
        <v>694</v>
      </c>
      <c r="CQ2" s="903" t="s">
        <v>695</v>
      </c>
      <c r="CR2" s="915" t="s">
        <v>696</v>
      </c>
      <c r="CS2" s="848" t="s">
        <v>697</v>
      </c>
      <c r="CT2" s="903" t="s">
        <v>698</v>
      </c>
      <c r="CU2" s="916" t="s">
        <v>692</v>
      </c>
      <c r="CV2" s="903" t="s">
        <v>693</v>
      </c>
      <c r="CW2" s="903" t="s">
        <v>694</v>
      </c>
      <c r="CX2" s="903" t="s">
        <v>695</v>
      </c>
      <c r="CY2" s="915" t="s">
        <v>696</v>
      </c>
      <c r="CZ2" s="903" t="s">
        <v>697</v>
      </c>
      <c r="DA2" s="903" t="s">
        <v>698</v>
      </c>
      <c r="DB2" s="916" t="s">
        <v>705</v>
      </c>
      <c r="DC2" s="903" t="s">
        <v>693</v>
      </c>
      <c r="DD2" s="903" t="s">
        <v>694</v>
      </c>
      <c r="DE2" s="903" t="s">
        <v>695</v>
      </c>
      <c r="DF2" s="915" t="s">
        <v>696</v>
      </c>
      <c r="DG2" s="903" t="s">
        <v>697</v>
      </c>
      <c r="DH2" s="903" t="s">
        <v>698</v>
      </c>
      <c r="DI2" s="916" t="s">
        <v>706</v>
      </c>
      <c r="DJ2" s="903" t="s">
        <v>693</v>
      </c>
      <c r="DK2" s="903" t="s">
        <v>694</v>
      </c>
      <c r="DL2" s="903" t="s">
        <v>695</v>
      </c>
      <c r="DM2" s="915" t="s">
        <v>696</v>
      </c>
      <c r="DN2" s="903" t="s">
        <v>697</v>
      </c>
      <c r="DO2" s="903" t="s">
        <v>698</v>
      </c>
      <c r="DP2" s="916" t="s">
        <v>707</v>
      </c>
      <c r="DQ2" s="903" t="s">
        <v>693</v>
      </c>
      <c r="DR2" s="903" t="s">
        <v>694</v>
      </c>
      <c r="DS2" s="903" t="s">
        <v>695</v>
      </c>
      <c r="DT2" s="915" t="s">
        <v>696</v>
      </c>
      <c r="DU2" s="903" t="s">
        <v>697</v>
      </c>
      <c r="DV2" s="903" t="s">
        <v>698</v>
      </c>
      <c r="DW2" s="916" t="s">
        <v>708</v>
      </c>
      <c r="DX2" s="29"/>
      <c r="DY2" s="29"/>
      <c r="DZ2" s="29"/>
      <c r="EA2" s="29"/>
      <c r="EB2" s="29"/>
      <c r="EC2" s="29"/>
      <c r="ED2" s="27"/>
      <c r="EE2" s="30"/>
      <c r="EF2" s="30"/>
      <c r="EG2" s="30"/>
      <c r="EH2" s="30"/>
      <c r="EI2" s="218"/>
      <c r="EJ2" s="218"/>
      <c r="EK2" s="218"/>
      <c r="EL2" s="218"/>
      <c r="EM2" s="218"/>
      <c r="EN2" s="218"/>
      <c r="EO2" s="218"/>
      <c r="EP2" s="218"/>
      <c r="EQ2" s="218"/>
      <c r="ER2" s="218"/>
      <c r="ES2" s="218"/>
      <c r="ET2" s="218"/>
      <c r="EU2" s="218"/>
      <c r="EV2" s="218"/>
      <c r="EW2" s="218"/>
      <c r="EX2" s="218"/>
      <c r="EY2" s="218"/>
      <c r="EZ2" s="218"/>
      <c r="FA2" s="218"/>
      <c r="FB2" s="218"/>
      <c r="FC2" s="218"/>
      <c r="FD2" s="218"/>
      <c r="FE2" s="218"/>
      <c r="FF2" s="218"/>
      <c r="FG2" s="218"/>
      <c r="FH2" s="218"/>
      <c r="FI2" s="218"/>
      <c r="FJ2" s="218"/>
      <c r="FK2" s="218"/>
      <c r="FL2" s="218"/>
      <c r="FM2" s="218"/>
      <c r="FN2" s="218"/>
      <c r="FO2" s="218"/>
      <c r="FP2" s="218"/>
      <c r="FQ2" s="218"/>
    </row>
    <row r="3" spans="1:173" ht="10.5" customHeight="1">
      <c r="A3" s="28"/>
      <c r="B3" s="29"/>
      <c r="C3" s="29"/>
      <c r="D3" s="29"/>
      <c r="E3" s="1031"/>
      <c r="F3" s="29"/>
      <c r="G3" s="29"/>
      <c r="H3" s="311"/>
      <c r="I3" s="29"/>
      <c r="J3" s="29"/>
      <c r="K3" s="29"/>
      <c r="L3" s="1031"/>
      <c r="M3" s="29"/>
      <c r="N3" s="29"/>
      <c r="O3" s="311"/>
      <c r="P3" s="29"/>
      <c r="Q3" s="29"/>
      <c r="R3" s="29"/>
      <c r="S3" s="1031"/>
      <c r="T3" s="29"/>
      <c r="U3" s="29"/>
      <c r="V3" s="311"/>
      <c r="W3" s="29"/>
      <c r="X3" s="29"/>
      <c r="Y3" s="29"/>
      <c r="Z3" s="1031"/>
      <c r="AA3" s="29"/>
      <c r="AB3" s="29"/>
      <c r="AC3" s="311"/>
      <c r="AD3" s="29"/>
      <c r="AE3" s="29"/>
      <c r="AF3" s="29"/>
      <c r="AG3" s="1031"/>
      <c r="AH3" s="29"/>
      <c r="AI3" s="29"/>
      <c r="AJ3" s="311"/>
      <c r="AK3" s="29"/>
      <c r="AL3" s="29"/>
      <c r="AM3" s="29"/>
      <c r="AN3" s="1031"/>
      <c r="AO3" s="29"/>
      <c r="AP3" s="29"/>
      <c r="AQ3" s="311"/>
      <c r="AR3" s="29"/>
      <c r="AS3" s="29"/>
      <c r="AT3" s="29"/>
      <c r="AU3" s="1031"/>
      <c r="AV3" s="29"/>
      <c r="AW3" s="29"/>
      <c r="AX3" s="311"/>
      <c r="AY3" s="29"/>
      <c r="AZ3" s="29"/>
      <c r="BA3" s="29"/>
      <c r="BB3" s="1031"/>
      <c r="BC3" s="29"/>
      <c r="BD3" s="29"/>
      <c r="BE3" s="311"/>
      <c r="BF3" s="29"/>
      <c r="BG3" s="29"/>
      <c r="BH3" s="29"/>
      <c r="BI3" s="1031"/>
      <c r="BJ3" s="29"/>
      <c r="BK3" s="29"/>
      <c r="BL3" s="311"/>
      <c r="BM3" s="29"/>
      <c r="BN3" s="29"/>
      <c r="BO3" s="29"/>
      <c r="BP3" s="1031"/>
      <c r="BQ3" s="29"/>
      <c r="BR3" s="29"/>
      <c r="BS3" s="311"/>
      <c r="BT3" s="29"/>
      <c r="BU3" s="29"/>
      <c r="BV3" s="29"/>
      <c r="BW3" s="1031"/>
      <c r="BX3" s="29"/>
      <c r="BY3" s="29"/>
      <c r="BZ3" s="311"/>
      <c r="CA3" s="29"/>
      <c r="CB3" s="29"/>
      <c r="CC3" s="29"/>
      <c r="CD3" s="1031"/>
      <c r="CE3" s="29"/>
      <c r="CF3" s="29"/>
      <c r="CG3" s="311"/>
      <c r="CH3" s="29"/>
      <c r="CI3" s="29"/>
      <c r="CJ3" s="29"/>
      <c r="CK3" s="1031"/>
      <c r="CL3" s="29"/>
      <c r="CM3" s="29"/>
      <c r="CN3" s="311"/>
      <c r="CO3" s="29"/>
      <c r="CP3" s="29"/>
      <c r="CQ3" s="29"/>
      <c r="CR3" s="1031"/>
      <c r="CS3" s="29"/>
      <c r="CT3" s="29"/>
      <c r="CU3" s="311"/>
      <c r="CV3" s="29"/>
      <c r="CW3" s="29"/>
      <c r="CX3" s="29"/>
      <c r="CY3" s="1031"/>
      <c r="CZ3" s="29"/>
      <c r="DA3" s="29"/>
      <c r="DB3" s="311"/>
      <c r="DC3" s="29"/>
      <c r="DD3" s="29"/>
      <c r="DE3" s="29"/>
      <c r="DF3" s="1031"/>
      <c r="DG3" s="29"/>
      <c r="DH3" s="29"/>
      <c r="DI3" s="311"/>
      <c r="DJ3" s="29"/>
      <c r="DK3" s="29"/>
      <c r="DL3" s="29"/>
      <c r="DM3" s="1031"/>
      <c r="DN3" s="29"/>
      <c r="DO3" s="29"/>
      <c r="DP3" s="311"/>
      <c r="DQ3" s="29"/>
      <c r="DR3" s="29"/>
      <c r="DS3" s="29"/>
      <c r="DT3" s="1031"/>
      <c r="DU3" s="29"/>
      <c r="DV3" s="29"/>
      <c r="DW3" s="311"/>
      <c r="DX3" s="29"/>
      <c r="DY3" s="29"/>
      <c r="DZ3" s="29"/>
      <c r="EA3" s="29"/>
      <c r="EB3" s="29"/>
      <c r="EC3" s="29"/>
      <c r="ED3" s="27"/>
      <c r="EE3" s="31"/>
      <c r="EF3" s="31"/>
      <c r="EG3" s="31"/>
      <c r="EH3" s="31"/>
      <c r="EI3" s="218"/>
      <c r="EJ3" s="218"/>
      <c r="EK3" s="218"/>
      <c r="EL3" s="218"/>
      <c r="EM3" s="218"/>
      <c r="EN3" s="218"/>
      <c r="EO3" s="218"/>
      <c r="EP3" s="218"/>
      <c r="EQ3" s="218"/>
      <c r="ER3" s="218"/>
      <c r="ES3" s="218"/>
      <c r="ET3" s="218"/>
      <c r="EU3" s="218"/>
      <c r="EV3" s="218"/>
      <c r="EW3" s="218"/>
      <c r="EX3" s="218"/>
      <c r="EY3" s="218"/>
      <c r="EZ3" s="218"/>
      <c r="FA3" s="218"/>
      <c r="FB3" s="218"/>
      <c r="FC3" s="218"/>
      <c r="FD3" s="218"/>
      <c r="FE3" s="218"/>
      <c r="FF3" s="218"/>
      <c r="FG3" s="218"/>
      <c r="FH3" s="218"/>
      <c r="FI3" s="218"/>
      <c r="FJ3" s="218"/>
      <c r="FK3" s="218"/>
      <c r="FL3" s="218"/>
      <c r="FM3" s="218"/>
      <c r="FN3" s="218"/>
      <c r="FO3" s="218"/>
      <c r="FP3" s="218"/>
      <c r="FQ3" s="218"/>
    </row>
    <row r="4" spans="1:173" ht="10.5" customHeight="1">
      <c r="A4" s="32" t="s">
        <v>29</v>
      </c>
      <c r="B4" s="37">
        <f>Divisional!N6</f>
        <v>2664</v>
      </c>
      <c r="C4" s="37">
        <f>Divisional!O6</f>
        <v>2900</v>
      </c>
      <c r="D4" s="37">
        <f>Divisional!P6</f>
        <v>2818</v>
      </c>
      <c r="E4" s="1284">
        <f>Divisional!Q6</f>
        <v>4739</v>
      </c>
      <c r="F4" s="37">
        <f>Divisional!R6</f>
        <v>5564</v>
      </c>
      <c r="G4" s="37">
        <f>Divisional!S6</f>
        <v>7557</v>
      </c>
      <c r="H4" s="306">
        <f>Divisional!T6</f>
        <v>13121</v>
      </c>
      <c r="I4" s="37">
        <f>Divisional!U6</f>
        <v>2743</v>
      </c>
      <c r="J4" s="37">
        <f>Divisional!V6</f>
        <v>2773</v>
      </c>
      <c r="K4" s="37">
        <f>Divisional!W6</f>
        <v>2681</v>
      </c>
      <c r="L4" s="1284">
        <f>Divisional!X6</f>
        <v>4828</v>
      </c>
      <c r="M4" s="37">
        <f>Divisional!Y6</f>
        <v>5516</v>
      </c>
      <c r="N4" s="37">
        <f>Divisional!Z6</f>
        <v>7509</v>
      </c>
      <c r="O4" s="306">
        <f>Divisional!AA6</f>
        <v>13025</v>
      </c>
      <c r="P4" s="37">
        <f>Divisional!AB6</f>
        <v>2603</v>
      </c>
      <c r="Q4" s="37">
        <f>Divisional!AC6</f>
        <v>2928</v>
      </c>
      <c r="R4" s="37">
        <f>Divisional!AD6</f>
        <v>2852</v>
      </c>
      <c r="S4" s="1284">
        <f>Divisional!AE6</f>
        <v>4697</v>
      </c>
      <c r="T4" s="37">
        <f>Divisional!AF6</f>
        <v>5531</v>
      </c>
      <c r="U4" s="37">
        <f>Divisional!AG6</f>
        <v>7549</v>
      </c>
      <c r="V4" s="306">
        <f>Divisional!AH6</f>
        <v>13080</v>
      </c>
      <c r="W4" s="37">
        <f>Divisional!AI6</f>
        <v>2534</v>
      </c>
      <c r="X4" s="37">
        <f>Divisional!AJ6</f>
        <v>2906</v>
      </c>
      <c r="Y4" s="37">
        <f>Divisional!AK6</f>
        <v>2274</v>
      </c>
      <c r="Z4" s="1284">
        <f>Divisional!AL6</f>
        <v>4140</v>
      </c>
      <c r="AA4" s="37">
        <f>Divisional!AM6</f>
        <v>5440</v>
      </c>
      <c r="AB4" s="37">
        <f>Divisional!AN6</f>
        <v>6414</v>
      </c>
      <c r="AC4" s="306">
        <f>Divisional!AO6</f>
        <v>11854</v>
      </c>
      <c r="AD4" s="37">
        <f>Divisional!AP6</f>
        <v>2114</v>
      </c>
      <c r="AE4" s="37">
        <f>Divisional!AQ6</f>
        <v>2511</v>
      </c>
      <c r="AF4" s="37">
        <f>Divisional!AR6</f>
        <v>2108</v>
      </c>
      <c r="AG4" s="1284">
        <f>Divisional!AS6</f>
        <v>4071</v>
      </c>
      <c r="AH4" s="37">
        <f>Divisional!AT6</f>
        <v>4625</v>
      </c>
      <c r="AI4" s="37">
        <f>Divisional!AU6</f>
        <v>6179</v>
      </c>
      <c r="AJ4" s="306">
        <f>Divisional!AV6</f>
        <v>10804</v>
      </c>
      <c r="AK4" s="37">
        <f>Divisional!BD6</f>
        <v>2217</v>
      </c>
      <c r="AL4" s="37">
        <f>Divisional!BE6</f>
        <v>2435</v>
      </c>
      <c r="AM4" s="37">
        <f>Divisional!BF6</f>
        <v>2399</v>
      </c>
      <c r="AN4" s="1284">
        <f>Divisional!BG6</f>
        <v>4012</v>
      </c>
      <c r="AO4" s="37">
        <f>Divisional!BH6</f>
        <v>4652</v>
      </c>
      <c r="AP4" s="37">
        <f>Divisional!BI6</f>
        <v>6411</v>
      </c>
      <c r="AQ4" s="306">
        <f>Divisional!BJ6</f>
        <v>11063</v>
      </c>
      <c r="AR4" s="37">
        <f>Divisional!BK6</f>
        <v>2112</v>
      </c>
      <c r="AS4" s="37">
        <f>Divisional!BL6</f>
        <v>2903</v>
      </c>
      <c r="AT4" s="37">
        <f>Divisional!BM6</f>
        <v>2691</v>
      </c>
      <c r="AU4" s="1284">
        <f>Divisional!BN6</f>
        <v>3201</v>
      </c>
      <c r="AV4" s="37">
        <f>Divisional!BO6</f>
        <v>5015</v>
      </c>
      <c r="AW4" s="37">
        <f>Divisional!BP6</f>
        <v>5892</v>
      </c>
      <c r="AX4" s="306">
        <f>Divisional!BQ6</f>
        <v>10907</v>
      </c>
      <c r="AY4" s="37">
        <f>Divisional!BY6</f>
        <v>2111</v>
      </c>
      <c r="AZ4" s="37">
        <f>Divisional!BZ6</f>
        <v>2440</v>
      </c>
      <c r="BA4" s="37">
        <f>Divisional!CA6</f>
        <v>2385</v>
      </c>
      <c r="BB4" s="1284">
        <f>Divisional!CB6</f>
        <v>3510</v>
      </c>
      <c r="BC4" s="37">
        <f>Divisional!CC6</f>
        <v>4551</v>
      </c>
      <c r="BD4" s="37">
        <f>Divisional!CD6</f>
        <v>5895</v>
      </c>
      <c r="BE4" s="306">
        <f>Divisional!CE6</f>
        <v>10446</v>
      </c>
      <c r="BF4" s="37">
        <f>Divisional!CF6</f>
        <v>2115</v>
      </c>
      <c r="BG4" s="37">
        <f>Divisional!CG6</f>
        <v>2423</v>
      </c>
      <c r="BH4" s="37">
        <f>Divisional!CH6</f>
        <v>2343</v>
      </c>
      <c r="BI4" s="1284">
        <f>Divisional!CI6</f>
        <v>3305</v>
      </c>
      <c r="BJ4" s="37">
        <f>Divisional!CJ6</f>
        <v>4538</v>
      </c>
      <c r="BK4" s="37">
        <f>Divisional!CK6</f>
        <v>5648</v>
      </c>
      <c r="BL4" s="306">
        <f>Divisional!CL6</f>
        <v>10186</v>
      </c>
      <c r="BM4" s="37">
        <f>Divisional!CM6</f>
        <v>2453</v>
      </c>
      <c r="BN4" s="37">
        <f>Divisional!CN6</f>
        <v>2603</v>
      </c>
      <c r="BO4" s="37">
        <f>Divisional!CO6</f>
        <v>2537</v>
      </c>
      <c r="BP4" s="1284">
        <f>Divisional!CP6</f>
        <v>3666</v>
      </c>
      <c r="BQ4" s="37">
        <f>Divisional!CQ6</f>
        <v>5056</v>
      </c>
      <c r="BR4" s="37">
        <f>Divisional!CR6</f>
        <v>6203</v>
      </c>
      <c r="BS4" s="306">
        <f>Divisional!CS6</f>
        <v>11259</v>
      </c>
      <c r="BT4" s="37">
        <f>Divisional!CT6</f>
        <v>2299</v>
      </c>
      <c r="BU4" s="37">
        <f>Divisional!CU6</f>
        <v>2354</v>
      </c>
      <c r="BV4" s="37">
        <f>Divisional!CV6</f>
        <v>2480</v>
      </c>
      <c r="BW4" s="1284">
        <f>Divisional!CW6</f>
        <v>4362</v>
      </c>
      <c r="BX4" s="37">
        <f>Divisional!CX6</f>
        <v>4653</v>
      </c>
      <c r="BY4" s="37">
        <f>Divisional!CY6</f>
        <v>6842</v>
      </c>
      <c r="BZ4" s="306">
        <f>Divisional!CZ6</f>
        <v>11495</v>
      </c>
      <c r="CA4" s="37">
        <f>Divisional!DA6</f>
        <v>2399</v>
      </c>
      <c r="CB4" s="37">
        <f>Divisional!DB6</f>
        <v>2586</v>
      </c>
      <c r="CC4" s="37">
        <f>Divisional!DC6</f>
        <v>2624</v>
      </c>
      <c r="CD4" s="1284">
        <f>Divisional!DD6</f>
        <v>4473</v>
      </c>
      <c r="CE4" s="37">
        <f>Divisional!DE6</f>
        <v>4985</v>
      </c>
      <c r="CF4" s="37">
        <f>Divisional!DF6</f>
        <v>7097</v>
      </c>
      <c r="CG4" s="306">
        <f>Divisional!DG6</f>
        <v>12082</v>
      </c>
      <c r="CH4" s="37">
        <f>Divisional!DH6</f>
        <v>2656</v>
      </c>
      <c r="CI4" s="37">
        <f>Divisional!DI6</f>
        <v>3157</v>
      </c>
      <c r="CJ4" s="37">
        <f>Divisional!DJ6</f>
        <v>3063</v>
      </c>
      <c r="CK4" s="1284">
        <f>Divisional!DK6</f>
        <v>4529</v>
      </c>
      <c r="CL4" s="37">
        <f>Divisional!DL6</f>
        <v>5813</v>
      </c>
      <c r="CM4" s="37">
        <f>Divisional!DM6</f>
        <v>7592</v>
      </c>
      <c r="CN4" s="306">
        <f>Divisional!DN6</f>
        <v>13405</v>
      </c>
      <c r="CO4" s="37">
        <f>Divisional!DO6</f>
        <v>2832</v>
      </c>
      <c r="CP4" s="37">
        <f>Divisional!DP6</f>
        <v>3484</v>
      </c>
      <c r="CQ4" s="798">
        <f t="shared" ref="CQ4:CY4" si="0">CQ28</f>
        <v>3343.2645000000002</v>
      </c>
      <c r="CR4" s="1056">
        <f t="shared" si="0"/>
        <v>4871.7555000000011</v>
      </c>
      <c r="CS4" s="37">
        <f>Divisional!DS6</f>
        <v>6316</v>
      </c>
      <c r="CT4" s="798">
        <f t="shared" si="0"/>
        <v>8215.02</v>
      </c>
      <c r="CU4" s="1016">
        <f t="shared" si="0"/>
        <v>14531.02</v>
      </c>
      <c r="CV4" s="798">
        <f t="shared" si="0"/>
        <v>3021.0360000000001</v>
      </c>
      <c r="CW4" s="798">
        <f t="shared" si="0"/>
        <v>3719.7150000000001</v>
      </c>
      <c r="CX4" s="798">
        <f t="shared" si="0"/>
        <v>3566.0211749999999</v>
      </c>
      <c r="CY4" s="1056">
        <f t="shared" si="0"/>
        <v>5201.4723250000015</v>
      </c>
      <c r="CZ4" s="798">
        <f t="shared" ref="CZ4:DW4" si="1">CZ28</f>
        <v>6740.7510000000002</v>
      </c>
      <c r="DA4" s="798">
        <f t="shared" si="1"/>
        <v>8767.4935000000005</v>
      </c>
      <c r="DB4" s="1016">
        <f t="shared" si="1"/>
        <v>15508.244500000001</v>
      </c>
      <c r="DC4" s="798">
        <f t="shared" si="1"/>
        <v>3172.0878000000002</v>
      </c>
      <c r="DD4" s="798">
        <f t="shared" si="1"/>
        <v>3905.7007500000009</v>
      </c>
      <c r="DE4" s="798">
        <f t="shared" si="1"/>
        <v>3744.3222337500001</v>
      </c>
      <c r="DF4" s="1056">
        <f t="shared" si="1"/>
        <v>5461.5459412500022</v>
      </c>
      <c r="DG4" s="798">
        <f t="shared" si="1"/>
        <v>7077.7885500000011</v>
      </c>
      <c r="DH4" s="798">
        <f t="shared" si="1"/>
        <v>9205.8681750000032</v>
      </c>
      <c r="DI4" s="1016">
        <f t="shared" si="1"/>
        <v>16283.656725000004</v>
      </c>
      <c r="DJ4" s="798">
        <f t="shared" si="1"/>
        <v>3330.6921899999998</v>
      </c>
      <c r="DK4" s="798">
        <f t="shared" si="1"/>
        <v>4100.9857875000016</v>
      </c>
      <c r="DL4" s="798">
        <f t="shared" si="1"/>
        <v>3931.5383454375005</v>
      </c>
      <c r="DM4" s="1056">
        <f t="shared" si="1"/>
        <v>5734.6232383125025</v>
      </c>
      <c r="DN4" s="798">
        <f t="shared" si="1"/>
        <v>7431.6779775000014</v>
      </c>
      <c r="DO4" s="798">
        <f t="shared" si="1"/>
        <v>9666.161583750003</v>
      </c>
      <c r="DP4" s="1016">
        <f t="shared" si="1"/>
        <v>17097.839561250003</v>
      </c>
      <c r="DQ4" s="798">
        <f t="shared" si="1"/>
        <v>3497.2267995000002</v>
      </c>
      <c r="DR4" s="798">
        <f t="shared" si="1"/>
        <v>4306.0350768750013</v>
      </c>
      <c r="DS4" s="798">
        <f t="shared" si="1"/>
        <v>4128.1152627093761</v>
      </c>
      <c r="DT4" s="1056">
        <f t="shared" si="1"/>
        <v>6021.3544002281269</v>
      </c>
      <c r="DU4" s="798">
        <f t="shared" si="1"/>
        <v>7803.2618763750015</v>
      </c>
      <c r="DV4" s="798">
        <f t="shared" si="1"/>
        <v>10149.469662937503</v>
      </c>
      <c r="DW4" s="1016">
        <f t="shared" si="1"/>
        <v>17952.731539312506</v>
      </c>
      <c r="DX4" s="36"/>
      <c r="DY4" s="36"/>
      <c r="DZ4" s="36"/>
      <c r="EA4" s="36"/>
      <c r="EB4" s="36"/>
      <c r="EC4" s="36"/>
      <c r="ED4" s="27"/>
      <c r="EE4" s="31"/>
      <c r="EF4" s="31"/>
      <c r="EG4" s="31"/>
      <c r="EH4" s="31"/>
      <c r="EI4" s="218"/>
      <c r="EJ4" s="218"/>
      <c r="EK4" s="218"/>
      <c r="EL4" s="218"/>
      <c r="EM4" s="218"/>
      <c r="EN4" s="218"/>
      <c r="EO4" s="218"/>
      <c r="EP4" s="218"/>
      <c r="EQ4" s="218"/>
      <c r="ER4" s="218"/>
      <c r="ES4" s="218"/>
      <c r="ET4" s="218"/>
      <c r="EU4" s="218"/>
      <c r="EV4" s="218"/>
      <c r="EW4" s="218"/>
      <c r="EX4" s="218"/>
      <c r="EY4" s="218"/>
      <c r="EZ4" s="218"/>
      <c r="FA4" s="218"/>
      <c r="FB4" s="218"/>
      <c r="FC4" s="218"/>
      <c r="FD4" s="218"/>
      <c r="FE4" s="218"/>
      <c r="FF4" s="218"/>
      <c r="FG4" s="218"/>
      <c r="FH4" s="218"/>
      <c r="FI4" s="218"/>
      <c r="FJ4" s="218"/>
      <c r="FK4" s="218"/>
      <c r="FL4" s="218"/>
      <c r="FM4" s="218"/>
      <c r="FN4" s="218"/>
      <c r="FO4" s="218"/>
      <c r="FP4" s="218"/>
      <c r="FQ4" s="218"/>
    </row>
    <row r="5" spans="1:173" ht="10.5" customHeight="1">
      <c r="A5" s="28" t="s">
        <v>518</v>
      </c>
      <c r="B5" s="57"/>
      <c r="C5" s="57"/>
      <c r="D5" s="57"/>
      <c r="E5" s="959"/>
      <c r="F5" s="57"/>
      <c r="G5" s="57"/>
      <c r="H5" s="946"/>
      <c r="I5" s="57">
        <f t="shared" ref="I5:N5" si="2">I4/B4-1</f>
        <v>2.9654654654654555E-2</v>
      </c>
      <c r="J5" s="57">
        <f t="shared" si="2"/>
        <v>-4.3793103448275916E-2</v>
      </c>
      <c r="K5" s="57">
        <f t="shared" si="2"/>
        <v>-4.8616039744499684E-2</v>
      </c>
      <c r="L5" s="959">
        <f t="shared" si="2"/>
        <v>1.8780333403671579E-2</v>
      </c>
      <c r="M5" s="57">
        <f t="shared" si="2"/>
        <v>-8.6268871315600126E-3</v>
      </c>
      <c r="N5" s="57">
        <f t="shared" si="2"/>
        <v>-6.3517268757443679E-3</v>
      </c>
      <c r="O5" s="946">
        <f>O4/H4-1</f>
        <v>-7.3165155094886414E-3</v>
      </c>
      <c r="P5" s="57">
        <f t="shared" ref="P5:U5" si="3">P4/I4-1</f>
        <v>-5.1039008384979989E-2</v>
      </c>
      <c r="Q5" s="57">
        <f t="shared" si="3"/>
        <v>5.5896141363144691E-2</v>
      </c>
      <c r="R5" s="57">
        <f t="shared" si="3"/>
        <v>6.3782170831779172E-2</v>
      </c>
      <c r="S5" s="959">
        <f t="shared" si="3"/>
        <v>-2.7133388566694339E-2</v>
      </c>
      <c r="T5" s="57">
        <f t="shared" si="3"/>
        <v>2.7193618564176347E-3</v>
      </c>
      <c r="U5" s="57">
        <f t="shared" si="3"/>
        <v>5.3269410041283383E-3</v>
      </c>
      <c r="V5" s="946">
        <f>V4/O4-1</f>
        <v>4.222648752399305E-3</v>
      </c>
      <c r="W5" s="57">
        <f t="shared" ref="W5" si="4">W4/P4-1</f>
        <v>-2.6507875528236635E-2</v>
      </c>
      <c r="X5" s="57">
        <f t="shared" ref="X5" si="5">X4/Q4-1</f>
        <v>-7.5136612021857729E-3</v>
      </c>
      <c r="Y5" s="57">
        <f t="shared" ref="Y5" si="6">Y4/R4-1</f>
        <v>-0.2026647966339411</v>
      </c>
      <c r="Z5" s="959">
        <f t="shared" ref="Z5" si="7">Z4/S4-1</f>
        <v>-0.11858633170108579</v>
      </c>
      <c r="AA5" s="57">
        <f t="shared" ref="AA5" si="8">AA4/T4-1</f>
        <v>-1.6452721026939066E-2</v>
      </c>
      <c r="AB5" s="57">
        <f t="shared" ref="AB5" si="9">AB4/U4-1</f>
        <v>-0.15035103987283083</v>
      </c>
      <c r="AC5" s="946">
        <f t="shared" ref="AC5:AI5" si="10">AC4/V4-1</f>
        <v>-9.373088685015285E-2</v>
      </c>
      <c r="AD5" s="57">
        <f t="shared" si="10"/>
        <v>-0.16574585635359118</v>
      </c>
      <c r="AE5" s="57">
        <f t="shared" si="10"/>
        <v>-0.1359256710254646</v>
      </c>
      <c r="AF5" s="57">
        <f t="shared" si="10"/>
        <v>-7.2999120492524217E-2</v>
      </c>
      <c r="AG5" s="959">
        <f t="shared" si="10"/>
        <v>-1.6666666666666718E-2</v>
      </c>
      <c r="AH5" s="57">
        <f t="shared" si="10"/>
        <v>-0.1498161764705882</v>
      </c>
      <c r="AI5" s="57">
        <f t="shared" si="10"/>
        <v>-3.6638603055815455E-2</v>
      </c>
      <c r="AJ5" s="946">
        <f>AJ4/AC4-1</f>
        <v>-8.8577695292728187E-2</v>
      </c>
      <c r="AK5" s="57">
        <f t="shared" ref="AK5:AP5" si="11">AK4/AD4-1</f>
        <v>4.8722800378429465E-2</v>
      </c>
      <c r="AL5" s="57">
        <f t="shared" si="11"/>
        <v>-3.0266825965750699E-2</v>
      </c>
      <c r="AM5" s="57">
        <f t="shared" si="11"/>
        <v>0.13804554079696385</v>
      </c>
      <c r="AN5" s="959">
        <f t="shared" si="11"/>
        <v>-1.4492753623188359E-2</v>
      </c>
      <c r="AO5" s="57">
        <f t="shared" si="11"/>
        <v>5.837837837837867E-3</v>
      </c>
      <c r="AP5" s="57">
        <f t="shared" si="11"/>
        <v>3.7546528564492698E-2</v>
      </c>
      <c r="AQ5" s="946">
        <f>AQ4/AJ4-1</f>
        <v>2.3972602739726012E-2</v>
      </c>
      <c r="AR5" s="57">
        <f t="shared" ref="AR5:AW5" si="12">AR4/AK4-1</f>
        <v>-4.7361299052773975E-2</v>
      </c>
      <c r="AS5" s="57">
        <f t="shared" si="12"/>
        <v>0.19219712525667343</v>
      </c>
      <c r="AT5" s="57">
        <f t="shared" si="12"/>
        <v>0.12171738224260098</v>
      </c>
      <c r="AU5" s="959">
        <f t="shared" si="12"/>
        <v>-0.20214356929212363</v>
      </c>
      <c r="AV5" s="57">
        <f t="shared" si="12"/>
        <v>7.8030954428202959E-2</v>
      </c>
      <c r="AW5" s="57">
        <f t="shared" si="12"/>
        <v>-8.0954609265325272E-2</v>
      </c>
      <c r="AX5" s="946">
        <f>AX4/AQ4-1</f>
        <v>-1.4101057579318454E-2</v>
      </c>
      <c r="AY5" s="57">
        <f t="shared" ref="AY5:BD5" si="13">AY4/AR4-1</f>
        <v>-4.7348484848486194E-4</v>
      </c>
      <c r="AZ5" s="57">
        <f t="shared" si="13"/>
        <v>-0.15949018256975545</v>
      </c>
      <c r="BA5" s="57">
        <f t="shared" si="13"/>
        <v>-0.11371237458193983</v>
      </c>
      <c r="BB5" s="959">
        <f t="shared" si="13"/>
        <v>9.6532333645735768E-2</v>
      </c>
      <c r="BC5" s="57">
        <f t="shared" si="13"/>
        <v>-9.2522432701894308E-2</v>
      </c>
      <c r="BD5" s="57">
        <f t="shared" si="13"/>
        <v>5.0916496945019318E-4</v>
      </c>
      <c r="BE5" s="946">
        <f>BE4/AX4-1</f>
        <v>-4.2266434399926611E-2</v>
      </c>
      <c r="BF5" s="57">
        <f t="shared" ref="BF5:BK5" si="14">BF4/AY4-1</f>
        <v>1.8948365703457259E-3</v>
      </c>
      <c r="BG5" s="57">
        <f t="shared" si="14"/>
        <v>-6.9672131147541227E-3</v>
      </c>
      <c r="BH5" s="57">
        <f t="shared" si="14"/>
        <v>-1.7610062893081757E-2</v>
      </c>
      <c r="BI5" s="959">
        <f t="shared" si="14"/>
        <v>-5.8404558404558382E-2</v>
      </c>
      <c r="BJ5" s="57">
        <f t="shared" si="14"/>
        <v>-2.8565150516369764E-3</v>
      </c>
      <c r="BK5" s="57">
        <f t="shared" si="14"/>
        <v>-4.1899915182357916E-2</v>
      </c>
      <c r="BL5" s="946">
        <f>BL4/BE4-1</f>
        <v>-2.4889910013402239E-2</v>
      </c>
      <c r="BM5" s="57">
        <f t="shared" ref="BM5:BR5" si="15">BM4/BF4-1</f>
        <v>0.15981087470449173</v>
      </c>
      <c r="BN5" s="57">
        <f t="shared" si="15"/>
        <v>7.4288072637226588E-2</v>
      </c>
      <c r="BO5" s="57">
        <f t="shared" si="15"/>
        <v>8.2799829278702441E-2</v>
      </c>
      <c r="BP5" s="959">
        <f t="shared" si="15"/>
        <v>0.10922844175491675</v>
      </c>
      <c r="BQ5" s="57">
        <f t="shared" si="15"/>
        <v>0.11414720141031287</v>
      </c>
      <c r="BR5" s="57">
        <f t="shared" si="15"/>
        <v>9.8264872521246494E-2</v>
      </c>
      <c r="BS5" s="946">
        <f>BS4/BL4-1</f>
        <v>0.10534066365599837</v>
      </c>
      <c r="BT5" s="57">
        <f t="shared" ref="BT5:BY5" si="16">BT4/BM4-1</f>
        <v>-6.2780269058295923E-2</v>
      </c>
      <c r="BU5" s="57">
        <f t="shared" si="16"/>
        <v>-9.565885516711492E-2</v>
      </c>
      <c r="BV5" s="57">
        <f t="shared" si="16"/>
        <v>-2.2467481277098966E-2</v>
      </c>
      <c r="BW5" s="959">
        <f t="shared" si="16"/>
        <v>0.18985270049099845</v>
      </c>
      <c r="BX5" s="57">
        <f t="shared" si="16"/>
        <v>-7.9707278481012667E-2</v>
      </c>
      <c r="BY5" s="57">
        <f t="shared" si="16"/>
        <v>0.10301467032081257</v>
      </c>
      <c r="BZ5" s="946">
        <f>BZ4/BS4-1</f>
        <v>2.096100897060138E-2</v>
      </c>
      <c r="CA5" s="57">
        <f t="shared" ref="CA5:CE5" si="17">CA4/BT4-1</f>
        <v>4.349717268377562E-2</v>
      </c>
      <c r="CB5" s="57">
        <f t="shared" si="17"/>
        <v>9.8555649957519087E-2</v>
      </c>
      <c r="CC5" s="57">
        <f t="shared" si="17"/>
        <v>5.8064516129032295E-2</v>
      </c>
      <c r="CD5" s="959">
        <f t="shared" si="17"/>
        <v>2.5447042640990292E-2</v>
      </c>
      <c r="CE5" s="57">
        <f t="shared" si="17"/>
        <v>7.1351816032667159E-2</v>
      </c>
      <c r="CF5" s="57">
        <f t="shared" ref="CF5" si="18">CF4/BY4-1</f>
        <v>3.726980415083303E-2</v>
      </c>
      <c r="CG5" s="946">
        <f t="shared" ref="CG5:CK5" si="19">CG4/BZ4-1</f>
        <v>5.1065680730752572E-2</v>
      </c>
      <c r="CH5" s="57">
        <f t="shared" si="19"/>
        <v>0.10712796998749474</v>
      </c>
      <c r="CI5" s="57">
        <f t="shared" si="19"/>
        <v>0.22080433101314778</v>
      </c>
      <c r="CJ5" s="57">
        <f t="shared" si="19"/>
        <v>0.16730182926829262</v>
      </c>
      <c r="CK5" s="959">
        <f t="shared" si="19"/>
        <v>1.2519561815336422E-2</v>
      </c>
      <c r="CL5" s="57">
        <f t="shared" ref="CL5:DW5" si="20">CL4/CE4-1</f>
        <v>0.16609829488465389</v>
      </c>
      <c r="CM5" s="57">
        <f t="shared" si="20"/>
        <v>6.974778075243071E-2</v>
      </c>
      <c r="CN5" s="946">
        <f t="shared" si="20"/>
        <v>0.10950173812282737</v>
      </c>
      <c r="CO5" s="57">
        <f t="shared" si="20"/>
        <v>6.6265060240963791E-2</v>
      </c>
      <c r="CP5" s="57">
        <f t="shared" si="20"/>
        <v>0.10357934748178654</v>
      </c>
      <c r="CQ5" s="799">
        <f t="shared" si="20"/>
        <v>9.1500000000000137E-2</v>
      </c>
      <c r="CR5" s="999">
        <f t="shared" si="20"/>
        <v>7.5680172223449027E-2</v>
      </c>
      <c r="CS5" s="57">
        <f t="shared" si="20"/>
        <v>8.6530190951316088E-2</v>
      </c>
      <c r="CT5" s="799">
        <f t="shared" si="20"/>
        <v>8.2062697576396282E-2</v>
      </c>
      <c r="CU5" s="972">
        <f t="shared" si="20"/>
        <v>8.4000000000000075E-2</v>
      </c>
      <c r="CV5" s="799">
        <f t="shared" si="20"/>
        <v>6.6750000000000087E-2</v>
      </c>
      <c r="CW5" s="799">
        <f t="shared" si="20"/>
        <v>6.7656429391504069E-2</v>
      </c>
      <c r="CX5" s="799">
        <f t="shared" si="20"/>
        <v>6.6628492899679204E-2</v>
      </c>
      <c r="CY5" s="999">
        <f t="shared" si="20"/>
        <v>6.7679263665838763E-2</v>
      </c>
      <c r="CZ5" s="799">
        <f t="shared" si="20"/>
        <v>6.7250000000000032E-2</v>
      </c>
      <c r="DA5" s="799">
        <f t="shared" si="20"/>
        <v>6.7251631767177633E-2</v>
      </c>
      <c r="DB5" s="972">
        <f t="shared" si="20"/>
        <v>6.7250922509225042E-2</v>
      </c>
      <c r="DC5" s="799">
        <f t="shared" si="20"/>
        <v>5.0000000000000044E-2</v>
      </c>
      <c r="DD5" s="799">
        <f t="shared" si="20"/>
        <v>5.0000000000000266E-2</v>
      </c>
      <c r="DE5" s="799">
        <f t="shared" si="20"/>
        <v>5.0000000000000044E-2</v>
      </c>
      <c r="DF5" s="999">
        <f t="shared" si="20"/>
        <v>5.0000000000000044E-2</v>
      </c>
      <c r="DG5" s="799">
        <f t="shared" si="20"/>
        <v>5.0000000000000044E-2</v>
      </c>
      <c r="DH5" s="799">
        <f t="shared" si="20"/>
        <v>5.0000000000000266E-2</v>
      </c>
      <c r="DI5" s="972">
        <f t="shared" si="20"/>
        <v>5.0000000000000266E-2</v>
      </c>
      <c r="DJ5" s="799">
        <f t="shared" si="20"/>
        <v>4.9999999999999822E-2</v>
      </c>
      <c r="DK5" s="799">
        <f t="shared" si="20"/>
        <v>5.0000000000000266E-2</v>
      </c>
      <c r="DL5" s="799">
        <f t="shared" si="20"/>
        <v>5.0000000000000044E-2</v>
      </c>
      <c r="DM5" s="999">
        <f t="shared" si="20"/>
        <v>5.0000000000000044E-2</v>
      </c>
      <c r="DN5" s="799">
        <f t="shared" si="20"/>
        <v>5.0000000000000044E-2</v>
      </c>
      <c r="DO5" s="799">
        <f t="shared" si="20"/>
        <v>5.0000000000000044E-2</v>
      </c>
      <c r="DP5" s="972">
        <f t="shared" si="20"/>
        <v>4.9999999999999822E-2</v>
      </c>
      <c r="DQ5" s="799">
        <f t="shared" si="20"/>
        <v>5.0000000000000044E-2</v>
      </c>
      <c r="DR5" s="799">
        <f t="shared" si="20"/>
        <v>4.9999999999999822E-2</v>
      </c>
      <c r="DS5" s="799">
        <f t="shared" si="20"/>
        <v>5.0000000000000044E-2</v>
      </c>
      <c r="DT5" s="999">
        <f t="shared" si="20"/>
        <v>4.9999999999999822E-2</v>
      </c>
      <c r="DU5" s="799">
        <f t="shared" si="20"/>
        <v>5.0000000000000044E-2</v>
      </c>
      <c r="DV5" s="799">
        <f t="shared" si="20"/>
        <v>5.0000000000000044E-2</v>
      </c>
      <c r="DW5" s="972">
        <f t="shared" si="20"/>
        <v>5.0000000000000266E-2</v>
      </c>
      <c r="DX5" s="36"/>
      <c r="DY5" s="36"/>
      <c r="DZ5" s="36"/>
      <c r="EA5" s="36"/>
      <c r="EB5" s="36"/>
      <c r="EC5" s="36"/>
      <c r="ED5" s="27"/>
      <c r="EE5" s="31"/>
      <c r="EF5" s="31"/>
      <c r="EG5" s="31"/>
      <c r="EH5" s="31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</row>
    <row r="6" spans="1:173" ht="10.5" customHeight="1">
      <c r="A6" s="28" t="s">
        <v>517</v>
      </c>
      <c r="B6" s="799"/>
      <c r="C6" s="799"/>
      <c r="D6" s="799"/>
      <c r="E6" s="999"/>
      <c r="F6" s="799"/>
      <c r="G6" s="799"/>
      <c r="H6" s="1018"/>
      <c r="I6" s="799"/>
      <c r="J6" s="799"/>
      <c r="K6" s="799"/>
      <c r="L6" s="999"/>
      <c r="M6" s="799"/>
      <c r="N6" s="799"/>
      <c r="O6" s="1018"/>
      <c r="P6" s="799"/>
      <c r="Q6" s="799"/>
      <c r="R6" s="799"/>
      <c r="S6" s="999"/>
      <c r="T6" s="799"/>
      <c r="U6" s="799"/>
      <c r="V6" s="1018"/>
      <c r="W6" s="799"/>
      <c r="X6" s="799"/>
      <c r="Y6" s="799"/>
      <c r="Z6" s="999"/>
      <c r="AA6" s="799"/>
      <c r="AB6" s="799"/>
      <c r="AC6" s="1018">
        <v>-1000</v>
      </c>
      <c r="AD6" s="799"/>
      <c r="AE6" s="799"/>
      <c r="AF6" s="799"/>
      <c r="AG6" s="999"/>
      <c r="AH6" s="799"/>
      <c r="AI6" s="799"/>
      <c r="AJ6" s="1018">
        <v>-1700</v>
      </c>
      <c r="AK6" s="799"/>
      <c r="AL6" s="799"/>
      <c r="AM6" s="799"/>
      <c r="AN6" s="999"/>
      <c r="AO6" s="799"/>
      <c r="AP6" s="799"/>
      <c r="AQ6" s="1018">
        <v>-2400</v>
      </c>
      <c r="AR6" s="799"/>
      <c r="AS6" s="799"/>
      <c r="AT6" s="799"/>
      <c r="AU6" s="999"/>
      <c r="AV6" s="799"/>
      <c r="AW6" s="799"/>
      <c r="AX6" s="972"/>
      <c r="AY6" s="799"/>
      <c r="AZ6" s="799"/>
      <c r="BA6" s="799"/>
      <c r="BB6" s="999"/>
      <c r="BC6" s="799"/>
      <c r="BD6" s="799"/>
      <c r="BE6" s="972"/>
      <c r="BF6" s="799"/>
      <c r="BG6" s="799"/>
      <c r="BH6" s="799"/>
      <c r="BI6" s="999"/>
      <c r="BJ6" s="799"/>
      <c r="BK6" s="799"/>
      <c r="BL6" s="972"/>
      <c r="BM6" s="799"/>
      <c r="BN6" s="799"/>
      <c r="BO6" s="799"/>
      <c r="BP6" s="999"/>
      <c r="BQ6" s="799"/>
      <c r="BR6" s="799"/>
      <c r="BS6" s="972"/>
      <c r="BT6" s="799"/>
      <c r="BU6" s="799"/>
      <c r="BV6" s="799"/>
      <c r="BW6" s="999"/>
      <c r="BX6" s="799"/>
      <c r="BY6" s="799"/>
      <c r="BZ6" s="972"/>
      <c r="CA6" s="799"/>
      <c r="CB6" s="799"/>
      <c r="CC6" s="799"/>
      <c r="CD6" s="999"/>
      <c r="CE6" s="799"/>
      <c r="CF6" s="799"/>
      <c r="CG6" s="972"/>
      <c r="CH6" s="799"/>
      <c r="CI6" s="799"/>
      <c r="CJ6" s="799"/>
      <c r="CK6" s="999"/>
      <c r="CL6" s="799"/>
      <c r="CM6" s="799"/>
      <c r="CN6" s="972"/>
      <c r="CO6" s="799"/>
      <c r="CP6" s="799"/>
      <c r="CQ6" s="799"/>
      <c r="CR6" s="999"/>
      <c r="CS6" s="799"/>
      <c r="CT6" s="799"/>
      <c r="CU6" s="972"/>
      <c r="CV6" s="799"/>
      <c r="CW6" s="799"/>
      <c r="CX6" s="799"/>
      <c r="CY6" s="999"/>
      <c r="CZ6" s="799"/>
      <c r="DA6" s="799"/>
      <c r="DB6" s="972"/>
      <c r="DC6" s="799"/>
      <c r="DD6" s="799"/>
      <c r="DE6" s="799"/>
      <c r="DF6" s="999"/>
      <c r="DG6" s="799"/>
      <c r="DH6" s="799"/>
      <c r="DI6" s="972"/>
      <c r="DJ6" s="799"/>
      <c r="DK6" s="799"/>
      <c r="DL6" s="799"/>
      <c r="DM6" s="999"/>
      <c r="DN6" s="799"/>
      <c r="DO6" s="799"/>
      <c r="DP6" s="972"/>
      <c r="DQ6" s="799"/>
      <c r="DR6" s="799"/>
      <c r="DS6" s="799"/>
      <c r="DT6" s="999"/>
      <c r="DU6" s="799"/>
      <c r="DV6" s="799"/>
      <c r="DW6" s="972"/>
      <c r="DX6" s="36"/>
      <c r="DY6" s="36"/>
      <c r="DZ6" s="36"/>
      <c r="EA6" s="36"/>
      <c r="EB6" s="36"/>
      <c r="EC6" s="36"/>
      <c r="ED6" s="27"/>
      <c r="EE6" s="31"/>
      <c r="EF6" s="31"/>
      <c r="EG6" s="31"/>
      <c r="EH6" s="31"/>
      <c r="EI6" s="218"/>
      <c r="EJ6" s="218"/>
      <c r="EK6" s="218"/>
      <c r="EL6" s="218"/>
      <c r="EM6" s="218"/>
      <c r="EN6" s="218"/>
      <c r="EO6" s="218"/>
      <c r="EP6" s="218"/>
      <c r="EQ6" s="218"/>
      <c r="ER6" s="218"/>
      <c r="ES6" s="218"/>
      <c r="ET6" s="218"/>
      <c r="EU6" s="218"/>
      <c r="EV6" s="218"/>
      <c r="EW6" s="218"/>
      <c r="EX6" s="218"/>
      <c r="EY6" s="218"/>
      <c r="EZ6" s="218"/>
      <c r="FA6" s="218"/>
      <c r="FB6" s="218"/>
      <c r="FC6" s="218"/>
      <c r="FD6" s="218"/>
      <c r="FE6" s="218"/>
      <c r="FF6" s="218"/>
      <c r="FG6" s="218"/>
      <c r="FH6" s="218"/>
      <c r="FI6" s="218"/>
      <c r="FJ6" s="218"/>
      <c r="FK6" s="218"/>
      <c r="FL6" s="218"/>
      <c r="FM6" s="218"/>
      <c r="FN6" s="218"/>
      <c r="FO6" s="218"/>
      <c r="FP6" s="218"/>
      <c r="FQ6" s="218"/>
    </row>
    <row r="7" spans="1:173" ht="10.5" customHeight="1">
      <c r="A7" s="28" t="s">
        <v>514</v>
      </c>
      <c r="B7" s="800"/>
      <c r="C7" s="800"/>
      <c r="D7" s="800"/>
      <c r="E7" s="1057"/>
      <c r="F7" s="800"/>
      <c r="G7" s="800"/>
      <c r="H7" s="1345"/>
      <c r="I7" s="800"/>
      <c r="J7" s="800"/>
      <c r="K7" s="800"/>
      <c r="L7" s="1057"/>
      <c r="M7" s="800"/>
      <c r="N7" s="800"/>
      <c r="O7" s="1345"/>
      <c r="P7" s="800"/>
      <c r="Q7" s="800"/>
      <c r="R7" s="800"/>
      <c r="S7" s="1057"/>
      <c r="T7" s="800"/>
      <c r="U7" s="800"/>
      <c r="V7" s="1345"/>
      <c r="W7" s="280">
        <f t="shared" ref="W7" si="21">(W4-W6)/P4-1</f>
        <v>-2.6507875528236635E-2</v>
      </c>
      <c r="X7" s="280">
        <f t="shared" ref="X7" si="22">(X4-X6)/Q4-1</f>
        <v>-7.5136612021857729E-3</v>
      </c>
      <c r="Y7" s="280">
        <f t="shared" ref="Y7" si="23">(Y4-Y6)/R4-1</f>
        <v>-0.2026647966339411</v>
      </c>
      <c r="Z7" s="1768">
        <f t="shared" ref="Z7" si="24">(Z4-Z6)/S4-1</f>
        <v>-0.11858633170108579</v>
      </c>
      <c r="AA7" s="280">
        <f t="shared" ref="AA7" si="25">(AA4-AA6)/T4-1</f>
        <v>-1.6452721026939066E-2</v>
      </c>
      <c r="AB7" s="280">
        <f t="shared" ref="AB7" si="26">(AB4-AB6)/U4-1</f>
        <v>-0.15035103987283083</v>
      </c>
      <c r="AC7" s="1345">
        <f t="shared" ref="AC7" si="27">(AC4-AC6)/V4-1</f>
        <v>-1.7278287461773734E-2</v>
      </c>
      <c r="AD7" s="280">
        <f t="shared" ref="AD7" si="28">(AD4-AD6)/W4-1</f>
        <v>-0.16574585635359118</v>
      </c>
      <c r="AE7" s="280">
        <f t="shared" ref="AE7" si="29">(AE4-AE6)/X4-1</f>
        <v>-0.1359256710254646</v>
      </c>
      <c r="AF7" s="280">
        <f t="shared" ref="AF7" si="30">(AF4-AF6)/Y4-1</f>
        <v>-7.2999120492524217E-2</v>
      </c>
      <c r="AG7" s="1768">
        <f t="shared" ref="AG7" si="31">(AG4-AG6)/Z4-1</f>
        <v>-1.6666666666666718E-2</v>
      </c>
      <c r="AH7" s="280">
        <f t="shared" ref="AH7" si="32">(AH4-AH6)/AA4-1</f>
        <v>-0.1498161764705882</v>
      </c>
      <c r="AI7" s="280">
        <f t="shared" ref="AI7" si="33">(AI4-AI6)/AB4-1</f>
        <v>-3.6638603055815455E-2</v>
      </c>
      <c r="AJ7" s="1345">
        <f>(AJ4-AJ6)/AC4-1</f>
        <v>5.4833811371688856E-2</v>
      </c>
      <c r="AK7" s="280">
        <f t="shared" ref="AK7" si="34">(AK4-AK6)/AD4-1</f>
        <v>4.8722800378429465E-2</v>
      </c>
      <c r="AL7" s="280">
        <f t="shared" ref="AL7" si="35">(AL4-AL6)/AE4-1</f>
        <v>-3.0266825965750699E-2</v>
      </c>
      <c r="AM7" s="280">
        <f t="shared" ref="AM7" si="36">(AM4-AM6)/AF4-1</f>
        <v>0.13804554079696385</v>
      </c>
      <c r="AN7" s="1768">
        <f t="shared" ref="AN7" si="37">(AN4-AN6)/AG4-1</f>
        <v>-1.4492753623188359E-2</v>
      </c>
      <c r="AO7" s="280">
        <f t="shared" ref="AO7" si="38">(AO4-AO6)/AH4-1</f>
        <v>5.837837837837867E-3</v>
      </c>
      <c r="AP7" s="280">
        <f t="shared" ref="AP7" si="39">(AP4-AP6)/AI4-1</f>
        <v>3.7546528564492698E-2</v>
      </c>
      <c r="AQ7" s="1345">
        <f>(AQ4-AQ6)/AJ4-1</f>
        <v>0.2461125509070714</v>
      </c>
      <c r="AR7" s="280">
        <f t="shared" ref="AR7" si="40">(AR4-AR6)/AK4-1</f>
        <v>-4.7361299052773975E-2</v>
      </c>
      <c r="AS7" s="280">
        <f t="shared" ref="AS7" si="41">(AS4-AS6)/AL4-1</f>
        <v>0.19219712525667343</v>
      </c>
      <c r="AT7" s="280">
        <f t="shared" ref="AT7" si="42">(AT4-AT6)/AM4-1</f>
        <v>0.12171738224260098</v>
      </c>
      <c r="AU7" s="1768">
        <f t="shared" ref="AU7" si="43">(AU4-AU6)/AN4-1</f>
        <v>-0.20214356929212363</v>
      </c>
      <c r="AV7" s="280">
        <f t="shared" ref="AV7" si="44">(AV4-AV6)/AO4-1</f>
        <v>7.8030954428202959E-2</v>
      </c>
      <c r="AW7" s="280">
        <f t="shared" ref="AW7" si="45">(AW4-AW6)/AP4-1</f>
        <v>-8.0954609265325272E-2</v>
      </c>
      <c r="AX7" s="1345">
        <f>(AX4-AX6)/AQ4-1</f>
        <v>-1.4101057579318454E-2</v>
      </c>
      <c r="AY7" s="280">
        <f t="shared" ref="AY7" si="46">(AY4-AY6)/AR4-1</f>
        <v>-4.7348484848486194E-4</v>
      </c>
      <c r="AZ7" s="280">
        <f t="shared" ref="AZ7" si="47">(AZ4-AZ6)/AS4-1</f>
        <v>-0.15949018256975545</v>
      </c>
      <c r="BA7" s="280">
        <f t="shared" ref="BA7" si="48">(BA4-BA6)/AT4-1</f>
        <v>-0.11371237458193983</v>
      </c>
      <c r="BB7" s="1768">
        <f t="shared" ref="BB7" si="49">(BB4-BB6)/AU4-1</f>
        <v>9.6532333645735768E-2</v>
      </c>
      <c r="BC7" s="280">
        <f t="shared" ref="BC7" si="50">(BC4-BC6)/AV4-1</f>
        <v>-9.2522432701894308E-2</v>
      </c>
      <c r="BD7" s="280">
        <f t="shared" ref="BD7" si="51">(BD4-BD6)/AW4-1</f>
        <v>5.0916496945019318E-4</v>
      </c>
      <c r="BE7" s="1345">
        <f>(BE4-BE6)/AX4-1</f>
        <v>-4.2266434399926611E-2</v>
      </c>
      <c r="BF7" s="280">
        <f t="shared" ref="BF7" si="52">(BF4-BF6)/AY4-1</f>
        <v>1.8948365703457259E-3</v>
      </c>
      <c r="BG7" s="280">
        <f t="shared" ref="BG7" si="53">(BG4-BG6)/AZ4-1</f>
        <v>-6.9672131147541227E-3</v>
      </c>
      <c r="BH7" s="280">
        <f t="shared" ref="BH7" si="54">(BH4-BH6)/BA4-1</f>
        <v>-1.7610062893081757E-2</v>
      </c>
      <c r="BI7" s="1768">
        <f t="shared" ref="BI7" si="55">(BI4-BI6)/BB4-1</f>
        <v>-5.8404558404558382E-2</v>
      </c>
      <c r="BJ7" s="280">
        <f t="shared" ref="BJ7" si="56">(BJ4-BJ6)/BC4-1</f>
        <v>-2.8565150516369764E-3</v>
      </c>
      <c r="BK7" s="280">
        <f t="shared" ref="BK7" si="57">(BK4-BK6)/BD4-1</f>
        <v>-4.1899915182357916E-2</v>
      </c>
      <c r="BL7" s="1345">
        <f>(BL4-BL6)/BE4-1</f>
        <v>-2.4889910013402239E-2</v>
      </c>
      <c r="BM7" s="280">
        <f t="shared" ref="BM7" si="58">(BM4-BM6)/BF4-1</f>
        <v>0.15981087470449173</v>
      </c>
      <c r="BN7" s="280">
        <f t="shared" ref="BN7" si="59">(BN4-BN6)/BG4-1</f>
        <v>7.4288072637226588E-2</v>
      </c>
      <c r="BO7" s="280">
        <f t="shared" ref="BO7" si="60">(BO4-BO6)/BH4-1</f>
        <v>8.2799829278702441E-2</v>
      </c>
      <c r="BP7" s="1768">
        <f t="shared" ref="BP7" si="61">(BP4-BP6)/BI4-1</f>
        <v>0.10922844175491675</v>
      </c>
      <c r="BQ7" s="280">
        <f t="shared" ref="BQ7" si="62">(BQ4-BQ6)/BJ4-1</f>
        <v>0.11414720141031287</v>
      </c>
      <c r="BR7" s="280">
        <f t="shared" ref="BR7" si="63">(BR4-BR6)/BK4-1</f>
        <v>9.8264872521246494E-2</v>
      </c>
      <c r="BS7" s="1345">
        <f>(BS4-BS6)/BL4-1</f>
        <v>0.10534066365599837</v>
      </c>
      <c r="BT7" s="280">
        <f t="shared" ref="BT7:BY7" si="64">(BT4-BT6)/BM4-1</f>
        <v>-6.2780269058295923E-2</v>
      </c>
      <c r="BU7" s="280">
        <f t="shared" si="64"/>
        <v>-9.565885516711492E-2</v>
      </c>
      <c r="BV7" s="280">
        <f t="shared" si="64"/>
        <v>-2.2467481277098966E-2</v>
      </c>
      <c r="BW7" s="1768">
        <f t="shared" si="64"/>
        <v>0.18985270049099845</v>
      </c>
      <c r="BX7" s="280">
        <f t="shared" si="64"/>
        <v>-7.9707278481012667E-2</v>
      </c>
      <c r="BY7" s="280">
        <f t="shared" si="64"/>
        <v>0.10301467032081257</v>
      </c>
      <c r="BZ7" s="1345">
        <f>(BZ4-BZ6)/BS4-1</f>
        <v>2.096100897060138E-2</v>
      </c>
      <c r="CA7" s="280">
        <f t="shared" ref="CA7:CE7" si="65">(CA4-CA6)/BT4-1</f>
        <v>4.349717268377562E-2</v>
      </c>
      <c r="CB7" s="280">
        <f t="shared" si="65"/>
        <v>9.8555649957519087E-2</v>
      </c>
      <c r="CC7" s="280">
        <f t="shared" si="65"/>
        <v>5.8064516129032295E-2</v>
      </c>
      <c r="CD7" s="1768">
        <f t="shared" si="65"/>
        <v>2.5447042640990292E-2</v>
      </c>
      <c r="CE7" s="280">
        <f t="shared" si="65"/>
        <v>7.1351816032667159E-2</v>
      </c>
      <c r="CF7" s="280">
        <f t="shared" ref="CF7" si="66">(CF4-CF6)/BY4-1</f>
        <v>3.726980415083303E-2</v>
      </c>
      <c r="CG7" s="1345">
        <f>(CG4-CG6)/BZ4-1</f>
        <v>5.1065680730752572E-2</v>
      </c>
      <c r="CH7" s="280">
        <f>(CH4-CH6)/CA4-1</f>
        <v>0.10712796998749474</v>
      </c>
      <c r="CI7" s="280">
        <f t="shared" ref="CI7:CK7" si="67">(CI4-CI6)/CB4-1</f>
        <v>0.22080433101314778</v>
      </c>
      <c r="CJ7" s="280">
        <f t="shared" si="67"/>
        <v>0.16730182926829262</v>
      </c>
      <c r="CK7" s="1768">
        <f t="shared" si="67"/>
        <v>1.2519561815336422E-2</v>
      </c>
      <c r="CL7" s="280">
        <f t="shared" ref="CL7:DW7" si="68">(CL4-CL6)/CE4-1</f>
        <v>0.16609829488465389</v>
      </c>
      <c r="CM7" s="280">
        <f t="shared" si="68"/>
        <v>6.974778075243071E-2</v>
      </c>
      <c r="CN7" s="1345">
        <f>(CN4-CN6)/CG4-1</f>
        <v>0.10950173812282737</v>
      </c>
      <c r="CO7" s="280">
        <f>(CO4-CO6)/CH4-1</f>
        <v>6.6265060240963791E-2</v>
      </c>
      <c r="CP7" s="280">
        <f t="shared" ref="CP7" si="69">(CP4-CP6)/CI4-1</f>
        <v>0.10357934748178654</v>
      </c>
      <c r="CQ7" s="800">
        <f t="shared" si="68"/>
        <v>9.1500000000000137E-2</v>
      </c>
      <c r="CR7" s="1057">
        <f t="shared" si="68"/>
        <v>7.5680172223449027E-2</v>
      </c>
      <c r="CS7" s="280">
        <f t="shared" si="68"/>
        <v>8.6530190951316088E-2</v>
      </c>
      <c r="CT7" s="800">
        <f t="shared" si="68"/>
        <v>8.2062697576396282E-2</v>
      </c>
      <c r="CU7" s="1017">
        <f t="shared" si="68"/>
        <v>8.4000000000000075E-2</v>
      </c>
      <c r="CV7" s="800">
        <f t="shared" si="68"/>
        <v>6.6750000000000087E-2</v>
      </c>
      <c r="CW7" s="800">
        <f t="shared" si="68"/>
        <v>6.7656429391504069E-2</v>
      </c>
      <c r="CX7" s="800">
        <f t="shared" si="68"/>
        <v>6.6628492899679204E-2</v>
      </c>
      <c r="CY7" s="1057">
        <f t="shared" si="68"/>
        <v>6.7679263665838763E-2</v>
      </c>
      <c r="CZ7" s="800">
        <f t="shared" si="68"/>
        <v>6.7250000000000032E-2</v>
      </c>
      <c r="DA7" s="800">
        <f t="shared" si="68"/>
        <v>6.7251631767177633E-2</v>
      </c>
      <c r="DB7" s="1017">
        <f t="shared" si="68"/>
        <v>6.7250922509225042E-2</v>
      </c>
      <c r="DC7" s="800">
        <f t="shared" si="68"/>
        <v>5.0000000000000044E-2</v>
      </c>
      <c r="DD7" s="800">
        <f t="shared" si="68"/>
        <v>5.0000000000000266E-2</v>
      </c>
      <c r="DE7" s="800">
        <f t="shared" si="68"/>
        <v>5.0000000000000044E-2</v>
      </c>
      <c r="DF7" s="1057">
        <f t="shared" si="68"/>
        <v>5.0000000000000044E-2</v>
      </c>
      <c r="DG7" s="800">
        <f t="shared" si="68"/>
        <v>5.0000000000000044E-2</v>
      </c>
      <c r="DH7" s="800">
        <f t="shared" si="68"/>
        <v>5.0000000000000266E-2</v>
      </c>
      <c r="DI7" s="1017">
        <f t="shared" si="68"/>
        <v>5.0000000000000266E-2</v>
      </c>
      <c r="DJ7" s="800">
        <f t="shared" si="68"/>
        <v>4.9999999999999822E-2</v>
      </c>
      <c r="DK7" s="800">
        <f t="shared" si="68"/>
        <v>5.0000000000000266E-2</v>
      </c>
      <c r="DL7" s="800">
        <f t="shared" si="68"/>
        <v>5.0000000000000044E-2</v>
      </c>
      <c r="DM7" s="1057">
        <f t="shared" si="68"/>
        <v>5.0000000000000044E-2</v>
      </c>
      <c r="DN7" s="800">
        <f t="shared" si="68"/>
        <v>5.0000000000000044E-2</v>
      </c>
      <c r="DO7" s="800">
        <f t="shared" si="68"/>
        <v>5.0000000000000044E-2</v>
      </c>
      <c r="DP7" s="1017">
        <f t="shared" si="68"/>
        <v>4.9999999999999822E-2</v>
      </c>
      <c r="DQ7" s="800">
        <f t="shared" si="68"/>
        <v>5.0000000000000044E-2</v>
      </c>
      <c r="DR7" s="800">
        <f t="shared" si="68"/>
        <v>4.9999999999999822E-2</v>
      </c>
      <c r="DS7" s="800">
        <f t="shared" si="68"/>
        <v>5.0000000000000044E-2</v>
      </c>
      <c r="DT7" s="1057">
        <f t="shared" si="68"/>
        <v>4.9999999999999822E-2</v>
      </c>
      <c r="DU7" s="800">
        <f t="shared" si="68"/>
        <v>5.0000000000000044E-2</v>
      </c>
      <c r="DV7" s="800">
        <f t="shared" si="68"/>
        <v>5.0000000000000044E-2</v>
      </c>
      <c r="DW7" s="1017">
        <f t="shared" si="68"/>
        <v>5.0000000000000266E-2</v>
      </c>
      <c r="DX7" s="36"/>
      <c r="DY7" s="36"/>
      <c r="DZ7" s="36"/>
      <c r="EA7" s="37"/>
      <c r="EB7" s="36"/>
      <c r="EC7" s="36"/>
      <c r="ED7" s="27"/>
      <c r="EE7" s="31"/>
      <c r="EF7" s="31"/>
      <c r="EG7" s="31"/>
      <c r="EH7" s="31"/>
      <c r="EI7" s="218"/>
      <c r="EJ7" s="218"/>
      <c r="EK7" s="218"/>
      <c r="EL7" s="218"/>
      <c r="EM7" s="218"/>
      <c r="EN7" s="218"/>
      <c r="EO7" s="218"/>
      <c r="EP7" s="218"/>
      <c r="EQ7" s="218"/>
      <c r="ER7" s="218"/>
      <c r="ES7" s="218"/>
      <c r="ET7" s="218"/>
      <c r="EU7" s="218"/>
      <c r="EV7" s="218"/>
      <c r="EW7" s="218"/>
      <c r="EX7" s="218"/>
      <c r="EY7" s="218"/>
      <c r="EZ7" s="218"/>
      <c r="FA7" s="218"/>
      <c r="FB7" s="218"/>
      <c r="FC7" s="218"/>
      <c r="FD7" s="218"/>
      <c r="FE7" s="218"/>
      <c r="FF7" s="218"/>
      <c r="FG7" s="218"/>
      <c r="FH7" s="218"/>
      <c r="FI7" s="218"/>
      <c r="FJ7" s="218"/>
      <c r="FK7" s="218"/>
      <c r="FL7" s="218"/>
      <c r="FM7" s="218"/>
      <c r="FN7" s="218"/>
      <c r="FO7" s="218"/>
      <c r="FP7" s="218"/>
      <c r="FQ7" s="218"/>
    </row>
    <row r="8" spans="1:173" ht="10.5" customHeight="1">
      <c r="A8" s="28"/>
      <c r="B8" s="57"/>
      <c r="C8" s="57"/>
      <c r="D8" s="57"/>
      <c r="E8" s="959"/>
      <c r="F8" s="57"/>
      <c r="G8" s="57"/>
      <c r="H8" s="946"/>
      <c r="I8" s="57"/>
      <c r="J8" s="57"/>
      <c r="K8" s="57"/>
      <c r="L8" s="959"/>
      <c r="M8" s="57"/>
      <c r="N8" s="57"/>
      <c r="O8" s="946"/>
      <c r="P8" s="57"/>
      <c r="Q8" s="57"/>
      <c r="R8" s="57"/>
      <c r="S8" s="959"/>
      <c r="T8" s="57"/>
      <c r="U8" s="57"/>
      <c r="V8" s="946"/>
      <c r="W8" s="57"/>
      <c r="X8" s="57"/>
      <c r="Y8" s="57"/>
      <c r="Z8" s="959"/>
      <c r="AA8" s="57"/>
      <c r="AB8" s="57"/>
      <c r="AC8" s="946"/>
      <c r="AD8" s="57"/>
      <c r="AE8" s="57"/>
      <c r="AF8" s="57"/>
      <c r="AG8" s="959"/>
      <c r="AH8" s="57"/>
      <c r="AI8" s="57"/>
      <c r="AJ8" s="946"/>
      <c r="AK8" s="57"/>
      <c r="AL8" s="57"/>
      <c r="AM8" s="57"/>
      <c r="AN8" s="959"/>
      <c r="AO8" s="57"/>
      <c r="AP8" s="57"/>
      <c r="AQ8" s="946"/>
      <c r="AR8" s="57"/>
      <c r="AS8" s="57"/>
      <c r="AT8" s="57"/>
      <c r="AU8" s="959"/>
      <c r="AV8" s="57"/>
      <c r="AW8" s="57"/>
      <c r="AX8" s="946"/>
      <c r="AY8" s="57"/>
      <c r="AZ8" s="57"/>
      <c r="BA8" s="57"/>
      <c r="BB8" s="959"/>
      <c r="BC8" s="57"/>
      <c r="BD8" s="57"/>
      <c r="BE8" s="946"/>
      <c r="BF8" s="57"/>
      <c r="BG8" s="57"/>
      <c r="BH8" s="57"/>
      <c r="BI8" s="959"/>
      <c r="BJ8" s="57"/>
      <c r="BK8" s="57"/>
      <c r="BL8" s="946"/>
      <c r="BM8" s="57"/>
      <c r="BN8" s="57"/>
      <c r="BO8" s="57"/>
      <c r="BP8" s="959"/>
      <c r="BQ8" s="57"/>
      <c r="BR8" s="57"/>
      <c r="BS8" s="946"/>
      <c r="BT8" s="57"/>
      <c r="BU8" s="57"/>
      <c r="BV8" s="57"/>
      <c r="BW8" s="959"/>
      <c r="BX8" s="57"/>
      <c r="BY8" s="57"/>
      <c r="BZ8" s="946"/>
      <c r="CA8" s="57"/>
      <c r="CB8" s="57"/>
      <c r="CC8" s="57"/>
      <c r="CD8" s="959"/>
      <c r="CE8" s="57"/>
      <c r="CF8" s="57"/>
      <c r="CG8" s="946"/>
      <c r="CH8" s="57"/>
      <c r="CI8" s="57"/>
      <c r="CJ8" s="57"/>
      <c r="CK8" s="959"/>
      <c r="CL8" s="57"/>
      <c r="CM8" s="57"/>
      <c r="CN8" s="946"/>
      <c r="CO8" s="57"/>
      <c r="CP8" s="57"/>
      <c r="CQ8" s="57"/>
      <c r="CR8" s="959"/>
      <c r="CS8" s="57"/>
      <c r="CT8" s="57"/>
      <c r="CU8" s="946"/>
      <c r="CV8" s="57"/>
      <c r="CW8" s="57"/>
      <c r="CX8" s="57"/>
      <c r="CY8" s="959"/>
      <c r="CZ8" s="57"/>
      <c r="DA8" s="57"/>
      <c r="DB8" s="946"/>
      <c r="DC8" s="57"/>
      <c r="DD8" s="57"/>
      <c r="DE8" s="57"/>
      <c r="DF8" s="959"/>
      <c r="DG8" s="57"/>
      <c r="DH8" s="57"/>
      <c r="DI8" s="946"/>
      <c r="DJ8" s="57"/>
      <c r="DK8" s="57"/>
      <c r="DL8" s="57"/>
      <c r="DM8" s="959"/>
      <c r="DN8" s="57"/>
      <c r="DO8" s="57"/>
      <c r="DP8" s="946"/>
      <c r="DQ8" s="57"/>
      <c r="DR8" s="57"/>
      <c r="DS8" s="57"/>
      <c r="DT8" s="959"/>
      <c r="DU8" s="57"/>
      <c r="DV8" s="57"/>
      <c r="DW8" s="946"/>
      <c r="DX8" s="36"/>
      <c r="DY8" s="36"/>
      <c r="DZ8" s="36"/>
      <c r="EA8" s="36"/>
      <c r="EB8" s="36"/>
      <c r="EC8" s="36"/>
      <c r="ED8" s="27"/>
      <c r="EE8" s="31"/>
      <c r="EF8" s="31"/>
      <c r="EG8" s="31"/>
      <c r="EH8" s="31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</row>
    <row r="9" spans="1:173" ht="10.5" customHeight="1">
      <c r="A9" s="32" t="s">
        <v>334</v>
      </c>
      <c r="B9" s="37">
        <f>Divisional!N28</f>
        <v>84</v>
      </c>
      <c r="C9" s="37">
        <f>Divisional!O28</f>
        <v>132</v>
      </c>
      <c r="D9" s="37">
        <f>Divisional!P28</f>
        <v>140</v>
      </c>
      <c r="E9" s="1284">
        <f>Divisional!Q28</f>
        <v>555</v>
      </c>
      <c r="F9" s="37">
        <f>Divisional!R28</f>
        <v>216</v>
      </c>
      <c r="G9" s="37">
        <f>Divisional!S28</f>
        <v>695</v>
      </c>
      <c r="H9" s="306">
        <v>911</v>
      </c>
      <c r="I9" s="37">
        <f>Divisional!U28</f>
        <v>85</v>
      </c>
      <c r="J9" s="37">
        <f>Divisional!V28</f>
        <v>138</v>
      </c>
      <c r="K9" s="37">
        <f>Divisional!W28</f>
        <v>147</v>
      </c>
      <c r="L9" s="1284">
        <f>Divisional!X28</f>
        <v>550</v>
      </c>
      <c r="M9" s="37">
        <f>Divisional!Y28</f>
        <v>223</v>
      </c>
      <c r="N9" s="37">
        <f>Divisional!Z28</f>
        <v>697</v>
      </c>
      <c r="O9" s="306">
        <v>920</v>
      </c>
      <c r="P9" s="37">
        <f>Divisional!AB28</f>
        <v>90</v>
      </c>
      <c r="Q9" s="37">
        <f>Divisional!AC28</f>
        <v>177</v>
      </c>
      <c r="R9" s="37">
        <f>Divisional!AD28</f>
        <v>164</v>
      </c>
      <c r="S9" s="1284">
        <f>Divisional!AE28</f>
        <v>629</v>
      </c>
      <c r="T9" s="37">
        <f>Divisional!AF28</f>
        <v>267</v>
      </c>
      <c r="U9" s="37">
        <f>Divisional!AG28</f>
        <v>793</v>
      </c>
      <c r="V9" s="306">
        <v>1060</v>
      </c>
      <c r="W9" s="37">
        <f>Divisional!AI28</f>
        <v>107</v>
      </c>
      <c r="X9" s="37">
        <f>Divisional!AJ28</f>
        <v>215</v>
      </c>
      <c r="Y9" s="37">
        <f>Divisional!AK28</f>
        <v>114</v>
      </c>
      <c r="Z9" s="1284">
        <f>Divisional!AL28</f>
        <v>566</v>
      </c>
      <c r="AA9" s="37">
        <f>Divisional!AM28</f>
        <v>322</v>
      </c>
      <c r="AB9" s="37">
        <f>Divisional!AN28</f>
        <v>680</v>
      </c>
      <c r="AC9" s="306">
        <v>1002</v>
      </c>
      <c r="AD9" s="37">
        <f>Divisional!AP28</f>
        <v>63</v>
      </c>
      <c r="AE9" s="37">
        <f>Divisional!AQ28</f>
        <v>185</v>
      </c>
      <c r="AF9" s="37">
        <f>Divisional!AR28</f>
        <v>109</v>
      </c>
      <c r="AG9" s="1284">
        <f>Divisional!AS28</f>
        <v>515</v>
      </c>
      <c r="AH9" s="37">
        <f>Divisional!AT28</f>
        <v>248</v>
      </c>
      <c r="AI9" s="37">
        <f>Divisional!AU28</f>
        <v>624</v>
      </c>
      <c r="AJ9" s="306">
        <v>872</v>
      </c>
      <c r="AK9" s="37">
        <f>Divisional!BD28</f>
        <v>112</v>
      </c>
      <c r="AL9" s="37">
        <f>Divisional!BE28</f>
        <v>197</v>
      </c>
      <c r="AM9" s="37">
        <f>Divisional!BF28</f>
        <v>100</v>
      </c>
      <c r="AN9" s="1284">
        <f>Divisional!BG28</f>
        <v>526</v>
      </c>
      <c r="AO9" s="37">
        <f>Divisional!BH28</f>
        <v>309</v>
      </c>
      <c r="AP9" s="37">
        <f>Divisional!BI28</f>
        <v>626</v>
      </c>
      <c r="AQ9" s="306">
        <v>935</v>
      </c>
      <c r="AR9" s="37">
        <f>Divisional!BK28</f>
        <v>101</v>
      </c>
      <c r="AS9" s="37">
        <f>Divisional!BL28</f>
        <v>132</v>
      </c>
      <c r="AT9" s="37">
        <f>Divisional!BM28</f>
        <v>122</v>
      </c>
      <c r="AU9" s="1284">
        <f>Divisional!BN28</f>
        <v>210</v>
      </c>
      <c r="AV9" s="37">
        <f>Divisional!BO28</f>
        <v>233</v>
      </c>
      <c r="AW9" s="37">
        <f>Divisional!BP28</f>
        <v>332</v>
      </c>
      <c r="AX9" s="306">
        <v>565</v>
      </c>
      <c r="AY9" s="37">
        <f>Divisional!BY28</f>
        <v>15</v>
      </c>
      <c r="AZ9" s="37">
        <f>Divisional!BZ28</f>
        <v>171</v>
      </c>
      <c r="BA9" s="37">
        <f>Divisional!CA28</f>
        <v>80</v>
      </c>
      <c r="BB9" s="1284">
        <f>Divisional!CB28</f>
        <v>394</v>
      </c>
      <c r="BC9" s="37">
        <f>Divisional!CC28</f>
        <v>186</v>
      </c>
      <c r="BD9" s="37">
        <f>Divisional!CD28</f>
        <v>474</v>
      </c>
      <c r="BE9" s="306">
        <v>660</v>
      </c>
      <c r="BF9" s="37">
        <f>Divisional!CF28</f>
        <v>59</v>
      </c>
      <c r="BG9" s="37">
        <f>Divisional!CG28</f>
        <v>170</v>
      </c>
      <c r="BH9" s="37">
        <f>Divisional!CH28</f>
        <v>55</v>
      </c>
      <c r="BI9" s="1284">
        <f>Divisional!CI28</f>
        <v>412</v>
      </c>
      <c r="BJ9" s="37">
        <f>Divisional!CJ28</f>
        <v>229</v>
      </c>
      <c r="BK9" s="37">
        <f>Divisional!CK28</f>
        <v>467</v>
      </c>
      <c r="BL9" s="306">
        <v>696</v>
      </c>
      <c r="BM9" s="37">
        <f>Divisional!CM28</f>
        <v>106</v>
      </c>
      <c r="BN9" s="37">
        <f>Divisional!CN28</f>
        <v>49</v>
      </c>
      <c r="BO9" s="37">
        <f>Divisional!CO28</f>
        <v>76</v>
      </c>
      <c r="BP9" s="1284">
        <f>Divisional!CP28</f>
        <v>153</v>
      </c>
      <c r="BQ9" s="37">
        <f>Divisional!CQ28</f>
        <v>155</v>
      </c>
      <c r="BR9" s="37">
        <f>Divisional!CR28</f>
        <v>229</v>
      </c>
      <c r="BS9" s="306">
        <v>384</v>
      </c>
      <c r="BT9" s="37">
        <v>36</v>
      </c>
      <c r="BU9" s="37">
        <f>BX9-BT9</f>
        <v>42</v>
      </c>
      <c r="BV9" s="37">
        <v>-79</v>
      </c>
      <c r="BW9" s="1284">
        <f>BY9-BV9</f>
        <v>230</v>
      </c>
      <c r="BX9" s="37">
        <v>78</v>
      </c>
      <c r="BY9" s="37">
        <f>BZ9-BX9</f>
        <v>151</v>
      </c>
      <c r="BZ9" s="306">
        <v>229</v>
      </c>
      <c r="CA9" s="37">
        <f>Divisional!DA28</f>
        <v>-9</v>
      </c>
      <c r="CB9" s="37">
        <f>CE9-CA9</f>
        <v>-798</v>
      </c>
      <c r="CC9" s="37">
        <f>Divisional!DC28</f>
        <v>146</v>
      </c>
      <c r="CD9" s="1284">
        <f>Divisional!DD28</f>
        <v>95</v>
      </c>
      <c r="CE9" s="37">
        <f>Divisional!DE28</f>
        <v>-807</v>
      </c>
      <c r="CF9" s="37">
        <f>Divisional!DF28</f>
        <v>241</v>
      </c>
      <c r="CG9" s="306">
        <f>Divisional!DG28</f>
        <v>-566</v>
      </c>
      <c r="CH9" s="37">
        <f>Divisional!DH28</f>
        <v>77</v>
      </c>
      <c r="CI9" s="37">
        <f>CL9-CH9</f>
        <v>188</v>
      </c>
      <c r="CJ9" s="37">
        <f>Divisional!DJ28</f>
        <v>155</v>
      </c>
      <c r="CK9" s="1284">
        <f>Divisional!DK28</f>
        <v>378</v>
      </c>
      <c r="CL9" s="37">
        <f>Divisional!DL28</f>
        <v>265</v>
      </c>
      <c r="CM9" s="37">
        <f>Divisional!DM28</f>
        <v>533</v>
      </c>
      <c r="CN9" s="306">
        <f>Divisional!DN28</f>
        <v>798</v>
      </c>
      <c r="CO9" s="37">
        <f>Divisional!DO28</f>
        <v>130</v>
      </c>
      <c r="CP9" s="37">
        <f>CS9-CO9</f>
        <v>357</v>
      </c>
      <c r="CQ9" s="798">
        <f t="shared" ref="CQ9:CY9" si="70">CQ64</f>
        <v>211.791135</v>
      </c>
      <c r="CR9" s="1056">
        <f t="shared" si="70"/>
        <v>318.38026500000024</v>
      </c>
      <c r="CS9" s="37">
        <f>Divisional!DS28</f>
        <v>487</v>
      </c>
      <c r="CT9" s="798">
        <f t="shared" si="70"/>
        <v>530.17140000000018</v>
      </c>
      <c r="CU9" s="1016">
        <f t="shared" si="70"/>
        <v>1017.1714000000002</v>
      </c>
      <c r="CV9" s="798">
        <f t="shared" si="70"/>
        <v>226.57769999999999</v>
      </c>
      <c r="CW9" s="798">
        <f t="shared" si="70"/>
        <v>278.97862499999997</v>
      </c>
      <c r="CX9" s="798">
        <f t="shared" si="70"/>
        <v>267.451588125</v>
      </c>
      <c r="CY9" s="1056">
        <f t="shared" si="70"/>
        <v>390.11042437500015</v>
      </c>
      <c r="CZ9" s="798">
        <f t="shared" ref="CZ9:DW9" si="71">CZ64</f>
        <v>505.55632500000002</v>
      </c>
      <c r="DA9" s="798">
        <f t="shared" si="71"/>
        <v>657.56201250000015</v>
      </c>
      <c r="DB9" s="1016">
        <f t="shared" si="71"/>
        <v>1163.1183375000001</v>
      </c>
      <c r="DC9" s="798">
        <f t="shared" si="71"/>
        <v>253.76702399999999</v>
      </c>
      <c r="DD9" s="798">
        <f t="shared" si="71"/>
        <v>312.45606000000009</v>
      </c>
      <c r="DE9" s="798">
        <f t="shared" si="71"/>
        <v>299.54577870000003</v>
      </c>
      <c r="DF9" s="1056">
        <f t="shared" si="71"/>
        <v>436.92367530000024</v>
      </c>
      <c r="DG9" s="798">
        <f t="shared" si="71"/>
        <v>566.22308400000009</v>
      </c>
      <c r="DH9" s="798">
        <f t="shared" si="71"/>
        <v>736.46945400000027</v>
      </c>
      <c r="DI9" s="1016">
        <f t="shared" si="71"/>
        <v>1302.6925380000002</v>
      </c>
      <c r="DJ9" s="798">
        <f t="shared" si="71"/>
        <v>271.86472530000003</v>
      </c>
      <c r="DK9" s="798">
        <f t="shared" si="71"/>
        <v>334.0024301250001</v>
      </c>
      <c r="DL9" s="798">
        <f t="shared" si="71"/>
        <v>321.00302695781255</v>
      </c>
      <c r="DM9" s="1056">
        <f t="shared" si="71"/>
        <v>467.02716056718782</v>
      </c>
      <c r="DN9" s="798">
        <f t="shared" si="71"/>
        <v>605.86715542500008</v>
      </c>
      <c r="DO9" s="798">
        <f t="shared" si="71"/>
        <v>788.03018752500031</v>
      </c>
      <c r="DP9" s="1016">
        <f t="shared" si="71"/>
        <v>1393.8973429500004</v>
      </c>
      <c r="DQ9" s="798">
        <f t="shared" si="71"/>
        <v>291.13777917000004</v>
      </c>
      <c r="DR9" s="798">
        <f t="shared" si="71"/>
        <v>356.92229711250013</v>
      </c>
      <c r="DS9" s="798">
        <f t="shared" si="71"/>
        <v>343.85713559465631</v>
      </c>
      <c r="DT9" s="1056">
        <f t="shared" si="71"/>
        <v>499.04868517284399</v>
      </c>
      <c r="DU9" s="798">
        <f t="shared" si="71"/>
        <v>648.06007628250018</v>
      </c>
      <c r="DV9" s="798">
        <f t="shared" si="71"/>
        <v>842.90582076750024</v>
      </c>
      <c r="DW9" s="1016">
        <f t="shared" si="71"/>
        <v>1490.9658970500004</v>
      </c>
      <c r="DX9" s="29"/>
      <c r="DY9" s="29"/>
      <c r="DZ9" s="29"/>
      <c r="EA9" s="29"/>
      <c r="EB9" s="29"/>
      <c r="EC9" s="29"/>
      <c r="ED9" s="27"/>
      <c r="EE9" s="31"/>
      <c r="EF9" s="31"/>
      <c r="EG9" s="31"/>
      <c r="EH9" s="31"/>
      <c r="EI9" s="218"/>
      <c r="EJ9" s="218"/>
      <c r="EK9" s="218"/>
      <c r="EL9" s="218"/>
      <c r="EM9" s="218"/>
      <c r="EN9" s="218"/>
      <c r="EO9" s="218"/>
      <c r="EP9" s="218"/>
      <c r="EQ9" s="218"/>
      <c r="ER9" s="218"/>
      <c r="ES9" s="218"/>
      <c r="ET9" s="218"/>
      <c r="EU9" s="218"/>
      <c r="EV9" s="218"/>
      <c r="EW9" s="218"/>
      <c r="EX9" s="218"/>
      <c r="EY9" s="218"/>
      <c r="EZ9" s="218"/>
      <c r="FA9" s="218"/>
      <c r="FB9" s="218"/>
      <c r="FC9" s="218"/>
      <c r="FD9" s="218"/>
      <c r="FE9" s="218"/>
      <c r="FF9" s="218"/>
      <c r="FG9" s="218"/>
      <c r="FH9" s="218"/>
      <c r="FI9" s="218"/>
      <c r="FJ9" s="218"/>
      <c r="FK9" s="218"/>
      <c r="FL9" s="218"/>
      <c r="FM9" s="218"/>
      <c r="FN9" s="218"/>
      <c r="FO9" s="218"/>
      <c r="FP9" s="218"/>
      <c r="FQ9" s="218"/>
    </row>
    <row r="10" spans="1:173" ht="10.5" customHeight="1">
      <c r="A10" s="28" t="s">
        <v>31</v>
      </c>
      <c r="B10" s="57">
        <f>B9/B4</f>
        <v>3.1531531531531529E-2</v>
      </c>
      <c r="C10" s="57">
        <f t="shared" ref="C10" si="72">C9/C4</f>
        <v>4.5517241379310347E-2</v>
      </c>
      <c r="D10" s="57">
        <f t="shared" ref="D10" si="73">D9/D4</f>
        <v>4.9680624556422998E-2</v>
      </c>
      <c r="E10" s="959">
        <f t="shared" ref="E10" si="74">E9/E4</f>
        <v>0.11711331504536822</v>
      </c>
      <c r="F10" s="57">
        <f t="shared" ref="F10" si="75">F9/F4</f>
        <v>3.8820992092020126E-2</v>
      </c>
      <c r="G10" s="57">
        <f t="shared" ref="G10" si="76">G9/G4</f>
        <v>9.1967712055048306E-2</v>
      </c>
      <c r="H10" s="946">
        <f t="shared" ref="H10:BE10" si="77">H9/H4</f>
        <v>6.9430683636917914E-2</v>
      </c>
      <c r="I10" s="57">
        <f>I9/I4</f>
        <v>3.0987969376594968E-2</v>
      </c>
      <c r="J10" s="57">
        <f t="shared" ref="J10" si="78">J9/J4</f>
        <v>4.976559682654165E-2</v>
      </c>
      <c r="K10" s="57">
        <f t="shared" ref="K10" si="79">K9/K4</f>
        <v>5.4830287206266322E-2</v>
      </c>
      <c r="L10" s="959">
        <f t="shared" ref="L10" si="80">L9/L4</f>
        <v>0.11391880695940348</v>
      </c>
      <c r="M10" s="57">
        <f t="shared" ref="M10" si="81">M9/M4</f>
        <v>4.0427846265409718E-2</v>
      </c>
      <c r="N10" s="57">
        <f t="shared" ref="N10" si="82">N9/N4</f>
        <v>9.2821946996937008E-2</v>
      </c>
      <c r="O10" s="946">
        <f t="shared" si="77"/>
        <v>7.0633397312859891E-2</v>
      </c>
      <c r="P10" s="57">
        <f>P9/P4</f>
        <v>3.4575489819439108E-2</v>
      </c>
      <c r="Q10" s="57">
        <f t="shared" ref="Q10" si="83">Q9/Q4</f>
        <v>6.0450819672131145E-2</v>
      </c>
      <c r="R10" s="57">
        <f t="shared" ref="R10" si="84">R9/R4</f>
        <v>5.7503506311360447E-2</v>
      </c>
      <c r="S10" s="959">
        <f t="shared" ref="S10" si="85">S9/S4</f>
        <v>0.13391526506280604</v>
      </c>
      <c r="T10" s="57">
        <f t="shared" ref="T10" si="86">T9/T4</f>
        <v>4.827336828783222E-2</v>
      </c>
      <c r="U10" s="57">
        <f t="shared" ref="U10" si="87">U9/U4</f>
        <v>0.10504702609617168</v>
      </c>
      <c r="V10" s="946">
        <f t="shared" si="77"/>
        <v>8.1039755351681952E-2</v>
      </c>
      <c r="W10" s="57">
        <f>W9/W4</f>
        <v>4.2225730071033939E-2</v>
      </c>
      <c r="X10" s="57">
        <f t="shared" ref="X10" si="88">X9/X4</f>
        <v>7.3984858912594625E-2</v>
      </c>
      <c r="Y10" s="57">
        <f t="shared" ref="Y10" si="89">Y9/Y4</f>
        <v>5.0131926121372031E-2</v>
      </c>
      <c r="Z10" s="959">
        <f t="shared" ref="Z10" si="90">Z9/Z4</f>
        <v>0.13671497584541062</v>
      </c>
      <c r="AA10" s="57">
        <f t="shared" ref="AA10" si="91">AA9/AA4</f>
        <v>5.9191176470588233E-2</v>
      </c>
      <c r="AB10" s="57">
        <f t="shared" ref="AB10" si="92">AB9/AB4</f>
        <v>0.10601808543810415</v>
      </c>
      <c r="AC10" s="946">
        <f t="shared" si="77"/>
        <v>8.452842922220348E-2</v>
      </c>
      <c r="AD10" s="57">
        <f>AD9/AD4</f>
        <v>2.9801324503311258E-2</v>
      </c>
      <c r="AE10" s="57">
        <f t="shared" ref="AE10:AI10" si="93">AE9/AE4</f>
        <v>7.3675826363998401E-2</v>
      </c>
      <c r="AF10" s="57">
        <f t="shared" si="93"/>
        <v>5.1707779886148005E-2</v>
      </c>
      <c r="AG10" s="959">
        <f t="shared" si="93"/>
        <v>0.12650454433800049</v>
      </c>
      <c r="AH10" s="57">
        <f t="shared" si="93"/>
        <v>5.3621621621621623E-2</v>
      </c>
      <c r="AI10" s="57">
        <f t="shared" si="93"/>
        <v>0.10098721475966985</v>
      </c>
      <c r="AJ10" s="946">
        <f t="shared" si="77"/>
        <v>8.0710847834135499E-2</v>
      </c>
      <c r="AK10" s="57">
        <f>AK9/AK4</f>
        <v>5.0518718989625622E-2</v>
      </c>
      <c r="AL10" s="57">
        <f t="shared" ref="AL10" si="94">AL9/AL4</f>
        <v>8.0903490759753588E-2</v>
      </c>
      <c r="AM10" s="57">
        <f t="shared" ref="AM10" si="95">AM9/AM4</f>
        <v>4.1684035014589414E-2</v>
      </c>
      <c r="AN10" s="959">
        <f t="shared" ref="AN10" si="96">AN9/AN4</f>
        <v>0.13110667996011965</v>
      </c>
      <c r="AO10" s="57">
        <f t="shared" ref="AO10" si="97">AO9/AO4</f>
        <v>6.6423043852106622E-2</v>
      </c>
      <c r="AP10" s="57">
        <f t="shared" ref="AP10" si="98">AP9/AP4</f>
        <v>9.7644673217906722E-2</v>
      </c>
      <c r="AQ10" s="946">
        <f t="shared" si="77"/>
        <v>8.4515954081171477E-2</v>
      </c>
      <c r="AR10" s="57">
        <f>AR9/AR4</f>
        <v>4.7821969696969696E-2</v>
      </c>
      <c r="AS10" s="57">
        <f t="shared" ref="AS10:AW10" si="99">AS9/AS4</f>
        <v>4.5470203238029624E-2</v>
      </c>
      <c r="AT10" s="57">
        <f t="shared" si="99"/>
        <v>4.5336306205871424E-2</v>
      </c>
      <c r="AU10" s="959">
        <f t="shared" si="99"/>
        <v>6.560449859418932E-2</v>
      </c>
      <c r="AV10" s="57">
        <f t="shared" si="99"/>
        <v>4.6460618145563307E-2</v>
      </c>
      <c r="AW10" s="57">
        <f t="shared" si="99"/>
        <v>5.6347589952477933E-2</v>
      </c>
      <c r="AX10" s="946">
        <f t="shared" si="77"/>
        <v>5.1801595305766938E-2</v>
      </c>
      <c r="AY10" s="57">
        <f t="shared" ref="AY10:BD10" si="100">AY9/AY4</f>
        <v>7.1056371387967785E-3</v>
      </c>
      <c r="AZ10" s="57">
        <f t="shared" si="100"/>
        <v>7.0081967213114757E-2</v>
      </c>
      <c r="BA10" s="57">
        <f t="shared" si="100"/>
        <v>3.3542976939203356E-2</v>
      </c>
      <c r="BB10" s="959">
        <f t="shared" si="100"/>
        <v>0.11225071225071225</v>
      </c>
      <c r="BC10" s="57">
        <f t="shared" si="100"/>
        <v>4.0870138431114041E-2</v>
      </c>
      <c r="BD10" s="57">
        <f t="shared" si="100"/>
        <v>8.0407124681933839E-2</v>
      </c>
      <c r="BE10" s="946">
        <f t="shared" si="77"/>
        <v>6.3182079264790345E-2</v>
      </c>
      <c r="BF10" s="57">
        <f t="shared" ref="BF10:BK10" si="101">BF9/BF4</f>
        <v>2.7895981087470448E-2</v>
      </c>
      <c r="BG10" s="57">
        <f t="shared" si="101"/>
        <v>7.0160957490713993E-2</v>
      </c>
      <c r="BH10" s="57">
        <f t="shared" si="101"/>
        <v>2.3474178403755867E-2</v>
      </c>
      <c r="BI10" s="959">
        <f t="shared" si="101"/>
        <v>0.12465960665658093</v>
      </c>
      <c r="BJ10" s="57">
        <f t="shared" si="101"/>
        <v>5.0462758924636406E-2</v>
      </c>
      <c r="BK10" s="57">
        <f t="shared" si="101"/>
        <v>8.2684135977337106E-2</v>
      </c>
      <c r="BL10" s="946">
        <f t="shared" ref="BL10:CW10" si="102">BL9/BL4</f>
        <v>6.8329079128215203E-2</v>
      </c>
      <c r="BM10" s="57">
        <f t="shared" ref="BM10:BR10" si="103">BM9/BM4</f>
        <v>4.3212392988177743E-2</v>
      </c>
      <c r="BN10" s="57">
        <f t="shared" si="103"/>
        <v>1.882443334613907E-2</v>
      </c>
      <c r="BO10" s="57">
        <f t="shared" si="103"/>
        <v>2.9956641702798582E-2</v>
      </c>
      <c r="BP10" s="959">
        <f t="shared" si="103"/>
        <v>4.1734860883797055E-2</v>
      </c>
      <c r="BQ10" s="57">
        <f t="shared" si="103"/>
        <v>3.0656645569620253E-2</v>
      </c>
      <c r="BR10" s="57">
        <f t="shared" si="103"/>
        <v>3.6917620506206672E-2</v>
      </c>
      <c r="BS10" s="946">
        <f t="shared" si="102"/>
        <v>3.4106048494537702E-2</v>
      </c>
      <c r="BT10" s="57">
        <f>BT9/BT4</f>
        <v>1.5658982166159199E-2</v>
      </c>
      <c r="BU10" s="57">
        <f t="shared" si="102"/>
        <v>1.784197111299915E-2</v>
      </c>
      <c r="BV10" s="57">
        <f>BV9/BV4</f>
        <v>-3.1854838709677417E-2</v>
      </c>
      <c r="BW10" s="959">
        <f t="shared" si="102"/>
        <v>5.2728106373223289E-2</v>
      </c>
      <c r="BX10" s="57">
        <f>BX9/BX4</f>
        <v>1.6763378465506126E-2</v>
      </c>
      <c r="BY10" s="57">
        <f t="shared" si="102"/>
        <v>2.2069570301081556E-2</v>
      </c>
      <c r="BZ10" s="946">
        <f t="shared" ref="BZ10" si="104">BZ9/BZ4</f>
        <v>1.9921705089169205E-2</v>
      </c>
      <c r="CA10" s="57">
        <f>CA9/CA4</f>
        <v>-3.751563151313047E-3</v>
      </c>
      <c r="CB10" s="57">
        <f t="shared" ref="CB10" si="105">CB9/CB4</f>
        <v>-0.308584686774942</v>
      </c>
      <c r="CC10" s="57">
        <f t="shared" ref="CC10:CI10" si="106">CC9/CC4</f>
        <v>5.5640243902439025E-2</v>
      </c>
      <c r="CD10" s="959">
        <f t="shared" si="106"/>
        <v>2.1238542365302929E-2</v>
      </c>
      <c r="CE10" s="57">
        <f t="shared" si="106"/>
        <v>-0.16188565697091273</v>
      </c>
      <c r="CF10" s="57">
        <f t="shared" si="106"/>
        <v>3.3958010426940959E-2</v>
      </c>
      <c r="CG10" s="946">
        <f t="shared" si="106"/>
        <v>-4.684654858467141E-2</v>
      </c>
      <c r="CH10" s="57">
        <f t="shared" si="106"/>
        <v>2.8990963855421686E-2</v>
      </c>
      <c r="CI10" s="57">
        <f t="shared" si="106"/>
        <v>5.955020589166931E-2</v>
      </c>
      <c r="CJ10" s="57">
        <f t="shared" ref="CJ10:CK10" si="107">CJ9/CJ4</f>
        <v>5.0603983023179887E-2</v>
      </c>
      <c r="CK10" s="959">
        <f t="shared" si="107"/>
        <v>8.3462132921174659E-2</v>
      </c>
      <c r="CL10" s="57">
        <f t="shared" si="102"/>
        <v>4.5587476346120766E-2</v>
      </c>
      <c r="CM10" s="57">
        <f t="shared" si="102"/>
        <v>7.0205479452054798E-2</v>
      </c>
      <c r="CN10" s="946">
        <f t="shared" si="102"/>
        <v>5.9530026109660572E-2</v>
      </c>
      <c r="CO10" s="57">
        <f t="shared" si="102"/>
        <v>4.5903954802259887E-2</v>
      </c>
      <c r="CP10" s="57">
        <f t="shared" si="102"/>
        <v>0.10246842709529276</v>
      </c>
      <c r="CQ10" s="799">
        <f t="shared" si="102"/>
        <v>6.3348602840128262E-2</v>
      </c>
      <c r="CR10" s="999">
        <f t="shared" si="102"/>
        <v>6.5352266754766353E-2</v>
      </c>
      <c r="CS10" s="57">
        <f t="shared" ref="CS10" si="108">CS9/CS4</f>
        <v>7.710576314122862E-2</v>
      </c>
      <c r="CT10" s="799">
        <f t="shared" si="102"/>
        <v>6.453683618542623E-2</v>
      </c>
      <c r="CU10" s="972">
        <f t="shared" si="102"/>
        <v>7.0000000000000007E-2</v>
      </c>
      <c r="CV10" s="799">
        <f t="shared" si="102"/>
        <v>7.4999999999999997E-2</v>
      </c>
      <c r="CW10" s="799">
        <f t="shared" si="102"/>
        <v>7.4999999999999983E-2</v>
      </c>
      <c r="CX10" s="799">
        <f t="shared" ref="CX10:DW10" si="109">CX9/CX4</f>
        <v>7.4999999999999997E-2</v>
      </c>
      <c r="CY10" s="999">
        <f t="shared" si="109"/>
        <v>7.5000000000000011E-2</v>
      </c>
      <c r="CZ10" s="799">
        <f t="shared" si="109"/>
        <v>7.4999999999999997E-2</v>
      </c>
      <c r="DA10" s="799">
        <f t="shared" si="109"/>
        <v>7.5000000000000011E-2</v>
      </c>
      <c r="DB10" s="972">
        <f t="shared" si="109"/>
        <v>7.4999999999999997E-2</v>
      </c>
      <c r="DC10" s="799">
        <f t="shared" si="109"/>
        <v>7.9999999999999988E-2</v>
      </c>
      <c r="DD10" s="799">
        <f t="shared" si="109"/>
        <v>0.08</v>
      </c>
      <c r="DE10" s="799">
        <f t="shared" si="109"/>
        <v>0.08</v>
      </c>
      <c r="DF10" s="999">
        <f t="shared" si="109"/>
        <v>8.0000000000000016E-2</v>
      </c>
      <c r="DG10" s="799">
        <f t="shared" si="109"/>
        <v>0.08</v>
      </c>
      <c r="DH10" s="799">
        <f t="shared" si="109"/>
        <v>0.08</v>
      </c>
      <c r="DI10" s="972">
        <f t="shared" si="109"/>
        <v>7.9999999999999988E-2</v>
      </c>
      <c r="DJ10" s="799">
        <f t="shared" si="109"/>
        <v>8.1624091867822837E-2</v>
      </c>
      <c r="DK10" s="799">
        <f t="shared" si="109"/>
        <v>8.1444425177735383E-2</v>
      </c>
      <c r="DL10" s="799">
        <f t="shared" si="109"/>
        <v>8.164819944598338E-2</v>
      </c>
      <c r="DM10" s="999">
        <f t="shared" si="109"/>
        <v>8.1439903051872931E-2</v>
      </c>
      <c r="DN10" s="799">
        <f t="shared" si="109"/>
        <v>8.1524947294448341E-2</v>
      </c>
      <c r="DO10" s="799">
        <f t="shared" si="109"/>
        <v>8.1524623884808134E-2</v>
      </c>
      <c r="DP10" s="972">
        <f t="shared" si="109"/>
        <v>8.1524764456737842E-2</v>
      </c>
      <c r="DQ10" s="799">
        <f t="shared" si="109"/>
        <v>8.3248183735645659E-2</v>
      </c>
      <c r="DR10" s="799">
        <f t="shared" si="109"/>
        <v>8.2888850355470792E-2</v>
      </c>
      <c r="DS10" s="799">
        <f t="shared" si="109"/>
        <v>8.3296398891966758E-2</v>
      </c>
      <c r="DT10" s="999">
        <f t="shared" si="109"/>
        <v>8.2879806103745846E-2</v>
      </c>
      <c r="DU10" s="799">
        <f t="shared" si="109"/>
        <v>8.3049894588896708E-2</v>
      </c>
      <c r="DV10" s="799">
        <f t="shared" si="109"/>
        <v>8.3049247769616252E-2</v>
      </c>
      <c r="DW10" s="972">
        <f t="shared" si="109"/>
        <v>8.3049528913475668E-2</v>
      </c>
      <c r="DX10" s="29"/>
      <c r="DY10" s="218"/>
      <c r="DZ10" s="29"/>
      <c r="EA10" s="29"/>
      <c r="EB10" s="29"/>
      <c r="EC10" s="29"/>
      <c r="ED10" s="29"/>
      <c r="EE10" s="29"/>
      <c r="EF10" s="29"/>
      <c r="EG10" s="31"/>
      <c r="EH10" s="31"/>
      <c r="EI10" s="218"/>
      <c r="EJ10" s="218"/>
      <c r="EK10" s="218"/>
      <c r="EL10" s="218"/>
      <c r="EM10" s="218"/>
      <c r="EN10" s="218"/>
      <c r="EO10" s="218"/>
      <c r="EP10" s="218"/>
      <c r="EQ10" s="218"/>
      <c r="ER10" s="218"/>
      <c r="ES10" s="218"/>
      <c r="ET10" s="218"/>
      <c r="EU10" s="218"/>
      <c r="EV10" s="218"/>
      <c r="EW10" s="218"/>
      <c r="EX10" s="218"/>
      <c r="EY10" s="218"/>
      <c r="EZ10" s="218"/>
      <c r="FA10" s="218"/>
      <c r="FB10" s="218"/>
      <c r="FC10" s="218"/>
      <c r="FD10" s="218"/>
      <c r="FE10" s="218"/>
      <c r="FF10" s="218"/>
      <c r="FG10" s="218"/>
      <c r="FH10" s="218"/>
      <c r="FI10" s="218"/>
      <c r="FJ10" s="218"/>
      <c r="FK10" s="218"/>
      <c r="FL10" s="218"/>
      <c r="FM10" s="218"/>
      <c r="FN10" s="218"/>
      <c r="FO10" s="218"/>
      <c r="FP10" s="218"/>
      <c r="FQ10" s="218"/>
    </row>
    <row r="11" spans="1:173" ht="10.5" hidden="1" customHeight="1" outlineLevel="1">
      <c r="A11" s="28" t="s">
        <v>517</v>
      </c>
      <c r="B11" s="242"/>
      <c r="C11" s="242"/>
      <c r="D11" s="242"/>
      <c r="E11" s="1032"/>
      <c r="F11" s="242"/>
      <c r="G11" s="242"/>
      <c r="H11" s="1018"/>
      <c r="I11" s="242"/>
      <c r="J11" s="242"/>
      <c r="K11" s="242"/>
      <c r="L11" s="1032"/>
      <c r="M11" s="242"/>
      <c r="N11" s="242"/>
      <c r="O11" s="1018"/>
      <c r="P11" s="242"/>
      <c r="Q11" s="242"/>
      <c r="R11" s="242"/>
      <c r="S11" s="1032"/>
      <c r="T11" s="242"/>
      <c r="U11" s="242"/>
      <c r="V11" s="1018"/>
      <c r="W11" s="242"/>
      <c r="X11" s="242"/>
      <c r="Y11" s="242"/>
      <c r="Z11" s="1032"/>
      <c r="AA11" s="242"/>
      <c r="AB11" s="242"/>
      <c r="AC11" s="1018">
        <v>-200</v>
      </c>
      <c r="AD11" s="242"/>
      <c r="AE11" s="242"/>
      <c r="AF11" s="242"/>
      <c r="AG11" s="1032"/>
      <c r="AH11" s="242"/>
      <c r="AI11" s="242"/>
      <c r="AJ11" s="1018">
        <v>-150</v>
      </c>
      <c r="AK11" s="242"/>
      <c r="AL11" s="242"/>
      <c r="AM11" s="242"/>
      <c r="AN11" s="1032"/>
      <c r="AO11" s="242"/>
      <c r="AP11" s="242"/>
      <c r="AQ11" s="1018"/>
      <c r="AR11" s="242"/>
      <c r="AS11" s="242"/>
      <c r="AT11" s="242"/>
      <c r="AU11" s="1032"/>
      <c r="AV11" s="242"/>
      <c r="AW11" s="242"/>
      <c r="AX11" s="1018"/>
      <c r="AY11" s="242"/>
      <c r="AZ11" s="242"/>
      <c r="BA11" s="242"/>
      <c r="BB11" s="1032"/>
      <c r="BC11" s="242"/>
      <c r="BD11" s="242"/>
      <c r="BE11" s="1018"/>
      <c r="BF11" s="242"/>
      <c r="BG11" s="242"/>
      <c r="BH11" s="242"/>
      <c r="BI11" s="1032"/>
      <c r="BJ11" s="242"/>
      <c r="BK11" s="242"/>
      <c r="BL11" s="1018"/>
      <c r="BM11" s="242"/>
      <c r="BN11" s="242"/>
      <c r="BO11" s="242"/>
      <c r="BP11" s="1032"/>
      <c r="BQ11" s="242"/>
      <c r="BR11" s="242"/>
      <c r="BS11" s="1018"/>
      <c r="BT11" s="242"/>
      <c r="BU11" s="242"/>
      <c r="BV11" s="242"/>
      <c r="BW11" s="1032"/>
      <c r="BX11" s="242"/>
      <c r="BY11" s="242"/>
      <c r="BZ11" s="1018"/>
      <c r="CA11" s="242"/>
      <c r="CB11" s="242"/>
      <c r="CC11" s="242"/>
      <c r="CD11" s="1032"/>
      <c r="CE11" s="242"/>
      <c r="CF11" s="242"/>
      <c r="CG11" s="1018"/>
      <c r="CH11" s="242"/>
      <c r="CI11" s="242"/>
      <c r="CJ11" s="242"/>
      <c r="CK11" s="1032"/>
      <c r="CL11" s="242"/>
      <c r="CM11" s="242"/>
      <c r="CN11" s="1018"/>
      <c r="CO11" s="242"/>
      <c r="CP11" s="242"/>
      <c r="CQ11" s="242"/>
      <c r="CR11" s="1032"/>
      <c r="CS11" s="242"/>
      <c r="CT11" s="242"/>
      <c r="CU11" s="1018"/>
      <c r="CV11" s="242"/>
      <c r="CW11" s="242"/>
      <c r="CX11" s="242"/>
      <c r="CY11" s="1032"/>
      <c r="CZ11" s="242"/>
      <c r="DA11" s="242"/>
      <c r="DB11" s="1018"/>
      <c r="DC11" s="242"/>
      <c r="DD11" s="242"/>
      <c r="DE11" s="242"/>
      <c r="DF11" s="1032"/>
      <c r="DG11" s="242"/>
      <c r="DH11" s="242"/>
      <c r="DI11" s="1018"/>
      <c r="DJ11" s="242"/>
      <c r="DK11" s="242"/>
      <c r="DL11" s="242"/>
      <c r="DM11" s="1032"/>
      <c r="DN11" s="242"/>
      <c r="DO11" s="242"/>
      <c r="DP11" s="1018"/>
      <c r="DQ11" s="242"/>
      <c r="DR11" s="242"/>
      <c r="DS11" s="242"/>
      <c r="DT11" s="1032"/>
      <c r="DU11" s="242"/>
      <c r="DV11" s="242"/>
      <c r="DW11" s="1018"/>
      <c r="DX11" s="29"/>
      <c r="DY11" s="218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18"/>
      <c r="EK11" s="218"/>
      <c r="EL11" s="218"/>
      <c r="EM11" s="218"/>
      <c r="EN11" s="218"/>
      <c r="EO11" s="218"/>
      <c r="EP11" s="218"/>
      <c r="EQ11" s="218"/>
      <c r="ER11" s="218"/>
      <c r="ES11" s="218"/>
      <c r="ET11" s="218"/>
      <c r="EU11" s="218"/>
      <c r="EV11" s="218"/>
      <c r="EW11" s="218"/>
      <c r="EX11" s="218"/>
      <c r="EY11" s="218"/>
      <c r="EZ11" s="218"/>
      <c r="FA11" s="218"/>
      <c r="FB11" s="218"/>
      <c r="FC11" s="218"/>
      <c r="FD11" s="218"/>
      <c r="FE11" s="218"/>
      <c r="FF11" s="218"/>
      <c r="FG11" s="218"/>
      <c r="FH11" s="218"/>
      <c r="FI11" s="218"/>
      <c r="FJ11" s="218"/>
      <c r="FK11" s="218"/>
      <c r="FL11" s="218"/>
      <c r="FM11" s="218"/>
      <c r="FN11" s="218"/>
      <c r="FO11" s="218"/>
      <c r="FP11" s="218"/>
      <c r="FQ11" s="218"/>
    </row>
    <row r="12" spans="1:173" ht="10.5" hidden="1" customHeight="1" outlineLevel="1">
      <c r="A12" s="28" t="s">
        <v>519</v>
      </c>
      <c r="B12" s="57"/>
      <c r="C12" s="57"/>
      <c r="D12" s="57"/>
      <c r="E12" s="959"/>
      <c r="F12" s="57"/>
      <c r="G12" s="57"/>
      <c r="H12" s="946"/>
      <c r="I12" s="57"/>
      <c r="J12" s="57"/>
      <c r="K12" s="57"/>
      <c r="L12" s="959"/>
      <c r="M12" s="57"/>
      <c r="N12" s="57"/>
      <c r="O12" s="946"/>
      <c r="P12" s="57"/>
      <c r="Q12" s="57"/>
      <c r="R12" s="57"/>
      <c r="S12" s="959"/>
      <c r="T12" s="57"/>
      <c r="U12" s="57"/>
      <c r="V12" s="946"/>
      <c r="W12" s="57"/>
      <c r="X12" s="57"/>
      <c r="Y12" s="57"/>
      <c r="Z12" s="959"/>
      <c r="AA12" s="57"/>
      <c r="AB12" s="57"/>
      <c r="AC12" s="946">
        <f>(AC9-AC11)/(AC4-AC6)</f>
        <v>9.3511747316010585E-2</v>
      </c>
      <c r="AD12" s="57"/>
      <c r="AE12" s="57"/>
      <c r="AF12" s="57"/>
      <c r="AG12" s="959"/>
      <c r="AH12" s="57"/>
      <c r="AI12" s="57"/>
      <c r="AJ12" s="946">
        <f>(AJ9-AJ11)/(AJ4-AJ6)</f>
        <v>8.1733845169545752E-2</v>
      </c>
      <c r="AK12" s="57"/>
      <c r="AL12" s="57"/>
      <c r="AM12" s="57"/>
      <c r="AN12" s="959"/>
      <c r="AO12" s="57"/>
      <c r="AP12" s="57"/>
      <c r="AQ12" s="946"/>
      <c r="AR12" s="57"/>
      <c r="AS12" s="57"/>
      <c r="AT12" s="57"/>
      <c r="AU12" s="959"/>
      <c r="AV12" s="57"/>
      <c r="AW12" s="57"/>
      <c r="AX12" s="946"/>
      <c r="AY12" s="57"/>
      <c r="AZ12" s="57"/>
      <c r="BA12" s="57"/>
      <c r="BB12" s="959"/>
      <c r="BC12" s="57"/>
      <c r="BD12" s="57"/>
      <c r="BE12" s="946"/>
      <c r="BF12" s="57"/>
      <c r="BG12" s="57"/>
      <c r="BH12" s="57"/>
      <c r="BI12" s="959"/>
      <c r="BJ12" s="57"/>
      <c r="BK12" s="57"/>
      <c r="BL12" s="946"/>
      <c r="BM12" s="57"/>
      <c r="BN12" s="57"/>
      <c r="BO12" s="57"/>
      <c r="BP12" s="959"/>
      <c r="BQ12" s="57"/>
      <c r="BR12" s="57"/>
      <c r="BS12" s="946"/>
      <c r="BT12" s="57"/>
      <c r="BU12" s="57"/>
      <c r="BV12" s="57"/>
      <c r="BW12" s="959"/>
      <c r="BX12" s="57"/>
      <c r="BY12" s="57"/>
      <c r="BZ12" s="946"/>
      <c r="CA12" s="57"/>
      <c r="CB12" s="57"/>
      <c r="CC12" s="57"/>
      <c r="CD12" s="959"/>
      <c r="CE12" s="57"/>
      <c r="CF12" s="57"/>
      <c r="CG12" s="946"/>
      <c r="CH12" s="57"/>
      <c r="CI12" s="57"/>
      <c r="CJ12" s="57"/>
      <c r="CK12" s="959"/>
      <c r="CL12" s="57"/>
      <c r="CM12" s="57"/>
      <c r="CN12" s="946"/>
      <c r="CO12" s="57"/>
      <c r="CP12" s="57"/>
      <c r="CQ12" s="57"/>
      <c r="CR12" s="959"/>
      <c r="CS12" s="57"/>
      <c r="CT12" s="57"/>
      <c r="CU12" s="946"/>
      <c r="CV12" s="57"/>
      <c r="CW12" s="57"/>
      <c r="CX12" s="57"/>
      <c r="CY12" s="959"/>
      <c r="CZ12" s="57"/>
      <c r="DA12" s="57"/>
      <c r="DB12" s="946"/>
      <c r="DC12" s="57"/>
      <c r="DD12" s="57"/>
      <c r="DE12" s="57"/>
      <c r="DF12" s="959"/>
      <c r="DG12" s="57"/>
      <c r="DH12" s="57"/>
      <c r="DI12" s="946"/>
      <c r="DJ12" s="57"/>
      <c r="DK12" s="57"/>
      <c r="DL12" s="57"/>
      <c r="DM12" s="959"/>
      <c r="DN12" s="57"/>
      <c r="DO12" s="57"/>
      <c r="DP12" s="946"/>
      <c r="DQ12" s="57"/>
      <c r="DR12" s="57"/>
      <c r="DS12" s="57"/>
      <c r="DT12" s="959"/>
      <c r="DU12" s="57"/>
      <c r="DV12" s="57"/>
      <c r="DW12" s="946"/>
      <c r="DX12" s="29"/>
      <c r="DY12" s="218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18"/>
      <c r="EK12" s="218"/>
      <c r="EL12" s="218"/>
      <c r="EM12" s="218"/>
      <c r="EN12" s="218"/>
      <c r="EO12" s="218"/>
      <c r="EP12" s="218"/>
      <c r="EQ12" s="218"/>
      <c r="ER12" s="218"/>
      <c r="ES12" s="218"/>
      <c r="ET12" s="218"/>
      <c r="EU12" s="218"/>
      <c r="EV12" s="218"/>
      <c r="EW12" s="218"/>
      <c r="EX12" s="218"/>
      <c r="EY12" s="218"/>
      <c r="EZ12" s="218"/>
      <c r="FA12" s="218"/>
      <c r="FB12" s="218"/>
      <c r="FC12" s="218"/>
      <c r="FD12" s="218"/>
      <c r="FE12" s="218"/>
      <c r="FF12" s="218"/>
      <c r="FG12" s="218"/>
      <c r="FH12" s="218"/>
      <c r="FI12" s="218"/>
      <c r="FJ12" s="218"/>
      <c r="FK12" s="218"/>
      <c r="FL12" s="218"/>
      <c r="FM12" s="218"/>
      <c r="FN12" s="218"/>
      <c r="FO12" s="218"/>
      <c r="FP12" s="218"/>
      <c r="FQ12" s="218"/>
    </row>
    <row r="13" spans="1:173" ht="10.5" customHeight="1" collapsed="1">
      <c r="A13" s="32"/>
      <c r="B13" s="29"/>
      <c r="C13" s="29"/>
      <c r="D13" s="29"/>
      <c r="E13" s="1031"/>
      <c r="F13" s="29"/>
      <c r="G13" s="29"/>
      <c r="H13" s="311"/>
      <c r="I13" s="29"/>
      <c r="J13" s="29"/>
      <c r="K13" s="29"/>
      <c r="L13" s="1031"/>
      <c r="M13" s="29"/>
      <c r="N13" s="29"/>
      <c r="O13" s="311"/>
      <c r="P13" s="29"/>
      <c r="Q13" s="29"/>
      <c r="R13" s="29"/>
      <c r="S13" s="1031"/>
      <c r="T13" s="29"/>
      <c r="U13" s="29"/>
      <c r="V13" s="311"/>
      <c r="W13" s="29"/>
      <c r="X13" s="29"/>
      <c r="Y13" s="29"/>
      <c r="Z13" s="1031"/>
      <c r="AA13" s="29"/>
      <c r="AB13" s="29"/>
      <c r="AC13" s="311"/>
      <c r="AD13" s="29"/>
      <c r="AE13" s="29"/>
      <c r="AF13" s="29"/>
      <c r="AG13" s="1031"/>
      <c r="AH13" s="29"/>
      <c r="AI13" s="29"/>
      <c r="AJ13" s="311"/>
      <c r="AK13" s="29"/>
      <c r="AL13" s="29"/>
      <c r="AM13" s="29"/>
      <c r="AN13" s="1031"/>
      <c r="AO13" s="29"/>
      <c r="AP13" s="29"/>
      <c r="AQ13" s="311"/>
      <c r="AR13" s="29"/>
      <c r="AS13" s="29"/>
      <c r="AT13" s="29"/>
      <c r="AU13" s="1031"/>
      <c r="AV13" s="29"/>
      <c r="AW13" s="29"/>
      <c r="AX13" s="311"/>
      <c r="AY13" s="29"/>
      <c r="AZ13" s="29"/>
      <c r="BA13" s="29"/>
      <c r="BB13" s="1031"/>
      <c r="BC13" s="29"/>
      <c r="BD13" s="29"/>
      <c r="BE13" s="311"/>
      <c r="BF13" s="29"/>
      <c r="BG13" s="29"/>
      <c r="BH13" s="29"/>
      <c r="BI13" s="1031"/>
      <c r="BJ13" s="29"/>
      <c r="BK13" s="29"/>
      <c r="BL13" s="311"/>
      <c r="BM13" s="29"/>
      <c r="BN13" s="29"/>
      <c r="BO13" s="29"/>
      <c r="BP13" s="1031"/>
      <c r="BQ13" s="29"/>
      <c r="BR13" s="29"/>
      <c r="BS13" s="311"/>
      <c r="BT13" s="29"/>
      <c r="BU13" s="29"/>
      <c r="BV13" s="29"/>
      <c r="BW13" s="1031"/>
      <c r="BX13" s="29"/>
      <c r="BY13" s="29"/>
      <c r="BZ13" s="311"/>
      <c r="CA13" s="29"/>
      <c r="CB13" s="29"/>
      <c r="CC13" s="29"/>
      <c r="CD13" s="1031"/>
      <c r="CE13" s="29"/>
      <c r="CF13" s="29"/>
      <c r="CG13" s="311"/>
      <c r="CH13" s="29"/>
      <c r="CI13" s="29"/>
      <c r="CJ13" s="29"/>
      <c r="CK13" s="1031"/>
      <c r="CL13" s="29"/>
      <c r="CM13" s="29"/>
      <c r="CN13" s="311"/>
      <c r="CO13" s="29"/>
      <c r="CP13" s="29"/>
      <c r="CQ13" s="29"/>
      <c r="CR13" s="1031"/>
      <c r="CS13" s="29"/>
      <c r="CT13" s="29"/>
      <c r="CU13" s="311"/>
      <c r="CV13" s="29"/>
      <c r="CW13" s="29"/>
      <c r="CX13" s="29"/>
      <c r="CY13" s="1031"/>
      <c r="CZ13" s="29"/>
      <c r="DA13" s="29"/>
      <c r="DB13" s="311"/>
      <c r="DC13" s="29"/>
      <c r="DD13" s="29"/>
      <c r="DE13" s="29"/>
      <c r="DF13" s="1031"/>
      <c r="DG13" s="29"/>
      <c r="DH13" s="29"/>
      <c r="DI13" s="311"/>
      <c r="DJ13" s="29"/>
      <c r="DK13" s="29"/>
      <c r="DL13" s="29"/>
      <c r="DM13" s="1031"/>
      <c r="DN13" s="29"/>
      <c r="DO13" s="29"/>
      <c r="DP13" s="311"/>
      <c r="DQ13" s="29"/>
      <c r="DR13" s="29"/>
      <c r="DS13" s="29"/>
      <c r="DT13" s="1031"/>
      <c r="DU13" s="29"/>
      <c r="DV13" s="29"/>
      <c r="DW13" s="311"/>
      <c r="DX13" s="29"/>
      <c r="DY13" s="29"/>
      <c r="DZ13" s="29"/>
      <c r="EA13" s="188"/>
      <c r="EB13" s="29"/>
      <c r="EC13" s="29"/>
      <c r="ED13" s="27"/>
      <c r="EE13" s="190"/>
      <c r="EF13" s="31"/>
      <c r="EG13" s="31"/>
      <c r="EH13" s="31"/>
      <c r="EI13" s="218"/>
      <c r="EJ13" s="218"/>
      <c r="EK13" s="218"/>
      <c r="EL13" s="218"/>
      <c r="EM13" s="218"/>
      <c r="EN13" s="218"/>
      <c r="EO13" s="218"/>
      <c r="EP13" s="218"/>
      <c r="EQ13" s="218"/>
      <c r="ER13" s="218"/>
      <c r="ES13" s="218"/>
      <c r="ET13" s="218"/>
      <c r="EU13" s="218"/>
      <c r="EV13" s="218"/>
      <c r="EW13" s="218"/>
      <c r="EX13" s="218"/>
      <c r="EY13" s="218"/>
      <c r="EZ13" s="218"/>
      <c r="FA13" s="218"/>
      <c r="FB13" s="218"/>
      <c r="FC13" s="218"/>
      <c r="FD13" s="218"/>
      <c r="FE13" s="218"/>
      <c r="FF13" s="218"/>
      <c r="FG13" s="218"/>
      <c r="FH13" s="218"/>
      <c r="FI13" s="218"/>
      <c r="FJ13" s="218"/>
      <c r="FK13" s="218"/>
      <c r="FL13" s="218"/>
      <c r="FM13" s="218"/>
      <c r="FN13" s="218"/>
      <c r="FO13" s="218"/>
      <c r="FP13" s="218"/>
      <c r="FQ13" s="218"/>
    </row>
    <row r="14" spans="1:173" ht="10.5" customHeight="1">
      <c r="A14" s="27" t="s">
        <v>568</v>
      </c>
      <c r="B14" s="33">
        <f>B15-B9</f>
        <v>0</v>
      </c>
      <c r="C14" s="33">
        <f t="shared" ref="C14" si="110">C15-C9</f>
        <v>0</v>
      </c>
      <c r="D14" s="33">
        <f t="shared" ref="D14" si="111">D15-D9</f>
        <v>0</v>
      </c>
      <c r="E14" s="1033">
        <f t="shared" ref="E14" si="112">E15-E9</f>
        <v>-252</v>
      </c>
      <c r="F14" s="33">
        <f t="shared" ref="F14" si="113">F15-F9</f>
        <v>0</v>
      </c>
      <c r="G14" s="33">
        <f t="shared" ref="G14" si="114">G15-G9</f>
        <v>-252</v>
      </c>
      <c r="H14" s="305">
        <v>-252</v>
      </c>
      <c r="I14" s="33">
        <f>I15-I9</f>
        <v>0</v>
      </c>
      <c r="J14" s="33">
        <f t="shared" ref="J14" si="115">J15-J9</f>
        <v>0</v>
      </c>
      <c r="K14" s="33">
        <f t="shared" ref="K14" si="116">K15-K9</f>
        <v>0</v>
      </c>
      <c r="L14" s="1033">
        <f t="shared" ref="L14" si="117">L15-L9</f>
        <v>-511</v>
      </c>
      <c r="M14" s="33">
        <f t="shared" ref="M14" si="118">M15-M9</f>
        <v>0</v>
      </c>
      <c r="N14" s="33">
        <f t="shared" ref="N14" si="119">N15-N9</f>
        <v>-511</v>
      </c>
      <c r="O14" s="305">
        <f t="shared" ref="O14:BS14" si="120">O15-O9</f>
        <v>-511</v>
      </c>
      <c r="P14" s="33">
        <f>P15-P9</f>
        <v>43</v>
      </c>
      <c r="Q14" s="33">
        <f t="shared" ref="Q14" si="121">Q15-Q9</f>
        <v>-336</v>
      </c>
      <c r="R14" s="33">
        <f t="shared" ref="R14" si="122">R15-R9</f>
        <v>11</v>
      </c>
      <c r="S14" s="1033">
        <f t="shared" ref="S14" si="123">S15-S9</f>
        <v>-33</v>
      </c>
      <c r="T14" s="33">
        <f t="shared" ref="T14" si="124">T15-T9</f>
        <v>-293</v>
      </c>
      <c r="U14" s="33">
        <f t="shared" ref="U14" si="125">U15-U9</f>
        <v>-22</v>
      </c>
      <c r="V14" s="305">
        <f t="shared" si="120"/>
        <v>-315</v>
      </c>
      <c r="W14" s="33">
        <f>W15-W9</f>
        <v>-19</v>
      </c>
      <c r="X14" s="33">
        <f t="shared" ref="X14" si="126">X15-X9</f>
        <v>172</v>
      </c>
      <c r="Y14" s="33">
        <f t="shared" ref="Y14" si="127">Y15-Y9</f>
        <v>-10</v>
      </c>
      <c r="Z14" s="1033">
        <f t="shared" ref="Z14" si="128">Z15-Z9</f>
        <v>-1238</v>
      </c>
      <c r="AA14" s="33">
        <f t="shared" ref="AA14" si="129">AA15-AA9</f>
        <v>153</v>
      </c>
      <c r="AB14" s="33">
        <f t="shared" ref="AB14" si="130">AB15-AB9</f>
        <v>-1248</v>
      </c>
      <c r="AC14" s="305">
        <f t="shared" si="120"/>
        <v>-1095</v>
      </c>
      <c r="AD14" s="33">
        <f>AD15-AD9</f>
        <v>557</v>
      </c>
      <c r="AE14" s="33">
        <f t="shared" ref="AE14:AI14" si="131">AE15-AE9</f>
        <v>11</v>
      </c>
      <c r="AF14" s="33">
        <f t="shared" si="131"/>
        <v>-25</v>
      </c>
      <c r="AG14" s="1033">
        <f t="shared" si="131"/>
        <v>-1203</v>
      </c>
      <c r="AH14" s="33">
        <f t="shared" si="131"/>
        <v>568</v>
      </c>
      <c r="AI14" s="33">
        <f t="shared" si="131"/>
        <v>-1228</v>
      </c>
      <c r="AJ14" s="305">
        <f t="shared" si="120"/>
        <v>-660</v>
      </c>
      <c r="AK14" s="33">
        <f>AK15-AK9</f>
        <v>153</v>
      </c>
      <c r="AL14" s="33">
        <f t="shared" ref="AL14" si="132">AL15-AL9</f>
        <v>-80</v>
      </c>
      <c r="AM14" s="33">
        <f t="shared" ref="AM14" si="133">AM15-AM9</f>
        <v>-3</v>
      </c>
      <c r="AN14" s="1033">
        <f t="shared" ref="AN14" si="134">AN15-AN9</f>
        <v>-329</v>
      </c>
      <c r="AO14" s="33">
        <f t="shared" ref="AO14" si="135">AO15-AO9</f>
        <v>73</v>
      </c>
      <c r="AP14" s="33">
        <f t="shared" ref="AP14" si="136">AP15-AP9</f>
        <v>-332</v>
      </c>
      <c r="AQ14" s="305">
        <f t="shared" si="120"/>
        <v>-259</v>
      </c>
      <c r="AR14" s="33">
        <f>AR15-AR9</f>
        <v>-218</v>
      </c>
      <c r="AS14" s="33">
        <f t="shared" ref="AS14:AW14" si="137">AS15-AS9</f>
        <v>-30</v>
      </c>
      <c r="AT14" s="33">
        <f t="shared" si="137"/>
        <v>-24</v>
      </c>
      <c r="AU14" s="1033">
        <f t="shared" si="137"/>
        <v>-1174</v>
      </c>
      <c r="AV14" s="33">
        <f t="shared" si="137"/>
        <v>-248</v>
      </c>
      <c r="AW14" s="33">
        <f t="shared" si="137"/>
        <v>-1198</v>
      </c>
      <c r="AX14" s="305">
        <f t="shared" si="120"/>
        <v>-1446</v>
      </c>
      <c r="AY14" s="33">
        <f t="shared" ref="AY14:BD14" si="138">AY15-AY9</f>
        <v>38</v>
      </c>
      <c r="AZ14" s="33">
        <f t="shared" si="138"/>
        <v>-45</v>
      </c>
      <c r="BA14" s="33">
        <f t="shared" si="138"/>
        <v>-189</v>
      </c>
      <c r="BB14" s="1033">
        <f t="shared" si="138"/>
        <v>-56</v>
      </c>
      <c r="BC14" s="33">
        <f t="shared" si="138"/>
        <v>-7</v>
      </c>
      <c r="BD14" s="33">
        <f t="shared" si="138"/>
        <v>-245</v>
      </c>
      <c r="BE14" s="305">
        <f t="shared" si="120"/>
        <v>-252</v>
      </c>
      <c r="BF14" s="33">
        <f t="shared" ref="BF14:BK14" si="139">BF15-BF9</f>
        <v>-42</v>
      </c>
      <c r="BG14" s="33">
        <f t="shared" si="139"/>
        <v>-30</v>
      </c>
      <c r="BH14" s="33">
        <f t="shared" si="139"/>
        <v>-8</v>
      </c>
      <c r="BI14" s="1033">
        <f t="shared" si="139"/>
        <v>-48</v>
      </c>
      <c r="BJ14" s="33">
        <f t="shared" si="139"/>
        <v>-72</v>
      </c>
      <c r="BK14" s="33">
        <f t="shared" si="139"/>
        <v>-56</v>
      </c>
      <c r="BL14" s="305">
        <f t="shared" si="120"/>
        <v>-128</v>
      </c>
      <c r="BM14" s="33">
        <f t="shared" ref="BM14:BR14" si="140">BM15-BM9</f>
        <v>-11</v>
      </c>
      <c r="BN14" s="33">
        <f t="shared" si="140"/>
        <v>-257</v>
      </c>
      <c r="BO14" s="33">
        <f t="shared" si="140"/>
        <v>-27</v>
      </c>
      <c r="BP14" s="1033">
        <f t="shared" si="140"/>
        <v>-207</v>
      </c>
      <c r="BQ14" s="33">
        <f t="shared" si="140"/>
        <v>-268</v>
      </c>
      <c r="BR14" s="33">
        <f t="shared" si="140"/>
        <v>-234</v>
      </c>
      <c r="BS14" s="305">
        <f t="shared" si="120"/>
        <v>-502</v>
      </c>
      <c r="BT14" s="33">
        <f>BT15-BT9</f>
        <v>0</v>
      </c>
      <c r="BU14" s="33">
        <f>BX14-BT14</f>
        <v>9</v>
      </c>
      <c r="BV14" s="33">
        <f>BV15-BV9</f>
        <v>-11</v>
      </c>
      <c r="BW14" s="1033">
        <f>BY14-BV14</f>
        <v>-7</v>
      </c>
      <c r="BX14" s="33">
        <f>BX15-BX9</f>
        <v>9</v>
      </c>
      <c r="BY14" s="33">
        <f>BZ14-BX14</f>
        <v>-18</v>
      </c>
      <c r="BZ14" s="305">
        <f t="shared" ref="BZ14" si="141">BZ15-BZ9</f>
        <v>-9</v>
      </c>
      <c r="CA14" s="33">
        <f>CA15-CA9</f>
        <v>39</v>
      </c>
      <c r="CB14" s="33">
        <f>CE14-CA14</f>
        <v>8</v>
      </c>
      <c r="CC14" s="33">
        <f t="shared" ref="CC14:CJ14" si="142">CC15-CC9</f>
        <v>-3</v>
      </c>
      <c r="CD14" s="1033">
        <f t="shared" si="142"/>
        <v>-134</v>
      </c>
      <c r="CE14" s="33">
        <f t="shared" si="142"/>
        <v>47</v>
      </c>
      <c r="CF14" s="33">
        <f t="shared" si="142"/>
        <v>-137</v>
      </c>
      <c r="CG14" s="305">
        <f t="shared" si="142"/>
        <v>-90</v>
      </c>
      <c r="CH14" s="33">
        <f t="shared" si="142"/>
        <v>-108</v>
      </c>
      <c r="CI14" s="33">
        <f>CL14-CH14</f>
        <v>4</v>
      </c>
      <c r="CJ14" s="33">
        <f t="shared" si="142"/>
        <v>37</v>
      </c>
      <c r="CK14" s="1033">
        <f t="shared" ref="CK14" si="143">CK15-CK9</f>
        <v>-92</v>
      </c>
      <c r="CL14" s="33">
        <f t="shared" ref="CL14:CM14" si="144">CL15-CL9</f>
        <v>-104</v>
      </c>
      <c r="CM14" s="33">
        <f t="shared" si="144"/>
        <v>-55</v>
      </c>
      <c r="CN14" s="305">
        <f t="shared" ref="CN14:CO14" si="145">CN15-CN9</f>
        <v>-159</v>
      </c>
      <c r="CO14" s="33">
        <f t="shared" si="145"/>
        <v>4</v>
      </c>
      <c r="CP14" s="33">
        <f>CS14-CO14</f>
        <v>51</v>
      </c>
      <c r="CQ14" s="1052">
        <v>0</v>
      </c>
      <c r="CR14" s="1058">
        <f>CT14-CQ14</f>
        <v>0</v>
      </c>
      <c r="CS14" s="33">
        <f t="shared" ref="CS14" si="146">CS15-CS9</f>
        <v>55</v>
      </c>
      <c r="CT14" s="291">
        <f>CU14-CS14</f>
        <v>0</v>
      </c>
      <c r="CU14" s="1051">
        <v>55</v>
      </c>
      <c r="CV14" s="1052">
        <v>0</v>
      </c>
      <c r="CW14" s="291">
        <f>CZ14-CV14</f>
        <v>0</v>
      </c>
      <c r="CX14" s="1052">
        <v>0</v>
      </c>
      <c r="CY14" s="1058">
        <f>DA14-CX14</f>
        <v>0</v>
      </c>
      <c r="CZ14" s="1052">
        <v>0</v>
      </c>
      <c r="DA14" s="291">
        <f>DB14-CZ14</f>
        <v>0</v>
      </c>
      <c r="DB14" s="1051">
        <v>0</v>
      </c>
      <c r="DC14" s="1052">
        <v>0</v>
      </c>
      <c r="DD14" s="291">
        <f>DG14-DC14</f>
        <v>0</v>
      </c>
      <c r="DE14" s="1052">
        <v>0</v>
      </c>
      <c r="DF14" s="1058">
        <f>DH14-DE14</f>
        <v>0</v>
      </c>
      <c r="DG14" s="1052">
        <v>0</v>
      </c>
      <c r="DH14" s="291">
        <f>DI14-DG14</f>
        <v>0</v>
      </c>
      <c r="DI14" s="1051">
        <v>0</v>
      </c>
      <c r="DJ14" s="1052">
        <v>0</v>
      </c>
      <c r="DK14" s="291">
        <f>DN14-DJ14</f>
        <v>0</v>
      </c>
      <c r="DL14" s="1052">
        <v>0</v>
      </c>
      <c r="DM14" s="1058">
        <f>DO14-DL14</f>
        <v>0</v>
      </c>
      <c r="DN14" s="1052">
        <v>0</v>
      </c>
      <c r="DO14" s="291">
        <f>DP14-DN14</f>
        <v>0</v>
      </c>
      <c r="DP14" s="1051">
        <v>0</v>
      </c>
      <c r="DQ14" s="1052">
        <v>0</v>
      </c>
      <c r="DR14" s="291">
        <f>DU14-DQ14</f>
        <v>0</v>
      </c>
      <c r="DS14" s="1052">
        <v>0</v>
      </c>
      <c r="DT14" s="1058">
        <f>DV14-DS14</f>
        <v>0</v>
      </c>
      <c r="DU14" s="1052">
        <v>0</v>
      </c>
      <c r="DV14" s="291">
        <f>DW14-DU14</f>
        <v>0</v>
      </c>
      <c r="DW14" s="1051">
        <v>0</v>
      </c>
      <c r="DX14" s="29"/>
      <c r="DY14" s="29"/>
      <c r="DZ14" s="29"/>
      <c r="EA14" s="186"/>
      <c r="EB14" s="29"/>
      <c r="EC14" s="29"/>
      <c r="ED14" s="27"/>
      <c r="EE14" s="187"/>
      <c r="EF14" s="31"/>
      <c r="EG14" s="31"/>
      <c r="EH14" s="31"/>
      <c r="EI14" s="218"/>
      <c r="EJ14" s="218"/>
      <c r="EK14" s="218"/>
      <c r="EL14" s="218"/>
      <c r="EM14" s="218"/>
      <c r="EN14" s="218"/>
      <c r="EO14" s="218"/>
      <c r="EP14" s="218"/>
      <c r="EQ14" s="218"/>
      <c r="ER14" s="218"/>
      <c r="ES14" s="218"/>
      <c r="ET14" s="218"/>
      <c r="EU14" s="218"/>
      <c r="EV14" s="218"/>
      <c r="EW14" s="218"/>
      <c r="EX14" s="218"/>
      <c r="EY14" s="218"/>
      <c r="EZ14" s="218"/>
      <c r="FA14" s="218"/>
      <c r="FB14" s="218"/>
      <c r="FC14" s="218"/>
      <c r="FD14" s="218"/>
      <c r="FE14" s="218"/>
      <c r="FF14" s="218"/>
      <c r="FG14" s="218"/>
      <c r="FH14" s="218"/>
      <c r="FI14" s="218"/>
      <c r="FJ14" s="218"/>
      <c r="FK14" s="218"/>
      <c r="FL14" s="218"/>
      <c r="FM14" s="218"/>
      <c r="FN14" s="218"/>
      <c r="FO14" s="218"/>
      <c r="FP14" s="218"/>
      <c r="FQ14" s="218"/>
    </row>
    <row r="15" spans="1:173" ht="10.5" customHeight="1">
      <c r="A15" s="32" t="s">
        <v>332</v>
      </c>
      <c r="B15" s="37">
        <f>Divisional!N53</f>
        <v>84</v>
      </c>
      <c r="C15" s="37">
        <f>Divisional!O53</f>
        <v>132</v>
      </c>
      <c r="D15" s="37">
        <f>Divisional!P53</f>
        <v>140</v>
      </c>
      <c r="E15" s="1284">
        <f>Divisional!Q53</f>
        <v>303</v>
      </c>
      <c r="F15" s="37">
        <f>Divisional!R53</f>
        <v>216</v>
      </c>
      <c r="G15" s="37">
        <f>Divisional!S53</f>
        <v>443</v>
      </c>
      <c r="H15" s="306">
        <f>H9+H14</f>
        <v>659</v>
      </c>
      <c r="I15" s="37">
        <f>Divisional!U53</f>
        <v>85</v>
      </c>
      <c r="J15" s="37">
        <f>Divisional!V53</f>
        <v>138</v>
      </c>
      <c r="K15" s="37">
        <f>Divisional!W53</f>
        <v>147</v>
      </c>
      <c r="L15" s="1284">
        <f>Divisional!X53</f>
        <v>39</v>
      </c>
      <c r="M15" s="37">
        <f>Divisional!Y53</f>
        <v>223</v>
      </c>
      <c r="N15" s="37">
        <f>Divisional!Z53</f>
        <v>186</v>
      </c>
      <c r="O15" s="306">
        <v>409</v>
      </c>
      <c r="P15" s="37">
        <f>Divisional!AB53</f>
        <v>133</v>
      </c>
      <c r="Q15" s="37">
        <f>Divisional!AC53</f>
        <v>-159</v>
      </c>
      <c r="R15" s="37">
        <f>Divisional!AD53</f>
        <v>175</v>
      </c>
      <c r="S15" s="1284">
        <f>Divisional!AE53</f>
        <v>596</v>
      </c>
      <c r="T15" s="37">
        <f>Divisional!AF53</f>
        <v>-26</v>
      </c>
      <c r="U15" s="37">
        <f>Divisional!AG53</f>
        <v>771</v>
      </c>
      <c r="V15" s="306">
        <v>745</v>
      </c>
      <c r="W15" s="37">
        <f>Divisional!AI53</f>
        <v>88</v>
      </c>
      <c r="X15" s="37">
        <f>Divisional!AJ53</f>
        <v>387</v>
      </c>
      <c r="Y15" s="37">
        <f>Divisional!AK53</f>
        <v>104</v>
      </c>
      <c r="Z15" s="1284">
        <f>Divisional!AL53</f>
        <v>-672</v>
      </c>
      <c r="AA15" s="37">
        <f>Divisional!AM53</f>
        <v>475</v>
      </c>
      <c r="AB15" s="37">
        <f>Divisional!AN53</f>
        <v>-568</v>
      </c>
      <c r="AC15" s="306">
        <v>-93</v>
      </c>
      <c r="AD15" s="37">
        <f>Divisional!AP53</f>
        <v>620</v>
      </c>
      <c r="AE15" s="37">
        <f>Divisional!AQ53</f>
        <v>196</v>
      </c>
      <c r="AF15" s="37">
        <f>Divisional!AR53</f>
        <v>84</v>
      </c>
      <c r="AG15" s="1284">
        <f>Divisional!AS53</f>
        <v>-688</v>
      </c>
      <c r="AH15" s="37">
        <f>Divisional!AT53</f>
        <v>816</v>
      </c>
      <c r="AI15" s="37">
        <f>Divisional!AU53</f>
        <v>-604</v>
      </c>
      <c r="AJ15" s="306">
        <v>212</v>
      </c>
      <c r="AK15" s="37">
        <f>Divisional!BD53</f>
        <v>265</v>
      </c>
      <c r="AL15" s="37">
        <f>Divisional!BE53</f>
        <v>117</v>
      </c>
      <c r="AM15" s="37">
        <f>Divisional!BF53</f>
        <v>97</v>
      </c>
      <c r="AN15" s="1284">
        <f>Divisional!BG53</f>
        <v>197</v>
      </c>
      <c r="AO15" s="37">
        <f>Divisional!BH53</f>
        <v>382</v>
      </c>
      <c r="AP15" s="37">
        <f>Divisional!BI53</f>
        <v>294</v>
      </c>
      <c r="AQ15" s="306">
        <v>676</v>
      </c>
      <c r="AR15" s="37">
        <f>Divisional!BK53</f>
        <v>-117</v>
      </c>
      <c r="AS15" s="37">
        <f>Divisional!BL53</f>
        <v>102</v>
      </c>
      <c r="AT15" s="37">
        <f>Divisional!BM53</f>
        <v>98</v>
      </c>
      <c r="AU15" s="1284">
        <f>Divisional!BN53</f>
        <v>-964</v>
      </c>
      <c r="AV15" s="37">
        <f>Divisional!BO53</f>
        <v>-15</v>
      </c>
      <c r="AW15" s="37">
        <f>Divisional!BP53</f>
        <v>-866</v>
      </c>
      <c r="AX15" s="306">
        <v>-881</v>
      </c>
      <c r="AY15" s="37">
        <f>Divisional!BY53</f>
        <v>53</v>
      </c>
      <c r="AZ15" s="37">
        <f>Divisional!BZ53</f>
        <v>126</v>
      </c>
      <c r="BA15" s="37">
        <f>Divisional!CA53</f>
        <v>-109</v>
      </c>
      <c r="BB15" s="1284">
        <f>Divisional!CB53</f>
        <v>338</v>
      </c>
      <c r="BC15" s="37">
        <f>Divisional!CC53</f>
        <v>179</v>
      </c>
      <c r="BD15" s="37">
        <f>Divisional!CD53</f>
        <v>229</v>
      </c>
      <c r="BE15" s="306">
        <v>408</v>
      </c>
      <c r="BF15" s="37">
        <f>Divisional!CF53</f>
        <v>17</v>
      </c>
      <c r="BG15" s="37">
        <f>Divisional!CG53</f>
        <v>140</v>
      </c>
      <c r="BH15" s="37">
        <f>Divisional!CH53</f>
        <v>47</v>
      </c>
      <c r="BI15" s="1284">
        <f>Divisional!CI53</f>
        <v>364</v>
      </c>
      <c r="BJ15" s="37">
        <f>Divisional!CJ53</f>
        <v>157</v>
      </c>
      <c r="BK15" s="37">
        <f>Divisional!CK53</f>
        <v>411</v>
      </c>
      <c r="BL15" s="306">
        <v>568</v>
      </c>
      <c r="BM15" s="37">
        <f>Divisional!CM53</f>
        <v>95</v>
      </c>
      <c r="BN15" s="37">
        <f>Divisional!CN53</f>
        <v>-208</v>
      </c>
      <c r="BO15" s="37">
        <f>Divisional!CO53</f>
        <v>49</v>
      </c>
      <c r="BP15" s="1284">
        <f>Divisional!CP53</f>
        <v>-54</v>
      </c>
      <c r="BQ15" s="37">
        <f>Divisional!CQ53</f>
        <v>-113</v>
      </c>
      <c r="BR15" s="37">
        <f>Divisional!CR53</f>
        <v>-5</v>
      </c>
      <c r="BS15" s="306">
        <v>-118</v>
      </c>
      <c r="BT15" s="37">
        <v>36</v>
      </c>
      <c r="BU15" s="285">
        <f t="shared" ref="BU15:CY15" si="147">BU9+BU14</f>
        <v>51</v>
      </c>
      <c r="BV15" s="37">
        <v>-90</v>
      </c>
      <c r="BW15" s="1346">
        <f t="shared" si="147"/>
        <v>223</v>
      </c>
      <c r="BX15" s="37">
        <v>87</v>
      </c>
      <c r="BY15" s="285">
        <f t="shared" si="147"/>
        <v>133</v>
      </c>
      <c r="BZ15" s="306">
        <v>220</v>
      </c>
      <c r="CA15" s="37">
        <f>Divisional!DA53</f>
        <v>30</v>
      </c>
      <c r="CB15" s="285">
        <f t="shared" ref="CB15" si="148">CB9+CB14</f>
        <v>-790</v>
      </c>
      <c r="CC15" s="37">
        <f>Divisional!DC53</f>
        <v>143</v>
      </c>
      <c r="CD15" s="1284">
        <f>Divisional!DD53</f>
        <v>-39</v>
      </c>
      <c r="CE15" s="37">
        <f>Divisional!DE53</f>
        <v>-760</v>
      </c>
      <c r="CF15" s="37">
        <f>Divisional!DF53</f>
        <v>104</v>
      </c>
      <c r="CG15" s="306">
        <f>Divisional!DG53</f>
        <v>-656</v>
      </c>
      <c r="CH15" s="37">
        <f>Divisional!DH53</f>
        <v>-31</v>
      </c>
      <c r="CI15" s="285">
        <f t="shared" ref="CI15" si="149">CI9+CI14</f>
        <v>192</v>
      </c>
      <c r="CJ15" s="37">
        <f>Divisional!DJ53</f>
        <v>192</v>
      </c>
      <c r="CK15" s="1284">
        <f>Divisional!DK53</f>
        <v>286</v>
      </c>
      <c r="CL15" s="37">
        <f>Divisional!DL53</f>
        <v>161</v>
      </c>
      <c r="CM15" s="37">
        <f>Divisional!DM53</f>
        <v>478</v>
      </c>
      <c r="CN15" s="306">
        <f>Divisional!DN53</f>
        <v>639</v>
      </c>
      <c r="CO15" s="37">
        <f>Divisional!DO53</f>
        <v>134</v>
      </c>
      <c r="CP15" s="285">
        <f t="shared" ref="CP15" si="150">CP9+CP14</f>
        <v>408</v>
      </c>
      <c r="CQ15" s="1042">
        <f t="shared" si="147"/>
        <v>211.791135</v>
      </c>
      <c r="CR15" s="1059">
        <f t="shared" si="147"/>
        <v>318.38026500000024</v>
      </c>
      <c r="CS15" s="37">
        <f>Divisional!DS53</f>
        <v>542</v>
      </c>
      <c r="CT15" s="1042">
        <f t="shared" si="147"/>
        <v>530.17140000000018</v>
      </c>
      <c r="CU15" s="1041">
        <f t="shared" si="147"/>
        <v>1072.1714000000002</v>
      </c>
      <c r="CV15" s="1042">
        <f t="shared" si="147"/>
        <v>226.57769999999999</v>
      </c>
      <c r="CW15" s="1042">
        <f t="shared" si="147"/>
        <v>278.97862499999997</v>
      </c>
      <c r="CX15" s="1042">
        <f t="shared" si="147"/>
        <v>267.451588125</v>
      </c>
      <c r="CY15" s="1059">
        <f t="shared" si="147"/>
        <v>390.11042437500015</v>
      </c>
      <c r="CZ15" s="1042">
        <f t="shared" ref="CZ15:DW15" si="151">CZ9+CZ14</f>
        <v>505.55632500000002</v>
      </c>
      <c r="DA15" s="1042">
        <f t="shared" si="151"/>
        <v>657.56201250000015</v>
      </c>
      <c r="DB15" s="1041">
        <f t="shared" si="151"/>
        <v>1163.1183375000001</v>
      </c>
      <c r="DC15" s="1042">
        <f t="shared" si="151"/>
        <v>253.76702399999999</v>
      </c>
      <c r="DD15" s="1042">
        <f t="shared" si="151"/>
        <v>312.45606000000009</v>
      </c>
      <c r="DE15" s="1042">
        <f t="shared" si="151"/>
        <v>299.54577870000003</v>
      </c>
      <c r="DF15" s="1059">
        <f t="shared" si="151"/>
        <v>436.92367530000024</v>
      </c>
      <c r="DG15" s="1042">
        <f t="shared" si="151"/>
        <v>566.22308400000009</v>
      </c>
      <c r="DH15" s="1042">
        <f t="shared" si="151"/>
        <v>736.46945400000027</v>
      </c>
      <c r="DI15" s="1041">
        <f t="shared" si="151"/>
        <v>1302.6925380000002</v>
      </c>
      <c r="DJ15" s="1042">
        <f t="shared" si="151"/>
        <v>271.86472530000003</v>
      </c>
      <c r="DK15" s="1042">
        <f t="shared" si="151"/>
        <v>334.0024301250001</v>
      </c>
      <c r="DL15" s="1042">
        <f t="shared" si="151"/>
        <v>321.00302695781255</v>
      </c>
      <c r="DM15" s="1059">
        <f t="shared" si="151"/>
        <v>467.02716056718782</v>
      </c>
      <c r="DN15" s="1042">
        <f t="shared" si="151"/>
        <v>605.86715542500008</v>
      </c>
      <c r="DO15" s="1042">
        <f t="shared" si="151"/>
        <v>788.03018752500031</v>
      </c>
      <c r="DP15" s="1041">
        <f t="shared" si="151"/>
        <v>1393.8973429500004</v>
      </c>
      <c r="DQ15" s="1042">
        <f t="shared" si="151"/>
        <v>291.13777917000004</v>
      </c>
      <c r="DR15" s="1042">
        <f t="shared" si="151"/>
        <v>356.92229711250013</v>
      </c>
      <c r="DS15" s="1042">
        <f t="shared" si="151"/>
        <v>343.85713559465631</v>
      </c>
      <c r="DT15" s="1059">
        <f t="shared" si="151"/>
        <v>499.04868517284399</v>
      </c>
      <c r="DU15" s="1042">
        <f t="shared" si="151"/>
        <v>648.06007628250018</v>
      </c>
      <c r="DV15" s="1042">
        <f t="shared" si="151"/>
        <v>842.90582076750024</v>
      </c>
      <c r="DW15" s="1041">
        <f t="shared" si="151"/>
        <v>1490.9658970500004</v>
      </c>
      <c r="DX15" s="29"/>
      <c r="DY15" s="29"/>
      <c r="DZ15" s="29"/>
      <c r="EA15" s="186"/>
      <c r="EB15" s="29"/>
      <c r="EC15" s="29"/>
      <c r="ED15" s="27"/>
      <c r="EE15" s="187"/>
      <c r="EF15" s="186"/>
      <c r="EG15" s="31"/>
      <c r="EH15" s="31"/>
      <c r="EI15" s="218"/>
      <c r="EJ15" s="218"/>
      <c r="EK15" s="218"/>
      <c r="EL15" s="218"/>
      <c r="EM15" s="218"/>
      <c r="EN15" s="218"/>
      <c r="EO15" s="218"/>
      <c r="EP15" s="218"/>
      <c r="EQ15" s="218"/>
      <c r="ER15" s="218"/>
      <c r="ES15" s="218"/>
      <c r="ET15" s="218"/>
      <c r="EU15" s="218"/>
      <c r="EV15" s="218"/>
      <c r="EW15" s="218"/>
      <c r="EX15" s="218"/>
      <c r="EY15" s="218"/>
      <c r="EZ15" s="218"/>
      <c r="FA15" s="218"/>
      <c r="FB15" s="218"/>
      <c r="FC15" s="218"/>
      <c r="FD15" s="218"/>
      <c r="FE15" s="218"/>
      <c r="FF15" s="218"/>
      <c r="FG15" s="218"/>
      <c r="FH15" s="218"/>
      <c r="FI15" s="218"/>
      <c r="FJ15" s="218"/>
      <c r="FK15" s="218"/>
      <c r="FL15" s="218"/>
      <c r="FM15" s="218"/>
      <c r="FN15" s="218"/>
      <c r="FO15" s="218"/>
      <c r="FP15" s="218"/>
      <c r="FQ15" s="218"/>
    </row>
    <row r="16" spans="1:173" ht="10.5" customHeight="1">
      <c r="A16" s="28" t="s">
        <v>31</v>
      </c>
      <c r="B16" s="57">
        <f t="shared" ref="B16:G16" si="152">B15/B4</f>
        <v>3.1531531531531529E-2</v>
      </c>
      <c r="C16" s="57">
        <f t="shared" si="152"/>
        <v>4.5517241379310347E-2</v>
      </c>
      <c r="D16" s="57">
        <f t="shared" si="152"/>
        <v>4.9680624556422998E-2</v>
      </c>
      <c r="E16" s="959">
        <f t="shared" si="152"/>
        <v>6.3937539565309134E-2</v>
      </c>
      <c r="F16" s="57">
        <f t="shared" si="152"/>
        <v>3.8820992092020126E-2</v>
      </c>
      <c r="G16" s="57">
        <f t="shared" si="152"/>
        <v>5.86211459573905E-2</v>
      </c>
      <c r="H16" s="946">
        <f>H15/H4</f>
        <v>5.0224830424510328E-2</v>
      </c>
      <c r="I16" s="57">
        <f t="shared" ref="I16:N16" si="153">I15/I4</f>
        <v>3.0987969376594968E-2</v>
      </c>
      <c r="J16" s="57">
        <f t="shared" si="153"/>
        <v>4.976559682654165E-2</v>
      </c>
      <c r="K16" s="57">
        <f t="shared" si="153"/>
        <v>5.4830287206266322E-2</v>
      </c>
      <c r="L16" s="959">
        <f t="shared" si="153"/>
        <v>8.0778790389395196E-3</v>
      </c>
      <c r="M16" s="57">
        <f t="shared" si="153"/>
        <v>4.0427846265409718E-2</v>
      </c>
      <c r="N16" s="57">
        <f t="shared" si="153"/>
        <v>2.4770275669196963E-2</v>
      </c>
      <c r="O16" s="946">
        <f>O15/O4</f>
        <v>3.1401151631477928E-2</v>
      </c>
      <c r="P16" s="57">
        <f t="shared" ref="P16:U16" si="154">P15/P4</f>
        <v>5.1094890510948905E-2</v>
      </c>
      <c r="Q16" s="57">
        <f t="shared" si="154"/>
        <v>-5.4303278688524588E-2</v>
      </c>
      <c r="R16" s="57">
        <f t="shared" si="154"/>
        <v>6.1360448807854136E-2</v>
      </c>
      <c r="S16" s="959">
        <f t="shared" si="154"/>
        <v>0.12688950393868426</v>
      </c>
      <c r="T16" s="57">
        <f t="shared" si="154"/>
        <v>-4.7007774362683059E-3</v>
      </c>
      <c r="U16" s="57">
        <f t="shared" si="154"/>
        <v>0.10213273281229301</v>
      </c>
      <c r="V16" s="946">
        <f>V15/V4</f>
        <v>5.6957186544342508E-2</v>
      </c>
      <c r="W16" s="57">
        <f t="shared" ref="W16:AB16" si="155">W15/W4</f>
        <v>3.4727703235990531E-2</v>
      </c>
      <c r="X16" s="57">
        <f t="shared" si="155"/>
        <v>0.13317274604267035</v>
      </c>
      <c r="Y16" s="57">
        <f t="shared" si="155"/>
        <v>4.5734388742304309E-2</v>
      </c>
      <c r="Z16" s="959">
        <f t="shared" si="155"/>
        <v>-0.16231884057971013</v>
      </c>
      <c r="AA16" s="57">
        <f t="shared" si="155"/>
        <v>8.731617647058823E-2</v>
      </c>
      <c r="AB16" s="57">
        <f t="shared" si="155"/>
        <v>-8.8556283130651697E-2</v>
      </c>
      <c r="AC16" s="946">
        <f>AC15/AC4</f>
        <v>-7.8454530116416395E-3</v>
      </c>
      <c r="AD16" s="57">
        <f t="shared" ref="AD16:AI16" si="156">AD15/AD4</f>
        <v>0.29328287606433301</v>
      </c>
      <c r="AE16" s="57">
        <f t="shared" si="156"/>
        <v>7.8056551174830749E-2</v>
      </c>
      <c r="AF16" s="57">
        <f t="shared" si="156"/>
        <v>3.9848197343453511E-2</v>
      </c>
      <c r="AG16" s="959">
        <f t="shared" si="156"/>
        <v>-0.16900024563989191</v>
      </c>
      <c r="AH16" s="57">
        <f t="shared" si="156"/>
        <v>0.17643243243243242</v>
      </c>
      <c r="AI16" s="57">
        <f t="shared" si="156"/>
        <v>-9.7750445055834273E-2</v>
      </c>
      <c r="AJ16" s="946">
        <f t="shared" ref="AJ16:CE16" si="157">AJ15/AJ4</f>
        <v>1.9622362088115512E-2</v>
      </c>
      <c r="AK16" s="57">
        <f t="shared" si="157"/>
        <v>0.11953089760938204</v>
      </c>
      <c r="AL16" s="57">
        <f t="shared" si="157"/>
        <v>4.8049281314168378E-2</v>
      </c>
      <c r="AM16" s="57">
        <f t="shared" si="157"/>
        <v>4.0433513964151728E-2</v>
      </c>
      <c r="AN16" s="959">
        <f t="shared" si="157"/>
        <v>4.9102691924227317E-2</v>
      </c>
      <c r="AO16" s="57">
        <f t="shared" si="157"/>
        <v>8.2115219260533098E-2</v>
      </c>
      <c r="AP16" s="57">
        <f t="shared" si="157"/>
        <v>4.5858680393074405E-2</v>
      </c>
      <c r="AQ16" s="946">
        <f t="shared" si="157"/>
        <v>6.1104582843713277E-2</v>
      </c>
      <c r="AR16" s="57">
        <f t="shared" ref="AR16:AW16" si="158">AR15/AR4</f>
        <v>-5.5397727272727272E-2</v>
      </c>
      <c r="AS16" s="57">
        <f t="shared" si="158"/>
        <v>3.5136066138477438E-2</v>
      </c>
      <c r="AT16" s="57">
        <f t="shared" si="158"/>
        <v>3.6417688591601632E-2</v>
      </c>
      <c r="AU16" s="959">
        <f t="shared" si="158"/>
        <v>-0.30115588878475474</v>
      </c>
      <c r="AV16" s="57">
        <f t="shared" si="158"/>
        <v>-2.9910269192422734E-3</v>
      </c>
      <c r="AW16" s="57">
        <f t="shared" si="158"/>
        <v>-0.14697895451459606</v>
      </c>
      <c r="AX16" s="946">
        <f t="shared" si="157"/>
        <v>-8.0773814981204728E-2</v>
      </c>
      <c r="AY16" s="57">
        <f t="shared" si="157"/>
        <v>2.5106584557081951E-2</v>
      </c>
      <c r="AZ16" s="57">
        <f t="shared" si="157"/>
        <v>5.1639344262295085E-2</v>
      </c>
      <c r="BA16" s="57">
        <f t="shared" si="157"/>
        <v>-4.5702306079664572E-2</v>
      </c>
      <c r="BB16" s="959">
        <f t="shared" si="157"/>
        <v>9.6296296296296297E-2</v>
      </c>
      <c r="BC16" s="57">
        <f t="shared" si="157"/>
        <v>3.9332014941771042E-2</v>
      </c>
      <c r="BD16" s="57">
        <f t="shared" si="157"/>
        <v>3.8846480067854114E-2</v>
      </c>
      <c r="BE16" s="946">
        <f t="shared" si="157"/>
        <v>3.9058012636415854E-2</v>
      </c>
      <c r="BF16" s="57">
        <f t="shared" ref="BF16:BK16" si="159">BF15/BF4</f>
        <v>8.0378250591016543E-3</v>
      </c>
      <c r="BG16" s="57">
        <f t="shared" si="159"/>
        <v>5.7779612051176231E-2</v>
      </c>
      <c r="BH16" s="57">
        <f t="shared" si="159"/>
        <v>2.0059752454118653E-2</v>
      </c>
      <c r="BI16" s="959">
        <f t="shared" si="159"/>
        <v>0.11013615733736762</v>
      </c>
      <c r="BJ16" s="57">
        <f t="shared" si="159"/>
        <v>3.4596738651388279E-2</v>
      </c>
      <c r="BK16" s="57">
        <f t="shared" si="159"/>
        <v>7.2769121813031162E-2</v>
      </c>
      <c r="BL16" s="946">
        <f t="shared" si="157"/>
        <v>5.5762811702336539E-2</v>
      </c>
      <c r="BM16" s="57">
        <f t="shared" si="157"/>
        <v>3.8728088055442318E-2</v>
      </c>
      <c r="BN16" s="57">
        <f t="shared" ref="BN16:BR16" si="160">BN15/BN4</f>
        <v>-7.9907798693814827E-2</v>
      </c>
      <c r="BO16" s="57">
        <f t="shared" si="160"/>
        <v>1.9314150571541192E-2</v>
      </c>
      <c r="BP16" s="959">
        <f t="shared" si="160"/>
        <v>-1.4729950900163666E-2</v>
      </c>
      <c r="BQ16" s="57">
        <f t="shared" si="160"/>
        <v>-2.2349683544303799E-2</v>
      </c>
      <c r="BR16" s="57">
        <f t="shared" si="160"/>
        <v>-8.0606158310494926E-4</v>
      </c>
      <c r="BS16" s="946">
        <f t="shared" si="157"/>
        <v>-1.0480504485300648E-2</v>
      </c>
      <c r="BT16" s="57">
        <f t="shared" ref="BT16:BZ16" si="161">BT15/BT4</f>
        <v>1.5658982166159199E-2</v>
      </c>
      <c r="BU16" s="1216">
        <f t="shared" si="161"/>
        <v>2.1665250637213255E-2</v>
      </c>
      <c r="BV16" s="57">
        <f t="shared" ref="BV16" si="162">BV15/BV4</f>
        <v>-3.6290322580645164E-2</v>
      </c>
      <c r="BW16" s="1347">
        <f t="shared" si="161"/>
        <v>5.112333791838606E-2</v>
      </c>
      <c r="BX16" s="57">
        <f t="shared" ref="BX16" si="163">BX15/BX4</f>
        <v>1.8697614442295292E-2</v>
      </c>
      <c r="BY16" s="1216">
        <f t="shared" si="161"/>
        <v>1.9438760596316867E-2</v>
      </c>
      <c r="BZ16" s="946">
        <f t="shared" si="161"/>
        <v>1.9138755980861243E-2</v>
      </c>
      <c r="CA16" s="57">
        <f t="shared" ref="CA16:CB16" si="164">CA15/CA4</f>
        <v>1.2505210504376824E-2</v>
      </c>
      <c r="CB16" s="1216">
        <f t="shared" si="164"/>
        <v>-0.30549110595514306</v>
      </c>
      <c r="CC16" s="57">
        <f t="shared" ref="CC16:CD16" si="165">CC15/CC4</f>
        <v>5.4496951219512195E-2</v>
      </c>
      <c r="CD16" s="959">
        <f t="shared" si="165"/>
        <v>-8.7189805499664659E-3</v>
      </c>
      <c r="CE16" s="57">
        <f t="shared" si="157"/>
        <v>-0.15245737211634905</v>
      </c>
      <c r="CF16" s="57">
        <f t="shared" ref="CF16:CG16" si="166">CF15/CF4</f>
        <v>1.4654079188389461E-2</v>
      </c>
      <c r="CG16" s="946">
        <f t="shared" si="166"/>
        <v>-5.4295646416156265E-2</v>
      </c>
      <c r="CH16" s="57">
        <f t="shared" ref="CH16:CK16" si="167">CH15/CH4</f>
        <v>-1.1671686746987951E-2</v>
      </c>
      <c r="CI16" s="1216">
        <f t="shared" si="167"/>
        <v>6.0817231548938866E-2</v>
      </c>
      <c r="CJ16" s="57">
        <f t="shared" si="167"/>
        <v>6.2683643486777671E-2</v>
      </c>
      <c r="CK16" s="959">
        <f t="shared" si="167"/>
        <v>6.3148597924486641E-2</v>
      </c>
      <c r="CL16" s="57">
        <f t="shared" ref="CL16:CP16" si="168">CL15/CL4</f>
        <v>2.76965422329262E-2</v>
      </c>
      <c r="CM16" s="57">
        <f t="shared" si="168"/>
        <v>6.2961011591148572E-2</v>
      </c>
      <c r="CN16" s="946">
        <f t="shared" si="168"/>
        <v>4.7668780305856022E-2</v>
      </c>
      <c r="CO16" s="57">
        <f t="shared" si="168"/>
        <v>4.7316384180790962E-2</v>
      </c>
      <c r="CP16" s="1216">
        <f t="shared" si="168"/>
        <v>0.11710677382319173</v>
      </c>
      <c r="CQ16" s="989">
        <f t="shared" ref="CQ16:CT16" si="169">CQ15/CQ4</f>
        <v>6.3348602840128262E-2</v>
      </c>
      <c r="CR16" s="1060">
        <f t="shared" si="169"/>
        <v>6.5352266754766353E-2</v>
      </c>
      <c r="CS16" s="57">
        <f t="shared" si="169"/>
        <v>8.5813806206459786E-2</v>
      </c>
      <c r="CT16" s="989">
        <f t="shared" si="169"/>
        <v>6.453683618542623E-2</v>
      </c>
      <c r="CU16" s="1043">
        <f>CU15/CU4</f>
        <v>7.3785006145473619E-2</v>
      </c>
      <c r="CV16" s="989">
        <f t="shared" ref="CV16:DA16" si="170">CV15/CV4</f>
        <v>7.4999999999999997E-2</v>
      </c>
      <c r="CW16" s="989">
        <f t="shared" si="170"/>
        <v>7.4999999999999983E-2</v>
      </c>
      <c r="CX16" s="989">
        <f t="shared" si="170"/>
        <v>7.4999999999999997E-2</v>
      </c>
      <c r="CY16" s="1060">
        <f t="shared" si="170"/>
        <v>7.5000000000000011E-2</v>
      </c>
      <c r="CZ16" s="989">
        <f t="shared" si="170"/>
        <v>7.4999999999999997E-2</v>
      </c>
      <c r="DA16" s="989">
        <f t="shared" si="170"/>
        <v>7.5000000000000011E-2</v>
      </c>
      <c r="DB16" s="1043">
        <f>DB15/DB4</f>
        <v>7.4999999999999997E-2</v>
      </c>
      <c r="DC16" s="989">
        <f t="shared" ref="DC16:DH16" si="171">DC15/DC4</f>
        <v>7.9999999999999988E-2</v>
      </c>
      <c r="DD16" s="989">
        <f t="shared" si="171"/>
        <v>0.08</v>
      </c>
      <c r="DE16" s="989">
        <f t="shared" si="171"/>
        <v>0.08</v>
      </c>
      <c r="DF16" s="1060">
        <f t="shared" si="171"/>
        <v>8.0000000000000016E-2</v>
      </c>
      <c r="DG16" s="989">
        <f t="shared" si="171"/>
        <v>0.08</v>
      </c>
      <c r="DH16" s="989">
        <f t="shared" si="171"/>
        <v>0.08</v>
      </c>
      <c r="DI16" s="1043">
        <f>DI15/DI4</f>
        <v>7.9999999999999988E-2</v>
      </c>
      <c r="DJ16" s="989">
        <f t="shared" ref="DJ16:DO16" si="172">DJ15/DJ4</f>
        <v>8.1624091867822837E-2</v>
      </c>
      <c r="DK16" s="989">
        <f t="shared" si="172"/>
        <v>8.1444425177735383E-2</v>
      </c>
      <c r="DL16" s="989">
        <f t="shared" si="172"/>
        <v>8.164819944598338E-2</v>
      </c>
      <c r="DM16" s="1060">
        <f t="shared" si="172"/>
        <v>8.1439903051872931E-2</v>
      </c>
      <c r="DN16" s="989">
        <f t="shared" si="172"/>
        <v>8.1524947294448341E-2</v>
      </c>
      <c r="DO16" s="989">
        <f t="shared" si="172"/>
        <v>8.1524623884808134E-2</v>
      </c>
      <c r="DP16" s="1043">
        <f>DP15/DP4</f>
        <v>8.1524764456737842E-2</v>
      </c>
      <c r="DQ16" s="989">
        <f t="shared" ref="DQ16:DV16" si="173">DQ15/DQ4</f>
        <v>8.3248183735645659E-2</v>
      </c>
      <c r="DR16" s="989">
        <f t="shared" si="173"/>
        <v>8.2888850355470792E-2</v>
      </c>
      <c r="DS16" s="989">
        <f t="shared" si="173"/>
        <v>8.3296398891966758E-2</v>
      </c>
      <c r="DT16" s="1060">
        <f t="shared" si="173"/>
        <v>8.2879806103745846E-2</v>
      </c>
      <c r="DU16" s="989">
        <f t="shared" si="173"/>
        <v>8.3049894588896708E-2</v>
      </c>
      <c r="DV16" s="989">
        <f t="shared" si="173"/>
        <v>8.3049247769616252E-2</v>
      </c>
      <c r="DW16" s="1043">
        <f>DW15/DW4</f>
        <v>8.3049528913475668E-2</v>
      </c>
      <c r="DX16" s="29"/>
      <c r="DY16" s="29"/>
      <c r="DZ16" s="29"/>
      <c r="EA16" s="188"/>
      <c r="EB16" s="189"/>
      <c r="EC16" s="189"/>
      <c r="ED16" s="190"/>
      <c r="EE16" s="190"/>
      <c r="EF16" s="186"/>
      <c r="EG16" s="31"/>
      <c r="EH16" s="31"/>
      <c r="EI16" s="218"/>
      <c r="EJ16" s="218"/>
      <c r="EK16" s="218"/>
      <c r="EL16" s="218"/>
      <c r="EM16" s="218"/>
      <c r="EN16" s="218"/>
      <c r="EO16" s="218"/>
      <c r="EP16" s="218"/>
      <c r="EQ16" s="218"/>
      <c r="ER16" s="218"/>
      <c r="ES16" s="218"/>
      <c r="ET16" s="218"/>
      <c r="EU16" s="218"/>
      <c r="EV16" s="218"/>
      <c r="EW16" s="218"/>
      <c r="EX16" s="218"/>
      <c r="EY16" s="218"/>
      <c r="EZ16" s="218"/>
      <c r="FA16" s="218"/>
      <c r="FB16" s="218"/>
      <c r="FC16" s="218"/>
      <c r="FD16" s="218"/>
      <c r="FE16" s="218"/>
      <c r="FF16" s="218"/>
      <c r="FG16" s="218"/>
      <c r="FH16" s="218"/>
      <c r="FI16" s="218"/>
      <c r="FJ16" s="218"/>
      <c r="FK16" s="218"/>
      <c r="FL16" s="218"/>
      <c r="FM16" s="218"/>
      <c r="FN16" s="218"/>
      <c r="FO16" s="218"/>
      <c r="FP16" s="218"/>
      <c r="FQ16" s="218"/>
    </row>
    <row r="17" spans="1:173" ht="10.5" customHeight="1">
      <c r="A17" s="32"/>
      <c r="B17" s="1045"/>
      <c r="C17" s="1045"/>
      <c r="D17" s="1045"/>
      <c r="E17" s="1769"/>
      <c r="F17" s="1045"/>
      <c r="G17" s="1045"/>
      <c r="H17" s="1044"/>
      <c r="I17" s="1045"/>
      <c r="J17" s="1045"/>
      <c r="K17" s="1045"/>
      <c r="L17" s="1769"/>
      <c r="M17" s="1045"/>
      <c r="N17" s="1045"/>
      <c r="O17" s="1044"/>
      <c r="P17" s="1045"/>
      <c r="Q17" s="1045"/>
      <c r="R17" s="1045"/>
      <c r="S17" s="1769"/>
      <c r="T17" s="1045"/>
      <c r="U17" s="1045"/>
      <c r="V17" s="1044"/>
      <c r="W17" s="1045"/>
      <c r="X17" s="1045"/>
      <c r="Y17" s="1045"/>
      <c r="Z17" s="1769"/>
      <c r="AA17" s="1045"/>
      <c r="AB17" s="1045"/>
      <c r="AC17" s="1044"/>
      <c r="AD17" s="1045"/>
      <c r="AE17" s="1045"/>
      <c r="AF17" s="1045"/>
      <c r="AG17" s="1769"/>
      <c r="AH17" s="1045"/>
      <c r="AI17" s="1045"/>
      <c r="AJ17" s="1044"/>
      <c r="AK17" s="1045"/>
      <c r="AL17" s="1045"/>
      <c r="AM17" s="1045"/>
      <c r="AN17" s="1769"/>
      <c r="AO17" s="1045"/>
      <c r="AP17" s="1045"/>
      <c r="AQ17" s="1044"/>
      <c r="AR17" s="1045"/>
      <c r="AS17" s="1045"/>
      <c r="AT17" s="1045"/>
      <c r="AU17" s="1769"/>
      <c r="AV17" s="1045"/>
      <c r="AW17" s="1045"/>
      <c r="AX17" s="1044"/>
      <c r="AY17" s="1045"/>
      <c r="AZ17" s="1045"/>
      <c r="BA17" s="1045"/>
      <c r="BB17" s="1769"/>
      <c r="BC17" s="1045"/>
      <c r="BD17" s="1045"/>
      <c r="BE17" s="1044"/>
      <c r="BF17" s="1045"/>
      <c r="BG17" s="1045"/>
      <c r="BH17" s="1045"/>
      <c r="BI17" s="1769"/>
      <c r="BJ17" s="1045"/>
      <c r="BK17" s="1045"/>
      <c r="BL17" s="1044"/>
      <c r="BM17" s="1045"/>
      <c r="BN17" s="1045"/>
      <c r="BO17" s="1045"/>
      <c r="BP17" s="1769"/>
      <c r="BQ17" s="1045"/>
      <c r="BR17" s="1045"/>
      <c r="BS17" s="1044"/>
      <c r="BT17" s="1045"/>
      <c r="BU17" s="29"/>
      <c r="BV17" s="1045"/>
      <c r="BW17" s="1031"/>
      <c r="BX17" s="1045"/>
      <c r="BY17" s="29"/>
      <c r="BZ17" s="1044"/>
      <c r="CA17" s="1045"/>
      <c r="CB17" s="29"/>
      <c r="CC17" s="1045"/>
      <c r="CD17" s="1031"/>
      <c r="CE17" s="1045"/>
      <c r="CF17" s="29"/>
      <c r="CG17" s="1044"/>
      <c r="CH17" s="1045"/>
      <c r="CI17" s="29"/>
      <c r="CJ17" s="1045"/>
      <c r="CK17" s="1031"/>
      <c r="CL17" s="1045"/>
      <c r="CM17" s="29"/>
      <c r="CN17" s="1044"/>
      <c r="CO17" s="1045"/>
      <c r="CP17" s="29"/>
      <c r="CQ17" s="1045"/>
      <c r="CR17" s="1031"/>
      <c r="CS17" s="1045"/>
      <c r="CT17" s="29"/>
      <c r="CU17" s="1044"/>
      <c r="CV17" s="1045"/>
      <c r="CW17" s="29"/>
      <c r="CX17" s="1045"/>
      <c r="CY17" s="1031"/>
      <c r="CZ17" s="1045"/>
      <c r="DA17" s="29"/>
      <c r="DB17" s="1044"/>
      <c r="DC17" s="1045"/>
      <c r="DD17" s="29"/>
      <c r="DE17" s="1045"/>
      <c r="DF17" s="1031"/>
      <c r="DG17" s="1045"/>
      <c r="DH17" s="29"/>
      <c r="DI17" s="1044"/>
      <c r="DJ17" s="1045"/>
      <c r="DK17" s="29"/>
      <c r="DL17" s="1045"/>
      <c r="DM17" s="1031"/>
      <c r="DN17" s="1045"/>
      <c r="DO17" s="29"/>
      <c r="DP17" s="1044"/>
      <c r="DQ17" s="1045"/>
      <c r="DR17" s="29"/>
      <c r="DS17" s="1045"/>
      <c r="DT17" s="1031"/>
      <c r="DU17" s="1045"/>
      <c r="DV17" s="29"/>
      <c r="DW17" s="1044"/>
      <c r="DX17" s="29"/>
      <c r="DY17" s="29"/>
      <c r="DZ17" s="29"/>
      <c r="EA17" s="186"/>
      <c r="EB17" s="40"/>
      <c r="EC17" s="40"/>
      <c r="ED17" s="187"/>
      <c r="EE17" s="187"/>
      <c r="EF17" s="218"/>
      <c r="EG17" s="31"/>
      <c r="EH17" s="31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</row>
    <row r="18" spans="1:173" ht="10.5" customHeight="1">
      <c r="A18" s="32" t="s">
        <v>376</v>
      </c>
      <c r="B18" s="37">
        <f>Divisional!N117</f>
        <v>65</v>
      </c>
      <c r="C18" s="37">
        <f>Divisional!O117</f>
        <v>93</v>
      </c>
      <c r="D18" s="37">
        <f>Divisional!P117</f>
        <v>80</v>
      </c>
      <c r="E18" s="1284">
        <f>Divisional!Q117</f>
        <v>106</v>
      </c>
      <c r="F18" s="37">
        <f>Divisional!R117</f>
        <v>158</v>
      </c>
      <c r="G18" s="37">
        <f>Divisional!S117</f>
        <v>186</v>
      </c>
      <c r="H18" s="306">
        <f>Divisional!T117</f>
        <v>344</v>
      </c>
      <c r="I18" s="37">
        <f>Divisional!U117</f>
        <v>76</v>
      </c>
      <c r="J18" s="37">
        <f>Divisional!V117</f>
        <v>87</v>
      </c>
      <c r="K18" s="37">
        <f>Divisional!W117</f>
        <v>86</v>
      </c>
      <c r="L18" s="1284">
        <f>Divisional!X117</f>
        <v>111</v>
      </c>
      <c r="M18" s="37">
        <f>Divisional!Y117</f>
        <v>163</v>
      </c>
      <c r="N18" s="37">
        <f>Divisional!Z117</f>
        <v>197</v>
      </c>
      <c r="O18" s="306">
        <f>Divisional!AA117</f>
        <v>360</v>
      </c>
      <c r="P18" s="37">
        <f>Divisional!AB117</f>
        <v>66</v>
      </c>
      <c r="Q18" s="37">
        <f>Divisional!AC117</f>
        <v>93</v>
      </c>
      <c r="R18" s="37">
        <f>Divisional!AD117</f>
        <v>86</v>
      </c>
      <c r="S18" s="1284">
        <f>Divisional!AE117</f>
        <v>99</v>
      </c>
      <c r="T18" s="37">
        <f>Divisional!AF117</f>
        <v>159</v>
      </c>
      <c r="U18" s="37">
        <f>Divisional!AG117</f>
        <v>185</v>
      </c>
      <c r="V18" s="306">
        <f>Divisional!AH117</f>
        <v>344</v>
      </c>
      <c r="W18" s="37">
        <f>Divisional!AI117</f>
        <v>66</v>
      </c>
      <c r="X18" s="37">
        <f>Divisional!AJ117</f>
        <v>86</v>
      </c>
      <c r="Y18" s="37">
        <f>Divisional!AK117</f>
        <v>85</v>
      </c>
      <c r="Z18" s="1284">
        <f>Divisional!AL117</f>
        <v>95</v>
      </c>
      <c r="AA18" s="37">
        <f>Divisional!AM117</f>
        <v>152</v>
      </c>
      <c r="AB18" s="37">
        <f>Divisional!AN117</f>
        <v>180</v>
      </c>
      <c r="AC18" s="306">
        <f>Divisional!AO117</f>
        <v>332</v>
      </c>
      <c r="AD18" s="37">
        <f>Divisional!AP117</f>
        <v>60</v>
      </c>
      <c r="AE18" s="37">
        <f>Divisional!AQ117</f>
        <v>84</v>
      </c>
      <c r="AF18" s="37">
        <f>Divisional!AR117</f>
        <v>76</v>
      </c>
      <c r="AG18" s="1284">
        <f>Divisional!AS117</f>
        <v>86</v>
      </c>
      <c r="AH18" s="37">
        <f>Divisional!AT117</f>
        <v>144</v>
      </c>
      <c r="AI18" s="37">
        <f>Divisional!AU117</f>
        <v>162</v>
      </c>
      <c r="AJ18" s="306">
        <f>Divisional!AV117</f>
        <v>306</v>
      </c>
      <c r="AK18" s="37">
        <f>Divisional!BD117</f>
        <v>58</v>
      </c>
      <c r="AL18" s="37">
        <f>Divisional!BE117</f>
        <v>78</v>
      </c>
      <c r="AM18" s="37">
        <f>Divisional!BF117</f>
        <v>83</v>
      </c>
      <c r="AN18" s="1284">
        <f>Divisional!BG117</f>
        <v>109</v>
      </c>
      <c r="AO18" s="37">
        <f>Divisional!BH117</f>
        <v>136</v>
      </c>
      <c r="AP18" s="37">
        <f>Divisional!BI117</f>
        <v>192</v>
      </c>
      <c r="AQ18" s="306">
        <f>Divisional!BJ117</f>
        <v>328</v>
      </c>
      <c r="AR18" s="37">
        <f>Divisional!BK117</f>
        <v>61</v>
      </c>
      <c r="AS18" s="37">
        <f>Divisional!BL117</f>
        <v>77</v>
      </c>
      <c r="AT18" s="37">
        <f>Divisional!BM117</f>
        <v>78</v>
      </c>
      <c r="AU18" s="1284">
        <f>Divisional!BN117</f>
        <v>86</v>
      </c>
      <c r="AV18" s="37">
        <f>Divisional!BO117</f>
        <v>138</v>
      </c>
      <c r="AW18" s="37">
        <f>Divisional!BP117</f>
        <v>164</v>
      </c>
      <c r="AX18" s="306">
        <f>Divisional!BQ117</f>
        <v>302</v>
      </c>
      <c r="AY18" s="37">
        <f>Divisional!BY117</f>
        <v>51</v>
      </c>
      <c r="AZ18" s="37">
        <f>Divisional!BZ117</f>
        <v>68</v>
      </c>
      <c r="BA18" s="37">
        <f>Divisional!CA117</f>
        <v>58</v>
      </c>
      <c r="BB18" s="1284">
        <f>Divisional!CB117</f>
        <v>48</v>
      </c>
      <c r="BC18" s="37">
        <f>Divisional!CC117</f>
        <v>119</v>
      </c>
      <c r="BD18" s="37">
        <f>Divisional!CD117</f>
        <v>106</v>
      </c>
      <c r="BE18" s="306">
        <f>Divisional!CE117</f>
        <v>225</v>
      </c>
      <c r="BF18" s="37">
        <f>Divisional!CF117</f>
        <v>47</v>
      </c>
      <c r="BG18" s="37">
        <f>Divisional!CG117</f>
        <v>66</v>
      </c>
      <c r="BH18" s="37">
        <f>Divisional!CH117</f>
        <v>56</v>
      </c>
      <c r="BI18" s="1284">
        <f>Divisional!CI117</f>
        <v>80</v>
      </c>
      <c r="BJ18" s="37">
        <f>Divisional!CJ117</f>
        <v>113</v>
      </c>
      <c r="BK18" s="37">
        <f>Divisional!CK117</f>
        <v>136</v>
      </c>
      <c r="BL18" s="306">
        <f>Divisional!CL117</f>
        <v>249</v>
      </c>
      <c r="BM18" s="37">
        <f>Divisional!CM117</f>
        <v>53</v>
      </c>
      <c r="BN18" s="37">
        <f>Divisional!CN117</f>
        <v>60</v>
      </c>
      <c r="BO18" s="37">
        <f>Divisional!CO117</f>
        <v>56</v>
      </c>
      <c r="BP18" s="1284">
        <f>Divisional!CP117</f>
        <v>97</v>
      </c>
      <c r="BQ18" s="37">
        <f>Divisional!CQ117</f>
        <v>113</v>
      </c>
      <c r="BR18" s="37">
        <f>Divisional!CR117</f>
        <v>153</v>
      </c>
      <c r="BS18" s="306">
        <f>Divisional!CS117</f>
        <v>266</v>
      </c>
      <c r="BT18" s="37">
        <f>Divisional!CT117</f>
        <v>45</v>
      </c>
      <c r="BU18" s="37">
        <f>BX18-BT18</f>
        <v>51</v>
      </c>
      <c r="BV18" s="37">
        <f>Divisional!CV117</f>
        <v>69</v>
      </c>
      <c r="BW18" s="1284">
        <f>BY18-BV18</f>
        <v>110</v>
      </c>
      <c r="BX18" s="37">
        <f>Divisional!CX117</f>
        <v>96</v>
      </c>
      <c r="BY18" s="37">
        <f>BZ18-BX18</f>
        <v>179</v>
      </c>
      <c r="BZ18" s="306">
        <f>Divisional!CZ117</f>
        <v>275</v>
      </c>
      <c r="CA18" s="37">
        <f>Divisional!DA117</f>
        <v>58</v>
      </c>
      <c r="CB18" s="37">
        <f>CE18-CA18</f>
        <v>92</v>
      </c>
      <c r="CC18" s="37">
        <f>Divisional!DC117</f>
        <v>78</v>
      </c>
      <c r="CD18" s="1284">
        <f>Divisional!DD117</f>
        <v>48</v>
      </c>
      <c r="CE18" s="37">
        <f>Divisional!DE117</f>
        <v>150</v>
      </c>
      <c r="CF18" s="37">
        <f>Divisional!DF117</f>
        <v>126</v>
      </c>
      <c r="CG18" s="306">
        <f>Divisional!DG117</f>
        <v>276</v>
      </c>
      <c r="CH18" s="37">
        <f>Divisional!DH117</f>
        <v>57</v>
      </c>
      <c r="CI18" s="37">
        <f>CL18-CH18</f>
        <v>68</v>
      </c>
      <c r="CJ18" s="37">
        <f>Divisional!DJ117</f>
        <v>81</v>
      </c>
      <c r="CK18" s="1284">
        <f>Divisional!DK117</f>
        <v>63</v>
      </c>
      <c r="CL18" s="37">
        <f>Divisional!DL117</f>
        <v>125</v>
      </c>
      <c r="CM18" s="37">
        <f>Divisional!DM117</f>
        <v>144</v>
      </c>
      <c r="CN18" s="306">
        <f>Divisional!DN117</f>
        <v>269</v>
      </c>
      <c r="CO18" s="37">
        <f>Divisional!DO117</f>
        <v>78</v>
      </c>
      <c r="CP18" s="37">
        <f>CS18-CO18</f>
        <v>44</v>
      </c>
      <c r="CQ18" s="1042">
        <f>CQ4*CQ19</f>
        <v>83.581612500000006</v>
      </c>
      <c r="CR18" s="1056">
        <f>CT18-CQ18</f>
        <v>157.69388750000002</v>
      </c>
      <c r="CS18" s="37">
        <f>Divisional!DS117</f>
        <v>122</v>
      </c>
      <c r="CT18" s="798">
        <f>CU18-CS18</f>
        <v>241.27550000000002</v>
      </c>
      <c r="CU18" s="1041">
        <f>CU4*CU19</f>
        <v>363.27550000000002</v>
      </c>
      <c r="CV18" s="1042">
        <f>CV4*CV19</f>
        <v>90.631079999999997</v>
      </c>
      <c r="CW18" s="798">
        <f>CZ18-CV18</f>
        <v>111.59145000000001</v>
      </c>
      <c r="CX18" s="1042">
        <f>CX4*CX19</f>
        <v>106.98063524999999</v>
      </c>
      <c r="CY18" s="1056">
        <f>DA18-CX18</f>
        <v>156.04416975000004</v>
      </c>
      <c r="CZ18" s="1042">
        <f>CZ4*CZ19</f>
        <v>202.22253000000001</v>
      </c>
      <c r="DA18" s="798">
        <f>DB18-CZ18</f>
        <v>263.02480500000001</v>
      </c>
      <c r="DB18" s="1041">
        <f>DB4*DB19</f>
        <v>465.24733500000002</v>
      </c>
      <c r="DC18" s="1042">
        <f>DC4*DC19</f>
        <v>111.02307300000002</v>
      </c>
      <c r="DD18" s="798">
        <f>DG18-DC18</f>
        <v>136.69952625000002</v>
      </c>
      <c r="DE18" s="1042">
        <f>DE4*DE19</f>
        <v>131.05127818125001</v>
      </c>
      <c r="DF18" s="1056">
        <f>DH18-DE18</f>
        <v>191.15410794375012</v>
      </c>
      <c r="DG18" s="1042">
        <f>DG4*DG19</f>
        <v>247.72259925000006</v>
      </c>
      <c r="DH18" s="798">
        <f>DI18-DG18</f>
        <v>322.20538612500013</v>
      </c>
      <c r="DI18" s="1041">
        <f>DI4*DI19</f>
        <v>569.92798537500016</v>
      </c>
      <c r="DJ18" s="1042">
        <f>DJ4*DJ19</f>
        <v>133.2276876</v>
      </c>
      <c r="DK18" s="798">
        <f>DN18-DJ18</f>
        <v>164.03943150000006</v>
      </c>
      <c r="DL18" s="1042">
        <f>DL4*DL19</f>
        <v>157.26153381750004</v>
      </c>
      <c r="DM18" s="1056">
        <f>DO18-DL18</f>
        <v>229.38492953250005</v>
      </c>
      <c r="DN18" s="1042">
        <f>DN4*DN19</f>
        <v>297.26711910000006</v>
      </c>
      <c r="DO18" s="798">
        <f>DP18-DN18</f>
        <v>386.64646335000009</v>
      </c>
      <c r="DP18" s="1041">
        <f>DP4*DP19</f>
        <v>683.91358245000015</v>
      </c>
      <c r="DQ18" s="1042">
        <f>DQ4*DQ19</f>
        <v>157.3752059775</v>
      </c>
      <c r="DR18" s="798">
        <f>DU18-DQ18</f>
        <v>193.77157845937506</v>
      </c>
      <c r="DS18" s="1042">
        <f>DS4*DS19</f>
        <v>185.76518682192193</v>
      </c>
      <c r="DT18" s="1056">
        <f>DV18-DS18</f>
        <v>270.96094801026578</v>
      </c>
      <c r="DU18" s="1042">
        <f>DU4*DU19</f>
        <v>351.14678443687507</v>
      </c>
      <c r="DV18" s="798">
        <f>DW18-DU18</f>
        <v>456.72613483218771</v>
      </c>
      <c r="DW18" s="1041">
        <f>DW4*DW19</f>
        <v>807.87291926906278</v>
      </c>
      <c r="DX18" s="38"/>
      <c r="DY18" s="38"/>
      <c r="DZ18" s="38"/>
      <c r="EA18" s="186"/>
      <c r="EB18" s="40"/>
      <c r="EC18" s="40"/>
      <c r="ED18" s="187"/>
      <c r="EE18" s="187"/>
      <c r="EF18" s="218"/>
      <c r="EG18" s="39"/>
      <c r="EH18" s="39"/>
      <c r="EI18" s="218"/>
      <c r="EJ18" s="218"/>
      <c r="EK18" s="218"/>
      <c r="EL18" s="218"/>
      <c r="EM18" s="218"/>
      <c r="EN18" s="218"/>
      <c r="EO18" s="218"/>
      <c r="EP18" s="218"/>
      <c r="EQ18" s="218"/>
      <c r="ER18" s="218"/>
      <c r="ES18" s="218"/>
      <c r="ET18" s="218"/>
      <c r="EU18" s="218"/>
      <c r="EV18" s="218"/>
      <c r="EW18" s="218"/>
      <c r="EX18" s="218"/>
      <c r="EY18" s="218"/>
      <c r="EZ18" s="218"/>
      <c r="FA18" s="218"/>
      <c r="FB18" s="218"/>
      <c r="FC18" s="218"/>
      <c r="FD18" s="218"/>
      <c r="FE18" s="218"/>
      <c r="FF18" s="218"/>
      <c r="FG18" s="218"/>
      <c r="FH18" s="218"/>
      <c r="FI18" s="218"/>
      <c r="FJ18" s="218"/>
      <c r="FK18" s="218"/>
      <c r="FL18" s="218"/>
      <c r="FM18" s="218"/>
      <c r="FN18" s="218"/>
      <c r="FO18" s="218"/>
      <c r="FP18" s="218"/>
      <c r="FQ18" s="218"/>
    </row>
    <row r="19" spans="1:173" ht="10.5" customHeight="1">
      <c r="A19" s="28" t="s">
        <v>335</v>
      </c>
      <c r="B19" s="57">
        <f t="shared" ref="B19:G19" si="174">B18/B4</f>
        <v>2.4399399399399398E-2</v>
      </c>
      <c r="C19" s="57">
        <f t="shared" si="174"/>
        <v>3.206896551724138E-2</v>
      </c>
      <c r="D19" s="57">
        <f t="shared" si="174"/>
        <v>2.8388928317955996E-2</v>
      </c>
      <c r="E19" s="959">
        <f t="shared" si="174"/>
        <v>2.2367588098755012E-2</v>
      </c>
      <c r="F19" s="57">
        <f t="shared" si="174"/>
        <v>2.8396836808051763E-2</v>
      </c>
      <c r="G19" s="57">
        <f t="shared" si="174"/>
        <v>2.4612941643509328E-2</v>
      </c>
      <c r="H19" s="946">
        <f t="shared" ref="H19:AR19" si="175">H18/H4</f>
        <v>2.6217513909000838E-2</v>
      </c>
      <c r="I19" s="57">
        <f t="shared" ref="I19:N19" si="176">I18/I4</f>
        <v>2.7706890266131972E-2</v>
      </c>
      <c r="J19" s="57">
        <f t="shared" si="176"/>
        <v>3.1373963216732782E-2</v>
      </c>
      <c r="K19" s="57">
        <f t="shared" si="176"/>
        <v>3.2077582991421112E-2</v>
      </c>
      <c r="L19" s="959">
        <f t="shared" si="176"/>
        <v>2.2990886495443248E-2</v>
      </c>
      <c r="M19" s="57">
        <f t="shared" si="176"/>
        <v>2.955039883973894E-2</v>
      </c>
      <c r="N19" s="57">
        <f t="shared" si="176"/>
        <v>2.6235184445332269E-2</v>
      </c>
      <c r="O19" s="946">
        <f t="shared" si="175"/>
        <v>2.7639155470249518E-2</v>
      </c>
      <c r="P19" s="57">
        <f t="shared" ref="P19:U19" si="177">P18/P4</f>
        <v>2.5355359200922013E-2</v>
      </c>
      <c r="Q19" s="57">
        <f t="shared" si="177"/>
        <v>3.1762295081967214E-2</v>
      </c>
      <c r="R19" s="57">
        <f t="shared" si="177"/>
        <v>3.0154277699859747E-2</v>
      </c>
      <c r="S19" s="959">
        <f t="shared" si="177"/>
        <v>2.1077283372365339E-2</v>
      </c>
      <c r="T19" s="57">
        <f t="shared" si="177"/>
        <v>2.8747062014102331E-2</v>
      </c>
      <c r="U19" s="57">
        <f t="shared" si="177"/>
        <v>2.4506557159888726E-2</v>
      </c>
      <c r="V19" s="946">
        <f t="shared" si="175"/>
        <v>2.6299694189602447E-2</v>
      </c>
      <c r="W19" s="57">
        <f t="shared" ref="W19:AB19" si="178">W18/W4</f>
        <v>2.6045777426992895E-2</v>
      </c>
      <c r="X19" s="57">
        <f t="shared" si="178"/>
        <v>2.9593943565037854E-2</v>
      </c>
      <c r="Y19" s="57">
        <f t="shared" si="178"/>
        <v>3.7379067722075637E-2</v>
      </c>
      <c r="Z19" s="959">
        <f t="shared" si="178"/>
        <v>2.2946859903381644E-2</v>
      </c>
      <c r="AA19" s="57">
        <f t="shared" si="178"/>
        <v>2.7941176470588237E-2</v>
      </c>
      <c r="AB19" s="57">
        <f t="shared" si="178"/>
        <v>2.8063610851262862E-2</v>
      </c>
      <c r="AC19" s="946">
        <f t="shared" si="175"/>
        <v>2.800742365446263E-2</v>
      </c>
      <c r="AD19" s="57">
        <f t="shared" si="175"/>
        <v>2.8382213812677391E-2</v>
      </c>
      <c r="AE19" s="57">
        <f t="shared" ref="AE19:AI19" si="179">AE18/AE4</f>
        <v>3.3452807646356032E-2</v>
      </c>
      <c r="AF19" s="57">
        <f t="shared" si="179"/>
        <v>3.6053130929791274E-2</v>
      </c>
      <c r="AG19" s="959">
        <f t="shared" si="179"/>
        <v>2.1125030704986489E-2</v>
      </c>
      <c r="AH19" s="57">
        <f t="shared" si="179"/>
        <v>3.1135135135135134E-2</v>
      </c>
      <c r="AI19" s="57">
        <f t="shared" si="179"/>
        <v>2.6217834601068135E-2</v>
      </c>
      <c r="AJ19" s="946">
        <f t="shared" si="175"/>
        <v>2.8322843391336543E-2</v>
      </c>
      <c r="AK19" s="57">
        <f t="shared" ref="AK19:AP19" si="180">AK18/AK4</f>
        <v>2.6161479476770409E-2</v>
      </c>
      <c r="AL19" s="57">
        <f t="shared" si="180"/>
        <v>3.2032854209445585E-2</v>
      </c>
      <c r="AM19" s="57">
        <f t="shared" si="180"/>
        <v>3.4597749062109211E-2</v>
      </c>
      <c r="AN19" s="959">
        <f t="shared" si="180"/>
        <v>2.7168494516450648E-2</v>
      </c>
      <c r="AO19" s="57">
        <f t="shared" si="180"/>
        <v>2.9234737747205503E-2</v>
      </c>
      <c r="AP19" s="57">
        <f t="shared" si="180"/>
        <v>2.9948525970987367E-2</v>
      </c>
      <c r="AQ19" s="946">
        <f t="shared" si="175"/>
        <v>2.964837747446443E-2</v>
      </c>
      <c r="AR19" s="57">
        <f t="shared" si="175"/>
        <v>2.8882575757575756E-2</v>
      </c>
      <c r="AS19" s="57">
        <f t="shared" ref="AS19:AW19" si="181">AS18/AS4</f>
        <v>2.6524285222183946E-2</v>
      </c>
      <c r="AT19" s="57">
        <f t="shared" si="181"/>
        <v>2.8985507246376812E-2</v>
      </c>
      <c r="AU19" s="959">
        <f t="shared" si="181"/>
        <v>2.6866604186191814E-2</v>
      </c>
      <c r="AV19" s="57">
        <f t="shared" si="181"/>
        <v>2.7517447657028914E-2</v>
      </c>
      <c r="AW19" s="57">
        <f t="shared" si="181"/>
        <v>2.7834351663272233E-2</v>
      </c>
      <c r="AX19" s="946">
        <f t="shared" ref="AX19:BU19" si="182">AX18/AX4</f>
        <v>2.7688640322728521E-2</v>
      </c>
      <c r="AY19" s="57">
        <f t="shared" si="182"/>
        <v>2.4159166271909047E-2</v>
      </c>
      <c r="AZ19" s="57">
        <f t="shared" si="182"/>
        <v>2.7868852459016394E-2</v>
      </c>
      <c r="BA19" s="57">
        <f t="shared" si="182"/>
        <v>2.4318658280922431E-2</v>
      </c>
      <c r="BB19" s="959">
        <f t="shared" si="182"/>
        <v>1.3675213675213675E-2</v>
      </c>
      <c r="BC19" s="57">
        <f t="shared" si="182"/>
        <v>2.6148099318831025E-2</v>
      </c>
      <c r="BD19" s="57">
        <f t="shared" si="182"/>
        <v>1.79813401187447E-2</v>
      </c>
      <c r="BE19" s="946">
        <f t="shared" si="182"/>
        <v>2.15393452039058E-2</v>
      </c>
      <c r="BF19" s="57">
        <f t="shared" ref="BF19:BK19" si="183">BF18/BF4</f>
        <v>2.2222222222222223E-2</v>
      </c>
      <c r="BG19" s="57">
        <f t="shared" si="183"/>
        <v>2.7238959966983081E-2</v>
      </c>
      <c r="BH19" s="57">
        <f t="shared" si="183"/>
        <v>2.3900981647460521E-2</v>
      </c>
      <c r="BI19" s="959">
        <f t="shared" si="183"/>
        <v>2.4205748865355523E-2</v>
      </c>
      <c r="BJ19" s="57">
        <f t="shared" si="183"/>
        <v>2.4900837373292198E-2</v>
      </c>
      <c r="BK19" s="57">
        <f t="shared" si="183"/>
        <v>2.4079320113314446E-2</v>
      </c>
      <c r="BL19" s="946">
        <f t="shared" si="182"/>
        <v>2.4445317101904576E-2</v>
      </c>
      <c r="BM19" s="57">
        <f t="shared" si="182"/>
        <v>2.1606196494088872E-2</v>
      </c>
      <c r="BN19" s="57">
        <f t="shared" ref="BN19:BR19" si="184">BN18/BN4</f>
        <v>2.305032654629274E-2</v>
      </c>
      <c r="BO19" s="57">
        <f t="shared" si="184"/>
        <v>2.2073314938904218E-2</v>
      </c>
      <c r="BP19" s="959">
        <f t="shared" si="184"/>
        <v>2.645935624659029E-2</v>
      </c>
      <c r="BQ19" s="57">
        <f t="shared" si="184"/>
        <v>2.2349683544303799E-2</v>
      </c>
      <c r="BR19" s="57">
        <f t="shared" si="184"/>
        <v>2.4665484443011445E-2</v>
      </c>
      <c r="BS19" s="946">
        <f t="shared" si="182"/>
        <v>2.3625544009237054E-2</v>
      </c>
      <c r="BT19" s="57">
        <f t="shared" si="182"/>
        <v>1.9573727707698999E-2</v>
      </c>
      <c r="BU19" s="57">
        <f t="shared" si="182"/>
        <v>2.1665250637213255E-2</v>
      </c>
      <c r="BV19" s="57">
        <f t="shared" ref="BV19" si="185">BV18/BV4</f>
        <v>2.7822580645161292E-2</v>
      </c>
      <c r="BW19" s="959">
        <f>BW18/BW4</f>
        <v>2.5217790004585051E-2</v>
      </c>
      <c r="BX19" s="57">
        <f t="shared" ref="BX19:CB19" si="186">BX18/BX4</f>
        <v>2.0631850419084462E-2</v>
      </c>
      <c r="BY19" s="57">
        <f>BY18/BY4</f>
        <v>2.6161940952937737E-2</v>
      </c>
      <c r="BZ19" s="946">
        <f t="shared" si="186"/>
        <v>2.3923444976076555E-2</v>
      </c>
      <c r="CA19" s="57">
        <f t="shared" si="186"/>
        <v>2.4176740308461859E-2</v>
      </c>
      <c r="CB19" s="57">
        <f t="shared" si="186"/>
        <v>3.5576179427687551E-2</v>
      </c>
      <c r="CC19" s="57">
        <f t="shared" ref="CC19:CD19" si="187">CC18/CC4</f>
        <v>2.972560975609756E-2</v>
      </c>
      <c r="CD19" s="959">
        <f t="shared" si="187"/>
        <v>1.0731052984574111E-2</v>
      </c>
      <c r="CE19" s="57">
        <f t="shared" ref="CE19:CF19" si="188">CE18/CE4</f>
        <v>3.0090270812437311E-2</v>
      </c>
      <c r="CF19" s="57">
        <f t="shared" si="188"/>
        <v>1.7753980555164153E-2</v>
      </c>
      <c r="CG19" s="946">
        <f t="shared" ref="CG19:CK19" si="189">CG18/CG4</f>
        <v>2.2843900016553551E-2</v>
      </c>
      <c r="CH19" s="57">
        <f t="shared" si="189"/>
        <v>2.1460843373493976E-2</v>
      </c>
      <c r="CI19" s="57">
        <f t="shared" si="189"/>
        <v>2.1539436173582515E-2</v>
      </c>
      <c r="CJ19" s="57">
        <f t="shared" si="189"/>
        <v>2.6444662095984329E-2</v>
      </c>
      <c r="CK19" s="959">
        <f t="shared" si="189"/>
        <v>1.3910355486862442E-2</v>
      </c>
      <c r="CL19" s="57">
        <f t="shared" ref="CL19:CM19" si="190">CL18/CL4</f>
        <v>2.1503526578358852E-2</v>
      </c>
      <c r="CM19" s="57">
        <f t="shared" si="190"/>
        <v>1.8967334035827187E-2</v>
      </c>
      <c r="CN19" s="946">
        <f t="shared" ref="CN19:CP19" si="191">CN18/CN4</f>
        <v>2.0067139127191345E-2</v>
      </c>
      <c r="CO19" s="57">
        <f t="shared" si="191"/>
        <v>2.7542372881355932E-2</v>
      </c>
      <c r="CP19" s="57">
        <f t="shared" si="191"/>
        <v>1.2629161882893225E-2</v>
      </c>
      <c r="CQ19" s="403">
        <f>CU19</f>
        <v>2.5000000000000001E-2</v>
      </c>
      <c r="CR19" s="999">
        <f>CR18/CR4</f>
        <v>3.2369006921632248E-2</v>
      </c>
      <c r="CS19" s="57">
        <f t="shared" ref="CS19" si="192">CS18/CS4</f>
        <v>1.9316022799240027E-2</v>
      </c>
      <c r="CT19" s="799">
        <f>CT18/CT4</f>
        <v>2.9370044138663082E-2</v>
      </c>
      <c r="CU19" s="978">
        <v>2.5000000000000001E-2</v>
      </c>
      <c r="CV19" s="403">
        <f>DB19</f>
        <v>0.03</v>
      </c>
      <c r="CW19" s="799">
        <f>CW18/CW4</f>
        <v>3.0000000000000002E-2</v>
      </c>
      <c r="CX19" s="403">
        <f>DB19</f>
        <v>0.03</v>
      </c>
      <c r="CY19" s="999">
        <f>CY18/CY4</f>
        <v>0.03</v>
      </c>
      <c r="CZ19" s="403">
        <f>DB19</f>
        <v>0.03</v>
      </c>
      <c r="DA19" s="799">
        <f>DA18/DA4</f>
        <v>0.03</v>
      </c>
      <c r="DB19" s="978">
        <v>0.03</v>
      </c>
      <c r="DC19" s="403">
        <f>DI19</f>
        <v>3.5000000000000003E-2</v>
      </c>
      <c r="DD19" s="799">
        <f>DD18/DD4</f>
        <v>3.4999999999999996E-2</v>
      </c>
      <c r="DE19" s="403">
        <f>DI19</f>
        <v>3.5000000000000003E-2</v>
      </c>
      <c r="DF19" s="999">
        <f>DF18/DF4</f>
        <v>3.500000000000001E-2</v>
      </c>
      <c r="DG19" s="403">
        <f>DI19</f>
        <v>3.5000000000000003E-2</v>
      </c>
      <c r="DH19" s="799">
        <f>DH18/DH4</f>
        <v>3.5000000000000003E-2</v>
      </c>
      <c r="DI19" s="978">
        <v>3.5000000000000003E-2</v>
      </c>
      <c r="DJ19" s="403">
        <f>DP19</f>
        <v>0.04</v>
      </c>
      <c r="DK19" s="799">
        <f>DK18/DK4</f>
        <v>0.04</v>
      </c>
      <c r="DL19" s="403">
        <f>DP19</f>
        <v>0.04</v>
      </c>
      <c r="DM19" s="999">
        <f>DM18/DM4</f>
        <v>3.9999999999999994E-2</v>
      </c>
      <c r="DN19" s="403">
        <f>DP19</f>
        <v>0.04</v>
      </c>
      <c r="DO19" s="799">
        <f>DO18/DO4</f>
        <v>3.9999999999999994E-2</v>
      </c>
      <c r="DP19" s="978">
        <v>0.04</v>
      </c>
      <c r="DQ19" s="403">
        <f>DW19</f>
        <v>4.4999999999999998E-2</v>
      </c>
      <c r="DR19" s="799">
        <f>DR18/DR4</f>
        <v>4.4999999999999998E-2</v>
      </c>
      <c r="DS19" s="403">
        <f>DW19</f>
        <v>4.4999999999999998E-2</v>
      </c>
      <c r="DT19" s="999">
        <f>DT18/DT4</f>
        <v>4.5000000000000012E-2</v>
      </c>
      <c r="DU19" s="403">
        <f>DW19</f>
        <v>4.4999999999999998E-2</v>
      </c>
      <c r="DV19" s="799">
        <f>DV18/DV4</f>
        <v>4.5000000000000005E-2</v>
      </c>
      <c r="DW19" s="978">
        <v>4.4999999999999998E-2</v>
      </c>
      <c r="DX19" s="38"/>
      <c r="DY19" s="38"/>
      <c r="DZ19" s="38"/>
      <c r="EA19" s="186"/>
      <c r="EB19" s="218"/>
      <c r="EC19" s="218"/>
      <c r="ED19" s="218"/>
      <c r="EE19" s="187"/>
      <c r="EF19" s="39"/>
      <c r="EG19" s="39"/>
      <c r="EH19" s="39"/>
      <c r="EI19" s="218"/>
      <c r="EJ19" s="218"/>
      <c r="EK19" s="218"/>
      <c r="EL19" s="218"/>
      <c r="EM19" s="218"/>
      <c r="EN19" s="218"/>
      <c r="EO19" s="218"/>
      <c r="EP19" s="218"/>
      <c r="EQ19" s="218"/>
      <c r="ER19" s="218"/>
      <c r="ES19" s="218"/>
      <c r="ET19" s="218"/>
      <c r="EU19" s="218"/>
      <c r="EV19" s="218"/>
      <c r="EW19" s="218"/>
      <c r="EX19" s="218"/>
      <c r="EY19" s="218"/>
      <c r="EZ19" s="218"/>
      <c r="FA19" s="218"/>
      <c r="FB19" s="218"/>
      <c r="FC19" s="218"/>
      <c r="FD19" s="218"/>
      <c r="FE19" s="218"/>
      <c r="FF19" s="218"/>
      <c r="FG19" s="218"/>
      <c r="FH19" s="218"/>
      <c r="FI19" s="218"/>
      <c r="FJ19" s="218"/>
      <c r="FK19" s="218"/>
      <c r="FL19" s="218"/>
      <c r="FM19" s="218"/>
      <c r="FN19" s="218"/>
      <c r="FO19" s="218"/>
      <c r="FP19" s="218"/>
      <c r="FQ19" s="218"/>
    </row>
    <row r="20" spans="1:173" ht="10.5" customHeight="1">
      <c r="A20" s="27"/>
      <c r="B20" s="1047"/>
      <c r="C20" s="38"/>
      <c r="D20" s="1047"/>
      <c r="E20" s="1061"/>
      <c r="F20" s="1047"/>
      <c r="G20" s="1054"/>
      <c r="H20" s="1046"/>
      <c r="I20" s="1047"/>
      <c r="J20" s="38"/>
      <c r="K20" s="1047"/>
      <c r="L20" s="1061"/>
      <c r="M20" s="1047"/>
      <c r="N20" s="1054"/>
      <c r="O20" s="1046"/>
      <c r="P20" s="1047"/>
      <c r="Q20" s="38"/>
      <c r="R20" s="1047"/>
      <c r="S20" s="1061"/>
      <c r="T20" s="1047"/>
      <c r="U20" s="1054"/>
      <c r="V20" s="1046"/>
      <c r="W20" s="1047"/>
      <c r="X20" s="38"/>
      <c r="Y20" s="1047"/>
      <c r="Z20" s="1061"/>
      <c r="AA20" s="1047"/>
      <c r="AB20" s="1054"/>
      <c r="AC20" s="1046"/>
      <c r="AD20" s="1047"/>
      <c r="AE20" s="38"/>
      <c r="AF20" s="1047"/>
      <c r="AG20" s="1061"/>
      <c r="AH20" s="1047"/>
      <c r="AI20" s="1054"/>
      <c r="AJ20" s="1046"/>
      <c r="AK20" s="1047"/>
      <c r="AL20" s="38"/>
      <c r="AM20" s="1047"/>
      <c r="AN20" s="1061"/>
      <c r="AO20" s="1047"/>
      <c r="AP20" s="1054"/>
      <c r="AQ20" s="1046"/>
      <c r="AR20" s="1047"/>
      <c r="AS20" s="38"/>
      <c r="AT20" s="1047"/>
      <c r="AU20" s="1061"/>
      <c r="AV20" s="1047"/>
      <c r="AW20" s="1054"/>
      <c r="AX20" s="1046"/>
      <c r="AY20" s="1047"/>
      <c r="AZ20" s="38"/>
      <c r="BA20" s="1047"/>
      <c r="BB20" s="1061"/>
      <c r="BC20" s="1047"/>
      <c r="BD20" s="1054"/>
      <c r="BE20" s="1046"/>
      <c r="BF20" s="1047"/>
      <c r="BG20" s="38"/>
      <c r="BH20" s="1047"/>
      <c r="BI20" s="1061"/>
      <c r="BJ20" s="1047"/>
      <c r="BK20" s="1054"/>
      <c r="BL20" s="1046"/>
      <c r="BM20" s="1047"/>
      <c r="BN20" s="38"/>
      <c r="BO20" s="1047"/>
      <c r="BP20" s="1061"/>
      <c r="BQ20" s="1047"/>
      <c r="BR20" s="1054"/>
      <c r="BS20" s="1046"/>
      <c r="BT20" s="1047"/>
      <c r="BU20" s="38"/>
      <c r="BV20" s="1047"/>
      <c r="BW20" s="1061"/>
      <c r="BX20" s="1047"/>
      <c r="BY20" s="1054"/>
      <c r="BZ20" s="1046"/>
      <c r="CA20" s="1047"/>
      <c r="CB20" s="38"/>
      <c r="CC20" s="1047"/>
      <c r="CD20" s="1061"/>
      <c r="CE20" s="1047"/>
      <c r="CF20" s="1054"/>
      <c r="CG20" s="1046"/>
      <c r="CH20" s="1047"/>
      <c r="CI20" s="38"/>
      <c r="CJ20" s="1047"/>
      <c r="CK20" s="1061"/>
      <c r="CL20" s="1047"/>
      <c r="CM20" s="1054"/>
      <c r="CN20" s="1046"/>
      <c r="CO20" s="1047"/>
      <c r="CP20" s="38"/>
      <c r="CQ20" s="1047"/>
      <c r="CR20" s="1061"/>
      <c r="CS20" s="1047"/>
      <c r="CT20" s="1054"/>
      <c r="CU20" s="1046"/>
      <c r="CV20" s="1047"/>
      <c r="CW20" s="1054"/>
      <c r="CX20" s="1047"/>
      <c r="CY20" s="1061"/>
      <c r="CZ20" s="1047"/>
      <c r="DA20" s="1054"/>
      <c r="DB20" s="1046"/>
      <c r="DC20" s="1047"/>
      <c r="DD20" s="1054"/>
      <c r="DE20" s="1047"/>
      <c r="DF20" s="1061"/>
      <c r="DG20" s="1047"/>
      <c r="DH20" s="1054"/>
      <c r="DI20" s="1046"/>
      <c r="DJ20" s="1047"/>
      <c r="DK20" s="1054"/>
      <c r="DL20" s="1047"/>
      <c r="DM20" s="1061"/>
      <c r="DN20" s="1047"/>
      <c r="DO20" s="1054"/>
      <c r="DP20" s="1046"/>
      <c r="DQ20" s="1047"/>
      <c r="DR20" s="1054"/>
      <c r="DS20" s="1047"/>
      <c r="DT20" s="1061"/>
      <c r="DU20" s="1047"/>
      <c r="DV20" s="1054"/>
      <c r="DW20" s="1046"/>
      <c r="DX20" s="38"/>
      <c r="DY20" s="38"/>
      <c r="DZ20" s="38"/>
      <c r="EA20" s="186"/>
      <c r="EB20" s="218"/>
      <c r="EC20" s="218"/>
      <c r="ED20" s="187"/>
      <c r="EE20" s="187"/>
      <c r="EF20" s="186"/>
      <c r="EG20" s="39"/>
      <c r="EH20" s="39"/>
      <c r="EI20" s="218"/>
      <c r="EJ20" s="218"/>
      <c r="EK20" s="218"/>
      <c r="EL20" s="218"/>
      <c r="EM20" s="218"/>
      <c r="EN20" s="218"/>
      <c r="EO20" s="218"/>
      <c r="EP20" s="218"/>
      <c r="EQ20" s="218"/>
      <c r="ER20" s="218"/>
      <c r="ES20" s="218"/>
      <c r="ET20" s="218"/>
      <c r="EU20" s="218"/>
      <c r="EV20" s="218"/>
      <c r="EW20" s="218"/>
      <c r="EX20" s="218"/>
      <c r="EY20" s="218"/>
      <c r="EZ20" s="218"/>
      <c r="FA20" s="218"/>
      <c r="FB20" s="218"/>
      <c r="FC20" s="218"/>
      <c r="FD20" s="218"/>
      <c r="FE20" s="218"/>
      <c r="FF20" s="218"/>
      <c r="FG20" s="218"/>
      <c r="FH20" s="218"/>
      <c r="FI20" s="218"/>
      <c r="FJ20" s="218"/>
      <c r="FK20" s="218"/>
      <c r="FL20" s="218"/>
      <c r="FM20" s="218"/>
      <c r="FN20" s="218"/>
      <c r="FO20" s="218"/>
      <c r="FP20" s="218"/>
      <c r="FQ20" s="218"/>
    </row>
    <row r="21" spans="1:173" ht="10.5" customHeight="1">
      <c r="A21" s="32" t="s">
        <v>336</v>
      </c>
      <c r="B21" s="285"/>
      <c r="C21" s="37"/>
      <c r="D21" s="285"/>
      <c r="E21" s="1284"/>
      <c r="F21" s="285"/>
      <c r="G21" s="37"/>
      <c r="H21" s="306">
        <f>Divisional!T65</f>
        <v>521</v>
      </c>
      <c r="I21" s="285"/>
      <c r="J21" s="37"/>
      <c r="K21" s="285"/>
      <c r="L21" s="1284"/>
      <c r="M21" s="285"/>
      <c r="N21" s="37"/>
      <c r="O21" s="306">
        <f>Divisional!AA65</f>
        <v>540</v>
      </c>
      <c r="P21" s="285"/>
      <c r="Q21" s="37"/>
      <c r="R21" s="285"/>
      <c r="S21" s="1284"/>
      <c r="T21" s="285"/>
      <c r="U21" s="37"/>
      <c r="V21" s="306">
        <f>Divisional!AH65</f>
        <v>654</v>
      </c>
      <c r="W21" s="285"/>
      <c r="X21" s="37"/>
      <c r="Y21" s="285"/>
      <c r="Z21" s="1284"/>
      <c r="AA21" s="285"/>
      <c r="AB21" s="37"/>
      <c r="AC21" s="306">
        <f>Divisional!AO65</f>
        <v>483</v>
      </c>
      <c r="AD21" s="285"/>
      <c r="AE21" s="37"/>
      <c r="AF21" s="285"/>
      <c r="AG21" s="1284"/>
      <c r="AH21" s="285"/>
      <c r="AI21" s="37"/>
      <c r="AJ21" s="306">
        <f>Divisional!AV65</f>
        <v>429</v>
      </c>
      <c r="AK21" s="285"/>
      <c r="AL21" s="37"/>
      <c r="AM21" s="285"/>
      <c r="AN21" s="1284"/>
      <c r="AO21" s="285"/>
      <c r="AP21" s="37"/>
      <c r="AQ21" s="306">
        <f>Divisional!BJ65</f>
        <v>457</v>
      </c>
      <c r="AR21" s="285"/>
      <c r="AS21" s="37"/>
      <c r="AT21" s="285"/>
      <c r="AU21" s="1284"/>
      <c r="AV21" s="285"/>
      <c r="AW21" s="37"/>
      <c r="AX21" s="306">
        <v>555</v>
      </c>
      <c r="AY21" s="285"/>
      <c r="AZ21" s="37"/>
      <c r="BA21" s="285"/>
      <c r="BB21" s="1284"/>
      <c r="BC21" s="285"/>
      <c r="BD21" s="37"/>
      <c r="BE21" s="306">
        <v>672</v>
      </c>
      <c r="BF21" s="285"/>
      <c r="BG21" s="37"/>
      <c r="BH21" s="285"/>
      <c r="BI21" s="1284"/>
      <c r="BJ21" s="285"/>
      <c r="BK21" s="37"/>
      <c r="BL21" s="306">
        <v>525</v>
      </c>
      <c r="BM21" s="285"/>
      <c r="BN21" s="37"/>
      <c r="BO21" s="285"/>
      <c r="BP21" s="1284"/>
      <c r="BQ21" s="285"/>
      <c r="BR21" s="37"/>
      <c r="BS21" s="306">
        <v>961</v>
      </c>
      <c r="BT21" s="285">
        <f>BT22*BT4</f>
        <v>89.661000000000001</v>
      </c>
      <c r="BU21" s="37">
        <f>BX21-BT21</f>
        <v>91.806000000000012</v>
      </c>
      <c r="BV21" s="285">
        <f>BV22*BV4</f>
        <v>96.72</v>
      </c>
      <c r="BW21" s="1284">
        <f>BY21-BV21</f>
        <v>174.81300000000002</v>
      </c>
      <c r="BX21" s="285">
        <f>BX22*BX4</f>
        <v>181.46700000000001</v>
      </c>
      <c r="BY21" s="37">
        <f>BZ21-BX21</f>
        <v>271.53300000000002</v>
      </c>
      <c r="BZ21" s="306">
        <v>453</v>
      </c>
      <c r="CA21" s="285">
        <f>CA22*CA4</f>
        <v>199.11700000000002</v>
      </c>
      <c r="CB21" s="37">
        <f>CE21-CA21</f>
        <v>214.63799999999998</v>
      </c>
      <c r="CC21" s="285">
        <f>CC22*CC4</f>
        <v>217.792</v>
      </c>
      <c r="CD21" s="1284">
        <f>CF21-CC21</f>
        <v>366.45299999999997</v>
      </c>
      <c r="CE21" s="285">
        <f>CE22*CE4</f>
        <v>413.755</v>
      </c>
      <c r="CF21" s="37">
        <f>CG21-CE21</f>
        <v>584.245</v>
      </c>
      <c r="CG21" s="306">
        <v>998</v>
      </c>
      <c r="CH21" s="285">
        <f>CH22*CH4</f>
        <v>132.80000000000001</v>
      </c>
      <c r="CI21" s="37">
        <f>CL21-CH21</f>
        <v>157.85000000000002</v>
      </c>
      <c r="CJ21" s="285">
        <f>CJ22*CJ4</f>
        <v>153.15</v>
      </c>
      <c r="CK21" s="1284">
        <f>CM21-CJ21</f>
        <v>37.19999999999996</v>
      </c>
      <c r="CL21" s="285">
        <f>CL22*CL4</f>
        <v>290.65000000000003</v>
      </c>
      <c r="CM21" s="37">
        <f>CN21-CL21</f>
        <v>190.34999999999997</v>
      </c>
      <c r="CN21" s="306">
        <v>481</v>
      </c>
      <c r="CO21" s="285">
        <f>CO22*CO4</f>
        <v>141.6</v>
      </c>
      <c r="CP21" s="37">
        <f>CS21-CO21</f>
        <v>174.20000000000002</v>
      </c>
      <c r="CQ21" s="1042">
        <f>CQ22*CQ4</f>
        <v>167.16322500000001</v>
      </c>
      <c r="CR21" s="1056">
        <f>CT21-CQ21</f>
        <v>243.58777500000002</v>
      </c>
      <c r="CS21" s="285">
        <f>CS22*CS4</f>
        <v>315.8</v>
      </c>
      <c r="CT21" s="798">
        <f>CU21-CS21</f>
        <v>410.75100000000003</v>
      </c>
      <c r="CU21" s="1041">
        <f>CU22*CU4</f>
        <v>726.55100000000004</v>
      </c>
      <c r="CV21" s="1042">
        <f>CV22*CV4</f>
        <v>151.05180000000001</v>
      </c>
      <c r="CW21" s="798">
        <f>CZ21-CV21</f>
        <v>185.98575</v>
      </c>
      <c r="CX21" s="1042">
        <f>CX22*CX4</f>
        <v>178.30105875000001</v>
      </c>
      <c r="CY21" s="1056">
        <f>DA21-CX21</f>
        <v>260.07361624999999</v>
      </c>
      <c r="CZ21" s="1042">
        <f>CZ22*CZ4</f>
        <v>337.03755000000001</v>
      </c>
      <c r="DA21" s="798">
        <f>DB21-CZ21</f>
        <v>438.37467500000002</v>
      </c>
      <c r="DB21" s="1041">
        <f>DB22*DB4</f>
        <v>775.41222500000003</v>
      </c>
      <c r="DC21" s="1042">
        <f>DC22*DC4</f>
        <v>158.60439000000002</v>
      </c>
      <c r="DD21" s="798">
        <f>DG21-DC21</f>
        <v>195.28503750000004</v>
      </c>
      <c r="DE21" s="1042">
        <f>DE22*DE4</f>
        <v>187.21611168750002</v>
      </c>
      <c r="DF21" s="1056">
        <f>DH21-DE21</f>
        <v>273.07729706250018</v>
      </c>
      <c r="DG21" s="1042">
        <f>DG22*DG4</f>
        <v>353.88942750000007</v>
      </c>
      <c r="DH21" s="798">
        <f>DI21-DG21</f>
        <v>460.2934087500002</v>
      </c>
      <c r="DI21" s="1041">
        <f>DI22*DI4</f>
        <v>814.18283625000026</v>
      </c>
      <c r="DJ21" s="1042">
        <f>DJ22*DJ4</f>
        <v>166.53460949999999</v>
      </c>
      <c r="DK21" s="798">
        <f>DN21-DJ21</f>
        <v>205.04928937500011</v>
      </c>
      <c r="DL21" s="1042">
        <f>DL22*DL4</f>
        <v>196.57691727187503</v>
      </c>
      <c r="DM21" s="1056">
        <f>DO21-DL21</f>
        <v>286.73116191562497</v>
      </c>
      <c r="DN21" s="1042">
        <f>DN22*DN4</f>
        <v>371.5838988750001</v>
      </c>
      <c r="DO21" s="798">
        <f>DP21-DN21</f>
        <v>483.30807918750003</v>
      </c>
      <c r="DP21" s="1041">
        <f>DP22*DP4</f>
        <v>854.89197806250013</v>
      </c>
      <c r="DQ21" s="1042">
        <f>DQ22*DQ4</f>
        <v>174.86133997500002</v>
      </c>
      <c r="DR21" s="798">
        <f>DU21-DQ21</f>
        <v>215.30175384375008</v>
      </c>
      <c r="DS21" s="1042">
        <f>DS22*DS4</f>
        <v>206.40576313546882</v>
      </c>
      <c r="DT21" s="1056">
        <f>DV21-DS21</f>
        <v>301.06772001140649</v>
      </c>
      <c r="DU21" s="1042">
        <f>DU22*DU4</f>
        <v>390.1630938187501</v>
      </c>
      <c r="DV21" s="798">
        <f>DW21-DU21</f>
        <v>507.47348314687531</v>
      </c>
      <c r="DW21" s="1041">
        <f>DW22*DW4</f>
        <v>897.63657696562541</v>
      </c>
      <c r="DX21" s="38"/>
      <c r="DY21" s="38"/>
      <c r="DZ21" s="38"/>
      <c r="EA21" s="186"/>
      <c r="EB21" s="218"/>
      <c r="EC21" s="218"/>
      <c r="ED21" s="187"/>
      <c r="EE21" s="187"/>
      <c r="EF21" s="186"/>
      <c r="EG21" s="218"/>
      <c r="EH21" s="218"/>
      <c r="EI21" s="218"/>
      <c r="EJ21" s="218"/>
      <c r="EK21" s="218"/>
      <c r="EL21" s="218"/>
      <c r="EM21" s="218"/>
      <c r="EN21" s="218"/>
      <c r="EO21" s="218"/>
      <c r="EP21" s="218"/>
      <c r="EQ21" s="218"/>
      <c r="ER21" s="218"/>
      <c r="ES21" s="218"/>
      <c r="ET21" s="218"/>
      <c r="EU21" s="218"/>
      <c r="EV21" s="218"/>
      <c r="EW21" s="218"/>
      <c r="EX21" s="218"/>
      <c r="EY21" s="218"/>
      <c r="EZ21" s="218"/>
      <c r="FA21" s="218"/>
      <c r="FB21" s="218"/>
      <c r="FC21" s="218"/>
      <c r="FD21" s="218"/>
      <c r="FE21" s="218"/>
      <c r="FF21" s="218"/>
      <c r="FG21" s="218"/>
      <c r="FH21" s="218"/>
      <c r="FI21" s="218"/>
      <c r="FJ21" s="218"/>
      <c r="FK21" s="218"/>
      <c r="FL21" s="218"/>
      <c r="FM21" s="218"/>
      <c r="FN21" s="218"/>
      <c r="FO21" s="218"/>
      <c r="FP21" s="218"/>
      <c r="FQ21" s="218"/>
    </row>
    <row r="22" spans="1:173" ht="10.5" customHeight="1">
      <c r="A22" s="28" t="s">
        <v>335</v>
      </c>
      <c r="B22" s="115"/>
      <c r="C22" s="57"/>
      <c r="D22" s="115"/>
      <c r="E22" s="959"/>
      <c r="F22" s="115"/>
      <c r="G22" s="57"/>
      <c r="H22" s="946">
        <f t="shared" ref="H22:BU22" si="193">H21/H4</f>
        <v>3.9707339379620454E-2</v>
      </c>
      <c r="I22" s="115"/>
      <c r="J22" s="57"/>
      <c r="K22" s="115"/>
      <c r="L22" s="959"/>
      <c r="M22" s="115"/>
      <c r="N22" s="57"/>
      <c r="O22" s="946">
        <f t="shared" si="193"/>
        <v>4.1458733205374278E-2</v>
      </c>
      <c r="P22" s="115"/>
      <c r="Q22" s="57"/>
      <c r="R22" s="115"/>
      <c r="S22" s="959"/>
      <c r="T22" s="115"/>
      <c r="U22" s="57"/>
      <c r="V22" s="946">
        <f t="shared" si="193"/>
        <v>0.05</v>
      </c>
      <c r="W22" s="115"/>
      <c r="X22" s="57"/>
      <c r="Y22" s="115"/>
      <c r="Z22" s="959"/>
      <c r="AA22" s="115"/>
      <c r="AB22" s="57"/>
      <c r="AC22" s="946">
        <f t="shared" si="193"/>
        <v>4.0745739834654966E-2</v>
      </c>
      <c r="AD22" s="115"/>
      <c r="AE22" s="57"/>
      <c r="AF22" s="115"/>
      <c r="AG22" s="959"/>
      <c r="AH22" s="115"/>
      <c r="AI22" s="57"/>
      <c r="AJ22" s="946">
        <f t="shared" si="193"/>
        <v>3.9707515734912997E-2</v>
      </c>
      <c r="AK22" s="115"/>
      <c r="AL22" s="57"/>
      <c r="AM22" s="115"/>
      <c r="AN22" s="959"/>
      <c r="AO22" s="115"/>
      <c r="AP22" s="57"/>
      <c r="AQ22" s="946">
        <f t="shared" si="193"/>
        <v>4.1308867395823914E-2</v>
      </c>
      <c r="AR22" s="115"/>
      <c r="AS22" s="57"/>
      <c r="AT22" s="115"/>
      <c r="AU22" s="959"/>
      <c r="AV22" s="115"/>
      <c r="AW22" s="57"/>
      <c r="AX22" s="946">
        <f t="shared" si="193"/>
        <v>5.0884752910974607E-2</v>
      </c>
      <c r="AY22" s="115"/>
      <c r="AZ22" s="57"/>
      <c r="BA22" s="115"/>
      <c r="BB22" s="959"/>
      <c r="BC22" s="115"/>
      <c r="BD22" s="57"/>
      <c r="BE22" s="946">
        <f t="shared" si="193"/>
        <v>6.4330844342331994E-2</v>
      </c>
      <c r="BF22" s="115"/>
      <c r="BG22" s="57"/>
      <c r="BH22" s="115"/>
      <c r="BI22" s="959"/>
      <c r="BJ22" s="115"/>
      <c r="BK22" s="57"/>
      <c r="BL22" s="946">
        <f t="shared" si="193"/>
        <v>5.1541331238955428E-2</v>
      </c>
      <c r="BM22" s="115"/>
      <c r="BN22" s="57"/>
      <c r="BO22" s="115"/>
      <c r="BP22" s="959"/>
      <c r="BQ22" s="115"/>
      <c r="BR22" s="57"/>
      <c r="BS22" s="946">
        <f t="shared" si="193"/>
        <v>8.5353939070965446E-2</v>
      </c>
      <c r="BT22" s="115">
        <v>3.9E-2</v>
      </c>
      <c r="BU22" s="57">
        <f t="shared" si="193"/>
        <v>3.9000000000000007E-2</v>
      </c>
      <c r="BV22" s="115">
        <v>3.9E-2</v>
      </c>
      <c r="BW22" s="959">
        <f>BW21/BW4</f>
        <v>4.0076341127922972E-2</v>
      </c>
      <c r="BX22" s="115">
        <v>3.9E-2</v>
      </c>
      <c r="BY22" s="57">
        <f>BY21/BY4</f>
        <v>3.9686202864659459E-2</v>
      </c>
      <c r="BZ22" s="946">
        <f t="shared" ref="BZ22" si="194">BZ21/BZ4</f>
        <v>3.9408438451500653E-2</v>
      </c>
      <c r="CA22" s="115">
        <v>8.3000000000000004E-2</v>
      </c>
      <c r="CB22" s="57">
        <f t="shared" ref="CB22" si="195">CB21/CB4</f>
        <v>8.299999999999999E-2</v>
      </c>
      <c r="CC22" s="115">
        <v>8.3000000000000004E-2</v>
      </c>
      <c r="CD22" s="959">
        <f>CD21/CD4</f>
        <v>8.1925553319919506E-2</v>
      </c>
      <c r="CE22" s="115">
        <v>8.3000000000000004E-2</v>
      </c>
      <c r="CF22" s="57">
        <f>CF21/CF4</f>
        <v>8.2322812455967315E-2</v>
      </c>
      <c r="CG22" s="946">
        <f t="shared" ref="CG22" si="196">CG21/CG4</f>
        <v>8.2602218175798714E-2</v>
      </c>
      <c r="CH22" s="115">
        <v>0.05</v>
      </c>
      <c r="CI22" s="57">
        <f t="shared" ref="CI22" si="197">CI21/CI4</f>
        <v>5.000000000000001E-2</v>
      </c>
      <c r="CJ22" s="115">
        <v>0.05</v>
      </c>
      <c r="CK22" s="959">
        <f>CK21/CK4</f>
        <v>8.2137337160521004E-3</v>
      </c>
      <c r="CL22" s="1818">
        <v>0.05</v>
      </c>
      <c r="CM22" s="57">
        <f>CM21/CM4</f>
        <v>2.5072444678609057E-2</v>
      </c>
      <c r="CN22" s="946">
        <f t="shared" ref="CN22" si="198">CN21/CN4</f>
        <v>3.5882133532264084E-2</v>
      </c>
      <c r="CO22" s="115">
        <f>CU22</f>
        <v>0.05</v>
      </c>
      <c r="CP22" s="57">
        <f t="shared" ref="CP22" si="199">CP21/CP4</f>
        <v>0.05</v>
      </c>
      <c r="CQ22" s="403">
        <f>CU22</f>
        <v>0.05</v>
      </c>
      <c r="CR22" s="999">
        <f>CR21/CR4</f>
        <v>4.9999999999999996E-2</v>
      </c>
      <c r="CS22" s="115">
        <f>CU22</f>
        <v>0.05</v>
      </c>
      <c r="CT22" s="799">
        <f>CT21/CT4</f>
        <v>0.05</v>
      </c>
      <c r="CU22" s="978">
        <v>0.05</v>
      </c>
      <c r="CV22" s="403">
        <f>DB22</f>
        <v>0.05</v>
      </c>
      <c r="CW22" s="799">
        <f>CW21/CW4</f>
        <v>4.9999999999999996E-2</v>
      </c>
      <c r="CX22" s="403">
        <f>DB22</f>
        <v>0.05</v>
      </c>
      <c r="CY22" s="999">
        <f>CY21/CY4</f>
        <v>4.9999999999999982E-2</v>
      </c>
      <c r="CZ22" s="403">
        <f>DB22</f>
        <v>0.05</v>
      </c>
      <c r="DA22" s="799">
        <f>DA21/DA4</f>
        <v>0.05</v>
      </c>
      <c r="DB22" s="1043">
        <f>CU22</f>
        <v>0.05</v>
      </c>
      <c r="DC22" s="403">
        <f>DI22</f>
        <v>0.05</v>
      </c>
      <c r="DD22" s="799">
        <f>DD21/DD4</f>
        <v>0.05</v>
      </c>
      <c r="DE22" s="403">
        <f>DI22</f>
        <v>0.05</v>
      </c>
      <c r="DF22" s="999">
        <f>DF21/DF4</f>
        <v>5.000000000000001E-2</v>
      </c>
      <c r="DG22" s="403">
        <f>DI22</f>
        <v>0.05</v>
      </c>
      <c r="DH22" s="799">
        <f>DH21/DH4</f>
        <v>0.05</v>
      </c>
      <c r="DI22" s="1043">
        <f>DB22</f>
        <v>0.05</v>
      </c>
      <c r="DJ22" s="403">
        <f>DP22</f>
        <v>0.05</v>
      </c>
      <c r="DK22" s="799">
        <f>DK21/DK4</f>
        <v>5.000000000000001E-2</v>
      </c>
      <c r="DL22" s="403">
        <f>DP22</f>
        <v>0.05</v>
      </c>
      <c r="DM22" s="999">
        <f>DM21/DM4</f>
        <v>4.9999999999999975E-2</v>
      </c>
      <c r="DN22" s="403">
        <f>DP22</f>
        <v>0.05</v>
      </c>
      <c r="DO22" s="799">
        <f>DO21/DO4</f>
        <v>4.9999999999999989E-2</v>
      </c>
      <c r="DP22" s="1043">
        <f>DI22</f>
        <v>0.05</v>
      </c>
      <c r="DQ22" s="403">
        <f>DW22</f>
        <v>0.05</v>
      </c>
      <c r="DR22" s="799">
        <f>DR21/DR4</f>
        <v>0.05</v>
      </c>
      <c r="DS22" s="403">
        <f>DW22</f>
        <v>0.05</v>
      </c>
      <c r="DT22" s="999">
        <f>DT21/DT4</f>
        <v>5.0000000000000024E-2</v>
      </c>
      <c r="DU22" s="403">
        <f>DW22</f>
        <v>0.05</v>
      </c>
      <c r="DV22" s="799">
        <f>DV21/DV4</f>
        <v>5.0000000000000017E-2</v>
      </c>
      <c r="DW22" s="1043">
        <f>DP22</f>
        <v>0.05</v>
      </c>
      <c r="DX22" s="38"/>
      <c r="DY22" s="38"/>
      <c r="DZ22" s="38"/>
      <c r="EA22" s="218"/>
      <c r="EB22" s="218"/>
      <c r="EC22" s="218"/>
      <c r="ED22" s="218"/>
      <c r="EE22" s="218"/>
      <c r="EF22" s="218"/>
      <c r="EG22" s="218"/>
      <c r="EH22" s="218"/>
      <c r="EI22" s="218"/>
      <c r="EJ22" s="218"/>
      <c r="EK22" s="218"/>
      <c r="EL22" s="218"/>
      <c r="EM22" s="218"/>
      <c r="EN22" s="218"/>
      <c r="EO22" s="218"/>
      <c r="EP22" s="218"/>
      <c r="EQ22" s="218"/>
      <c r="ER22" s="218"/>
      <c r="ES22" s="218"/>
      <c r="ET22" s="218"/>
      <c r="EU22" s="218"/>
      <c r="EV22" s="218"/>
      <c r="EW22" s="218"/>
      <c r="EX22" s="218"/>
      <c r="EY22" s="218"/>
      <c r="EZ22" s="218"/>
      <c r="FA22" s="218"/>
      <c r="FB22" s="218"/>
      <c r="FC22" s="218"/>
      <c r="FD22" s="218"/>
      <c r="FE22" s="218"/>
      <c r="FF22" s="218"/>
      <c r="FG22" s="218"/>
      <c r="FH22" s="218"/>
      <c r="FI22" s="218"/>
      <c r="FJ22" s="218"/>
      <c r="FK22" s="218"/>
      <c r="FL22" s="218"/>
      <c r="FM22" s="218"/>
      <c r="FN22" s="218"/>
      <c r="FO22" s="218"/>
      <c r="FP22" s="218"/>
      <c r="FQ22" s="218"/>
    </row>
    <row r="23" spans="1:173" ht="10.5" customHeight="1">
      <c r="A23" s="32"/>
      <c r="B23" s="284"/>
      <c r="C23" s="29"/>
      <c r="D23" s="284"/>
      <c r="E23" s="1062"/>
      <c r="F23" s="284"/>
      <c r="G23" s="801"/>
      <c r="H23" s="1048"/>
      <c r="I23" s="284"/>
      <c r="J23" s="29"/>
      <c r="K23" s="284"/>
      <c r="L23" s="1062"/>
      <c r="M23" s="284"/>
      <c r="N23" s="801"/>
      <c r="O23" s="1048"/>
      <c r="P23" s="284"/>
      <c r="Q23" s="29"/>
      <c r="R23" s="284"/>
      <c r="S23" s="1062"/>
      <c r="T23" s="284"/>
      <c r="U23" s="801"/>
      <c r="V23" s="1048"/>
      <c r="W23" s="284"/>
      <c r="X23" s="29"/>
      <c r="Y23" s="284"/>
      <c r="Z23" s="1062"/>
      <c r="AA23" s="284"/>
      <c r="AB23" s="801"/>
      <c r="AC23" s="1048"/>
      <c r="AD23" s="284"/>
      <c r="AE23" s="29"/>
      <c r="AF23" s="284"/>
      <c r="AG23" s="1062"/>
      <c r="AH23" s="284"/>
      <c r="AI23" s="801"/>
      <c r="AJ23" s="1048"/>
      <c r="AK23" s="284"/>
      <c r="AL23" s="29"/>
      <c r="AM23" s="284"/>
      <c r="AN23" s="1062"/>
      <c r="AO23" s="284"/>
      <c r="AP23" s="801"/>
      <c r="AQ23" s="1048"/>
      <c r="AR23" s="284"/>
      <c r="AS23" s="29"/>
      <c r="AT23" s="284"/>
      <c r="AU23" s="1062"/>
      <c r="AV23" s="284"/>
      <c r="AW23" s="801"/>
      <c r="AX23" s="1048"/>
      <c r="AY23" s="284"/>
      <c r="AZ23" s="29"/>
      <c r="BA23" s="284"/>
      <c r="BB23" s="1062"/>
      <c r="BC23" s="284"/>
      <c r="BD23" s="801"/>
      <c r="BE23" s="1048"/>
      <c r="BF23" s="284"/>
      <c r="BG23" s="29"/>
      <c r="BH23" s="284"/>
      <c r="BI23" s="1062"/>
      <c r="BJ23" s="284"/>
      <c r="BK23" s="801"/>
      <c r="BL23" s="1048"/>
      <c r="BM23" s="284"/>
      <c r="BN23" s="29"/>
      <c r="BO23" s="284"/>
      <c r="BP23" s="1062"/>
      <c r="BQ23" s="284"/>
      <c r="BR23" s="801"/>
      <c r="BS23" s="1048"/>
      <c r="BT23" s="284"/>
      <c r="BU23" s="29"/>
      <c r="BV23" s="284"/>
      <c r="BW23" s="1062"/>
      <c r="BX23" s="284"/>
      <c r="BY23" s="801"/>
      <c r="BZ23" s="1048"/>
      <c r="CA23" s="284"/>
      <c r="CB23" s="29"/>
      <c r="CC23" s="284"/>
      <c r="CD23" s="1062"/>
      <c r="CE23" s="284"/>
      <c r="CF23" s="801"/>
      <c r="CG23" s="1048"/>
      <c r="CH23" s="284"/>
      <c r="CI23" s="29"/>
      <c r="CJ23" s="284"/>
      <c r="CK23" s="1062"/>
      <c r="CL23" s="284"/>
      <c r="CM23" s="801"/>
      <c r="CN23" s="1048"/>
      <c r="CO23" s="284"/>
      <c r="CP23" s="29"/>
      <c r="CQ23" s="284"/>
      <c r="CR23" s="1062"/>
      <c r="CS23" s="284"/>
      <c r="CT23" s="801"/>
      <c r="CU23" s="1048"/>
      <c r="CV23" s="284"/>
      <c r="CW23" s="801"/>
      <c r="CX23" s="284"/>
      <c r="CY23" s="1062"/>
      <c r="CZ23" s="284"/>
      <c r="DA23" s="801"/>
      <c r="DB23" s="1048"/>
      <c r="DC23" s="284"/>
      <c r="DD23" s="801"/>
      <c r="DE23" s="284"/>
      <c r="DF23" s="1062"/>
      <c r="DG23" s="284"/>
      <c r="DH23" s="801"/>
      <c r="DI23" s="1048"/>
      <c r="DJ23" s="284"/>
      <c r="DK23" s="801"/>
      <c r="DL23" s="284"/>
      <c r="DM23" s="1062"/>
      <c r="DN23" s="284"/>
      <c r="DO23" s="801"/>
      <c r="DP23" s="1048"/>
      <c r="DQ23" s="284"/>
      <c r="DR23" s="801"/>
      <c r="DS23" s="284"/>
      <c r="DT23" s="1062"/>
      <c r="DU23" s="284"/>
      <c r="DV23" s="801"/>
      <c r="DW23" s="1048"/>
      <c r="DX23" s="29"/>
      <c r="DY23" s="29"/>
      <c r="DZ23" s="29"/>
      <c r="EA23" s="188"/>
      <c r="EB23" s="38"/>
      <c r="EC23" s="38"/>
      <c r="ED23" s="27"/>
      <c r="EE23" s="39"/>
      <c r="EF23" s="39"/>
      <c r="EG23" s="39"/>
      <c r="EH23" s="39"/>
      <c r="EI23" s="218"/>
      <c r="EJ23" s="218"/>
      <c r="EK23" s="218"/>
      <c r="EL23" s="218"/>
      <c r="EM23" s="218"/>
      <c r="EN23" s="218"/>
      <c r="EO23" s="218"/>
      <c r="EP23" s="218"/>
      <c r="EQ23" s="218"/>
      <c r="ER23" s="218"/>
      <c r="ES23" s="218"/>
      <c r="ET23" s="218"/>
      <c r="EU23" s="218"/>
      <c r="EV23" s="218"/>
      <c r="EW23" s="218"/>
      <c r="EX23" s="218"/>
      <c r="EY23" s="218"/>
      <c r="EZ23" s="218"/>
      <c r="FA23" s="218"/>
      <c r="FB23" s="218"/>
      <c r="FC23" s="218"/>
      <c r="FD23" s="218"/>
      <c r="FE23" s="218"/>
      <c r="FF23" s="218"/>
      <c r="FG23" s="218"/>
      <c r="FH23" s="218"/>
      <c r="FI23" s="218"/>
      <c r="FJ23" s="218"/>
      <c r="FK23" s="218"/>
      <c r="FL23" s="218"/>
      <c r="FM23" s="218"/>
      <c r="FN23" s="218"/>
      <c r="FO23" s="218"/>
      <c r="FP23" s="218"/>
      <c r="FQ23" s="218"/>
    </row>
    <row r="24" spans="1:173" ht="10.5" customHeight="1">
      <c r="A24" s="32" t="s">
        <v>327</v>
      </c>
      <c r="B24" s="285"/>
      <c r="C24" s="37"/>
      <c r="D24" s="285"/>
      <c r="E24" s="1284"/>
      <c r="F24" s="285"/>
      <c r="G24" s="37"/>
      <c r="H24" s="306">
        <f>Divisional!T143</f>
        <v>466</v>
      </c>
      <c r="I24" s="285"/>
      <c r="J24" s="37"/>
      <c r="K24" s="285"/>
      <c r="L24" s="1284"/>
      <c r="M24" s="285"/>
      <c r="N24" s="37"/>
      <c r="O24" s="306">
        <f>Divisional!AA143</f>
        <v>497</v>
      </c>
      <c r="P24" s="285"/>
      <c r="Q24" s="37"/>
      <c r="R24" s="285"/>
      <c r="S24" s="1284"/>
      <c r="T24" s="285"/>
      <c r="U24" s="37"/>
      <c r="V24" s="306">
        <f>Divisional!AH143</f>
        <v>552</v>
      </c>
      <c r="W24" s="285"/>
      <c r="X24" s="37"/>
      <c r="Y24" s="285"/>
      <c r="Z24" s="1284"/>
      <c r="AA24" s="285"/>
      <c r="AB24" s="37"/>
      <c r="AC24" s="306">
        <f>Divisional!AO143</f>
        <v>469</v>
      </c>
      <c r="AD24" s="285"/>
      <c r="AE24" s="37"/>
      <c r="AF24" s="285"/>
      <c r="AG24" s="1284"/>
      <c r="AH24" s="285"/>
      <c r="AI24" s="37"/>
      <c r="AJ24" s="306">
        <f>Divisional!AV143</f>
        <v>481</v>
      </c>
      <c r="AK24" s="285"/>
      <c r="AL24" s="37"/>
      <c r="AM24" s="285"/>
      <c r="AN24" s="1284"/>
      <c r="AO24" s="285"/>
      <c r="AP24" s="37"/>
      <c r="AQ24" s="306">
        <f>Divisional!BJ143</f>
        <v>518</v>
      </c>
      <c r="AR24" s="285"/>
      <c r="AS24" s="37"/>
      <c r="AT24" s="285"/>
      <c r="AU24" s="1284"/>
      <c r="AV24" s="285"/>
      <c r="AW24" s="37"/>
      <c r="AX24" s="306">
        <v>498</v>
      </c>
      <c r="AY24" s="285"/>
      <c r="AZ24" s="37"/>
      <c r="BA24" s="285"/>
      <c r="BB24" s="1284"/>
      <c r="BC24" s="285"/>
      <c r="BD24" s="37"/>
      <c r="BE24" s="306">
        <v>455</v>
      </c>
      <c r="BF24" s="285"/>
      <c r="BG24" s="37"/>
      <c r="BH24" s="285"/>
      <c r="BI24" s="1284"/>
      <c r="BJ24" s="285"/>
      <c r="BK24" s="37"/>
      <c r="BL24" s="306">
        <v>483</v>
      </c>
      <c r="BM24" s="285"/>
      <c r="BN24" s="37"/>
      <c r="BO24" s="285"/>
      <c r="BP24" s="1284"/>
      <c r="BQ24" s="285"/>
      <c r="BR24" s="37"/>
      <c r="BS24" s="306">
        <v>551</v>
      </c>
      <c r="BT24" s="285">
        <f>BT21*BT25</f>
        <v>154.21691999999999</v>
      </c>
      <c r="BU24" s="37">
        <f>BX24-BT24</f>
        <v>157.90632000000002</v>
      </c>
      <c r="BV24" s="285">
        <f>BV21*BV25</f>
        <v>166.35839999999999</v>
      </c>
      <c r="BW24" s="1284">
        <f>BY24-BV24</f>
        <v>298.51836000000003</v>
      </c>
      <c r="BX24" s="285">
        <f>BX21*BX25</f>
        <v>312.12324000000001</v>
      </c>
      <c r="BY24" s="37">
        <f>BZ24-BX24</f>
        <v>464.87675999999999</v>
      </c>
      <c r="BZ24" s="306">
        <v>777</v>
      </c>
      <c r="CA24" s="285">
        <f>CA21*CA25</f>
        <v>131.41722000000001</v>
      </c>
      <c r="CB24" s="37">
        <f>CE24-CA24</f>
        <v>141.66108</v>
      </c>
      <c r="CC24" s="285">
        <f>CC21*CC25</f>
        <v>143.74272000000002</v>
      </c>
      <c r="CD24" s="1284">
        <f>CF24-CC24</f>
        <v>246.17897999999997</v>
      </c>
      <c r="CE24" s="285">
        <f>CE21*CE25</f>
        <v>273.07830000000001</v>
      </c>
      <c r="CF24" s="37">
        <f>CG24-CE24</f>
        <v>389.92169999999999</v>
      </c>
      <c r="CG24" s="306">
        <v>663</v>
      </c>
      <c r="CH24" s="285">
        <f>CH21*CH25</f>
        <v>172.64000000000001</v>
      </c>
      <c r="CI24" s="37">
        <f>CL24-CH24</f>
        <v>205.20500000000007</v>
      </c>
      <c r="CJ24" s="285">
        <f>CJ21*CJ25</f>
        <v>199.09500000000003</v>
      </c>
      <c r="CK24" s="1284">
        <f>CM24-CJ24</f>
        <v>53.059999999999889</v>
      </c>
      <c r="CL24" s="285">
        <f>CL21*CL25</f>
        <v>377.84500000000008</v>
      </c>
      <c r="CM24" s="37">
        <f>CN24-CL24</f>
        <v>252.15499999999992</v>
      </c>
      <c r="CN24" s="306">
        <v>630</v>
      </c>
      <c r="CO24" s="285">
        <f>CO21*CO25</f>
        <v>141.6</v>
      </c>
      <c r="CP24" s="37">
        <f>CS24-CO24</f>
        <v>174.20000000000002</v>
      </c>
      <c r="CQ24" s="1042">
        <f>CQ21*CQ25</f>
        <v>167.16322500000001</v>
      </c>
      <c r="CR24" s="1056">
        <f>CT24-CQ24</f>
        <v>243.58777500000002</v>
      </c>
      <c r="CS24" s="285">
        <f>CS21*CS25</f>
        <v>315.8</v>
      </c>
      <c r="CT24" s="798">
        <f>CU24-CS24</f>
        <v>410.75100000000003</v>
      </c>
      <c r="CU24" s="1041">
        <f>CU21*CU25</f>
        <v>726.55100000000004</v>
      </c>
      <c r="CV24" s="1042">
        <f>CV21*CV25</f>
        <v>151.05180000000001</v>
      </c>
      <c r="CW24" s="798">
        <f>CZ24-CV24</f>
        <v>185.98575</v>
      </c>
      <c r="CX24" s="1042">
        <f>CX21*CX25</f>
        <v>178.30105875000001</v>
      </c>
      <c r="CY24" s="1056">
        <f>DA24-CX24</f>
        <v>260.07361624999999</v>
      </c>
      <c r="CZ24" s="1042">
        <f>CZ21*CZ25</f>
        <v>337.03755000000001</v>
      </c>
      <c r="DA24" s="798">
        <f>DB24-CZ24</f>
        <v>438.37467500000002</v>
      </c>
      <c r="DB24" s="1041">
        <f>DB21*DB25</f>
        <v>775.41222500000003</v>
      </c>
      <c r="DC24" s="1042">
        <f>DC21*DC25</f>
        <v>158.60439000000002</v>
      </c>
      <c r="DD24" s="798">
        <f>DG24-DC24</f>
        <v>195.28503750000004</v>
      </c>
      <c r="DE24" s="1042">
        <f>DE21*DE25</f>
        <v>187.21611168750002</v>
      </c>
      <c r="DF24" s="1056">
        <f>DH24-DE24</f>
        <v>273.07729706250018</v>
      </c>
      <c r="DG24" s="1042">
        <f>DG21*DG25</f>
        <v>353.88942750000007</v>
      </c>
      <c r="DH24" s="798">
        <f>DI24-DG24</f>
        <v>460.2934087500002</v>
      </c>
      <c r="DI24" s="1041">
        <f>DI21*DI25</f>
        <v>814.18283625000026</v>
      </c>
      <c r="DJ24" s="1042">
        <f>DJ21*DJ25</f>
        <v>166.53460949999999</v>
      </c>
      <c r="DK24" s="798">
        <f>DN24-DJ24</f>
        <v>205.04928937500011</v>
      </c>
      <c r="DL24" s="1042">
        <f>DL21*DL25</f>
        <v>196.57691727187503</v>
      </c>
      <c r="DM24" s="1056">
        <f>DO24-DL24</f>
        <v>286.73116191562497</v>
      </c>
      <c r="DN24" s="1042">
        <f>DN21*DN25</f>
        <v>371.5838988750001</v>
      </c>
      <c r="DO24" s="798">
        <f>DP24-DN24</f>
        <v>483.30807918750003</v>
      </c>
      <c r="DP24" s="1041">
        <f>DP21*DP25</f>
        <v>854.89197806250013</v>
      </c>
      <c r="DQ24" s="1042">
        <f>DQ21*DQ25</f>
        <v>174.86133997500002</v>
      </c>
      <c r="DR24" s="798">
        <f>DU24-DQ24</f>
        <v>215.30175384375008</v>
      </c>
      <c r="DS24" s="1042">
        <f>DS21*DS25</f>
        <v>206.40576313546882</v>
      </c>
      <c r="DT24" s="1056">
        <f>DV24-DS24</f>
        <v>301.06772001140649</v>
      </c>
      <c r="DU24" s="1042">
        <f>DU21*DU25</f>
        <v>390.1630938187501</v>
      </c>
      <c r="DV24" s="798">
        <f>DW24-DU24</f>
        <v>507.47348314687531</v>
      </c>
      <c r="DW24" s="1041">
        <f>DW21*DW25</f>
        <v>897.63657696562541</v>
      </c>
      <c r="DX24" s="40"/>
      <c r="DY24" s="40"/>
      <c r="DZ24" s="40"/>
      <c r="EA24" s="218"/>
      <c r="EB24" s="38"/>
      <c r="EC24" s="38"/>
      <c r="ED24" s="27"/>
      <c r="EE24" s="39"/>
      <c r="EF24" s="39"/>
      <c r="EG24" s="39"/>
      <c r="EH24" s="39"/>
      <c r="EI24" s="218"/>
      <c r="EJ24" s="218"/>
      <c r="EK24" s="218"/>
      <c r="EL24" s="218"/>
      <c r="EM24" s="218"/>
      <c r="EN24" s="218"/>
      <c r="EO24" s="218"/>
      <c r="EP24" s="218"/>
      <c r="EQ24" s="218"/>
      <c r="ER24" s="218"/>
      <c r="ES24" s="218"/>
      <c r="ET24" s="218"/>
      <c r="EU24" s="218"/>
      <c r="EV24" s="218"/>
      <c r="EW24" s="218"/>
      <c r="EX24" s="218"/>
      <c r="EY24" s="218"/>
      <c r="EZ24" s="218"/>
      <c r="FA24" s="218"/>
      <c r="FB24" s="218"/>
      <c r="FC24" s="218"/>
      <c r="FD24" s="218"/>
      <c r="FE24" s="218"/>
      <c r="FF24" s="218"/>
      <c r="FG24" s="218"/>
      <c r="FH24" s="218"/>
      <c r="FI24" s="218"/>
      <c r="FJ24" s="218"/>
      <c r="FK24" s="218"/>
      <c r="FL24" s="218"/>
      <c r="FM24" s="218"/>
      <c r="FN24" s="218"/>
      <c r="FO24" s="218"/>
      <c r="FP24" s="218"/>
      <c r="FQ24" s="218"/>
    </row>
    <row r="25" spans="1:173" ht="10.5" customHeight="1">
      <c r="A25" s="28" t="s">
        <v>337</v>
      </c>
      <c r="B25" s="544"/>
      <c r="C25" s="109"/>
      <c r="D25" s="544"/>
      <c r="E25" s="693"/>
      <c r="F25" s="544"/>
      <c r="G25" s="109"/>
      <c r="H25" s="1294">
        <f t="shared" ref="H25:BU25" si="200">H24/H21</f>
        <v>0.89443378119001915</v>
      </c>
      <c r="I25" s="544"/>
      <c r="J25" s="109"/>
      <c r="K25" s="544"/>
      <c r="L25" s="693"/>
      <c r="M25" s="544"/>
      <c r="N25" s="109"/>
      <c r="O25" s="1294">
        <f t="shared" si="200"/>
        <v>0.92037037037037039</v>
      </c>
      <c r="P25" s="544"/>
      <c r="Q25" s="109"/>
      <c r="R25" s="544"/>
      <c r="S25" s="693"/>
      <c r="T25" s="544"/>
      <c r="U25" s="109"/>
      <c r="V25" s="1294">
        <f t="shared" si="200"/>
        <v>0.84403669724770647</v>
      </c>
      <c r="W25" s="544"/>
      <c r="X25" s="109"/>
      <c r="Y25" s="544"/>
      <c r="Z25" s="693"/>
      <c r="AA25" s="544"/>
      <c r="AB25" s="109"/>
      <c r="AC25" s="1294">
        <f t="shared" si="200"/>
        <v>0.97101449275362317</v>
      </c>
      <c r="AD25" s="544"/>
      <c r="AE25" s="109"/>
      <c r="AF25" s="544"/>
      <c r="AG25" s="693"/>
      <c r="AH25" s="544"/>
      <c r="AI25" s="109"/>
      <c r="AJ25" s="1294">
        <f t="shared" si="200"/>
        <v>1.1212121212121211</v>
      </c>
      <c r="AK25" s="544"/>
      <c r="AL25" s="109"/>
      <c r="AM25" s="544"/>
      <c r="AN25" s="693"/>
      <c r="AO25" s="544"/>
      <c r="AP25" s="109"/>
      <c r="AQ25" s="1294">
        <f t="shared" si="200"/>
        <v>1.1334792122538293</v>
      </c>
      <c r="AR25" s="544"/>
      <c r="AS25" s="109"/>
      <c r="AT25" s="544"/>
      <c r="AU25" s="693"/>
      <c r="AV25" s="544"/>
      <c r="AW25" s="109"/>
      <c r="AX25" s="1294">
        <f t="shared" si="200"/>
        <v>0.89729729729729735</v>
      </c>
      <c r="AY25" s="544"/>
      <c r="AZ25" s="109"/>
      <c r="BA25" s="544"/>
      <c r="BB25" s="693"/>
      <c r="BC25" s="544"/>
      <c r="BD25" s="109"/>
      <c r="BE25" s="1294">
        <f t="shared" si="200"/>
        <v>0.67708333333333337</v>
      </c>
      <c r="BF25" s="544"/>
      <c r="BG25" s="109"/>
      <c r="BH25" s="544"/>
      <c r="BI25" s="693"/>
      <c r="BJ25" s="544"/>
      <c r="BK25" s="109"/>
      <c r="BL25" s="1294">
        <f t="shared" si="200"/>
        <v>0.92</v>
      </c>
      <c r="BM25" s="544"/>
      <c r="BN25" s="109"/>
      <c r="BO25" s="544"/>
      <c r="BP25" s="693"/>
      <c r="BQ25" s="544"/>
      <c r="BR25" s="109"/>
      <c r="BS25" s="1294">
        <f t="shared" si="200"/>
        <v>0.57336108220603543</v>
      </c>
      <c r="BT25" s="544">
        <v>1.72</v>
      </c>
      <c r="BU25" s="109">
        <f t="shared" si="200"/>
        <v>1.72</v>
      </c>
      <c r="BV25" s="544">
        <v>1.72</v>
      </c>
      <c r="BW25" s="693">
        <f>BW24/BW21</f>
        <v>1.7076439395239484</v>
      </c>
      <c r="BX25" s="544">
        <v>1.72</v>
      </c>
      <c r="BY25" s="109">
        <f>BY24/BY21</f>
        <v>1.7120451657809546</v>
      </c>
      <c r="BZ25" s="1294">
        <f t="shared" ref="BZ25" si="201">BZ24/BZ21</f>
        <v>1.7152317880794703</v>
      </c>
      <c r="CA25" s="544">
        <v>0.66</v>
      </c>
      <c r="CB25" s="109">
        <f t="shared" ref="CB25" si="202">CB24/CB21</f>
        <v>0.66</v>
      </c>
      <c r="CC25" s="544">
        <v>0.66</v>
      </c>
      <c r="CD25" s="693">
        <f>CD24/CD21</f>
        <v>0.67178868777169232</v>
      </c>
      <c r="CE25" s="544">
        <v>0.66</v>
      </c>
      <c r="CF25" s="109">
        <f>CF24/CF21</f>
        <v>0.66739415827264248</v>
      </c>
      <c r="CG25" s="1294">
        <f t="shared" ref="CG25" si="203">CG24/CG21</f>
        <v>0.66432865731462931</v>
      </c>
      <c r="CH25" s="544">
        <v>1.3</v>
      </c>
      <c r="CI25" s="109">
        <f t="shared" ref="CI25" si="204">CI24/CI21</f>
        <v>1.3000000000000003</v>
      </c>
      <c r="CJ25" s="544">
        <v>1.3</v>
      </c>
      <c r="CK25" s="693">
        <f>CK24/CK21</f>
        <v>1.426344086021504</v>
      </c>
      <c r="CL25" s="1819">
        <v>1.3</v>
      </c>
      <c r="CM25" s="109">
        <f>CM24/CM21</f>
        <v>1.3246913580246911</v>
      </c>
      <c r="CN25" s="1294">
        <f t="shared" ref="CN25" si="205">CN24/CN21</f>
        <v>1.3097713097713097</v>
      </c>
      <c r="CO25" s="544">
        <f>CU25</f>
        <v>1</v>
      </c>
      <c r="CP25" s="109">
        <f t="shared" ref="CP25" si="206">CP24/CP21</f>
        <v>1</v>
      </c>
      <c r="CQ25" s="542">
        <f>CU25</f>
        <v>1</v>
      </c>
      <c r="CR25" s="1063">
        <f>CR24/CR21</f>
        <v>1</v>
      </c>
      <c r="CS25" s="544">
        <f>CU25</f>
        <v>1</v>
      </c>
      <c r="CT25" s="1055">
        <f>CT24/CT21</f>
        <v>1</v>
      </c>
      <c r="CU25" s="545">
        <v>1</v>
      </c>
      <c r="CV25" s="542">
        <f>DB25</f>
        <v>1</v>
      </c>
      <c r="CW25" s="1055">
        <f>CW24/CW21</f>
        <v>1</v>
      </c>
      <c r="CX25" s="542">
        <f>DB25</f>
        <v>1</v>
      </c>
      <c r="CY25" s="1063">
        <f>CY24/CY21</f>
        <v>1</v>
      </c>
      <c r="CZ25" s="542">
        <f>DB25</f>
        <v>1</v>
      </c>
      <c r="DA25" s="1055">
        <f>DA24/DA21</f>
        <v>1</v>
      </c>
      <c r="DB25" s="1392">
        <f>CU25</f>
        <v>1</v>
      </c>
      <c r="DC25" s="542">
        <f>DI25</f>
        <v>1</v>
      </c>
      <c r="DD25" s="1055">
        <f>DD24/DD21</f>
        <v>1</v>
      </c>
      <c r="DE25" s="542">
        <f>DI25</f>
        <v>1</v>
      </c>
      <c r="DF25" s="1063">
        <f>DF24/DF21</f>
        <v>1</v>
      </c>
      <c r="DG25" s="542">
        <f>DI25</f>
        <v>1</v>
      </c>
      <c r="DH25" s="1055">
        <f>DH24/DH21</f>
        <v>1</v>
      </c>
      <c r="DI25" s="1392">
        <f>DB25</f>
        <v>1</v>
      </c>
      <c r="DJ25" s="542">
        <f>DP25</f>
        <v>1</v>
      </c>
      <c r="DK25" s="1055">
        <f>DK24/DK21</f>
        <v>1</v>
      </c>
      <c r="DL25" s="542">
        <f>DP25</f>
        <v>1</v>
      </c>
      <c r="DM25" s="1063">
        <f>DM24/DM21</f>
        <v>1</v>
      </c>
      <c r="DN25" s="542">
        <f>DP25</f>
        <v>1</v>
      </c>
      <c r="DO25" s="1055">
        <f>DO24/DO21</f>
        <v>1</v>
      </c>
      <c r="DP25" s="1392">
        <f>DI25</f>
        <v>1</v>
      </c>
      <c r="DQ25" s="542">
        <f>DW25</f>
        <v>1</v>
      </c>
      <c r="DR25" s="1055">
        <f>DR24/DR21</f>
        <v>1</v>
      </c>
      <c r="DS25" s="542">
        <f>DW25</f>
        <v>1</v>
      </c>
      <c r="DT25" s="1063">
        <f>DT24/DT21</f>
        <v>1</v>
      </c>
      <c r="DU25" s="542">
        <f>DW25</f>
        <v>1</v>
      </c>
      <c r="DV25" s="1055">
        <f>DV24/DV21</f>
        <v>1</v>
      </c>
      <c r="DW25" s="1392">
        <f>DP25</f>
        <v>1</v>
      </c>
      <c r="DX25" s="40"/>
      <c r="DY25" s="40"/>
      <c r="DZ25" s="40"/>
      <c r="EA25" s="218"/>
      <c r="EB25" s="29"/>
      <c r="EC25" s="29"/>
      <c r="ED25" s="27"/>
      <c r="EE25" s="31"/>
      <c r="EF25" s="31"/>
      <c r="EG25" s="31"/>
      <c r="EH25" s="31"/>
      <c r="EI25" s="218"/>
      <c r="EJ25" s="218"/>
      <c r="EK25" s="218"/>
      <c r="EL25" s="218"/>
      <c r="EM25" s="218"/>
      <c r="EN25" s="218"/>
      <c r="EO25" s="218"/>
      <c r="EP25" s="218"/>
      <c r="EQ25" s="218"/>
      <c r="ER25" s="218"/>
      <c r="ES25" s="218"/>
      <c r="ET25" s="218"/>
      <c r="EU25" s="218"/>
      <c r="EV25" s="218"/>
      <c r="EW25" s="218"/>
      <c r="EX25" s="218"/>
      <c r="EY25" s="218"/>
      <c r="EZ25" s="218"/>
      <c r="FA25" s="218"/>
      <c r="FB25" s="218"/>
      <c r="FC25" s="218"/>
      <c r="FD25" s="218"/>
      <c r="FE25" s="218"/>
      <c r="FF25" s="218"/>
      <c r="FG25" s="218"/>
      <c r="FH25" s="218"/>
      <c r="FI25" s="218"/>
      <c r="FJ25" s="218"/>
      <c r="FK25" s="218"/>
      <c r="FL25" s="218"/>
      <c r="FM25" s="218"/>
      <c r="FN25" s="218"/>
      <c r="FO25" s="218"/>
      <c r="FP25" s="218"/>
      <c r="FQ25" s="218"/>
    </row>
    <row r="26" spans="1:173" ht="10.5" customHeight="1">
      <c r="A26" s="32"/>
      <c r="B26" s="263"/>
      <c r="C26" s="263"/>
      <c r="D26" s="263"/>
      <c r="E26" s="1034"/>
      <c r="F26" s="263"/>
      <c r="G26" s="263"/>
      <c r="H26" s="1019"/>
      <c r="I26" s="263"/>
      <c r="J26" s="263"/>
      <c r="K26" s="263"/>
      <c r="L26" s="1034"/>
      <c r="M26" s="263"/>
      <c r="N26" s="263"/>
      <c r="O26" s="1019"/>
      <c r="P26" s="263"/>
      <c r="Q26" s="263"/>
      <c r="R26" s="263"/>
      <c r="S26" s="1034"/>
      <c r="T26" s="263"/>
      <c r="U26" s="263"/>
      <c r="V26" s="1019"/>
      <c r="W26" s="263"/>
      <c r="X26" s="263"/>
      <c r="Y26" s="263"/>
      <c r="Z26" s="1034"/>
      <c r="AA26" s="263"/>
      <c r="AB26" s="263"/>
      <c r="AC26" s="1019"/>
      <c r="AD26" s="263"/>
      <c r="AE26" s="263"/>
      <c r="AF26" s="263"/>
      <c r="AG26" s="1034"/>
      <c r="AH26" s="263"/>
      <c r="AI26" s="263"/>
      <c r="AJ26" s="1019"/>
      <c r="AK26" s="263"/>
      <c r="AL26" s="263"/>
      <c r="AM26" s="263"/>
      <c r="AN26" s="1034"/>
      <c r="AO26" s="263"/>
      <c r="AP26" s="263"/>
      <c r="AQ26" s="1019"/>
      <c r="AR26" s="263"/>
      <c r="AS26" s="263"/>
      <c r="AT26" s="263"/>
      <c r="AU26" s="1034"/>
      <c r="AV26" s="263"/>
      <c r="AW26" s="263"/>
      <c r="AX26" s="1019"/>
      <c r="AY26" s="263"/>
      <c r="AZ26" s="263"/>
      <c r="BA26" s="263"/>
      <c r="BB26" s="1034"/>
      <c r="BC26" s="263"/>
      <c r="BD26" s="263"/>
      <c r="BE26" s="1019"/>
      <c r="BF26" s="263"/>
      <c r="BG26" s="263"/>
      <c r="BH26" s="263"/>
      <c r="BI26" s="1034"/>
      <c r="BJ26" s="263"/>
      <c r="BK26" s="263"/>
      <c r="BL26" s="1019"/>
      <c r="BM26" s="263"/>
      <c r="BN26" s="263"/>
      <c r="BO26" s="263"/>
      <c r="BP26" s="1034"/>
      <c r="BQ26" s="263"/>
      <c r="BR26" s="263"/>
      <c r="BS26" s="1019"/>
      <c r="BT26" s="263"/>
      <c r="BU26" s="263"/>
      <c r="BV26" s="263"/>
      <c r="BW26" s="1034"/>
      <c r="BX26" s="263"/>
      <c r="BY26" s="263"/>
      <c r="BZ26" s="1019"/>
      <c r="CA26" s="263"/>
      <c r="CB26" s="263"/>
      <c r="CC26" s="263"/>
      <c r="CD26" s="1034"/>
      <c r="CE26" s="263"/>
      <c r="CF26" s="263"/>
      <c r="CG26" s="1019"/>
      <c r="CH26" s="263"/>
      <c r="CI26" s="263"/>
      <c r="CJ26" s="263"/>
      <c r="CK26" s="1034"/>
      <c r="CL26" s="263"/>
      <c r="CM26" s="263"/>
      <c r="CN26" s="1019"/>
      <c r="CO26" s="263"/>
      <c r="CP26" s="263"/>
      <c r="CQ26" s="263"/>
      <c r="CR26" s="1034"/>
      <c r="CS26" s="263"/>
      <c r="CT26" s="263"/>
      <c r="CU26" s="1019"/>
      <c r="CV26" s="263"/>
      <c r="CW26" s="263"/>
      <c r="CX26" s="263"/>
      <c r="CY26" s="1034"/>
      <c r="CZ26" s="263"/>
      <c r="DA26" s="263"/>
      <c r="DB26" s="1019"/>
      <c r="DC26" s="263"/>
      <c r="DD26" s="263"/>
      <c r="DE26" s="263"/>
      <c r="DF26" s="1034"/>
      <c r="DG26" s="263"/>
      <c r="DH26" s="263"/>
      <c r="DI26" s="1019"/>
      <c r="DJ26" s="263"/>
      <c r="DK26" s="263"/>
      <c r="DL26" s="263"/>
      <c r="DM26" s="1034"/>
      <c r="DN26" s="263"/>
      <c r="DO26" s="263"/>
      <c r="DP26" s="1019"/>
      <c r="DQ26" s="263"/>
      <c r="DR26" s="263"/>
      <c r="DS26" s="263"/>
      <c r="DT26" s="1034"/>
      <c r="DU26" s="263"/>
      <c r="DV26" s="263"/>
      <c r="DW26" s="1019"/>
      <c r="DX26" s="40"/>
      <c r="DY26" s="40"/>
      <c r="DZ26" s="40"/>
      <c r="EA26" s="218"/>
      <c r="EB26" s="40"/>
      <c r="EC26" s="40"/>
      <c r="ED26" s="27"/>
      <c r="EE26" s="31"/>
      <c r="EF26" s="31"/>
      <c r="EG26" s="31"/>
      <c r="EH26" s="31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</row>
    <row r="27" spans="1:173" ht="10.5" customHeight="1">
      <c r="A27" s="782" t="s">
        <v>768</v>
      </c>
      <c r="B27" s="1010"/>
      <c r="C27" s="1010"/>
      <c r="D27" s="1010"/>
      <c r="E27" s="1035"/>
      <c r="F27" s="1010"/>
      <c r="G27" s="1010"/>
      <c r="H27" s="1020"/>
      <c r="I27" s="1010"/>
      <c r="J27" s="1010"/>
      <c r="K27" s="1010"/>
      <c r="L27" s="1035"/>
      <c r="M27" s="1010"/>
      <c r="N27" s="1010"/>
      <c r="O27" s="1020"/>
      <c r="P27" s="1010"/>
      <c r="Q27" s="1010"/>
      <c r="R27" s="1010"/>
      <c r="S27" s="1035"/>
      <c r="T27" s="1010"/>
      <c r="U27" s="1010"/>
      <c r="V27" s="1020"/>
      <c r="W27" s="1010"/>
      <c r="X27" s="1010"/>
      <c r="Y27" s="1010"/>
      <c r="Z27" s="1035"/>
      <c r="AA27" s="1010"/>
      <c r="AB27" s="1010"/>
      <c r="AC27" s="1020"/>
      <c r="AD27" s="1010"/>
      <c r="AE27" s="1010"/>
      <c r="AF27" s="1010"/>
      <c r="AG27" s="1035"/>
      <c r="AH27" s="1010"/>
      <c r="AI27" s="1010"/>
      <c r="AJ27" s="1020"/>
      <c r="AK27" s="1010"/>
      <c r="AL27" s="1010"/>
      <c r="AM27" s="1010"/>
      <c r="AN27" s="1035"/>
      <c r="AO27" s="1010"/>
      <c r="AP27" s="1010"/>
      <c r="AQ27" s="1020"/>
      <c r="AR27" s="1010"/>
      <c r="AS27" s="1010"/>
      <c r="AT27" s="1010"/>
      <c r="AU27" s="1035"/>
      <c r="AV27" s="1010"/>
      <c r="AW27" s="1010"/>
      <c r="AX27" s="1020"/>
      <c r="AY27" s="1010"/>
      <c r="AZ27" s="1010"/>
      <c r="BA27" s="1010"/>
      <c r="BB27" s="1035"/>
      <c r="BC27" s="1010"/>
      <c r="BD27" s="1010"/>
      <c r="BE27" s="1020"/>
      <c r="BF27" s="1010"/>
      <c r="BG27" s="1010"/>
      <c r="BH27" s="1010"/>
      <c r="BI27" s="1035"/>
      <c r="BJ27" s="1010"/>
      <c r="BK27" s="1010"/>
      <c r="BL27" s="1020"/>
      <c r="BM27" s="1010"/>
      <c r="BN27" s="1010"/>
      <c r="BO27" s="1010"/>
      <c r="BP27" s="1035"/>
      <c r="BQ27" s="1010"/>
      <c r="BR27" s="1010"/>
      <c r="BS27" s="1020"/>
      <c r="BT27" s="1010"/>
      <c r="BU27" s="1010"/>
      <c r="BV27" s="1010"/>
      <c r="BW27" s="1035"/>
      <c r="BX27" s="1010"/>
      <c r="BY27" s="1010"/>
      <c r="BZ27" s="1020"/>
      <c r="CA27" s="1010"/>
      <c r="CB27" s="1010"/>
      <c r="CC27" s="1010"/>
      <c r="CD27" s="1035"/>
      <c r="CE27" s="1010"/>
      <c r="CF27" s="1010"/>
      <c r="CG27" s="1020"/>
      <c r="CH27" s="1010"/>
      <c r="CI27" s="1010"/>
      <c r="CJ27" s="1010"/>
      <c r="CK27" s="1035"/>
      <c r="CL27" s="1010"/>
      <c r="CM27" s="1010"/>
      <c r="CN27" s="1020"/>
      <c r="CO27" s="1010"/>
      <c r="CP27" s="1010"/>
      <c r="CQ27" s="1010"/>
      <c r="CR27" s="1035"/>
      <c r="CS27" s="1010"/>
      <c r="CT27" s="1010"/>
      <c r="CU27" s="1020"/>
      <c r="CV27" s="1010"/>
      <c r="CW27" s="1010"/>
      <c r="CX27" s="1010"/>
      <c r="CY27" s="1035"/>
      <c r="CZ27" s="1010"/>
      <c r="DA27" s="1010"/>
      <c r="DB27" s="1020"/>
      <c r="DC27" s="1010"/>
      <c r="DD27" s="1010"/>
      <c r="DE27" s="1010"/>
      <c r="DF27" s="1035"/>
      <c r="DG27" s="1010"/>
      <c r="DH27" s="1010"/>
      <c r="DI27" s="1020"/>
      <c r="DJ27" s="1010"/>
      <c r="DK27" s="1010"/>
      <c r="DL27" s="1010"/>
      <c r="DM27" s="1035"/>
      <c r="DN27" s="1010"/>
      <c r="DO27" s="1010"/>
      <c r="DP27" s="1020"/>
      <c r="DQ27" s="1010"/>
      <c r="DR27" s="1010"/>
      <c r="DS27" s="1010"/>
      <c r="DT27" s="1035"/>
      <c r="DU27" s="1010"/>
      <c r="DV27" s="1010"/>
      <c r="DW27" s="1020"/>
      <c r="DX27" s="40"/>
      <c r="DY27" s="40"/>
      <c r="DZ27" s="40"/>
      <c r="EA27" s="218"/>
      <c r="EB27" s="40"/>
      <c r="EC27" s="40"/>
      <c r="ED27" s="27"/>
      <c r="EE27" s="31"/>
      <c r="EF27" s="31"/>
      <c r="EG27" s="31"/>
      <c r="EH27" s="31"/>
      <c r="EI27" s="218"/>
      <c r="EJ27" s="218"/>
      <c r="EK27" s="218"/>
      <c r="EL27" s="218"/>
      <c r="EM27" s="218"/>
      <c r="EN27" s="218"/>
      <c r="EO27" s="218"/>
      <c r="EP27" s="218"/>
      <c r="EQ27" s="218"/>
      <c r="ER27" s="218"/>
      <c r="ES27" s="218"/>
      <c r="ET27" s="218"/>
      <c r="EU27" s="218"/>
      <c r="EV27" s="218"/>
      <c r="EW27" s="218"/>
      <c r="EX27" s="218"/>
      <c r="EY27" s="218"/>
      <c r="EZ27" s="218"/>
      <c r="FA27" s="218"/>
      <c r="FB27" s="218"/>
      <c r="FC27" s="218"/>
      <c r="FD27" s="218"/>
      <c r="FE27" s="218"/>
      <c r="FF27" s="218"/>
      <c r="FG27" s="218"/>
      <c r="FH27" s="218"/>
      <c r="FI27" s="218"/>
      <c r="FJ27" s="218"/>
      <c r="FK27" s="218"/>
      <c r="FL27" s="218"/>
      <c r="FM27" s="218"/>
      <c r="FN27" s="218"/>
      <c r="FO27" s="218"/>
      <c r="FP27" s="218"/>
      <c r="FQ27" s="218"/>
    </row>
    <row r="28" spans="1:173" ht="10.5" customHeight="1">
      <c r="A28" s="108" t="s">
        <v>351</v>
      </c>
      <c r="B28" s="33">
        <f t="shared" ref="B28:G28" si="207">B4</f>
        <v>2664</v>
      </c>
      <c r="C28" s="33">
        <f t="shared" si="207"/>
        <v>2900</v>
      </c>
      <c r="D28" s="33">
        <f t="shared" si="207"/>
        <v>2818</v>
      </c>
      <c r="E28" s="1033">
        <f t="shared" si="207"/>
        <v>4739</v>
      </c>
      <c r="F28" s="33">
        <f t="shared" si="207"/>
        <v>5564</v>
      </c>
      <c r="G28" s="33">
        <f t="shared" si="207"/>
        <v>7557</v>
      </c>
      <c r="H28" s="305">
        <f t="shared" ref="H28:AW28" si="208">H4</f>
        <v>13121</v>
      </c>
      <c r="I28" s="33">
        <f t="shared" si="208"/>
        <v>2743</v>
      </c>
      <c r="J28" s="33">
        <f t="shared" si="208"/>
        <v>2773</v>
      </c>
      <c r="K28" s="33">
        <f t="shared" si="208"/>
        <v>2681</v>
      </c>
      <c r="L28" s="1033">
        <f t="shared" si="208"/>
        <v>4828</v>
      </c>
      <c r="M28" s="33">
        <f t="shared" si="208"/>
        <v>5516</v>
      </c>
      <c r="N28" s="33">
        <f t="shared" si="208"/>
        <v>7509</v>
      </c>
      <c r="O28" s="305">
        <f t="shared" si="208"/>
        <v>13025</v>
      </c>
      <c r="P28" s="33">
        <f t="shared" si="208"/>
        <v>2603</v>
      </c>
      <c r="Q28" s="33">
        <f t="shared" si="208"/>
        <v>2928</v>
      </c>
      <c r="R28" s="33">
        <f t="shared" si="208"/>
        <v>2852</v>
      </c>
      <c r="S28" s="1033">
        <f t="shared" si="208"/>
        <v>4697</v>
      </c>
      <c r="T28" s="33">
        <f t="shared" si="208"/>
        <v>5531</v>
      </c>
      <c r="U28" s="33">
        <f t="shared" si="208"/>
        <v>7549</v>
      </c>
      <c r="V28" s="305">
        <f t="shared" si="208"/>
        <v>13080</v>
      </c>
      <c r="W28" s="33">
        <f t="shared" si="208"/>
        <v>2534</v>
      </c>
      <c r="X28" s="33">
        <f t="shared" si="208"/>
        <v>2906</v>
      </c>
      <c r="Y28" s="33">
        <f t="shared" si="208"/>
        <v>2274</v>
      </c>
      <c r="Z28" s="1033">
        <f t="shared" si="208"/>
        <v>4140</v>
      </c>
      <c r="AA28" s="33">
        <f t="shared" si="208"/>
        <v>5440</v>
      </c>
      <c r="AB28" s="33">
        <f t="shared" si="208"/>
        <v>6414</v>
      </c>
      <c r="AC28" s="305">
        <f t="shared" si="208"/>
        <v>11854</v>
      </c>
      <c r="AD28" s="33">
        <f t="shared" si="208"/>
        <v>2114</v>
      </c>
      <c r="AE28" s="33">
        <f t="shared" si="208"/>
        <v>2511</v>
      </c>
      <c r="AF28" s="33">
        <f t="shared" si="208"/>
        <v>2108</v>
      </c>
      <c r="AG28" s="1033">
        <f t="shared" si="208"/>
        <v>4071</v>
      </c>
      <c r="AH28" s="33">
        <f t="shared" si="208"/>
        <v>4625</v>
      </c>
      <c r="AI28" s="33">
        <f t="shared" si="208"/>
        <v>6179</v>
      </c>
      <c r="AJ28" s="305">
        <f t="shared" si="208"/>
        <v>10804</v>
      </c>
      <c r="AK28" s="33">
        <f t="shared" si="208"/>
        <v>2217</v>
      </c>
      <c r="AL28" s="33">
        <f t="shared" si="208"/>
        <v>2435</v>
      </c>
      <c r="AM28" s="33">
        <f t="shared" si="208"/>
        <v>2399</v>
      </c>
      <c r="AN28" s="1033">
        <f t="shared" si="208"/>
        <v>4012</v>
      </c>
      <c r="AO28" s="33">
        <f t="shared" si="208"/>
        <v>4652</v>
      </c>
      <c r="AP28" s="33">
        <f t="shared" si="208"/>
        <v>6411</v>
      </c>
      <c r="AQ28" s="305">
        <f t="shared" si="208"/>
        <v>11063</v>
      </c>
      <c r="AR28" s="33">
        <f t="shared" si="208"/>
        <v>2112</v>
      </c>
      <c r="AS28" s="33">
        <f t="shared" si="208"/>
        <v>2903</v>
      </c>
      <c r="AT28" s="33">
        <f t="shared" si="208"/>
        <v>2691</v>
      </c>
      <c r="AU28" s="1033">
        <f t="shared" si="208"/>
        <v>3201</v>
      </c>
      <c r="AV28" s="33">
        <f t="shared" si="208"/>
        <v>5015</v>
      </c>
      <c r="AW28" s="33">
        <f t="shared" si="208"/>
        <v>5892</v>
      </c>
      <c r="AX28" s="305">
        <f t="shared" ref="AX28:BU28" si="209">AX4</f>
        <v>10907</v>
      </c>
      <c r="AY28" s="33">
        <f t="shared" ref="AY28:BD28" si="210">AY4</f>
        <v>2111</v>
      </c>
      <c r="AZ28" s="33">
        <f t="shared" si="210"/>
        <v>2440</v>
      </c>
      <c r="BA28" s="33">
        <f t="shared" si="210"/>
        <v>2385</v>
      </c>
      <c r="BB28" s="1033">
        <f t="shared" si="210"/>
        <v>3510</v>
      </c>
      <c r="BC28" s="33">
        <f t="shared" si="210"/>
        <v>4551</v>
      </c>
      <c r="BD28" s="33">
        <f t="shared" si="210"/>
        <v>5895</v>
      </c>
      <c r="BE28" s="305">
        <f t="shared" si="209"/>
        <v>10446</v>
      </c>
      <c r="BF28" s="33">
        <f t="shared" ref="BF28:BK28" si="211">BF4</f>
        <v>2115</v>
      </c>
      <c r="BG28" s="33">
        <f t="shared" si="211"/>
        <v>2423</v>
      </c>
      <c r="BH28" s="33">
        <f t="shared" si="211"/>
        <v>2343</v>
      </c>
      <c r="BI28" s="1033">
        <f t="shared" si="211"/>
        <v>3305</v>
      </c>
      <c r="BJ28" s="33">
        <f t="shared" si="211"/>
        <v>4538</v>
      </c>
      <c r="BK28" s="33">
        <f t="shared" si="211"/>
        <v>5648</v>
      </c>
      <c r="BL28" s="305">
        <f t="shared" si="209"/>
        <v>10186</v>
      </c>
      <c r="BM28" s="33">
        <f t="shared" si="209"/>
        <v>2453</v>
      </c>
      <c r="BN28" s="33">
        <f t="shared" si="209"/>
        <v>2603</v>
      </c>
      <c r="BO28" s="33">
        <f t="shared" si="209"/>
        <v>2537</v>
      </c>
      <c r="BP28" s="1033">
        <f t="shared" si="209"/>
        <v>3666</v>
      </c>
      <c r="BQ28" s="33">
        <f t="shared" si="209"/>
        <v>5056</v>
      </c>
      <c r="BR28" s="33">
        <f t="shared" si="209"/>
        <v>6203</v>
      </c>
      <c r="BS28" s="305">
        <f t="shared" si="209"/>
        <v>11259</v>
      </c>
      <c r="BT28" s="33">
        <f t="shared" si="209"/>
        <v>2299</v>
      </c>
      <c r="BU28" s="33">
        <f t="shared" si="209"/>
        <v>2354</v>
      </c>
      <c r="BV28" s="33">
        <f t="shared" ref="BV28" si="212">BV4</f>
        <v>2480</v>
      </c>
      <c r="BW28" s="1033">
        <f t="shared" ref="BW28:CY28" si="213">BW31+BW34</f>
        <v>4362</v>
      </c>
      <c r="BX28" s="33">
        <f>BX4</f>
        <v>4653</v>
      </c>
      <c r="BY28" s="33">
        <f t="shared" si="213"/>
        <v>6842</v>
      </c>
      <c r="BZ28" s="305">
        <f t="shared" ref="BZ28:CC28" si="214">BZ4</f>
        <v>11495</v>
      </c>
      <c r="CA28" s="33">
        <f t="shared" si="214"/>
        <v>2399</v>
      </c>
      <c r="CB28" s="33">
        <f t="shared" si="214"/>
        <v>2586</v>
      </c>
      <c r="CC28" s="33">
        <f t="shared" si="214"/>
        <v>2624</v>
      </c>
      <c r="CD28" s="1033">
        <f t="shared" ref="CD28" si="215">CD31+CD34</f>
        <v>4473</v>
      </c>
      <c r="CE28" s="33">
        <f>CE4</f>
        <v>4985</v>
      </c>
      <c r="CF28" s="33">
        <f t="shared" ref="CF28" si="216">CF31+CF34</f>
        <v>7097</v>
      </c>
      <c r="CG28" s="305">
        <f t="shared" ref="CG28:CJ28" si="217">CG4</f>
        <v>12082</v>
      </c>
      <c r="CH28" s="33">
        <f t="shared" si="217"/>
        <v>2656</v>
      </c>
      <c r="CI28" s="33">
        <f t="shared" si="217"/>
        <v>3157</v>
      </c>
      <c r="CJ28" s="33">
        <f t="shared" si="217"/>
        <v>3063</v>
      </c>
      <c r="CK28" s="1033">
        <f t="shared" ref="CK28" si="218">CK31+CK34</f>
        <v>4529</v>
      </c>
      <c r="CL28" s="33">
        <f>CL4</f>
        <v>5813</v>
      </c>
      <c r="CM28" s="33">
        <f t="shared" ref="CM28" si="219">CM31+CM34</f>
        <v>7592</v>
      </c>
      <c r="CN28" s="305">
        <f t="shared" ref="CN28:CP28" si="220">CN4</f>
        <v>13405</v>
      </c>
      <c r="CO28" s="33">
        <f t="shared" si="220"/>
        <v>2832</v>
      </c>
      <c r="CP28" s="33">
        <f t="shared" si="220"/>
        <v>3484</v>
      </c>
      <c r="CQ28" s="291">
        <f t="shared" si="213"/>
        <v>3343.2645000000002</v>
      </c>
      <c r="CR28" s="1058">
        <f t="shared" si="213"/>
        <v>4871.7555000000011</v>
      </c>
      <c r="CS28" s="33">
        <f>CS4</f>
        <v>6316</v>
      </c>
      <c r="CT28" s="291">
        <f t="shared" si="213"/>
        <v>8215.02</v>
      </c>
      <c r="CU28" s="1021">
        <f t="shared" si="213"/>
        <v>14531.02</v>
      </c>
      <c r="CV28" s="291">
        <f t="shared" si="213"/>
        <v>3021.0360000000001</v>
      </c>
      <c r="CW28" s="291">
        <f t="shared" si="213"/>
        <v>3719.7150000000001</v>
      </c>
      <c r="CX28" s="291">
        <f t="shared" si="213"/>
        <v>3566.0211749999999</v>
      </c>
      <c r="CY28" s="1058">
        <f t="shared" si="213"/>
        <v>5201.4723250000015</v>
      </c>
      <c r="CZ28" s="291">
        <f t="shared" ref="CZ28:DW28" si="221">CZ31+CZ34</f>
        <v>6740.7510000000002</v>
      </c>
      <c r="DA28" s="291">
        <f t="shared" si="221"/>
        <v>8767.4935000000005</v>
      </c>
      <c r="DB28" s="1021">
        <f t="shared" si="221"/>
        <v>15508.244500000001</v>
      </c>
      <c r="DC28" s="291">
        <f t="shared" si="221"/>
        <v>3172.0878000000002</v>
      </c>
      <c r="DD28" s="291">
        <f t="shared" si="221"/>
        <v>3905.7007500000009</v>
      </c>
      <c r="DE28" s="291">
        <f t="shared" si="221"/>
        <v>3744.3222337500001</v>
      </c>
      <c r="DF28" s="1058">
        <f t="shared" si="221"/>
        <v>5461.5459412500022</v>
      </c>
      <c r="DG28" s="291">
        <f t="shared" si="221"/>
        <v>7077.7885500000011</v>
      </c>
      <c r="DH28" s="291">
        <f t="shared" si="221"/>
        <v>9205.8681750000032</v>
      </c>
      <c r="DI28" s="1021">
        <f t="shared" si="221"/>
        <v>16283.656725000004</v>
      </c>
      <c r="DJ28" s="291">
        <f t="shared" si="221"/>
        <v>3330.6921899999998</v>
      </c>
      <c r="DK28" s="291">
        <f t="shared" si="221"/>
        <v>4100.9857875000016</v>
      </c>
      <c r="DL28" s="291">
        <f t="shared" si="221"/>
        <v>3931.5383454375005</v>
      </c>
      <c r="DM28" s="1058">
        <f t="shared" si="221"/>
        <v>5734.6232383125025</v>
      </c>
      <c r="DN28" s="291">
        <f t="shared" si="221"/>
        <v>7431.6779775000014</v>
      </c>
      <c r="DO28" s="291">
        <f t="shared" si="221"/>
        <v>9666.161583750003</v>
      </c>
      <c r="DP28" s="1021">
        <f t="shared" si="221"/>
        <v>17097.839561250003</v>
      </c>
      <c r="DQ28" s="291">
        <f t="shared" si="221"/>
        <v>3497.2267995000002</v>
      </c>
      <c r="DR28" s="291">
        <f t="shared" si="221"/>
        <v>4306.0350768750013</v>
      </c>
      <c r="DS28" s="291">
        <f t="shared" si="221"/>
        <v>4128.1152627093761</v>
      </c>
      <c r="DT28" s="1058">
        <f t="shared" si="221"/>
        <v>6021.3544002281269</v>
      </c>
      <c r="DU28" s="291">
        <f t="shared" si="221"/>
        <v>7803.2618763750015</v>
      </c>
      <c r="DV28" s="291">
        <f t="shared" si="221"/>
        <v>10149.469662937503</v>
      </c>
      <c r="DW28" s="1021">
        <f t="shared" si="221"/>
        <v>17952.731539312506</v>
      </c>
      <c r="DX28" s="218"/>
      <c r="DY28" s="40"/>
      <c r="DZ28" s="40"/>
      <c r="EA28" s="218"/>
      <c r="EB28" s="40"/>
      <c r="EC28" s="40"/>
      <c r="ED28" s="27"/>
      <c r="EE28" s="31"/>
      <c r="EF28" s="31"/>
      <c r="EG28" s="31"/>
      <c r="EH28" s="31"/>
      <c r="EI28" s="218"/>
      <c r="EJ28" s="218"/>
      <c r="EK28" s="218"/>
      <c r="EL28" s="218"/>
      <c r="EM28" s="218"/>
      <c r="EN28" s="218"/>
      <c r="EO28" s="218"/>
      <c r="EP28" s="218"/>
      <c r="EQ28" s="218"/>
      <c r="ER28" s="218"/>
      <c r="ES28" s="218"/>
      <c r="ET28" s="218"/>
      <c r="EU28" s="218"/>
      <c r="EV28" s="218"/>
      <c r="EW28" s="218"/>
      <c r="EX28" s="218"/>
      <c r="EY28" s="218"/>
      <c r="EZ28" s="218"/>
      <c r="FA28" s="218"/>
      <c r="FB28" s="218"/>
      <c r="FC28" s="218"/>
      <c r="FD28" s="218"/>
      <c r="FE28" s="218"/>
      <c r="FF28" s="218"/>
      <c r="FG28" s="218"/>
      <c r="FH28" s="218"/>
      <c r="FI28" s="218"/>
      <c r="FJ28" s="218"/>
      <c r="FK28" s="218"/>
      <c r="FL28" s="218"/>
      <c r="FM28" s="218"/>
      <c r="FN28" s="218"/>
      <c r="FO28" s="218"/>
      <c r="FP28" s="218"/>
      <c r="FQ28" s="218"/>
    </row>
    <row r="29" spans="1:173" ht="10.5" customHeight="1">
      <c r="A29" s="51" t="s">
        <v>347</v>
      </c>
      <c r="B29" s="57"/>
      <c r="C29" s="57"/>
      <c r="D29" s="57"/>
      <c r="E29" s="959"/>
      <c r="F29" s="57"/>
      <c r="G29" s="57"/>
      <c r="H29" s="946"/>
      <c r="I29" s="57">
        <f t="shared" ref="I29" si="222">I28/B28-1</f>
        <v>2.9654654654654555E-2</v>
      </c>
      <c r="J29" s="57">
        <f t="shared" ref="J29" si="223">J28/C28-1</f>
        <v>-4.3793103448275916E-2</v>
      </c>
      <c r="K29" s="57">
        <f t="shared" ref="K29" si="224">K28/D28-1</f>
        <v>-4.8616039744499684E-2</v>
      </c>
      <c r="L29" s="959">
        <f t="shared" ref="L29" si="225">L28/E28-1</f>
        <v>1.8780333403671579E-2</v>
      </c>
      <c r="M29" s="57">
        <f t="shared" ref="M29" si="226">M28/F28-1</f>
        <v>-8.6268871315600126E-3</v>
      </c>
      <c r="N29" s="57">
        <f t="shared" ref="N29" si="227">N28/G28-1</f>
        <v>-6.3517268757443679E-3</v>
      </c>
      <c r="O29" s="946">
        <f t="shared" ref="O29" si="228">O28/H28-1</f>
        <v>-7.3165155094886414E-3</v>
      </c>
      <c r="P29" s="57">
        <f t="shared" ref="P29" si="229">P28/I28-1</f>
        <v>-5.1039008384979989E-2</v>
      </c>
      <c r="Q29" s="57">
        <f t="shared" ref="Q29" si="230">Q28/J28-1</f>
        <v>5.5896141363144691E-2</v>
      </c>
      <c r="R29" s="57">
        <f t="shared" ref="R29" si="231">R28/K28-1</f>
        <v>6.3782170831779172E-2</v>
      </c>
      <c r="S29" s="959">
        <f t="shared" ref="S29" si="232">S28/L28-1</f>
        <v>-2.7133388566694339E-2</v>
      </c>
      <c r="T29" s="57">
        <f t="shared" ref="T29" si="233">T28/M28-1</f>
        <v>2.7193618564176347E-3</v>
      </c>
      <c r="U29" s="57">
        <f t="shared" ref="U29" si="234">U28/N28-1</f>
        <v>5.3269410041283383E-3</v>
      </c>
      <c r="V29" s="946">
        <f>V28/O28-1</f>
        <v>4.222648752399305E-3</v>
      </c>
      <c r="W29" s="57">
        <f t="shared" ref="W29" si="235">W28/P28-1</f>
        <v>-2.6507875528236635E-2</v>
      </c>
      <c r="X29" s="57">
        <f t="shared" ref="X29" si="236">X28/Q28-1</f>
        <v>-7.5136612021857729E-3</v>
      </c>
      <c r="Y29" s="57">
        <f t="shared" ref="Y29" si="237">Y28/R28-1</f>
        <v>-0.2026647966339411</v>
      </c>
      <c r="Z29" s="959">
        <f t="shared" ref="Z29" si="238">Z28/S28-1</f>
        <v>-0.11858633170108579</v>
      </c>
      <c r="AA29" s="57">
        <f t="shared" ref="AA29" si="239">AA28/T28-1</f>
        <v>-1.6452721026939066E-2</v>
      </c>
      <c r="AB29" s="57">
        <f t="shared" ref="AB29" si="240">AB28/U28-1</f>
        <v>-0.15035103987283083</v>
      </c>
      <c r="AC29" s="946">
        <f>AC28/V28-1</f>
        <v>-9.373088685015285E-2</v>
      </c>
      <c r="AD29" s="57">
        <f t="shared" ref="AD29" si="241">AD28/W28-1</f>
        <v>-0.16574585635359118</v>
      </c>
      <c r="AE29" s="57">
        <f t="shared" ref="AE29" si="242">AE28/X28-1</f>
        <v>-0.1359256710254646</v>
      </c>
      <c r="AF29" s="57">
        <f t="shared" ref="AF29" si="243">AF28/Y28-1</f>
        <v>-7.2999120492524217E-2</v>
      </c>
      <c r="AG29" s="959">
        <f t="shared" ref="AG29" si="244">AG28/Z28-1</f>
        <v>-1.6666666666666718E-2</v>
      </c>
      <c r="AH29" s="57">
        <f t="shared" ref="AH29" si="245">AH28/AA28-1</f>
        <v>-0.1498161764705882</v>
      </c>
      <c r="AI29" s="57">
        <f t="shared" ref="AI29" si="246">AI28/AB28-1</f>
        <v>-3.6638603055815455E-2</v>
      </c>
      <c r="AJ29" s="946">
        <f>AJ28/AC28-1</f>
        <v>-8.8577695292728187E-2</v>
      </c>
      <c r="AK29" s="57">
        <f t="shared" ref="AK29" si="247">AK28/AD28-1</f>
        <v>4.8722800378429465E-2</v>
      </c>
      <c r="AL29" s="57">
        <f t="shared" ref="AL29" si="248">AL28/AE28-1</f>
        <v>-3.0266825965750699E-2</v>
      </c>
      <c r="AM29" s="57">
        <f t="shared" ref="AM29" si="249">AM28/AF28-1</f>
        <v>0.13804554079696385</v>
      </c>
      <c r="AN29" s="959">
        <f t="shared" ref="AN29" si="250">AN28/AG28-1</f>
        <v>-1.4492753623188359E-2</v>
      </c>
      <c r="AO29" s="57">
        <f t="shared" ref="AO29" si="251">AO28/AH28-1</f>
        <v>5.837837837837867E-3</v>
      </c>
      <c r="AP29" s="57">
        <f t="shared" ref="AP29" si="252">AP28/AI28-1</f>
        <v>3.7546528564492698E-2</v>
      </c>
      <c r="AQ29" s="946">
        <f>AQ28/AJ28-1</f>
        <v>2.3972602739726012E-2</v>
      </c>
      <c r="AR29" s="57">
        <f t="shared" ref="AR29" si="253">AR28/AK28-1</f>
        <v>-4.7361299052773975E-2</v>
      </c>
      <c r="AS29" s="57">
        <f t="shared" ref="AS29" si="254">AS28/AL28-1</f>
        <v>0.19219712525667343</v>
      </c>
      <c r="AT29" s="57">
        <f t="shared" ref="AT29" si="255">AT28/AM28-1</f>
        <v>0.12171738224260098</v>
      </c>
      <c r="AU29" s="959">
        <f t="shared" ref="AU29" si="256">AU28/AN28-1</f>
        <v>-0.20214356929212363</v>
      </c>
      <c r="AV29" s="57">
        <f t="shared" ref="AV29" si="257">AV28/AO28-1</f>
        <v>7.8030954428202959E-2</v>
      </c>
      <c r="AW29" s="57">
        <f t="shared" ref="AW29" si="258">AW28/AP28-1</f>
        <v>-8.0954609265325272E-2</v>
      </c>
      <c r="AX29" s="946">
        <f>AX28/AQ28-1</f>
        <v>-1.4101057579318454E-2</v>
      </c>
      <c r="AY29" s="57">
        <f t="shared" ref="AY29" si="259">AY28/AR28-1</f>
        <v>-4.7348484848486194E-4</v>
      </c>
      <c r="AZ29" s="57">
        <f t="shared" ref="AZ29" si="260">AZ28/AS28-1</f>
        <v>-0.15949018256975545</v>
      </c>
      <c r="BA29" s="57">
        <f t="shared" ref="BA29" si="261">BA28/AT28-1</f>
        <v>-0.11371237458193983</v>
      </c>
      <c r="BB29" s="959">
        <f t="shared" ref="BB29" si="262">BB28/AU28-1</f>
        <v>9.6532333645735768E-2</v>
      </c>
      <c r="BC29" s="57">
        <f t="shared" ref="BC29" si="263">BC28/AV28-1</f>
        <v>-9.2522432701894308E-2</v>
      </c>
      <c r="BD29" s="57">
        <f t="shared" ref="BD29" si="264">BD28/AW28-1</f>
        <v>5.0916496945019318E-4</v>
      </c>
      <c r="BE29" s="946">
        <f>BE28/AX28-1</f>
        <v>-4.2266434399926611E-2</v>
      </c>
      <c r="BF29" s="57">
        <f t="shared" ref="BF29" si="265">BF28/AY28-1</f>
        <v>1.8948365703457259E-3</v>
      </c>
      <c r="BG29" s="57">
        <f t="shared" ref="BG29" si="266">BG28/AZ28-1</f>
        <v>-6.9672131147541227E-3</v>
      </c>
      <c r="BH29" s="57">
        <f t="shared" ref="BH29" si="267">BH28/BA28-1</f>
        <v>-1.7610062893081757E-2</v>
      </c>
      <c r="BI29" s="959">
        <f t="shared" ref="BI29" si="268">BI28/BB28-1</f>
        <v>-5.8404558404558382E-2</v>
      </c>
      <c r="BJ29" s="57">
        <f t="shared" ref="BJ29" si="269">BJ28/BC28-1</f>
        <v>-2.8565150516369764E-3</v>
      </c>
      <c r="BK29" s="57">
        <f t="shared" ref="BK29" si="270">BK28/BD28-1</f>
        <v>-4.1899915182357916E-2</v>
      </c>
      <c r="BL29" s="946">
        <f>BL28/BE28-1</f>
        <v>-2.4889910013402239E-2</v>
      </c>
      <c r="BM29" s="57">
        <f t="shared" ref="BM29:BR29" si="271">BM28/BF28-1</f>
        <v>0.15981087470449173</v>
      </c>
      <c r="BN29" s="57">
        <f t="shared" si="271"/>
        <v>7.4288072637226588E-2</v>
      </c>
      <c r="BO29" s="57">
        <f t="shared" si="271"/>
        <v>8.2799829278702441E-2</v>
      </c>
      <c r="BP29" s="959">
        <f t="shared" si="271"/>
        <v>0.10922844175491675</v>
      </c>
      <c r="BQ29" s="57">
        <f t="shared" si="271"/>
        <v>0.11414720141031287</v>
      </c>
      <c r="BR29" s="57">
        <f t="shared" si="271"/>
        <v>9.8264872521246494E-2</v>
      </c>
      <c r="BS29" s="946">
        <f>BS28/BL28-1</f>
        <v>0.10534066365599837</v>
      </c>
      <c r="BT29" s="57">
        <f t="shared" ref="BT29:BY29" si="272">BT28/BM28-1</f>
        <v>-6.2780269058295923E-2</v>
      </c>
      <c r="BU29" s="57">
        <f t="shared" si="272"/>
        <v>-9.565885516711492E-2</v>
      </c>
      <c r="BV29" s="57">
        <f t="shared" si="272"/>
        <v>-2.2467481277098966E-2</v>
      </c>
      <c r="BW29" s="959">
        <f t="shared" si="272"/>
        <v>0.18985270049099845</v>
      </c>
      <c r="BX29" s="57">
        <f t="shared" si="272"/>
        <v>-7.9707278481012667E-2</v>
      </c>
      <c r="BY29" s="57">
        <f t="shared" si="272"/>
        <v>0.10301467032081257</v>
      </c>
      <c r="BZ29" s="946">
        <f>BZ28/BS28-1</f>
        <v>2.096100897060138E-2</v>
      </c>
      <c r="CA29" s="57">
        <f t="shared" ref="CA29:CE29" si="273">CA28/BT28-1</f>
        <v>4.349717268377562E-2</v>
      </c>
      <c r="CB29" s="57">
        <f t="shared" si="273"/>
        <v>9.8555649957519087E-2</v>
      </c>
      <c r="CC29" s="57">
        <f t="shared" si="273"/>
        <v>5.8064516129032295E-2</v>
      </c>
      <c r="CD29" s="959">
        <f t="shared" si="273"/>
        <v>2.5447042640990292E-2</v>
      </c>
      <c r="CE29" s="57">
        <f t="shared" si="273"/>
        <v>7.1351816032667159E-2</v>
      </c>
      <c r="CF29" s="57">
        <f t="shared" ref="CF29" si="274">CF28/BY28-1</f>
        <v>3.726980415083303E-2</v>
      </c>
      <c r="CG29" s="946">
        <f>CG28/BZ28-1</f>
        <v>5.1065680730752572E-2</v>
      </c>
      <c r="CH29" s="57">
        <f t="shared" ref="CH29:CK29" si="275">CH28/CA28-1</f>
        <v>0.10712796998749474</v>
      </c>
      <c r="CI29" s="57">
        <f t="shared" si="275"/>
        <v>0.22080433101314778</v>
      </c>
      <c r="CJ29" s="57">
        <f t="shared" si="275"/>
        <v>0.16730182926829262</v>
      </c>
      <c r="CK29" s="959">
        <f t="shared" si="275"/>
        <v>1.2519561815336422E-2</v>
      </c>
      <c r="CL29" s="57">
        <f t="shared" ref="CL29:DW29" si="276">CL28/CE28-1</f>
        <v>0.16609829488465389</v>
      </c>
      <c r="CM29" s="57">
        <f t="shared" si="276"/>
        <v>6.974778075243071E-2</v>
      </c>
      <c r="CN29" s="946">
        <f>CN28/CG28-1</f>
        <v>0.10950173812282737</v>
      </c>
      <c r="CO29" s="57">
        <f t="shared" ref="CO29:CP29" si="277">CO28/CH28-1</f>
        <v>6.6265060240963791E-2</v>
      </c>
      <c r="CP29" s="57">
        <f t="shared" si="277"/>
        <v>0.10357934748178654</v>
      </c>
      <c r="CQ29" s="799">
        <f t="shared" si="276"/>
        <v>9.1500000000000137E-2</v>
      </c>
      <c r="CR29" s="999">
        <f t="shared" si="276"/>
        <v>7.5680172223449027E-2</v>
      </c>
      <c r="CS29" s="57">
        <f t="shared" si="276"/>
        <v>8.6530190951316088E-2</v>
      </c>
      <c r="CT29" s="799">
        <f t="shared" si="276"/>
        <v>8.2062697576396282E-2</v>
      </c>
      <c r="CU29" s="972">
        <f t="shared" si="276"/>
        <v>8.4000000000000075E-2</v>
      </c>
      <c r="CV29" s="799">
        <f t="shared" si="276"/>
        <v>6.6750000000000087E-2</v>
      </c>
      <c r="CW29" s="799">
        <f t="shared" si="276"/>
        <v>6.7656429391504069E-2</v>
      </c>
      <c r="CX29" s="799">
        <f t="shared" si="276"/>
        <v>6.6628492899679204E-2</v>
      </c>
      <c r="CY29" s="999">
        <f t="shared" si="276"/>
        <v>6.7679263665838763E-2</v>
      </c>
      <c r="CZ29" s="799">
        <f t="shared" si="276"/>
        <v>6.7250000000000032E-2</v>
      </c>
      <c r="DA29" s="799">
        <f t="shared" si="276"/>
        <v>6.7251631767177633E-2</v>
      </c>
      <c r="DB29" s="972">
        <f t="shared" si="276"/>
        <v>6.7250922509225042E-2</v>
      </c>
      <c r="DC29" s="799">
        <f t="shared" si="276"/>
        <v>5.0000000000000044E-2</v>
      </c>
      <c r="DD29" s="799">
        <f t="shared" si="276"/>
        <v>5.0000000000000266E-2</v>
      </c>
      <c r="DE29" s="799">
        <f t="shared" si="276"/>
        <v>5.0000000000000044E-2</v>
      </c>
      <c r="DF29" s="999">
        <f t="shared" si="276"/>
        <v>5.0000000000000044E-2</v>
      </c>
      <c r="DG29" s="799">
        <f t="shared" si="276"/>
        <v>5.0000000000000044E-2</v>
      </c>
      <c r="DH29" s="799">
        <f t="shared" si="276"/>
        <v>5.0000000000000266E-2</v>
      </c>
      <c r="DI29" s="972">
        <f t="shared" si="276"/>
        <v>5.0000000000000266E-2</v>
      </c>
      <c r="DJ29" s="799">
        <f t="shared" si="276"/>
        <v>4.9999999999999822E-2</v>
      </c>
      <c r="DK29" s="799">
        <f t="shared" si="276"/>
        <v>5.0000000000000266E-2</v>
      </c>
      <c r="DL29" s="799">
        <f t="shared" si="276"/>
        <v>5.0000000000000044E-2</v>
      </c>
      <c r="DM29" s="999">
        <f t="shared" si="276"/>
        <v>5.0000000000000044E-2</v>
      </c>
      <c r="DN29" s="799">
        <f t="shared" si="276"/>
        <v>5.0000000000000044E-2</v>
      </c>
      <c r="DO29" s="799">
        <f t="shared" si="276"/>
        <v>5.0000000000000044E-2</v>
      </c>
      <c r="DP29" s="972">
        <f t="shared" si="276"/>
        <v>4.9999999999999822E-2</v>
      </c>
      <c r="DQ29" s="799">
        <f t="shared" si="276"/>
        <v>5.0000000000000044E-2</v>
      </c>
      <c r="DR29" s="799">
        <f t="shared" si="276"/>
        <v>4.9999999999999822E-2</v>
      </c>
      <c r="DS29" s="799">
        <f t="shared" si="276"/>
        <v>5.0000000000000044E-2</v>
      </c>
      <c r="DT29" s="999">
        <f t="shared" si="276"/>
        <v>4.9999999999999822E-2</v>
      </c>
      <c r="DU29" s="799">
        <f t="shared" si="276"/>
        <v>5.0000000000000044E-2</v>
      </c>
      <c r="DV29" s="799">
        <f t="shared" si="276"/>
        <v>5.0000000000000044E-2</v>
      </c>
      <c r="DW29" s="972">
        <f t="shared" si="276"/>
        <v>5.0000000000000266E-2</v>
      </c>
      <c r="DX29" s="218"/>
      <c r="DY29" s="40"/>
      <c r="DZ29" s="40"/>
      <c r="EA29" s="218"/>
      <c r="EB29" s="218"/>
      <c r="EC29" s="218"/>
      <c r="ED29" s="218"/>
      <c r="EE29" s="218"/>
      <c r="EF29" s="31"/>
      <c r="EG29" s="31"/>
      <c r="EH29" s="31"/>
      <c r="EI29" s="218"/>
      <c r="EJ29" s="218"/>
      <c r="EK29" s="218"/>
      <c r="EL29" s="218"/>
      <c r="EM29" s="218"/>
      <c r="EN29" s="218"/>
      <c r="EO29" s="218"/>
      <c r="EP29" s="218"/>
      <c r="EQ29" s="218"/>
      <c r="ER29" s="218"/>
      <c r="ES29" s="218"/>
      <c r="ET29" s="218"/>
      <c r="EU29" s="218"/>
      <c r="EV29" s="218"/>
      <c r="EW29" s="218"/>
      <c r="EX29" s="218"/>
      <c r="EY29" s="218"/>
      <c r="EZ29" s="218"/>
      <c r="FA29" s="218"/>
      <c r="FB29" s="218"/>
      <c r="FC29" s="218"/>
      <c r="FD29" s="218"/>
      <c r="FE29" s="218"/>
      <c r="FF29" s="218"/>
      <c r="FG29" s="218"/>
      <c r="FH29" s="218"/>
      <c r="FI29" s="218"/>
      <c r="FJ29" s="218"/>
      <c r="FK29" s="218"/>
      <c r="FL29" s="218"/>
      <c r="FM29" s="218"/>
      <c r="FN29" s="218"/>
      <c r="FO29" s="218"/>
      <c r="FP29" s="218"/>
      <c r="FQ29" s="218"/>
    </row>
    <row r="30" spans="1:173" ht="10.5" customHeight="1">
      <c r="A30" s="218"/>
      <c r="B30" s="218"/>
      <c r="C30" s="27"/>
      <c r="D30" s="218"/>
      <c r="E30" s="1036"/>
      <c r="F30" s="218"/>
      <c r="G30" s="27"/>
      <c r="H30" s="1022"/>
      <c r="I30" s="218"/>
      <c r="J30" s="27"/>
      <c r="K30" s="218"/>
      <c r="L30" s="1036"/>
      <c r="M30" s="218"/>
      <c r="N30" s="27"/>
      <c r="O30" s="1022"/>
      <c r="P30" s="218"/>
      <c r="Q30" s="27"/>
      <c r="R30" s="218"/>
      <c r="S30" s="1036"/>
      <c r="T30" s="218"/>
      <c r="U30" s="27"/>
      <c r="V30" s="1022"/>
      <c r="W30" s="218"/>
      <c r="X30" s="27"/>
      <c r="Y30" s="218"/>
      <c r="Z30" s="1036"/>
      <c r="AA30" s="218"/>
      <c r="AB30" s="27"/>
      <c r="AC30" s="1022"/>
      <c r="AD30" s="218"/>
      <c r="AE30" s="27"/>
      <c r="AF30" s="218"/>
      <c r="AG30" s="1036"/>
      <c r="AH30" s="218"/>
      <c r="AI30" s="27"/>
      <c r="AJ30" s="1022"/>
      <c r="AK30" s="218"/>
      <c r="AL30" s="27"/>
      <c r="AM30" s="218"/>
      <c r="AN30" s="1036"/>
      <c r="AO30" s="218"/>
      <c r="AP30" s="27"/>
      <c r="AQ30" s="1022"/>
      <c r="AR30" s="218"/>
      <c r="AS30" s="27"/>
      <c r="AT30" s="218"/>
      <c r="AU30" s="1036"/>
      <c r="AV30" s="218"/>
      <c r="AW30" s="27"/>
      <c r="AX30" s="1022"/>
      <c r="AY30" s="218"/>
      <c r="AZ30" s="27"/>
      <c r="BA30" s="218"/>
      <c r="BB30" s="1036"/>
      <c r="BC30" s="218"/>
      <c r="BD30" s="27"/>
      <c r="BE30" s="1022"/>
      <c r="BF30" s="218"/>
      <c r="BG30" s="27"/>
      <c r="BH30" s="218"/>
      <c r="BI30" s="1036"/>
      <c r="BJ30" s="218"/>
      <c r="BK30" s="27"/>
      <c r="BL30" s="1022"/>
      <c r="BM30" s="218"/>
      <c r="BN30" s="27"/>
      <c r="BO30" s="218"/>
      <c r="BP30" s="1036"/>
      <c r="BQ30" s="218"/>
      <c r="BR30" s="27"/>
      <c r="BS30" s="1022"/>
      <c r="BT30" s="218"/>
      <c r="BU30" s="27"/>
      <c r="BV30" s="218"/>
      <c r="BW30" s="1036"/>
      <c r="BX30" s="218"/>
      <c r="BY30" s="27"/>
      <c r="BZ30" s="1022"/>
      <c r="CA30" s="218"/>
      <c r="CB30" s="27"/>
      <c r="CC30" s="218"/>
      <c r="CD30" s="1036"/>
      <c r="CE30" s="218"/>
      <c r="CF30" s="27"/>
      <c r="CG30" s="1022"/>
      <c r="CH30" s="218"/>
      <c r="CI30" s="27"/>
      <c r="CJ30" s="218"/>
      <c r="CK30" s="1036"/>
      <c r="CL30" s="218"/>
      <c r="CM30" s="27"/>
      <c r="CN30" s="1022"/>
      <c r="CO30" s="218"/>
      <c r="CP30" s="27"/>
      <c r="CQ30" s="218"/>
      <c r="CR30" s="1036"/>
      <c r="CS30" s="218"/>
      <c r="CT30" s="27"/>
      <c r="CU30" s="1022"/>
      <c r="CV30" s="218"/>
      <c r="CW30" s="27"/>
      <c r="CX30" s="218"/>
      <c r="CY30" s="1036"/>
      <c r="CZ30" s="218"/>
      <c r="DA30" s="27"/>
      <c r="DB30" s="1022"/>
      <c r="DC30" s="218"/>
      <c r="DD30" s="27"/>
      <c r="DE30" s="218"/>
      <c r="DF30" s="1036"/>
      <c r="DG30" s="218"/>
      <c r="DH30" s="27"/>
      <c r="DI30" s="1022"/>
      <c r="DJ30" s="218"/>
      <c r="DK30" s="27"/>
      <c r="DL30" s="218"/>
      <c r="DM30" s="1036"/>
      <c r="DN30" s="218"/>
      <c r="DO30" s="27"/>
      <c r="DP30" s="1022"/>
      <c r="DQ30" s="218"/>
      <c r="DR30" s="27"/>
      <c r="DS30" s="218"/>
      <c r="DT30" s="1036"/>
      <c r="DU30" s="218"/>
      <c r="DV30" s="27"/>
      <c r="DW30" s="1022"/>
      <c r="DX30" s="218"/>
      <c r="DY30" s="40"/>
      <c r="DZ30" s="40"/>
      <c r="EA30" s="218"/>
      <c r="EB30" s="40"/>
      <c r="EC30" s="40"/>
      <c r="ED30" s="27"/>
      <c r="EE30" s="31"/>
      <c r="EF30" s="31"/>
      <c r="EG30" s="31"/>
      <c r="EH30" s="31"/>
      <c r="EI30" s="218"/>
      <c r="EJ30" s="218"/>
      <c r="EK30" s="218"/>
      <c r="EL30" s="218"/>
      <c r="EM30" s="218"/>
      <c r="EN30" s="218"/>
      <c r="EO30" s="218"/>
      <c r="EP30" s="218"/>
      <c r="EQ30" s="218"/>
      <c r="ER30" s="218"/>
      <c r="ES30" s="218"/>
      <c r="ET30" s="218"/>
      <c r="EU30" s="218"/>
      <c r="EV30" s="218"/>
      <c r="EW30" s="218"/>
      <c r="EX30" s="218"/>
      <c r="EY30" s="218"/>
      <c r="EZ30" s="218"/>
      <c r="FA30" s="218"/>
      <c r="FB30" s="218"/>
      <c r="FC30" s="218"/>
      <c r="FD30" s="218"/>
      <c r="FE30" s="218"/>
      <c r="FF30" s="218"/>
      <c r="FG30" s="218"/>
      <c r="FH30" s="218"/>
      <c r="FI30" s="218"/>
      <c r="FJ30" s="218"/>
      <c r="FK30" s="218"/>
      <c r="FL30" s="218"/>
      <c r="FM30" s="218"/>
      <c r="FN30" s="218"/>
      <c r="FO30" s="218"/>
      <c r="FP30" s="218"/>
      <c r="FQ30" s="218"/>
    </row>
    <row r="31" spans="1:173" ht="10.5" customHeight="1">
      <c r="A31" s="130" t="s">
        <v>353</v>
      </c>
      <c r="B31" s="33"/>
      <c r="C31" s="33"/>
      <c r="D31" s="33"/>
      <c r="E31" s="1033"/>
      <c r="F31" s="33"/>
      <c r="G31" s="33"/>
      <c r="H31" s="305">
        <f>H28*H37</f>
        <v>9840.75</v>
      </c>
      <c r="I31" s="33">
        <f t="shared" ref="I31" si="278">I28*I37</f>
        <v>2112.11</v>
      </c>
      <c r="J31" s="33">
        <f>M31-I31</f>
        <v>1859.4099999999999</v>
      </c>
      <c r="K31" s="33">
        <f t="shared" ref="K31" si="279">K28*K37</f>
        <v>1983.94</v>
      </c>
      <c r="L31" s="1033">
        <f>N31-K31</f>
        <v>3031.7899999999995</v>
      </c>
      <c r="M31" s="33">
        <f t="shared" ref="M31" si="280">M28*M37</f>
        <v>3971.52</v>
      </c>
      <c r="N31" s="33">
        <f>O31-M31</f>
        <v>5015.7299999999996</v>
      </c>
      <c r="O31" s="305">
        <f t="shared" ref="O31:BT31" si="281">O28*O37</f>
        <v>8987.25</v>
      </c>
      <c r="P31" s="33">
        <f t="shared" si="281"/>
        <v>1848.1299999999999</v>
      </c>
      <c r="Q31" s="33">
        <f>T31-P31</f>
        <v>2078.88</v>
      </c>
      <c r="R31" s="33">
        <f t="shared" ref="R31" si="282">R28*R37</f>
        <v>1996.3999999999999</v>
      </c>
      <c r="S31" s="1033">
        <f>U31-R31</f>
        <v>3755.7900000000009</v>
      </c>
      <c r="T31" s="33">
        <f t="shared" ref="T31" si="283">T28*T37</f>
        <v>3927.0099999999998</v>
      </c>
      <c r="U31" s="33">
        <f>V31-T31</f>
        <v>5752.1900000000005</v>
      </c>
      <c r="V31" s="305">
        <f t="shared" si="281"/>
        <v>9679.2000000000007</v>
      </c>
      <c r="W31" s="33">
        <f t="shared" ref="W31" si="284">W28*W37</f>
        <v>1697.7800000000002</v>
      </c>
      <c r="X31" s="33">
        <f>AA31-W31</f>
        <v>2055.8199999999997</v>
      </c>
      <c r="Y31" s="33">
        <f t="shared" ref="Y31" si="285">Y28*Y37</f>
        <v>1546.3200000000002</v>
      </c>
      <c r="Z31" s="1033">
        <f>AB31-Y31</f>
        <v>2879.3400000000015</v>
      </c>
      <c r="AA31" s="33">
        <f t="shared" ref="AA31" si="286">AA28*AA37</f>
        <v>3753.6</v>
      </c>
      <c r="AB31" s="33">
        <f>AC31-AA31</f>
        <v>4425.6600000000017</v>
      </c>
      <c r="AC31" s="305">
        <f t="shared" si="281"/>
        <v>8179.2600000000011</v>
      </c>
      <c r="AD31" s="33">
        <f t="shared" si="281"/>
        <v>1458.6599999999999</v>
      </c>
      <c r="AE31" s="33">
        <f>AH31-AD31</f>
        <v>1686.3400000000001</v>
      </c>
      <c r="AF31" s="33">
        <f t="shared" ref="AF31" si="287">AF28*AF37</f>
        <v>1412.3600000000001</v>
      </c>
      <c r="AG31" s="1033">
        <f>AI31-AF31</f>
        <v>3005.440000000001</v>
      </c>
      <c r="AH31" s="33">
        <f t="shared" ref="AH31" si="288">AH28*AH37</f>
        <v>3145</v>
      </c>
      <c r="AI31" s="33">
        <f>AJ31-AH31</f>
        <v>4417.8000000000011</v>
      </c>
      <c r="AJ31" s="305">
        <f t="shared" si="281"/>
        <v>7562.8000000000011</v>
      </c>
      <c r="AK31" s="33">
        <f t="shared" ref="AK31" si="289">AK28*AK37</f>
        <v>1374.54</v>
      </c>
      <c r="AL31" s="33">
        <f>AO31-AK31</f>
        <v>1788.8200000000002</v>
      </c>
      <c r="AM31" s="33">
        <f t="shared" ref="AM31" si="290">AM28*AM37</f>
        <v>1607.3300000000002</v>
      </c>
      <c r="AN31" s="1033">
        <f>AP31-AM31</f>
        <v>2973.41</v>
      </c>
      <c r="AO31" s="33">
        <f t="shared" ref="AO31" si="291">AO28*AO37</f>
        <v>3163.36</v>
      </c>
      <c r="AP31" s="33">
        <f>AQ31-AO31</f>
        <v>4580.74</v>
      </c>
      <c r="AQ31" s="305">
        <f t="shared" si="281"/>
        <v>7744.1</v>
      </c>
      <c r="AR31" s="33">
        <f t="shared" si="281"/>
        <v>1457.28</v>
      </c>
      <c r="AS31" s="33">
        <f>AV31-AR31</f>
        <v>2103.37</v>
      </c>
      <c r="AT31" s="33">
        <f t="shared" ref="AT31" si="292">AT28*AT37</f>
        <v>1883.6999999999998</v>
      </c>
      <c r="AU31" s="1033">
        <f>AW31-AT31</f>
        <v>1972.4100000000008</v>
      </c>
      <c r="AV31" s="33">
        <f t="shared" ref="AV31" si="293">AV28*AV37</f>
        <v>3560.6499999999996</v>
      </c>
      <c r="AW31" s="33">
        <f>AX31-AV31</f>
        <v>3856.1100000000006</v>
      </c>
      <c r="AX31" s="305">
        <f t="shared" si="281"/>
        <v>7416.76</v>
      </c>
      <c r="AY31" s="33">
        <f t="shared" ref="AY31" si="294">AY28*AY37</f>
        <v>1372.15</v>
      </c>
      <c r="AZ31" s="33">
        <f>BC31-AY31</f>
        <v>1540.4899999999998</v>
      </c>
      <c r="BA31" s="33">
        <f t="shared" ref="BA31" si="295">BA28*BA37</f>
        <v>1550.25</v>
      </c>
      <c r="BB31" s="1033">
        <f>BD31-BA31</f>
        <v>2640.3899999999994</v>
      </c>
      <c r="BC31" s="33">
        <f t="shared" ref="BC31" si="296">BC28*BC37</f>
        <v>2912.64</v>
      </c>
      <c r="BD31" s="33">
        <f>BE31-BC31</f>
        <v>4190.6399999999994</v>
      </c>
      <c r="BE31" s="305">
        <f t="shared" si="281"/>
        <v>7103.28</v>
      </c>
      <c r="BF31" s="33">
        <f t="shared" si="281"/>
        <v>1332.45</v>
      </c>
      <c r="BG31" s="33">
        <f>BJ31-BF31</f>
        <v>1571.8700000000001</v>
      </c>
      <c r="BH31" s="33">
        <f t="shared" ref="BH31" si="297">BH28*BH37</f>
        <v>1499.52</v>
      </c>
      <c r="BI31" s="1033">
        <f>BK31-BH31</f>
        <v>2217.0599999999986</v>
      </c>
      <c r="BJ31" s="33">
        <f t="shared" ref="BJ31" si="298">BJ28*BJ37</f>
        <v>2904.32</v>
      </c>
      <c r="BK31" s="33">
        <f>BL31-BJ31</f>
        <v>3716.5799999999986</v>
      </c>
      <c r="BL31" s="305">
        <f t="shared" si="281"/>
        <v>6620.8999999999987</v>
      </c>
      <c r="BM31" s="33">
        <f t="shared" ref="BM31" si="299">BM28*BM37</f>
        <v>1692.57</v>
      </c>
      <c r="BN31" s="33">
        <f>BQ31-BM31</f>
        <v>1745.5100000000004</v>
      </c>
      <c r="BO31" s="33">
        <f t="shared" ref="BO31" si="300">BO28*BO37</f>
        <v>1699.7900000000002</v>
      </c>
      <c r="BP31" s="1033">
        <f>BR31-BO31</f>
        <v>2405.6600000000008</v>
      </c>
      <c r="BQ31" s="33">
        <f t="shared" ref="BQ31" si="301">BQ28*BQ37</f>
        <v>3438.0800000000004</v>
      </c>
      <c r="BR31" s="33">
        <f>BS31-BQ31</f>
        <v>4105.4500000000007</v>
      </c>
      <c r="BS31" s="305">
        <f t="shared" si="281"/>
        <v>7543.5300000000007</v>
      </c>
      <c r="BT31" s="33">
        <f t="shared" si="281"/>
        <v>1540.3300000000002</v>
      </c>
      <c r="BU31" s="33">
        <f>BX31-BT31</f>
        <v>1437.59</v>
      </c>
      <c r="BV31" s="33">
        <f t="shared" ref="BV31" si="302">BV28*BV37</f>
        <v>1587.2</v>
      </c>
      <c r="BW31" s="1033">
        <f>BY31-BV31</f>
        <v>3021.5800000000008</v>
      </c>
      <c r="BX31" s="33">
        <f t="shared" ref="BX31" si="303">BX28*BX37</f>
        <v>2977.92</v>
      </c>
      <c r="BY31" s="33">
        <f>BZ31-BX31</f>
        <v>4608.7800000000007</v>
      </c>
      <c r="BZ31" s="305">
        <f t="shared" ref="BZ31:CA31" si="304">BZ28*BZ37</f>
        <v>7586.7000000000007</v>
      </c>
      <c r="CA31" s="33">
        <f t="shared" si="304"/>
        <v>1511.3700000000001</v>
      </c>
      <c r="CB31" s="33">
        <f>CE31-CA31</f>
        <v>1579.3299999999997</v>
      </c>
      <c r="CC31" s="33">
        <f t="shared" ref="CC31" si="305">CC28*CC37</f>
        <v>1653.1200000000001</v>
      </c>
      <c r="CD31" s="1033">
        <f>CF31-CC31</f>
        <v>3351.1200000000008</v>
      </c>
      <c r="CE31" s="33">
        <f t="shared" ref="CE31" si="306">CE28*CE37</f>
        <v>3090.7</v>
      </c>
      <c r="CF31" s="33">
        <f>CG31-CE31</f>
        <v>5004.2400000000007</v>
      </c>
      <c r="CG31" s="305">
        <f t="shared" ref="CG31:CH31" si="307">CG28*CG37</f>
        <v>8094.9400000000005</v>
      </c>
      <c r="CH31" s="33">
        <f t="shared" si="307"/>
        <v>1673.28</v>
      </c>
      <c r="CI31" s="33">
        <f>CL31-CH31</f>
        <v>2221.4300000000003</v>
      </c>
      <c r="CJ31" s="33">
        <f t="shared" ref="CJ31" si="308">CJ28*CJ37</f>
        <v>2021.5800000000002</v>
      </c>
      <c r="CK31" s="1033">
        <f>CM31-CJ31</f>
        <v>3199.1100000000015</v>
      </c>
      <c r="CL31" s="33">
        <f t="shared" ref="CL31" si="309">CL28*CL37</f>
        <v>3894.71</v>
      </c>
      <c r="CM31" s="33">
        <f>CN31-CL31</f>
        <v>5220.6900000000014</v>
      </c>
      <c r="CN31" s="305">
        <f t="shared" ref="CN31:CO31" si="310">CN28*CN37</f>
        <v>9115.4000000000015</v>
      </c>
      <c r="CO31" s="33">
        <f t="shared" si="310"/>
        <v>1897.44</v>
      </c>
      <c r="CP31" s="33">
        <f>CS31-CO31</f>
        <v>2460.6</v>
      </c>
      <c r="CQ31" s="792">
        <f>CJ31*(1+CQ32)</f>
        <v>2223.7380000000003</v>
      </c>
      <c r="CR31" s="1058">
        <f>CT31-CQ31</f>
        <v>3445.1620000000021</v>
      </c>
      <c r="CS31" s="33">
        <f t="shared" ref="CS31" si="311">CS28*CS37</f>
        <v>4358.04</v>
      </c>
      <c r="CT31" s="291">
        <f>CU31-CS31</f>
        <v>5668.9000000000024</v>
      </c>
      <c r="CU31" s="1023">
        <f>CN31*(1+CU32)</f>
        <v>10026.940000000002</v>
      </c>
      <c r="CV31" s="792">
        <f>CO31*(1+CV32)</f>
        <v>2039.748</v>
      </c>
      <c r="CW31" s="291">
        <f>CZ31-CV31</f>
        <v>2645.145</v>
      </c>
      <c r="CX31" s="792">
        <f>CQ31*(1+CX32)</f>
        <v>2390.5183500000003</v>
      </c>
      <c r="CY31" s="1058">
        <f>DA31-CX31</f>
        <v>3703.5491500000026</v>
      </c>
      <c r="CZ31" s="792">
        <f>CS31*(1+CZ32)</f>
        <v>4684.893</v>
      </c>
      <c r="DA31" s="291">
        <f>DB31-CZ31</f>
        <v>6094.0675000000028</v>
      </c>
      <c r="DB31" s="1023">
        <f>CU31*(1+DB32)</f>
        <v>10778.960500000003</v>
      </c>
      <c r="DC31" s="792">
        <f>CV31*(1+DC32)</f>
        <v>2141.7354</v>
      </c>
      <c r="DD31" s="291">
        <f>DG31-DC31</f>
        <v>2777.4022500000005</v>
      </c>
      <c r="DE31" s="792">
        <f>CX31*(1+DE32)</f>
        <v>2510.0442675000004</v>
      </c>
      <c r="DF31" s="1058">
        <f>DH31-DE31</f>
        <v>3888.7266075000034</v>
      </c>
      <c r="DG31" s="792">
        <f>CZ31*(1+DG32)</f>
        <v>4919.1376500000006</v>
      </c>
      <c r="DH31" s="291">
        <f>DI31-DG31</f>
        <v>6398.7708750000038</v>
      </c>
      <c r="DI31" s="1023">
        <f>DB31*(1+DI32)</f>
        <v>11317.908525000004</v>
      </c>
      <c r="DJ31" s="792">
        <f>DC31*(1+DJ32)</f>
        <v>2248.8221699999999</v>
      </c>
      <c r="DK31" s="291">
        <f>DN31-DJ31</f>
        <v>2916.2723625000012</v>
      </c>
      <c r="DL31" s="792">
        <f>DE31*(1+DL32)</f>
        <v>2635.5464808750007</v>
      </c>
      <c r="DM31" s="1058">
        <f>DO31-DL31</f>
        <v>4083.1629378750035</v>
      </c>
      <c r="DN31" s="792">
        <f>DG31*(1+DN32)</f>
        <v>5165.0945325000012</v>
      </c>
      <c r="DO31" s="291">
        <f>DP31-DN31</f>
        <v>6718.7094187500043</v>
      </c>
      <c r="DP31" s="1023">
        <f>DI31*(1+DP32)</f>
        <v>11883.803951250005</v>
      </c>
      <c r="DQ31" s="792">
        <f>DJ31*(1+DQ32)</f>
        <v>2361.2632785000001</v>
      </c>
      <c r="DR31" s="291">
        <f>DU31-DQ31</f>
        <v>3062.0859806250014</v>
      </c>
      <c r="DS31" s="792">
        <f>DL31*(1+DS32)</f>
        <v>2767.3238049187507</v>
      </c>
      <c r="DT31" s="1058">
        <f>DV31-DS31</f>
        <v>4287.3210847687533</v>
      </c>
      <c r="DU31" s="792">
        <f>DN31*(1+DU32)</f>
        <v>5423.3492591250015</v>
      </c>
      <c r="DV31" s="291">
        <f>DW31-DU31</f>
        <v>7054.6448896875045</v>
      </c>
      <c r="DW31" s="1023">
        <f>DP31*(1+DW32)</f>
        <v>12477.994148812506</v>
      </c>
      <c r="DX31" s="273"/>
      <c r="DY31" s="793"/>
      <c r="DZ31" s="793"/>
      <c r="EA31" s="273"/>
      <c r="EB31" s="37"/>
      <c r="EC31" s="37"/>
      <c r="ED31" s="260"/>
      <c r="EE31" s="33"/>
      <c r="EF31" s="33"/>
      <c r="EG31" s="33"/>
      <c r="EH31" s="33"/>
      <c r="EI31" s="273"/>
      <c r="EJ31" s="273"/>
      <c r="EK31" s="273"/>
      <c r="EL31" s="273"/>
      <c r="EM31" s="273"/>
      <c r="EN31" s="273"/>
      <c r="EO31" s="273"/>
      <c r="EP31" s="273"/>
      <c r="EQ31" s="273"/>
      <c r="ER31" s="273"/>
      <c r="ES31" s="273"/>
      <c r="ET31" s="273"/>
      <c r="EU31" s="273"/>
      <c r="EV31" s="273"/>
      <c r="EW31" s="273"/>
      <c r="EX31" s="273"/>
      <c r="EY31" s="273"/>
      <c r="EZ31" s="273"/>
      <c r="FA31" s="273"/>
      <c r="FB31" s="273"/>
      <c r="FC31" s="273"/>
      <c r="FD31" s="273"/>
      <c r="FE31" s="273"/>
      <c r="FF31" s="273"/>
      <c r="FG31" s="273"/>
      <c r="FH31" s="273"/>
      <c r="FI31" s="273"/>
      <c r="FJ31" s="273"/>
      <c r="FK31" s="273"/>
      <c r="FL31" s="273"/>
      <c r="FM31" s="273"/>
      <c r="FN31" s="273"/>
      <c r="FO31" s="273"/>
      <c r="FP31" s="273"/>
      <c r="FQ31" s="273"/>
    </row>
    <row r="32" spans="1:173" ht="10.5" customHeight="1">
      <c r="A32" s="128" t="s">
        <v>347</v>
      </c>
      <c r="B32" s="403"/>
      <c r="C32" s="57"/>
      <c r="D32" s="403"/>
      <c r="E32" s="959"/>
      <c r="F32" s="403"/>
      <c r="G32" s="57"/>
      <c r="H32" s="341"/>
      <c r="I32" s="115"/>
      <c r="J32" s="115"/>
      <c r="K32" s="115"/>
      <c r="L32" s="683"/>
      <c r="M32" s="115"/>
      <c r="N32" s="115"/>
      <c r="O32" s="341">
        <f t="shared" ref="O32:Q32" si="312">O31/H31-1</f>
        <v>-8.673119426872955E-2</v>
      </c>
      <c r="P32" s="115">
        <f t="shared" si="312"/>
        <v>-0.12498402071861803</v>
      </c>
      <c r="Q32" s="115">
        <f t="shared" si="312"/>
        <v>0.11803206393425891</v>
      </c>
      <c r="R32" s="115">
        <f t="shared" ref="R32" si="313">R31/K31-1</f>
        <v>6.2804318678990612E-3</v>
      </c>
      <c r="S32" s="683">
        <f t="shared" ref="S32" si="314">S31/L31-1</f>
        <v>0.23880281945649329</v>
      </c>
      <c r="T32" s="115">
        <f t="shared" ref="T32" si="315">T31/M31-1</f>
        <v>-1.1207295947143758E-2</v>
      </c>
      <c r="U32" s="115">
        <f t="shared" ref="U32" si="316">U31/N31-1</f>
        <v>0.14683007259162695</v>
      </c>
      <c r="V32" s="341">
        <f>V31/O31-1</f>
        <v>7.6992405908370198E-2</v>
      </c>
      <c r="W32" s="115">
        <f t="shared" ref="W32:X32" si="317">W31/P31-1</f>
        <v>-8.1352502259040005E-2</v>
      </c>
      <c r="X32" s="115">
        <f t="shared" si="317"/>
        <v>-1.1092511352266743E-2</v>
      </c>
      <c r="Y32" s="115">
        <f t="shared" ref="Y32" si="318">Y31/R31-1</f>
        <v>-0.22544580244439982</v>
      </c>
      <c r="Z32" s="683">
        <f t="shared" ref="Z32" si="319">Z31/S31-1</f>
        <v>-0.23335969263457201</v>
      </c>
      <c r="AA32" s="115">
        <f t="shared" ref="AA32" si="320">AA31/T31-1</f>
        <v>-4.4158278181109734E-2</v>
      </c>
      <c r="AB32" s="115">
        <f t="shared" ref="AB32" si="321">AB31/U31-1</f>
        <v>-0.23061303607843253</v>
      </c>
      <c r="AC32" s="341">
        <f>AC31/V31-1</f>
        <v>-0.15496528638730467</v>
      </c>
      <c r="AD32" s="115">
        <f t="shared" ref="AD32:AE32" si="322">AD31/W31-1</f>
        <v>-0.14084274758802695</v>
      </c>
      <c r="AE32" s="115">
        <f t="shared" si="322"/>
        <v>-0.17972390578941722</v>
      </c>
      <c r="AF32" s="115">
        <f t="shared" ref="AF32" si="323">AF31/Y31-1</f>
        <v>-8.6631486367634181E-2</v>
      </c>
      <c r="AG32" s="683">
        <f t="shared" ref="AG32" si="324">AG31/Z31-1</f>
        <v>4.3794758521049859E-2</v>
      </c>
      <c r="AH32" s="115">
        <f t="shared" ref="AH32" si="325">AH31/AA31-1</f>
        <v>-0.16213768115942029</v>
      </c>
      <c r="AI32" s="115">
        <f t="shared" ref="AI32" si="326">AI31/AB31-1</f>
        <v>-1.7760062905872731E-3</v>
      </c>
      <c r="AJ32" s="341">
        <f>AJ31/AC31-1</f>
        <v>-7.5368676383927191E-2</v>
      </c>
      <c r="AK32" s="115">
        <f t="shared" ref="AK32:AL32" si="327">AK31/AD31-1</f>
        <v>-5.7669367775903813E-2</v>
      </c>
      <c r="AL32" s="115">
        <f t="shared" si="327"/>
        <v>6.0770663092851951E-2</v>
      </c>
      <c r="AM32" s="115">
        <f t="shared" ref="AM32" si="328">AM31/AF31-1</f>
        <v>0.13804554079696385</v>
      </c>
      <c r="AN32" s="683">
        <f t="shared" ref="AN32" si="329">AN31/AG31-1</f>
        <v>-1.0657341354344485E-2</v>
      </c>
      <c r="AO32" s="115">
        <f t="shared" ref="AO32" si="330">AO31/AH31-1</f>
        <v>5.837837837837867E-3</v>
      </c>
      <c r="AP32" s="115">
        <f t="shared" ref="AP32" si="331">AP31/AI31-1</f>
        <v>3.6882611254470232E-2</v>
      </c>
      <c r="AQ32" s="341">
        <f>AQ31/AJ31-1</f>
        <v>2.3972602739726012E-2</v>
      </c>
      <c r="AR32" s="115">
        <f t="shared" ref="AR32:AS32" si="332">AR31/AK31-1</f>
        <v>6.019468331223532E-2</v>
      </c>
      <c r="AS32" s="115">
        <f t="shared" si="332"/>
        <v>0.17584217528873758</v>
      </c>
      <c r="AT32" s="115">
        <f t="shared" ref="AT32" si="333">AT31/AM31-1</f>
        <v>0.17194353368629933</v>
      </c>
      <c r="AU32" s="683">
        <f t="shared" ref="AU32" si="334">AU31/AN31-1</f>
        <v>-0.33665051237468058</v>
      </c>
      <c r="AV32" s="115">
        <f t="shared" ref="AV32" si="335">AV31/AO31-1</f>
        <v>0.1255911435941528</v>
      </c>
      <c r="AW32" s="115">
        <f t="shared" ref="AW32" si="336">AW31/AP31-1</f>
        <v>-0.15819059802564639</v>
      </c>
      <c r="AX32" s="341">
        <f>AX31/AQ31-1</f>
        <v>-4.2269598791337959E-2</v>
      </c>
      <c r="AY32" s="115">
        <f t="shared" ref="AY32:AZ32" si="337">AY31/AR31-1</f>
        <v>-5.841705094422478E-2</v>
      </c>
      <c r="AZ32" s="115">
        <f t="shared" si="337"/>
        <v>-0.26760864707588305</v>
      </c>
      <c r="BA32" s="115">
        <f t="shared" ref="BA32" si="338">BA31/AT31-1</f>
        <v>-0.17701863354037262</v>
      </c>
      <c r="BB32" s="683">
        <f t="shared" ref="BB32" si="339">BB31/AU31-1</f>
        <v>0.33866184008395739</v>
      </c>
      <c r="BC32" s="115">
        <f t="shared" ref="BC32" si="340">BC31/AV31-1</f>
        <v>-0.18199205201297508</v>
      </c>
      <c r="BD32" s="115">
        <f t="shared" ref="BD32" si="341">BD31/AW31-1</f>
        <v>8.6753230587301333E-2</v>
      </c>
      <c r="BE32" s="341">
        <f>BE31/AX31-1</f>
        <v>-4.2266434399926722E-2</v>
      </c>
      <c r="BF32" s="115">
        <f t="shared" ref="BF32:BG32" si="342">BF31/AY31-1</f>
        <v>-2.8932696862587926E-2</v>
      </c>
      <c r="BG32" s="115">
        <f t="shared" si="342"/>
        <v>2.0370141967815725E-2</v>
      </c>
      <c r="BH32" s="115">
        <f t="shared" ref="BH32" si="343">BH31/BA31-1</f>
        <v>-3.2723754233188185E-2</v>
      </c>
      <c r="BI32" s="683">
        <f t="shared" ref="BI32" si="344">BI31/BB31-1</f>
        <v>-0.1603285878222539</v>
      </c>
      <c r="BJ32" s="115">
        <f t="shared" ref="BJ32" si="345">BJ31/BC31-1</f>
        <v>-2.8565150516368654E-3</v>
      </c>
      <c r="BK32" s="115">
        <f t="shared" ref="BK32" si="346">BK31/BD31-1</f>
        <v>-0.11312353244373197</v>
      </c>
      <c r="BL32" s="341">
        <f>BL31/BE31-1</f>
        <v>-6.7909472806928828E-2</v>
      </c>
      <c r="BM32" s="115">
        <f t="shared" ref="BM32" si="347">BM31/BF31-1</f>
        <v>0.2702690532477765</v>
      </c>
      <c r="BN32" s="115">
        <f t="shared" ref="BN32" si="348">BN31/BG31-1</f>
        <v>0.11046715059133416</v>
      </c>
      <c r="BO32" s="115">
        <f t="shared" ref="BO32" si="349">BO31/BH31-1</f>
        <v>0.13355607127614189</v>
      </c>
      <c r="BP32" s="683">
        <f t="shared" ref="BP32" si="350">BP31/BI31-1</f>
        <v>8.5067612062822873E-2</v>
      </c>
      <c r="BQ32" s="115">
        <f t="shared" ref="BQ32" si="351">BQ31/BJ31-1</f>
        <v>0.18378140149845756</v>
      </c>
      <c r="BR32" s="115">
        <f t="shared" ref="BR32" si="352">BR31/BK31-1</f>
        <v>0.10463113938082924</v>
      </c>
      <c r="BS32" s="341">
        <f>BS31/BL31-1</f>
        <v>0.13935114561464479</v>
      </c>
      <c r="BT32" s="115">
        <f t="shared" ref="BT32:BY32" si="353">BT31/BM31-1</f>
        <v>-8.9946058360953929E-2</v>
      </c>
      <c r="BU32" s="115">
        <f t="shared" si="353"/>
        <v>-0.17640689540592747</v>
      </c>
      <c r="BV32" s="115">
        <f t="shared" si="353"/>
        <v>-6.6237594055736371E-2</v>
      </c>
      <c r="BW32" s="683">
        <f t="shared" si="353"/>
        <v>0.25602953035757325</v>
      </c>
      <c r="BX32" s="115">
        <f t="shared" si="353"/>
        <v>-0.13384214445271791</v>
      </c>
      <c r="BY32" s="115">
        <f t="shared" si="353"/>
        <v>0.12260044574894335</v>
      </c>
      <c r="BZ32" s="341">
        <f>BZ31/BS31-1</f>
        <v>5.7227849561147792E-3</v>
      </c>
      <c r="CA32" s="57">
        <f t="shared" ref="CA32:CD32" si="354">CA31/BT31-1</f>
        <v>-1.8801165983912571E-2</v>
      </c>
      <c r="CB32" s="57">
        <f t="shared" si="354"/>
        <v>9.8595566190638362E-2</v>
      </c>
      <c r="CC32" s="57">
        <f t="shared" si="354"/>
        <v>4.1532258064516103E-2</v>
      </c>
      <c r="CD32" s="683">
        <f t="shared" si="354"/>
        <v>0.10906214629432287</v>
      </c>
      <c r="CE32" s="57">
        <f t="shared" ref="CE32" si="355">CE31/BX31-1</f>
        <v>3.7872071781646088E-2</v>
      </c>
      <c r="CF32" s="115">
        <f t="shared" ref="CF32" si="356">CF31/BY31-1</f>
        <v>8.5805788082746304E-2</v>
      </c>
      <c r="CG32" s="341">
        <f>CG31/BZ31-1</f>
        <v>6.6990918317582082E-2</v>
      </c>
      <c r="CH32" s="57">
        <f t="shared" ref="CH32:CK32" si="357">CH31/CA31-1</f>
        <v>0.10712796998749474</v>
      </c>
      <c r="CI32" s="57">
        <f t="shared" si="357"/>
        <v>0.4065648091279217</v>
      </c>
      <c r="CJ32" s="57">
        <f t="shared" si="357"/>
        <v>0.22288763066202089</v>
      </c>
      <c r="CK32" s="683">
        <f t="shared" si="357"/>
        <v>-4.5360953949724059E-2</v>
      </c>
      <c r="CL32" s="57">
        <f t="shared" ref="CL32:CM32" si="358">CL31/CE31-1</f>
        <v>0.26013847995599715</v>
      </c>
      <c r="CM32" s="115">
        <f t="shared" si="358"/>
        <v>4.325332118363634E-2</v>
      </c>
      <c r="CN32" s="341">
        <f>CN31/CG31-1</f>
        <v>0.12606146555749653</v>
      </c>
      <c r="CO32" s="57">
        <f t="shared" ref="CO32:CP32" si="359">CO31/CH31-1</f>
        <v>0.13396442914515205</v>
      </c>
      <c r="CP32" s="57">
        <f t="shared" si="359"/>
        <v>0.1076648825306219</v>
      </c>
      <c r="CQ32" s="1972">
        <v>0.1</v>
      </c>
      <c r="CR32" s="999">
        <f>CR31/CK31-1</f>
        <v>7.6912641328369613E-2</v>
      </c>
      <c r="CS32" s="57">
        <f t="shared" ref="CS32" si="360">CS31/CL31-1</f>
        <v>0.11896392799463884</v>
      </c>
      <c r="CT32" s="799">
        <f>CT31/CM31-1</f>
        <v>8.5852636337342636E-2</v>
      </c>
      <c r="CU32" s="535">
        <v>0.1</v>
      </c>
      <c r="CV32" s="403">
        <f>DB32</f>
        <v>7.4999999999999997E-2</v>
      </c>
      <c r="CW32" s="799">
        <f>CW31/CP31-1</f>
        <v>7.4999999999999956E-2</v>
      </c>
      <c r="CX32" s="403">
        <f>DB32</f>
        <v>7.4999999999999997E-2</v>
      </c>
      <c r="CY32" s="999">
        <f>CY31/CR31-1</f>
        <v>7.5000000000000178E-2</v>
      </c>
      <c r="CZ32" s="403">
        <f>DB32</f>
        <v>7.4999999999999997E-2</v>
      </c>
      <c r="DA32" s="799">
        <f>DA31/CT31-1</f>
        <v>7.4999999999999956E-2</v>
      </c>
      <c r="DB32" s="535">
        <v>7.4999999999999997E-2</v>
      </c>
      <c r="DC32" s="403">
        <f>DI32</f>
        <v>0.05</v>
      </c>
      <c r="DD32" s="799">
        <f>DD31/CW31-1</f>
        <v>5.0000000000000266E-2</v>
      </c>
      <c r="DE32" s="403">
        <f>DI32</f>
        <v>0.05</v>
      </c>
      <c r="DF32" s="999">
        <f>DF31/CY31-1</f>
        <v>5.0000000000000266E-2</v>
      </c>
      <c r="DG32" s="403">
        <f>DI32</f>
        <v>0.05</v>
      </c>
      <c r="DH32" s="799">
        <f>DH31/DA31-1</f>
        <v>5.0000000000000044E-2</v>
      </c>
      <c r="DI32" s="535">
        <v>0.05</v>
      </c>
      <c r="DJ32" s="403">
        <f>DP32</f>
        <v>0.05</v>
      </c>
      <c r="DK32" s="799">
        <f>DK31/DD31-1</f>
        <v>5.0000000000000266E-2</v>
      </c>
      <c r="DL32" s="403">
        <f>DP32</f>
        <v>0.05</v>
      </c>
      <c r="DM32" s="999">
        <f>DM31/DF31-1</f>
        <v>5.0000000000000044E-2</v>
      </c>
      <c r="DN32" s="403">
        <f>DP32</f>
        <v>0.05</v>
      </c>
      <c r="DO32" s="799">
        <f>DO31/DH31-1</f>
        <v>5.0000000000000044E-2</v>
      </c>
      <c r="DP32" s="402">
        <f>DI32</f>
        <v>0.05</v>
      </c>
      <c r="DQ32" s="403">
        <f>DW32</f>
        <v>0.05</v>
      </c>
      <c r="DR32" s="799">
        <f>DR31/DK31-1</f>
        <v>5.0000000000000044E-2</v>
      </c>
      <c r="DS32" s="403">
        <f>DW32</f>
        <v>0.05</v>
      </c>
      <c r="DT32" s="999">
        <f>DT31/DM31-1</f>
        <v>4.9999999999999822E-2</v>
      </c>
      <c r="DU32" s="403">
        <f>DW32</f>
        <v>0.05</v>
      </c>
      <c r="DV32" s="799">
        <f>DV31/DO31-1</f>
        <v>5.0000000000000044E-2</v>
      </c>
      <c r="DW32" s="402">
        <f>DP32</f>
        <v>0.05</v>
      </c>
      <c r="DX32" s="790"/>
      <c r="DY32" s="1049"/>
      <c r="DZ32" s="1049"/>
      <c r="EA32" s="790"/>
      <c r="EB32" s="1050"/>
      <c r="EC32" s="1050"/>
      <c r="ED32" s="128"/>
      <c r="EE32" s="57"/>
      <c r="EF32" s="57"/>
      <c r="EG32" s="57"/>
      <c r="EH32" s="57"/>
      <c r="EI32" s="790"/>
      <c r="EJ32" s="790"/>
      <c r="EK32" s="790"/>
      <c r="EL32" s="790"/>
      <c r="EM32" s="790"/>
      <c r="EN32" s="790"/>
      <c r="EO32" s="790"/>
      <c r="EP32" s="790"/>
      <c r="EQ32" s="790"/>
      <c r="ER32" s="790"/>
      <c r="ES32" s="790"/>
      <c r="ET32" s="790"/>
      <c r="EU32" s="790"/>
      <c r="EV32" s="790"/>
      <c r="EW32" s="790"/>
      <c r="EX32" s="790"/>
      <c r="EY32" s="790"/>
      <c r="EZ32" s="790"/>
      <c r="FA32" s="790"/>
      <c r="FB32" s="790"/>
      <c r="FC32" s="790"/>
      <c r="FD32" s="790"/>
      <c r="FE32" s="790"/>
      <c r="FF32" s="790"/>
      <c r="FG32" s="790"/>
      <c r="FH32" s="790"/>
      <c r="FI32" s="790"/>
      <c r="FJ32" s="790"/>
      <c r="FK32" s="790"/>
      <c r="FL32" s="790"/>
      <c r="FM32" s="790"/>
      <c r="FN32" s="790"/>
      <c r="FO32" s="790"/>
      <c r="FP32" s="790"/>
      <c r="FQ32" s="790"/>
    </row>
    <row r="33" spans="1:173" ht="10.5" customHeight="1">
      <c r="A33" s="218"/>
      <c r="B33" s="218"/>
      <c r="C33" s="27"/>
      <c r="D33" s="218"/>
      <c r="E33" s="1036"/>
      <c r="F33" s="218"/>
      <c r="G33" s="27"/>
      <c r="H33" s="1022"/>
      <c r="I33" s="218"/>
      <c r="J33" s="27"/>
      <c r="K33" s="218"/>
      <c r="L33" s="1036"/>
      <c r="M33" s="218"/>
      <c r="N33" s="27"/>
      <c r="O33" s="1022"/>
      <c r="P33" s="218"/>
      <c r="Q33" s="27"/>
      <c r="R33" s="218"/>
      <c r="S33" s="1036"/>
      <c r="T33" s="218"/>
      <c r="U33" s="27"/>
      <c r="V33" s="1022"/>
      <c r="W33" s="218"/>
      <c r="X33" s="27"/>
      <c r="Y33" s="218"/>
      <c r="Z33" s="1036"/>
      <c r="AA33" s="218"/>
      <c r="AB33" s="27"/>
      <c r="AC33" s="1022"/>
      <c r="AD33" s="218"/>
      <c r="AE33" s="27"/>
      <c r="AF33" s="218"/>
      <c r="AG33" s="1036"/>
      <c r="AH33" s="218"/>
      <c r="AI33" s="27"/>
      <c r="AJ33" s="1022"/>
      <c r="AK33" s="218"/>
      <c r="AL33" s="27"/>
      <c r="AM33" s="218"/>
      <c r="AN33" s="1036"/>
      <c r="AO33" s="218"/>
      <c r="AP33" s="27"/>
      <c r="AQ33" s="1022"/>
      <c r="AR33" s="218"/>
      <c r="AS33" s="27"/>
      <c r="AT33" s="218"/>
      <c r="AU33" s="1036"/>
      <c r="AV33" s="218"/>
      <c r="AW33" s="27"/>
      <c r="AX33" s="1022"/>
      <c r="AY33" s="218"/>
      <c r="AZ33" s="27"/>
      <c r="BA33" s="218"/>
      <c r="BB33" s="1036"/>
      <c r="BC33" s="218"/>
      <c r="BD33" s="27"/>
      <c r="BE33" s="1022"/>
      <c r="BF33" s="218"/>
      <c r="BG33" s="27"/>
      <c r="BH33" s="218"/>
      <c r="BI33" s="1036"/>
      <c r="BJ33" s="218"/>
      <c r="BK33" s="27"/>
      <c r="BL33" s="1022"/>
      <c r="BM33" s="218"/>
      <c r="BN33" s="27"/>
      <c r="BO33" s="218"/>
      <c r="BP33" s="1036"/>
      <c r="BQ33" s="218"/>
      <c r="BR33" s="27"/>
      <c r="BS33" s="1022"/>
      <c r="BT33" s="218"/>
      <c r="BU33" s="27"/>
      <c r="BV33" s="218"/>
      <c r="BW33" s="1036"/>
      <c r="BX33" s="218"/>
      <c r="BY33" s="27"/>
      <c r="BZ33" s="1022"/>
      <c r="CA33" s="218"/>
      <c r="CB33" s="27"/>
      <c r="CC33" s="218"/>
      <c r="CD33" s="1036"/>
      <c r="CE33" s="218"/>
      <c r="CF33" s="27"/>
      <c r="CG33" s="1022"/>
      <c r="CH33" s="218"/>
      <c r="CI33" s="27"/>
      <c r="CJ33" s="218"/>
      <c r="CK33" s="1036"/>
      <c r="CL33" s="218"/>
      <c r="CM33" s="27"/>
      <c r="CN33" s="1022"/>
      <c r="CO33" s="218"/>
      <c r="CP33" s="27"/>
      <c r="CQ33" s="218"/>
      <c r="CR33" s="1036"/>
      <c r="CS33" s="218"/>
      <c r="CT33" s="27"/>
      <c r="CU33" s="1022"/>
      <c r="CV33" s="218"/>
      <c r="CW33" s="27"/>
      <c r="CX33" s="218"/>
      <c r="CY33" s="1036"/>
      <c r="CZ33" s="218"/>
      <c r="DA33" s="27"/>
      <c r="DB33" s="1022"/>
      <c r="DC33" s="218"/>
      <c r="DD33" s="27"/>
      <c r="DE33" s="218"/>
      <c r="DF33" s="1036"/>
      <c r="DG33" s="218"/>
      <c r="DH33" s="27"/>
      <c r="DI33" s="1022"/>
      <c r="DJ33" s="218"/>
      <c r="DK33" s="27"/>
      <c r="DL33" s="218"/>
      <c r="DM33" s="1036"/>
      <c r="DN33" s="218"/>
      <c r="DO33" s="27"/>
      <c r="DP33" s="1022"/>
      <c r="DQ33" s="218"/>
      <c r="DR33" s="27"/>
      <c r="DS33" s="218"/>
      <c r="DT33" s="1036"/>
      <c r="DU33" s="218"/>
      <c r="DV33" s="27"/>
      <c r="DW33" s="1022"/>
      <c r="DX33" s="218"/>
      <c r="DY33" s="40"/>
      <c r="DZ33" s="40"/>
      <c r="EA33" s="218"/>
      <c r="EB33" s="40"/>
      <c r="EC33" s="40"/>
      <c r="ED33" s="27"/>
      <c r="EE33" s="31"/>
      <c r="EF33" s="31"/>
      <c r="EG33" s="31"/>
      <c r="EH33" s="31"/>
      <c r="EI33" s="218"/>
      <c r="EJ33" s="218"/>
      <c r="EK33" s="218"/>
      <c r="EL33" s="218"/>
      <c r="EM33" s="218"/>
      <c r="EN33" s="218"/>
      <c r="EO33" s="218"/>
      <c r="EP33" s="218"/>
      <c r="EQ33" s="218"/>
      <c r="ER33" s="218"/>
      <c r="ES33" s="218"/>
      <c r="ET33" s="218"/>
      <c r="EU33" s="218"/>
      <c r="EV33" s="218"/>
      <c r="EW33" s="218"/>
      <c r="EX33" s="218"/>
      <c r="EY33" s="218"/>
      <c r="EZ33" s="218"/>
      <c r="FA33" s="218"/>
      <c r="FB33" s="218"/>
      <c r="FC33" s="218"/>
      <c r="FD33" s="218"/>
      <c r="FE33" s="218"/>
      <c r="FF33" s="218"/>
      <c r="FG33" s="218"/>
      <c r="FH33" s="218"/>
      <c r="FI33" s="218"/>
      <c r="FJ33" s="218"/>
      <c r="FK33" s="218"/>
      <c r="FL33" s="218"/>
      <c r="FM33" s="218"/>
      <c r="FN33" s="218"/>
      <c r="FO33" s="218"/>
      <c r="FP33" s="218"/>
      <c r="FQ33" s="218"/>
    </row>
    <row r="34" spans="1:173" ht="10.5" customHeight="1">
      <c r="A34" s="130" t="s">
        <v>352</v>
      </c>
      <c r="B34" s="33"/>
      <c r="C34" s="33"/>
      <c r="D34" s="33"/>
      <c r="E34" s="1033"/>
      <c r="F34" s="33"/>
      <c r="G34" s="33"/>
      <c r="H34" s="305">
        <f t="shared" ref="H34:BL34" si="361">H28-H31</f>
        <v>3280.25</v>
      </c>
      <c r="I34" s="33">
        <f>I28-I31</f>
        <v>630.88999999999987</v>
      </c>
      <c r="J34" s="33">
        <f>J28-J31</f>
        <v>913.59000000000015</v>
      </c>
      <c r="K34" s="33">
        <f>K28-K31</f>
        <v>697.06</v>
      </c>
      <c r="L34" s="1033">
        <f>N34-K34</f>
        <v>1796.21</v>
      </c>
      <c r="M34" s="33">
        <f>M28-M31</f>
        <v>1544.48</v>
      </c>
      <c r="N34" s="33">
        <f>O34-M34</f>
        <v>2493.27</v>
      </c>
      <c r="O34" s="305">
        <f t="shared" si="361"/>
        <v>4037.75</v>
      </c>
      <c r="P34" s="33">
        <f>P28-P31</f>
        <v>754.87000000000012</v>
      </c>
      <c r="Q34" s="33">
        <f>Q28-Q31</f>
        <v>849.11999999999989</v>
      </c>
      <c r="R34" s="33">
        <f>R28-R31</f>
        <v>855.60000000000014</v>
      </c>
      <c r="S34" s="1033">
        <f>U34-R34</f>
        <v>941.2099999999989</v>
      </c>
      <c r="T34" s="33">
        <f>T28-T31</f>
        <v>1603.9900000000002</v>
      </c>
      <c r="U34" s="33">
        <f>V34-T34</f>
        <v>1796.809999999999</v>
      </c>
      <c r="V34" s="305">
        <f t="shared" si="361"/>
        <v>3400.7999999999993</v>
      </c>
      <c r="W34" s="33">
        <f>W28-W31</f>
        <v>836.2199999999998</v>
      </c>
      <c r="X34" s="33">
        <f>X28-X31</f>
        <v>850.18000000000029</v>
      </c>
      <c r="Y34" s="33">
        <f>Y28-Y31</f>
        <v>727.67999999999984</v>
      </c>
      <c r="Z34" s="1033">
        <f>AB34-Y34</f>
        <v>1260.6599999999989</v>
      </c>
      <c r="AA34" s="33">
        <f>AA28-AA31</f>
        <v>1686.4</v>
      </c>
      <c r="AB34" s="33">
        <f>AC34-AA34</f>
        <v>1988.3399999999988</v>
      </c>
      <c r="AC34" s="305">
        <f t="shared" si="361"/>
        <v>3674.7399999999989</v>
      </c>
      <c r="AD34" s="33">
        <f>AD28-AD31</f>
        <v>655.34000000000015</v>
      </c>
      <c r="AE34" s="33">
        <f>AE28-AE31</f>
        <v>824.65999999999985</v>
      </c>
      <c r="AF34" s="33">
        <f>AF28-AF31</f>
        <v>695.63999999999987</v>
      </c>
      <c r="AG34" s="1033">
        <f>AI34-AF34</f>
        <v>1065.559999999999</v>
      </c>
      <c r="AH34" s="33">
        <f>AH28-AH31</f>
        <v>1480</v>
      </c>
      <c r="AI34" s="33">
        <f>AJ34-AH34</f>
        <v>1761.1999999999989</v>
      </c>
      <c r="AJ34" s="305">
        <f t="shared" si="361"/>
        <v>3241.1999999999989</v>
      </c>
      <c r="AK34" s="33">
        <f>AK28-AK31</f>
        <v>842.46</v>
      </c>
      <c r="AL34" s="33">
        <f>AL28-AL31</f>
        <v>646.17999999999984</v>
      </c>
      <c r="AM34" s="33">
        <f>AM28-AM31</f>
        <v>791.66999999999985</v>
      </c>
      <c r="AN34" s="1033">
        <f>AP34-AM34</f>
        <v>1038.5899999999999</v>
      </c>
      <c r="AO34" s="33">
        <f>AO28-AO31</f>
        <v>1488.6399999999999</v>
      </c>
      <c r="AP34" s="33">
        <f>AQ34-AO34</f>
        <v>1830.2599999999998</v>
      </c>
      <c r="AQ34" s="305">
        <f t="shared" si="361"/>
        <v>3318.8999999999996</v>
      </c>
      <c r="AR34" s="33">
        <f>AR28-AR31</f>
        <v>654.72</v>
      </c>
      <c r="AS34" s="33">
        <f>AS28-AS31</f>
        <v>799.63000000000011</v>
      </c>
      <c r="AT34" s="33">
        <f>AT28-AT31</f>
        <v>807.30000000000018</v>
      </c>
      <c r="AU34" s="1033">
        <f>AW34-AT34</f>
        <v>1228.5899999999992</v>
      </c>
      <c r="AV34" s="33">
        <f>AV28-AV31</f>
        <v>1454.3500000000004</v>
      </c>
      <c r="AW34" s="33">
        <f>AX34-AV34</f>
        <v>2035.8899999999994</v>
      </c>
      <c r="AX34" s="305">
        <f t="shared" si="361"/>
        <v>3490.24</v>
      </c>
      <c r="AY34" s="33">
        <f>AY28-AY31</f>
        <v>738.84999999999991</v>
      </c>
      <c r="AZ34" s="33">
        <f>AZ28-AZ31</f>
        <v>899.51000000000022</v>
      </c>
      <c r="BA34" s="33">
        <f>BA28-BA31</f>
        <v>834.75</v>
      </c>
      <c r="BB34" s="1033">
        <f>BD34-BA34</f>
        <v>869.61000000000013</v>
      </c>
      <c r="BC34" s="33">
        <f>BC28-BC31</f>
        <v>1638.3600000000001</v>
      </c>
      <c r="BD34" s="33">
        <f>BE34-BC34</f>
        <v>1704.3600000000001</v>
      </c>
      <c r="BE34" s="305">
        <f t="shared" si="361"/>
        <v>3342.7200000000003</v>
      </c>
      <c r="BF34" s="33">
        <f>BF28-BF31</f>
        <v>782.55</v>
      </c>
      <c r="BG34" s="33">
        <f>BG28-BG31</f>
        <v>851.12999999999988</v>
      </c>
      <c r="BH34" s="33">
        <f>BH28-BH31</f>
        <v>843.48</v>
      </c>
      <c r="BI34" s="1033">
        <f>BK34-BH34</f>
        <v>1087.9400000000014</v>
      </c>
      <c r="BJ34" s="33">
        <f>BJ28-BJ31</f>
        <v>1633.6799999999998</v>
      </c>
      <c r="BK34" s="33">
        <f>BL34-BJ34</f>
        <v>1931.4200000000014</v>
      </c>
      <c r="BL34" s="305">
        <f t="shared" si="361"/>
        <v>3565.1000000000013</v>
      </c>
      <c r="BM34" s="33">
        <f>BM28-BM31</f>
        <v>760.43000000000006</v>
      </c>
      <c r="BN34" s="33">
        <f>BN28-BN31</f>
        <v>857.48999999999955</v>
      </c>
      <c r="BO34" s="33">
        <f>BO28-BO31</f>
        <v>837.20999999999981</v>
      </c>
      <c r="BP34" s="1033">
        <f>BR34-BO34</f>
        <v>1260.3399999999999</v>
      </c>
      <c r="BQ34" s="33">
        <f>BQ28-BQ31</f>
        <v>1617.9199999999996</v>
      </c>
      <c r="BR34" s="33">
        <f>BS34-BQ34</f>
        <v>2097.5499999999997</v>
      </c>
      <c r="BS34" s="305">
        <f>BS28-BS31</f>
        <v>3715.4699999999993</v>
      </c>
      <c r="BT34" s="33">
        <f>BT28-BT31</f>
        <v>758.66999999999985</v>
      </c>
      <c r="BU34" s="33">
        <f>BU28-BU31</f>
        <v>916.41000000000008</v>
      </c>
      <c r="BV34" s="33">
        <f>BV28-BV31</f>
        <v>892.8</v>
      </c>
      <c r="BW34" s="1033">
        <f>BY34-BV34</f>
        <v>1340.4199999999994</v>
      </c>
      <c r="BX34" s="33">
        <f>BX28-BX31</f>
        <v>1675.08</v>
      </c>
      <c r="BY34" s="33">
        <f>BZ34-BX34</f>
        <v>2233.2199999999993</v>
      </c>
      <c r="BZ34" s="305">
        <f>BZ28-BZ31</f>
        <v>3908.2999999999993</v>
      </c>
      <c r="CA34" s="33">
        <f>CA28-CA31</f>
        <v>887.62999999999988</v>
      </c>
      <c r="CB34" s="33">
        <f>CB28-CB31</f>
        <v>1006.6700000000003</v>
      </c>
      <c r="CC34" s="33">
        <f>CC28-CC31</f>
        <v>970.87999999999988</v>
      </c>
      <c r="CD34" s="1033">
        <f>CF34-CC34</f>
        <v>1121.8799999999994</v>
      </c>
      <c r="CE34" s="33">
        <f>CE28-CE31</f>
        <v>1894.3000000000002</v>
      </c>
      <c r="CF34" s="33">
        <f>CG34-CE34</f>
        <v>2092.7599999999993</v>
      </c>
      <c r="CG34" s="305">
        <f>CG28-CG31</f>
        <v>3987.0599999999995</v>
      </c>
      <c r="CH34" s="33">
        <f>CH28-CH31</f>
        <v>982.72</v>
      </c>
      <c r="CI34" s="33">
        <f>CI28-CI31</f>
        <v>935.56999999999971</v>
      </c>
      <c r="CJ34" s="33">
        <f>CJ28-CJ31</f>
        <v>1041.4199999999998</v>
      </c>
      <c r="CK34" s="1033">
        <f>CM34-CJ34</f>
        <v>1329.8899999999987</v>
      </c>
      <c r="CL34" s="33">
        <f>CL28-CL31</f>
        <v>1918.29</v>
      </c>
      <c r="CM34" s="33">
        <f>CN34-CL34</f>
        <v>2371.3099999999986</v>
      </c>
      <c r="CN34" s="305">
        <f>CN28-CN31</f>
        <v>4289.5999999999985</v>
      </c>
      <c r="CO34" s="33">
        <f>CO28-CO31</f>
        <v>934.56</v>
      </c>
      <c r="CP34" s="33">
        <f>CP28-CP31</f>
        <v>1023.4000000000001</v>
      </c>
      <c r="CQ34" s="792">
        <f>CJ34*(1+CQ35)</f>
        <v>1119.5264999999997</v>
      </c>
      <c r="CR34" s="1058">
        <f>CT34-CQ34</f>
        <v>1426.5934999999993</v>
      </c>
      <c r="CS34" s="33">
        <f>CS28-CS31</f>
        <v>1957.96</v>
      </c>
      <c r="CT34" s="291">
        <f>CU34-CS34</f>
        <v>2546.119999999999</v>
      </c>
      <c r="CU34" s="1023">
        <f>CN34*(1+CU35)</f>
        <v>4504.079999999999</v>
      </c>
      <c r="CV34" s="792">
        <f>CO34*(1+CV35)</f>
        <v>981.28800000000001</v>
      </c>
      <c r="CW34" s="291">
        <f>CZ34-CV34</f>
        <v>1074.5700000000002</v>
      </c>
      <c r="CX34" s="792">
        <f>CQ34*(1+CX35)</f>
        <v>1175.5028249999998</v>
      </c>
      <c r="CY34" s="1058">
        <f>DA34-CX34</f>
        <v>1497.9231749999988</v>
      </c>
      <c r="CZ34" s="792">
        <f>CS34*(1+CZ35)</f>
        <v>2055.8580000000002</v>
      </c>
      <c r="DA34" s="291">
        <f>DB34-CZ34</f>
        <v>2673.4259999999986</v>
      </c>
      <c r="DB34" s="1023">
        <f>CU34*(1+DB35)</f>
        <v>4729.2839999999987</v>
      </c>
      <c r="DC34" s="792">
        <f>CV34*(1+DC35)</f>
        <v>1030.3524</v>
      </c>
      <c r="DD34" s="291">
        <f>DG34-DC34</f>
        <v>1128.2985000000001</v>
      </c>
      <c r="DE34" s="792">
        <f>CX34*(1+DE35)</f>
        <v>1234.2779662499997</v>
      </c>
      <c r="DF34" s="1058">
        <f>DH34-DE34</f>
        <v>1572.8193337499993</v>
      </c>
      <c r="DG34" s="792">
        <f>CZ34*(1+DG35)</f>
        <v>2158.6509000000001</v>
      </c>
      <c r="DH34" s="291">
        <f>DI34-DG34</f>
        <v>2807.097299999999</v>
      </c>
      <c r="DI34" s="1023">
        <f>DB34*(1+DI35)</f>
        <v>4965.7481999999991</v>
      </c>
      <c r="DJ34" s="792">
        <f>DC34*(1+DJ35)</f>
        <v>1081.8700200000001</v>
      </c>
      <c r="DK34" s="291">
        <f>DN34-DJ34</f>
        <v>1184.7134250000001</v>
      </c>
      <c r="DL34" s="792">
        <f>DE34*(1+DL35)</f>
        <v>1295.9918645624998</v>
      </c>
      <c r="DM34" s="1058">
        <f>DO34-DL34</f>
        <v>1651.460300437499</v>
      </c>
      <c r="DN34" s="792">
        <f>DG34*(1+DN35)</f>
        <v>2266.5834450000002</v>
      </c>
      <c r="DO34" s="291">
        <f>DP34-DN34</f>
        <v>2947.4521649999988</v>
      </c>
      <c r="DP34" s="1023">
        <f>DI34*(1+DP35)</f>
        <v>5214.035609999999</v>
      </c>
      <c r="DQ34" s="792">
        <f>DJ34*(1+DQ35)</f>
        <v>1135.9635210000001</v>
      </c>
      <c r="DR34" s="291">
        <f>DU34-DQ34</f>
        <v>1243.9490962500004</v>
      </c>
      <c r="DS34" s="792">
        <f>DL34*(1+DS35)</f>
        <v>1360.7914577906249</v>
      </c>
      <c r="DT34" s="1058">
        <f>DV34-DS34</f>
        <v>1734.0333154593741</v>
      </c>
      <c r="DU34" s="792">
        <f>DN34*(1+DU35)</f>
        <v>2379.9126172500005</v>
      </c>
      <c r="DV34" s="291">
        <f>DW34-DU34</f>
        <v>3094.824773249999</v>
      </c>
      <c r="DW34" s="1023">
        <f>DP34*(1+DW35)</f>
        <v>5474.7373904999995</v>
      </c>
      <c r="DX34" s="273"/>
      <c r="DY34" s="793"/>
      <c r="DZ34" s="793"/>
      <c r="EA34" s="273"/>
      <c r="EB34" s="794"/>
      <c r="EC34" s="794"/>
      <c r="ED34" s="260"/>
      <c r="EE34" s="260"/>
      <c r="EF34" s="260"/>
      <c r="EG34" s="260"/>
      <c r="EH34" s="260"/>
      <c r="EI34" s="273"/>
      <c r="EJ34" s="273"/>
      <c r="EK34" s="273"/>
      <c r="EL34" s="273"/>
      <c r="EM34" s="273"/>
      <c r="EN34" s="273"/>
      <c r="EO34" s="273"/>
      <c r="EP34" s="273"/>
      <c r="EQ34" s="273"/>
      <c r="ER34" s="273"/>
      <c r="ES34" s="273"/>
      <c r="ET34" s="273"/>
      <c r="EU34" s="273"/>
      <c r="EV34" s="273"/>
      <c r="EW34" s="273"/>
      <c r="EX34" s="273"/>
      <c r="EY34" s="273"/>
      <c r="EZ34" s="273"/>
      <c r="FA34" s="273"/>
      <c r="FB34" s="273"/>
      <c r="FC34" s="273"/>
      <c r="FD34" s="273"/>
      <c r="FE34" s="273"/>
      <c r="FF34" s="273"/>
      <c r="FG34" s="273"/>
      <c r="FH34" s="273"/>
      <c r="FI34" s="273"/>
      <c r="FJ34" s="273"/>
      <c r="FK34" s="273"/>
      <c r="FL34" s="273"/>
      <c r="FM34" s="273"/>
      <c r="FN34" s="273"/>
      <c r="FO34" s="273"/>
      <c r="FP34" s="273"/>
      <c r="FQ34" s="273"/>
    </row>
    <row r="35" spans="1:173" ht="10.5" customHeight="1">
      <c r="A35" s="128" t="s">
        <v>347</v>
      </c>
      <c r="B35" s="403"/>
      <c r="C35" s="57"/>
      <c r="D35" s="403"/>
      <c r="E35" s="959"/>
      <c r="F35" s="403"/>
      <c r="G35" s="57"/>
      <c r="H35" s="341"/>
      <c r="I35" s="115"/>
      <c r="J35" s="115"/>
      <c r="K35" s="115"/>
      <c r="L35" s="683"/>
      <c r="M35" s="115"/>
      <c r="N35" s="115"/>
      <c r="O35" s="341">
        <f t="shared" ref="O35:Q35" si="362">O34/H34-1</f>
        <v>0.2309275207682342</v>
      </c>
      <c r="P35" s="115">
        <f t="shared" si="362"/>
        <v>0.19651603290589525</v>
      </c>
      <c r="Q35" s="115">
        <f t="shared" si="362"/>
        <v>-7.056776015499322E-2</v>
      </c>
      <c r="R35" s="115">
        <f t="shared" ref="R35" si="363">R34/K34-1</f>
        <v>0.22744096634436084</v>
      </c>
      <c r="S35" s="683">
        <f t="shared" ref="S35" si="364">S34/L34-1</f>
        <v>-0.47600224918021894</v>
      </c>
      <c r="T35" s="115">
        <f t="shared" ref="T35" si="365">T34/M34-1</f>
        <v>3.8530767637004137E-2</v>
      </c>
      <c r="U35" s="115">
        <f t="shared" ref="U35" si="366">U34/N34-1</f>
        <v>-0.27933597243780295</v>
      </c>
      <c r="V35" s="341">
        <f>V34/O34-1</f>
        <v>-0.15774874620766532</v>
      </c>
      <c r="W35" s="115">
        <f t="shared" ref="W35:X35" si="367">W34/P34-1</f>
        <v>0.10776690026097158</v>
      </c>
      <c r="X35" s="115">
        <f t="shared" si="367"/>
        <v>1.2483512342194025E-3</v>
      </c>
      <c r="Y35" s="115">
        <f t="shared" ref="Y35" si="368">Y34/R34-1</f>
        <v>-0.14950911640953746</v>
      </c>
      <c r="Z35" s="683">
        <f t="shared" ref="Z35" si="369">Z34/S34-1</f>
        <v>0.33940353374911059</v>
      </c>
      <c r="AA35" s="115">
        <f t="shared" ref="AA35" si="370">AA34/T34-1</f>
        <v>5.1378125798789087E-2</v>
      </c>
      <c r="AB35" s="115">
        <f t="shared" ref="AB35" si="371">AB34/U34-1</f>
        <v>0.10659446463454669</v>
      </c>
      <c r="AC35" s="341">
        <f>AC34/V34-1</f>
        <v>8.0551634909433067E-2</v>
      </c>
      <c r="AD35" s="115">
        <f t="shared" ref="AD35:AE35" si="372">AD34/W34-1</f>
        <v>-0.21630671354428221</v>
      </c>
      <c r="AE35" s="115">
        <f t="shared" si="372"/>
        <v>-3.0017172833988637E-2</v>
      </c>
      <c r="AF35" s="115">
        <f t="shared" ref="AF35" si="373">AF34/Y34-1</f>
        <v>-4.4030343007915529E-2</v>
      </c>
      <c r="AG35" s="683">
        <f t="shared" ref="AG35" si="374">AG34/Z34-1</f>
        <v>-0.15476020497199883</v>
      </c>
      <c r="AH35" s="115">
        <f t="shared" ref="AH35" si="375">AH34/AA34-1</f>
        <v>-0.12239089184060725</v>
      </c>
      <c r="AI35" s="115">
        <f t="shared" ref="AI35" si="376">AI34/AB34-1</f>
        <v>-0.11423599585583954</v>
      </c>
      <c r="AJ35" s="341">
        <f>AJ34/AC34-1</f>
        <v>-0.1179784147994144</v>
      </c>
      <c r="AK35" s="115">
        <f t="shared" ref="AK35:AL35" si="377">AK34/AD34-1</f>
        <v>0.28553117465742961</v>
      </c>
      <c r="AL35" s="115">
        <f t="shared" si="377"/>
        <v>-0.21642858875172799</v>
      </c>
      <c r="AM35" s="115">
        <f t="shared" ref="AM35" si="378">AM34/AF34-1</f>
        <v>0.13804554079696385</v>
      </c>
      <c r="AN35" s="683">
        <f t="shared" ref="AN35" si="379">AN34/AG34-1</f>
        <v>-2.5310634783587194E-2</v>
      </c>
      <c r="AO35" s="115">
        <f t="shared" ref="AO35" si="380">AO34/AH34-1</f>
        <v>5.837837837837645E-3</v>
      </c>
      <c r="AP35" s="115">
        <f t="shared" ref="AP35" si="381">AP34/AI34-1</f>
        <v>3.9211900976607428E-2</v>
      </c>
      <c r="AQ35" s="341">
        <f>AQ34/AJ34-1</f>
        <v>2.3972602739726234E-2</v>
      </c>
      <c r="AR35" s="115">
        <f t="shared" ref="AR35:AS35" si="382">AR34/AK34-1</f>
        <v>-0.22284737554305245</v>
      </c>
      <c r="AS35" s="115">
        <f t="shared" si="382"/>
        <v>0.23747253087375086</v>
      </c>
      <c r="AT35" s="115">
        <f t="shared" ref="AT35" si="383">AT34/AM34-1</f>
        <v>1.9743074766001456E-2</v>
      </c>
      <c r="AU35" s="683">
        <f t="shared" ref="AU35" si="384">AU34/AN34-1</f>
        <v>0.18294033256626707</v>
      </c>
      <c r="AV35" s="115">
        <f t="shared" ref="AV35" si="385">AV34/AO34-1</f>
        <v>-2.3034447549440729E-2</v>
      </c>
      <c r="AW35" s="115">
        <f t="shared" ref="AW35" si="386">AW34/AP34-1</f>
        <v>0.11235015790106306</v>
      </c>
      <c r="AX35" s="341">
        <f>AX34/AQ34-1</f>
        <v>5.1625538582060315E-2</v>
      </c>
      <c r="AY35" s="115">
        <f t="shared" ref="AY35:AZ35" si="387">AY34/AR34-1</f>
        <v>0.12849767839687165</v>
      </c>
      <c r="AZ35" s="115">
        <f t="shared" si="387"/>
        <v>0.12490776984355279</v>
      </c>
      <c r="BA35" s="115">
        <f t="shared" ref="BA35" si="388">BA34/AT34-1</f>
        <v>3.400222965440336E-2</v>
      </c>
      <c r="BB35" s="683">
        <f t="shared" ref="BB35" si="389">BB34/AU34-1</f>
        <v>-0.29218860645129729</v>
      </c>
      <c r="BC35" s="115">
        <f t="shared" ref="BC35" si="390">BC34/AV34-1</f>
        <v>0.12652387664592402</v>
      </c>
      <c r="BD35" s="115">
        <f t="shared" ref="BD35" si="391">BD34/AW34-1</f>
        <v>-0.16284278620161174</v>
      </c>
      <c r="BE35" s="341">
        <f>BE34/AX34-1</f>
        <v>-4.22664343999265E-2</v>
      </c>
      <c r="BF35" s="115">
        <f t="shared" ref="BF35:BG35" si="392">BF34/AY34-1</f>
        <v>5.9145970088651412E-2</v>
      </c>
      <c r="BG35" s="115">
        <f t="shared" si="392"/>
        <v>-5.3784838412024638E-2</v>
      </c>
      <c r="BH35" s="115">
        <f t="shared" ref="BH35" si="393">BH34/BA34-1</f>
        <v>1.0458221024258751E-2</v>
      </c>
      <c r="BI35" s="683">
        <f t="shared" ref="BI35" si="394">BI34/BB34-1</f>
        <v>0.25106657007164279</v>
      </c>
      <c r="BJ35" s="115">
        <f t="shared" ref="BJ35" si="395">BJ34/BC34-1</f>
        <v>-2.8565150516371984E-3</v>
      </c>
      <c r="BK35" s="115">
        <f t="shared" ref="BK35" si="396">BK34/BD34-1</f>
        <v>0.13322302799878027</v>
      </c>
      <c r="BL35" s="341">
        <f>BL34/BE34-1</f>
        <v>6.6526660922841652E-2</v>
      </c>
      <c r="BM35" s="115">
        <f t="shared" ref="BM35" si="397">BM34/BF34-1</f>
        <v>-2.8266564436777109E-2</v>
      </c>
      <c r="BN35" s="115">
        <f t="shared" ref="BN35" si="398">BN34/BG34-1</f>
        <v>7.4724190194208617E-3</v>
      </c>
      <c r="BO35" s="115">
        <f t="shared" ref="BO35" si="399">BO34/BH34-1</f>
        <v>-7.4334898278562989E-3</v>
      </c>
      <c r="BP35" s="683">
        <f t="shared" ref="BP35" si="400">BP34/BI34-1</f>
        <v>0.15846462121072702</v>
      </c>
      <c r="BQ35" s="115">
        <f t="shared" ref="BQ35" si="401">BQ34/BJ34-1</f>
        <v>-9.6469320797220037E-3</v>
      </c>
      <c r="BR35" s="115">
        <f t="shared" ref="BR35" si="402">BR34/BK34-1</f>
        <v>8.6014434975302256E-2</v>
      </c>
      <c r="BS35" s="341">
        <f>BS34/BL34-1</f>
        <v>4.2178340018512284E-2</v>
      </c>
      <c r="BT35" s="115">
        <f t="shared" ref="BT35" si="403">BT34/BM34-1</f>
        <v>-2.3144799652831116E-3</v>
      </c>
      <c r="BU35" s="115">
        <f t="shared" ref="BU35" si="404">BU34/BN34-1</f>
        <v>6.8712171570514569E-2</v>
      </c>
      <c r="BV35" s="115">
        <f t="shared" ref="BV35" si="405">BV34/BO34-1</f>
        <v>6.6399111334074057E-2</v>
      </c>
      <c r="BW35" s="683">
        <f t="shared" ref="BW35" si="406">BW34/BP34-1</f>
        <v>6.3538410270244094E-2</v>
      </c>
      <c r="BX35" s="115">
        <f t="shared" ref="BX35" si="407">BX34/BQ34-1</f>
        <v>3.5329311708860889E-2</v>
      </c>
      <c r="BY35" s="115">
        <f t="shared" ref="BY35" si="408">BY34/BR34-1</f>
        <v>6.4680222163953083E-2</v>
      </c>
      <c r="BZ35" s="341">
        <f>BZ34/BS34-1</f>
        <v>5.1899221363649772E-2</v>
      </c>
      <c r="CA35" s="57">
        <f t="shared" ref="CA35:CD35" si="409">CA34/BT34-1</f>
        <v>0.16998167846362722</v>
      </c>
      <c r="CB35" s="57">
        <f t="shared" si="409"/>
        <v>9.8493032594581198E-2</v>
      </c>
      <c r="CC35" s="57">
        <f t="shared" si="409"/>
        <v>8.7455197132616513E-2</v>
      </c>
      <c r="CD35" s="683">
        <f t="shared" si="409"/>
        <v>-0.16303845063487565</v>
      </c>
      <c r="CE35" s="57">
        <f t="shared" ref="CE35" si="410">CE34/BX34-1</f>
        <v>0.13087136136781541</v>
      </c>
      <c r="CF35" s="115">
        <f t="shared" ref="CF35" si="411">CF34/BY34-1</f>
        <v>-6.2895729036995918E-2</v>
      </c>
      <c r="CG35" s="341">
        <f>CG34/BZ34-1</f>
        <v>2.0151984238671705E-2</v>
      </c>
      <c r="CH35" s="57">
        <f t="shared" ref="CH35:CK35" si="412">CH34/CA34-1</f>
        <v>0.10712796998749496</v>
      </c>
      <c r="CI35" s="57">
        <f t="shared" si="412"/>
        <v>-7.0628905202301251E-2</v>
      </c>
      <c r="CJ35" s="57">
        <f t="shared" si="412"/>
        <v>7.2655735003295918E-2</v>
      </c>
      <c r="CK35" s="683">
        <f t="shared" si="412"/>
        <v>0.1854119870217843</v>
      </c>
      <c r="CL35" s="57">
        <f t="shared" ref="CL35:CM35" si="413">CL34/CE34-1</f>
        <v>1.2664308715620409E-2</v>
      </c>
      <c r="CM35" s="115">
        <f t="shared" si="413"/>
        <v>0.13310174124123142</v>
      </c>
      <c r="CN35" s="341">
        <f>CN34/CG34-1</f>
        <v>7.5880473331226383E-2</v>
      </c>
      <c r="CO35" s="57">
        <f t="shared" ref="CO35:CP35" si="414">CO34/CH34-1</f>
        <v>-4.9006838163464739E-2</v>
      </c>
      <c r="CP35" s="57">
        <f t="shared" si="414"/>
        <v>9.3878598073901864E-2</v>
      </c>
      <c r="CQ35" s="1972">
        <v>7.4999999999999997E-2</v>
      </c>
      <c r="CR35" s="999">
        <f>CR34/CK34-1</f>
        <v>7.2715412552918357E-2</v>
      </c>
      <c r="CS35" s="57">
        <f t="shared" ref="CS35" si="415">CS34/CL34-1</f>
        <v>2.0679876348205894E-2</v>
      </c>
      <c r="CT35" s="799">
        <f>CT34/CM34-1</f>
        <v>7.3718746178272898E-2</v>
      </c>
      <c r="CU35" s="535">
        <v>0.05</v>
      </c>
      <c r="CV35" s="403">
        <f>DB35</f>
        <v>0.05</v>
      </c>
      <c r="CW35" s="799">
        <f>CW34/CP34-1</f>
        <v>5.0000000000000044E-2</v>
      </c>
      <c r="CX35" s="403">
        <f>DB35</f>
        <v>0.05</v>
      </c>
      <c r="CY35" s="999">
        <f>CY34/CR34-1</f>
        <v>4.99999999999996E-2</v>
      </c>
      <c r="CZ35" s="403">
        <f>DB35</f>
        <v>0.05</v>
      </c>
      <c r="DA35" s="799">
        <f>DA34/CT34-1</f>
        <v>4.9999999999999822E-2</v>
      </c>
      <c r="DB35" s="402">
        <f>CU35</f>
        <v>0.05</v>
      </c>
      <c r="DC35" s="403">
        <f>DI35</f>
        <v>0.05</v>
      </c>
      <c r="DD35" s="799">
        <f>DD34/CW34-1</f>
        <v>5.0000000000000044E-2</v>
      </c>
      <c r="DE35" s="403">
        <f>DI35</f>
        <v>0.05</v>
      </c>
      <c r="DF35" s="999">
        <f>DF34/CY34-1</f>
        <v>5.0000000000000266E-2</v>
      </c>
      <c r="DG35" s="403">
        <f>DI35</f>
        <v>0.05</v>
      </c>
      <c r="DH35" s="799">
        <f>DH34/DA34-1</f>
        <v>5.0000000000000266E-2</v>
      </c>
      <c r="DI35" s="402">
        <f>DB35</f>
        <v>0.05</v>
      </c>
      <c r="DJ35" s="403">
        <f>DP35</f>
        <v>0.05</v>
      </c>
      <c r="DK35" s="799">
        <f>DK34/DD34-1</f>
        <v>5.0000000000000044E-2</v>
      </c>
      <c r="DL35" s="403">
        <f>DP35</f>
        <v>0.05</v>
      </c>
      <c r="DM35" s="999">
        <f>DM34/DF34-1</f>
        <v>4.9999999999999822E-2</v>
      </c>
      <c r="DN35" s="403">
        <f>DP35</f>
        <v>0.05</v>
      </c>
      <c r="DO35" s="799">
        <f>DO34/DH34-1</f>
        <v>5.0000000000000044E-2</v>
      </c>
      <c r="DP35" s="402">
        <f>DI35</f>
        <v>0.05</v>
      </c>
      <c r="DQ35" s="403">
        <f>DW35</f>
        <v>0.05</v>
      </c>
      <c r="DR35" s="799">
        <f>DR34/DK34-1</f>
        <v>5.0000000000000266E-2</v>
      </c>
      <c r="DS35" s="403">
        <f>DW35</f>
        <v>0.05</v>
      </c>
      <c r="DT35" s="999">
        <f>DT34/DM34-1</f>
        <v>5.0000000000000044E-2</v>
      </c>
      <c r="DU35" s="403">
        <f>DW35</f>
        <v>0.05</v>
      </c>
      <c r="DV35" s="799">
        <f>DV34/DO34-1</f>
        <v>5.0000000000000044E-2</v>
      </c>
      <c r="DW35" s="402">
        <f>DP35</f>
        <v>0.05</v>
      </c>
      <c r="DX35" s="790"/>
      <c r="DY35" s="1049"/>
      <c r="DZ35" s="1049"/>
      <c r="EA35" s="790"/>
      <c r="EB35" s="1050"/>
      <c r="EC35" s="1050"/>
      <c r="ED35" s="128"/>
      <c r="EE35" s="57"/>
      <c r="EF35" s="57"/>
      <c r="EG35" s="57"/>
      <c r="EH35" s="57"/>
      <c r="EI35" s="790"/>
      <c r="EJ35" s="790"/>
      <c r="EK35" s="790"/>
      <c r="EL35" s="790"/>
      <c r="EM35" s="790"/>
      <c r="EN35" s="790"/>
      <c r="EO35" s="790"/>
      <c r="EP35" s="790"/>
      <c r="EQ35" s="790"/>
      <c r="ER35" s="790"/>
      <c r="ES35" s="790"/>
      <c r="ET35" s="790"/>
      <c r="EU35" s="790"/>
      <c r="EV35" s="790"/>
      <c r="EW35" s="790"/>
      <c r="EX35" s="790"/>
      <c r="EY35" s="790"/>
      <c r="EZ35" s="790"/>
      <c r="FA35" s="790"/>
      <c r="FB35" s="790"/>
      <c r="FC35" s="790"/>
      <c r="FD35" s="790"/>
      <c r="FE35" s="790"/>
      <c r="FF35" s="790"/>
      <c r="FG35" s="790"/>
      <c r="FH35" s="790"/>
      <c r="FI35" s="790"/>
      <c r="FJ35" s="790"/>
      <c r="FK35" s="790"/>
      <c r="FL35" s="790"/>
      <c r="FM35" s="790"/>
      <c r="FN35" s="790"/>
      <c r="FO35" s="790"/>
      <c r="FP35" s="790"/>
      <c r="FQ35" s="790"/>
    </row>
    <row r="36" spans="1:173" ht="10.5" customHeight="1">
      <c r="A36" s="218"/>
      <c r="B36" s="218"/>
      <c r="C36" s="27"/>
      <c r="D36" s="218"/>
      <c r="E36" s="1036"/>
      <c r="F36" s="218"/>
      <c r="G36" s="27"/>
      <c r="H36" s="1022"/>
      <c r="I36" s="218"/>
      <c r="J36" s="27"/>
      <c r="K36" s="218"/>
      <c r="L36" s="1036"/>
      <c r="M36" s="218"/>
      <c r="N36" s="27"/>
      <c r="O36" s="1022"/>
      <c r="P36" s="218"/>
      <c r="Q36" s="27"/>
      <c r="R36" s="218"/>
      <c r="S36" s="1036"/>
      <c r="T36" s="218"/>
      <c r="U36" s="27"/>
      <c r="V36" s="1022"/>
      <c r="W36" s="218"/>
      <c r="X36" s="27"/>
      <c r="Y36" s="218"/>
      <c r="Z36" s="1036"/>
      <c r="AA36" s="218"/>
      <c r="AB36" s="27"/>
      <c r="AC36" s="1022"/>
      <c r="AD36" s="218"/>
      <c r="AE36" s="27"/>
      <c r="AF36" s="218"/>
      <c r="AG36" s="1036"/>
      <c r="AH36" s="218"/>
      <c r="AI36" s="27"/>
      <c r="AJ36" s="1022"/>
      <c r="AK36" s="218"/>
      <c r="AL36" s="27"/>
      <c r="AM36" s="218"/>
      <c r="AN36" s="1036"/>
      <c r="AO36" s="218"/>
      <c r="AP36" s="27"/>
      <c r="AQ36" s="1022"/>
      <c r="AR36" s="218"/>
      <c r="AS36" s="27"/>
      <c r="AT36" s="218"/>
      <c r="AU36" s="1036"/>
      <c r="AV36" s="218"/>
      <c r="AW36" s="27"/>
      <c r="AX36" s="1022"/>
      <c r="AY36" s="218"/>
      <c r="AZ36" s="27"/>
      <c r="BA36" s="218"/>
      <c r="BB36" s="1036"/>
      <c r="BC36" s="218"/>
      <c r="BD36" s="27"/>
      <c r="BE36" s="1022"/>
      <c r="BF36" s="218"/>
      <c r="BG36" s="27"/>
      <c r="BH36" s="218"/>
      <c r="BI36" s="1036"/>
      <c r="BJ36" s="218"/>
      <c r="BK36" s="27"/>
      <c r="BL36" s="1022"/>
      <c r="BM36" s="218"/>
      <c r="BN36" s="27"/>
      <c r="BO36" s="218"/>
      <c r="BP36" s="1036"/>
      <c r="BQ36" s="218"/>
      <c r="BR36" s="27"/>
      <c r="BS36" s="1022"/>
      <c r="BT36" s="218"/>
      <c r="BU36" s="27"/>
      <c r="BV36" s="218"/>
      <c r="BW36" s="1036"/>
      <c r="BX36" s="218"/>
      <c r="BY36" s="27"/>
      <c r="BZ36" s="1022"/>
      <c r="CA36" s="218"/>
      <c r="CB36" s="27"/>
      <c r="CC36" s="218"/>
      <c r="CD36" s="1036"/>
      <c r="CE36" s="218"/>
      <c r="CF36" s="27"/>
      <c r="CG36" s="1022"/>
      <c r="CH36" s="218"/>
      <c r="CI36" s="27"/>
      <c r="CJ36" s="218"/>
      <c r="CK36" s="1036"/>
      <c r="CL36" s="218"/>
      <c r="CM36" s="27"/>
      <c r="CN36" s="1022"/>
      <c r="CO36" s="218"/>
      <c r="CP36" s="27"/>
      <c r="CQ36" s="218"/>
      <c r="CR36" s="1036"/>
      <c r="CS36" s="218"/>
      <c r="CT36" s="27"/>
      <c r="CU36" s="1022"/>
      <c r="CV36" s="218"/>
      <c r="CW36" s="27"/>
      <c r="CX36" s="218"/>
      <c r="CY36" s="1036"/>
      <c r="CZ36" s="218"/>
      <c r="DA36" s="27"/>
      <c r="DB36" s="1022"/>
      <c r="DC36" s="218"/>
      <c r="DD36" s="27"/>
      <c r="DE36" s="218"/>
      <c r="DF36" s="1036"/>
      <c r="DG36" s="218"/>
      <c r="DH36" s="27"/>
      <c r="DI36" s="1022"/>
      <c r="DJ36" s="218"/>
      <c r="DK36" s="27"/>
      <c r="DL36" s="218"/>
      <c r="DM36" s="1036"/>
      <c r="DN36" s="218"/>
      <c r="DO36" s="27"/>
      <c r="DP36" s="1022"/>
      <c r="DQ36" s="218"/>
      <c r="DR36" s="27"/>
      <c r="DS36" s="218"/>
      <c r="DT36" s="1036"/>
      <c r="DU36" s="218"/>
      <c r="DV36" s="27"/>
      <c r="DW36" s="1022"/>
      <c r="DX36" s="218"/>
      <c r="DY36" s="40"/>
      <c r="DZ36" s="40"/>
      <c r="EA36" s="218"/>
      <c r="EB36" s="29"/>
      <c r="EC36" s="29"/>
      <c r="ED36" s="27"/>
      <c r="EE36" s="31"/>
      <c r="EF36" s="31"/>
      <c r="EG36" s="31"/>
      <c r="EH36" s="31"/>
      <c r="EI36" s="218"/>
      <c r="EJ36" s="218"/>
      <c r="EK36" s="218"/>
      <c r="EL36" s="218"/>
      <c r="EM36" s="218"/>
      <c r="EN36" s="218"/>
      <c r="EO36" s="218"/>
      <c r="EP36" s="218"/>
      <c r="EQ36" s="218"/>
      <c r="ER36" s="218"/>
      <c r="ES36" s="218"/>
      <c r="ET36" s="218"/>
      <c r="EU36" s="218"/>
      <c r="EV36" s="218"/>
      <c r="EW36" s="218"/>
      <c r="EX36" s="218"/>
      <c r="EY36" s="218"/>
      <c r="EZ36" s="218"/>
      <c r="FA36" s="218"/>
      <c r="FB36" s="218"/>
      <c r="FC36" s="218"/>
      <c r="FD36" s="218"/>
      <c r="FE36" s="218"/>
      <c r="FF36" s="218"/>
      <c r="FG36" s="218"/>
      <c r="FH36" s="218"/>
      <c r="FI36" s="218"/>
      <c r="FJ36" s="218"/>
      <c r="FK36" s="218"/>
      <c r="FL36" s="218"/>
      <c r="FM36" s="218"/>
      <c r="FN36" s="218"/>
      <c r="FO36" s="218"/>
      <c r="FP36" s="218"/>
      <c r="FQ36" s="218"/>
    </row>
    <row r="37" spans="1:173" ht="10.5" customHeight="1">
      <c r="A37" s="134" t="s">
        <v>770</v>
      </c>
      <c r="B37" s="223"/>
      <c r="C37" s="223"/>
      <c r="D37" s="223"/>
      <c r="E37" s="717"/>
      <c r="F37" s="223"/>
      <c r="G37" s="223"/>
      <c r="H37" s="1270">
        <v>0.75</v>
      </c>
      <c r="I37" s="223">
        <v>0.77</v>
      </c>
      <c r="J37" s="223">
        <f t="shared" ref="J37" si="416">J31/J28</f>
        <v>0.67054093040028839</v>
      </c>
      <c r="K37" s="223">
        <v>0.74</v>
      </c>
      <c r="L37" s="717">
        <f t="shared" ref="L37" si="417">L31/L28</f>
        <v>0.62795981772990872</v>
      </c>
      <c r="M37" s="223">
        <v>0.72</v>
      </c>
      <c r="N37" s="223">
        <f t="shared" ref="N37" si="418">N31/N28</f>
        <v>0.66796244506592084</v>
      </c>
      <c r="O37" s="1270">
        <v>0.69</v>
      </c>
      <c r="P37" s="223">
        <v>0.71</v>
      </c>
      <c r="Q37" s="223">
        <f t="shared" ref="Q37" si="419">Q31/Q28</f>
        <v>0.71000000000000008</v>
      </c>
      <c r="R37" s="223">
        <v>0.7</v>
      </c>
      <c r="S37" s="717">
        <f t="shared" ref="S37" si="420">S31/S28</f>
        <v>0.79961464764743473</v>
      </c>
      <c r="T37" s="223">
        <v>0.71</v>
      </c>
      <c r="U37" s="223">
        <f t="shared" ref="U37" si="421">U31/U28</f>
        <v>0.76198039475427215</v>
      </c>
      <c r="V37" s="1270">
        <v>0.7400000000000001</v>
      </c>
      <c r="W37" s="223">
        <v>0.67</v>
      </c>
      <c r="X37" s="223">
        <f t="shared" ref="X37" si="422">X31/X28</f>
        <v>0.70743977976600125</v>
      </c>
      <c r="Y37" s="223">
        <v>0.68</v>
      </c>
      <c r="Z37" s="717">
        <f t="shared" ref="Z37" si="423">Z31/Z28</f>
        <v>0.69549275362318874</v>
      </c>
      <c r="AA37" s="223">
        <v>0.69</v>
      </c>
      <c r="AB37" s="223">
        <f t="shared" ref="AB37" si="424">AB31/AB28</f>
        <v>0.69000000000000028</v>
      </c>
      <c r="AC37" s="1270">
        <v>0.69000000000000006</v>
      </c>
      <c r="AD37" s="223">
        <v>0.69</v>
      </c>
      <c r="AE37" s="223">
        <f t="shared" ref="AE37" si="425">AE31/AE28</f>
        <v>0.67158104340900049</v>
      </c>
      <c r="AF37" s="223">
        <v>0.67</v>
      </c>
      <c r="AG37" s="717">
        <f t="shared" ref="AG37" si="426">AG31/AG28</f>
        <v>0.73825595676737921</v>
      </c>
      <c r="AH37" s="223">
        <v>0.68</v>
      </c>
      <c r="AI37" s="223">
        <f t="shared" ref="AI37" si="427">AI31/AI28</f>
        <v>0.71497005988023965</v>
      </c>
      <c r="AJ37" s="1270">
        <v>0.70000000000000007</v>
      </c>
      <c r="AK37" s="223">
        <v>0.62</v>
      </c>
      <c r="AL37" s="223">
        <f t="shared" ref="AL37" si="428">AL31/AL28</f>
        <v>0.73462833675564687</v>
      </c>
      <c r="AM37" s="223">
        <v>0.67</v>
      </c>
      <c r="AN37" s="717">
        <f t="shared" ref="AN37" si="429">AN31/AN28</f>
        <v>0.74112911266201387</v>
      </c>
      <c r="AO37" s="223">
        <v>0.68</v>
      </c>
      <c r="AP37" s="223">
        <f t="shared" ref="AP37" si="430">AP31/AP28</f>
        <v>0.71451255654344092</v>
      </c>
      <c r="AQ37" s="1270">
        <v>0.70000000000000007</v>
      </c>
      <c r="AR37" s="223">
        <v>0.69</v>
      </c>
      <c r="AS37" s="223">
        <f t="shared" ref="AS37" si="431">AS31/AS28</f>
        <v>0.72455046503616949</v>
      </c>
      <c r="AT37" s="223">
        <v>0.7</v>
      </c>
      <c r="AU37" s="717">
        <f t="shared" ref="AU37" si="432">AU31/AU28</f>
        <v>0.61618556701030947</v>
      </c>
      <c r="AV37" s="223">
        <v>0.71</v>
      </c>
      <c r="AW37" s="223">
        <f t="shared" ref="AW37" si="433">AW31/AW28</f>
        <v>0.6544653767820775</v>
      </c>
      <c r="AX37" s="1270">
        <v>0.68</v>
      </c>
      <c r="AY37" s="223">
        <v>0.65</v>
      </c>
      <c r="AZ37" s="223">
        <f t="shared" ref="AZ37" si="434">AZ31/AZ28</f>
        <v>0.63134836065573763</v>
      </c>
      <c r="BA37" s="223">
        <v>0.65</v>
      </c>
      <c r="BB37" s="717">
        <f t="shared" ref="BB37" si="435">BB31/BB28</f>
        <v>0.75224786324786308</v>
      </c>
      <c r="BC37" s="223">
        <v>0.64</v>
      </c>
      <c r="BD37" s="223">
        <f t="shared" ref="BD37" si="436">BD31/BD28</f>
        <v>0.71088040712468181</v>
      </c>
      <c r="BE37" s="1270">
        <v>0.67999999999999994</v>
      </c>
      <c r="BF37" s="223">
        <v>0.63</v>
      </c>
      <c r="BG37" s="223">
        <f t="shared" ref="BG37" si="437">BG31/BG28</f>
        <v>0.64872884853487423</v>
      </c>
      <c r="BH37" s="223">
        <v>0.64</v>
      </c>
      <c r="BI37" s="717">
        <f t="shared" ref="BI37" si="438">BI31/BI28</f>
        <v>0.67081996974281344</v>
      </c>
      <c r="BJ37" s="223">
        <v>0.64</v>
      </c>
      <c r="BK37" s="223">
        <f t="shared" ref="BK37" si="439">BK31/BK28</f>
        <v>0.65803470254957486</v>
      </c>
      <c r="BL37" s="1270">
        <v>0.64999999999999991</v>
      </c>
      <c r="BM37" s="223">
        <v>0.69</v>
      </c>
      <c r="BN37" s="223">
        <f t="shared" ref="BN37" si="440">BN31/BN28</f>
        <v>0.67057625816365751</v>
      </c>
      <c r="BO37" s="223">
        <v>0.67</v>
      </c>
      <c r="BP37" s="717">
        <f t="shared" ref="BP37" si="441">BP31/BP28</f>
        <v>0.65620840152755067</v>
      </c>
      <c r="BQ37" s="223">
        <v>0.68</v>
      </c>
      <c r="BR37" s="223">
        <f t="shared" ref="BR37" si="442">BR31/BR28</f>
        <v>0.66184910527164287</v>
      </c>
      <c r="BS37" s="1270">
        <v>0.67</v>
      </c>
      <c r="BT37" s="223">
        <v>0.67</v>
      </c>
      <c r="BU37" s="223">
        <f t="shared" ref="BU37:CY37" si="443">BU31/BU28</f>
        <v>0.61070093457943919</v>
      </c>
      <c r="BV37" s="223">
        <v>0.64</v>
      </c>
      <c r="BW37" s="717">
        <f t="shared" si="443"/>
        <v>0.6927051811095829</v>
      </c>
      <c r="BX37" s="223">
        <v>0.64</v>
      </c>
      <c r="BY37" s="223">
        <f t="shared" si="443"/>
        <v>0.67360128617363357</v>
      </c>
      <c r="BZ37" s="1270">
        <v>0.66</v>
      </c>
      <c r="CA37" s="223">
        <v>0.63</v>
      </c>
      <c r="CB37" s="223">
        <f t="shared" ref="CB37" si="444">CB31/CB28</f>
        <v>0.61072312451662791</v>
      </c>
      <c r="CC37" s="223">
        <v>0.63</v>
      </c>
      <c r="CD37" s="717">
        <f t="shared" ref="CD37" si="445">CD31/CD28</f>
        <v>0.74918846411804174</v>
      </c>
      <c r="CE37" s="223">
        <v>0.62</v>
      </c>
      <c r="CF37" s="223">
        <f t="shared" ref="CF37" si="446">CF31/CF28</f>
        <v>0.70512047343948159</v>
      </c>
      <c r="CG37" s="1270">
        <v>0.67</v>
      </c>
      <c r="CH37" s="223">
        <v>0.63</v>
      </c>
      <c r="CI37" s="223">
        <f t="shared" ref="CI37" si="447">CI31/CI28</f>
        <v>0.70365220145707963</v>
      </c>
      <c r="CJ37" s="223">
        <v>0.66</v>
      </c>
      <c r="CK37" s="717">
        <f t="shared" ref="CK37" si="448">CK31/CK28</f>
        <v>0.70636122764407183</v>
      </c>
      <c r="CL37" s="1820">
        <v>0.67</v>
      </c>
      <c r="CM37" s="223">
        <f t="shared" ref="CM37" si="449">CM31/CM28</f>
        <v>0.68765674394099074</v>
      </c>
      <c r="CN37" s="1270">
        <v>0.68</v>
      </c>
      <c r="CO37" s="223">
        <v>0.67</v>
      </c>
      <c r="CP37" s="223">
        <f t="shared" ref="CP37" si="450">CP31/CP28</f>
        <v>0.70625717566016066</v>
      </c>
      <c r="CQ37" s="321">
        <f t="shared" si="443"/>
        <v>0.6651397159871737</v>
      </c>
      <c r="CR37" s="444">
        <f t="shared" si="443"/>
        <v>0.7071705466335495</v>
      </c>
      <c r="CS37" s="274">
        <v>0.69</v>
      </c>
      <c r="CT37" s="321">
        <f t="shared" si="443"/>
        <v>0.69006527068710755</v>
      </c>
      <c r="CU37" s="387">
        <f t="shared" si="443"/>
        <v>0.69003690036900378</v>
      </c>
      <c r="CV37" s="321">
        <f t="shared" si="443"/>
        <v>0.67518162643543478</v>
      </c>
      <c r="CW37" s="321">
        <f t="shared" si="443"/>
        <v>0.71111496445292177</v>
      </c>
      <c r="CX37" s="321">
        <f t="shared" si="443"/>
        <v>0.67036011080332425</v>
      </c>
      <c r="CY37" s="444">
        <f t="shared" si="443"/>
        <v>0.71201938962541755</v>
      </c>
      <c r="CZ37" s="321">
        <f t="shared" ref="CZ37:DW37" si="451">CZ31/CZ28</f>
        <v>0.69501054111033023</v>
      </c>
      <c r="DA37" s="321">
        <f t="shared" si="451"/>
        <v>0.69507522303837499</v>
      </c>
      <c r="DB37" s="387">
        <f t="shared" si="451"/>
        <v>0.69504710865243335</v>
      </c>
      <c r="DC37" s="321">
        <f t="shared" si="451"/>
        <v>0.67518162643543467</v>
      </c>
      <c r="DD37" s="321">
        <f t="shared" si="451"/>
        <v>0.71111496445292177</v>
      </c>
      <c r="DE37" s="321">
        <f t="shared" si="451"/>
        <v>0.67036011080332414</v>
      </c>
      <c r="DF37" s="444">
        <f t="shared" si="451"/>
        <v>0.71201938962541755</v>
      </c>
      <c r="DG37" s="321">
        <f t="shared" si="451"/>
        <v>0.69501054111033023</v>
      </c>
      <c r="DH37" s="321">
        <f t="shared" si="451"/>
        <v>0.69507522303837477</v>
      </c>
      <c r="DI37" s="387">
        <f t="shared" si="451"/>
        <v>0.69504710865243335</v>
      </c>
      <c r="DJ37" s="321">
        <f t="shared" si="451"/>
        <v>0.67518162643543478</v>
      </c>
      <c r="DK37" s="321">
        <f t="shared" si="451"/>
        <v>0.71111496445292177</v>
      </c>
      <c r="DL37" s="321">
        <f t="shared" si="451"/>
        <v>0.67036011080332414</v>
      </c>
      <c r="DM37" s="444">
        <f t="shared" si="451"/>
        <v>0.71201938962541755</v>
      </c>
      <c r="DN37" s="321">
        <f t="shared" si="451"/>
        <v>0.69501054111033034</v>
      </c>
      <c r="DO37" s="321">
        <f t="shared" si="451"/>
        <v>0.69507522303837488</v>
      </c>
      <c r="DP37" s="387">
        <f t="shared" si="451"/>
        <v>0.69504710865243347</v>
      </c>
      <c r="DQ37" s="321">
        <f t="shared" si="451"/>
        <v>0.67518162643543467</v>
      </c>
      <c r="DR37" s="321">
        <f t="shared" si="451"/>
        <v>0.71111496445292188</v>
      </c>
      <c r="DS37" s="321">
        <f t="shared" si="451"/>
        <v>0.67036011080332414</v>
      </c>
      <c r="DT37" s="444">
        <f t="shared" si="451"/>
        <v>0.71201938962541755</v>
      </c>
      <c r="DU37" s="321">
        <f t="shared" si="451"/>
        <v>0.69501054111033034</v>
      </c>
      <c r="DV37" s="321">
        <f t="shared" si="451"/>
        <v>0.69507522303837488</v>
      </c>
      <c r="DW37" s="387">
        <f t="shared" si="451"/>
        <v>0.69504710865243335</v>
      </c>
      <c r="DX37" s="247"/>
      <c r="DY37" s="783"/>
      <c r="DZ37" s="783"/>
      <c r="EA37" s="247"/>
      <c r="EB37" s="59"/>
      <c r="EC37" s="59"/>
      <c r="ED37" s="134"/>
      <c r="EE37" s="276"/>
      <c r="EF37" s="276"/>
      <c r="EG37" s="276"/>
      <c r="EH37" s="276"/>
      <c r="EI37" s="247"/>
      <c r="EJ37" s="247"/>
      <c r="EK37" s="247"/>
      <c r="EL37" s="247"/>
      <c r="EM37" s="247"/>
      <c r="EN37" s="247"/>
      <c r="EO37" s="247"/>
      <c r="EP37" s="247"/>
      <c r="EQ37" s="247"/>
      <c r="ER37" s="247"/>
      <c r="ES37" s="247"/>
      <c r="ET37" s="247"/>
      <c r="EU37" s="247"/>
      <c r="EV37" s="247"/>
      <c r="EW37" s="247"/>
      <c r="EX37" s="247"/>
      <c r="EY37" s="247"/>
      <c r="EZ37" s="247"/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247"/>
      <c r="FL37" s="247"/>
      <c r="FM37" s="247"/>
      <c r="FN37" s="247"/>
      <c r="FO37" s="247"/>
      <c r="FP37" s="247"/>
      <c r="FQ37" s="247"/>
    </row>
    <row r="38" spans="1:173" ht="10.5" customHeight="1">
      <c r="A38" s="134" t="s">
        <v>771</v>
      </c>
      <c r="B38" s="223"/>
      <c r="C38" s="223"/>
      <c r="D38" s="223"/>
      <c r="E38" s="717"/>
      <c r="F38" s="223"/>
      <c r="G38" s="223"/>
      <c r="H38" s="1270">
        <f t="shared" ref="H38:BE38" si="452">1-H37</f>
        <v>0.25</v>
      </c>
      <c r="I38" s="223">
        <f>1-I37</f>
        <v>0.22999999999999998</v>
      </c>
      <c r="J38" s="223">
        <f t="shared" ref="J38" si="453">1-J37</f>
        <v>0.32945906959971161</v>
      </c>
      <c r="K38" s="223">
        <f>1-K37</f>
        <v>0.26</v>
      </c>
      <c r="L38" s="717">
        <f t="shared" ref="L38" si="454">1-L37</f>
        <v>0.37204018227009128</v>
      </c>
      <c r="M38" s="223">
        <f>1-M37</f>
        <v>0.28000000000000003</v>
      </c>
      <c r="N38" s="223">
        <f t="shared" ref="N38" si="455">1-N37</f>
        <v>0.33203755493407916</v>
      </c>
      <c r="O38" s="1270">
        <f t="shared" si="452"/>
        <v>0.31000000000000005</v>
      </c>
      <c r="P38" s="223">
        <f>1-P37</f>
        <v>0.29000000000000004</v>
      </c>
      <c r="Q38" s="223">
        <f t="shared" ref="Q38" si="456">1-Q37</f>
        <v>0.28999999999999992</v>
      </c>
      <c r="R38" s="223">
        <f>1-R37</f>
        <v>0.30000000000000004</v>
      </c>
      <c r="S38" s="717">
        <f t="shared" ref="S38" si="457">1-S37</f>
        <v>0.20038535235256527</v>
      </c>
      <c r="T38" s="223">
        <f>1-T37</f>
        <v>0.29000000000000004</v>
      </c>
      <c r="U38" s="223">
        <f t="shared" ref="U38" si="458">1-U37</f>
        <v>0.23801960524572785</v>
      </c>
      <c r="V38" s="1270">
        <f t="shared" si="452"/>
        <v>0.2599999999999999</v>
      </c>
      <c r="W38" s="223">
        <f>1-W37</f>
        <v>0.32999999999999996</v>
      </c>
      <c r="X38" s="223">
        <f t="shared" ref="X38" si="459">1-X37</f>
        <v>0.29256022023399875</v>
      </c>
      <c r="Y38" s="223">
        <f>1-Y37</f>
        <v>0.31999999999999995</v>
      </c>
      <c r="Z38" s="717">
        <f t="shared" ref="Z38" si="460">1-Z37</f>
        <v>0.30450724637681126</v>
      </c>
      <c r="AA38" s="223">
        <f>1-AA37</f>
        <v>0.31000000000000005</v>
      </c>
      <c r="AB38" s="223">
        <f t="shared" ref="AB38" si="461">1-AB37</f>
        <v>0.30999999999999972</v>
      </c>
      <c r="AC38" s="1270">
        <f t="shared" si="452"/>
        <v>0.30999999999999994</v>
      </c>
      <c r="AD38" s="223">
        <f>1-AD37</f>
        <v>0.31000000000000005</v>
      </c>
      <c r="AE38" s="223">
        <f t="shared" ref="AE38" si="462">1-AE37</f>
        <v>0.32841895659099951</v>
      </c>
      <c r="AF38" s="223">
        <f>1-AF37</f>
        <v>0.32999999999999996</v>
      </c>
      <c r="AG38" s="717">
        <f t="shared" ref="AG38" si="463">1-AG37</f>
        <v>0.26174404323262079</v>
      </c>
      <c r="AH38" s="223">
        <f>1-AH37</f>
        <v>0.31999999999999995</v>
      </c>
      <c r="AI38" s="223">
        <f t="shared" ref="AI38" si="464">1-AI37</f>
        <v>0.28502994011976035</v>
      </c>
      <c r="AJ38" s="1270">
        <f t="shared" si="452"/>
        <v>0.29999999999999993</v>
      </c>
      <c r="AK38" s="223">
        <f>1-AK37</f>
        <v>0.38</v>
      </c>
      <c r="AL38" s="223">
        <f t="shared" ref="AL38" si="465">1-AL37</f>
        <v>0.26537166324435313</v>
      </c>
      <c r="AM38" s="223">
        <f>1-AM37</f>
        <v>0.32999999999999996</v>
      </c>
      <c r="AN38" s="717">
        <f t="shared" ref="AN38" si="466">1-AN37</f>
        <v>0.25887088733798613</v>
      </c>
      <c r="AO38" s="223">
        <f>1-AO37</f>
        <v>0.31999999999999995</v>
      </c>
      <c r="AP38" s="223">
        <f t="shared" ref="AP38" si="467">1-AP37</f>
        <v>0.28548744345655908</v>
      </c>
      <c r="AQ38" s="1270">
        <f t="shared" si="452"/>
        <v>0.29999999999999993</v>
      </c>
      <c r="AR38" s="223">
        <f>1-AR37</f>
        <v>0.31000000000000005</v>
      </c>
      <c r="AS38" s="223">
        <f t="shared" ref="AS38" si="468">1-AS37</f>
        <v>0.27544953496383051</v>
      </c>
      <c r="AT38" s="223">
        <f>1-AT37</f>
        <v>0.30000000000000004</v>
      </c>
      <c r="AU38" s="717">
        <f t="shared" ref="AU38" si="469">1-AU37</f>
        <v>0.38381443298969053</v>
      </c>
      <c r="AV38" s="223">
        <f>1-AV37</f>
        <v>0.29000000000000004</v>
      </c>
      <c r="AW38" s="223">
        <f t="shared" ref="AW38" si="470">1-AW37</f>
        <v>0.3455346232179225</v>
      </c>
      <c r="AX38" s="1270">
        <f t="shared" si="452"/>
        <v>0.31999999999999995</v>
      </c>
      <c r="AY38" s="223">
        <f>1-AY37</f>
        <v>0.35</v>
      </c>
      <c r="AZ38" s="223">
        <f t="shared" ref="AZ38" si="471">1-AZ37</f>
        <v>0.36865163934426237</v>
      </c>
      <c r="BA38" s="223">
        <f>1-BA37</f>
        <v>0.35</v>
      </c>
      <c r="BB38" s="717">
        <f t="shared" ref="BB38" si="472">1-BB37</f>
        <v>0.24775213675213692</v>
      </c>
      <c r="BC38" s="223">
        <f>1-BC37</f>
        <v>0.36</v>
      </c>
      <c r="BD38" s="223">
        <f t="shared" ref="BD38" si="473">1-BD37</f>
        <v>0.28911959287531819</v>
      </c>
      <c r="BE38" s="1270">
        <f t="shared" si="452"/>
        <v>0.32000000000000006</v>
      </c>
      <c r="BF38" s="223">
        <f>1-BF37</f>
        <v>0.37</v>
      </c>
      <c r="BG38" s="223">
        <f t="shared" ref="BG38" si="474">1-BG37</f>
        <v>0.35127115146512577</v>
      </c>
      <c r="BH38" s="223">
        <f>1-BH37</f>
        <v>0.36</v>
      </c>
      <c r="BI38" s="717">
        <f t="shared" ref="BI38" si="475">1-BI37</f>
        <v>0.32918003025718656</v>
      </c>
      <c r="BJ38" s="223">
        <f>1-BJ37</f>
        <v>0.36</v>
      </c>
      <c r="BK38" s="223">
        <f t="shared" ref="BK38" si="476">1-BK37</f>
        <v>0.34196529745042514</v>
      </c>
      <c r="BL38" s="1270">
        <f t="shared" ref="BL38:CW38" si="477">1-BL37</f>
        <v>0.35000000000000009</v>
      </c>
      <c r="BM38" s="223">
        <f>1-BM37</f>
        <v>0.31000000000000005</v>
      </c>
      <c r="BN38" s="223">
        <f t="shared" ref="BN38" si="478">1-BN37</f>
        <v>0.32942374183634249</v>
      </c>
      <c r="BO38" s="223">
        <f>1-BO37</f>
        <v>0.32999999999999996</v>
      </c>
      <c r="BP38" s="717">
        <f t="shared" ref="BP38" si="479">1-BP37</f>
        <v>0.34379159847244933</v>
      </c>
      <c r="BQ38" s="223">
        <f>1-BQ37</f>
        <v>0.31999999999999995</v>
      </c>
      <c r="BR38" s="223">
        <f t="shared" ref="BR38" si="480">1-BR37</f>
        <v>0.33815089472835713</v>
      </c>
      <c r="BS38" s="1270">
        <f t="shared" si="477"/>
        <v>0.32999999999999996</v>
      </c>
      <c r="BT38" s="223">
        <f>1-BT37</f>
        <v>0.32999999999999996</v>
      </c>
      <c r="BU38" s="223">
        <f t="shared" si="477"/>
        <v>0.38929906542056081</v>
      </c>
      <c r="BV38" s="223">
        <f>1-BV37</f>
        <v>0.36</v>
      </c>
      <c r="BW38" s="717">
        <f t="shared" si="477"/>
        <v>0.3072948188904171</v>
      </c>
      <c r="BX38" s="223">
        <f>1-BX37</f>
        <v>0.36</v>
      </c>
      <c r="BY38" s="223">
        <f t="shared" si="477"/>
        <v>0.32639871382636643</v>
      </c>
      <c r="BZ38" s="1270">
        <f t="shared" ref="BZ38" si="481">1-BZ37</f>
        <v>0.33999999999999997</v>
      </c>
      <c r="CA38" s="223">
        <f>1-CA37</f>
        <v>0.37</v>
      </c>
      <c r="CB38" s="223">
        <f t="shared" ref="CB38" si="482">1-CB37</f>
        <v>0.38927687548337209</v>
      </c>
      <c r="CC38" s="223">
        <f>1-CC37</f>
        <v>0.37</v>
      </c>
      <c r="CD38" s="717">
        <f t="shared" ref="CD38" si="483">1-CD37</f>
        <v>0.25081153588195826</v>
      </c>
      <c r="CE38" s="223">
        <f>1-CE37</f>
        <v>0.38</v>
      </c>
      <c r="CF38" s="223">
        <f t="shared" ref="CF38:CG38" si="484">1-CF37</f>
        <v>0.29487952656051841</v>
      </c>
      <c r="CG38" s="1270">
        <f t="shared" si="484"/>
        <v>0.32999999999999996</v>
      </c>
      <c r="CH38" s="223">
        <f>1-CH37</f>
        <v>0.37</v>
      </c>
      <c r="CI38" s="223">
        <f t="shared" ref="CI38" si="485">1-CI37</f>
        <v>0.29634779854292037</v>
      </c>
      <c r="CJ38" s="223">
        <f t="shared" si="477"/>
        <v>0.33999999999999997</v>
      </c>
      <c r="CK38" s="717">
        <f t="shared" si="477"/>
        <v>0.29363877235592817</v>
      </c>
      <c r="CL38" s="1820">
        <f>1-CL37</f>
        <v>0.32999999999999996</v>
      </c>
      <c r="CM38" s="223">
        <f t="shared" ref="CM38" si="486">1-CM37</f>
        <v>0.31234325605900926</v>
      </c>
      <c r="CN38" s="1270">
        <f t="shared" si="477"/>
        <v>0.31999999999999995</v>
      </c>
      <c r="CO38" s="223">
        <f>1-CO37</f>
        <v>0.32999999999999996</v>
      </c>
      <c r="CP38" s="223">
        <f t="shared" ref="CP38" si="487">1-CP37</f>
        <v>0.29374282433983934</v>
      </c>
      <c r="CQ38" s="321">
        <f t="shared" si="477"/>
        <v>0.3348602840128263</v>
      </c>
      <c r="CR38" s="444">
        <f t="shared" si="477"/>
        <v>0.2928294533664505</v>
      </c>
      <c r="CS38" s="274">
        <f t="shared" si="477"/>
        <v>0.31000000000000005</v>
      </c>
      <c r="CT38" s="321">
        <f t="shared" si="477"/>
        <v>0.30993472931289245</v>
      </c>
      <c r="CU38" s="387">
        <f t="shared" si="477"/>
        <v>0.30996309963099622</v>
      </c>
      <c r="CV38" s="321">
        <f t="shared" si="477"/>
        <v>0.32481837356456522</v>
      </c>
      <c r="CW38" s="321">
        <f t="shared" si="477"/>
        <v>0.28888503554707823</v>
      </c>
      <c r="CX38" s="321">
        <f t="shared" ref="CX38:DW38" si="488">1-CX37</f>
        <v>0.32963988919667575</v>
      </c>
      <c r="CY38" s="444">
        <f t="shared" si="488"/>
        <v>0.28798061037458245</v>
      </c>
      <c r="CZ38" s="321">
        <f t="shared" si="488"/>
        <v>0.30498945888966977</v>
      </c>
      <c r="DA38" s="321">
        <f t="shared" si="488"/>
        <v>0.30492477696162501</v>
      </c>
      <c r="DB38" s="387">
        <f t="shared" si="488"/>
        <v>0.30495289134756665</v>
      </c>
      <c r="DC38" s="321">
        <f t="shared" si="488"/>
        <v>0.32481837356456533</v>
      </c>
      <c r="DD38" s="321">
        <f t="shared" si="488"/>
        <v>0.28888503554707823</v>
      </c>
      <c r="DE38" s="321">
        <f t="shared" si="488"/>
        <v>0.32963988919667586</v>
      </c>
      <c r="DF38" s="444">
        <f t="shared" si="488"/>
        <v>0.28798061037458245</v>
      </c>
      <c r="DG38" s="321">
        <f t="shared" si="488"/>
        <v>0.30498945888966977</v>
      </c>
      <c r="DH38" s="321">
        <f t="shared" si="488"/>
        <v>0.30492477696162523</v>
      </c>
      <c r="DI38" s="387">
        <f t="shared" si="488"/>
        <v>0.30495289134756665</v>
      </c>
      <c r="DJ38" s="321">
        <f t="shared" si="488"/>
        <v>0.32481837356456522</v>
      </c>
      <c r="DK38" s="321">
        <f t="shared" si="488"/>
        <v>0.28888503554707823</v>
      </c>
      <c r="DL38" s="321">
        <f t="shared" si="488"/>
        <v>0.32963988919667586</v>
      </c>
      <c r="DM38" s="444">
        <f t="shared" si="488"/>
        <v>0.28798061037458245</v>
      </c>
      <c r="DN38" s="321">
        <f t="shared" si="488"/>
        <v>0.30498945888966966</v>
      </c>
      <c r="DO38" s="321">
        <f t="shared" si="488"/>
        <v>0.30492477696162512</v>
      </c>
      <c r="DP38" s="387">
        <f t="shared" si="488"/>
        <v>0.30495289134756653</v>
      </c>
      <c r="DQ38" s="321">
        <f t="shared" si="488"/>
        <v>0.32481837356456533</v>
      </c>
      <c r="DR38" s="321">
        <f t="shared" si="488"/>
        <v>0.28888503554707812</v>
      </c>
      <c r="DS38" s="321">
        <f t="shared" si="488"/>
        <v>0.32963988919667586</v>
      </c>
      <c r="DT38" s="444">
        <f t="shared" si="488"/>
        <v>0.28798061037458245</v>
      </c>
      <c r="DU38" s="321">
        <f t="shared" si="488"/>
        <v>0.30498945888966966</v>
      </c>
      <c r="DV38" s="321">
        <f t="shared" si="488"/>
        <v>0.30492477696162512</v>
      </c>
      <c r="DW38" s="387">
        <f t="shared" si="488"/>
        <v>0.30495289134756665</v>
      </c>
      <c r="DX38" s="247"/>
      <c r="DY38" s="783"/>
      <c r="DZ38" s="783"/>
      <c r="EA38" s="247"/>
      <c r="EB38" s="59"/>
      <c r="EC38" s="59"/>
      <c r="ED38" s="134"/>
      <c r="EE38" s="276"/>
      <c r="EF38" s="276"/>
      <c r="EG38" s="276"/>
      <c r="EH38" s="276"/>
      <c r="EI38" s="247"/>
      <c r="EJ38" s="247"/>
      <c r="EK38" s="247"/>
      <c r="EL38" s="247"/>
      <c r="EM38" s="247"/>
      <c r="EN38" s="247"/>
      <c r="EO38" s="247"/>
      <c r="EP38" s="247"/>
      <c r="EQ38" s="247"/>
      <c r="ER38" s="247"/>
      <c r="ES38" s="247"/>
      <c r="ET38" s="247"/>
      <c r="EU38" s="247"/>
      <c r="EV38" s="247"/>
      <c r="EW38" s="247"/>
      <c r="EX38" s="247"/>
      <c r="EY38" s="247"/>
      <c r="EZ38" s="247"/>
      <c r="FA38" s="247"/>
      <c r="FB38" s="247"/>
      <c r="FC38" s="247"/>
      <c r="FD38" s="247"/>
      <c r="FE38" s="247"/>
      <c r="FF38" s="247"/>
      <c r="FG38" s="247"/>
      <c r="FH38" s="247"/>
      <c r="FI38" s="247"/>
      <c r="FJ38" s="247"/>
      <c r="FK38" s="247"/>
      <c r="FL38" s="247"/>
      <c r="FM38" s="247"/>
      <c r="FN38" s="247"/>
      <c r="FO38" s="247"/>
      <c r="FP38" s="247"/>
      <c r="FQ38" s="247"/>
    </row>
    <row r="39" spans="1:173" ht="10.5" customHeight="1">
      <c r="A39" s="218"/>
      <c r="B39" s="27"/>
      <c r="C39" s="27"/>
      <c r="D39" s="27"/>
      <c r="E39" s="1036"/>
      <c r="F39" s="27"/>
      <c r="G39" s="27"/>
      <c r="H39" s="1022"/>
      <c r="I39" s="27"/>
      <c r="J39" s="27"/>
      <c r="K39" s="27"/>
      <c r="L39" s="1036"/>
      <c r="M39" s="27"/>
      <c r="N39" s="27"/>
      <c r="O39" s="1022"/>
      <c r="P39" s="27"/>
      <c r="Q39" s="27"/>
      <c r="R39" s="27"/>
      <c r="S39" s="1036"/>
      <c r="T39" s="27"/>
      <c r="U39" s="27"/>
      <c r="V39" s="1022"/>
      <c r="W39" s="27"/>
      <c r="X39" s="27"/>
      <c r="Y39" s="27"/>
      <c r="Z39" s="1036"/>
      <c r="AA39" s="27"/>
      <c r="AB39" s="27"/>
      <c r="AC39" s="1022"/>
      <c r="AD39" s="27"/>
      <c r="AE39" s="27"/>
      <c r="AF39" s="27"/>
      <c r="AG39" s="1036"/>
      <c r="AH39" s="27"/>
      <c r="AI39" s="27"/>
      <c r="AJ39" s="1022"/>
      <c r="AK39" s="27"/>
      <c r="AL39" s="27"/>
      <c r="AM39" s="27"/>
      <c r="AN39" s="1036"/>
      <c r="AO39" s="27"/>
      <c r="AP39" s="27"/>
      <c r="AQ39" s="1022"/>
      <c r="AR39" s="27"/>
      <c r="AS39" s="27"/>
      <c r="AT39" s="27"/>
      <c r="AU39" s="1036"/>
      <c r="AV39" s="27"/>
      <c r="AW39" s="27"/>
      <c r="AX39" s="1022"/>
      <c r="AY39" s="27"/>
      <c r="AZ39" s="27"/>
      <c r="BA39" s="27"/>
      <c r="BB39" s="1036"/>
      <c r="BC39" s="27"/>
      <c r="BD39" s="27"/>
      <c r="BE39" s="1022"/>
      <c r="BF39" s="27"/>
      <c r="BG39" s="27"/>
      <c r="BH39" s="27"/>
      <c r="BI39" s="1036"/>
      <c r="BJ39" s="27"/>
      <c r="BK39" s="27"/>
      <c r="BL39" s="1022"/>
      <c r="BM39" s="27"/>
      <c r="BN39" s="27"/>
      <c r="BO39" s="27"/>
      <c r="BP39" s="1036"/>
      <c r="BQ39" s="27"/>
      <c r="BR39" s="27"/>
      <c r="BS39" s="1022"/>
      <c r="BT39" s="27"/>
      <c r="BU39" s="27"/>
      <c r="BV39" s="27"/>
      <c r="BW39" s="1036"/>
      <c r="BX39" s="27"/>
      <c r="BY39" s="27"/>
      <c r="BZ39" s="1022"/>
      <c r="CA39" s="27"/>
      <c r="CB39" s="27"/>
      <c r="CC39" s="27"/>
      <c r="CD39" s="1036"/>
      <c r="CE39" s="27"/>
      <c r="CF39" s="27"/>
      <c r="CG39" s="1022"/>
      <c r="CH39" s="27"/>
      <c r="CI39" s="27"/>
      <c r="CJ39" s="27"/>
      <c r="CK39" s="1036"/>
      <c r="CL39" s="27"/>
      <c r="CM39" s="27"/>
      <c r="CN39" s="1022"/>
      <c r="CO39" s="27"/>
      <c r="CP39" s="27"/>
      <c r="CQ39" s="27"/>
      <c r="CR39" s="1036"/>
      <c r="CS39" s="218"/>
      <c r="CT39" s="27"/>
      <c r="CU39" s="1022"/>
      <c r="CV39" s="27"/>
      <c r="CW39" s="27"/>
      <c r="CX39" s="27"/>
      <c r="CY39" s="1036"/>
      <c r="CZ39" s="27"/>
      <c r="DA39" s="27"/>
      <c r="DB39" s="1022"/>
      <c r="DC39" s="27"/>
      <c r="DD39" s="27"/>
      <c r="DE39" s="27"/>
      <c r="DF39" s="1036"/>
      <c r="DG39" s="27"/>
      <c r="DH39" s="27"/>
      <c r="DI39" s="1022"/>
      <c r="DJ39" s="27"/>
      <c r="DK39" s="27"/>
      <c r="DL39" s="27"/>
      <c r="DM39" s="1036"/>
      <c r="DN39" s="27"/>
      <c r="DO39" s="27"/>
      <c r="DP39" s="1022"/>
      <c r="DQ39" s="27"/>
      <c r="DR39" s="27"/>
      <c r="DS39" s="27"/>
      <c r="DT39" s="1036"/>
      <c r="DU39" s="27"/>
      <c r="DV39" s="27"/>
      <c r="DW39" s="1022"/>
      <c r="DX39" s="218"/>
      <c r="DY39" s="40"/>
      <c r="DZ39" s="40"/>
      <c r="EA39" s="218"/>
      <c r="EB39" s="29"/>
      <c r="EC39" s="29"/>
      <c r="ED39" s="27"/>
      <c r="EE39" s="31"/>
      <c r="EF39" s="31"/>
      <c r="EG39" s="31"/>
      <c r="EH39" s="31"/>
      <c r="EI39" s="218"/>
      <c r="EJ39" s="218"/>
      <c r="EK39" s="218"/>
      <c r="EL39" s="218"/>
      <c r="EM39" s="218"/>
      <c r="EN39" s="218"/>
      <c r="EO39" s="218"/>
      <c r="EP39" s="218"/>
      <c r="EQ39" s="218"/>
      <c r="ER39" s="218"/>
      <c r="ES39" s="218"/>
      <c r="ET39" s="218"/>
      <c r="EU39" s="218"/>
      <c r="EV39" s="218"/>
      <c r="EW39" s="218"/>
      <c r="EX39" s="218"/>
      <c r="EY39" s="218"/>
      <c r="EZ39" s="218"/>
      <c r="FA39" s="218"/>
      <c r="FB39" s="218"/>
      <c r="FC39" s="218"/>
      <c r="FD39" s="218"/>
      <c r="FE39" s="218"/>
      <c r="FF39" s="218"/>
      <c r="FG39" s="218"/>
      <c r="FH39" s="218"/>
      <c r="FI39" s="218"/>
      <c r="FJ39" s="218"/>
      <c r="FK39" s="218"/>
      <c r="FL39" s="218"/>
      <c r="FM39" s="218"/>
      <c r="FN39" s="218"/>
      <c r="FO39" s="218"/>
      <c r="FP39" s="218"/>
      <c r="FQ39" s="218"/>
    </row>
    <row r="40" spans="1:173" ht="10.5" customHeight="1">
      <c r="A40" s="27" t="s">
        <v>328</v>
      </c>
      <c r="B40" s="34"/>
      <c r="C40" s="139"/>
      <c r="D40" s="34"/>
      <c r="E40" s="1037"/>
      <c r="F40" s="34"/>
      <c r="G40" s="34"/>
      <c r="H40" s="1348">
        <f>H$28*H48</f>
        <v>5480.36</v>
      </c>
      <c r="I40" s="34">
        <f t="shared" ref="I40" si="489">I$28*I48</f>
        <v>960.05</v>
      </c>
      <c r="J40" s="139">
        <f t="shared" ref="J40:J46" si="490">M40-I40</f>
        <v>1136.03</v>
      </c>
      <c r="K40" s="34">
        <f t="shared" ref="K40" si="491">K$28*K48</f>
        <v>1018.78</v>
      </c>
      <c r="L40" s="1037">
        <f t="shared" ref="L40:L46" si="492">N40-K40</f>
        <v>2095.1400000000003</v>
      </c>
      <c r="M40" s="34">
        <f t="shared" ref="M40:M46" si="493">M$28*M48</f>
        <v>2096.08</v>
      </c>
      <c r="N40" s="34">
        <f>O40-M40</f>
        <v>3113.92</v>
      </c>
      <c r="O40" s="1348">
        <f t="shared" ref="O40:BS46" si="494">O$28*O48</f>
        <v>5210</v>
      </c>
      <c r="P40" s="34">
        <f t="shared" ref="P40" si="495">P$28*P48</f>
        <v>1067.23</v>
      </c>
      <c r="Q40" s="139">
        <f t="shared" ref="Q40:Q46" si="496">T40-P40</f>
        <v>1255.79</v>
      </c>
      <c r="R40" s="34">
        <f t="shared" ref="R40" si="497">R$28*R48</f>
        <v>1169.32</v>
      </c>
      <c r="S40" s="1037">
        <f t="shared" ref="S40:S46" si="498">U40-R40</f>
        <v>1870.4599999999994</v>
      </c>
      <c r="T40" s="34">
        <f t="shared" ref="T40:T46" si="499">T$28*T48</f>
        <v>2323.02</v>
      </c>
      <c r="U40" s="34">
        <f>V40-T40</f>
        <v>3039.7799999999993</v>
      </c>
      <c r="V40" s="1348">
        <f t="shared" si="494"/>
        <v>5362.7999999999993</v>
      </c>
      <c r="W40" s="34">
        <f t="shared" si="494"/>
        <v>1013.6</v>
      </c>
      <c r="X40" s="139">
        <f t="shared" ref="X40:X46" si="500">AA40-W40</f>
        <v>1053.5999999999999</v>
      </c>
      <c r="Y40" s="34">
        <f t="shared" ref="Y40" si="501">Y$28*Y48</f>
        <v>909.6</v>
      </c>
      <c r="Z40" s="1037">
        <f t="shared" ref="Z40:Z46" si="502">AB40-Y40</f>
        <v>2001.8799999999997</v>
      </c>
      <c r="AA40" s="34">
        <f t="shared" ref="AA40:AA46" si="503">AA$28*AA48</f>
        <v>2067.1999999999998</v>
      </c>
      <c r="AB40" s="34">
        <f>AC40-AA40</f>
        <v>2911.4799999999996</v>
      </c>
      <c r="AC40" s="1348">
        <f t="shared" si="494"/>
        <v>4978.6799999999994</v>
      </c>
      <c r="AD40" s="34">
        <f t="shared" ref="AD40:AD46" si="504">AD$28*AD48</f>
        <v>930.16</v>
      </c>
      <c r="AE40" s="139">
        <f t="shared" ref="AE40:AE46" si="505">AH40-AD40</f>
        <v>1289.8400000000001</v>
      </c>
      <c r="AF40" s="34">
        <f t="shared" ref="AF40" si="506">AF$28*AF48</f>
        <v>1032.92</v>
      </c>
      <c r="AG40" s="1037">
        <f t="shared" ref="AG40:AG46" si="507">AI40-AF40</f>
        <v>2041.04</v>
      </c>
      <c r="AH40" s="34">
        <f t="shared" ref="AH40:AH46" si="508">AH$28*AH48</f>
        <v>2220</v>
      </c>
      <c r="AI40" s="34">
        <f>AJ40-AH40</f>
        <v>3073.96</v>
      </c>
      <c r="AJ40" s="1348">
        <f t="shared" si="494"/>
        <v>5293.96</v>
      </c>
      <c r="AK40" s="34">
        <f t="shared" si="494"/>
        <v>1086.33</v>
      </c>
      <c r="AL40" s="139">
        <f t="shared" ref="AL40:AL46" si="509">AO40-AK40</f>
        <v>1193.1500000000001</v>
      </c>
      <c r="AM40" s="34">
        <f t="shared" ref="AM40" si="510">AM$28*AM48</f>
        <v>1175.51</v>
      </c>
      <c r="AN40" s="1037">
        <f t="shared" ref="AN40:AN46" si="511">AP40-AM40</f>
        <v>2297.7700000000004</v>
      </c>
      <c r="AO40" s="34">
        <f t="shared" ref="AO40:AO46" si="512">AO$28*AO48</f>
        <v>2279.48</v>
      </c>
      <c r="AP40" s="34">
        <f>AQ40-AO40</f>
        <v>3473.28</v>
      </c>
      <c r="AQ40" s="1348">
        <f t="shared" si="494"/>
        <v>5752.76</v>
      </c>
      <c r="AR40" s="34">
        <f t="shared" ref="AR40" si="513">AR$28*AR48</f>
        <v>992.64</v>
      </c>
      <c r="AS40" s="139">
        <f t="shared" ref="AS40:AS46" si="514">AV40-AR40</f>
        <v>1615.1600000000003</v>
      </c>
      <c r="AT40" s="34">
        <f t="shared" ref="AT40" si="515">AT$28*AT48</f>
        <v>1480.0500000000002</v>
      </c>
      <c r="AU40" s="1037">
        <f t="shared" ref="AU40:AU46" si="516">AW40-AT40</f>
        <v>1474.7199999999993</v>
      </c>
      <c r="AV40" s="34">
        <f t="shared" ref="AV40:AV46" si="517">AV$28*AV48</f>
        <v>2607.8000000000002</v>
      </c>
      <c r="AW40" s="34">
        <f>AX40-AV40</f>
        <v>2954.7699999999995</v>
      </c>
      <c r="AX40" s="1348">
        <f t="shared" si="494"/>
        <v>5562.57</v>
      </c>
      <c r="AY40" s="34">
        <f t="shared" si="494"/>
        <v>1097.72</v>
      </c>
      <c r="AZ40" s="139">
        <f t="shared" ref="AZ40:AZ46" si="518">BC40-AY40</f>
        <v>1450.8400000000004</v>
      </c>
      <c r="BA40" s="34">
        <f t="shared" ref="BA40" si="519">BA$28*BA48</f>
        <v>1407.1499999999999</v>
      </c>
      <c r="BB40" s="1037">
        <f t="shared" ref="BB40:BB46" si="520">BD40-BA40</f>
        <v>1894.05</v>
      </c>
      <c r="BC40" s="34">
        <f t="shared" ref="BC40:BC46" si="521">BC$28*BC48</f>
        <v>2548.5600000000004</v>
      </c>
      <c r="BD40" s="34">
        <f>BE40-BC40</f>
        <v>3301.2</v>
      </c>
      <c r="BE40" s="1348">
        <f t="shared" si="494"/>
        <v>5849.76</v>
      </c>
      <c r="BF40" s="34">
        <f t="shared" ref="BF40" si="522">BF$28*BF48</f>
        <v>1057.5</v>
      </c>
      <c r="BG40" s="139">
        <f t="shared" ref="BG40:BG46" si="523">BJ40-BF40</f>
        <v>1256.8800000000001</v>
      </c>
      <c r="BH40" s="34">
        <f t="shared" ref="BH40" si="524">BH$28*BH48</f>
        <v>1241.79</v>
      </c>
      <c r="BI40" s="1037">
        <f t="shared" ref="BI40:BI46" si="525">BK40-BH40</f>
        <v>1740.5500000000002</v>
      </c>
      <c r="BJ40" s="34">
        <f t="shared" ref="BJ40:BJ46" si="526">BJ$28*BJ48</f>
        <v>2314.38</v>
      </c>
      <c r="BK40" s="34">
        <f>BL40-BJ40</f>
        <v>2982.34</v>
      </c>
      <c r="BL40" s="1348">
        <f t="shared" si="494"/>
        <v>5296.72</v>
      </c>
      <c r="BM40" s="34">
        <f t="shared" si="494"/>
        <v>1275.56</v>
      </c>
      <c r="BN40" s="139">
        <f t="shared" ref="BN40:BN46" si="527">BQ40-BM40</f>
        <v>1404.1200000000003</v>
      </c>
      <c r="BO40" s="34">
        <f t="shared" ref="BO40" si="528">BO$28*BO48</f>
        <v>1319.24</v>
      </c>
      <c r="BP40" s="1037">
        <f t="shared" ref="BP40:BP46" si="529">BR40-BO40</f>
        <v>1968.3500000000001</v>
      </c>
      <c r="BQ40" s="34">
        <f t="shared" ref="BQ40:BQ46" si="530">BQ$28*BQ48</f>
        <v>2679.6800000000003</v>
      </c>
      <c r="BR40" s="34">
        <f>BS40-BQ40</f>
        <v>3287.59</v>
      </c>
      <c r="BS40" s="1348">
        <f t="shared" si="494"/>
        <v>5967.27</v>
      </c>
      <c r="BT40" s="34">
        <f t="shared" ref="BT40:BV46" si="531">BT$28*BT48</f>
        <v>1310.4299999999998</v>
      </c>
      <c r="BU40" s="139">
        <f t="shared" ref="BU40:BU46" si="532">BX40-BT40</f>
        <v>1388.31</v>
      </c>
      <c r="BV40" s="34">
        <f t="shared" si="531"/>
        <v>1463.1999999999998</v>
      </c>
      <c r="BW40" s="1037">
        <f t="shared" ref="BW40:BW46" si="533">BY40-BV40</f>
        <v>2850.01</v>
      </c>
      <c r="BX40" s="34">
        <f t="shared" ref="BX40:BX46" si="534">BX$28*BX48</f>
        <v>2698.74</v>
      </c>
      <c r="BY40" s="34">
        <f>BZ40-BX40</f>
        <v>4313.21</v>
      </c>
      <c r="BZ40" s="1348">
        <f t="shared" ref="BZ40:CA40" si="535">BZ$28*BZ48</f>
        <v>7011.95</v>
      </c>
      <c r="CA40" s="34">
        <f t="shared" si="535"/>
        <v>1463.3899999999999</v>
      </c>
      <c r="CB40" s="139">
        <f t="shared" ref="CB40:CB46" si="536">CE40-CA40</f>
        <v>1826.7100000000005</v>
      </c>
      <c r="CC40" s="34">
        <f t="shared" ref="CC40" si="537">CC$28*CC48</f>
        <v>1679.3600000000001</v>
      </c>
      <c r="CD40" s="1037">
        <f t="shared" ref="CD40:CD46" si="538">CF40-CC40</f>
        <v>2521.3799999999997</v>
      </c>
      <c r="CE40" s="34">
        <f t="shared" ref="CE40:CE46" si="539">CE$28*CE48</f>
        <v>3290.1000000000004</v>
      </c>
      <c r="CF40" s="34">
        <f>CG40-CE40</f>
        <v>4200.74</v>
      </c>
      <c r="CG40" s="1348">
        <f t="shared" ref="CG40:CH40" si="540">CG$28*CG48</f>
        <v>7490.84</v>
      </c>
      <c r="CH40" s="34">
        <f t="shared" si="540"/>
        <v>1540.4799999999998</v>
      </c>
      <c r="CI40" s="139">
        <f t="shared" ref="CI40:CI46" si="541">CL40-CH40</f>
        <v>1947.32</v>
      </c>
      <c r="CJ40" s="34">
        <f t="shared" ref="CJ40:CJ46" si="542">CJ$28*CJ48</f>
        <v>1807.1699999999998</v>
      </c>
      <c r="CK40" s="1037">
        <f t="shared" ref="CK40:CK46" si="543">CM40-CJ40</f>
        <v>3016.130000000001</v>
      </c>
      <c r="CL40" s="34">
        <f t="shared" ref="CL40:CL46" si="544">CL$28*CL48</f>
        <v>3487.7999999999997</v>
      </c>
      <c r="CM40" s="34">
        <f>CN40-CL40</f>
        <v>4823.3000000000011</v>
      </c>
      <c r="CN40" s="1348">
        <f t="shared" ref="CN40:CO40" si="545">CN$28*CN48</f>
        <v>8311.1</v>
      </c>
      <c r="CO40" s="34">
        <f t="shared" si="545"/>
        <v>1784.16</v>
      </c>
      <c r="CP40" s="139">
        <f t="shared" ref="CP40:CP46" si="546">CS40-CO40</f>
        <v>2068.5999999999995</v>
      </c>
      <c r="CQ40" s="34"/>
      <c r="CR40" s="1037"/>
      <c r="CS40" s="34">
        <f t="shared" ref="CS40:CS46" si="547">CS$28*CS48</f>
        <v>3852.7599999999998</v>
      </c>
      <c r="CT40" s="34"/>
      <c r="CU40" s="311"/>
      <c r="CV40" s="34"/>
      <c r="CW40" s="34"/>
      <c r="CX40" s="34"/>
      <c r="CY40" s="1037"/>
      <c r="CZ40" s="34"/>
      <c r="DA40" s="34"/>
      <c r="DB40" s="311"/>
      <c r="DC40" s="34"/>
      <c r="DD40" s="34"/>
      <c r="DE40" s="34"/>
      <c r="DF40" s="1037"/>
      <c r="DG40" s="34"/>
      <c r="DH40" s="34"/>
      <c r="DI40" s="311"/>
      <c r="DJ40" s="34"/>
      <c r="DK40" s="34"/>
      <c r="DL40" s="34"/>
      <c r="DM40" s="1037"/>
      <c r="DN40" s="34"/>
      <c r="DO40" s="34"/>
      <c r="DP40" s="311"/>
      <c r="DQ40" s="34"/>
      <c r="DR40" s="34"/>
      <c r="DS40" s="34"/>
      <c r="DT40" s="1037"/>
      <c r="DU40" s="34"/>
      <c r="DV40" s="34"/>
      <c r="DW40" s="311"/>
      <c r="DX40" s="29"/>
      <c r="DY40" s="160"/>
      <c r="DZ40" s="34"/>
      <c r="EA40" s="160"/>
      <c r="EB40" s="34"/>
      <c r="EC40" s="34"/>
      <c r="ED40" s="27"/>
      <c r="EE40" s="35"/>
      <c r="EF40" s="35"/>
      <c r="EG40" s="35"/>
      <c r="EH40" s="35"/>
      <c r="EI40" s="218"/>
      <c r="EJ40" s="218"/>
      <c r="EK40" s="218"/>
      <c r="EL40" s="218"/>
      <c r="EM40" s="218"/>
      <c r="EN40" s="218"/>
      <c r="EO40" s="218"/>
      <c r="EP40" s="218"/>
      <c r="EQ40" s="218"/>
      <c r="ER40" s="218"/>
      <c r="ES40" s="218"/>
      <c r="ET40" s="218"/>
      <c r="EU40" s="218"/>
      <c r="EV40" s="218"/>
      <c r="EW40" s="218"/>
      <c r="EX40" s="218"/>
      <c r="EY40" s="218"/>
      <c r="EZ40" s="218"/>
      <c r="FA40" s="218"/>
      <c r="FB40" s="218"/>
      <c r="FC40" s="218"/>
      <c r="FD40" s="218"/>
      <c r="FE40" s="218"/>
      <c r="FF40" s="218"/>
      <c r="FG40" s="218"/>
      <c r="FH40" s="218"/>
      <c r="FI40" s="218"/>
      <c r="FJ40" s="218"/>
      <c r="FK40" s="218"/>
      <c r="FL40" s="218"/>
      <c r="FM40" s="218"/>
      <c r="FN40" s="218"/>
      <c r="FO40" s="218"/>
      <c r="FP40" s="218"/>
      <c r="FQ40" s="218"/>
    </row>
    <row r="41" spans="1:173" ht="10.5" customHeight="1">
      <c r="A41" s="27" t="s">
        <v>330</v>
      </c>
      <c r="B41" s="34"/>
      <c r="C41" s="139"/>
      <c r="D41" s="34"/>
      <c r="E41" s="1037"/>
      <c r="F41" s="34"/>
      <c r="G41" s="34"/>
      <c r="H41" s="1348">
        <f t="shared" ref="H41:BS46" si="548">H$28*H49</f>
        <v>4038.1600000000003</v>
      </c>
      <c r="I41" s="34">
        <f t="shared" ref="I41" si="549">I$28*I49</f>
        <v>1097.2</v>
      </c>
      <c r="J41" s="139">
        <f t="shared" si="490"/>
        <v>833.39999999999986</v>
      </c>
      <c r="K41" s="34">
        <f t="shared" ref="K41" si="550">K$28*K49</f>
        <v>911.54000000000008</v>
      </c>
      <c r="L41" s="1037">
        <f t="shared" si="492"/>
        <v>1195.6100000000001</v>
      </c>
      <c r="M41" s="34">
        <f t="shared" si="493"/>
        <v>1930.6</v>
      </c>
      <c r="N41" s="34">
        <f>O41-M41</f>
        <v>2107.15</v>
      </c>
      <c r="O41" s="1348">
        <f t="shared" si="548"/>
        <v>4037.75</v>
      </c>
      <c r="P41" s="34">
        <f t="shared" si="548"/>
        <v>858.99</v>
      </c>
      <c r="Q41" s="139">
        <f t="shared" si="496"/>
        <v>800.31</v>
      </c>
      <c r="R41" s="34">
        <f t="shared" ref="R41" si="551">R$28*R49</f>
        <v>884.12</v>
      </c>
      <c r="S41" s="1037">
        <f t="shared" si="498"/>
        <v>1249.7799999999997</v>
      </c>
      <c r="T41" s="34">
        <f t="shared" si="499"/>
        <v>1659.3</v>
      </c>
      <c r="U41" s="34">
        <f>V41-T41</f>
        <v>2133.8999999999996</v>
      </c>
      <c r="V41" s="1348">
        <f t="shared" si="548"/>
        <v>3793.2</v>
      </c>
      <c r="W41" s="34">
        <f t="shared" si="494"/>
        <v>861.56000000000006</v>
      </c>
      <c r="X41" s="139">
        <f t="shared" si="500"/>
        <v>1096.8399999999997</v>
      </c>
      <c r="Y41" s="34">
        <f t="shared" ref="Y41" si="552">Y$28*Y49</f>
        <v>750.42000000000007</v>
      </c>
      <c r="Z41" s="1037">
        <f t="shared" si="502"/>
        <v>965.91999999999985</v>
      </c>
      <c r="AA41" s="34">
        <f t="shared" si="503"/>
        <v>1958.3999999999999</v>
      </c>
      <c r="AB41" s="34">
        <f>AC41-AA41</f>
        <v>1716.34</v>
      </c>
      <c r="AC41" s="1348">
        <f t="shared" si="548"/>
        <v>3674.74</v>
      </c>
      <c r="AD41" s="34">
        <f t="shared" si="504"/>
        <v>591.92000000000007</v>
      </c>
      <c r="AE41" s="139">
        <f t="shared" si="505"/>
        <v>656.82999999999993</v>
      </c>
      <c r="AF41" s="34">
        <f t="shared" ref="AF41" si="553">AF$28*AF49</f>
        <v>569.16000000000008</v>
      </c>
      <c r="AG41" s="1037">
        <f t="shared" si="507"/>
        <v>1315.2499999999998</v>
      </c>
      <c r="AH41" s="34">
        <f t="shared" si="508"/>
        <v>1248.75</v>
      </c>
      <c r="AI41" s="34">
        <f>AJ41-AH41</f>
        <v>1884.4099999999999</v>
      </c>
      <c r="AJ41" s="1348">
        <f t="shared" si="548"/>
        <v>3133.16</v>
      </c>
      <c r="AK41" s="34">
        <f t="shared" ref="AK41" si="554">AK$28*AK49</f>
        <v>665.1</v>
      </c>
      <c r="AL41" s="139">
        <f t="shared" si="509"/>
        <v>683.9799999999999</v>
      </c>
      <c r="AM41" s="34">
        <f t="shared" ref="AM41" si="555">AM$28*AM49</f>
        <v>671.72</v>
      </c>
      <c r="AN41" s="1037">
        <f t="shared" si="511"/>
        <v>966.21000000000026</v>
      </c>
      <c r="AO41" s="34">
        <f t="shared" si="512"/>
        <v>1349.08</v>
      </c>
      <c r="AP41" s="34">
        <f>AQ41-AO41</f>
        <v>1637.9300000000003</v>
      </c>
      <c r="AQ41" s="1348">
        <f t="shared" si="548"/>
        <v>2987.01</v>
      </c>
      <c r="AR41" s="34">
        <f t="shared" si="548"/>
        <v>591.36</v>
      </c>
      <c r="AS41" s="139">
        <f t="shared" si="514"/>
        <v>712.54000000000008</v>
      </c>
      <c r="AT41" s="34">
        <f t="shared" ref="AT41" si="556">AT$28*AT49</f>
        <v>699.66</v>
      </c>
      <c r="AU41" s="1037">
        <f t="shared" si="516"/>
        <v>832.2600000000001</v>
      </c>
      <c r="AV41" s="34">
        <f t="shared" si="517"/>
        <v>1303.9000000000001</v>
      </c>
      <c r="AW41" s="34">
        <f>AX41-AV41</f>
        <v>1531.92</v>
      </c>
      <c r="AX41" s="1348">
        <f t="shared" si="548"/>
        <v>2835.82</v>
      </c>
      <c r="AY41" s="34">
        <f t="shared" si="494"/>
        <v>548.86</v>
      </c>
      <c r="AZ41" s="139">
        <f t="shared" si="518"/>
        <v>543.38</v>
      </c>
      <c r="BA41" s="34">
        <f t="shared" ref="BA41" si="557">BA$28*BA49</f>
        <v>548.55000000000007</v>
      </c>
      <c r="BB41" s="1037">
        <f t="shared" si="520"/>
        <v>866.24999999999989</v>
      </c>
      <c r="BC41" s="34">
        <f t="shared" si="521"/>
        <v>1092.24</v>
      </c>
      <c r="BD41" s="34">
        <f>BE41-BC41</f>
        <v>1414.8</v>
      </c>
      <c r="BE41" s="1348">
        <f t="shared" si="548"/>
        <v>2507.04</v>
      </c>
      <c r="BF41" s="34">
        <f t="shared" ref="BF41" si="558">BF$28*BF49</f>
        <v>592.20000000000005</v>
      </c>
      <c r="BG41" s="139">
        <f t="shared" si="523"/>
        <v>633.05999999999995</v>
      </c>
      <c r="BH41" s="34">
        <f t="shared" ref="BH41" si="559">BH$28*BH49</f>
        <v>609.18000000000006</v>
      </c>
      <c r="BI41" s="1037">
        <f t="shared" si="525"/>
        <v>915.7800000000002</v>
      </c>
      <c r="BJ41" s="34">
        <f t="shared" si="526"/>
        <v>1225.26</v>
      </c>
      <c r="BK41" s="34">
        <f>BL41-BJ41</f>
        <v>1524.9600000000003</v>
      </c>
      <c r="BL41" s="1348">
        <f t="shared" si="548"/>
        <v>2750.2200000000003</v>
      </c>
      <c r="BM41" s="34">
        <f t="shared" si="548"/>
        <v>613.25</v>
      </c>
      <c r="BN41" s="139">
        <f t="shared" si="527"/>
        <v>650.75</v>
      </c>
      <c r="BO41" s="34">
        <f t="shared" ref="BO41" si="560">BO$28*BO49</f>
        <v>608.88</v>
      </c>
      <c r="BP41" s="1037">
        <f t="shared" si="529"/>
        <v>829.27999999999986</v>
      </c>
      <c r="BQ41" s="34">
        <f t="shared" si="530"/>
        <v>1264</v>
      </c>
      <c r="BR41" s="34">
        <f>BS41-BQ41</f>
        <v>1438.1599999999999</v>
      </c>
      <c r="BS41" s="1348">
        <f t="shared" si="548"/>
        <v>2702.16</v>
      </c>
      <c r="BT41" s="34">
        <f t="shared" si="531"/>
        <v>574.75</v>
      </c>
      <c r="BU41" s="139">
        <f t="shared" si="532"/>
        <v>495.44000000000005</v>
      </c>
      <c r="BV41" s="34">
        <f t="shared" si="531"/>
        <v>545.6</v>
      </c>
      <c r="BW41" s="1037">
        <f t="shared" si="533"/>
        <v>683.20999999999992</v>
      </c>
      <c r="BX41" s="34">
        <f t="shared" si="534"/>
        <v>1070.19</v>
      </c>
      <c r="BY41" s="34">
        <f>BZ41-BX41</f>
        <v>1228.81</v>
      </c>
      <c r="BZ41" s="1348">
        <f t="shared" ref="BZ41:CA41" si="561">BZ$28*BZ49</f>
        <v>2299</v>
      </c>
      <c r="CA41" s="34">
        <f t="shared" si="561"/>
        <v>455.81</v>
      </c>
      <c r="CB41" s="139">
        <f t="shared" si="536"/>
        <v>441.48999999999995</v>
      </c>
      <c r="CC41" s="34">
        <f t="shared" ref="CC41" si="562">CC$28*CC49</f>
        <v>498.56</v>
      </c>
      <c r="CD41" s="1037">
        <f t="shared" si="538"/>
        <v>1141.3599999999999</v>
      </c>
      <c r="CE41" s="34">
        <f t="shared" si="539"/>
        <v>897.3</v>
      </c>
      <c r="CF41" s="34">
        <f>CG41-CE41</f>
        <v>1639.9199999999998</v>
      </c>
      <c r="CG41" s="1348">
        <f t="shared" ref="CG41:CH41" si="563">CG$28*CG49</f>
        <v>2537.2199999999998</v>
      </c>
      <c r="CH41" s="34">
        <f t="shared" si="563"/>
        <v>584.32000000000005</v>
      </c>
      <c r="CI41" s="139">
        <f t="shared" si="541"/>
        <v>752.67</v>
      </c>
      <c r="CJ41" s="34">
        <f t="shared" si="542"/>
        <v>704.49</v>
      </c>
      <c r="CK41" s="1037">
        <f t="shared" si="543"/>
        <v>907.61999999999989</v>
      </c>
      <c r="CL41" s="34">
        <f t="shared" si="544"/>
        <v>1336.99</v>
      </c>
      <c r="CM41" s="34">
        <f>CN41-CL41</f>
        <v>1612.11</v>
      </c>
      <c r="CN41" s="1348">
        <f t="shared" ref="CN41:CO41" si="564">CN$28*CN49</f>
        <v>2949.1</v>
      </c>
      <c r="CO41" s="34">
        <f t="shared" si="564"/>
        <v>594.72</v>
      </c>
      <c r="CP41" s="139">
        <f t="shared" si="546"/>
        <v>794.8</v>
      </c>
      <c r="CQ41" s="34"/>
      <c r="CR41" s="1037"/>
      <c r="CS41" s="34">
        <f t="shared" si="547"/>
        <v>1389.52</v>
      </c>
      <c r="CT41" s="34"/>
      <c r="CU41" s="311"/>
      <c r="CV41" s="34"/>
      <c r="CW41" s="34"/>
      <c r="CX41" s="34"/>
      <c r="CY41" s="1037"/>
      <c r="CZ41" s="34"/>
      <c r="DA41" s="34"/>
      <c r="DB41" s="311"/>
      <c r="DC41" s="34"/>
      <c r="DD41" s="34"/>
      <c r="DE41" s="34"/>
      <c r="DF41" s="1037"/>
      <c r="DG41" s="34"/>
      <c r="DH41" s="34"/>
      <c r="DI41" s="311"/>
      <c r="DJ41" s="34"/>
      <c r="DK41" s="34"/>
      <c r="DL41" s="34"/>
      <c r="DM41" s="1037"/>
      <c r="DN41" s="34"/>
      <c r="DO41" s="34"/>
      <c r="DP41" s="311"/>
      <c r="DQ41" s="34"/>
      <c r="DR41" s="34"/>
      <c r="DS41" s="34"/>
      <c r="DT41" s="1037"/>
      <c r="DU41" s="34"/>
      <c r="DV41" s="34"/>
      <c r="DW41" s="311"/>
      <c r="DX41" s="29"/>
      <c r="DY41" s="160"/>
      <c r="DZ41" s="36"/>
      <c r="EA41" s="160"/>
      <c r="EB41" s="36"/>
      <c r="EC41" s="36"/>
      <c r="ED41" s="27"/>
      <c r="EE41" s="31"/>
      <c r="EF41" s="31"/>
      <c r="EG41" s="31"/>
      <c r="EH41" s="31"/>
      <c r="EI41" s="218"/>
      <c r="EJ41" s="218"/>
      <c r="EK41" s="218"/>
      <c r="EL41" s="218"/>
      <c r="EM41" s="218"/>
      <c r="EN41" s="218"/>
      <c r="EO41" s="218"/>
      <c r="EP41" s="218"/>
      <c r="EQ41" s="218"/>
      <c r="ER41" s="218"/>
      <c r="ES41" s="218"/>
      <c r="ET41" s="218"/>
      <c r="EU41" s="218"/>
      <c r="EV41" s="218"/>
      <c r="EW41" s="218"/>
      <c r="EX41" s="218"/>
      <c r="EY41" s="218"/>
      <c r="EZ41" s="218"/>
      <c r="FA41" s="218"/>
      <c r="FB41" s="218"/>
      <c r="FC41" s="218"/>
      <c r="FD41" s="218"/>
      <c r="FE41" s="218"/>
      <c r="FF41" s="218"/>
      <c r="FG41" s="218"/>
      <c r="FH41" s="218"/>
      <c r="FI41" s="218"/>
      <c r="FJ41" s="218"/>
      <c r="FK41" s="218"/>
      <c r="FL41" s="218"/>
      <c r="FM41" s="218"/>
      <c r="FN41" s="218"/>
      <c r="FO41" s="218"/>
      <c r="FP41" s="218"/>
      <c r="FQ41" s="218"/>
    </row>
    <row r="42" spans="1:173" ht="10.5" customHeight="1">
      <c r="A42" s="27" t="s">
        <v>331</v>
      </c>
      <c r="B42" s="34"/>
      <c r="C42" s="139"/>
      <c r="D42" s="34"/>
      <c r="E42" s="1037"/>
      <c r="F42" s="34"/>
      <c r="G42" s="34"/>
      <c r="H42" s="1348">
        <f t="shared" si="548"/>
        <v>2595.96</v>
      </c>
      <c r="I42" s="34">
        <f t="shared" ref="I42" si="565">I$28*I50</f>
        <v>466.31000000000006</v>
      </c>
      <c r="J42" s="139">
        <f t="shared" si="490"/>
        <v>526.56999999999994</v>
      </c>
      <c r="K42" s="34">
        <f t="shared" ref="K42" si="566">K$28*K50</f>
        <v>455.77000000000004</v>
      </c>
      <c r="L42" s="1037">
        <f t="shared" si="492"/>
        <v>895.84999999999991</v>
      </c>
      <c r="M42" s="34">
        <f t="shared" si="493"/>
        <v>992.88</v>
      </c>
      <c r="N42" s="34">
        <f>O42-M42</f>
        <v>1351.62</v>
      </c>
      <c r="O42" s="1348">
        <f t="shared" si="548"/>
        <v>2344.5</v>
      </c>
      <c r="P42" s="34">
        <f t="shared" si="548"/>
        <v>468.53999999999996</v>
      </c>
      <c r="Q42" s="139">
        <f t="shared" si="496"/>
        <v>527.04</v>
      </c>
      <c r="R42" s="34">
        <f t="shared" ref="R42" si="567">R$28*R50</f>
        <v>541.88</v>
      </c>
      <c r="S42" s="1037">
        <f t="shared" si="498"/>
        <v>1078.54</v>
      </c>
      <c r="T42" s="34">
        <f t="shared" si="499"/>
        <v>995.57999999999993</v>
      </c>
      <c r="U42" s="34">
        <f>V42-T42</f>
        <v>1620.42</v>
      </c>
      <c r="V42" s="1348">
        <f t="shared" si="548"/>
        <v>2616</v>
      </c>
      <c r="W42" s="34">
        <f t="shared" si="494"/>
        <v>658.84</v>
      </c>
      <c r="X42" s="139">
        <f t="shared" si="500"/>
        <v>755.56000000000006</v>
      </c>
      <c r="Y42" s="34">
        <f t="shared" ref="Y42" si="568">Y$28*Y50</f>
        <v>613.98</v>
      </c>
      <c r="Z42" s="1037">
        <f t="shared" si="502"/>
        <v>1172.2000000000003</v>
      </c>
      <c r="AA42" s="34">
        <f t="shared" si="503"/>
        <v>1414.4</v>
      </c>
      <c r="AB42" s="34">
        <f>AC42-AA42</f>
        <v>1786.1800000000003</v>
      </c>
      <c r="AC42" s="1348">
        <f t="shared" si="548"/>
        <v>3200.5800000000004</v>
      </c>
      <c r="AD42" s="34">
        <f t="shared" si="504"/>
        <v>591.92000000000007</v>
      </c>
      <c r="AE42" s="139">
        <f t="shared" si="505"/>
        <v>564.32999999999993</v>
      </c>
      <c r="AF42" s="34">
        <f t="shared" ref="AF42" si="569">AF$28*AF50</f>
        <v>505.91999999999996</v>
      </c>
      <c r="AG42" s="1037">
        <f t="shared" si="507"/>
        <v>714.71000000000015</v>
      </c>
      <c r="AH42" s="34">
        <f t="shared" si="508"/>
        <v>1156.25</v>
      </c>
      <c r="AI42" s="34">
        <f>AJ42-AH42</f>
        <v>1220.6300000000001</v>
      </c>
      <c r="AJ42" s="1348">
        <f t="shared" si="548"/>
        <v>2376.88</v>
      </c>
      <c r="AK42" s="34">
        <f t="shared" ref="AK42" si="570">AK$28*AK50</f>
        <v>465.57</v>
      </c>
      <c r="AL42" s="139">
        <f t="shared" si="509"/>
        <v>557.87000000000012</v>
      </c>
      <c r="AM42" s="34">
        <f t="shared" ref="AM42" si="571">AM$28*AM50</f>
        <v>551.77</v>
      </c>
      <c r="AN42" s="1037">
        <f t="shared" si="511"/>
        <v>748.02</v>
      </c>
      <c r="AO42" s="34">
        <f t="shared" si="512"/>
        <v>1023.44</v>
      </c>
      <c r="AP42" s="34">
        <f>AQ42-AO42</f>
        <v>1299.79</v>
      </c>
      <c r="AQ42" s="1348">
        <f t="shared" si="548"/>
        <v>2323.23</v>
      </c>
      <c r="AR42" s="34">
        <f t="shared" si="548"/>
        <v>528</v>
      </c>
      <c r="AS42" s="139">
        <f t="shared" si="514"/>
        <v>575.29999999999995</v>
      </c>
      <c r="AT42" s="34">
        <f t="shared" ref="AT42" si="572">AT$28*AT50</f>
        <v>511.29</v>
      </c>
      <c r="AU42" s="1037">
        <f t="shared" si="516"/>
        <v>894.02000000000021</v>
      </c>
      <c r="AV42" s="34">
        <f t="shared" si="517"/>
        <v>1103.3</v>
      </c>
      <c r="AW42" s="34">
        <f>AX42-AV42</f>
        <v>1405.3100000000002</v>
      </c>
      <c r="AX42" s="1348">
        <f t="shared" si="548"/>
        <v>2508.61</v>
      </c>
      <c r="AY42" s="34">
        <f t="shared" si="494"/>
        <v>464.42</v>
      </c>
      <c r="AZ42" s="139">
        <f t="shared" si="518"/>
        <v>445.78000000000003</v>
      </c>
      <c r="BA42" s="34">
        <f t="shared" ref="BA42" si="573">BA$28*BA50</f>
        <v>429.3</v>
      </c>
      <c r="BB42" s="1037">
        <f t="shared" si="520"/>
        <v>749.70000000000027</v>
      </c>
      <c r="BC42" s="34">
        <f t="shared" si="521"/>
        <v>910.2</v>
      </c>
      <c r="BD42" s="34">
        <f>BE42-BC42</f>
        <v>1179.0000000000002</v>
      </c>
      <c r="BE42" s="1348">
        <f t="shared" si="548"/>
        <v>2089.2000000000003</v>
      </c>
      <c r="BF42" s="34">
        <f t="shared" ref="BF42" si="574">BF$28*BF50</f>
        <v>465.3</v>
      </c>
      <c r="BG42" s="139">
        <f t="shared" si="523"/>
        <v>533.05999999999995</v>
      </c>
      <c r="BH42" s="34">
        <f t="shared" ref="BH42" si="575">BH$28*BH50</f>
        <v>492.03</v>
      </c>
      <c r="BI42" s="1037">
        <f t="shared" si="525"/>
        <v>648.66999999999985</v>
      </c>
      <c r="BJ42" s="34">
        <f t="shared" si="526"/>
        <v>998.36</v>
      </c>
      <c r="BK42" s="34">
        <f>BL42-BJ42</f>
        <v>1140.6999999999998</v>
      </c>
      <c r="BL42" s="1348">
        <f t="shared" si="548"/>
        <v>2139.06</v>
      </c>
      <c r="BM42" s="34">
        <f t="shared" si="548"/>
        <v>588.72</v>
      </c>
      <c r="BN42" s="139">
        <f t="shared" si="527"/>
        <v>523.59999999999991</v>
      </c>
      <c r="BO42" s="34">
        <f t="shared" ref="BO42" si="576">BO$28*BO50</f>
        <v>608.88</v>
      </c>
      <c r="BP42" s="1037">
        <f t="shared" si="529"/>
        <v>868.37000000000023</v>
      </c>
      <c r="BQ42" s="34">
        <f t="shared" si="530"/>
        <v>1112.32</v>
      </c>
      <c r="BR42" s="34">
        <f>BS42-BQ42</f>
        <v>1477.2500000000002</v>
      </c>
      <c r="BS42" s="1348">
        <f t="shared" si="548"/>
        <v>2589.5700000000002</v>
      </c>
      <c r="BT42" s="34">
        <f t="shared" si="531"/>
        <v>413.82</v>
      </c>
      <c r="BU42" s="139">
        <f t="shared" si="532"/>
        <v>470.25000000000006</v>
      </c>
      <c r="BV42" s="34">
        <f t="shared" si="531"/>
        <v>471.2</v>
      </c>
      <c r="BW42" s="1037">
        <f t="shared" si="533"/>
        <v>828.78</v>
      </c>
      <c r="BX42" s="34">
        <f t="shared" si="534"/>
        <v>884.07</v>
      </c>
      <c r="BY42" s="34">
        <f>BZ42-BX42</f>
        <v>1299.98</v>
      </c>
      <c r="BZ42" s="1348">
        <f t="shared" ref="BZ42:CA42" si="577">BZ$28*BZ50</f>
        <v>2184.0500000000002</v>
      </c>
      <c r="CA42" s="34">
        <f t="shared" si="577"/>
        <v>479.8</v>
      </c>
      <c r="CB42" s="139">
        <f t="shared" si="536"/>
        <v>317.8</v>
      </c>
      <c r="CC42" s="34">
        <f t="shared" ref="CC42" si="578">CC$28*CC50</f>
        <v>446.08000000000004</v>
      </c>
      <c r="CD42" s="1037">
        <f t="shared" si="538"/>
        <v>810.2600000000001</v>
      </c>
      <c r="CE42" s="34">
        <f t="shared" si="539"/>
        <v>797.6</v>
      </c>
      <c r="CF42" s="34">
        <f>CG42-CE42</f>
        <v>1256.3400000000001</v>
      </c>
      <c r="CG42" s="1348">
        <f t="shared" ref="CG42:CH42" si="579">CG$28*CG50</f>
        <v>2053.94</v>
      </c>
      <c r="CH42" s="34">
        <f t="shared" si="579"/>
        <v>531.20000000000005</v>
      </c>
      <c r="CI42" s="139">
        <f t="shared" si="541"/>
        <v>457.01</v>
      </c>
      <c r="CJ42" s="34">
        <f t="shared" si="542"/>
        <v>551.34</v>
      </c>
      <c r="CK42" s="1037">
        <f t="shared" si="543"/>
        <v>605.25000000000011</v>
      </c>
      <c r="CL42" s="34">
        <f t="shared" si="544"/>
        <v>988.21</v>
      </c>
      <c r="CM42" s="34">
        <f>CN42-CL42</f>
        <v>1156.5900000000001</v>
      </c>
      <c r="CN42" s="1348">
        <f t="shared" ref="CN42:CO42" si="580">CN$28*CN50</f>
        <v>2144.8000000000002</v>
      </c>
      <c r="CO42" s="34">
        <f t="shared" si="580"/>
        <v>453.12</v>
      </c>
      <c r="CP42" s="139">
        <f t="shared" si="546"/>
        <v>620.6</v>
      </c>
      <c r="CQ42" s="34"/>
      <c r="CR42" s="1037"/>
      <c r="CS42" s="34">
        <f t="shared" si="547"/>
        <v>1073.72</v>
      </c>
      <c r="CT42" s="34"/>
      <c r="CU42" s="311"/>
      <c r="CV42" s="34"/>
      <c r="CW42" s="34"/>
      <c r="CX42" s="34"/>
      <c r="CY42" s="1037"/>
      <c r="CZ42" s="34"/>
      <c r="DA42" s="34"/>
      <c r="DB42" s="311"/>
      <c r="DC42" s="34"/>
      <c r="DD42" s="34"/>
      <c r="DE42" s="34"/>
      <c r="DF42" s="1037"/>
      <c r="DG42" s="34"/>
      <c r="DH42" s="34"/>
      <c r="DI42" s="311"/>
      <c r="DJ42" s="34"/>
      <c r="DK42" s="34"/>
      <c r="DL42" s="34"/>
      <c r="DM42" s="1037"/>
      <c r="DN42" s="34"/>
      <c r="DO42" s="34"/>
      <c r="DP42" s="311"/>
      <c r="DQ42" s="34"/>
      <c r="DR42" s="34"/>
      <c r="DS42" s="34"/>
      <c r="DT42" s="1037"/>
      <c r="DU42" s="34"/>
      <c r="DV42" s="34"/>
      <c r="DW42" s="311"/>
      <c r="DX42" s="29"/>
      <c r="DY42" s="160"/>
      <c r="DZ42" s="36"/>
      <c r="EA42" s="160"/>
      <c r="EB42" s="36"/>
      <c r="EC42" s="36"/>
      <c r="ED42" s="27"/>
      <c r="EE42" s="31"/>
      <c r="EF42" s="31"/>
      <c r="EG42" s="31"/>
      <c r="EH42" s="31"/>
      <c r="EI42" s="218"/>
      <c r="EJ42" s="218"/>
      <c r="EK42" s="218"/>
      <c r="EL42" s="218"/>
      <c r="EM42" s="218"/>
      <c r="EN42" s="218"/>
      <c r="EO42" s="218"/>
      <c r="EP42" s="218"/>
      <c r="EQ42" s="218"/>
      <c r="ER42" s="218"/>
      <c r="ES42" s="218"/>
      <c r="ET42" s="218"/>
      <c r="EU42" s="218"/>
      <c r="EV42" s="218"/>
      <c r="EW42" s="218"/>
      <c r="EX42" s="218"/>
      <c r="EY42" s="218"/>
      <c r="EZ42" s="218"/>
      <c r="FA42" s="218"/>
      <c r="FB42" s="218"/>
      <c r="FC42" s="218"/>
      <c r="FD42" s="218"/>
      <c r="FE42" s="218"/>
      <c r="FF42" s="218"/>
      <c r="FG42" s="218"/>
      <c r="FH42" s="218"/>
      <c r="FI42" s="218"/>
      <c r="FJ42" s="218"/>
      <c r="FK42" s="218"/>
      <c r="FL42" s="218"/>
      <c r="FM42" s="218"/>
      <c r="FN42" s="218"/>
      <c r="FO42" s="218"/>
      <c r="FP42" s="218"/>
      <c r="FQ42" s="218"/>
    </row>
    <row r="43" spans="1:173" ht="10.5" hidden="1" customHeight="1" outlineLevel="1">
      <c r="A43" s="27" t="s">
        <v>329</v>
      </c>
      <c r="B43" s="34"/>
      <c r="C43" s="139"/>
      <c r="D43" s="34"/>
      <c r="E43" s="1037"/>
      <c r="F43" s="34"/>
      <c r="G43" s="34"/>
      <c r="H43" s="1348">
        <f t="shared" si="548"/>
        <v>1297.98</v>
      </c>
      <c r="I43" s="34">
        <f t="shared" ref="I43" si="581">I$28*I51</f>
        <v>219.44</v>
      </c>
      <c r="J43" s="139">
        <f t="shared" si="490"/>
        <v>277</v>
      </c>
      <c r="K43" s="34">
        <f t="shared" ref="K43" si="582">K$28*K51</f>
        <v>294.91000000000003</v>
      </c>
      <c r="L43" s="1037">
        <f t="shared" si="492"/>
        <v>641.39999999999986</v>
      </c>
      <c r="M43" s="34">
        <f t="shared" si="493"/>
        <v>496.44</v>
      </c>
      <c r="N43" s="34">
        <f t="shared" ref="N43:N46" si="583">O43-M43</f>
        <v>936.31</v>
      </c>
      <c r="O43" s="1348">
        <f t="shared" si="548"/>
        <v>1432.75</v>
      </c>
      <c r="P43" s="34">
        <f t="shared" si="548"/>
        <v>208.24</v>
      </c>
      <c r="Q43" s="139">
        <f t="shared" si="496"/>
        <v>344.86</v>
      </c>
      <c r="R43" s="34">
        <f t="shared" ref="R43" si="584">R$28*R51</f>
        <v>256.68</v>
      </c>
      <c r="S43" s="1037">
        <f t="shared" si="498"/>
        <v>498.21999999999997</v>
      </c>
      <c r="T43" s="34">
        <f t="shared" si="499"/>
        <v>553.1</v>
      </c>
      <c r="U43" s="34">
        <f t="shared" ref="U43:U46" si="585">V43-T43</f>
        <v>754.9</v>
      </c>
      <c r="V43" s="1348">
        <f t="shared" si="548"/>
        <v>1308</v>
      </c>
      <c r="W43" s="34">
        <f t="shared" si="494"/>
        <v>0</v>
      </c>
      <c r="X43" s="139">
        <f t="shared" si="500"/>
        <v>0</v>
      </c>
      <c r="Y43" s="34">
        <f t="shared" ref="Y43" si="586">Y$28*Y51</f>
        <v>0</v>
      </c>
      <c r="Z43" s="1037">
        <f t="shared" si="502"/>
        <v>0</v>
      </c>
      <c r="AA43" s="34">
        <f t="shared" si="503"/>
        <v>0</v>
      </c>
      <c r="AB43" s="34">
        <f t="shared" ref="AB43:AB46" si="587">AC43-AA43</f>
        <v>0</v>
      </c>
      <c r="AC43" s="1348">
        <f t="shared" si="548"/>
        <v>0</v>
      </c>
      <c r="AD43" s="34">
        <f t="shared" si="504"/>
        <v>0</v>
      </c>
      <c r="AE43" s="139">
        <f t="shared" si="505"/>
        <v>0</v>
      </c>
      <c r="AF43" s="34">
        <f t="shared" ref="AF43" si="588">AF$28*AF51</f>
        <v>0</v>
      </c>
      <c r="AG43" s="1037">
        <f t="shared" si="507"/>
        <v>0</v>
      </c>
      <c r="AH43" s="34">
        <f t="shared" si="508"/>
        <v>0</v>
      </c>
      <c r="AI43" s="34">
        <f t="shared" ref="AI43:AI46" si="589">AJ43-AH43</f>
        <v>0</v>
      </c>
      <c r="AJ43" s="1348">
        <f t="shared" si="548"/>
        <v>0</v>
      </c>
      <c r="AK43" s="34">
        <f t="shared" ref="AK43" si="590">AK$28*AK51</f>
        <v>0</v>
      </c>
      <c r="AL43" s="139">
        <f t="shared" si="509"/>
        <v>0</v>
      </c>
      <c r="AM43" s="34">
        <f t="shared" ref="AM43" si="591">AM$28*AM51</f>
        <v>0</v>
      </c>
      <c r="AN43" s="1037">
        <f t="shared" si="511"/>
        <v>0</v>
      </c>
      <c r="AO43" s="34">
        <f t="shared" si="512"/>
        <v>0</v>
      </c>
      <c r="AP43" s="34">
        <f t="shared" ref="AP43:AP46" si="592">AQ43-AO43</f>
        <v>0</v>
      </c>
      <c r="AQ43" s="1348">
        <f t="shared" si="548"/>
        <v>0</v>
      </c>
      <c r="AR43" s="34">
        <f t="shared" si="548"/>
        <v>0</v>
      </c>
      <c r="AS43" s="139">
        <f t="shared" si="514"/>
        <v>0</v>
      </c>
      <c r="AT43" s="34">
        <f t="shared" ref="AT43" si="593">AT$28*AT51</f>
        <v>0</v>
      </c>
      <c r="AU43" s="1037">
        <f t="shared" si="516"/>
        <v>0</v>
      </c>
      <c r="AV43" s="34">
        <f t="shared" si="517"/>
        <v>0</v>
      </c>
      <c r="AW43" s="34">
        <f t="shared" ref="AW43:AW46" si="594">AX43-AV43</f>
        <v>0</v>
      </c>
      <c r="AX43" s="1348">
        <f t="shared" si="548"/>
        <v>0</v>
      </c>
      <c r="AY43" s="34">
        <f t="shared" si="494"/>
        <v>0</v>
      </c>
      <c r="AZ43" s="139">
        <f t="shared" si="518"/>
        <v>0</v>
      </c>
      <c r="BA43" s="34">
        <f t="shared" ref="BA43" si="595">BA$28*BA51</f>
        <v>0</v>
      </c>
      <c r="BB43" s="1037">
        <f t="shared" si="520"/>
        <v>0</v>
      </c>
      <c r="BC43" s="34">
        <f t="shared" si="521"/>
        <v>0</v>
      </c>
      <c r="BD43" s="34">
        <f t="shared" ref="BD43:BD46" si="596">BE43-BC43</f>
        <v>0</v>
      </c>
      <c r="BE43" s="1348">
        <f t="shared" si="548"/>
        <v>0</v>
      </c>
      <c r="BF43" s="34">
        <f t="shared" ref="BF43" si="597">BF$28*BF51</f>
        <v>0</v>
      </c>
      <c r="BG43" s="139">
        <f t="shared" si="523"/>
        <v>0</v>
      </c>
      <c r="BH43" s="34">
        <f t="shared" ref="BH43" si="598">BH$28*BH51</f>
        <v>0</v>
      </c>
      <c r="BI43" s="1037">
        <f t="shared" si="525"/>
        <v>0</v>
      </c>
      <c r="BJ43" s="34">
        <f t="shared" si="526"/>
        <v>0</v>
      </c>
      <c r="BK43" s="34">
        <f t="shared" ref="BK43:BK46" si="599">BL43-BJ43</f>
        <v>0</v>
      </c>
      <c r="BL43" s="1348">
        <f t="shared" si="548"/>
        <v>0</v>
      </c>
      <c r="BM43" s="34">
        <f t="shared" si="548"/>
        <v>0</v>
      </c>
      <c r="BN43" s="139">
        <f t="shared" si="527"/>
        <v>0</v>
      </c>
      <c r="BO43" s="34">
        <f t="shared" ref="BO43" si="600">BO$28*BO51</f>
        <v>0</v>
      </c>
      <c r="BP43" s="1037">
        <f t="shared" si="529"/>
        <v>0</v>
      </c>
      <c r="BQ43" s="34">
        <f t="shared" si="530"/>
        <v>0</v>
      </c>
      <c r="BR43" s="34">
        <f t="shared" ref="BR43:BR46" si="601">BS43-BQ43</f>
        <v>0</v>
      </c>
      <c r="BS43" s="1348">
        <f t="shared" si="548"/>
        <v>0</v>
      </c>
      <c r="BT43" s="34">
        <f t="shared" si="531"/>
        <v>0</v>
      </c>
      <c r="BU43" s="139">
        <f t="shared" si="532"/>
        <v>0</v>
      </c>
      <c r="BV43" s="34">
        <f t="shared" si="531"/>
        <v>0</v>
      </c>
      <c r="BW43" s="1037">
        <f t="shared" si="533"/>
        <v>0</v>
      </c>
      <c r="BX43" s="34">
        <f t="shared" si="534"/>
        <v>0</v>
      </c>
      <c r="BY43" s="34">
        <f t="shared" ref="BY43:BY46" si="602">BZ43-BX43</f>
        <v>0</v>
      </c>
      <c r="BZ43" s="1348">
        <f t="shared" ref="BZ43:CA43" si="603">BZ$28*BZ51</f>
        <v>0</v>
      </c>
      <c r="CA43" s="34">
        <f t="shared" si="603"/>
        <v>0</v>
      </c>
      <c r="CB43" s="139">
        <f t="shared" si="536"/>
        <v>0</v>
      </c>
      <c r="CC43" s="34">
        <f t="shared" ref="CC43" si="604">CC$28*CC51</f>
        <v>0</v>
      </c>
      <c r="CD43" s="1037">
        <f t="shared" si="538"/>
        <v>0</v>
      </c>
      <c r="CE43" s="34">
        <f t="shared" si="539"/>
        <v>0</v>
      </c>
      <c r="CF43" s="34">
        <f t="shared" ref="CF43:CF46" si="605">CG43-CE43</f>
        <v>0</v>
      </c>
      <c r="CG43" s="1348">
        <f t="shared" ref="CG43:CH43" si="606">CG$28*CG51</f>
        <v>0</v>
      </c>
      <c r="CH43" s="34">
        <f t="shared" si="606"/>
        <v>0</v>
      </c>
      <c r="CI43" s="139">
        <f t="shared" si="541"/>
        <v>0</v>
      </c>
      <c r="CJ43" s="34">
        <f t="shared" si="542"/>
        <v>0</v>
      </c>
      <c r="CK43" s="1037">
        <f t="shared" si="543"/>
        <v>0</v>
      </c>
      <c r="CL43" s="34">
        <f t="shared" si="544"/>
        <v>0</v>
      </c>
      <c r="CM43" s="34">
        <f t="shared" ref="CM43:CM46" si="607">CN43-CL43</f>
        <v>0</v>
      </c>
      <c r="CN43" s="1348">
        <f t="shared" ref="CN43:CO43" si="608">CN$28*CN51</f>
        <v>0</v>
      </c>
      <c r="CO43" s="34">
        <f t="shared" si="608"/>
        <v>0</v>
      </c>
      <c r="CP43" s="139">
        <f t="shared" si="546"/>
        <v>0</v>
      </c>
      <c r="CQ43" s="34"/>
      <c r="CR43" s="1037"/>
      <c r="CS43" s="34">
        <f t="shared" si="547"/>
        <v>0</v>
      </c>
      <c r="CT43" s="34"/>
      <c r="CU43" s="311"/>
      <c r="CV43" s="34"/>
      <c r="CW43" s="34"/>
      <c r="CX43" s="34"/>
      <c r="CY43" s="1037"/>
      <c r="CZ43" s="34"/>
      <c r="DA43" s="34"/>
      <c r="DB43" s="311"/>
      <c r="DC43" s="34"/>
      <c r="DD43" s="34"/>
      <c r="DE43" s="34"/>
      <c r="DF43" s="1037"/>
      <c r="DG43" s="34"/>
      <c r="DH43" s="34"/>
      <c r="DI43" s="311"/>
      <c r="DJ43" s="34"/>
      <c r="DK43" s="34"/>
      <c r="DL43" s="34"/>
      <c r="DM43" s="1037"/>
      <c r="DN43" s="34"/>
      <c r="DO43" s="34"/>
      <c r="DP43" s="311"/>
      <c r="DQ43" s="34"/>
      <c r="DR43" s="34"/>
      <c r="DS43" s="34"/>
      <c r="DT43" s="1037"/>
      <c r="DU43" s="34"/>
      <c r="DV43" s="34"/>
      <c r="DW43" s="311"/>
      <c r="DX43" s="29"/>
      <c r="DY43" s="160"/>
      <c r="DZ43" s="36"/>
      <c r="EA43" s="160"/>
      <c r="EB43" s="36"/>
      <c r="EC43" s="36"/>
      <c r="ED43" s="27"/>
      <c r="EE43" s="31"/>
      <c r="EF43" s="31"/>
      <c r="EG43" s="31"/>
      <c r="EH43" s="31"/>
      <c r="EI43" s="218"/>
      <c r="EJ43" s="218"/>
      <c r="EK43" s="218"/>
      <c r="EL43" s="218"/>
      <c r="EM43" s="218"/>
      <c r="EN43" s="218"/>
      <c r="EO43" s="218"/>
      <c r="EP43" s="218"/>
      <c r="EQ43" s="218"/>
      <c r="ER43" s="218"/>
      <c r="ES43" s="218"/>
      <c r="ET43" s="218"/>
      <c r="EU43" s="218"/>
      <c r="EV43" s="218"/>
      <c r="EW43" s="218"/>
      <c r="EX43" s="218"/>
      <c r="EY43" s="218"/>
      <c r="EZ43" s="218"/>
      <c r="FA43" s="218"/>
      <c r="FB43" s="218"/>
      <c r="FC43" s="218"/>
      <c r="FD43" s="218"/>
      <c r="FE43" s="218"/>
      <c r="FF43" s="218"/>
      <c r="FG43" s="218"/>
      <c r="FH43" s="218"/>
      <c r="FI43" s="218"/>
      <c r="FJ43" s="218"/>
      <c r="FK43" s="218"/>
      <c r="FL43" s="218"/>
      <c r="FM43" s="218"/>
      <c r="FN43" s="218"/>
      <c r="FO43" s="218"/>
      <c r="FP43" s="218"/>
      <c r="FQ43" s="218"/>
    </row>
    <row r="44" spans="1:173" ht="10.5" hidden="1" customHeight="1" outlineLevel="1">
      <c r="A44" s="28" t="s">
        <v>338</v>
      </c>
      <c r="B44" s="242"/>
      <c r="C44" s="139"/>
      <c r="D44" s="242"/>
      <c r="E44" s="1037"/>
      <c r="F44" s="242"/>
      <c r="G44" s="34"/>
      <c r="H44" s="1018">
        <f t="shared" si="548"/>
        <v>1009.5400000000001</v>
      </c>
      <c r="I44" s="242">
        <f t="shared" ref="I44" si="609">I$28*I52</f>
        <v>0</v>
      </c>
      <c r="J44" s="139">
        <f t="shared" si="490"/>
        <v>0</v>
      </c>
      <c r="K44" s="242">
        <f t="shared" ref="K44" si="610">K$28*K52</f>
        <v>0</v>
      </c>
      <c r="L44" s="1037">
        <f t="shared" si="492"/>
        <v>0</v>
      </c>
      <c r="M44" s="242">
        <f t="shared" si="493"/>
        <v>0</v>
      </c>
      <c r="N44" s="34">
        <f t="shared" si="583"/>
        <v>0</v>
      </c>
      <c r="O44" s="1018">
        <f t="shared" si="548"/>
        <v>0</v>
      </c>
      <c r="P44" s="242">
        <f t="shared" si="548"/>
        <v>0</v>
      </c>
      <c r="Q44" s="139">
        <f t="shared" si="496"/>
        <v>0</v>
      </c>
      <c r="R44" s="242">
        <f t="shared" ref="R44" si="611">R$28*R52</f>
        <v>0</v>
      </c>
      <c r="S44" s="1037">
        <f t="shared" si="498"/>
        <v>0</v>
      </c>
      <c r="T44" s="242">
        <f t="shared" si="499"/>
        <v>0</v>
      </c>
      <c r="U44" s="34">
        <f t="shared" si="585"/>
        <v>0</v>
      </c>
      <c r="V44" s="1018">
        <f t="shared" si="548"/>
        <v>0</v>
      </c>
      <c r="W44" s="242">
        <f t="shared" si="494"/>
        <v>0</v>
      </c>
      <c r="X44" s="139">
        <f t="shared" si="500"/>
        <v>0</v>
      </c>
      <c r="Y44" s="242">
        <f t="shared" ref="Y44" si="612">Y$28*Y52</f>
        <v>0</v>
      </c>
      <c r="Z44" s="1037">
        <f t="shared" si="502"/>
        <v>0</v>
      </c>
      <c r="AA44" s="242">
        <f t="shared" si="503"/>
        <v>0</v>
      </c>
      <c r="AB44" s="34">
        <f t="shared" si="587"/>
        <v>0</v>
      </c>
      <c r="AC44" s="1018">
        <f t="shared" si="548"/>
        <v>0</v>
      </c>
      <c r="AD44" s="242">
        <f t="shared" si="504"/>
        <v>0</v>
      </c>
      <c r="AE44" s="139">
        <f t="shared" si="505"/>
        <v>0</v>
      </c>
      <c r="AF44" s="242">
        <f t="shared" ref="AF44" si="613">AF$28*AF52</f>
        <v>0</v>
      </c>
      <c r="AG44" s="1037">
        <f t="shared" si="507"/>
        <v>0</v>
      </c>
      <c r="AH44" s="242">
        <f t="shared" si="508"/>
        <v>0</v>
      </c>
      <c r="AI44" s="34">
        <f t="shared" si="589"/>
        <v>0</v>
      </c>
      <c r="AJ44" s="1018">
        <f t="shared" si="548"/>
        <v>0</v>
      </c>
      <c r="AK44" s="242">
        <f t="shared" ref="AK44" si="614">AK$28*AK52</f>
        <v>0</v>
      </c>
      <c r="AL44" s="139">
        <f t="shared" si="509"/>
        <v>0</v>
      </c>
      <c r="AM44" s="242">
        <f t="shared" ref="AM44" si="615">AM$28*AM52</f>
        <v>0</v>
      </c>
      <c r="AN44" s="1037">
        <f t="shared" si="511"/>
        <v>0</v>
      </c>
      <c r="AO44" s="242">
        <f t="shared" si="512"/>
        <v>0</v>
      </c>
      <c r="AP44" s="34">
        <f t="shared" si="592"/>
        <v>0</v>
      </c>
      <c r="AQ44" s="1018">
        <f t="shared" si="548"/>
        <v>0</v>
      </c>
      <c r="AR44" s="242">
        <f t="shared" si="548"/>
        <v>0</v>
      </c>
      <c r="AS44" s="139">
        <f t="shared" si="514"/>
        <v>0</v>
      </c>
      <c r="AT44" s="242">
        <f t="shared" ref="AT44" si="616">AT$28*AT52</f>
        <v>0</v>
      </c>
      <c r="AU44" s="1037">
        <f t="shared" si="516"/>
        <v>0</v>
      </c>
      <c r="AV44" s="242">
        <f t="shared" si="517"/>
        <v>0</v>
      </c>
      <c r="AW44" s="34">
        <f t="shared" si="594"/>
        <v>0</v>
      </c>
      <c r="AX44" s="1018">
        <f t="shared" si="548"/>
        <v>0</v>
      </c>
      <c r="AY44" s="242">
        <f t="shared" si="494"/>
        <v>0</v>
      </c>
      <c r="AZ44" s="139">
        <f t="shared" si="518"/>
        <v>0</v>
      </c>
      <c r="BA44" s="242">
        <f t="shared" ref="BA44" si="617">BA$28*BA52</f>
        <v>0</v>
      </c>
      <c r="BB44" s="1037">
        <f t="shared" si="520"/>
        <v>0</v>
      </c>
      <c r="BC44" s="242">
        <f t="shared" si="521"/>
        <v>0</v>
      </c>
      <c r="BD44" s="34">
        <f t="shared" si="596"/>
        <v>0</v>
      </c>
      <c r="BE44" s="1018">
        <f t="shared" si="548"/>
        <v>0</v>
      </c>
      <c r="BF44" s="242">
        <f t="shared" ref="BF44" si="618">BF$28*BF52</f>
        <v>0</v>
      </c>
      <c r="BG44" s="139">
        <f t="shared" si="523"/>
        <v>0</v>
      </c>
      <c r="BH44" s="242">
        <f t="shared" ref="BH44" si="619">BH$28*BH52</f>
        <v>0</v>
      </c>
      <c r="BI44" s="1037">
        <f t="shared" si="525"/>
        <v>0</v>
      </c>
      <c r="BJ44" s="242">
        <f t="shared" si="526"/>
        <v>0</v>
      </c>
      <c r="BK44" s="34">
        <f t="shared" si="599"/>
        <v>0</v>
      </c>
      <c r="BL44" s="1018">
        <f t="shared" si="548"/>
        <v>0</v>
      </c>
      <c r="BM44" s="242">
        <f t="shared" si="548"/>
        <v>0</v>
      </c>
      <c r="BN44" s="139">
        <f t="shared" si="527"/>
        <v>0</v>
      </c>
      <c r="BO44" s="242">
        <f t="shared" ref="BO44" si="620">BO$28*BO52</f>
        <v>0</v>
      </c>
      <c r="BP44" s="1037">
        <f t="shared" si="529"/>
        <v>0</v>
      </c>
      <c r="BQ44" s="242">
        <f t="shared" si="530"/>
        <v>0</v>
      </c>
      <c r="BR44" s="34">
        <f t="shared" si="601"/>
        <v>0</v>
      </c>
      <c r="BS44" s="1018">
        <f t="shared" si="548"/>
        <v>0</v>
      </c>
      <c r="BT44" s="242">
        <f t="shared" si="531"/>
        <v>0</v>
      </c>
      <c r="BU44" s="139">
        <f t="shared" si="532"/>
        <v>0</v>
      </c>
      <c r="BV44" s="242">
        <f t="shared" si="531"/>
        <v>0</v>
      </c>
      <c r="BW44" s="1037">
        <f t="shared" si="533"/>
        <v>0</v>
      </c>
      <c r="BX44" s="242">
        <f t="shared" si="534"/>
        <v>0</v>
      </c>
      <c r="BY44" s="34">
        <f t="shared" si="602"/>
        <v>0</v>
      </c>
      <c r="BZ44" s="1018">
        <f t="shared" ref="BZ44:CA44" si="621">BZ$28*BZ52</f>
        <v>0</v>
      </c>
      <c r="CA44" s="242">
        <f t="shared" si="621"/>
        <v>0</v>
      </c>
      <c r="CB44" s="139">
        <f t="shared" si="536"/>
        <v>0</v>
      </c>
      <c r="CC44" s="242">
        <f t="shared" ref="CC44" si="622">CC$28*CC52</f>
        <v>0</v>
      </c>
      <c r="CD44" s="1037">
        <f t="shared" si="538"/>
        <v>0</v>
      </c>
      <c r="CE44" s="242">
        <f t="shared" si="539"/>
        <v>0</v>
      </c>
      <c r="CF44" s="34">
        <f t="shared" si="605"/>
        <v>0</v>
      </c>
      <c r="CG44" s="1018">
        <f t="shared" ref="CG44:CH44" si="623">CG$28*CG52</f>
        <v>0</v>
      </c>
      <c r="CH44" s="242">
        <f t="shared" si="623"/>
        <v>0</v>
      </c>
      <c r="CI44" s="139">
        <f t="shared" si="541"/>
        <v>0</v>
      </c>
      <c r="CJ44" s="242">
        <f t="shared" si="542"/>
        <v>0</v>
      </c>
      <c r="CK44" s="1037">
        <f t="shared" si="543"/>
        <v>0</v>
      </c>
      <c r="CL44" s="242">
        <f t="shared" si="544"/>
        <v>0</v>
      </c>
      <c r="CM44" s="34">
        <f t="shared" si="607"/>
        <v>0</v>
      </c>
      <c r="CN44" s="1018">
        <f t="shared" ref="CN44:CO44" si="624">CN$28*CN52</f>
        <v>0</v>
      </c>
      <c r="CO44" s="242">
        <f t="shared" si="624"/>
        <v>0</v>
      </c>
      <c r="CP44" s="139">
        <f t="shared" si="546"/>
        <v>0</v>
      </c>
      <c r="CQ44" s="242"/>
      <c r="CR44" s="1032"/>
      <c r="CS44" s="242">
        <f t="shared" si="547"/>
        <v>0</v>
      </c>
      <c r="CT44" s="242"/>
      <c r="CU44" s="1024"/>
      <c r="CV44" s="242"/>
      <c r="CW44" s="242"/>
      <c r="CX44" s="242"/>
      <c r="CY44" s="1032"/>
      <c r="CZ44" s="242"/>
      <c r="DA44" s="242"/>
      <c r="DB44" s="1024"/>
      <c r="DC44" s="242"/>
      <c r="DD44" s="242"/>
      <c r="DE44" s="242"/>
      <c r="DF44" s="1032"/>
      <c r="DG44" s="242"/>
      <c r="DH44" s="242"/>
      <c r="DI44" s="1024"/>
      <c r="DJ44" s="242"/>
      <c r="DK44" s="242"/>
      <c r="DL44" s="242"/>
      <c r="DM44" s="1032"/>
      <c r="DN44" s="242"/>
      <c r="DO44" s="242"/>
      <c r="DP44" s="1024"/>
      <c r="DQ44" s="242"/>
      <c r="DR44" s="242"/>
      <c r="DS44" s="242"/>
      <c r="DT44" s="1032"/>
      <c r="DU44" s="242"/>
      <c r="DV44" s="242"/>
      <c r="DW44" s="1024"/>
      <c r="DX44" s="789"/>
      <c r="DY44" s="38"/>
      <c r="DZ44" s="38"/>
      <c r="EA44" s="38"/>
      <c r="EB44" s="38"/>
      <c r="EC44" s="38"/>
      <c r="ED44" s="28"/>
      <c r="EE44" s="262"/>
      <c r="EF44" s="262"/>
      <c r="EG44" s="262"/>
      <c r="EH44" s="262"/>
      <c r="EI44" s="219"/>
      <c r="EJ44" s="219"/>
      <c r="EK44" s="219"/>
      <c r="EL44" s="219"/>
      <c r="EM44" s="219"/>
      <c r="EN44" s="219"/>
      <c r="EO44" s="219"/>
      <c r="EP44" s="219"/>
      <c r="EQ44" s="219"/>
      <c r="ER44" s="219"/>
      <c r="ES44" s="219"/>
      <c r="ET44" s="219"/>
      <c r="EU44" s="219"/>
      <c r="EV44" s="219"/>
      <c r="EW44" s="219"/>
      <c r="EX44" s="219"/>
      <c r="EY44" s="219"/>
      <c r="EZ44" s="219"/>
      <c r="FA44" s="219"/>
      <c r="FB44" s="219"/>
      <c r="FC44" s="219"/>
      <c r="FD44" s="219"/>
      <c r="FE44" s="219"/>
      <c r="FF44" s="219"/>
      <c r="FG44" s="219"/>
      <c r="FH44" s="219"/>
      <c r="FI44" s="219"/>
      <c r="FJ44" s="219"/>
      <c r="FK44" s="219"/>
      <c r="FL44" s="219"/>
      <c r="FM44" s="219"/>
      <c r="FN44" s="219"/>
      <c r="FO44" s="219"/>
      <c r="FP44" s="219"/>
      <c r="FQ44" s="219"/>
    </row>
    <row r="45" spans="1:173" ht="10.5" hidden="1" customHeight="1" outlineLevel="1">
      <c r="A45" s="28" t="s">
        <v>339</v>
      </c>
      <c r="B45" s="242"/>
      <c r="C45" s="139"/>
      <c r="D45" s="242"/>
      <c r="E45" s="1037"/>
      <c r="F45" s="242"/>
      <c r="G45" s="34"/>
      <c r="H45" s="1018">
        <f t="shared" si="548"/>
        <v>-1300.9999999999991</v>
      </c>
      <c r="I45" s="242">
        <f t="shared" ref="I45" si="625">I$28*I53</f>
        <v>0</v>
      </c>
      <c r="J45" s="139">
        <f t="shared" si="490"/>
        <v>0</v>
      </c>
      <c r="K45" s="242">
        <f t="shared" ref="K45" si="626">K$28*K53</f>
        <v>0</v>
      </c>
      <c r="L45" s="1037">
        <f t="shared" si="492"/>
        <v>0</v>
      </c>
      <c r="M45" s="242">
        <f t="shared" si="493"/>
        <v>0</v>
      </c>
      <c r="N45" s="34">
        <f t="shared" si="583"/>
        <v>0</v>
      </c>
      <c r="O45" s="1018">
        <f t="shared" si="548"/>
        <v>0</v>
      </c>
      <c r="P45" s="242">
        <f t="shared" si="548"/>
        <v>0</v>
      </c>
      <c r="Q45" s="139">
        <f t="shared" si="496"/>
        <v>0</v>
      </c>
      <c r="R45" s="242">
        <f t="shared" ref="R45" si="627">R$28*R53</f>
        <v>0</v>
      </c>
      <c r="S45" s="1037">
        <f t="shared" si="498"/>
        <v>0</v>
      </c>
      <c r="T45" s="242">
        <f t="shared" si="499"/>
        <v>0</v>
      </c>
      <c r="U45" s="34">
        <f t="shared" si="585"/>
        <v>0</v>
      </c>
      <c r="V45" s="1018">
        <f t="shared" si="548"/>
        <v>0</v>
      </c>
      <c r="W45" s="242">
        <f t="shared" si="494"/>
        <v>0</v>
      </c>
      <c r="X45" s="139">
        <f t="shared" si="500"/>
        <v>0</v>
      </c>
      <c r="Y45" s="242">
        <f t="shared" ref="Y45" si="628">Y$28*Y53</f>
        <v>0</v>
      </c>
      <c r="Z45" s="1037">
        <f t="shared" si="502"/>
        <v>0</v>
      </c>
      <c r="AA45" s="242">
        <f t="shared" si="503"/>
        <v>0</v>
      </c>
      <c r="AB45" s="34">
        <f t="shared" si="587"/>
        <v>0</v>
      </c>
      <c r="AC45" s="1018">
        <f t="shared" si="548"/>
        <v>0</v>
      </c>
      <c r="AD45" s="242">
        <f t="shared" si="504"/>
        <v>0</v>
      </c>
      <c r="AE45" s="139">
        <f t="shared" si="505"/>
        <v>0</v>
      </c>
      <c r="AF45" s="242">
        <f t="shared" ref="AF45" si="629">AF$28*AF53</f>
        <v>0</v>
      </c>
      <c r="AG45" s="1037">
        <f t="shared" si="507"/>
        <v>0</v>
      </c>
      <c r="AH45" s="242">
        <f t="shared" si="508"/>
        <v>0</v>
      </c>
      <c r="AI45" s="34">
        <f t="shared" si="589"/>
        <v>0</v>
      </c>
      <c r="AJ45" s="1018">
        <f t="shared" si="548"/>
        <v>0</v>
      </c>
      <c r="AK45" s="242">
        <f t="shared" ref="AK45" si="630">AK$28*AK53</f>
        <v>0</v>
      </c>
      <c r="AL45" s="139">
        <f t="shared" si="509"/>
        <v>0</v>
      </c>
      <c r="AM45" s="242">
        <f t="shared" ref="AM45" si="631">AM$28*AM53</f>
        <v>0</v>
      </c>
      <c r="AN45" s="1037">
        <f t="shared" si="511"/>
        <v>0</v>
      </c>
      <c r="AO45" s="242">
        <f t="shared" si="512"/>
        <v>0</v>
      </c>
      <c r="AP45" s="34">
        <f t="shared" si="592"/>
        <v>0</v>
      </c>
      <c r="AQ45" s="1018">
        <f t="shared" si="548"/>
        <v>0</v>
      </c>
      <c r="AR45" s="242">
        <f t="shared" si="548"/>
        <v>0</v>
      </c>
      <c r="AS45" s="139">
        <f t="shared" si="514"/>
        <v>0</v>
      </c>
      <c r="AT45" s="242">
        <f t="shared" ref="AT45" si="632">AT$28*AT53</f>
        <v>0</v>
      </c>
      <c r="AU45" s="1037">
        <f t="shared" si="516"/>
        <v>0</v>
      </c>
      <c r="AV45" s="242">
        <f t="shared" si="517"/>
        <v>0</v>
      </c>
      <c r="AW45" s="34">
        <f t="shared" si="594"/>
        <v>0</v>
      </c>
      <c r="AX45" s="1018">
        <f t="shared" si="548"/>
        <v>0</v>
      </c>
      <c r="AY45" s="242">
        <f t="shared" si="494"/>
        <v>0</v>
      </c>
      <c r="AZ45" s="139">
        <f t="shared" si="518"/>
        <v>0</v>
      </c>
      <c r="BA45" s="242">
        <f t="shared" ref="BA45" si="633">BA$28*BA53</f>
        <v>0</v>
      </c>
      <c r="BB45" s="1037">
        <f t="shared" si="520"/>
        <v>0</v>
      </c>
      <c r="BC45" s="242">
        <f t="shared" si="521"/>
        <v>0</v>
      </c>
      <c r="BD45" s="34">
        <f t="shared" si="596"/>
        <v>0</v>
      </c>
      <c r="BE45" s="1018">
        <f t="shared" si="548"/>
        <v>0</v>
      </c>
      <c r="BF45" s="242">
        <f t="shared" ref="BF45" si="634">BF$28*BF53</f>
        <v>0</v>
      </c>
      <c r="BG45" s="139">
        <f t="shared" si="523"/>
        <v>0</v>
      </c>
      <c r="BH45" s="242">
        <f t="shared" ref="BH45" si="635">BH$28*BH53</f>
        <v>0</v>
      </c>
      <c r="BI45" s="1037">
        <f t="shared" si="525"/>
        <v>0</v>
      </c>
      <c r="BJ45" s="242">
        <f t="shared" si="526"/>
        <v>0</v>
      </c>
      <c r="BK45" s="34">
        <f t="shared" si="599"/>
        <v>0</v>
      </c>
      <c r="BL45" s="1018">
        <f t="shared" si="548"/>
        <v>0</v>
      </c>
      <c r="BM45" s="242">
        <f t="shared" si="548"/>
        <v>0</v>
      </c>
      <c r="BN45" s="139">
        <f t="shared" si="527"/>
        <v>0</v>
      </c>
      <c r="BO45" s="242">
        <f t="shared" ref="BO45" si="636">BO$28*BO53</f>
        <v>0</v>
      </c>
      <c r="BP45" s="1037">
        <f t="shared" si="529"/>
        <v>0</v>
      </c>
      <c r="BQ45" s="242">
        <f t="shared" si="530"/>
        <v>0</v>
      </c>
      <c r="BR45" s="34">
        <f t="shared" si="601"/>
        <v>0</v>
      </c>
      <c r="BS45" s="1018">
        <f t="shared" si="548"/>
        <v>0</v>
      </c>
      <c r="BT45" s="242">
        <f t="shared" si="531"/>
        <v>0</v>
      </c>
      <c r="BU45" s="139">
        <f t="shared" si="532"/>
        <v>0</v>
      </c>
      <c r="BV45" s="242">
        <f t="shared" si="531"/>
        <v>0</v>
      </c>
      <c r="BW45" s="1037">
        <f t="shared" si="533"/>
        <v>0</v>
      </c>
      <c r="BX45" s="242">
        <f t="shared" si="534"/>
        <v>0</v>
      </c>
      <c r="BY45" s="34">
        <f t="shared" si="602"/>
        <v>0</v>
      </c>
      <c r="BZ45" s="1018">
        <f t="shared" ref="BZ45:CA45" si="637">BZ$28*BZ53</f>
        <v>0</v>
      </c>
      <c r="CA45" s="242">
        <f t="shared" si="637"/>
        <v>0</v>
      </c>
      <c r="CB45" s="139">
        <f t="shared" si="536"/>
        <v>0</v>
      </c>
      <c r="CC45" s="242">
        <f t="shared" ref="CC45" si="638">CC$28*CC53</f>
        <v>0</v>
      </c>
      <c r="CD45" s="1037">
        <f t="shared" si="538"/>
        <v>0</v>
      </c>
      <c r="CE45" s="242">
        <f t="shared" si="539"/>
        <v>0</v>
      </c>
      <c r="CF45" s="34">
        <f t="shared" si="605"/>
        <v>0</v>
      </c>
      <c r="CG45" s="1018">
        <f t="shared" ref="CG45:CH45" si="639">CG$28*CG53</f>
        <v>0</v>
      </c>
      <c r="CH45" s="242">
        <f t="shared" si="639"/>
        <v>0</v>
      </c>
      <c r="CI45" s="139">
        <f t="shared" si="541"/>
        <v>0</v>
      </c>
      <c r="CJ45" s="242">
        <f t="shared" si="542"/>
        <v>0</v>
      </c>
      <c r="CK45" s="1037">
        <f t="shared" si="543"/>
        <v>0</v>
      </c>
      <c r="CL45" s="242">
        <f t="shared" si="544"/>
        <v>0</v>
      </c>
      <c r="CM45" s="34">
        <f t="shared" si="607"/>
        <v>0</v>
      </c>
      <c r="CN45" s="1018">
        <f t="shared" ref="CN45:CO45" si="640">CN$28*CN53</f>
        <v>0</v>
      </c>
      <c r="CO45" s="242">
        <f t="shared" si="640"/>
        <v>0</v>
      </c>
      <c r="CP45" s="139">
        <f t="shared" si="546"/>
        <v>0</v>
      </c>
      <c r="CQ45" s="242"/>
      <c r="CR45" s="1032"/>
      <c r="CS45" s="242">
        <f t="shared" si="547"/>
        <v>0</v>
      </c>
      <c r="CT45" s="242"/>
      <c r="CU45" s="1024"/>
      <c r="CV45" s="242"/>
      <c r="CW45" s="242"/>
      <c r="CX45" s="242"/>
      <c r="CY45" s="1032"/>
      <c r="CZ45" s="242"/>
      <c r="DA45" s="242"/>
      <c r="DB45" s="1024"/>
      <c r="DC45" s="242"/>
      <c r="DD45" s="242"/>
      <c r="DE45" s="242"/>
      <c r="DF45" s="1032"/>
      <c r="DG45" s="242"/>
      <c r="DH45" s="242"/>
      <c r="DI45" s="1024"/>
      <c r="DJ45" s="242"/>
      <c r="DK45" s="242"/>
      <c r="DL45" s="242"/>
      <c r="DM45" s="1032"/>
      <c r="DN45" s="242"/>
      <c r="DO45" s="242"/>
      <c r="DP45" s="1024"/>
      <c r="DQ45" s="242"/>
      <c r="DR45" s="242"/>
      <c r="DS45" s="242"/>
      <c r="DT45" s="1032"/>
      <c r="DU45" s="242"/>
      <c r="DV45" s="242"/>
      <c r="DW45" s="1024"/>
      <c r="DX45" s="789"/>
      <c r="DY45" s="38"/>
      <c r="DZ45" s="38"/>
      <c r="EA45" s="38"/>
      <c r="EB45" s="38"/>
      <c r="EC45" s="38"/>
      <c r="ED45" s="28"/>
      <c r="EE45" s="262"/>
      <c r="EF45" s="262"/>
      <c r="EG45" s="262"/>
      <c r="EH45" s="262"/>
      <c r="EI45" s="219"/>
      <c r="EJ45" s="219"/>
      <c r="EK45" s="219"/>
      <c r="EL45" s="219"/>
      <c r="EM45" s="219"/>
      <c r="EN45" s="219"/>
      <c r="EO45" s="219"/>
      <c r="EP45" s="219"/>
      <c r="EQ45" s="219"/>
      <c r="ER45" s="219"/>
      <c r="ES45" s="219"/>
      <c r="ET45" s="219"/>
      <c r="EU45" s="219"/>
      <c r="EV45" s="219"/>
      <c r="EW45" s="219"/>
      <c r="EX45" s="219"/>
      <c r="EY45" s="219"/>
      <c r="EZ45" s="219"/>
      <c r="FA45" s="219"/>
      <c r="FB45" s="219"/>
      <c r="FC45" s="219"/>
      <c r="FD45" s="219"/>
      <c r="FE45" s="219"/>
      <c r="FF45" s="219"/>
      <c r="FG45" s="219"/>
      <c r="FH45" s="219"/>
      <c r="FI45" s="219"/>
      <c r="FJ45" s="219"/>
      <c r="FK45" s="219"/>
      <c r="FL45" s="219"/>
      <c r="FM45" s="219"/>
      <c r="FN45" s="219"/>
      <c r="FO45" s="219"/>
      <c r="FP45" s="219"/>
      <c r="FQ45" s="219"/>
    </row>
    <row r="46" spans="1:173" ht="10.5" customHeight="1" collapsed="1">
      <c r="A46" s="27" t="s">
        <v>140</v>
      </c>
      <c r="B46" s="34"/>
      <c r="C46" s="139"/>
      <c r="D46" s="34"/>
      <c r="E46" s="1037"/>
      <c r="F46" s="34"/>
      <c r="G46" s="34"/>
      <c r="H46" s="1348">
        <f t="shared" si="548"/>
        <v>-291.45999999999901</v>
      </c>
      <c r="I46" s="34">
        <f t="shared" ref="I46" si="641">I$28*I54</f>
        <v>0</v>
      </c>
      <c r="J46" s="139">
        <f t="shared" si="490"/>
        <v>0</v>
      </c>
      <c r="K46" s="34">
        <f t="shared" ref="K46" si="642">K$28*K54</f>
        <v>0</v>
      </c>
      <c r="L46" s="1037">
        <f t="shared" si="492"/>
        <v>0</v>
      </c>
      <c r="M46" s="34">
        <f t="shared" si="493"/>
        <v>0</v>
      </c>
      <c r="N46" s="34">
        <f t="shared" si="583"/>
        <v>0</v>
      </c>
      <c r="O46" s="1348">
        <f t="shared" si="548"/>
        <v>0</v>
      </c>
      <c r="P46" s="34">
        <f t="shared" si="548"/>
        <v>0</v>
      </c>
      <c r="Q46" s="139">
        <f t="shared" si="496"/>
        <v>0</v>
      </c>
      <c r="R46" s="34">
        <f t="shared" ref="R46" si="643">R$28*R54</f>
        <v>0</v>
      </c>
      <c r="S46" s="1037">
        <f t="shared" si="498"/>
        <v>0</v>
      </c>
      <c r="T46" s="34">
        <f t="shared" si="499"/>
        <v>0</v>
      </c>
      <c r="U46" s="34">
        <f t="shared" si="585"/>
        <v>0</v>
      </c>
      <c r="V46" s="1348">
        <f t="shared" si="548"/>
        <v>0</v>
      </c>
      <c r="W46" s="34">
        <f t="shared" si="494"/>
        <v>0</v>
      </c>
      <c r="X46" s="139">
        <f t="shared" si="500"/>
        <v>0</v>
      </c>
      <c r="Y46" s="34">
        <f t="shared" ref="Y46" si="644">Y$28*Y54</f>
        <v>0</v>
      </c>
      <c r="Z46" s="1037">
        <f t="shared" si="502"/>
        <v>0</v>
      </c>
      <c r="AA46" s="34">
        <f t="shared" si="503"/>
        <v>0</v>
      </c>
      <c r="AB46" s="34">
        <f t="shared" si="587"/>
        <v>0</v>
      </c>
      <c r="AC46" s="1348">
        <f t="shared" si="548"/>
        <v>0</v>
      </c>
      <c r="AD46" s="34">
        <f t="shared" si="504"/>
        <v>0</v>
      </c>
      <c r="AE46" s="139">
        <f t="shared" si="505"/>
        <v>0</v>
      </c>
      <c r="AF46" s="34">
        <f t="shared" ref="AF46" si="645">AF$28*AF54</f>
        <v>0</v>
      </c>
      <c r="AG46" s="1037">
        <f t="shared" si="507"/>
        <v>0</v>
      </c>
      <c r="AH46" s="34">
        <f t="shared" si="508"/>
        <v>0</v>
      </c>
      <c r="AI46" s="34">
        <f t="shared" si="589"/>
        <v>0</v>
      </c>
      <c r="AJ46" s="1348">
        <f t="shared" si="548"/>
        <v>0</v>
      </c>
      <c r="AK46" s="34">
        <f t="shared" ref="AK46" si="646">AK$28*AK54</f>
        <v>0</v>
      </c>
      <c r="AL46" s="139">
        <f t="shared" si="509"/>
        <v>0</v>
      </c>
      <c r="AM46" s="34">
        <f t="shared" ref="AM46" si="647">AM$28*AM54</f>
        <v>0</v>
      </c>
      <c r="AN46" s="1037">
        <f t="shared" si="511"/>
        <v>0</v>
      </c>
      <c r="AO46" s="34">
        <f t="shared" si="512"/>
        <v>0</v>
      </c>
      <c r="AP46" s="34">
        <f t="shared" si="592"/>
        <v>0</v>
      </c>
      <c r="AQ46" s="1348">
        <f t="shared" si="548"/>
        <v>0</v>
      </c>
      <c r="AR46" s="34">
        <f t="shared" si="548"/>
        <v>0</v>
      </c>
      <c r="AS46" s="139">
        <f t="shared" si="514"/>
        <v>0</v>
      </c>
      <c r="AT46" s="34">
        <f t="shared" ref="AT46" si="648">AT$28*AT54</f>
        <v>0</v>
      </c>
      <c r="AU46" s="1037">
        <f t="shared" si="516"/>
        <v>0</v>
      </c>
      <c r="AV46" s="34">
        <f t="shared" si="517"/>
        <v>0</v>
      </c>
      <c r="AW46" s="34">
        <f t="shared" si="594"/>
        <v>0</v>
      </c>
      <c r="AX46" s="1348">
        <f t="shared" si="548"/>
        <v>0</v>
      </c>
      <c r="AY46" s="34">
        <f t="shared" si="494"/>
        <v>0</v>
      </c>
      <c r="AZ46" s="139">
        <f t="shared" si="518"/>
        <v>0</v>
      </c>
      <c r="BA46" s="34">
        <f t="shared" ref="BA46" si="649">BA$28*BA54</f>
        <v>0</v>
      </c>
      <c r="BB46" s="1037">
        <f t="shared" si="520"/>
        <v>0</v>
      </c>
      <c r="BC46" s="34">
        <f t="shared" si="521"/>
        <v>0</v>
      </c>
      <c r="BD46" s="34">
        <f t="shared" si="596"/>
        <v>0</v>
      </c>
      <c r="BE46" s="1348">
        <f t="shared" si="548"/>
        <v>0</v>
      </c>
      <c r="BF46" s="34">
        <f t="shared" ref="BF46" si="650">BF$28*BF54</f>
        <v>0</v>
      </c>
      <c r="BG46" s="139">
        <f t="shared" si="523"/>
        <v>0</v>
      </c>
      <c r="BH46" s="34">
        <f t="shared" ref="BH46" si="651">BH$28*BH54</f>
        <v>0</v>
      </c>
      <c r="BI46" s="1037">
        <f t="shared" si="525"/>
        <v>0</v>
      </c>
      <c r="BJ46" s="34">
        <f t="shared" si="526"/>
        <v>0</v>
      </c>
      <c r="BK46" s="34">
        <f t="shared" si="599"/>
        <v>0</v>
      </c>
      <c r="BL46" s="1348">
        <f t="shared" si="548"/>
        <v>0</v>
      </c>
      <c r="BM46" s="34">
        <f t="shared" si="548"/>
        <v>0</v>
      </c>
      <c r="BN46" s="139">
        <f t="shared" si="527"/>
        <v>0</v>
      </c>
      <c r="BO46" s="34">
        <f t="shared" ref="BO46" si="652">BO$28*BO54</f>
        <v>0</v>
      </c>
      <c r="BP46" s="1037">
        <f t="shared" si="529"/>
        <v>0</v>
      </c>
      <c r="BQ46" s="34">
        <f t="shared" si="530"/>
        <v>0</v>
      </c>
      <c r="BR46" s="34">
        <f t="shared" si="601"/>
        <v>0</v>
      </c>
      <c r="BS46" s="1348">
        <f t="shared" si="548"/>
        <v>0</v>
      </c>
      <c r="BT46" s="34">
        <f t="shared" si="531"/>
        <v>0</v>
      </c>
      <c r="BU46" s="139">
        <f t="shared" si="532"/>
        <v>0</v>
      </c>
      <c r="BV46" s="34">
        <f t="shared" si="531"/>
        <v>0</v>
      </c>
      <c r="BW46" s="1037">
        <f t="shared" si="533"/>
        <v>0</v>
      </c>
      <c r="BX46" s="34">
        <f t="shared" si="534"/>
        <v>0</v>
      </c>
      <c r="BY46" s="34">
        <f t="shared" si="602"/>
        <v>0</v>
      </c>
      <c r="BZ46" s="1348">
        <f t="shared" ref="BZ46:CA46" si="653">BZ$28*BZ54</f>
        <v>0</v>
      </c>
      <c r="CA46" s="34">
        <f t="shared" si="653"/>
        <v>0</v>
      </c>
      <c r="CB46" s="139">
        <f t="shared" si="536"/>
        <v>0</v>
      </c>
      <c r="CC46" s="34">
        <f t="shared" ref="CC46" si="654">CC$28*CC54</f>
        <v>0</v>
      </c>
      <c r="CD46" s="1037">
        <f t="shared" si="538"/>
        <v>0</v>
      </c>
      <c r="CE46" s="34">
        <f t="shared" si="539"/>
        <v>0</v>
      </c>
      <c r="CF46" s="34">
        <f t="shared" si="605"/>
        <v>0</v>
      </c>
      <c r="CG46" s="1348">
        <f t="shared" ref="CG46:CH46" si="655">CG$28*CG54</f>
        <v>0</v>
      </c>
      <c r="CH46" s="34">
        <f t="shared" si="655"/>
        <v>0</v>
      </c>
      <c r="CI46" s="139">
        <f t="shared" si="541"/>
        <v>0</v>
      </c>
      <c r="CJ46" s="34">
        <f t="shared" si="542"/>
        <v>0</v>
      </c>
      <c r="CK46" s="1037">
        <f t="shared" si="543"/>
        <v>0</v>
      </c>
      <c r="CL46" s="34">
        <f t="shared" si="544"/>
        <v>0</v>
      </c>
      <c r="CM46" s="34">
        <f t="shared" si="607"/>
        <v>0</v>
      </c>
      <c r="CN46" s="1348">
        <f t="shared" ref="CN46:CO46" si="656">CN$28*CN54</f>
        <v>0</v>
      </c>
      <c r="CO46" s="34">
        <f t="shared" si="656"/>
        <v>0</v>
      </c>
      <c r="CP46" s="139">
        <f t="shared" si="546"/>
        <v>0</v>
      </c>
      <c r="CQ46" s="34"/>
      <c r="CR46" s="1037"/>
      <c r="CS46" s="34">
        <f t="shared" si="547"/>
        <v>0</v>
      </c>
      <c r="CT46" s="34"/>
      <c r="CU46" s="311"/>
      <c r="CV46" s="34"/>
      <c r="CW46" s="34"/>
      <c r="CX46" s="34"/>
      <c r="CY46" s="1037"/>
      <c r="CZ46" s="34"/>
      <c r="DA46" s="34"/>
      <c r="DB46" s="311"/>
      <c r="DC46" s="34"/>
      <c r="DD46" s="34"/>
      <c r="DE46" s="34"/>
      <c r="DF46" s="1037"/>
      <c r="DG46" s="34"/>
      <c r="DH46" s="34"/>
      <c r="DI46" s="311"/>
      <c r="DJ46" s="34"/>
      <c r="DK46" s="34"/>
      <c r="DL46" s="34"/>
      <c r="DM46" s="1037"/>
      <c r="DN46" s="34"/>
      <c r="DO46" s="34"/>
      <c r="DP46" s="311"/>
      <c r="DQ46" s="34"/>
      <c r="DR46" s="34"/>
      <c r="DS46" s="34"/>
      <c r="DT46" s="1037"/>
      <c r="DU46" s="34"/>
      <c r="DV46" s="34"/>
      <c r="DW46" s="311"/>
      <c r="DX46" s="29"/>
      <c r="DY46" s="160"/>
      <c r="DZ46" s="36"/>
      <c r="EA46" s="160"/>
      <c r="EB46" s="36"/>
      <c r="EC46" s="36"/>
      <c r="ED46" s="27"/>
      <c r="EE46" s="31"/>
      <c r="EF46" s="31"/>
      <c r="EG46" s="31"/>
      <c r="EH46" s="31"/>
      <c r="EI46" s="218"/>
      <c r="EJ46" s="218"/>
      <c r="EK46" s="218"/>
      <c r="EL46" s="218"/>
      <c r="EM46" s="218"/>
      <c r="EN46" s="218"/>
      <c r="EO46" s="218"/>
      <c r="EP46" s="218"/>
      <c r="EQ46" s="218"/>
      <c r="ER46" s="218"/>
      <c r="ES46" s="218"/>
      <c r="ET46" s="218"/>
      <c r="EU46" s="218"/>
      <c r="EV46" s="218"/>
      <c r="EW46" s="218"/>
      <c r="EX46" s="218"/>
      <c r="EY46" s="218"/>
      <c r="EZ46" s="218"/>
      <c r="FA46" s="218"/>
      <c r="FB46" s="218"/>
      <c r="FC46" s="218"/>
      <c r="FD46" s="218"/>
      <c r="FE46" s="218"/>
      <c r="FF46" s="218"/>
      <c r="FG46" s="218"/>
      <c r="FH46" s="218"/>
      <c r="FI46" s="218"/>
      <c r="FJ46" s="218"/>
      <c r="FK46" s="218"/>
      <c r="FL46" s="218"/>
      <c r="FM46" s="218"/>
      <c r="FN46" s="218"/>
      <c r="FO46" s="218"/>
      <c r="FP46" s="218"/>
      <c r="FQ46" s="218"/>
    </row>
    <row r="47" spans="1:173" ht="10.5" customHeight="1">
      <c r="A47" s="218"/>
      <c r="B47" s="27"/>
      <c r="C47" s="27"/>
      <c r="D47" s="27"/>
      <c r="E47" s="1036"/>
      <c r="F47" s="27"/>
      <c r="G47" s="34"/>
      <c r="H47" s="1295"/>
      <c r="I47" s="27"/>
      <c r="J47" s="27"/>
      <c r="K47" s="27"/>
      <c r="L47" s="1036"/>
      <c r="M47" s="27"/>
      <c r="N47" s="34"/>
      <c r="O47" s="1295"/>
      <c r="P47" s="27"/>
      <c r="Q47" s="27"/>
      <c r="R47" s="27"/>
      <c r="S47" s="1036"/>
      <c r="T47" s="27"/>
      <c r="U47" s="34"/>
      <c r="V47" s="1295"/>
      <c r="W47" s="27"/>
      <c r="X47" s="27"/>
      <c r="Y47" s="27"/>
      <c r="Z47" s="1036"/>
      <c r="AA47" s="27"/>
      <c r="AB47" s="34"/>
      <c r="AC47" s="1295"/>
      <c r="AD47" s="27"/>
      <c r="AE47" s="27"/>
      <c r="AF47" s="27"/>
      <c r="AG47" s="1036"/>
      <c r="AH47" s="27"/>
      <c r="AI47" s="34"/>
      <c r="AJ47" s="1295"/>
      <c r="AK47" s="27"/>
      <c r="AL47" s="27"/>
      <c r="AM47" s="27"/>
      <c r="AN47" s="1036"/>
      <c r="AO47" s="27"/>
      <c r="AP47" s="34"/>
      <c r="AQ47" s="1295"/>
      <c r="AR47" s="27"/>
      <c r="AS47" s="27"/>
      <c r="AT47" s="27"/>
      <c r="AU47" s="1036"/>
      <c r="AV47" s="27"/>
      <c r="AW47" s="34"/>
      <c r="AX47" s="1295"/>
      <c r="AY47" s="27"/>
      <c r="AZ47" s="27"/>
      <c r="BA47" s="27"/>
      <c r="BB47" s="1036"/>
      <c r="BC47" s="27"/>
      <c r="BD47" s="34"/>
      <c r="BE47" s="1295"/>
      <c r="BF47" s="27"/>
      <c r="BG47" s="27"/>
      <c r="BH47" s="27"/>
      <c r="BI47" s="1036"/>
      <c r="BJ47" s="27"/>
      <c r="BK47" s="34"/>
      <c r="BL47" s="1295"/>
      <c r="BM47" s="27"/>
      <c r="BN47" s="27"/>
      <c r="BO47" s="27"/>
      <c r="BP47" s="1036"/>
      <c r="BQ47" s="27"/>
      <c r="BR47" s="34"/>
      <c r="BS47" s="1295"/>
      <c r="BT47" s="27"/>
      <c r="BU47" s="27"/>
      <c r="BV47" s="27"/>
      <c r="BW47" s="1036"/>
      <c r="BX47" s="27"/>
      <c r="BY47" s="34"/>
      <c r="BZ47" s="1295"/>
      <c r="CA47" s="27"/>
      <c r="CB47" s="27"/>
      <c r="CC47" s="27"/>
      <c r="CD47" s="1036"/>
      <c r="CE47" s="27"/>
      <c r="CF47" s="34"/>
      <c r="CG47" s="1295"/>
      <c r="CH47" s="27"/>
      <c r="CI47" s="27"/>
      <c r="CJ47" s="27"/>
      <c r="CK47" s="1036"/>
      <c r="CL47" s="27"/>
      <c r="CM47" s="34"/>
      <c r="CN47" s="1295"/>
      <c r="CO47" s="27"/>
      <c r="CP47" s="27"/>
      <c r="CQ47" s="27"/>
      <c r="CR47" s="1036"/>
      <c r="CS47" s="27"/>
      <c r="CT47" s="27"/>
      <c r="CU47" s="1022"/>
      <c r="CV47" s="27"/>
      <c r="CW47" s="27"/>
      <c r="CX47" s="27"/>
      <c r="CY47" s="1036"/>
      <c r="CZ47" s="27"/>
      <c r="DA47" s="27"/>
      <c r="DB47" s="1022"/>
      <c r="DC47" s="27"/>
      <c r="DD47" s="27"/>
      <c r="DE47" s="27"/>
      <c r="DF47" s="1036"/>
      <c r="DG47" s="27"/>
      <c r="DH47" s="27"/>
      <c r="DI47" s="1022"/>
      <c r="DJ47" s="27"/>
      <c r="DK47" s="27"/>
      <c r="DL47" s="27"/>
      <c r="DM47" s="1036"/>
      <c r="DN47" s="27"/>
      <c r="DO47" s="27"/>
      <c r="DP47" s="1022"/>
      <c r="DQ47" s="27"/>
      <c r="DR47" s="27"/>
      <c r="DS47" s="27"/>
      <c r="DT47" s="1036"/>
      <c r="DU47" s="27"/>
      <c r="DV47" s="27"/>
      <c r="DW47" s="1022"/>
      <c r="DX47" s="218"/>
      <c r="DY47" s="40"/>
      <c r="DZ47" s="40"/>
      <c r="EA47" s="218"/>
      <c r="EB47" s="29"/>
      <c r="EC47" s="29"/>
      <c r="ED47" s="27"/>
      <c r="EE47" s="31"/>
      <c r="EF47" s="31"/>
      <c r="EG47" s="31"/>
      <c r="EH47" s="31"/>
      <c r="EI47" s="218"/>
      <c r="EJ47" s="218"/>
      <c r="EK47" s="218"/>
      <c r="EL47" s="218"/>
      <c r="EM47" s="218"/>
      <c r="EN47" s="218"/>
      <c r="EO47" s="218"/>
      <c r="EP47" s="218"/>
      <c r="EQ47" s="218"/>
      <c r="ER47" s="218"/>
      <c r="ES47" s="218"/>
      <c r="ET47" s="218"/>
      <c r="EU47" s="218"/>
      <c r="EV47" s="218"/>
      <c r="EW47" s="218"/>
      <c r="EX47" s="218"/>
      <c r="EY47" s="218"/>
      <c r="EZ47" s="218"/>
      <c r="FA47" s="218"/>
      <c r="FB47" s="218"/>
      <c r="FC47" s="218"/>
      <c r="FD47" s="218"/>
      <c r="FE47" s="218"/>
      <c r="FF47" s="218"/>
      <c r="FG47" s="218"/>
      <c r="FH47" s="218"/>
      <c r="FI47" s="218"/>
      <c r="FJ47" s="218"/>
      <c r="FK47" s="218"/>
      <c r="FL47" s="218"/>
      <c r="FM47" s="218"/>
      <c r="FN47" s="218"/>
      <c r="FO47" s="218"/>
      <c r="FP47" s="218"/>
      <c r="FQ47" s="218"/>
    </row>
    <row r="48" spans="1:173" ht="10.5" customHeight="1">
      <c r="A48" s="784" t="str">
        <f t="shared" ref="A48:A54" si="657">A40</f>
        <v>Military Aircraft</v>
      </c>
      <c r="B48" s="223"/>
      <c r="C48" s="134"/>
      <c r="D48" s="223"/>
      <c r="E48" s="717"/>
      <c r="F48" s="223"/>
      <c r="G48" s="223"/>
      <c r="H48" s="1270">
        <v>0.41767853059980181</v>
      </c>
      <c r="I48" s="223">
        <v>0.35</v>
      </c>
      <c r="J48" s="134">
        <f>J40/J$28</f>
        <v>0.4096754417598269</v>
      </c>
      <c r="K48" s="223">
        <v>0.38</v>
      </c>
      <c r="L48" s="717">
        <f t="shared" ref="L48:L54" si="658">L40/L$28</f>
        <v>0.43395608947804482</v>
      </c>
      <c r="M48" s="223">
        <v>0.38</v>
      </c>
      <c r="N48" s="223">
        <f t="shared" ref="N48:N54" si="659">N40/N$28</f>
        <v>0.41469170328938609</v>
      </c>
      <c r="O48" s="1270">
        <v>0.4</v>
      </c>
      <c r="P48" s="223">
        <v>0.41</v>
      </c>
      <c r="Q48" s="134">
        <f>Q40/Q$28</f>
        <v>0.42889002732240433</v>
      </c>
      <c r="R48" s="223">
        <v>0.41</v>
      </c>
      <c r="S48" s="717">
        <f t="shared" ref="S48:S54" si="660">S40/S$28</f>
        <v>0.39822439855226727</v>
      </c>
      <c r="T48" s="223">
        <v>0.42</v>
      </c>
      <c r="U48" s="223">
        <f t="shared" ref="U48:U54" si="661">U40/U$28</f>
        <v>0.4026732017485759</v>
      </c>
      <c r="V48" s="1270">
        <v>0.40999999999999992</v>
      </c>
      <c r="W48" s="223">
        <v>0.4</v>
      </c>
      <c r="X48" s="134">
        <f>X40/X$28</f>
        <v>0.36256022023399859</v>
      </c>
      <c r="Y48" s="223">
        <v>0.4</v>
      </c>
      <c r="Z48" s="717">
        <f t="shared" ref="Z48:Z54" si="662">Z40/Z$28</f>
        <v>0.48354589371980666</v>
      </c>
      <c r="AA48" s="223">
        <v>0.38</v>
      </c>
      <c r="AB48" s="223">
        <f t="shared" ref="AB48:AB54" si="663">AB40/AB$28</f>
        <v>0.45392578734019323</v>
      </c>
      <c r="AC48" s="1270">
        <v>0.41999999999999993</v>
      </c>
      <c r="AD48" s="223">
        <v>0.44</v>
      </c>
      <c r="AE48" s="134">
        <f>AE40/AE$28</f>
        <v>0.51367582636399844</v>
      </c>
      <c r="AF48" s="223">
        <v>0.49</v>
      </c>
      <c r="AG48" s="717">
        <f t="shared" ref="AG48:AG54" si="664">AG40/AG$28</f>
        <v>0.50136084500122824</v>
      </c>
      <c r="AH48" s="223">
        <v>0.48</v>
      </c>
      <c r="AI48" s="223">
        <f t="shared" ref="AI48:AI54" si="665">AI40/AI$28</f>
        <v>0.49748502994011978</v>
      </c>
      <c r="AJ48" s="1270">
        <v>0.49</v>
      </c>
      <c r="AK48" s="223">
        <v>0.49</v>
      </c>
      <c r="AL48" s="134">
        <f>AL40/AL$28</f>
        <v>0.49000000000000005</v>
      </c>
      <c r="AM48" s="223">
        <v>0.49</v>
      </c>
      <c r="AN48" s="717">
        <f t="shared" ref="AN48:AN54" si="666">AN40/AN$28</f>
        <v>0.57272432701894327</v>
      </c>
      <c r="AO48" s="223">
        <v>0.49</v>
      </c>
      <c r="AP48" s="223">
        <f t="shared" ref="AP48:AP54" si="667">AP40/AP$28</f>
        <v>0.54176883481516147</v>
      </c>
      <c r="AQ48" s="1270">
        <v>0.52</v>
      </c>
      <c r="AR48" s="223">
        <v>0.47</v>
      </c>
      <c r="AS48" s="134">
        <f>AS40/AS$28</f>
        <v>0.55637616259042377</v>
      </c>
      <c r="AT48" s="223">
        <v>0.55000000000000004</v>
      </c>
      <c r="AU48" s="717">
        <f t="shared" ref="AU48:AU54" si="668">AU40/AU$28</f>
        <v>0.460706029365823</v>
      </c>
      <c r="AV48" s="223">
        <v>0.52</v>
      </c>
      <c r="AW48" s="223">
        <f t="shared" ref="AW48:AW54" si="669">AW40/AW$28</f>
        <v>0.50148845892735905</v>
      </c>
      <c r="AX48" s="1270">
        <v>0.51</v>
      </c>
      <c r="AY48" s="223">
        <v>0.52</v>
      </c>
      <c r="AZ48" s="134">
        <f>AZ40/AZ$28</f>
        <v>0.59460655737704937</v>
      </c>
      <c r="BA48" s="223">
        <v>0.59</v>
      </c>
      <c r="BB48" s="717">
        <f t="shared" ref="BB48:BB54" si="670">BB40/BB$28</f>
        <v>0.53961538461538461</v>
      </c>
      <c r="BC48" s="223">
        <v>0.56000000000000005</v>
      </c>
      <c r="BD48" s="223">
        <f t="shared" ref="BD48:BD54" si="671">BD40/BD$28</f>
        <v>0.55999999999999994</v>
      </c>
      <c r="BE48" s="1270">
        <v>0.56000000000000005</v>
      </c>
      <c r="BF48" s="223">
        <v>0.5</v>
      </c>
      <c r="BG48" s="134">
        <f>BG40/BG$28</f>
        <v>0.51872884853487422</v>
      </c>
      <c r="BH48" s="223">
        <v>0.53</v>
      </c>
      <c r="BI48" s="717">
        <f t="shared" ref="BI48:BI54" si="672">BI40/BI$28</f>
        <v>0.52664145234493198</v>
      </c>
      <c r="BJ48" s="223">
        <v>0.51</v>
      </c>
      <c r="BK48" s="223">
        <f t="shared" ref="BK48:BK54" si="673">BK40/BK$28</f>
        <v>0.52803470254957507</v>
      </c>
      <c r="BL48" s="1270">
        <v>0.52</v>
      </c>
      <c r="BM48" s="223">
        <v>0.52</v>
      </c>
      <c r="BN48" s="134">
        <f>BN40/BN$28</f>
        <v>0.53942374183634278</v>
      </c>
      <c r="BO48" s="223">
        <v>0.52</v>
      </c>
      <c r="BP48" s="717">
        <f t="shared" ref="BP48:BP54" si="674">BP40/BP$28</f>
        <v>0.5369203491543918</v>
      </c>
      <c r="BQ48" s="223">
        <v>0.53</v>
      </c>
      <c r="BR48" s="223">
        <f t="shared" ref="BR48:BR54" si="675">BR40/BR$28</f>
        <v>0.53</v>
      </c>
      <c r="BS48" s="1270">
        <v>0.53</v>
      </c>
      <c r="BT48" s="223">
        <v>0.56999999999999995</v>
      </c>
      <c r="BU48" s="134">
        <f>BU40/BU$28</f>
        <v>0.58976635514018694</v>
      </c>
      <c r="BV48" s="223">
        <v>0.59</v>
      </c>
      <c r="BW48" s="717">
        <f t="shared" ref="BW48:BW54" si="676">BW40/BW$28</f>
        <v>0.65337230628152232</v>
      </c>
      <c r="BX48" s="223">
        <v>0.57999999999999996</v>
      </c>
      <c r="BY48" s="223">
        <f t="shared" ref="BY48:BY54" si="677">BY40/BY$28</f>
        <v>0.63040192926045013</v>
      </c>
      <c r="BZ48" s="1270">
        <v>0.61</v>
      </c>
      <c r="CA48" s="223">
        <v>0.61</v>
      </c>
      <c r="CB48" s="134">
        <f>CB40/CB$28</f>
        <v>0.70638437741686022</v>
      </c>
      <c r="CC48" s="223">
        <v>0.64</v>
      </c>
      <c r="CD48" s="717">
        <f t="shared" ref="CD48:CD54" si="678">CD40/CD$28</f>
        <v>0.5636887994634473</v>
      </c>
      <c r="CE48" s="223">
        <v>0.66</v>
      </c>
      <c r="CF48" s="223">
        <f t="shared" ref="CF48:CF54" si="679">CF40/CF$28</f>
        <v>0.59190362124841478</v>
      </c>
      <c r="CG48" s="1270">
        <v>0.62</v>
      </c>
      <c r="CH48" s="223">
        <v>0.57999999999999996</v>
      </c>
      <c r="CI48" s="134">
        <f>CI40/CI$28</f>
        <v>0.61682610072853972</v>
      </c>
      <c r="CJ48" s="134">
        <v>0.59</v>
      </c>
      <c r="CK48" s="717">
        <f t="shared" ref="CK48:CK54" si="680">CK40/CK$28</f>
        <v>0.66595937293000684</v>
      </c>
      <c r="CL48" s="1820">
        <v>0.6</v>
      </c>
      <c r="CM48" s="223">
        <f t="shared" ref="CM48:CM54" si="681">CM40/CM$28</f>
        <v>0.63531348788198116</v>
      </c>
      <c r="CN48" s="1270">
        <v>0.62</v>
      </c>
      <c r="CO48" s="223">
        <v>0.63</v>
      </c>
      <c r="CP48" s="134">
        <f>CP40/CP$28</f>
        <v>0.59374282433983916</v>
      </c>
      <c r="CQ48" s="134"/>
      <c r="CR48" s="717"/>
      <c r="CS48" s="134">
        <v>0.61</v>
      </c>
      <c r="CT48" s="134"/>
      <c r="CU48" s="1025"/>
      <c r="CV48" s="134"/>
      <c r="CW48" s="134"/>
      <c r="CX48" s="134"/>
      <c r="CY48" s="717"/>
      <c r="CZ48" s="134"/>
      <c r="DA48" s="134"/>
      <c r="DB48" s="1025"/>
      <c r="DC48" s="134"/>
      <c r="DD48" s="134"/>
      <c r="DE48" s="134"/>
      <c r="DF48" s="717"/>
      <c r="DG48" s="134"/>
      <c r="DH48" s="134"/>
      <c r="DI48" s="1025"/>
      <c r="DJ48" s="134"/>
      <c r="DK48" s="134"/>
      <c r="DL48" s="134"/>
      <c r="DM48" s="717"/>
      <c r="DN48" s="134"/>
      <c r="DO48" s="134"/>
      <c r="DP48" s="1025"/>
      <c r="DQ48" s="134"/>
      <c r="DR48" s="134"/>
      <c r="DS48" s="134"/>
      <c r="DT48" s="717"/>
      <c r="DU48" s="134"/>
      <c r="DV48" s="134"/>
      <c r="DW48" s="1025"/>
      <c r="DX48" s="784"/>
      <c r="DY48" s="785"/>
      <c r="DZ48" s="785"/>
      <c r="EA48" s="784"/>
      <c r="EB48" s="786"/>
      <c r="EC48" s="786"/>
      <c r="ED48" s="787"/>
      <c r="EE48" s="788"/>
      <c r="EF48" s="788"/>
      <c r="EG48" s="788"/>
      <c r="EH48" s="788"/>
      <c r="EI48" s="784"/>
      <c r="EJ48" s="784"/>
      <c r="EK48" s="784"/>
      <c r="EL48" s="784"/>
      <c r="EM48" s="784"/>
      <c r="EN48" s="784"/>
      <c r="EO48" s="784"/>
      <c r="EP48" s="784"/>
      <c r="EQ48" s="784"/>
      <c r="ER48" s="784"/>
      <c r="ES48" s="784"/>
      <c r="ET48" s="784"/>
      <c r="EU48" s="784"/>
      <c r="EV48" s="784"/>
      <c r="EW48" s="784"/>
      <c r="EX48" s="784"/>
      <c r="EY48" s="784"/>
      <c r="EZ48" s="784"/>
      <c r="FA48" s="784"/>
      <c r="FB48" s="784"/>
      <c r="FC48" s="784"/>
      <c r="FD48" s="784"/>
      <c r="FE48" s="784"/>
      <c r="FF48" s="784"/>
      <c r="FG48" s="784"/>
      <c r="FH48" s="784"/>
      <c r="FI48" s="784"/>
      <c r="FJ48" s="784"/>
      <c r="FK48" s="784"/>
      <c r="FL48" s="784"/>
      <c r="FM48" s="784"/>
      <c r="FN48" s="784"/>
      <c r="FO48" s="784"/>
      <c r="FP48" s="784"/>
      <c r="FQ48" s="784"/>
    </row>
    <row r="49" spans="1:173" ht="10.5" customHeight="1">
      <c r="A49" s="784" t="str">
        <f t="shared" si="657"/>
        <v>Space Systems</v>
      </c>
      <c r="B49" s="223"/>
      <c r="C49" s="134"/>
      <c r="D49" s="223"/>
      <c r="E49" s="717"/>
      <c r="F49" s="223"/>
      <c r="G49" s="223"/>
      <c r="H49" s="1270">
        <v>0.30776312781038034</v>
      </c>
      <c r="I49" s="223">
        <v>0.4</v>
      </c>
      <c r="J49" s="134">
        <f>J41/J$28</f>
        <v>0.30054093040028845</v>
      </c>
      <c r="K49" s="223">
        <v>0.34</v>
      </c>
      <c r="L49" s="717">
        <f t="shared" si="658"/>
        <v>0.24764084507042256</v>
      </c>
      <c r="M49" s="223">
        <v>0.35</v>
      </c>
      <c r="N49" s="223">
        <f t="shared" si="659"/>
        <v>0.28061659342122786</v>
      </c>
      <c r="O49" s="1270">
        <v>0.31</v>
      </c>
      <c r="P49" s="223">
        <v>0.33</v>
      </c>
      <c r="Q49" s="134">
        <f>Q41/Q$28</f>
        <v>0.27332991803278689</v>
      </c>
      <c r="R49" s="223">
        <v>0.31</v>
      </c>
      <c r="S49" s="717">
        <f t="shared" si="660"/>
        <v>0.26608047690014897</v>
      </c>
      <c r="T49" s="223">
        <v>0.3</v>
      </c>
      <c r="U49" s="223">
        <f t="shared" si="661"/>
        <v>0.28267320174857591</v>
      </c>
      <c r="V49" s="1270">
        <v>0.28999999999999998</v>
      </c>
      <c r="W49" s="223">
        <v>0.34</v>
      </c>
      <c r="X49" s="134">
        <f>X41/X$28</f>
        <v>0.37743977976600129</v>
      </c>
      <c r="Y49" s="223">
        <v>0.33</v>
      </c>
      <c r="Z49" s="717">
        <f t="shared" si="662"/>
        <v>0.23331400966183571</v>
      </c>
      <c r="AA49" s="223">
        <v>0.36</v>
      </c>
      <c r="AB49" s="223">
        <f t="shared" si="663"/>
        <v>0.26759276582475833</v>
      </c>
      <c r="AC49" s="1270">
        <v>0.31</v>
      </c>
      <c r="AD49" s="223">
        <v>0.28000000000000003</v>
      </c>
      <c r="AE49" s="134">
        <f>AE41/AE$28</f>
        <v>0.26158104340900035</v>
      </c>
      <c r="AF49" s="223">
        <v>0.27</v>
      </c>
      <c r="AG49" s="717">
        <f t="shared" si="664"/>
        <v>0.32307786784573811</v>
      </c>
      <c r="AH49" s="223">
        <v>0.27</v>
      </c>
      <c r="AI49" s="223">
        <f t="shared" si="665"/>
        <v>0.30497005988023951</v>
      </c>
      <c r="AJ49" s="1270">
        <v>0.28999999999999998</v>
      </c>
      <c r="AK49" s="223">
        <v>0.3</v>
      </c>
      <c r="AL49" s="134">
        <f>AL41/AL$28</f>
        <v>0.28089527720739216</v>
      </c>
      <c r="AM49" s="223">
        <v>0.28000000000000003</v>
      </c>
      <c r="AN49" s="717">
        <f t="shared" si="666"/>
        <v>0.2408300099700898</v>
      </c>
      <c r="AO49" s="223">
        <v>0.28999999999999998</v>
      </c>
      <c r="AP49" s="223">
        <f t="shared" si="667"/>
        <v>0.2554874434565591</v>
      </c>
      <c r="AQ49" s="1270">
        <v>0.27</v>
      </c>
      <c r="AR49" s="223">
        <v>0.28000000000000003</v>
      </c>
      <c r="AS49" s="134">
        <f>AS41/AS$28</f>
        <v>0.24544953496383054</v>
      </c>
      <c r="AT49" s="223">
        <v>0.26</v>
      </c>
      <c r="AU49" s="717">
        <f t="shared" si="668"/>
        <v>0.26</v>
      </c>
      <c r="AV49" s="223">
        <v>0.26</v>
      </c>
      <c r="AW49" s="223">
        <f t="shared" si="669"/>
        <v>0.26</v>
      </c>
      <c r="AX49" s="1270">
        <v>0.26</v>
      </c>
      <c r="AY49" s="223">
        <v>0.26</v>
      </c>
      <c r="AZ49" s="134">
        <f>AZ41/AZ$28</f>
        <v>0.22269672131147542</v>
      </c>
      <c r="BA49" s="223">
        <v>0.23</v>
      </c>
      <c r="BB49" s="717">
        <f t="shared" si="670"/>
        <v>0.24679487179487175</v>
      </c>
      <c r="BC49" s="223">
        <v>0.24</v>
      </c>
      <c r="BD49" s="223">
        <f t="shared" si="671"/>
        <v>0.24</v>
      </c>
      <c r="BE49" s="1270">
        <v>0.24</v>
      </c>
      <c r="BF49" s="223">
        <v>0.28000000000000003</v>
      </c>
      <c r="BG49" s="134">
        <f>BG41/BG$28</f>
        <v>0.26127115146512586</v>
      </c>
      <c r="BH49" s="223">
        <v>0.26</v>
      </c>
      <c r="BI49" s="717">
        <f t="shared" si="672"/>
        <v>0.27708925869894108</v>
      </c>
      <c r="BJ49" s="223">
        <v>0.27</v>
      </c>
      <c r="BK49" s="223">
        <f t="shared" si="673"/>
        <v>0.27000000000000007</v>
      </c>
      <c r="BL49" s="1270">
        <v>0.27</v>
      </c>
      <c r="BM49" s="223">
        <v>0.25</v>
      </c>
      <c r="BN49" s="134">
        <f>BN41/BN$28</f>
        <v>0.25</v>
      </c>
      <c r="BO49" s="223">
        <v>0.24</v>
      </c>
      <c r="BP49" s="717">
        <f t="shared" si="674"/>
        <v>0.22620840152755042</v>
      </c>
      <c r="BQ49" s="223">
        <v>0.25</v>
      </c>
      <c r="BR49" s="223">
        <f t="shared" si="675"/>
        <v>0.23184910527164274</v>
      </c>
      <c r="BS49" s="1270">
        <v>0.24</v>
      </c>
      <c r="BT49" s="223">
        <v>0.25</v>
      </c>
      <c r="BU49" s="134">
        <f>BU41/BU$28</f>
        <v>0.21046728971962619</v>
      </c>
      <c r="BV49" s="223">
        <v>0.22</v>
      </c>
      <c r="BW49" s="717">
        <f t="shared" si="676"/>
        <v>0.15662769371847773</v>
      </c>
      <c r="BX49" s="223">
        <v>0.23</v>
      </c>
      <c r="BY49" s="223">
        <f t="shared" si="677"/>
        <v>0.17959807073954984</v>
      </c>
      <c r="BZ49" s="1270">
        <v>0.2</v>
      </c>
      <c r="CA49" s="223">
        <v>0.19</v>
      </c>
      <c r="CB49" s="134">
        <f>CB41/CB$28</f>
        <v>0.17072312451662797</v>
      </c>
      <c r="CC49" s="223">
        <v>0.19</v>
      </c>
      <c r="CD49" s="717">
        <f t="shared" si="678"/>
        <v>0.25516655488486473</v>
      </c>
      <c r="CE49" s="223">
        <v>0.18</v>
      </c>
      <c r="CF49" s="223">
        <f t="shared" si="679"/>
        <v>0.23107228406368885</v>
      </c>
      <c r="CG49" s="1270">
        <v>0.21</v>
      </c>
      <c r="CH49" s="223">
        <v>0.22</v>
      </c>
      <c r="CI49" s="134">
        <f>CI41/CI$28</f>
        <v>0.23841305036426985</v>
      </c>
      <c r="CJ49" s="134">
        <v>0.23</v>
      </c>
      <c r="CK49" s="717">
        <f t="shared" si="680"/>
        <v>0.20040185471406488</v>
      </c>
      <c r="CL49" s="1820">
        <v>0.23</v>
      </c>
      <c r="CM49" s="223">
        <f t="shared" si="681"/>
        <v>0.21234325605900947</v>
      </c>
      <c r="CN49" s="1270">
        <v>0.22</v>
      </c>
      <c r="CO49" s="223">
        <v>0.21</v>
      </c>
      <c r="CP49" s="134">
        <f>CP41/CP$28</f>
        <v>0.22812858783008036</v>
      </c>
      <c r="CQ49" s="134"/>
      <c r="CR49" s="717"/>
      <c r="CS49" s="134">
        <v>0.22</v>
      </c>
      <c r="CT49" s="134"/>
      <c r="CU49" s="1025"/>
      <c r="CV49" s="134"/>
      <c r="CW49" s="134"/>
      <c r="CX49" s="134"/>
      <c r="CY49" s="717"/>
      <c r="CZ49" s="134"/>
      <c r="DA49" s="134"/>
      <c r="DB49" s="1025"/>
      <c r="DC49" s="134"/>
      <c r="DD49" s="134"/>
      <c r="DE49" s="134"/>
      <c r="DF49" s="717"/>
      <c r="DG49" s="134"/>
      <c r="DH49" s="134"/>
      <c r="DI49" s="1025"/>
      <c r="DJ49" s="134"/>
      <c r="DK49" s="134"/>
      <c r="DL49" s="134"/>
      <c r="DM49" s="717"/>
      <c r="DN49" s="134"/>
      <c r="DO49" s="134"/>
      <c r="DP49" s="1025"/>
      <c r="DQ49" s="134"/>
      <c r="DR49" s="134"/>
      <c r="DS49" s="134"/>
      <c r="DT49" s="717"/>
      <c r="DU49" s="134"/>
      <c r="DV49" s="134"/>
      <c r="DW49" s="1025"/>
      <c r="DX49" s="784"/>
      <c r="DY49" s="785"/>
      <c r="DZ49" s="785"/>
      <c r="EA49" s="784"/>
      <c r="EB49" s="786"/>
      <c r="EC49" s="786"/>
      <c r="ED49" s="787"/>
      <c r="EE49" s="788"/>
      <c r="EF49" s="788"/>
      <c r="EG49" s="788"/>
      <c r="EH49" s="788"/>
      <c r="EI49" s="784"/>
      <c r="EJ49" s="784"/>
      <c r="EK49" s="784"/>
      <c r="EL49" s="784"/>
      <c r="EM49" s="784"/>
      <c r="EN49" s="784"/>
      <c r="EO49" s="784"/>
      <c r="EP49" s="784"/>
      <c r="EQ49" s="784"/>
      <c r="ER49" s="784"/>
      <c r="ES49" s="784"/>
      <c r="ET49" s="784"/>
      <c r="EU49" s="784"/>
      <c r="EV49" s="784"/>
      <c r="EW49" s="784"/>
      <c r="EX49" s="784"/>
      <c r="EY49" s="784"/>
      <c r="EZ49" s="784"/>
      <c r="FA49" s="784"/>
      <c r="FB49" s="784"/>
      <c r="FC49" s="784"/>
      <c r="FD49" s="784"/>
      <c r="FE49" s="784"/>
      <c r="FF49" s="784"/>
      <c r="FG49" s="784"/>
      <c r="FH49" s="784"/>
      <c r="FI49" s="784"/>
      <c r="FJ49" s="784"/>
      <c r="FK49" s="784"/>
      <c r="FL49" s="784"/>
      <c r="FM49" s="784"/>
      <c r="FN49" s="784"/>
      <c r="FO49" s="784"/>
      <c r="FP49" s="784"/>
      <c r="FQ49" s="784"/>
    </row>
    <row r="50" spans="1:173" ht="10.5" customHeight="1">
      <c r="A50" s="784" t="str">
        <f t="shared" si="657"/>
        <v>Communication, Intelligence &amp; Security</v>
      </c>
      <c r="B50" s="223"/>
      <c r="C50" s="134"/>
      <c r="D50" s="223"/>
      <c r="E50" s="717"/>
      <c r="F50" s="223"/>
      <c r="G50" s="223"/>
      <c r="H50" s="1270">
        <v>0.19784772502095876</v>
      </c>
      <c r="I50" s="223">
        <v>0.17</v>
      </c>
      <c r="J50" s="134">
        <f>J42/J$28</f>
        <v>0.18989181391994228</v>
      </c>
      <c r="K50" s="223">
        <v>0.17</v>
      </c>
      <c r="L50" s="717">
        <f t="shared" si="658"/>
        <v>0.185553024026512</v>
      </c>
      <c r="M50" s="223">
        <v>0.18</v>
      </c>
      <c r="N50" s="223">
        <f t="shared" si="659"/>
        <v>0.18</v>
      </c>
      <c r="O50" s="1270">
        <v>0.18</v>
      </c>
      <c r="P50" s="223">
        <v>0.18</v>
      </c>
      <c r="Q50" s="134">
        <f>Q42/Q$28</f>
        <v>0.18</v>
      </c>
      <c r="R50" s="223">
        <v>0.19</v>
      </c>
      <c r="S50" s="717">
        <f t="shared" si="660"/>
        <v>0.22962316372152436</v>
      </c>
      <c r="T50" s="223">
        <v>0.18</v>
      </c>
      <c r="U50" s="223">
        <f t="shared" si="661"/>
        <v>0.21465359650284807</v>
      </c>
      <c r="V50" s="1270">
        <v>0.2</v>
      </c>
      <c r="W50" s="223">
        <v>0.26</v>
      </c>
      <c r="X50" s="134">
        <f>X42/X$28</f>
        <v>0.26</v>
      </c>
      <c r="Y50" s="223">
        <v>0.27</v>
      </c>
      <c r="Z50" s="717">
        <f t="shared" si="662"/>
        <v>0.28314009661835754</v>
      </c>
      <c r="AA50" s="223">
        <v>0.26</v>
      </c>
      <c r="AB50" s="223">
        <f t="shared" si="663"/>
        <v>0.27848144683504839</v>
      </c>
      <c r="AC50" s="1270">
        <v>0.27</v>
      </c>
      <c r="AD50" s="223">
        <v>0.28000000000000003</v>
      </c>
      <c r="AE50" s="134">
        <f>AE42/AE$28</f>
        <v>0.22474313022700115</v>
      </c>
      <c r="AF50" s="223">
        <v>0.24</v>
      </c>
      <c r="AG50" s="717">
        <f t="shared" si="664"/>
        <v>0.17556128715303368</v>
      </c>
      <c r="AH50" s="223">
        <v>0.25</v>
      </c>
      <c r="AI50" s="223">
        <f t="shared" si="665"/>
        <v>0.19754491017964074</v>
      </c>
      <c r="AJ50" s="1270">
        <v>0.22</v>
      </c>
      <c r="AK50" s="223">
        <v>0.21</v>
      </c>
      <c r="AL50" s="134">
        <f>AL42/AL$28</f>
        <v>0.22910472279260785</v>
      </c>
      <c r="AM50" s="223">
        <v>0.23</v>
      </c>
      <c r="AN50" s="717">
        <f t="shared" si="666"/>
        <v>0.1864456630109671</v>
      </c>
      <c r="AO50" s="223">
        <v>0.22</v>
      </c>
      <c r="AP50" s="223">
        <f t="shared" si="667"/>
        <v>0.20274372172827951</v>
      </c>
      <c r="AQ50" s="1270">
        <v>0.21</v>
      </c>
      <c r="AR50" s="223">
        <v>0.25</v>
      </c>
      <c r="AS50" s="134">
        <f>AS42/AS$28</f>
        <v>0.19817430244574577</v>
      </c>
      <c r="AT50" s="223">
        <v>0.19</v>
      </c>
      <c r="AU50" s="717">
        <f t="shared" si="668"/>
        <v>0.27929397063417688</v>
      </c>
      <c r="AV50" s="223">
        <v>0.22</v>
      </c>
      <c r="AW50" s="223">
        <f t="shared" si="669"/>
        <v>0.23851154107264089</v>
      </c>
      <c r="AX50" s="1270">
        <v>0.23</v>
      </c>
      <c r="AY50" s="223">
        <v>0.22</v>
      </c>
      <c r="AZ50" s="134">
        <f>AZ42/AZ$28</f>
        <v>0.18269672131147544</v>
      </c>
      <c r="BA50" s="223">
        <v>0.18</v>
      </c>
      <c r="BB50" s="717">
        <f t="shared" si="670"/>
        <v>0.21358974358974367</v>
      </c>
      <c r="BC50" s="223">
        <v>0.2</v>
      </c>
      <c r="BD50" s="223">
        <f t="shared" si="671"/>
        <v>0.20000000000000004</v>
      </c>
      <c r="BE50" s="1270">
        <v>0.20000000000000004</v>
      </c>
      <c r="BF50" s="223">
        <v>0.22</v>
      </c>
      <c r="BG50" s="134">
        <f>BG42/BG$28</f>
        <v>0.21999999999999997</v>
      </c>
      <c r="BH50" s="223">
        <v>0.21</v>
      </c>
      <c r="BI50" s="717">
        <f t="shared" si="672"/>
        <v>0.19626928895612702</v>
      </c>
      <c r="BJ50" s="223">
        <v>0.22</v>
      </c>
      <c r="BK50" s="223">
        <f t="shared" si="673"/>
        <v>0.20196529745042491</v>
      </c>
      <c r="BL50" s="1270">
        <v>0.21</v>
      </c>
      <c r="BM50" s="223">
        <v>0.24</v>
      </c>
      <c r="BN50" s="134">
        <f>BN42/BN$28</f>
        <v>0.2011525163273146</v>
      </c>
      <c r="BO50" s="223">
        <v>0.24</v>
      </c>
      <c r="BP50" s="717">
        <f t="shared" si="674"/>
        <v>0.23687124931805789</v>
      </c>
      <c r="BQ50" s="223">
        <v>0.22</v>
      </c>
      <c r="BR50" s="223">
        <f t="shared" si="675"/>
        <v>0.23815089472835729</v>
      </c>
      <c r="BS50" s="1270">
        <v>0.23</v>
      </c>
      <c r="BT50" s="223">
        <v>0.18</v>
      </c>
      <c r="BU50" s="134">
        <f>BU42/BU$28</f>
        <v>0.19976635514018695</v>
      </c>
      <c r="BV50" s="223">
        <v>0.19</v>
      </c>
      <c r="BW50" s="717">
        <f t="shared" si="676"/>
        <v>0.19</v>
      </c>
      <c r="BX50" s="223">
        <v>0.19</v>
      </c>
      <c r="BY50" s="223">
        <f t="shared" si="677"/>
        <v>0.19</v>
      </c>
      <c r="BZ50" s="1270">
        <v>0.19</v>
      </c>
      <c r="CA50" s="223">
        <v>0.2</v>
      </c>
      <c r="CB50" s="134">
        <f>CB42/CB$28</f>
        <v>0.12289249806651199</v>
      </c>
      <c r="CC50" s="223">
        <v>0.17</v>
      </c>
      <c r="CD50" s="717">
        <f t="shared" si="678"/>
        <v>0.18114464565168792</v>
      </c>
      <c r="CE50" s="223">
        <v>0.16</v>
      </c>
      <c r="CF50" s="223">
        <f t="shared" si="679"/>
        <v>0.17702409468789632</v>
      </c>
      <c r="CG50" s="1270">
        <v>0.17</v>
      </c>
      <c r="CH50" s="223">
        <v>0.2</v>
      </c>
      <c r="CI50" s="134">
        <f>CI42/CI$28</f>
        <v>0.14476084890719038</v>
      </c>
      <c r="CJ50" s="134">
        <v>0.18</v>
      </c>
      <c r="CK50" s="717">
        <f t="shared" si="680"/>
        <v>0.1336387723559285</v>
      </c>
      <c r="CL50" s="1820">
        <v>0.17</v>
      </c>
      <c r="CM50" s="223">
        <f t="shared" si="681"/>
        <v>0.1523432560590095</v>
      </c>
      <c r="CN50" s="1270">
        <v>0.16</v>
      </c>
      <c r="CO50" s="223">
        <v>0.16</v>
      </c>
      <c r="CP50" s="134">
        <f>CP42/CP$28</f>
        <v>0.17812858783008037</v>
      </c>
      <c r="CQ50" s="134"/>
      <c r="CR50" s="717"/>
      <c r="CS50" s="134">
        <v>0.17</v>
      </c>
      <c r="CT50" s="134"/>
      <c r="CU50" s="1025"/>
      <c r="CV50" s="134"/>
      <c r="CW50" s="134"/>
      <c r="CX50" s="134"/>
      <c r="CY50" s="717"/>
      <c r="CZ50" s="134"/>
      <c r="DA50" s="134"/>
      <c r="DB50" s="1025"/>
      <c r="DC50" s="134"/>
      <c r="DD50" s="134"/>
      <c r="DE50" s="134"/>
      <c r="DF50" s="717"/>
      <c r="DG50" s="134"/>
      <c r="DH50" s="134"/>
      <c r="DI50" s="1025"/>
      <c r="DJ50" s="134"/>
      <c r="DK50" s="134"/>
      <c r="DL50" s="134"/>
      <c r="DM50" s="717"/>
      <c r="DN50" s="134"/>
      <c r="DO50" s="134"/>
      <c r="DP50" s="1025"/>
      <c r="DQ50" s="134"/>
      <c r="DR50" s="134"/>
      <c r="DS50" s="134"/>
      <c r="DT50" s="717"/>
      <c r="DU50" s="134"/>
      <c r="DV50" s="134"/>
      <c r="DW50" s="1025"/>
      <c r="DX50" s="784"/>
      <c r="DY50" s="785"/>
      <c r="DZ50" s="785"/>
      <c r="EA50" s="784"/>
      <c r="EB50" s="786"/>
      <c r="EC50" s="786"/>
      <c r="ED50" s="787"/>
      <c r="EE50" s="788"/>
      <c r="EF50" s="788"/>
      <c r="EG50" s="788"/>
      <c r="EH50" s="788"/>
      <c r="EI50" s="784"/>
      <c r="EJ50" s="784"/>
      <c r="EK50" s="784"/>
      <c r="EL50" s="784"/>
      <c r="EM50" s="784"/>
      <c r="EN50" s="784"/>
      <c r="EO50" s="784"/>
      <c r="EP50" s="784"/>
      <c r="EQ50" s="784"/>
      <c r="ER50" s="784"/>
      <c r="ES50" s="784"/>
      <c r="ET50" s="784"/>
      <c r="EU50" s="784"/>
      <c r="EV50" s="784"/>
      <c r="EW50" s="784"/>
      <c r="EX50" s="784"/>
      <c r="EY50" s="784"/>
      <c r="EZ50" s="784"/>
      <c r="FA50" s="784"/>
      <c r="FB50" s="784"/>
      <c r="FC50" s="784"/>
      <c r="FD50" s="784"/>
      <c r="FE50" s="784"/>
      <c r="FF50" s="784"/>
      <c r="FG50" s="784"/>
      <c r="FH50" s="784"/>
      <c r="FI50" s="784"/>
      <c r="FJ50" s="784"/>
      <c r="FK50" s="784"/>
      <c r="FL50" s="784"/>
      <c r="FM50" s="784"/>
      <c r="FN50" s="784"/>
      <c r="FO50" s="784"/>
      <c r="FP50" s="784"/>
      <c r="FQ50" s="784"/>
    </row>
    <row r="51" spans="1:173" ht="10.5" hidden="1" customHeight="1" outlineLevel="1">
      <c r="A51" s="784" t="str">
        <f t="shared" si="657"/>
        <v>Electronics</v>
      </c>
      <c r="B51" s="223"/>
      <c r="C51" s="134"/>
      <c r="D51" s="223"/>
      <c r="E51" s="717"/>
      <c r="F51" s="223"/>
      <c r="G51" s="223"/>
      <c r="H51" s="1270">
        <v>9.8923862510479382E-2</v>
      </c>
      <c r="I51" s="223">
        <v>0.08</v>
      </c>
      <c r="J51" s="134">
        <f t="shared" ref="J51:J54" si="682">J43/J$28</f>
        <v>9.9891813919942299E-2</v>
      </c>
      <c r="K51" s="223">
        <v>0.11</v>
      </c>
      <c r="L51" s="717">
        <f t="shared" si="658"/>
        <v>0.13285004142502069</v>
      </c>
      <c r="M51" s="223">
        <v>0.09</v>
      </c>
      <c r="N51" s="223">
        <f t="shared" si="659"/>
        <v>0.12469170328938606</v>
      </c>
      <c r="O51" s="1270">
        <v>0.11</v>
      </c>
      <c r="P51" s="223">
        <v>0.08</v>
      </c>
      <c r="Q51" s="134">
        <f t="shared" ref="Q51:Q54" si="683">Q43/Q$28</f>
        <v>0.11778005464480874</v>
      </c>
      <c r="R51" s="223">
        <v>0.09</v>
      </c>
      <c r="S51" s="717">
        <f t="shared" si="660"/>
        <v>0.10607196082605919</v>
      </c>
      <c r="T51" s="223">
        <v>0.1</v>
      </c>
      <c r="U51" s="223">
        <f t="shared" si="661"/>
        <v>9.9999999999999992E-2</v>
      </c>
      <c r="V51" s="1270">
        <v>0.1</v>
      </c>
      <c r="W51" s="223">
        <v>0</v>
      </c>
      <c r="X51" s="134">
        <f t="shared" ref="X51:X54" si="684">X43/X$28</f>
        <v>0</v>
      </c>
      <c r="Y51" s="223">
        <v>0</v>
      </c>
      <c r="Z51" s="717">
        <f t="shared" si="662"/>
        <v>0</v>
      </c>
      <c r="AA51" s="223">
        <v>0</v>
      </c>
      <c r="AB51" s="223">
        <f t="shared" si="663"/>
        <v>0</v>
      </c>
      <c r="AC51" s="1270">
        <v>0</v>
      </c>
      <c r="AD51" s="223">
        <v>0</v>
      </c>
      <c r="AE51" s="134">
        <f t="shared" ref="AE51:AE54" si="685">AE43/AE$28</f>
        <v>0</v>
      </c>
      <c r="AF51" s="223">
        <v>0</v>
      </c>
      <c r="AG51" s="717">
        <f t="shared" si="664"/>
        <v>0</v>
      </c>
      <c r="AH51" s="223">
        <v>0</v>
      </c>
      <c r="AI51" s="223">
        <f t="shared" si="665"/>
        <v>0</v>
      </c>
      <c r="AJ51" s="1270">
        <v>0</v>
      </c>
      <c r="AK51" s="223">
        <v>0</v>
      </c>
      <c r="AL51" s="134">
        <f t="shared" ref="AL51:AL54" si="686">AL43/AL$28</f>
        <v>0</v>
      </c>
      <c r="AM51" s="223">
        <v>0</v>
      </c>
      <c r="AN51" s="717">
        <f t="shared" si="666"/>
        <v>0</v>
      </c>
      <c r="AO51" s="223">
        <v>0</v>
      </c>
      <c r="AP51" s="223">
        <f t="shared" si="667"/>
        <v>0</v>
      </c>
      <c r="AQ51" s="1270">
        <v>0</v>
      </c>
      <c r="AR51" s="223">
        <v>0</v>
      </c>
      <c r="AS51" s="134">
        <f t="shared" ref="AS51:AS54" si="687">AS43/AS$28</f>
        <v>0</v>
      </c>
      <c r="AT51" s="223">
        <v>0</v>
      </c>
      <c r="AU51" s="717">
        <f t="shared" si="668"/>
        <v>0</v>
      </c>
      <c r="AV51" s="223">
        <v>0</v>
      </c>
      <c r="AW51" s="223">
        <f t="shared" si="669"/>
        <v>0</v>
      </c>
      <c r="AX51" s="1270">
        <v>0</v>
      </c>
      <c r="AY51" s="223">
        <v>0</v>
      </c>
      <c r="AZ51" s="134">
        <f t="shared" ref="AZ51:AZ54" si="688">AZ43/AZ$28</f>
        <v>0</v>
      </c>
      <c r="BA51" s="223">
        <v>0</v>
      </c>
      <c r="BB51" s="717">
        <f t="shared" si="670"/>
        <v>0</v>
      </c>
      <c r="BC51" s="223">
        <v>0</v>
      </c>
      <c r="BD51" s="223">
        <f t="shared" si="671"/>
        <v>0</v>
      </c>
      <c r="BE51" s="1270">
        <v>0</v>
      </c>
      <c r="BF51" s="223">
        <v>0</v>
      </c>
      <c r="BG51" s="134">
        <f t="shared" ref="BG51:BG54" si="689">BG43/BG$28</f>
        <v>0</v>
      </c>
      <c r="BH51" s="223">
        <v>0</v>
      </c>
      <c r="BI51" s="717">
        <f t="shared" si="672"/>
        <v>0</v>
      </c>
      <c r="BJ51" s="223">
        <v>0</v>
      </c>
      <c r="BK51" s="223">
        <f t="shared" si="673"/>
        <v>0</v>
      </c>
      <c r="BL51" s="1270">
        <v>0</v>
      </c>
      <c r="BM51" s="223">
        <v>0</v>
      </c>
      <c r="BN51" s="134">
        <f t="shared" ref="BN51:BN54" si="690">BN43/BN$28</f>
        <v>0</v>
      </c>
      <c r="BO51" s="223">
        <v>0</v>
      </c>
      <c r="BP51" s="717">
        <f t="shared" si="674"/>
        <v>0</v>
      </c>
      <c r="BQ51" s="223">
        <v>0</v>
      </c>
      <c r="BR51" s="223">
        <f t="shared" si="675"/>
        <v>0</v>
      </c>
      <c r="BS51" s="1270">
        <v>0</v>
      </c>
      <c r="BT51" s="223">
        <v>0</v>
      </c>
      <c r="BU51" s="134">
        <f t="shared" ref="BU51:BU54" si="691">BU43/BU$28</f>
        <v>0</v>
      </c>
      <c r="BV51" s="223">
        <v>0</v>
      </c>
      <c r="BW51" s="717">
        <f t="shared" si="676"/>
        <v>0</v>
      </c>
      <c r="BX51" s="223">
        <v>0</v>
      </c>
      <c r="BY51" s="223">
        <f t="shared" si="677"/>
        <v>0</v>
      </c>
      <c r="BZ51" s="1270">
        <v>0</v>
      </c>
      <c r="CA51" s="223">
        <v>0</v>
      </c>
      <c r="CB51" s="134">
        <f t="shared" ref="CB51:CB54" si="692">CB43/CB$28</f>
        <v>0</v>
      </c>
      <c r="CC51" s="223">
        <v>0</v>
      </c>
      <c r="CD51" s="717">
        <f t="shared" si="678"/>
        <v>0</v>
      </c>
      <c r="CE51" s="223">
        <v>0</v>
      </c>
      <c r="CF51" s="223">
        <f t="shared" si="679"/>
        <v>0</v>
      </c>
      <c r="CG51" s="1270">
        <v>0</v>
      </c>
      <c r="CH51" s="223">
        <v>0</v>
      </c>
      <c r="CI51" s="134">
        <f t="shared" ref="CI51:CI54" si="693">CI43/CI$28</f>
        <v>0</v>
      </c>
      <c r="CJ51" s="223">
        <v>0</v>
      </c>
      <c r="CK51" s="717">
        <f t="shared" si="680"/>
        <v>0</v>
      </c>
      <c r="CL51" s="223">
        <v>0</v>
      </c>
      <c r="CM51" s="223">
        <f t="shared" si="681"/>
        <v>0</v>
      </c>
      <c r="CN51" s="1270"/>
      <c r="CO51" s="223"/>
      <c r="CP51" s="134">
        <f t="shared" ref="CP51:CP54" si="694">CP43/CP$28</f>
        <v>0</v>
      </c>
      <c r="CQ51" s="134"/>
      <c r="CR51" s="717"/>
      <c r="CS51" s="134"/>
      <c r="CT51" s="134"/>
      <c r="CU51" s="1025"/>
      <c r="CV51" s="134"/>
      <c r="CW51" s="134"/>
      <c r="CX51" s="134"/>
      <c r="CY51" s="717"/>
      <c r="CZ51" s="134"/>
      <c r="DA51" s="134"/>
      <c r="DB51" s="1025"/>
      <c r="DC51" s="134"/>
      <c r="DD51" s="134"/>
      <c r="DE51" s="134"/>
      <c r="DF51" s="717"/>
      <c r="DG51" s="134"/>
      <c r="DH51" s="134"/>
      <c r="DI51" s="1025"/>
      <c r="DJ51" s="134"/>
      <c r="DK51" s="134"/>
      <c r="DL51" s="134"/>
      <c r="DM51" s="717"/>
      <c r="DN51" s="134"/>
      <c r="DO51" s="134"/>
      <c r="DP51" s="1025"/>
      <c r="DQ51" s="134"/>
      <c r="DR51" s="134"/>
      <c r="DS51" s="134"/>
      <c r="DT51" s="717"/>
      <c r="DU51" s="134"/>
      <c r="DV51" s="134"/>
      <c r="DW51" s="1025"/>
      <c r="DX51" s="784"/>
      <c r="DY51" s="785"/>
      <c r="DZ51" s="785"/>
      <c r="EA51" s="784"/>
      <c r="EB51" s="786"/>
      <c r="EC51" s="786"/>
      <c r="ED51" s="787"/>
      <c r="EE51" s="788"/>
      <c r="EF51" s="788"/>
      <c r="EG51" s="788"/>
      <c r="EH51" s="788"/>
      <c r="EI51" s="784"/>
      <c r="EJ51" s="784"/>
      <c r="EK51" s="784"/>
      <c r="EL51" s="784"/>
      <c r="EM51" s="784"/>
      <c r="EN51" s="784"/>
      <c r="EO51" s="784"/>
      <c r="EP51" s="784"/>
      <c r="EQ51" s="784"/>
      <c r="ER51" s="784"/>
      <c r="ES51" s="784"/>
      <c r="ET51" s="784"/>
      <c r="EU51" s="784"/>
      <c r="EV51" s="784"/>
      <c r="EW51" s="784"/>
      <c r="EX51" s="784"/>
      <c r="EY51" s="784"/>
      <c r="EZ51" s="784"/>
      <c r="FA51" s="784"/>
      <c r="FB51" s="784"/>
      <c r="FC51" s="784"/>
      <c r="FD51" s="784"/>
      <c r="FE51" s="784"/>
      <c r="FF51" s="784"/>
      <c r="FG51" s="784"/>
      <c r="FH51" s="784"/>
      <c r="FI51" s="784"/>
      <c r="FJ51" s="784"/>
      <c r="FK51" s="784"/>
      <c r="FL51" s="784"/>
      <c r="FM51" s="784"/>
      <c r="FN51" s="784"/>
      <c r="FO51" s="784"/>
      <c r="FP51" s="784"/>
      <c r="FQ51" s="784"/>
    </row>
    <row r="52" spans="1:173" ht="10.5" hidden="1" customHeight="1" outlineLevel="1">
      <c r="A52" s="784" t="str">
        <f t="shared" si="657"/>
        <v xml:space="preserve">  Others</v>
      </c>
      <c r="B52" s="223"/>
      <c r="C52" s="134"/>
      <c r="D52" s="223"/>
      <c r="E52" s="717"/>
      <c r="F52" s="223"/>
      <c r="G52" s="223"/>
      <c r="H52" s="1270">
        <v>7.6940781952595086E-2</v>
      </c>
      <c r="I52" s="223">
        <v>0</v>
      </c>
      <c r="J52" s="134">
        <f t="shared" si="682"/>
        <v>0</v>
      </c>
      <c r="K52" s="223">
        <v>0</v>
      </c>
      <c r="L52" s="717">
        <f t="shared" si="658"/>
        <v>0</v>
      </c>
      <c r="M52" s="223">
        <v>0</v>
      </c>
      <c r="N52" s="223">
        <f t="shared" si="659"/>
        <v>0</v>
      </c>
      <c r="O52" s="1270">
        <v>0</v>
      </c>
      <c r="P52" s="223">
        <v>0</v>
      </c>
      <c r="Q52" s="134">
        <f t="shared" si="683"/>
        <v>0</v>
      </c>
      <c r="R52" s="223">
        <v>0</v>
      </c>
      <c r="S52" s="717">
        <f t="shared" si="660"/>
        <v>0</v>
      </c>
      <c r="T52" s="223">
        <v>0</v>
      </c>
      <c r="U52" s="223">
        <f t="shared" si="661"/>
        <v>0</v>
      </c>
      <c r="V52" s="1270">
        <v>0</v>
      </c>
      <c r="W52" s="223">
        <v>0</v>
      </c>
      <c r="X52" s="134">
        <f t="shared" si="684"/>
        <v>0</v>
      </c>
      <c r="Y52" s="223">
        <v>0</v>
      </c>
      <c r="Z52" s="717">
        <f t="shared" si="662"/>
        <v>0</v>
      </c>
      <c r="AA52" s="223">
        <v>0</v>
      </c>
      <c r="AB52" s="223">
        <f t="shared" si="663"/>
        <v>0</v>
      </c>
      <c r="AC52" s="1270">
        <v>0</v>
      </c>
      <c r="AD52" s="223">
        <v>0</v>
      </c>
      <c r="AE52" s="134">
        <f t="shared" si="685"/>
        <v>0</v>
      </c>
      <c r="AF52" s="223">
        <v>0</v>
      </c>
      <c r="AG52" s="717">
        <f t="shared" si="664"/>
        <v>0</v>
      </c>
      <c r="AH52" s="223">
        <v>0</v>
      </c>
      <c r="AI52" s="223">
        <f t="shared" si="665"/>
        <v>0</v>
      </c>
      <c r="AJ52" s="1270">
        <v>0</v>
      </c>
      <c r="AK52" s="223">
        <v>0</v>
      </c>
      <c r="AL52" s="134">
        <f t="shared" si="686"/>
        <v>0</v>
      </c>
      <c r="AM52" s="223">
        <v>0</v>
      </c>
      <c r="AN52" s="717">
        <f t="shared" si="666"/>
        <v>0</v>
      </c>
      <c r="AO52" s="223">
        <v>0</v>
      </c>
      <c r="AP52" s="223">
        <f t="shared" si="667"/>
        <v>0</v>
      </c>
      <c r="AQ52" s="1270">
        <v>0</v>
      </c>
      <c r="AR52" s="223">
        <v>0</v>
      </c>
      <c r="AS52" s="134">
        <f t="shared" si="687"/>
        <v>0</v>
      </c>
      <c r="AT52" s="223">
        <v>0</v>
      </c>
      <c r="AU52" s="717">
        <f t="shared" si="668"/>
        <v>0</v>
      </c>
      <c r="AV52" s="223">
        <v>0</v>
      </c>
      <c r="AW52" s="223">
        <f t="shared" si="669"/>
        <v>0</v>
      </c>
      <c r="AX52" s="1270">
        <v>0</v>
      </c>
      <c r="AY52" s="223">
        <v>0</v>
      </c>
      <c r="AZ52" s="134">
        <f t="shared" si="688"/>
        <v>0</v>
      </c>
      <c r="BA52" s="223">
        <v>0</v>
      </c>
      <c r="BB52" s="717">
        <f t="shared" si="670"/>
        <v>0</v>
      </c>
      <c r="BC52" s="223">
        <v>0</v>
      </c>
      <c r="BD52" s="223">
        <f t="shared" si="671"/>
        <v>0</v>
      </c>
      <c r="BE52" s="1270">
        <v>0</v>
      </c>
      <c r="BF52" s="223">
        <v>0</v>
      </c>
      <c r="BG52" s="134">
        <f t="shared" si="689"/>
        <v>0</v>
      </c>
      <c r="BH52" s="223">
        <v>0</v>
      </c>
      <c r="BI52" s="717">
        <f t="shared" si="672"/>
        <v>0</v>
      </c>
      <c r="BJ52" s="223">
        <v>0</v>
      </c>
      <c r="BK52" s="223">
        <f t="shared" si="673"/>
        <v>0</v>
      </c>
      <c r="BL52" s="1270">
        <v>0</v>
      </c>
      <c r="BM52" s="223">
        <v>0</v>
      </c>
      <c r="BN52" s="134">
        <f t="shared" si="690"/>
        <v>0</v>
      </c>
      <c r="BO52" s="223">
        <v>0</v>
      </c>
      <c r="BP52" s="717">
        <f t="shared" si="674"/>
        <v>0</v>
      </c>
      <c r="BQ52" s="223">
        <v>0</v>
      </c>
      <c r="BR52" s="223">
        <f t="shared" si="675"/>
        <v>0</v>
      </c>
      <c r="BS52" s="1270">
        <v>0</v>
      </c>
      <c r="BT52" s="223">
        <v>0</v>
      </c>
      <c r="BU52" s="134">
        <f t="shared" si="691"/>
        <v>0</v>
      </c>
      <c r="BV52" s="223">
        <v>0</v>
      </c>
      <c r="BW52" s="717">
        <f t="shared" si="676"/>
        <v>0</v>
      </c>
      <c r="BX52" s="223">
        <v>0</v>
      </c>
      <c r="BY52" s="223">
        <f t="shared" si="677"/>
        <v>0</v>
      </c>
      <c r="BZ52" s="1270">
        <v>0</v>
      </c>
      <c r="CA52" s="223">
        <v>0</v>
      </c>
      <c r="CB52" s="134">
        <f t="shared" si="692"/>
        <v>0</v>
      </c>
      <c r="CC52" s="223">
        <v>0</v>
      </c>
      <c r="CD52" s="717">
        <f t="shared" si="678"/>
        <v>0</v>
      </c>
      <c r="CE52" s="223">
        <v>0</v>
      </c>
      <c r="CF52" s="223">
        <f t="shared" si="679"/>
        <v>0</v>
      </c>
      <c r="CG52" s="1270">
        <v>0</v>
      </c>
      <c r="CH52" s="223">
        <v>0</v>
      </c>
      <c r="CI52" s="134">
        <f t="shared" si="693"/>
        <v>0</v>
      </c>
      <c r="CJ52" s="223">
        <v>0</v>
      </c>
      <c r="CK52" s="717">
        <f t="shared" si="680"/>
        <v>0</v>
      </c>
      <c r="CL52" s="223">
        <v>0</v>
      </c>
      <c r="CM52" s="223">
        <f t="shared" si="681"/>
        <v>0</v>
      </c>
      <c r="CN52" s="1270"/>
      <c r="CO52" s="223"/>
      <c r="CP52" s="134">
        <f t="shared" si="694"/>
        <v>0</v>
      </c>
      <c r="CQ52" s="134"/>
      <c r="CR52" s="717"/>
      <c r="CS52" s="134"/>
      <c r="CT52" s="134"/>
      <c r="CU52" s="1022"/>
      <c r="CV52" s="134"/>
      <c r="CW52" s="134"/>
      <c r="CX52" s="134"/>
      <c r="CY52" s="717"/>
      <c r="CZ52" s="134"/>
      <c r="DA52" s="134"/>
      <c r="DB52" s="1022"/>
      <c r="DC52" s="134"/>
      <c r="DD52" s="134"/>
      <c r="DE52" s="134"/>
      <c r="DF52" s="717"/>
      <c r="DG52" s="134"/>
      <c r="DH52" s="134"/>
      <c r="DI52" s="1022"/>
      <c r="DJ52" s="134"/>
      <c r="DK52" s="134"/>
      <c r="DL52" s="134"/>
      <c r="DM52" s="717"/>
      <c r="DN52" s="134"/>
      <c r="DO52" s="134"/>
      <c r="DP52" s="1022"/>
      <c r="DQ52" s="134"/>
      <c r="DR52" s="134"/>
      <c r="DS52" s="134"/>
      <c r="DT52" s="717"/>
      <c r="DU52" s="134"/>
      <c r="DV52" s="134"/>
      <c r="DW52" s="1022"/>
      <c r="DX52" s="218"/>
      <c r="DY52" s="40"/>
      <c r="DZ52" s="40"/>
      <c r="EA52" s="218"/>
      <c r="EB52" s="29"/>
      <c r="EC52" s="29"/>
      <c r="ED52" s="27"/>
      <c r="EE52" s="31"/>
      <c r="EF52" s="31"/>
      <c r="EG52" s="31"/>
      <c r="EH52" s="31"/>
      <c r="EI52" s="218"/>
      <c r="EJ52" s="218"/>
      <c r="EK52" s="218"/>
      <c r="EL52" s="218"/>
      <c r="EM52" s="218"/>
      <c r="EN52" s="218"/>
      <c r="EO52" s="218"/>
      <c r="EP52" s="218"/>
      <c r="EQ52" s="218"/>
      <c r="ER52" s="218"/>
      <c r="ES52" s="218"/>
      <c r="ET52" s="218"/>
      <c r="EU52" s="218"/>
      <c r="EV52" s="218"/>
      <c r="EW52" s="218"/>
      <c r="EX52" s="218"/>
      <c r="EY52" s="218"/>
      <c r="EZ52" s="218"/>
      <c r="FA52" s="218"/>
      <c r="FB52" s="218"/>
      <c r="FC52" s="218"/>
      <c r="FD52" s="218"/>
      <c r="FE52" s="218"/>
      <c r="FF52" s="218"/>
      <c r="FG52" s="218"/>
      <c r="FH52" s="218"/>
      <c r="FI52" s="218"/>
      <c r="FJ52" s="218"/>
      <c r="FK52" s="218"/>
      <c r="FL52" s="218"/>
      <c r="FM52" s="218"/>
      <c r="FN52" s="218"/>
      <c r="FO52" s="218"/>
      <c r="FP52" s="218"/>
      <c r="FQ52" s="218"/>
    </row>
    <row r="53" spans="1:173" ht="10.5" hidden="1" customHeight="1" outlineLevel="1">
      <c r="A53" s="784" t="str">
        <f t="shared" si="657"/>
        <v xml:space="preserve">  JV accounting change</v>
      </c>
      <c r="B53" s="223"/>
      <c r="C53" s="134"/>
      <c r="D53" s="223"/>
      <c r="E53" s="717"/>
      <c r="F53" s="223"/>
      <c r="G53" s="223"/>
      <c r="H53" s="1270">
        <v>-9.9154027894215305E-2</v>
      </c>
      <c r="I53" s="223">
        <v>0</v>
      </c>
      <c r="J53" s="134">
        <f t="shared" si="682"/>
        <v>0</v>
      </c>
      <c r="K53" s="223">
        <v>0</v>
      </c>
      <c r="L53" s="717">
        <f t="shared" si="658"/>
        <v>0</v>
      </c>
      <c r="M53" s="223">
        <v>0</v>
      </c>
      <c r="N53" s="223">
        <f t="shared" si="659"/>
        <v>0</v>
      </c>
      <c r="O53" s="1270">
        <v>0</v>
      </c>
      <c r="P53" s="223">
        <v>0</v>
      </c>
      <c r="Q53" s="134">
        <f t="shared" si="683"/>
        <v>0</v>
      </c>
      <c r="R53" s="223">
        <v>0</v>
      </c>
      <c r="S53" s="717">
        <f t="shared" si="660"/>
        <v>0</v>
      </c>
      <c r="T53" s="223">
        <v>0</v>
      </c>
      <c r="U53" s="223">
        <f t="shared" si="661"/>
        <v>0</v>
      </c>
      <c r="V53" s="1270">
        <v>0</v>
      </c>
      <c r="W53" s="223">
        <v>0</v>
      </c>
      <c r="X53" s="134">
        <f t="shared" si="684"/>
        <v>0</v>
      </c>
      <c r="Y53" s="223">
        <v>0</v>
      </c>
      <c r="Z53" s="717">
        <f t="shared" si="662"/>
        <v>0</v>
      </c>
      <c r="AA53" s="223">
        <v>0</v>
      </c>
      <c r="AB53" s="223">
        <f t="shared" si="663"/>
        <v>0</v>
      </c>
      <c r="AC53" s="1270">
        <v>0</v>
      </c>
      <c r="AD53" s="223">
        <v>0</v>
      </c>
      <c r="AE53" s="134">
        <f t="shared" si="685"/>
        <v>0</v>
      </c>
      <c r="AF53" s="223">
        <v>0</v>
      </c>
      <c r="AG53" s="717">
        <f t="shared" si="664"/>
        <v>0</v>
      </c>
      <c r="AH53" s="223">
        <v>0</v>
      </c>
      <c r="AI53" s="223">
        <f t="shared" si="665"/>
        <v>0</v>
      </c>
      <c r="AJ53" s="1270">
        <v>0</v>
      </c>
      <c r="AK53" s="223">
        <v>0</v>
      </c>
      <c r="AL53" s="134">
        <f t="shared" si="686"/>
        <v>0</v>
      </c>
      <c r="AM53" s="223">
        <v>0</v>
      </c>
      <c r="AN53" s="717">
        <f t="shared" si="666"/>
        <v>0</v>
      </c>
      <c r="AO53" s="223">
        <v>0</v>
      </c>
      <c r="AP53" s="223">
        <f t="shared" si="667"/>
        <v>0</v>
      </c>
      <c r="AQ53" s="1270">
        <v>0</v>
      </c>
      <c r="AR53" s="223">
        <v>0</v>
      </c>
      <c r="AS53" s="134">
        <f t="shared" si="687"/>
        <v>0</v>
      </c>
      <c r="AT53" s="223">
        <v>0</v>
      </c>
      <c r="AU53" s="717">
        <f t="shared" si="668"/>
        <v>0</v>
      </c>
      <c r="AV53" s="223">
        <v>0</v>
      </c>
      <c r="AW53" s="223">
        <f t="shared" si="669"/>
        <v>0</v>
      </c>
      <c r="AX53" s="1270">
        <v>0</v>
      </c>
      <c r="AY53" s="223">
        <v>0</v>
      </c>
      <c r="AZ53" s="134">
        <f t="shared" si="688"/>
        <v>0</v>
      </c>
      <c r="BA53" s="223">
        <v>0</v>
      </c>
      <c r="BB53" s="717">
        <f t="shared" si="670"/>
        <v>0</v>
      </c>
      <c r="BC53" s="223">
        <v>0</v>
      </c>
      <c r="BD53" s="223">
        <f t="shared" si="671"/>
        <v>0</v>
      </c>
      <c r="BE53" s="1270">
        <v>0</v>
      </c>
      <c r="BF53" s="223">
        <v>0</v>
      </c>
      <c r="BG53" s="134">
        <f t="shared" si="689"/>
        <v>0</v>
      </c>
      <c r="BH53" s="223">
        <v>0</v>
      </c>
      <c r="BI53" s="717">
        <f t="shared" si="672"/>
        <v>0</v>
      </c>
      <c r="BJ53" s="223">
        <v>0</v>
      </c>
      <c r="BK53" s="223">
        <f t="shared" si="673"/>
        <v>0</v>
      </c>
      <c r="BL53" s="1270">
        <v>0</v>
      </c>
      <c r="BM53" s="223">
        <v>0</v>
      </c>
      <c r="BN53" s="134">
        <f t="shared" si="690"/>
        <v>0</v>
      </c>
      <c r="BO53" s="223">
        <v>0</v>
      </c>
      <c r="BP53" s="717">
        <f t="shared" si="674"/>
        <v>0</v>
      </c>
      <c r="BQ53" s="223">
        <v>0</v>
      </c>
      <c r="BR53" s="223">
        <f t="shared" si="675"/>
        <v>0</v>
      </c>
      <c r="BS53" s="1270">
        <v>0</v>
      </c>
      <c r="BT53" s="223">
        <v>0</v>
      </c>
      <c r="BU53" s="134">
        <f t="shared" si="691"/>
        <v>0</v>
      </c>
      <c r="BV53" s="223">
        <v>0</v>
      </c>
      <c r="BW53" s="717">
        <f t="shared" si="676"/>
        <v>0</v>
      </c>
      <c r="BX53" s="223">
        <v>0</v>
      </c>
      <c r="BY53" s="223">
        <f t="shared" si="677"/>
        <v>0</v>
      </c>
      <c r="BZ53" s="1270">
        <v>0</v>
      </c>
      <c r="CA53" s="223">
        <v>0</v>
      </c>
      <c r="CB53" s="134">
        <f t="shared" si="692"/>
        <v>0</v>
      </c>
      <c r="CC53" s="223">
        <v>0</v>
      </c>
      <c r="CD53" s="717">
        <f t="shared" si="678"/>
        <v>0</v>
      </c>
      <c r="CE53" s="223">
        <v>0</v>
      </c>
      <c r="CF53" s="223">
        <f t="shared" si="679"/>
        <v>0</v>
      </c>
      <c r="CG53" s="1270">
        <v>0</v>
      </c>
      <c r="CH53" s="223">
        <v>0</v>
      </c>
      <c r="CI53" s="134">
        <f t="shared" si="693"/>
        <v>0</v>
      </c>
      <c r="CJ53" s="223">
        <v>0</v>
      </c>
      <c r="CK53" s="717">
        <f t="shared" si="680"/>
        <v>0</v>
      </c>
      <c r="CL53" s="223">
        <v>0</v>
      </c>
      <c r="CM53" s="223">
        <f t="shared" si="681"/>
        <v>0</v>
      </c>
      <c r="CN53" s="1270"/>
      <c r="CO53" s="223"/>
      <c r="CP53" s="134">
        <f t="shared" si="694"/>
        <v>0</v>
      </c>
      <c r="CQ53" s="134"/>
      <c r="CR53" s="717"/>
      <c r="CS53" s="134"/>
      <c r="CT53" s="134"/>
      <c r="CU53" s="1022"/>
      <c r="CV53" s="134"/>
      <c r="CW53" s="134"/>
      <c r="CX53" s="134"/>
      <c r="CY53" s="717"/>
      <c r="CZ53" s="134"/>
      <c r="DA53" s="134"/>
      <c r="DB53" s="1022"/>
      <c r="DC53" s="134"/>
      <c r="DD53" s="134"/>
      <c r="DE53" s="134"/>
      <c r="DF53" s="717"/>
      <c r="DG53" s="134"/>
      <c r="DH53" s="134"/>
      <c r="DI53" s="1022"/>
      <c r="DJ53" s="134"/>
      <c r="DK53" s="134"/>
      <c r="DL53" s="134"/>
      <c r="DM53" s="717"/>
      <c r="DN53" s="134"/>
      <c r="DO53" s="134"/>
      <c r="DP53" s="1022"/>
      <c r="DQ53" s="134"/>
      <c r="DR53" s="134"/>
      <c r="DS53" s="134"/>
      <c r="DT53" s="717"/>
      <c r="DU53" s="134"/>
      <c r="DV53" s="134"/>
      <c r="DW53" s="1022"/>
      <c r="DX53" s="218"/>
      <c r="DY53" s="40"/>
      <c r="DZ53" s="40"/>
      <c r="EA53" s="218"/>
      <c r="EB53" s="29"/>
      <c r="EC53" s="29"/>
      <c r="ED53" s="27"/>
      <c r="EE53" s="31"/>
      <c r="EF53" s="31"/>
      <c r="EG53" s="31"/>
      <c r="EH53" s="31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</row>
    <row r="54" spans="1:173" ht="10.5" hidden="1" customHeight="1" outlineLevel="1">
      <c r="A54" s="784" t="str">
        <f t="shared" si="657"/>
        <v>Other</v>
      </c>
      <c r="B54" s="223"/>
      <c r="C54" s="134"/>
      <c r="D54" s="223"/>
      <c r="E54" s="717"/>
      <c r="F54" s="223"/>
      <c r="G54" s="223"/>
      <c r="H54" s="1270">
        <v>-2.2213245941620229E-2</v>
      </c>
      <c r="I54" s="223">
        <v>0</v>
      </c>
      <c r="J54" s="134">
        <f t="shared" si="682"/>
        <v>0</v>
      </c>
      <c r="K54" s="223">
        <v>0</v>
      </c>
      <c r="L54" s="717">
        <f t="shared" si="658"/>
        <v>0</v>
      </c>
      <c r="M54" s="223">
        <v>0</v>
      </c>
      <c r="N54" s="223">
        <f t="shared" si="659"/>
        <v>0</v>
      </c>
      <c r="O54" s="1270">
        <v>0</v>
      </c>
      <c r="P54" s="223">
        <v>0</v>
      </c>
      <c r="Q54" s="134">
        <f t="shared" si="683"/>
        <v>0</v>
      </c>
      <c r="R54" s="223">
        <v>0</v>
      </c>
      <c r="S54" s="717">
        <f t="shared" si="660"/>
        <v>0</v>
      </c>
      <c r="T54" s="223">
        <v>0</v>
      </c>
      <c r="U54" s="223">
        <f t="shared" si="661"/>
        <v>0</v>
      </c>
      <c r="V54" s="1270">
        <v>0</v>
      </c>
      <c r="W54" s="223">
        <v>0</v>
      </c>
      <c r="X54" s="134">
        <f t="shared" si="684"/>
        <v>0</v>
      </c>
      <c r="Y54" s="223">
        <v>0</v>
      </c>
      <c r="Z54" s="717">
        <f t="shared" si="662"/>
        <v>0</v>
      </c>
      <c r="AA54" s="223">
        <v>0</v>
      </c>
      <c r="AB54" s="223">
        <f t="shared" si="663"/>
        <v>0</v>
      </c>
      <c r="AC54" s="1270">
        <v>0</v>
      </c>
      <c r="AD54" s="223">
        <v>0</v>
      </c>
      <c r="AE54" s="134">
        <f t="shared" si="685"/>
        <v>0</v>
      </c>
      <c r="AF54" s="223">
        <v>0</v>
      </c>
      <c r="AG54" s="717">
        <f t="shared" si="664"/>
        <v>0</v>
      </c>
      <c r="AH54" s="223">
        <v>0</v>
      </c>
      <c r="AI54" s="223">
        <f t="shared" si="665"/>
        <v>0</v>
      </c>
      <c r="AJ54" s="1270">
        <v>0</v>
      </c>
      <c r="AK54" s="223">
        <v>0</v>
      </c>
      <c r="AL54" s="134">
        <f t="shared" si="686"/>
        <v>0</v>
      </c>
      <c r="AM54" s="223">
        <v>0</v>
      </c>
      <c r="AN54" s="717">
        <f t="shared" si="666"/>
        <v>0</v>
      </c>
      <c r="AO54" s="223">
        <v>0</v>
      </c>
      <c r="AP54" s="223">
        <f t="shared" si="667"/>
        <v>0</v>
      </c>
      <c r="AQ54" s="1270">
        <v>0</v>
      </c>
      <c r="AR54" s="223">
        <v>0</v>
      </c>
      <c r="AS54" s="134">
        <f t="shared" si="687"/>
        <v>0</v>
      </c>
      <c r="AT54" s="223">
        <v>0</v>
      </c>
      <c r="AU54" s="717">
        <f t="shared" si="668"/>
        <v>0</v>
      </c>
      <c r="AV54" s="223">
        <v>0</v>
      </c>
      <c r="AW54" s="223">
        <f t="shared" si="669"/>
        <v>0</v>
      </c>
      <c r="AX54" s="1270">
        <v>0</v>
      </c>
      <c r="AY54" s="223">
        <v>0</v>
      </c>
      <c r="AZ54" s="134">
        <f t="shared" si="688"/>
        <v>0</v>
      </c>
      <c r="BA54" s="223">
        <v>0</v>
      </c>
      <c r="BB54" s="717">
        <f t="shared" si="670"/>
        <v>0</v>
      </c>
      <c r="BC54" s="223">
        <v>0</v>
      </c>
      <c r="BD54" s="223">
        <f t="shared" si="671"/>
        <v>0</v>
      </c>
      <c r="BE54" s="1270">
        <v>0</v>
      </c>
      <c r="BF54" s="223">
        <v>0</v>
      </c>
      <c r="BG54" s="134">
        <f t="shared" si="689"/>
        <v>0</v>
      </c>
      <c r="BH54" s="223">
        <v>0</v>
      </c>
      <c r="BI54" s="717">
        <f t="shared" si="672"/>
        <v>0</v>
      </c>
      <c r="BJ54" s="223">
        <v>0</v>
      </c>
      <c r="BK54" s="223">
        <f t="shared" si="673"/>
        <v>0</v>
      </c>
      <c r="BL54" s="1270">
        <v>0</v>
      </c>
      <c r="BM54" s="223">
        <v>0</v>
      </c>
      <c r="BN54" s="134">
        <f t="shared" si="690"/>
        <v>0</v>
      </c>
      <c r="BO54" s="223">
        <v>0</v>
      </c>
      <c r="BP54" s="717">
        <f t="shared" si="674"/>
        <v>0</v>
      </c>
      <c r="BQ54" s="223">
        <v>0</v>
      </c>
      <c r="BR54" s="223">
        <f t="shared" si="675"/>
        <v>0</v>
      </c>
      <c r="BS54" s="1270">
        <v>0</v>
      </c>
      <c r="BT54" s="223">
        <v>0</v>
      </c>
      <c r="BU54" s="134">
        <f t="shared" si="691"/>
        <v>0</v>
      </c>
      <c r="BV54" s="223">
        <v>0</v>
      </c>
      <c r="BW54" s="717">
        <f t="shared" si="676"/>
        <v>0</v>
      </c>
      <c r="BX54" s="223">
        <v>0</v>
      </c>
      <c r="BY54" s="223">
        <f t="shared" si="677"/>
        <v>0</v>
      </c>
      <c r="BZ54" s="1270">
        <v>0</v>
      </c>
      <c r="CA54" s="223">
        <v>0</v>
      </c>
      <c r="CB54" s="134">
        <f t="shared" si="692"/>
        <v>0</v>
      </c>
      <c r="CC54" s="223">
        <v>0</v>
      </c>
      <c r="CD54" s="717">
        <f t="shared" si="678"/>
        <v>0</v>
      </c>
      <c r="CE54" s="223">
        <v>0</v>
      </c>
      <c r="CF54" s="223">
        <f t="shared" si="679"/>
        <v>0</v>
      </c>
      <c r="CG54" s="1270">
        <v>0</v>
      </c>
      <c r="CH54" s="223">
        <v>0</v>
      </c>
      <c r="CI54" s="134">
        <f t="shared" si="693"/>
        <v>0</v>
      </c>
      <c r="CJ54" s="223">
        <v>0</v>
      </c>
      <c r="CK54" s="717">
        <f t="shared" si="680"/>
        <v>0</v>
      </c>
      <c r="CL54" s="223">
        <v>0</v>
      </c>
      <c r="CM54" s="223">
        <f t="shared" si="681"/>
        <v>0</v>
      </c>
      <c r="CN54" s="1270"/>
      <c r="CO54" s="223"/>
      <c r="CP54" s="134">
        <f t="shared" si="694"/>
        <v>0</v>
      </c>
      <c r="CQ54" s="134"/>
      <c r="CR54" s="717"/>
      <c r="CS54" s="134"/>
      <c r="CT54" s="134"/>
      <c r="CU54" s="1022"/>
      <c r="CV54" s="134"/>
      <c r="CW54" s="134"/>
      <c r="CX54" s="134"/>
      <c r="CY54" s="717"/>
      <c r="CZ54" s="134"/>
      <c r="DA54" s="134"/>
      <c r="DB54" s="1022"/>
      <c r="DC54" s="134"/>
      <c r="DD54" s="134"/>
      <c r="DE54" s="134"/>
      <c r="DF54" s="717"/>
      <c r="DG54" s="134"/>
      <c r="DH54" s="134"/>
      <c r="DI54" s="1022"/>
      <c r="DJ54" s="134"/>
      <c r="DK54" s="134"/>
      <c r="DL54" s="134"/>
      <c r="DM54" s="717"/>
      <c r="DN54" s="134"/>
      <c r="DO54" s="134"/>
      <c r="DP54" s="1022"/>
      <c r="DQ54" s="134"/>
      <c r="DR54" s="134"/>
      <c r="DS54" s="134"/>
      <c r="DT54" s="717"/>
      <c r="DU54" s="134"/>
      <c r="DV54" s="134"/>
      <c r="DW54" s="1022"/>
      <c r="DX54" s="218"/>
      <c r="DY54" s="40"/>
      <c r="DZ54" s="40"/>
      <c r="EA54" s="218"/>
      <c r="EB54" s="29"/>
      <c r="EC54" s="29"/>
      <c r="ED54" s="27"/>
      <c r="EE54" s="31"/>
      <c r="EF54" s="31"/>
      <c r="EG54" s="31"/>
      <c r="EH54" s="31"/>
      <c r="EI54" s="218"/>
      <c r="EJ54" s="218"/>
      <c r="EK54" s="218"/>
      <c r="EL54" s="218"/>
      <c r="EM54" s="218"/>
      <c r="EN54" s="218"/>
      <c r="EO54" s="218"/>
      <c r="EP54" s="218"/>
      <c r="EQ54" s="218"/>
      <c r="ER54" s="218"/>
      <c r="ES54" s="218"/>
      <c r="ET54" s="218"/>
      <c r="EU54" s="218"/>
      <c r="EV54" s="218"/>
      <c r="EW54" s="218"/>
      <c r="EX54" s="218"/>
      <c r="EY54" s="218"/>
      <c r="EZ54" s="218"/>
      <c r="FA54" s="218"/>
      <c r="FB54" s="218"/>
      <c r="FC54" s="218"/>
      <c r="FD54" s="218"/>
      <c r="FE54" s="218"/>
      <c r="FF54" s="218"/>
      <c r="FG54" s="218"/>
      <c r="FH54" s="218"/>
      <c r="FI54" s="218"/>
      <c r="FJ54" s="218"/>
      <c r="FK54" s="218"/>
      <c r="FL54" s="218"/>
      <c r="FM54" s="218"/>
      <c r="FN54" s="218"/>
      <c r="FO54" s="218"/>
      <c r="FP54" s="218"/>
      <c r="FQ54" s="218"/>
    </row>
    <row r="55" spans="1:173" ht="10.5" customHeight="1" collapsed="1">
      <c r="A55" s="218"/>
      <c r="B55" s="260"/>
      <c r="C55" s="260"/>
      <c r="D55" s="260"/>
      <c r="E55" s="1038"/>
      <c r="F55" s="260"/>
      <c r="G55" s="260"/>
      <c r="H55" s="1022"/>
      <c r="I55" s="260"/>
      <c r="J55" s="260"/>
      <c r="K55" s="260"/>
      <c r="L55" s="1038"/>
      <c r="M55" s="260"/>
      <c r="N55" s="260"/>
      <c r="O55" s="1022"/>
      <c r="P55" s="260"/>
      <c r="Q55" s="260"/>
      <c r="R55" s="260"/>
      <c r="S55" s="1038"/>
      <c r="T55" s="260"/>
      <c r="U55" s="260"/>
      <c r="V55" s="1022"/>
      <c r="W55" s="260"/>
      <c r="X55" s="260"/>
      <c r="Y55" s="260"/>
      <c r="Z55" s="1038"/>
      <c r="AA55" s="260"/>
      <c r="AB55" s="260"/>
      <c r="AC55" s="1022"/>
      <c r="AD55" s="260"/>
      <c r="AE55" s="260"/>
      <c r="AF55" s="260"/>
      <c r="AG55" s="1038"/>
      <c r="AH55" s="260"/>
      <c r="AI55" s="260"/>
      <c r="AJ55" s="1022"/>
      <c r="AK55" s="260"/>
      <c r="AL55" s="260"/>
      <c r="AM55" s="260"/>
      <c r="AN55" s="1038"/>
      <c r="AO55" s="260"/>
      <c r="AP55" s="260"/>
      <c r="AQ55" s="1022"/>
      <c r="AR55" s="260"/>
      <c r="AS55" s="260"/>
      <c r="AT55" s="260"/>
      <c r="AU55" s="1038"/>
      <c r="AV55" s="260"/>
      <c r="AW55" s="260"/>
      <c r="AX55" s="1022"/>
      <c r="AY55" s="260"/>
      <c r="AZ55" s="260"/>
      <c r="BA55" s="260"/>
      <c r="BB55" s="1038"/>
      <c r="BC55" s="260"/>
      <c r="BD55" s="260"/>
      <c r="BE55" s="1022"/>
      <c r="BF55" s="260"/>
      <c r="BG55" s="260"/>
      <c r="BH55" s="260"/>
      <c r="BI55" s="1038"/>
      <c r="BJ55" s="260"/>
      <c r="BK55" s="260"/>
      <c r="BL55" s="1022"/>
      <c r="BM55" s="260"/>
      <c r="BN55" s="260"/>
      <c r="BO55" s="260"/>
      <c r="BP55" s="1038"/>
      <c r="BQ55" s="260"/>
      <c r="BR55" s="260"/>
      <c r="BS55" s="1022"/>
      <c r="BT55" s="260"/>
      <c r="BU55" s="260"/>
      <c r="BV55" s="260"/>
      <c r="BW55" s="1038"/>
      <c r="BX55" s="260"/>
      <c r="BY55" s="260"/>
      <c r="BZ55" s="1022"/>
      <c r="CA55" s="260"/>
      <c r="CB55" s="260"/>
      <c r="CC55" s="260"/>
      <c r="CD55" s="1038"/>
      <c r="CE55" s="260"/>
      <c r="CF55" s="27"/>
      <c r="CG55" s="1022"/>
      <c r="CH55" s="260"/>
      <c r="CI55" s="260"/>
      <c r="CJ55" s="260"/>
      <c r="CK55" s="1038"/>
      <c r="CL55" s="260"/>
      <c r="CM55" s="27"/>
      <c r="CN55" s="1022"/>
      <c r="CO55" s="260"/>
      <c r="CP55" s="260"/>
      <c r="CQ55" s="260"/>
      <c r="CR55" s="1038"/>
      <c r="CS55" s="260"/>
      <c r="CT55" s="27"/>
      <c r="CU55" s="1022"/>
      <c r="CV55" s="260"/>
      <c r="CW55" s="260"/>
      <c r="CX55" s="260"/>
      <c r="CY55" s="1038"/>
      <c r="CZ55" s="260"/>
      <c r="DA55" s="27"/>
      <c r="DB55" s="1022"/>
      <c r="DC55" s="260"/>
      <c r="DD55" s="260"/>
      <c r="DE55" s="260"/>
      <c r="DF55" s="1038"/>
      <c r="DG55" s="260"/>
      <c r="DH55" s="27"/>
      <c r="DI55" s="1022"/>
      <c r="DJ55" s="260"/>
      <c r="DK55" s="260"/>
      <c r="DL55" s="260"/>
      <c r="DM55" s="1038"/>
      <c r="DN55" s="260"/>
      <c r="DO55" s="27"/>
      <c r="DP55" s="1022"/>
      <c r="DQ55" s="260"/>
      <c r="DR55" s="260"/>
      <c r="DS55" s="260"/>
      <c r="DT55" s="1038"/>
      <c r="DU55" s="260"/>
      <c r="DV55" s="27"/>
      <c r="DW55" s="1022"/>
      <c r="DX55" s="218"/>
      <c r="DY55" s="40"/>
      <c r="DZ55" s="40"/>
      <c r="EA55" s="218"/>
      <c r="EB55" s="29"/>
      <c r="EC55" s="29"/>
      <c r="ED55" s="27"/>
      <c r="EE55" s="31"/>
      <c r="EF55" s="31"/>
      <c r="EG55" s="31"/>
      <c r="EH55" s="31"/>
      <c r="EI55" s="218"/>
      <c r="EJ55" s="218"/>
      <c r="EK55" s="218"/>
      <c r="EL55" s="218"/>
      <c r="EM55" s="218"/>
      <c r="EN55" s="218"/>
      <c r="EO55" s="218"/>
      <c r="EP55" s="218"/>
      <c r="EQ55" s="218"/>
      <c r="ER55" s="218"/>
      <c r="ES55" s="218"/>
      <c r="ET55" s="218"/>
      <c r="EU55" s="218"/>
      <c r="EV55" s="218"/>
      <c r="EW55" s="218"/>
      <c r="EX55" s="218"/>
      <c r="EY55" s="218"/>
      <c r="EZ55" s="218"/>
      <c r="FA55" s="218"/>
      <c r="FB55" s="218"/>
      <c r="FC55" s="218"/>
      <c r="FD55" s="218"/>
      <c r="FE55" s="218"/>
      <c r="FF55" s="218"/>
      <c r="FG55" s="218"/>
      <c r="FH55" s="218"/>
      <c r="FI55" s="218"/>
      <c r="FJ55" s="218"/>
      <c r="FK55" s="218"/>
      <c r="FL55" s="218"/>
      <c r="FM55" s="218"/>
      <c r="FN55" s="218"/>
      <c r="FO55" s="218"/>
      <c r="FP55" s="218"/>
      <c r="FQ55" s="218"/>
    </row>
    <row r="56" spans="1:173" ht="10.5" customHeight="1">
      <c r="A56" s="782" t="s">
        <v>746</v>
      </c>
      <c r="B56" s="1010"/>
      <c r="C56" s="1010"/>
      <c r="D56" s="1010"/>
      <c r="E56" s="1035"/>
      <c r="F56" s="1010"/>
      <c r="G56" s="1010"/>
      <c r="H56" s="1020"/>
      <c r="I56" s="1010"/>
      <c r="J56" s="1010"/>
      <c r="K56" s="1010"/>
      <c r="L56" s="1035"/>
      <c r="M56" s="1010"/>
      <c r="N56" s="1010"/>
      <c r="O56" s="1020"/>
      <c r="P56" s="1010"/>
      <c r="Q56" s="1010"/>
      <c r="R56" s="1010"/>
      <c r="S56" s="1035"/>
      <c r="T56" s="1010"/>
      <c r="U56" s="1010"/>
      <c r="V56" s="1020"/>
      <c r="W56" s="1010"/>
      <c r="X56" s="1010"/>
      <c r="Y56" s="1010"/>
      <c r="Z56" s="1035"/>
      <c r="AA56" s="1010"/>
      <c r="AB56" s="1010"/>
      <c r="AC56" s="1020"/>
      <c r="AD56" s="1010"/>
      <c r="AE56" s="1010"/>
      <c r="AF56" s="1010"/>
      <c r="AG56" s="1035"/>
      <c r="AH56" s="1010"/>
      <c r="AI56" s="1010"/>
      <c r="AJ56" s="1020"/>
      <c r="AK56" s="1010"/>
      <c r="AL56" s="1010"/>
      <c r="AM56" s="1010"/>
      <c r="AN56" s="1035"/>
      <c r="AO56" s="1010"/>
      <c r="AP56" s="1010"/>
      <c r="AQ56" s="1020"/>
      <c r="AR56" s="1010"/>
      <c r="AS56" s="1010"/>
      <c r="AT56" s="1010"/>
      <c r="AU56" s="1035"/>
      <c r="AV56" s="1010"/>
      <c r="AW56" s="1010"/>
      <c r="AX56" s="1020"/>
      <c r="AY56" s="1010"/>
      <c r="AZ56" s="1010"/>
      <c r="BA56" s="1010"/>
      <c r="BB56" s="1035"/>
      <c r="BC56" s="1010"/>
      <c r="BD56" s="1010"/>
      <c r="BE56" s="1020"/>
      <c r="BF56" s="1010"/>
      <c r="BG56" s="1010"/>
      <c r="BH56" s="1010"/>
      <c r="BI56" s="1035"/>
      <c r="BJ56" s="1010"/>
      <c r="BK56" s="1010"/>
      <c r="BL56" s="1020"/>
      <c r="BM56" s="1010"/>
      <c r="BN56" s="1010"/>
      <c r="BO56" s="1010"/>
      <c r="BP56" s="1035"/>
      <c r="BQ56" s="1010"/>
      <c r="BR56" s="1010"/>
      <c r="BS56" s="1020"/>
      <c r="BT56" s="1010"/>
      <c r="BU56" s="1010"/>
      <c r="BV56" s="1010"/>
      <c r="BW56" s="1035"/>
      <c r="BX56" s="1010"/>
      <c r="BY56" s="1010"/>
      <c r="BZ56" s="1020"/>
      <c r="CA56" s="1010"/>
      <c r="CB56" s="1010"/>
      <c r="CC56" s="1010"/>
      <c r="CD56" s="1035"/>
      <c r="CE56" s="1010"/>
      <c r="CF56" s="1010"/>
      <c r="CG56" s="1020"/>
      <c r="CH56" s="1010"/>
      <c r="CI56" s="1010"/>
      <c r="CJ56" s="1010"/>
      <c r="CK56" s="1035"/>
      <c r="CL56" s="1010"/>
      <c r="CM56" s="1010"/>
      <c r="CN56" s="1020"/>
      <c r="CO56" s="1010"/>
      <c r="CP56" s="1010"/>
      <c r="CQ56" s="1010"/>
      <c r="CR56" s="1035"/>
      <c r="CS56" s="1010"/>
      <c r="CT56" s="1010"/>
      <c r="CU56" s="1020"/>
      <c r="CV56" s="1010"/>
      <c r="CW56" s="1010"/>
      <c r="CX56" s="1010"/>
      <c r="CY56" s="1035"/>
      <c r="CZ56" s="1010"/>
      <c r="DA56" s="1010"/>
      <c r="DB56" s="1020"/>
      <c r="DC56" s="1010"/>
      <c r="DD56" s="1010"/>
      <c r="DE56" s="1010"/>
      <c r="DF56" s="1035"/>
      <c r="DG56" s="1010"/>
      <c r="DH56" s="1010"/>
      <c r="DI56" s="1020"/>
      <c r="DJ56" s="1010"/>
      <c r="DK56" s="1010"/>
      <c r="DL56" s="1010"/>
      <c r="DM56" s="1035"/>
      <c r="DN56" s="1010"/>
      <c r="DO56" s="1010"/>
      <c r="DP56" s="1020"/>
      <c r="DQ56" s="1010"/>
      <c r="DR56" s="1010"/>
      <c r="DS56" s="1010"/>
      <c r="DT56" s="1035"/>
      <c r="DU56" s="1010"/>
      <c r="DV56" s="1010"/>
      <c r="DW56" s="1020"/>
      <c r="DX56" s="218"/>
      <c r="DY56" s="40"/>
      <c r="DZ56" s="40"/>
      <c r="EA56" s="218"/>
      <c r="EB56" s="29"/>
      <c r="EC56" s="29"/>
      <c r="ED56" s="27"/>
      <c r="EE56" s="31"/>
      <c r="EF56" s="31"/>
      <c r="EG56" s="31"/>
      <c r="EH56" s="31"/>
      <c r="EI56" s="218"/>
      <c r="EJ56" s="218"/>
      <c r="EK56" s="218"/>
      <c r="EL56" s="218"/>
      <c r="EM56" s="218"/>
      <c r="EN56" s="218"/>
      <c r="EO56" s="218"/>
      <c r="EP56" s="218"/>
      <c r="EQ56" s="218"/>
      <c r="ER56" s="218"/>
      <c r="ES56" s="218"/>
      <c r="ET56" s="218"/>
      <c r="EU56" s="218"/>
      <c r="EV56" s="218"/>
      <c r="EW56" s="218"/>
      <c r="EX56" s="218"/>
      <c r="EY56" s="218"/>
      <c r="EZ56" s="218"/>
      <c r="FA56" s="218"/>
      <c r="FB56" s="218"/>
      <c r="FC56" s="218"/>
      <c r="FD56" s="218"/>
      <c r="FE56" s="218"/>
      <c r="FF56" s="218"/>
      <c r="FG56" s="218"/>
      <c r="FH56" s="218"/>
      <c r="FI56" s="218"/>
      <c r="FJ56" s="218"/>
      <c r="FK56" s="218"/>
      <c r="FL56" s="218"/>
      <c r="FM56" s="218"/>
      <c r="FN56" s="218"/>
      <c r="FO56" s="218"/>
      <c r="FP56" s="218"/>
      <c r="FQ56" s="218"/>
    </row>
    <row r="57" spans="1:173" ht="10.5" customHeight="1">
      <c r="A57" s="218"/>
      <c r="B57" s="27"/>
      <c r="C57" s="27"/>
      <c r="D57" s="27"/>
      <c r="E57" s="1036"/>
      <c r="F57" s="27"/>
      <c r="G57" s="27"/>
      <c r="H57" s="1022"/>
      <c r="I57" s="27"/>
      <c r="J57" s="27"/>
      <c r="K57" s="27"/>
      <c r="L57" s="1036"/>
      <c r="M57" s="27"/>
      <c r="N57" s="27"/>
      <c r="O57" s="1022"/>
      <c r="P57" s="27"/>
      <c r="Q57" s="27"/>
      <c r="R57" s="27"/>
      <c r="S57" s="1036"/>
      <c r="T57" s="27"/>
      <c r="U57" s="27"/>
      <c r="V57" s="1022"/>
      <c r="W57" s="27"/>
      <c r="X57" s="27"/>
      <c r="Y57" s="27"/>
      <c r="Z57" s="1036"/>
      <c r="AA57" s="27"/>
      <c r="AB57" s="27"/>
      <c r="AC57" s="1022"/>
      <c r="AD57" s="27"/>
      <c r="AE57" s="27"/>
      <c r="AF57" s="27"/>
      <c r="AG57" s="1036"/>
      <c r="AH57" s="27"/>
      <c r="AI57" s="27"/>
      <c r="AJ57" s="1022"/>
      <c r="AK57" s="27"/>
      <c r="AL57" s="27"/>
      <c r="AM57" s="27"/>
      <c r="AN57" s="1036"/>
      <c r="AO57" s="27"/>
      <c r="AP57" s="27"/>
      <c r="AQ57" s="1022"/>
      <c r="AR57" s="27"/>
      <c r="AS57" s="27"/>
      <c r="AT57" s="27"/>
      <c r="AU57" s="1036"/>
      <c r="AV57" s="27"/>
      <c r="AW57" s="27"/>
      <c r="AX57" s="1022"/>
      <c r="AY57" s="27"/>
      <c r="AZ57" s="27"/>
      <c r="BA57" s="27"/>
      <c r="BB57" s="1036"/>
      <c r="BC57" s="27"/>
      <c r="BD57" s="27"/>
      <c r="BE57" s="1022"/>
      <c r="BF57" s="27"/>
      <c r="BG57" s="27"/>
      <c r="BH57" s="27"/>
      <c r="BI57" s="1036"/>
      <c r="BJ57" s="27"/>
      <c r="BK57" s="27"/>
      <c r="BL57" s="1022"/>
      <c r="BM57" s="27"/>
      <c r="BN57" s="27"/>
      <c r="BO57" s="27"/>
      <c r="BP57" s="1036"/>
      <c r="BQ57" s="27"/>
      <c r="BR57" s="27"/>
      <c r="BS57" s="1022"/>
      <c r="BT57" s="27"/>
      <c r="BU57" s="27"/>
      <c r="BV57" s="27"/>
      <c r="BW57" s="1036"/>
      <c r="BX57" s="27"/>
      <c r="BY57" s="27"/>
      <c r="BZ57" s="1022"/>
      <c r="CA57" s="27"/>
      <c r="CB57" s="27"/>
      <c r="CC57" s="27"/>
      <c r="CD57" s="1036"/>
      <c r="CE57" s="27"/>
      <c r="CF57" s="27"/>
      <c r="CG57" s="1022"/>
      <c r="CH57" s="27"/>
      <c r="CI57" s="27"/>
      <c r="CJ57" s="27"/>
      <c r="CK57" s="1036"/>
      <c r="CL57" s="27"/>
      <c r="CM57" s="27"/>
      <c r="CN57" s="1022"/>
      <c r="CO57" s="27"/>
      <c r="CP57" s="27"/>
      <c r="CQ57" s="27"/>
      <c r="CR57" s="1036"/>
      <c r="CS57" s="27"/>
      <c r="CT57" s="27"/>
      <c r="CU57" s="1022"/>
      <c r="CV57" s="27"/>
      <c r="CW57" s="27"/>
      <c r="CX57" s="27"/>
      <c r="CY57" s="1036"/>
      <c r="CZ57" s="27"/>
      <c r="DA57" s="27"/>
      <c r="DB57" s="1022"/>
      <c r="DC57" s="27"/>
      <c r="DD57" s="27"/>
      <c r="DE57" s="27"/>
      <c r="DF57" s="1036"/>
      <c r="DG57" s="27"/>
      <c r="DH57" s="27"/>
      <c r="DI57" s="1022"/>
      <c r="DJ57" s="27"/>
      <c r="DK57" s="27"/>
      <c r="DL57" s="27"/>
      <c r="DM57" s="1036"/>
      <c r="DN57" s="27"/>
      <c r="DO57" s="27"/>
      <c r="DP57" s="1022"/>
      <c r="DQ57" s="27"/>
      <c r="DR57" s="27"/>
      <c r="DS57" s="27"/>
      <c r="DT57" s="1036"/>
      <c r="DU57" s="27"/>
      <c r="DV57" s="27"/>
      <c r="DW57" s="1022"/>
      <c r="DX57" s="218"/>
      <c r="DY57" s="40"/>
      <c r="DZ57" s="40"/>
      <c r="EA57" s="218"/>
      <c r="EB57" s="29"/>
      <c r="EC57" s="29"/>
      <c r="ED57" s="27"/>
      <c r="EE57" s="31"/>
      <c r="EF57" s="31"/>
      <c r="EG57" s="31"/>
      <c r="EH57" s="31"/>
      <c r="EI57" s="218"/>
      <c r="EJ57" s="218"/>
      <c r="EK57" s="218"/>
      <c r="EL57" s="218"/>
      <c r="EM57" s="218"/>
      <c r="EN57" s="218"/>
      <c r="EO57" s="218"/>
      <c r="EP57" s="218"/>
      <c r="EQ57" s="218"/>
      <c r="ER57" s="218"/>
      <c r="ES57" s="218"/>
      <c r="ET57" s="218"/>
      <c r="EU57" s="218"/>
      <c r="EV57" s="218"/>
      <c r="EW57" s="218"/>
      <c r="EX57" s="218"/>
      <c r="EY57" s="218"/>
      <c r="EZ57" s="218"/>
      <c r="FA57" s="218"/>
      <c r="FB57" s="218"/>
      <c r="FC57" s="218"/>
      <c r="FD57" s="218"/>
      <c r="FE57" s="218"/>
      <c r="FF57" s="218"/>
      <c r="FG57" s="218"/>
      <c r="FH57" s="218"/>
      <c r="FI57" s="218"/>
      <c r="FJ57" s="218"/>
      <c r="FK57" s="218"/>
      <c r="FL57" s="218"/>
      <c r="FM57" s="218"/>
      <c r="FN57" s="218"/>
      <c r="FO57" s="218"/>
      <c r="FP57" s="218"/>
      <c r="FQ57" s="218"/>
    </row>
    <row r="58" spans="1:173" ht="10.5" customHeight="1">
      <c r="A58" s="273" t="s">
        <v>776</v>
      </c>
      <c r="B58" s="260"/>
      <c r="C58" s="260"/>
      <c r="D58" s="260"/>
      <c r="E58" s="1038"/>
      <c r="F58" s="260"/>
      <c r="G58" s="260"/>
      <c r="H58" s="309">
        <f t="shared" ref="H58:BL58" si="695">H64-H61</f>
        <v>648.57999999999993</v>
      </c>
      <c r="I58" s="260"/>
      <c r="J58" s="260"/>
      <c r="K58" s="260"/>
      <c r="L58" s="1038"/>
      <c r="M58" s="260"/>
      <c r="N58" s="260"/>
      <c r="O58" s="309">
        <f t="shared" si="695"/>
        <v>596.98</v>
      </c>
      <c r="P58" s="260"/>
      <c r="Q58" s="260"/>
      <c r="R58" s="260"/>
      <c r="S58" s="1038"/>
      <c r="T58" s="260"/>
      <c r="U58" s="260"/>
      <c r="V58" s="309">
        <f t="shared" si="695"/>
        <v>753.92800000000011</v>
      </c>
      <c r="W58" s="260"/>
      <c r="X58" s="260"/>
      <c r="Y58" s="260"/>
      <c r="Z58" s="1038"/>
      <c r="AA58" s="260"/>
      <c r="AB58" s="260"/>
      <c r="AC58" s="309">
        <f t="shared" si="695"/>
        <v>671.27340000000004</v>
      </c>
      <c r="AD58" s="260"/>
      <c r="AE58" s="260"/>
      <c r="AF58" s="260"/>
      <c r="AG58" s="1038"/>
      <c r="AH58" s="260"/>
      <c r="AI58" s="260"/>
      <c r="AJ58" s="309">
        <f t="shared" si="695"/>
        <v>580.29200000000014</v>
      </c>
      <c r="AK58" s="260"/>
      <c r="AL58" s="260"/>
      <c r="AM58" s="260"/>
      <c r="AN58" s="1038"/>
      <c r="AO58" s="260"/>
      <c r="AP58" s="260"/>
      <c r="AQ58" s="309">
        <f t="shared" si="695"/>
        <v>636.29899999999998</v>
      </c>
      <c r="AR58" s="260"/>
      <c r="AS58" s="260"/>
      <c r="AT58" s="260"/>
      <c r="AU58" s="1038"/>
      <c r="AV58" s="260"/>
      <c r="AW58" s="260"/>
      <c r="AX58" s="309">
        <f t="shared" si="695"/>
        <v>320.6832</v>
      </c>
      <c r="AY58" s="260"/>
      <c r="AZ58" s="260"/>
      <c r="BA58" s="260"/>
      <c r="BB58" s="1038"/>
      <c r="BC58" s="260"/>
      <c r="BD58" s="260"/>
      <c r="BE58" s="309">
        <f t="shared" si="695"/>
        <v>392.58239999999995</v>
      </c>
      <c r="BF58" s="260"/>
      <c r="BG58" s="260"/>
      <c r="BH58" s="260"/>
      <c r="BI58" s="1038"/>
      <c r="BJ58" s="260"/>
      <c r="BK58" s="260"/>
      <c r="BL58" s="309">
        <f t="shared" si="695"/>
        <v>410.79199999999992</v>
      </c>
      <c r="BM58" s="260"/>
      <c r="BN58" s="260"/>
      <c r="BO58" s="260"/>
      <c r="BP58" s="1038"/>
      <c r="BQ58" s="260"/>
      <c r="BR58" s="260"/>
      <c r="BS58" s="309">
        <f>BS64-BS61</f>
        <v>86.762400000000071</v>
      </c>
      <c r="BT58" s="260">
        <f>BT64-BT61</f>
        <v>-1.9334999999999951</v>
      </c>
      <c r="BU58" s="260">
        <f>BX58-BT58</f>
        <v>8.7425999999999959</v>
      </c>
      <c r="BV58" s="260">
        <f>BV64-BV61</f>
        <v>-141.49600000000001</v>
      </c>
      <c r="BW58" s="1038">
        <f>BY58-BV58</f>
        <v>129.18890000000007</v>
      </c>
      <c r="BX58" s="260">
        <f>BX64-BX61</f>
        <v>6.8091000000000008</v>
      </c>
      <c r="BY58" s="260">
        <f>BZ58-BX58</f>
        <v>-12.307099999999934</v>
      </c>
      <c r="BZ58" s="309">
        <f>BZ64-BZ61</f>
        <v>-5.4979999999999336</v>
      </c>
      <c r="CA58" s="260">
        <f>CA64-CA61</f>
        <v>-9</v>
      </c>
      <c r="CB58" s="260">
        <f>CE58-CA58</f>
        <v>-854.82899999999995</v>
      </c>
      <c r="CC58" s="260">
        <f>CC64-CC61</f>
        <v>87.747200000000007</v>
      </c>
      <c r="CD58" s="1038">
        <f>CF58-CC58</f>
        <v>-29.141799999999975</v>
      </c>
      <c r="CE58" s="260">
        <f>CE64-CE61</f>
        <v>-863.82899999999995</v>
      </c>
      <c r="CF58" s="260">
        <f>CG58-CE58</f>
        <v>58.605400000000031</v>
      </c>
      <c r="CG58" s="309">
        <f>CG64-CG61</f>
        <v>-805.22359999999992</v>
      </c>
      <c r="CH58" s="260">
        <f>CH64-CH61</f>
        <v>37.691199999999995</v>
      </c>
      <c r="CI58" s="260">
        <f>CL58-CH58</f>
        <v>112.21140000000001</v>
      </c>
      <c r="CJ58" s="260">
        <f>CJ64-CJ61</f>
        <v>92.514800000000008</v>
      </c>
      <c r="CK58" s="1038">
        <f>CM58-CJ58</f>
        <v>298.20659999999998</v>
      </c>
      <c r="CL58" s="260">
        <f>CL64-CL61</f>
        <v>149.90260000000001</v>
      </c>
      <c r="CM58" s="260">
        <f>CN58-CL58</f>
        <v>390.72140000000002</v>
      </c>
      <c r="CN58" s="309">
        <f>CN64-CN61</f>
        <v>540.62400000000002</v>
      </c>
      <c r="CO58" s="260">
        <f>CO64-CO61</f>
        <v>83.271999999999991</v>
      </c>
      <c r="CP58" s="260">
        <f>CS58-CO58</f>
        <v>266.67079999999999</v>
      </c>
      <c r="CQ58" s="792">
        <f>CQ31*CQ59</f>
        <v>133.42428000000001</v>
      </c>
      <c r="CR58" s="1064">
        <f>CT58-CQ58</f>
        <v>218.51872000000026</v>
      </c>
      <c r="CS58" s="260">
        <f>CS64-CS61</f>
        <v>349.94279999999998</v>
      </c>
      <c r="CT58" s="792">
        <f>CU58-CS58</f>
        <v>351.94300000000027</v>
      </c>
      <c r="CU58" s="1736">
        <f>CU31*CU59</f>
        <v>701.88580000000024</v>
      </c>
      <c r="CV58" s="792">
        <f>CV31*CV59</f>
        <v>152.9811</v>
      </c>
      <c r="CW58" s="792">
        <f>CZ58-CV58</f>
        <v>198.38587499999997</v>
      </c>
      <c r="CX58" s="792">
        <f>CX31*CX59</f>
        <v>179.28887625000002</v>
      </c>
      <c r="CY58" s="1064">
        <f>DA58-CX58</f>
        <v>277.76618625000026</v>
      </c>
      <c r="CZ58" s="792">
        <f>CZ31*CZ59</f>
        <v>351.36697499999997</v>
      </c>
      <c r="DA58" s="792">
        <f>DB58-CZ58</f>
        <v>457.05506250000025</v>
      </c>
      <c r="DB58" s="1023">
        <f>DB31*DB59</f>
        <v>808.42203750000022</v>
      </c>
      <c r="DC58" s="792">
        <f>DC31*DC59</f>
        <v>171.338832</v>
      </c>
      <c r="DD58" s="792">
        <f>DG58-DC58</f>
        <v>222.19218000000004</v>
      </c>
      <c r="DE58" s="792">
        <f>DE31*DE59</f>
        <v>200.80354140000003</v>
      </c>
      <c r="DF58" s="1064">
        <f>DH58-DE58</f>
        <v>311.09812860000028</v>
      </c>
      <c r="DG58" s="792">
        <f>DG31*DG59</f>
        <v>393.53101200000003</v>
      </c>
      <c r="DH58" s="792">
        <f>DI58-DG58</f>
        <v>511.90167000000031</v>
      </c>
      <c r="DI58" s="1023">
        <f>DI31*DI59</f>
        <v>905.43268200000034</v>
      </c>
      <c r="DJ58" s="792">
        <f>DJ31*DJ59</f>
        <v>179.9057736</v>
      </c>
      <c r="DK58" s="792">
        <f>DN58-DJ58</f>
        <v>233.30178900000007</v>
      </c>
      <c r="DL58" s="792">
        <f>DL31*DL59</f>
        <v>210.84371847000006</v>
      </c>
      <c r="DM58" s="1064">
        <f>DO58-DL58</f>
        <v>326.65303503000035</v>
      </c>
      <c r="DN58" s="792">
        <f>DN31*DN59</f>
        <v>413.20756260000007</v>
      </c>
      <c r="DO58" s="792">
        <f>DP58-DN58</f>
        <v>537.49675350000041</v>
      </c>
      <c r="DP58" s="1023">
        <f>DP31*DP59</f>
        <v>950.70431610000048</v>
      </c>
      <c r="DQ58" s="792">
        <f>DQ31*DQ59</f>
        <v>188.90106228000002</v>
      </c>
      <c r="DR58" s="792">
        <f>DU58-DQ58</f>
        <v>244.96687845000008</v>
      </c>
      <c r="DS58" s="792">
        <f>DS31*DS59</f>
        <v>221.38590439350006</v>
      </c>
      <c r="DT58" s="1064">
        <f>DV58-DS58</f>
        <v>342.98568678150036</v>
      </c>
      <c r="DU58" s="792">
        <f>DU31*DU59</f>
        <v>433.8679407300001</v>
      </c>
      <c r="DV58" s="792">
        <f>DW58-DU58</f>
        <v>564.37159117500039</v>
      </c>
      <c r="DW58" s="1023">
        <f>DW31*DW59</f>
        <v>998.23953190500049</v>
      </c>
      <c r="DX58" s="273"/>
      <c r="DY58" s="793"/>
      <c r="DZ58" s="793"/>
      <c r="EA58" s="273"/>
      <c r="EB58" s="37"/>
      <c r="EC58" s="37"/>
      <c r="ED58" s="260"/>
      <c r="EE58" s="33"/>
      <c r="EF58" s="33"/>
      <c r="EG58" s="33"/>
      <c r="EH58" s="33"/>
      <c r="EI58" s="273"/>
      <c r="EJ58" s="273"/>
      <c r="EK58" s="273"/>
      <c r="EL58" s="273"/>
      <c r="EM58" s="273"/>
      <c r="EN58" s="273"/>
      <c r="EO58" s="273"/>
      <c r="EP58" s="273"/>
      <c r="EQ58" s="273"/>
      <c r="ER58" s="273"/>
      <c r="ES58" s="273"/>
      <c r="ET58" s="273"/>
      <c r="EU58" s="273"/>
      <c r="EV58" s="273"/>
      <c r="EW58" s="273"/>
      <c r="EX58" s="273"/>
      <c r="EY58" s="273"/>
      <c r="EZ58" s="273"/>
      <c r="FA58" s="273"/>
      <c r="FB58" s="273"/>
      <c r="FC58" s="273"/>
      <c r="FD58" s="273"/>
      <c r="FE58" s="273"/>
      <c r="FF58" s="273"/>
      <c r="FG58" s="273"/>
      <c r="FH58" s="273"/>
      <c r="FI58" s="273"/>
      <c r="FJ58" s="273"/>
      <c r="FK58" s="273"/>
      <c r="FL58" s="273"/>
      <c r="FM58" s="273"/>
      <c r="FN58" s="273"/>
      <c r="FO58" s="273"/>
      <c r="FP58" s="273"/>
      <c r="FQ58" s="273"/>
    </row>
    <row r="59" spans="1:173" ht="10.5" customHeight="1">
      <c r="A59" s="795" t="s">
        <v>357</v>
      </c>
      <c r="B59" s="797"/>
      <c r="C59" s="797"/>
      <c r="D59" s="797"/>
      <c r="E59" s="1350"/>
      <c r="F59" s="797"/>
      <c r="G59" s="797"/>
      <c r="H59" s="1349">
        <f t="shared" ref="H59:BL59" si="696">H58/H31</f>
        <v>6.5907578182557214E-2</v>
      </c>
      <c r="I59" s="797"/>
      <c r="J59" s="797"/>
      <c r="K59" s="797"/>
      <c r="L59" s="1350"/>
      <c r="M59" s="797"/>
      <c r="N59" s="797"/>
      <c r="O59" s="1349">
        <f t="shared" si="696"/>
        <v>6.642521349689838E-2</v>
      </c>
      <c r="P59" s="797"/>
      <c r="Q59" s="797"/>
      <c r="R59" s="797"/>
      <c r="S59" s="1350"/>
      <c r="T59" s="797"/>
      <c r="U59" s="797"/>
      <c r="V59" s="1349">
        <f t="shared" si="696"/>
        <v>7.7891561286056704E-2</v>
      </c>
      <c r="W59" s="797"/>
      <c r="X59" s="797"/>
      <c r="Y59" s="797"/>
      <c r="Z59" s="1350"/>
      <c r="AA59" s="797"/>
      <c r="AB59" s="797"/>
      <c r="AC59" s="1349">
        <f t="shared" si="696"/>
        <v>8.2070187278555751E-2</v>
      </c>
      <c r="AD59" s="797"/>
      <c r="AE59" s="797"/>
      <c r="AF59" s="797"/>
      <c r="AG59" s="1350"/>
      <c r="AH59" s="797"/>
      <c r="AI59" s="797"/>
      <c r="AJ59" s="1349">
        <f t="shared" si="696"/>
        <v>7.6729782620193587E-2</v>
      </c>
      <c r="AK59" s="797"/>
      <c r="AL59" s="797"/>
      <c r="AM59" s="797"/>
      <c r="AN59" s="1350"/>
      <c r="AO59" s="797"/>
      <c r="AP59" s="797"/>
      <c r="AQ59" s="1349">
        <f t="shared" si="696"/>
        <v>8.2165648687387807E-2</v>
      </c>
      <c r="AR59" s="797"/>
      <c r="AS59" s="797"/>
      <c r="AT59" s="797"/>
      <c r="AU59" s="1350"/>
      <c r="AV59" s="797"/>
      <c r="AW59" s="797"/>
      <c r="AX59" s="1349">
        <f t="shared" si="696"/>
        <v>4.3237640155539617E-2</v>
      </c>
      <c r="AY59" s="797"/>
      <c r="AZ59" s="797"/>
      <c r="BA59" s="797"/>
      <c r="BB59" s="1350"/>
      <c r="BC59" s="797"/>
      <c r="BD59" s="797"/>
      <c r="BE59" s="1349">
        <f t="shared" si="696"/>
        <v>5.5267763624691685E-2</v>
      </c>
      <c r="BF59" s="797"/>
      <c r="BG59" s="797"/>
      <c r="BH59" s="797"/>
      <c r="BI59" s="1350"/>
      <c r="BJ59" s="797"/>
      <c r="BK59" s="797"/>
      <c r="BL59" s="1349">
        <f t="shared" si="696"/>
        <v>6.2044737120331074E-2</v>
      </c>
      <c r="BM59" s="797"/>
      <c r="BN59" s="797"/>
      <c r="BO59" s="797"/>
      <c r="BP59" s="1350"/>
      <c r="BQ59" s="797"/>
      <c r="BR59" s="797"/>
      <c r="BS59" s="1349">
        <f t="shared" ref="BS59:BY59" si="697">BS58/BS31</f>
        <v>1.1501564917220462E-2</v>
      </c>
      <c r="BT59" s="797">
        <f t="shared" si="697"/>
        <v>-1.255250498269848E-3</v>
      </c>
      <c r="BU59" s="797">
        <f t="shared" si="697"/>
        <v>6.0814279453808087E-3</v>
      </c>
      <c r="BV59" s="797">
        <f t="shared" si="697"/>
        <v>-8.9148185483870976E-2</v>
      </c>
      <c r="BW59" s="1350">
        <f t="shared" si="697"/>
        <v>4.2755412731087725E-2</v>
      </c>
      <c r="BX59" s="797">
        <f t="shared" si="697"/>
        <v>2.2865288523533206E-3</v>
      </c>
      <c r="BY59" s="797">
        <f t="shared" si="697"/>
        <v>-2.6703596179466003E-3</v>
      </c>
      <c r="BZ59" s="1349">
        <f t="shared" ref="BZ59:CB59" si="698">BZ58/BZ31</f>
        <v>-7.2468925883453056E-4</v>
      </c>
      <c r="CA59" s="797">
        <f t="shared" si="698"/>
        <v>-5.9548621449413445E-3</v>
      </c>
      <c r="CB59" s="797">
        <f t="shared" si="698"/>
        <v>-0.54126053453046552</v>
      </c>
      <c r="CC59" s="797">
        <f t="shared" ref="CC59:CF59" si="699">CC58/CC31</f>
        <v>5.3079752226093686E-2</v>
      </c>
      <c r="CD59" s="1350">
        <f t="shared" si="699"/>
        <v>-8.6961374107760898E-3</v>
      </c>
      <c r="CE59" s="797">
        <f t="shared" si="699"/>
        <v>-0.27949299511437536</v>
      </c>
      <c r="CF59" s="797">
        <f t="shared" si="699"/>
        <v>1.1711148945694055E-2</v>
      </c>
      <c r="CG59" s="1349">
        <f t="shared" ref="CG59:CK59" si="700">CG58/CG31</f>
        <v>-9.9472460574136418E-2</v>
      </c>
      <c r="CH59" s="797">
        <f t="shared" si="700"/>
        <v>2.2525339453050294E-2</v>
      </c>
      <c r="CI59" s="797">
        <f t="shared" si="700"/>
        <v>5.0513137933673354E-2</v>
      </c>
      <c r="CJ59" s="797">
        <f t="shared" si="700"/>
        <v>4.5763610641181653E-2</v>
      </c>
      <c r="CK59" s="1350">
        <f t="shared" si="700"/>
        <v>9.3215488057615981E-2</v>
      </c>
      <c r="CL59" s="797">
        <f t="shared" ref="CL59:CM59" si="701">CL58/CL31</f>
        <v>3.8488770665851886E-2</v>
      </c>
      <c r="CM59" s="797">
        <f t="shared" si="701"/>
        <v>7.4840950142605653E-2</v>
      </c>
      <c r="CN59" s="1349">
        <f t="shared" ref="CN59:CP59" si="702">CN58/CN31</f>
        <v>5.9308861925971429E-2</v>
      </c>
      <c r="CO59" s="797">
        <f t="shared" si="702"/>
        <v>4.3886499704865495E-2</v>
      </c>
      <c r="CP59" s="797">
        <f t="shared" si="702"/>
        <v>0.10837633097618467</v>
      </c>
      <c r="CQ59" s="1973">
        <v>0.06</v>
      </c>
      <c r="CR59" s="1065">
        <f>CR58/CR31</f>
        <v>6.3427705286427785E-2</v>
      </c>
      <c r="CS59" s="797">
        <f t="shared" ref="CS59" si="703">CS58/CS31</f>
        <v>8.0298207451055981E-2</v>
      </c>
      <c r="CT59" s="802">
        <f>CT58/CT31</f>
        <v>6.2083120182045919E-2</v>
      </c>
      <c r="CU59" s="2068">
        <v>7.0000000000000007E-2</v>
      </c>
      <c r="CV59" s="802">
        <f>DB59</f>
        <v>7.4999999999999997E-2</v>
      </c>
      <c r="CW59" s="802">
        <f>CW58/CW31</f>
        <v>7.4999999999999983E-2</v>
      </c>
      <c r="CX59" s="802">
        <f>DB59</f>
        <v>7.4999999999999997E-2</v>
      </c>
      <c r="CY59" s="1065">
        <f>CY58/CY31</f>
        <v>7.5000000000000025E-2</v>
      </c>
      <c r="CZ59" s="802">
        <f>DB59</f>
        <v>7.4999999999999997E-2</v>
      </c>
      <c r="DA59" s="802">
        <f>DA58/DA31</f>
        <v>7.5000000000000011E-2</v>
      </c>
      <c r="DB59" s="1026">
        <v>7.4999999999999997E-2</v>
      </c>
      <c r="DC59" s="802">
        <f>DI59</f>
        <v>0.08</v>
      </c>
      <c r="DD59" s="802">
        <f>DD58/DD31</f>
        <v>0.08</v>
      </c>
      <c r="DE59" s="802">
        <f>DI59</f>
        <v>0.08</v>
      </c>
      <c r="DF59" s="1065">
        <f>DF58/DF31</f>
        <v>0.08</v>
      </c>
      <c r="DG59" s="802">
        <f>DI59</f>
        <v>0.08</v>
      </c>
      <c r="DH59" s="802">
        <f>DH58/DH31</f>
        <v>0.08</v>
      </c>
      <c r="DI59" s="1026">
        <v>0.08</v>
      </c>
      <c r="DJ59" s="802">
        <f>DP59</f>
        <v>0.08</v>
      </c>
      <c r="DK59" s="802">
        <f>DK58/DK31</f>
        <v>7.9999999999999988E-2</v>
      </c>
      <c r="DL59" s="802">
        <f>DP59</f>
        <v>0.08</v>
      </c>
      <c r="DM59" s="1065">
        <f>DM58/DM31</f>
        <v>8.0000000000000016E-2</v>
      </c>
      <c r="DN59" s="802">
        <f>DP59</f>
        <v>0.08</v>
      </c>
      <c r="DO59" s="802">
        <f>DO58/DO31</f>
        <v>8.0000000000000016E-2</v>
      </c>
      <c r="DP59" s="1026">
        <v>0.08</v>
      </c>
      <c r="DQ59" s="802">
        <f>DW59</f>
        <v>0.08</v>
      </c>
      <c r="DR59" s="802">
        <f>DR58/DR31</f>
        <v>7.9999999999999988E-2</v>
      </c>
      <c r="DS59" s="802">
        <f>DW59</f>
        <v>0.08</v>
      </c>
      <c r="DT59" s="1065">
        <f>DT58/DT31</f>
        <v>8.0000000000000029E-2</v>
      </c>
      <c r="DU59" s="802">
        <f>DW59</f>
        <v>0.08</v>
      </c>
      <c r="DV59" s="802">
        <f>DV58/DV31</f>
        <v>0.08</v>
      </c>
      <c r="DW59" s="1026">
        <v>0.08</v>
      </c>
      <c r="DX59" s="795"/>
      <c r="DY59" s="40"/>
      <c r="DZ59" s="40"/>
      <c r="EA59" s="795"/>
      <c r="EB59" s="796"/>
      <c r="EC59" s="796"/>
      <c r="ED59" s="797"/>
      <c r="EE59" s="263"/>
      <c r="EF59" s="263"/>
      <c r="EG59" s="263"/>
      <c r="EH59" s="263"/>
      <c r="EI59" s="795"/>
      <c r="EJ59" s="795"/>
      <c r="EK59" s="795"/>
      <c r="EL59" s="795"/>
      <c r="EM59" s="795"/>
      <c r="EN59" s="795"/>
      <c r="EO59" s="795"/>
      <c r="EP59" s="795"/>
      <c r="EQ59" s="795"/>
      <c r="ER59" s="795"/>
      <c r="ES59" s="795"/>
      <c r="ET59" s="795"/>
      <c r="EU59" s="795"/>
      <c r="EV59" s="795"/>
      <c r="EW59" s="795"/>
      <c r="EX59" s="795"/>
      <c r="EY59" s="795"/>
      <c r="EZ59" s="795"/>
      <c r="FA59" s="795"/>
      <c r="FB59" s="795"/>
      <c r="FC59" s="795"/>
      <c r="FD59" s="795"/>
      <c r="FE59" s="795"/>
      <c r="FF59" s="795"/>
      <c r="FG59" s="795"/>
      <c r="FH59" s="795"/>
      <c r="FI59" s="795"/>
      <c r="FJ59" s="795"/>
      <c r="FK59" s="795"/>
      <c r="FL59" s="795"/>
      <c r="FM59" s="795"/>
      <c r="FN59" s="795"/>
      <c r="FO59" s="795"/>
      <c r="FP59" s="795"/>
      <c r="FQ59" s="795"/>
    </row>
    <row r="60" spans="1:173" ht="10.5" customHeight="1">
      <c r="A60" s="218"/>
      <c r="B60" s="218"/>
      <c r="C60" s="27"/>
      <c r="D60" s="218"/>
      <c r="E60" s="1036"/>
      <c r="F60" s="218"/>
      <c r="G60" s="1053"/>
      <c r="H60" s="1022"/>
      <c r="I60" s="218"/>
      <c r="J60" s="27"/>
      <c r="K60" s="218"/>
      <c r="L60" s="1036"/>
      <c r="M60" s="218"/>
      <c r="N60" s="1053"/>
      <c r="O60" s="1022"/>
      <c r="P60" s="218"/>
      <c r="Q60" s="27"/>
      <c r="R60" s="218"/>
      <c r="S60" s="1036"/>
      <c r="T60" s="218"/>
      <c r="U60" s="1053"/>
      <c r="V60" s="1022"/>
      <c r="W60" s="218"/>
      <c r="X60" s="27"/>
      <c r="Y60" s="218"/>
      <c r="Z60" s="1036"/>
      <c r="AA60" s="218"/>
      <c r="AB60" s="1053"/>
      <c r="AC60" s="1022"/>
      <c r="AD60" s="218"/>
      <c r="AE60" s="27"/>
      <c r="AF60" s="218"/>
      <c r="AG60" s="1036"/>
      <c r="AH60" s="218"/>
      <c r="AI60" s="1053"/>
      <c r="AJ60" s="1022"/>
      <c r="AK60" s="218"/>
      <c r="AL60" s="27"/>
      <c r="AM60" s="218"/>
      <c r="AN60" s="1036"/>
      <c r="AO60" s="218"/>
      <c r="AP60" s="1053"/>
      <c r="AQ60" s="1022"/>
      <c r="AR60" s="218"/>
      <c r="AS60" s="27"/>
      <c r="AT60" s="218"/>
      <c r="AU60" s="1036"/>
      <c r="AV60" s="218"/>
      <c r="AW60" s="1053"/>
      <c r="AX60" s="1022"/>
      <c r="AY60" s="218"/>
      <c r="AZ60" s="27"/>
      <c r="BA60" s="218"/>
      <c r="BB60" s="1036"/>
      <c r="BC60" s="218"/>
      <c r="BD60" s="1053"/>
      <c r="BE60" s="1022"/>
      <c r="BF60" s="218"/>
      <c r="BG60" s="27"/>
      <c r="BH60" s="218"/>
      <c r="BI60" s="1036"/>
      <c r="BJ60" s="218"/>
      <c r="BK60" s="1053"/>
      <c r="BL60" s="1022"/>
      <c r="BM60" s="218"/>
      <c r="BN60" s="27"/>
      <c r="BO60" s="218"/>
      <c r="BP60" s="1036"/>
      <c r="BQ60" s="218"/>
      <c r="BR60" s="1053"/>
      <c r="BS60" s="1022"/>
      <c r="BT60" s="218"/>
      <c r="BU60" s="27"/>
      <c r="BV60" s="218"/>
      <c r="BW60" s="1036"/>
      <c r="BX60" s="218"/>
      <c r="BY60" s="1053"/>
      <c r="BZ60" s="1022"/>
      <c r="CA60" s="218"/>
      <c r="CB60" s="27"/>
      <c r="CC60" s="218"/>
      <c r="CD60" s="1036"/>
      <c r="CE60" s="218"/>
      <c r="CF60" s="1053"/>
      <c r="CG60" s="1022"/>
      <c r="CH60" s="218"/>
      <c r="CI60" s="27"/>
      <c r="CJ60" s="218"/>
      <c r="CK60" s="1036"/>
      <c r="CL60" s="218"/>
      <c r="CM60" s="1053"/>
      <c r="CN60" s="1022"/>
      <c r="CO60" s="218"/>
      <c r="CP60" s="27"/>
      <c r="CQ60" s="218"/>
      <c r="CR60" s="1066"/>
      <c r="CS60" s="218"/>
      <c r="CT60" s="1053"/>
      <c r="CU60" s="1403"/>
      <c r="CV60" s="218"/>
      <c r="CW60" s="1053"/>
      <c r="CX60" s="218"/>
      <c r="CY60" s="1066"/>
      <c r="CZ60" s="218"/>
      <c r="DA60" s="1053"/>
      <c r="DB60" s="1022"/>
      <c r="DC60" s="218"/>
      <c r="DD60" s="1053"/>
      <c r="DE60" s="218"/>
      <c r="DF60" s="1066"/>
      <c r="DG60" s="218"/>
      <c r="DH60" s="1053"/>
      <c r="DI60" s="1022"/>
      <c r="DJ60" s="218"/>
      <c r="DK60" s="1053"/>
      <c r="DL60" s="218"/>
      <c r="DM60" s="1066"/>
      <c r="DN60" s="218"/>
      <c r="DO60" s="1053"/>
      <c r="DP60" s="1022"/>
      <c r="DQ60" s="218"/>
      <c r="DR60" s="1053"/>
      <c r="DS60" s="218"/>
      <c r="DT60" s="1066"/>
      <c r="DU60" s="218"/>
      <c r="DV60" s="1053"/>
      <c r="DW60" s="1022"/>
      <c r="DX60" s="218"/>
      <c r="DY60" s="40"/>
      <c r="DZ60" s="40"/>
      <c r="EA60" s="218"/>
      <c r="EB60" s="29"/>
      <c r="EC60" s="29"/>
      <c r="ED60" s="27"/>
      <c r="EE60" s="31"/>
      <c r="EF60" s="31"/>
      <c r="EG60" s="31"/>
      <c r="EH60" s="31"/>
      <c r="EI60" s="218"/>
      <c r="EJ60" s="218"/>
      <c r="EK60" s="218"/>
      <c r="EL60" s="218"/>
      <c r="EM60" s="218"/>
      <c r="EN60" s="218"/>
      <c r="EO60" s="218"/>
      <c r="EP60" s="218"/>
      <c r="EQ60" s="218"/>
      <c r="ER60" s="218"/>
      <c r="ES60" s="218"/>
      <c r="ET60" s="218"/>
      <c r="EU60" s="218"/>
      <c r="EV60" s="218"/>
      <c r="EW60" s="218"/>
      <c r="EX60" s="218"/>
      <c r="EY60" s="218"/>
      <c r="EZ60" s="218"/>
      <c r="FA60" s="218"/>
      <c r="FB60" s="218"/>
      <c r="FC60" s="218"/>
      <c r="FD60" s="218"/>
      <c r="FE60" s="218"/>
      <c r="FF60" s="218"/>
      <c r="FG60" s="218"/>
      <c r="FH60" s="218"/>
      <c r="FI60" s="218"/>
      <c r="FJ60" s="218"/>
      <c r="FK60" s="218"/>
      <c r="FL60" s="218"/>
      <c r="FM60" s="218"/>
      <c r="FN60" s="218"/>
      <c r="FO60" s="218"/>
      <c r="FP60" s="218"/>
      <c r="FQ60" s="218"/>
    </row>
    <row r="61" spans="1:173" ht="10.5" customHeight="1">
      <c r="A61" s="273" t="s">
        <v>777</v>
      </c>
      <c r="B61" s="260"/>
      <c r="C61" s="260"/>
      <c r="D61" s="260"/>
      <c r="E61" s="1038"/>
      <c r="F61" s="260"/>
      <c r="G61" s="260"/>
      <c r="H61" s="309">
        <f t="shared" ref="H61:BL61" si="704">H62*H34</f>
        <v>262.42</v>
      </c>
      <c r="I61" s="260"/>
      <c r="J61" s="260"/>
      <c r="K61" s="260"/>
      <c r="L61" s="1038"/>
      <c r="M61" s="260"/>
      <c r="N61" s="260"/>
      <c r="O61" s="309">
        <f t="shared" si="704"/>
        <v>323.02</v>
      </c>
      <c r="P61" s="260"/>
      <c r="Q61" s="260"/>
      <c r="R61" s="260"/>
      <c r="S61" s="1038"/>
      <c r="T61" s="260"/>
      <c r="U61" s="260"/>
      <c r="V61" s="309">
        <f t="shared" si="704"/>
        <v>306.07199999999995</v>
      </c>
      <c r="W61" s="260"/>
      <c r="X61" s="260"/>
      <c r="Y61" s="260"/>
      <c r="Z61" s="1038"/>
      <c r="AA61" s="260"/>
      <c r="AB61" s="260"/>
      <c r="AC61" s="309">
        <f t="shared" si="704"/>
        <v>330.72659999999991</v>
      </c>
      <c r="AD61" s="260"/>
      <c r="AE61" s="260"/>
      <c r="AF61" s="260"/>
      <c r="AG61" s="1038"/>
      <c r="AH61" s="260"/>
      <c r="AI61" s="260"/>
      <c r="AJ61" s="309">
        <f t="shared" si="704"/>
        <v>291.70799999999991</v>
      </c>
      <c r="AK61" s="260"/>
      <c r="AL61" s="260"/>
      <c r="AM61" s="260"/>
      <c r="AN61" s="1038"/>
      <c r="AO61" s="260"/>
      <c r="AP61" s="260"/>
      <c r="AQ61" s="309">
        <f t="shared" si="704"/>
        <v>298.70099999999996</v>
      </c>
      <c r="AR61" s="260"/>
      <c r="AS61" s="260"/>
      <c r="AT61" s="260"/>
      <c r="AU61" s="1038"/>
      <c r="AV61" s="260"/>
      <c r="AW61" s="260"/>
      <c r="AX61" s="309">
        <f t="shared" si="704"/>
        <v>244.3168</v>
      </c>
      <c r="AY61" s="260"/>
      <c r="AZ61" s="260"/>
      <c r="BA61" s="260"/>
      <c r="BB61" s="1038"/>
      <c r="BC61" s="260"/>
      <c r="BD61" s="260"/>
      <c r="BE61" s="309">
        <f t="shared" si="704"/>
        <v>267.41760000000005</v>
      </c>
      <c r="BF61" s="260"/>
      <c r="BG61" s="260"/>
      <c r="BH61" s="260"/>
      <c r="BI61" s="1038"/>
      <c r="BJ61" s="260"/>
      <c r="BK61" s="260"/>
      <c r="BL61" s="309">
        <f t="shared" si="704"/>
        <v>285.20800000000008</v>
      </c>
      <c r="BM61" s="260"/>
      <c r="BN61" s="260"/>
      <c r="BO61" s="260"/>
      <c r="BP61" s="1038"/>
      <c r="BQ61" s="260"/>
      <c r="BR61" s="260"/>
      <c r="BS61" s="309">
        <f>BS62*BS34</f>
        <v>297.23759999999993</v>
      </c>
      <c r="BT61" s="260">
        <f>BT62*BT34</f>
        <v>37.933499999999995</v>
      </c>
      <c r="BU61" s="260">
        <f>BX61-BT61</f>
        <v>33.257400000000004</v>
      </c>
      <c r="BV61" s="260">
        <f>BV62*BV34</f>
        <v>62.496000000000002</v>
      </c>
      <c r="BW61" s="1038">
        <f>BY61-BV61</f>
        <v>100.81109999999993</v>
      </c>
      <c r="BX61" s="260">
        <f>BX62*BX34</f>
        <v>71.190899999999999</v>
      </c>
      <c r="BY61" s="260">
        <f>BZ61-BX61</f>
        <v>163.30709999999993</v>
      </c>
      <c r="BZ61" s="309">
        <f>BZ62*BZ34</f>
        <v>234.49799999999993</v>
      </c>
      <c r="CA61" s="260">
        <f>CA62*CA34</f>
        <v>0</v>
      </c>
      <c r="CB61" s="260">
        <f>CE61-CA61</f>
        <v>56.829000000000001</v>
      </c>
      <c r="CC61" s="260">
        <f>CC62*CC34</f>
        <v>58.252799999999993</v>
      </c>
      <c r="CD61" s="1038">
        <f>CF61-CC61</f>
        <v>124.14179999999995</v>
      </c>
      <c r="CE61" s="260">
        <f>CE62*CE34</f>
        <v>56.829000000000001</v>
      </c>
      <c r="CF61" s="260">
        <f>CG61-CE61</f>
        <v>182.39459999999994</v>
      </c>
      <c r="CG61" s="309">
        <f>CG62*CG34</f>
        <v>239.22359999999995</v>
      </c>
      <c r="CH61" s="260">
        <f>CH62*CH34</f>
        <v>39.308800000000005</v>
      </c>
      <c r="CI61" s="260">
        <f>CL61-CH61</f>
        <v>75.788599999999988</v>
      </c>
      <c r="CJ61" s="260">
        <f>CJ62*CJ34</f>
        <v>62.485199999999992</v>
      </c>
      <c r="CK61" s="1038">
        <f>CM61-CJ61</f>
        <v>79.793399999999934</v>
      </c>
      <c r="CL61" s="260">
        <f>CL62*CL34</f>
        <v>115.09739999999999</v>
      </c>
      <c r="CM61" s="260">
        <f>CN61-CL61</f>
        <v>142.27859999999993</v>
      </c>
      <c r="CN61" s="309">
        <f>CN62*CN34</f>
        <v>257.37599999999992</v>
      </c>
      <c r="CO61" s="260">
        <f>CO62*CO34</f>
        <v>46.728000000000002</v>
      </c>
      <c r="CP61" s="260">
        <f>CS61-CO61</f>
        <v>90.329200000000014</v>
      </c>
      <c r="CQ61" s="792">
        <f>CQ62*CQ34</f>
        <v>78.366854999999987</v>
      </c>
      <c r="CR61" s="1064">
        <f>CT61-CQ61</f>
        <v>99.861544999999978</v>
      </c>
      <c r="CS61" s="260">
        <f>CS62*CS34</f>
        <v>137.05720000000002</v>
      </c>
      <c r="CT61" s="792">
        <f>CU61-CS61</f>
        <v>178.22839999999997</v>
      </c>
      <c r="CU61" s="1736">
        <f>CU62*CU34</f>
        <v>315.28559999999999</v>
      </c>
      <c r="CV61" s="792">
        <f>CV62*CV34</f>
        <v>73.596599999999995</v>
      </c>
      <c r="CW61" s="792">
        <f>CZ61-CV61</f>
        <v>80.592750000000024</v>
      </c>
      <c r="CX61" s="792">
        <f>CX62*CX34</f>
        <v>88.162711874999985</v>
      </c>
      <c r="CY61" s="1064">
        <f>DA61-CX61</f>
        <v>112.34423812499989</v>
      </c>
      <c r="CZ61" s="792">
        <f>CZ62*CZ34</f>
        <v>154.18935000000002</v>
      </c>
      <c r="DA61" s="792">
        <f>DB61-CZ61</f>
        <v>200.50694999999988</v>
      </c>
      <c r="DB61" s="1023">
        <f>DB62*DB34</f>
        <v>354.69629999999989</v>
      </c>
      <c r="DC61" s="792">
        <f>DC62*DC34</f>
        <v>82.428191999999996</v>
      </c>
      <c r="DD61" s="792">
        <f>DG61-DC61</f>
        <v>90.263880000000029</v>
      </c>
      <c r="DE61" s="792">
        <f>DE62*DE34</f>
        <v>98.742237299999985</v>
      </c>
      <c r="DF61" s="1064">
        <f>DH61-DE61</f>
        <v>125.82554669999995</v>
      </c>
      <c r="DG61" s="792">
        <f>DG62*DG34</f>
        <v>172.69207200000002</v>
      </c>
      <c r="DH61" s="792">
        <f>DI61-DG61</f>
        <v>224.56778399999993</v>
      </c>
      <c r="DI61" s="1023">
        <f>DI62*DI34</f>
        <v>397.25985599999996</v>
      </c>
      <c r="DJ61" s="792">
        <f>DJ62*DJ34</f>
        <v>91.958951700000014</v>
      </c>
      <c r="DK61" s="792">
        <f>DN61-DJ61</f>
        <v>100.70064112500002</v>
      </c>
      <c r="DL61" s="792">
        <f>DL62*DL34</f>
        <v>110.1593084878125</v>
      </c>
      <c r="DM61" s="1064">
        <f>DO61-DL61</f>
        <v>140.37412553718744</v>
      </c>
      <c r="DN61" s="792">
        <f>DN62*DN34</f>
        <v>192.65959282500003</v>
      </c>
      <c r="DO61" s="792">
        <f>DP61-DN61</f>
        <v>250.53343402499993</v>
      </c>
      <c r="DP61" s="1023">
        <f>DP62*DP34</f>
        <v>443.19302684999997</v>
      </c>
      <c r="DQ61" s="792">
        <f>DQ62*DQ34</f>
        <v>102.23671689000001</v>
      </c>
      <c r="DR61" s="792">
        <f>DU61-DQ61</f>
        <v>111.95541866250004</v>
      </c>
      <c r="DS61" s="792">
        <f>DS62*DS34</f>
        <v>122.47123120115624</v>
      </c>
      <c r="DT61" s="1064">
        <f>DV61-DS61</f>
        <v>156.06299839134363</v>
      </c>
      <c r="DU61" s="792">
        <f>DU62*DU34</f>
        <v>214.19213555250005</v>
      </c>
      <c r="DV61" s="792">
        <f>DW61-DU61</f>
        <v>278.53422959249986</v>
      </c>
      <c r="DW61" s="1023">
        <f>DW62*DW34</f>
        <v>492.72636514499993</v>
      </c>
      <c r="DX61" s="273"/>
      <c r="DY61" s="793"/>
      <c r="DZ61" s="793"/>
      <c r="EA61" s="273"/>
      <c r="EB61" s="37"/>
      <c r="EC61" s="37"/>
      <c r="ED61" s="260"/>
      <c r="EE61" s="33"/>
      <c r="EF61" s="33"/>
      <c r="EG61" s="33"/>
      <c r="EH61" s="33"/>
      <c r="EI61" s="273"/>
      <c r="EJ61" s="273"/>
      <c r="EK61" s="273"/>
      <c r="EL61" s="273"/>
      <c r="EM61" s="273"/>
      <c r="EN61" s="273"/>
      <c r="EO61" s="273"/>
      <c r="EP61" s="273"/>
      <c r="EQ61" s="273"/>
      <c r="ER61" s="273"/>
      <c r="ES61" s="273"/>
      <c r="ET61" s="273"/>
      <c r="EU61" s="273"/>
      <c r="EV61" s="273"/>
      <c r="EW61" s="273"/>
      <c r="EX61" s="273"/>
      <c r="EY61" s="273"/>
      <c r="EZ61" s="273"/>
      <c r="FA61" s="273"/>
      <c r="FB61" s="273"/>
      <c r="FC61" s="273"/>
      <c r="FD61" s="273"/>
      <c r="FE61" s="273"/>
      <c r="FF61" s="273"/>
      <c r="FG61" s="273"/>
      <c r="FH61" s="273"/>
      <c r="FI61" s="273"/>
      <c r="FJ61" s="273"/>
      <c r="FK61" s="273"/>
      <c r="FL61" s="273"/>
      <c r="FM61" s="273"/>
      <c r="FN61" s="273"/>
      <c r="FO61" s="273"/>
      <c r="FP61" s="273"/>
      <c r="FQ61" s="273"/>
    </row>
    <row r="62" spans="1:173" ht="10.5" customHeight="1">
      <c r="A62" s="795" t="s">
        <v>354</v>
      </c>
      <c r="B62" s="797"/>
      <c r="C62" s="797"/>
      <c r="D62" s="797"/>
      <c r="E62" s="1350"/>
      <c r="F62" s="797"/>
      <c r="G62" s="797"/>
      <c r="H62" s="1349">
        <v>0.08</v>
      </c>
      <c r="I62" s="797"/>
      <c r="J62" s="797"/>
      <c r="K62" s="797"/>
      <c r="L62" s="1350"/>
      <c r="M62" s="797"/>
      <c r="N62" s="797"/>
      <c r="O62" s="1349">
        <v>0.08</v>
      </c>
      <c r="P62" s="797"/>
      <c r="Q62" s="797"/>
      <c r="R62" s="797"/>
      <c r="S62" s="1350"/>
      <c r="T62" s="797"/>
      <c r="U62" s="797"/>
      <c r="V62" s="1349">
        <v>0.09</v>
      </c>
      <c r="W62" s="797"/>
      <c r="X62" s="797"/>
      <c r="Y62" s="797"/>
      <c r="Z62" s="1350"/>
      <c r="AA62" s="797"/>
      <c r="AB62" s="797"/>
      <c r="AC62" s="1349">
        <v>0.09</v>
      </c>
      <c r="AD62" s="797"/>
      <c r="AE62" s="797"/>
      <c r="AF62" s="797"/>
      <c r="AG62" s="1350"/>
      <c r="AH62" s="797"/>
      <c r="AI62" s="797"/>
      <c r="AJ62" s="1349">
        <v>0.09</v>
      </c>
      <c r="AK62" s="797"/>
      <c r="AL62" s="797"/>
      <c r="AM62" s="797"/>
      <c r="AN62" s="1350"/>
      <c r="AO62" s="797"/>
      <c r="AP62" s="797"/>
      <c r="AQ62" s="1349">
        <v>0.09</v>
      </c>
      <c r="AR62" s="797"/>
      <c r="AS62" s="797"/>
      <c r="AT62" s="797"/>
      <c r="AU62" s="1350"/>
      <c r="AV62" s="797"/>
      <c r="AW62" s="797"/>
      <c r="AX62" s="1349">
        <v>7.0000000000000007E-2</v>
      </c>
      <c r="AY62" s="797"/>
      <c r="AZ62" s="797"/>
      <c r="BA62" s="797"/>
      <c r="BB62" s="1350"/>
      <c r="BC62" s="797"/>
      <c r="BD62" s="797"/>
      <c r="BE62" s="1349">
        <v>0.08</v>
      </c>
      <c r="BF62" s="797"/>
      <c r="BG62" s="797"/>
      <c r="BH62" s="797"/>
      <c r="BI62" s="1350"/>
      <c r="BJ62" s="797"/>
      <c r="BK62" s="797"/>
      <c r="BL62" s="1349">
        <v>0.08</v>
      </c>
      <c r="BM62" s="797"/>
      <c r="BN62" s="797"/>
      <c r="BO62" s="797"/>
      <c r="BP62" s="1350"/>
      <c r="BQ62" s="797"/>
      <c r="BR62" s="797"/>
      <c r="BS62" s="1349">
        <v>0.08</v>
      </c>
      <c r="BT62" s="797">
        <v>0.05</v>
      </c>
      <c r="BU62" s="797">
        <f>BU61/BU34</f>
        <v>3.6290961469211382E-2</v>
      </c>
      <c r="BV62" s="797">
        <v>7.0000000000000007E-2</v>
      </c>
      <c r="BW62" s="1350">
        <f>BW61/BW34</f>
        <v>7.5208591337043593E-2</v>
      </c>
      <c r="BX62" s="797">
        <v>4.2500000000000003E-2</v>
      </c>
      <c r="BY62" s="797">
        <f>BY61/BY34</f>
        <v>7.3126292976061463E-2</v>
      </c>
      <c r="BZ62" s="1349">
        <v>0.06</v>
      </c>
      <c r="CA62" s="797">
        <v>0</v>
      </c>
      <c r="CB62" s="797">
        <f>CB61/CB34</f>
        <v>5.6452462077940121E-2</v>
      </c>
      <c r="CC62" s="797">
        <v>0.06</v>
      </c>
      <c r="CD62" s="1350">
        <f>CD61/CD34</f>
        <v>0.11065515028345278</v>
      </c>
      <c r="CE62" s="797">
        <v>0.03</v>
      </c>
      <c r="CF62" s="797">
        <f>CF61/CF34</f>
        <v>8.7155048835031251E-2</v>
      </c>
      <c r="CG62" s="1349">
        <v>0.06</v>
      </c>
      <c r="CH62" s="797">
        <v>0.04</v>
      </c>
      <c r="CI62" s="797">
        <f>CI61/CI34</f>
        <v>8.1007941682610607E-2</v>
      </c>
      <c r="CJ62" s="797">
        <v>0.06</v>
      </c>
      <c r="CK62" s="1350">
        <f>CK61/CK34</f>
        <v>6.0000000000000005E-2</v>
      </c>
      <c r="CL62" s="1821">
        <v>0.06</v>
      </c>
      <c r="CM62" s="797">
        <f>CM61/CM34</f>
        <v>6.0000000000000005E-2</v>
      </c>
      <c r="CN62" s="1960">
        <v>0.06</v>
      </c>
      <c r="CO62" s="797">
        <v>0.05</v>
      </c>
      <c r="CP62" s="797">
        <f>CP61/CP34</f>
        <v>8.8263826460816888E-2</v>
      </c>
      <c r="CQ62" s="1973">
        <v>7.0000000000000007E-2</v>
      </c>
      <c r="CR62" s="1065">
        <f>CR61/CR34</f>
        <v>7.0000000000000021E-2</v>
      </c>
      <c r="CS62" s="797">
        <v>7.0000000000000007E-2</v>
      </c>
      <c r="CT62" s="802">
        <f>CT61/CT34</f>
        <v>7.0000000000000021E-2</v>
      </c>
      <c r="CU62" s="2068">
        <v>7.0000000000000007E-2</v>
      </c>
      <c r="CV62" s="802">
        <f>DB62</f>
        <v>7.4999999999999997E-2</v>
      </c>
      <c r="CW62" s="802">
        <f>CW61/CW34</f>
        <v>7.5000000000000011E-2</v>
      </c>
      <c r="CX62" s="802">
        <f>DB62</f>
        <v>7.4999999999999997E-2</v>
      </c>
      <c r="CY62" s="1065">
        <f>CY61/CY34</f>
        <v>7.4999999999999983E-2</v>
      </c>
      <c r="CZ62" s="802">
        <f>DB62</f>
        <v>7.4999999999999997E-2</v>
      </c>
      <c r="DA62" s="802">
        <f>DA61/DA34</f>
        <v>7.4999999999999997E-2</v>
      </c>
      <c r="DB62" s="1026">
        <v>7.4999999999999997E-2</v>
      </c>
      <c r="DC62" s="802">
        <f>DI62</f>
        <v>0.08</v>
      </c>
      <c r="DD62" s="802">
        <f>DD61/DD34</f>
        <v>8.0000000000000016E-2</v>
      </c>
      <c r="DE62" s="802">
        <f>DI62</f>
        <v>0.08</v>
      </c>
      <c r="DF62" s="1065">
        <f>DF61/DF34</f>
        <v>0.08</v>
      </c>
      <c r="DG62" s="802">
        <f>DI62</f>
        <v>0.08</v>
      </c>
      <c r="DH62" s="802">
        <f>DH61/DH34</f>
        <v>0.08</v>
      </c>
      <c r="DI62" s="1026">
        <v>0.08</v>
      </c>
      <c r="DJ62" s="802">
        <f>DP62</f>
        <v>8.5000000000000006E-2</v>
      </c>
      <c r="DK62" s="802">
        <f>DK61/DK34</f>
        <v>8.5000000000000006E-2</v>
      </c>
      <c r="DL62" s="802">
        <f>DP62</f>
        <v>8.5000000000000006E-2</v>
      </c>
      <c r="DM62" s="1065">
        <f>DM61/DM34</f>
        <v>8.500000000000002E-2</v>
      </c>
      <c r="DN62" s="802">
        <f>DP62</f>
        <v>8.5000000000000006E-2</v>
      </c>
      <c r="DO62" s="802">
        <f>DO61/DO34</f>
        <v>8.5000000000000006E-2</v>
      </c>
      <c r="DP62" s="1026">
        <v>8.5000000000000006E-2</v>
      </c>
      <c r="DQ62" s="802">
        <f>DW62</f>
        <v>0.09</v>
      </c>
      <c r="DR62" s="802">
        <f>DR61/DR34</f>
        <v>0.09</v>
      </c>
      <c r="DS62" s="802">
        <f>DW62</f>
        <v>0.09</v>
      </c>
      <c r="DT62" s="1065">
        <f>DT61/DT34</f>
        <v>8.9999999999999983E-2</v>
      </c>
      <c r="DU62" s="802">
        <f>DW62</f>
        <v>0.09</v>
      </c>
      <c r="DV62" s="802">
        <f>DV61/DV34</f>
        <v>8.9999999999999983E-2</v>
      </c>
      <c r="DW62" s="1026">
        <v>0.09</v>
      </c>
      <c r="DX62" s="795"/>
      <c r="DY62" s="40"/>
      <c r="DZ62" s="40"/>
      <c r="EA62" s="795"/>
      <c r="EB62" s="796"/>
      <c r="EC62" s="796"/>
      <c r="ED62" s="797"/>
      <c r="EE62" s="263"/>
      <c r="EF62" s="263"/>
      <c r="EG62" s="263"/>
      <c r="EH62" s="263"/>
      <c r="EI62" s="795"/>
      <c r="EJ62" s="795"/>
      <c r="EK62" s="795"/>
      <c r="EL62" s="795"/>
      <c r="EM62" s="795"/>
      <c r="EN62" s="795"/>
      <c r="EO62" s="795"/>
      <c r="EP62" s="795"/>
      <c r="EQ62" s="795"/>
      <c r="ER62" s="795"/>
      <c r="ES62" s="795"/>
      <c r="ET62" s="795"/>
      <c r="EU62" s="795"/>
      <c r="EV62" s="795"/>
      <c r="EW62" s="795"/>
      <c r="EX62" s="795"/>
      <c r="EY62" s="795"/>
      <c r="EZ62" s="795"/>
      <c r="FA62" s="795"/>
      <c r="FB62" s="795"/>
      <c r="FC62" s="795"/>
      <c r="FD62" s="795"/>
      <c r="FE62" s="795"/>
      <c r="FF62" s="795"/>
      <c r="FG62" s="795"/>
      <c r="FH62" s="795"/>
      <c r="FI62" s="795"/>
      <c r="FJ62" s="795"/>
      <c r="FK62" s="795"/>
      <c r="FL62" s="795"/>
      <c r="FM62" s="795"/>
      <c r="FN62" s="795"/>
      <c r="FO62" s="795"/>
      <c r="FP62" s="795"/>
      <c r="FQ62" s="795"/>
    </row>
    <row r="63" spans="1:173" ht="10.5" customHeight="1">
      <c r="A63" s="218"/>
      <c r="B63" s="218"/>
      <c r="C63" s="260"/>
      <c r="D63" s="218"/>
      <c r="E63" s="1036"/>
      <c r="F63" s="218"/>
      <c r="G63" s="27"/>
      <c r="H63" s="1022"/>
      <c r="I63" s="218"/>
      <c r="J63" s="260"/>
      <c r="K63" s="218"/>
      <c r="L63" s="1036"/>
      <c r="M63" s="218"/>
      <c r="N63" s="27"/>
      <c r="O63" s="1022"/>
      <c r="P63" s="218"/>
      <c r="Q63" s="260"/>
      <c r="R63" s="218"/>
      <c r="S63" s="1036"/>
      <c r="T63" s="218"/>
      <c r="U63" s="27"/>
      <c r="V63" s="1022"/>
      <c r="W63" s="218"/>
      <c r="X63" s="260"/>
      <c r="Y63" s="218"/>
      <c r="Z63" s="1036"/>
      <c r="AA63" s="218"/>
      <c r="AB63" s="27"/>
      <c r="AC63" s="1022"/>
      <c r="AD63" s="218"/>
      <c r="AE63" s="260"/>
      <c r="AF63" s="218"/>
      <c r="AG63" s="1036"/>
      <c r="AH63" s="218"/>
      <c r="AI63" s="27"/>
      <c r="AJ63" s="1022"/>
      <c r="AK63" s="218"/>
      <c r="AL63" s="260"/>
      <c r="AM63" s="218"/>
      <c r="AN63" s="1036"/>
      <c r="AO63" s="218"/>
      <c r="AP63" s="27"/>
      <c r="AQ63" s="1022"/>
      <c r="AR63" s="218"/>
      <c r="AS63" s="260"/>
      <c r="AT63" s="218"/>
      <c r="AU63" s="1036"/>
      <c r="AV63" s="218"/>
      <c r="AW63" s="27"/>
      <c r="AX63" s="1022"/>
      <c r="AY63" s="218"/>
      <c r="AZ63" s="260"/>
      <c r="BA63" s="218"/>
      <c r="BB63" s="1036"/>
      <c r="BC63" s="218"/>
      <c r="BD63" s="27"/>
      <c r="BE63" s="1022"/>
      <c r="BF63" s="218"/>
      <c r="BG63" s="260"/>
      <c r="BH63" s="218"/>
      <c r="BI63" s="1036"/>
      <c r="BJ63" s="218"/>
      <c r="BK63" s="27"/>
      <c r="BL63" s="1022"/>
      <c r="BM63" s="218"/>
      <c r="BN63" s="260"/>
      <c r="BO63" s="218"/>
      <c r="BP63" s="1036"/>
      <c r="BQ63" s="218"/>
      <c r="BR63" s="27"/>
      <c r="BS63" s="1022"/>
      <c r="BT63" s="218"/>
      <c r="BU63" s="260"/>
      <c r="BV63" s="218"/>
      <c r="BW63" s="1036"/>
      <c r="BX63" s="218"/>
      <c r="BY63" s="27"/>
      <c r="BZ63" s="1022"/>
      <c r="CA63" s="218"/>
      <c r="CB63" s="260"/>
      <c r="CC63" s="218"/>
      <c r="CD63" s="1036"/>
      <c r="CE63" s="218"/>
      <c r="CF63" s="27"/>
      <c r="CG63" s="1403"/>
      <c r="CH63" s="218"/>
      <c r="CI63" s="260"/>
      <c r="CJ63" s="218"/>
      <c r="CK63" s="1036"/>
      <c r="CL63" s="218"/>
      <c r="CM63" s="27"/>
      <c r="CN63" s="1403"/>
      <c r="CO63" s="218"/>
      <c r="CP63" s="260"/>
      <c r="CQ63" s="218"/>
      <c r="CR63" s="1036"/>
      <c r="CS63" s="218"/>
      <c r="CT63" s="27"/>
      <c r="CU63" s="1403"/>
      <c r="CV63" s="218"/>
      <c r="CW63" s="27"/>
      <c r="CX63" s="218"/>
      <c r="CY63" s="1036"/>
      <c r="CZ63" s="218"/>
      <c r="DA63" s="27"/>
      <c r="DB63" s="1022"/>
      <c r="DC63" s="218"/>
      <c r="DD63" s="27"/>
      <c r="DE63" s="218"/>
      <c r="DF63" s="1036"/>
      <c r="DG63" s="218"/>
      <c r="DH63" s="27"/>
      <c r="DI63" s="1022"/>
      <c r="DJ63" s="218"/>
      <c r="DK63" s="27"/>
      <c r="DL63" s="218"/>
      <c r="DM63" s="1036"/>
      <c r="DN63" s="218"/>
      <c r="DO63" s="27"/>
      <c r="DP63" s="1022"/>
      <c r="DQ63" s="218"/>
      <c r="DR63" s="27"/>
      <c r="DS63" s="218"/>
      <c r="DT63" s="1036"/>
      <c r="DU63" s="218"/>
      <c r="DV63" s="27"/>
      <c r="DW63" s="1022"/>
      <c r="DX63" s="218"/>
      <c r="DY63" s="40"/>
      <c r="DZ63" s="40"/>
      <c r="EA63" s="218"/>
      <c r="EB63" s="29"/>
      <c r="EC63" s="29"/>
      <c r="ED63" s="27"/>
      <c r="EE63" s="31"/>
      <c r="EF63" s="31"/>
      <c r="EG63" s="31"/>
      <c r="EH63" s="31"/>
      <c r="EI63" s="218"/>
      <c r="EJ63" s="218"/>
      <c r="EK63" s="218"/>
      <c r="EL63" s="218"/>
      <c r="EM63" s="218"/>
      <c r="EN63" s="218"/>
      <c r="EO63" s="218"/>
      <c r="EP63" s="218"/>
      <c r="EQ63" s="218"/>
      <c r="ER63" s="218"/>
      <c r="ES63" s="218"/>
      <c r="ET63" s="218"/>
      <c r="EU63" s="218"/>
      <c r="EV63" s="218"/>
      <c r="EW63" s="218"/>
      <c r="EX63" s="218"/>
      <c r="EY63" s="218"/>
      <c r="EZ63" s="218"/>
      <c r="FA63" s="218"/>
      <c r="FB63" s="218"/>
      <c r="FC63" s="218"/>
      <c r="FD63" s="218"/>
      <c r="FE63" s="218"/>
      <c r="FF63" s="218"/>
      <c r="FG63" s="218"/>
      <c r="FH63" s="218"/>
      <c r="FI63" s="218"/>
      <c r="FJ63" s="218"/>
      <c r="FK63" s="218"/>
      <c r="FL63" s="218"/>
      <c r="FM63" s="218"/>
      <c r="FN63" s="218"/>
      <c r="FO63" s="218"/>
      <c r="FP63" s="218"/>
      <c r="FQ63" s="218"/>
    </row>
    <row r="64" spans="1:173" s="230" customFormat="1" ht="10.5" customHeight="1">
      <c r="A64" s="272" t="s">
        <v>544</v>
      </c>
      <c r="B64" s="261"/>
      <c r="C64" s="261"/>
      <c r="D64" s="261"/>
      <c r="E64" s="1991"/>
      <c r="F64" s="261"/>
      <c r="G64" s="261"/>
      <c r="H64" s="1992">
        <f t="shared" ref="H64:BL64" si="705">H9</f>
        <v>911</v>
      </c>
      <c r="I64" s="261"/>
      <c r="J64" s="261"/>
      <c r="K64" s="261"/>
      <c r="L64" s="1991"/>
      <c r="M64" s="261"/>
      <c r="N64" s="261"/>
      <c r="O64" s="1992">
        <f t="shared" si="705"/>
        <v>920</v>
      </c>
      <c r="P64" s="261"/>
      <c r="Q64" s="261"/>
      <c r="R64" s="261"/>
      <c r="S64" s="1991"/>
      <c r="T64" s="261"/>
      <c r="U64" s="261"/>
      <c r="V64" s="1992">
        <f t="shared" si="705"/>
        <v>1060</v>
      </c>
      <c r="W64" s="261"/>
      <c r="X64" s="261"/>
      <c r="Y64" s="261"/>
      <c r="Z64" s="1991"/>
      <c r="AA64" s="261"/>
      <c r="AB64" s="261"/>
      <c r="AC64" s="1992">
        <f t="shared" si="705"/>
        <v>1002</v>
      </c>
      <c r="AD64" s="261"/>
      <c r="AE64" s="261"/>
      <c r="AF64" s="261"/>
      <c r="AG64" s="1991"/>
      <c r="AH64" s="261"/>
      <c r="AI64" s="261"/>
      <c r="AJ64" s="1992">
        <f t="shared" si="705"/>
        <v>872</v>
      </c>
      <c r="AK64" s="261"/>
      <c r="AL64" s="261"/>
      <c r="AM64" s="261"/>
      <c r="AN64" s="1991"/>
      <c r="AO64" s="261"/>
      <c r="AP64" s="261"/>
      <c r="AQ64" s="1992">
        <f t="shared" si="705"/>
        <v>935</v>
      </c>
      <c r="AR64" s="261"/>
      <c r="AS64" s="261"/>
      <c r="AT64" s="261"/>
      <c r="AU64" s="1991"/>
      <c r="AV64" s="261"/>
      <c r="AW64" s="261"/>
      <c r="AX64" s="1992">
        <f t="shared" si="705"/>
        <v>565</v>
      </c>
      <c r="AY64" s="261"/>
      <c r="AZ64" s="261"/>
      <c r="BA64" s="261"/>
      <c r="BB64" s="1991"/>
      <c r="BC64" s="261"/>
      <c r="BD64" s="261"/>
      <c r="BE64" s="1992">
        <f t="shared" si="705"/>
        <v>660</v>
      </c>
      <c r="BF64" s="261"/>
      <c r="BG64" s="261"/>
      <c r="BH64" s="261"/>
      <c r="BI64" s="1991"/>
      <c r="BJ64" s="261"/>
      <c r="BK64" s="261"/>
      <c r="BL64" s="1992">
        <f t="shared" si="705"/>
        <v>696</v>
      </c>
      <c r="BM64" s="261"/>
      <c r="BN64" s="261"/>
      <c r="BO64" s="261"/>
      <c r="BP64" s="1991"/>
      <c r="BQ64" s="261"/>
      <c r="BR64" s="261"/>
      <c r="BS64" s="1992">
        <f>BS9</f>
        <v>384</v>
      </c>
      <c r="BT64" s="261">
        <f>BT9</f>
        <v>36</v>
      </c>
      <c r="BU64" s="261">
        <f t="shared" ref="BU64:CY64" si="706">BU58+BU61</f>
        <v>42</v>
      </c>
      <c r="BV64" s="261">
        <f>BV9</f>
        <v>-79</v>
      </c>
      <c r="BW64" s="1991">
        <f t="shared" si="706"/>
        <v>230</v>
      </c>
      <c r="BX64" s="261">
        <f>BX9</f>
        <v>78</v>
      </c>
      <c r="BY64" s="261">
        <f t="shared" si="706"/>
        <v>151</v>
      </c>
      <c r="BZ64" s="1992">
        <f>BZ9</f>
        <v>229</v>
      </c>
      <c r="CA64" s="261">
        <f>CA9</f>
        <v>-9</v>
      </c>
      <c r="CB64" s="261">
        <f t="shared" ref="CB64" si="707">CB58+CB61</f>
        <v>-798</v>
      </c>
      <c r="CC64" s="1120">
        <f>CC9</f>
        <v>146</v>
      </c>
      <c r="CD64" s="1991">
        <f t="shared" ref="CD64" si="708">CD58+CD61</f>
        <v>94.999999999999972</v>
      </c>
      <c r="CE64" s="1120">
        <f>CE9</f>
        <v>-807</v>
      </c>
      <c r="CF64" s="261">
        <f t="shared" ref="CF64" si="709">CF58+CF61</f>
        <v>240.99999999999997</v>
      </c>
      <c r="CG64" s="1992">
        <f>CG9</f>
        <v>-566</v>
      </c>
      <c r="CH64" s="261">
        <f>CH9</f>
        <v>77</v>
      </c>
      <c r="CI64" s="261">
        <f t="shared" ref="CI64" si="710">CI58+CI61</f>
        <v>188</v>
      </c>
      <c r="CJ64" s="1120">
        <f>CJ9</f>
        <v>155</v>
      </c>
      <c r="CK64" s="1991">
        <f t="shared" ref="CK64" si="711">CK58+CK61</f>
        <v>377.99999999999989</v>
      </c>
      <c r="CL64" s="1120">
        <f>CL9</f>
        <v>265</v>
      </c>
      <c r="CM64" s="261">
        <f t="shared" ref="CM64" si="712">CM58+CM61</f>
        <v>533</v>
      </c>
      <c r="CN64" s="1992">
        <f>CN9</f>
        <v>798</v>
      </c>
      <c r="CO64" s="261">
        <f>CO9</f>
        <v>130</v>
      </c>
      <c r="CP64" s="261">
        <f t="shared" ref="CP64" si="713">CP58+CP61</f>
        <v>357</v>
      </c>
      <c r="CQ64" s="1993">
        <f t="shared" si="706"/>
        <v>211.791135</v>
      </c>
      <c r="CR64" s="1994">
        <f t="shared" si="706"/>
        <v>318.38026500000024</v>
      </c>
      <c r="CS64" s="1120">
        <f>CS9</f>
        <v>487</v>
      </c>
      <c r="CT64" s="1993">
        <f t="shared" si="706"/>
        <v>530.17140000000018</v>
      </c>
      <c r="CU64" s="1995">
        <f t="shared" si="706"/>
        <v>1017.1714000000002</v>
      </c>
      <c r="CV64" s="1993">
        <f t="shared" si="706"/>
        <v>226.57769999999999</v>
      </c>
      <c r="CW64" s="1993">
        <f t="shared" si="706"/>
        <v>278.97862499999997</v>
      </c>
      <c r="CX64" s="1993">
        <f t="shared" si="706"/>
        <v>267.451588125</v>
      </c>
      <c r="CY64" s="1994">
        <f t="shared" si="706"/>
        <v>390.11042437500015</v>
      </c>
      <c r="CZ64" s="1993">
        <f t="shared" ref="CZ64:DW64" si="714">CZ58+CZ61</f>
        <v>505.55632500000002</v>
      </c>
      <c r="DA64" s="1993">
        <f t="shared" si="714"/>
        <v>657.56201250000015</v>
      </c>
      <c r="DB64" s="1995">
        <f t="shared" si="714"/>
        <v>1163.1183375000001</v>
      </c>
      <c r="DC64" s="1993">
        <f t="shared" si="714"/>
        <v>253.76702399999999</v>
      </c>
      <c r="DD64" s="1993">
        <f t="shared" si="714"/>
        <v>312.45606000000009</v>
      </c>
      <c r="DE64" s="1993">
        <f t="shared" si="714"/>
        <v>299.54577870000003</v>
      </c>
      <c r="DF64" s="1994">
        <f t="shared" si="714"/>
        <v>436.92367530000024</v>
      </c>
      <c r="DG64" s="1993">
        <f t="shared" si="714"/>
        <v>566.22308400000009</v>
      </c>
      <c r="DH64" s="1993">
        <f t="shared" si="714"/>
        <v>736.46945400000027</v>
      </c>
      <c r="DI64" s="1995">
        <f t="shared" si="714"/>
        <v>1302.6925380000002</v>
      </c>
      <c r="DJ64" s="1993">
        <f t="shared" si="714"/>
        <v>271.86472530000003</v>
      </c>
      <c r="DK64" s="1993">
        <f t="shared" si="714"/>
        <v>334.0024301250001</v>
      </c>
      <c r="DL64" s="1993">
        <f t="shared" si="714"/>
        <v>321.00302695781255</v>
      </c>
      <c r="DM64" s="1994">
        <f t="shared" si="714"/>
        <v>467.02716056718782</v>
      </c>
      <c r="DN64" s="1993">
        <f t="shared" si="714"/>
        <v>605.86715542500008</v>
      </c>
      <c r="DO64" s="1993">
        <f t="shared" si="714"/>
        <v>788.03018752500031</v>
      </c>
      <c r="DP64" s="1995">
        <f t="shared" si="714"/>
        <v>1393.8973429500004</v>
      </c>
      <c r="DQ64" s="1993">
        <f t="shared" si="714"/>
        <v>291.13777917000004</v>
      </c>
      <c r="DR64" s="1993">
        <f t="shared" si="714"/>
        <v>356.92229711250013</v>
      </c>
      <c r="DS64" s="1993">
        <f t="shared" si="714"/>
        <v>343.85713559465631</v>
      </c>
      <c r="DT64" s="1994">
        <f t="shared" si="714"/>
        <v>499.04868517284399</v>
      </c>
      <c r="DU64" s="1993">
        <f t="shared" si="714"/>
        <v>648.06007628250018</v>
      </c>
      <c r="DV64" s="1993">
        <f t="shared" si="714"/>
        <v>842.90582076750024</v>
      </c>
      <c r="DW64" s="1995">
        <f t="shared" si="714"/>
        <v>1490.9658970500004</v>
      </c>
      <c r="DX64" s="272"/>
      <c r="DY64" s="1996"/>
      <c r="DZ64" s="1996"/>
      <c r="EA64" s="272"/>
      <c r="EB64" s="37"/>
      <c r="EC64" s="37"/>
      <c r="ED64" s="261"/>
      <c r="EE64" s="37"/>
      <c r="EF64" s="37"/>
      <c r="EG64" s="37"/>
      <c r="EH64" s="37"/>
      <c r="EI64" s="272"/>
      <c r="EJ64" s="272"/>
      <c r="EK64" s="272"/>
      <c r="EL64" s="272"/>
      <c r="EM64" s="272"/>
      <c r="EN64" s="272"/>
      <c r="EO64" s="272"/>
      <c r="EP64" s="272"/>
      <c r="EQ64" s="272"/>
      <c r="ER64" s="272"/>
      <c r="ES64" s="272"/>
      <c r="ET64" s="272"/>
      <c r="EU64" s="272"/>
      <c r="EV64" s="272"/>
      <c r="EW64" s="272"/>
      <c r="EX64" s="272"/>
      <c r="EY64" s="272"/>
      <c r="EZ64" s="272"/>
      <c r="FA64" s="272"/>
      <c r="FB64" s="272"/>
      <c r="FC64" s="272"/>
      <c r="FD64" s="272"/>
      <c r="FE64" s="272"/>
      <c r="FF64" s="272"/>
      <c r="FG64" s="272"/>
      <c r="FH64" s="272"/>
      <c r="FI64" s="272"/>
      <c r="FJ64" s="272"/>
      <c r="FK64" s="272"/>
      <c r="FL64" s="272"/>
      <c r="FM64" s="272"/>
      <c r="FN64" s="272"/>
      <c r="FO64" s="272"/>
      <c r="FP64" s="272"/>
      <c r="FQ64" s="272"/>
    </row>
    <row r="65" spans="1:173" ht="10.5" customHeight="1">
      <c r="A65" s="795" t="s">
        <v>484</v>
      </c>
      <c r="B65" s="797"/>
      <c r="C65" s="797"/>
      <c r="D65" s="797"/>
      <c r="E65" s="1350"/>
      <c r="F65" s="797"/>
      <c r="G65" s="797"/>
      <c r="H65" s="1349">
        <f t="shared" ref="H65:BL65" si="715">H64/H28</f>
        <v>6.9430683636917914E-2</v>
      </c>
      <c r="I65" s="797"/>
      <c r="J65" s="797"/>
      <c r="K65" s="797"/>
      <c r="L65" s="1350"/>
      <c r="M65" s="797"/>
      <c r="N65" s="797"/>
      <c r="O65" s="1349">
        <f t="shared" si="715"/>
        <v>7.0633397312859891E-2</v>
      </c>
      <c r="P65" s="797"/>
      <c r="Q65" s="797"/>
      <c r="R65" s="797"/>
      <c r="S65" s="1350"/>
      <c r="T65" s="797"/>
      <c r="U65" s="797"/>
      <c r="V65" s="1349">
        <f t="shared" si="715"/>
        <v>8.1039755351681952E-2</v>
      </c>
      <c r="W65" s="797"/>
      <c r="X65" s="797"/>
      <c r="Y65" s="797"/>
      <c r="Z65" s="1350"/>
      <c r="AA65" s="797"/>
      <c r="AB65" s="797"/>
      <c r="AC65" s="1349">
        <f t="shared" si="715"/>
        <v>8.452842922220348E-2</v>
      </c>
      <c r="AD65" s="797"/>
      <c r="AE65" s="797"/>
      <c r="AF65" s="797"/>
      <c r="AG65" s="1350"/>
      <c r="AH65" s="797"/>
      <c r="AI65" s="797"/>
      <c r="AJ65" s="1349">
        <f t="shared" si="715"/>
        <v>8.0710847834135499E-2</v>
      </c>
      <c r="AK65" s="797"/>
      <c r="AL65" s="797"/>
      <c r="AM65" s="797"/>
      <c r="AN65" s="1350"/>
      <c r="AO65" s="797"/>
      <c r="AP65" s="797"/>
      <c r="AQ65" s="1349">
        <f t="shared" si="715"/>
        <v>8.4515954081171477E-2</v>
      </c>
      <c r="AR65" s="797"/>
      <c r="AS65" s="797"/>
      <c r="AT65" s="797"/>
      <c r="AU65" s="1350"/>
      <c r="AV65" s="797"/>
      <c r="AW65" s="797"/>
      <c r="AX65" s="1349">
        <f t="shared" si="715"/>
        <v>5.1801595305766938E-2</v>
      </c>
      <c r="AY65" s="797"/>
      <c r="AZ65" s="797"/>
      <c r="BA65" s="797"/>
      <c r="BB65" s="1350"/>
      <c r="BC65" s="797"/>
      <c r="BD65" s="797"/>
      <c r="BE65" s="1349">
        <f t="shared" si="715"/>
        <v>6.3182079264790345E-2</v>
      </c>
      <c r="BF65" s="797"/>
      <c r="BG65" s="797"/>
      <c r="BH65" s="797"/>
      <c r="BI65" s="1350"/>
      <c r="BJ65" s="797"/>
      <c r="BK65" s="797"/>
      <c r="BL65" s="1349">
        <f t="shared" si="715"/>
        <v>6.8329079128215203E-2</v>
      </c>
      <c r="BM65" s="797"/>
      <c r="BN65" s="797"/>
      <c r="BO65" s="797"/>
      <c r="BP65" s="1350"/>
      <c r="BQ65" s="797"/>
      <c r="BR65" s="797"/>
      <c r="BS65" s="1349">
        <f t="shared" ref="BS65:CX65" si="716">BS64/BS28</f>
        <v>3.4106048494537702E-2</v>
      </c>
      <c r="BT65" s="797">
        <f>BT64/BT28</f>
        <v>1.5658982166159199E-2</v>
      </c>
      <c r="BU65" s="797">
        <f t="shared" si="716"/>
        <v>1.784197111299915E-2</v>
      </c>
      <c r="BV65" s="797">
        <f>BV64/BV28</f>
        <v>-3.1854838709677417E-2</v>
      </c>
      <c r="BW65" s="1350">
        <f t="shared" si="716"/>
        <v>5.2728106373223289E-2</v>
      </c>
      <c r="BX65" s="797">
        <f>BX64/BX28</f>
        <v>1.6763378465506126E-2</v>
      </c>
      <c r="BY65" s="797">
        <f t="shared" si="716"/>
        <v>2.2069570301081556E-2</v>
      </c>
      <c r="BZ65" s="1349">
        <f t="shared" ref="BZ65" si="717">BZ64/BZ28</f>
        <v>1.9921705089169205E-2</v>
      </c>
      <c r="CA65" s="797">
        <f>CA64/CA28</f>
        <v>-3.751563151313047E-3</v>
      </c>
      <c r="CB65" s="797">
        <f t="shared" ref="CB65" si="718">CB64/CB28</f>
        <v>-0.308584686774942</v>
      </c>
      <c r="CC65" s="797">
        <f>CC64/CC28</f>
        <v>5.5640243902439025E-2</v>
      </c>
      <c r="CD65" s="1350">
        <f t="shared" ref="CD65" si="719">CD64/CD28</f>
        <v>2.1238542365302922E-2</v>
      </c>
      <c r="CE65" s="797">
        <f>CE64/CE28</f>
        <v>-0.16188565697091273</v>
      </c>
      <c r="CF65" s="797">
        <f t="shared" ref="CF65" si="720">CF64/CF28</f>
        <v>3.3958010426940959E-2</v>
      </c>
      <c r="CG65" s="1349">
        <f t="shared" si="716"/>
        <v>-4.684654858467141E-2</v>
      </c>
      <c r="CH65" s="797">
        <f>CH64/CH28</f>
        <v>2.8990963855421686E-2</v>
      </c>
      <c r="CI65" s="797">
        <f t="shared" ref="CI65" si="721">CI64/CI28</f>
        <v>5.955020589166931E-2</v>
      </c>
      <c r="CJ65" s="797">
        <f>CJ64/CJ28</f>
        <v>5.0603983023179887E-2</v>
      </c>
      <c r="CK65" s="1350">
        <f t="shared" ref="CK65" si="722">CK64/CK28</f>
        <v>8.3462132921174631E-2</v>
      </c>
      <c r="CL65" s="797">
        <f>CL64/CL28</f>
        <v>4.5587476346120766E-2</v>
      </c>
      <c r="CM65" s="797">
        <f t="shared" ref="CM65" si="723">CM64/CM28</f>
        <v>7.0205479452054798E-2</v>
      </c>
      <c r="CN65" s="1349">
        <f t="shared" ref="CN65" si="724">CN64/CN28</f>
        <v>5.9530026109660572E-2</v>
      </c>
      <c r="CO65" s="797">
        <f>CO64/CO28</f>
        <v>4.5903954802259887E-2</v>
      </c>
      <c r="CP65" s="797">
        <f t="shared" ref="CP65" si="725">CP64/CP28</f>
        <v>0.10246842709529276</v>
      </c>
      <c r="CQ65" s="802">
        <f t="shared" si="716"/>
        <v>6.3348602840128262E-2</v>
      </c>
      <c r="CR65" s="1065">
        <f t="shared" si="716"/>
        <v>6.5352266754766353E-2</v>
      </c>
      <c r="CS65" s="797">
        <f>CS64/CS28</f>
        <v>7.710576314122862E-2</v>
      </c>
      <c r="CT65" s="802">
        <f t="shared" si="716"/>
        <v>6.453683618542623E-2</v>
      </c>
      <c r="CU65" s="1027">
        <f t="shared" si="716"/>
        <v>7.0000000000000007E-2</v>
      </c>
      <c r="CV65" s="802">
        <f t="shared" si="716"/>
        <v>7.4999999999999997E-2</v>
      </c>
      <c r="CW65" s="802">
        <f t="shared" si="716"/>
        <v>7.4999999999999983E-2</v>
      </c>
      <c r="CX65" s="802">
        <f t="shared" si="716"/>
        <v>7.4999999999999997E-2</v>
      </c>
      <c r="CY65" s="1065">
        <f t="shared" ref="CY65:DW65" si="726">CY64/CY28</f>
        <v>7.5000000000000011E-2</v>
      </c>
      <c r="CZ65" s="802">
        <f t="shared" si="726"/>
        <v>7.4999999999999997E-2</v>
      </c>
      <c r="DA65" s="802">
        <f t="shared" si="726"/>
        <v>7.5000000000000011E-2</v>
      </c>
      <c r="DB65" s="1027">
        <f t="shared" si="726"/>
        <v>7.4999999999999997E-2</v>
      </c>
      <c r="DC65" s="802">
        <f t="shared" si="726"/>
        <v>7.9999999999999988E-2</v>
      </c>
      <c r="DD65" s="802">
        <f t="shared" si="726"/>
        <v>0.08</v>
      </c>
      <c r="DE65" s="802">
        <f t="shared" si="726"/>
        <v>0.08</v>
      </c>
      <c r="DF65" s="1065">
        <f t="shared" si="726"/>
        <v>8.0000000000000016E-2</v>
      </c>
      <c r="DG65" s="802">
        <f t="shared" si="726"/>
        <v>0.08</v>
      </c>
      <c r="DH65" s="802">
        <f t="shared" si="726"/>
        <v>0.08</v>
      </c>
      <c r="DI65" s="1027">
        <f t="shared" si="726"/>
        <v>7.9999999999999988E-2</v>
      </c>
      <c r="DJ65" s="802">
        <f t="shared" si="726"/>
        <v>8.1624091867822837E-2</v>
      </c>
      <c r="DK65" s="802">
        <f t="shared" si="726"/>
        <v>8.1444425177735383E-2</v>
      </c>
      <c r="DL65" s="802">
        <f t="shared" si="726"/>
        <v>8.164819944598338E-2</v>
      </c>
      <c r="DM65" s="1065">
        <f t="shared" si="726"/>
        <v>8.1439903051872931E-2</v>
      </c>
      <c r="DN65" s="802">
        <f t="shared" si="726"/>
        <v>8.1524947294448341E-2</v>
      </c>
      <c r="DO65" s="802">
        <f t="shared" si="726"/>
        <v>8.1524623884808134E-2</v>
      </c>
      <c r="DP65" s="1027">
        <f t="shared" si="726"/>
        <v>8.1524764456737842E-2</v>
      </c>
      <c r="DQ65" s="802">
        <f t="shared" si="726"/>
        <v>8.3248183735645659E-2</v>
      </c>
      <c r="DR65" s="802">
        <f t="shared" si="726"/>
        <v>8.2888850355470792E-2</v>
      </c>
      <c r="DS65" s="802">
        <f t="shared" si="726"/>
        <v>8.3296398891966758E-2</v>
      </c>
      <c r="DT65" s="1065">
        <f t="shared" si="726"/>
        <v>8.2879806103745846E-2</v>
      </c>
      <c r="DU65" s="802">
        <f t="shared" si="726"/>
        <v>8.3049894588896708E-2</v>
      </c>
      <c r="DV65" s="802">
        <f t="shared" si="726"/>
        <v>8.3049247769616252E-2</v>
      </c>
      <c r="DW65" s="1027">
        <f t="shared" si="726"/>
        <v>8.3049528913475668E-2</v>
      </c>
      <c r="DX65" s="795"/>
      <c r="DY65" s="40"/>
      <c r="DZ65" s="40"/>
      <c r="EA65" s="795"/>
      <c r="EB65" s="796"/>
      <c r="EC65" s="796"/>
      <c r="ED65" s="797"/>
      <c r="EE65" s="263"/>
      <c r="EF65" s="263"/>
      <c r="EG65" s="263"/>
      <c r="EH65" s="263"/>
      <c r="EI65" s="795"/>
      <c r="EJ65" s="795"/>
      <c r="EK65" s="795"/>
      <c r="EL65" s="795"/>
      <c r="EM65" s="795"/>
      <c r="EN65" s="795"/>
      <c r="EO65" s="795"/>
      <c r="EP65" s="795"/>
      <c r="EQ65" s="795"/>
      <c r="ER65" s="795"/>
      <c r="ES65" s="795"/>
      <c r="ET65" s="795"/>
      <c r="EU65" s="795"/>
      <c r="EV65" s="795"/>
      <c r="EW65" s="795"/>
      <c r="EX65" s="795"/>
      <c r="EY65" s="795"/>
      <c r="EZ65" s="795"/>
      <c r="FA65" s="795"/>
      <c r="FB65" s="795"/>
      <c r="FC65" s="795"/>
      <c r="FD65" s="795"/>
      <c r="FE65" s="795"/>
      <c r="FF65" s="795"/>
      <c r="FG65" s="795"/>
      <c r="FH65" s="795"/>
      <c r="FI65" s="795"/>
      <c r="FJ65" s="795"/>
      <c r="FK65" s="795"/>
      <c r="FL65" s="795"/>
      <c r="FM65" s="795"/>
      <c r="FN65" s="795"/>
      <c r="FO65" s="795"/>
      <c r="FP65" s="795"/>
      <c r="FQ65" s="795"/>
    </row>
    <row r="66" spans="1:173" ht="10.5" customHeight="1">
      <c r="A66" s="218"/>
      <c r="B66" s="27"/>
      <c r="C66" s="27"/>
      <c r="D66" s="27"/>
      <c r="E66" s="1036"/>
      <c r="F66" s="27"/>
      <c r="G66" s="27"/>
      <c r="H66" s="1022"/>
      <c r="I66" s="27"/>
      <c r="J66" s="27"/>
      <c r="K66" s="27"/>
      <c r="L66" s="1036"/>
      <c r="M66" s="27"/>
      <c r="N66" s="27"/>
      <c r="O66" s="1022"/>
      <c r="P66" s="27"/>
      <c r="Q66" s="27"/>
      <c r="R66" s="27"/>
      <c r="S66" s="1036"/>
      <c r="T66" s="27"/>
      <c r="U66" s="27"/>
      <c r="V66" s="1022"/>
      <c r="W66" s="27"/>
      <c r="X66" s="27"/>
      <c r="Y66" s="27"/>
      <c r="Z66" s="1036"/>
      <c r="AA66" s="27"/>
      <c r="AB66" s="27"/>
      <c r="AC66" s="1022"/>
      <c r="AD66" s="27"/>
      <c r="AE66" s="27"/>
      <c r="AF66" s="27"/>
      <c r="AG66" s="1036"/>
      <c r="AH66" s="27"/>
      <c r="AI66" s="27"/>
      <c r="AJ66" s="1022"/>
      <c r="AK66" s="27"/>
      <c r="AL66" s="27"/>
      <c r="AM66" s="27"/>
      <c r="AN66" s="1036"/>
      <c r="AO66" s="27"/>
      <c r="AP66" s="27"/>
      <c r="AQ66" s="1022"/>
      <c r="AR66" s="27"/>
      <c r="AS66" s="27"/>
      <c r="AT66" s="27"/>
      <c r="AU66" s="1036"/>
      <c r="AV66" s="27"/>
      <c r="AW66" s="27"/>
      <c r="AX66" s="1022"/>
      <c r="AY66" s="27"/>
      <c r="AZ66" s="27"/>
      <c r="BA66" s="27"/>
      <c r="BB66" s="1036"/>
      <c r="BC66" s="27"/>
      <c r="BD66" s="27"/>
      <c r="BE66" s="1022"/>
      <c r="BF66" s="27"/>
      <c r="BG66" s="27"/>
      <c r="BH66" s="27"/>
      <c r="BI66" s="1036"/>
      <c r="BJ66" s="27"/>
      <c r="BK66" s="27"/>
      <c r="BL66" s="1022"/>
      <c r="BM66" s="27"/>
      <c r="BN66" s="27"/>
      <c r="BO66" s="27"/>
      <c r="BP66" s="1036"/>
      <c r="BQ66" s="27"/>
      <c r="BR66" s="27"/>
      <c r="BS66" s="1022"/>
      <c r="BT66" s="27"/>
      <c r="BU66" s="27"/>
      <c r="BV66" s="27"/>
      <c r="BW66" s="1036"/>
      <c r="BX66" s="27"/>
      <c r="BY66" s="27"/>
      <c r="BZ66" s="1022"/>
      <c r="CA66" s="27"/>
      <c r="CB66" s="27"/>
      <c r="CC66" s="27"/>
      <c r="CD66" s="1036"/>
      <c r="CE66" s="27"/>
      <c r="CF66" s="27"/>
      <c r="CG66" s="1022"/>
      <c r="CH66" s="27"/>
      <c r="CI66" s="27"/>
      <c r="CJ66" s="27"/>
      <c r="CK66" s="1036"/>
      <c r="CL66" s="27"/>
      <c r="CM66" s="27"/>
      <c r="CN66" s="1022"/>
      <c r="CO66" s="27"/>
      <c r="CP66" s="27"/>
      <c r="CQ66" s="27"/>
      <c r="CR66" s="1036"/>
      <c r="CS66" s="27"/>
      <c r="CT66" s="27"/>
      <c r="CU66" s="1022"/>
      <c r="CV66" s="27"/>
      <c r="CW66" s="27"/>
      <c r="CX66" s="27"/>
      <c r="CY66" s="1036"/>
      <c r="CZ66" s="27"/>
      <c r="DA66" s="27"/>
      <c r="DB66" s="1022"/>
      <c r="DC66" s="27"/>
      <c r="DD66" s="27"/>
      <c r="DE66" s="27"/>
      <c r="DF66" s="1036"/>
      <c r="DG66" s="27"/>
      <c r="DH66" s="27"/>
      <c r="DI66" s="1022"/>
      <c r="DJ66" s="27"/>
      <c r="DK66" s="27"/>
      <c r="DL66" s="27"/>
      <c r="DM66" s="1036"/>
      <c r="DN66" s="27"/>
      <c r="DO66" s="27"/>
      <c r="DP66" s="1022"/>
      <c r="DQ66" s="27"/>
      <c r="DR66" s="27"/>
      <c r="DS66" s="27"/>
      <c r="DT66" s="1036"/>
      <c r="DU66" s="27"/>
      <c r="DV66" s="27"/>
      <c r="DW66" s="1022"/>
      <c r="DX66" s="218"/>
      <c r="DY66" s="40"/>
      <c r="DZ66" s="40"/>
      <c r="EA66" s="218"/>
      <c r="EB66" s="29"/>
      <c r="EC66" s="29"/>
      <c r="ED66" s="27"/>
      <c r="EE66" s="31"/>
      <c r="EF66" s="31"/>
      <c r="EG66" s="31"/>
      <c r="EH66" s="31"/>
      <c r="EI66" s="218"/>
      <c r="EJ66" s="218"/>
      <c r="EK66" s="218"/>
      <c r="EL66" s="218"/>
      <c r="EM66" s="218"/>
      <c r="EN66" s="218"/>
      <c r="EO66" s="218"/>
      <c r="EP66" s="218"/>
      <c r="EQ66" s="218"/>
      <c r="ER66" s="218"/>
      <c r="ES66" s="218"/>
      <c r="ET66" s="218"/>
      <c r="EU66" s="218"/>
      <c r="EV66" s="218"/>
      <c r="EW66" s="218"/>
      <c r="EX66" s="218"/>
      <c r="EY66" s="218"/>
      <c r="EZ66" s="218"/>
      <c r="FA66" s="218"/>
      <c r="FB66" s="218"/>
      <c r="FC66" s="218"/>
      <c r="FD66" s="218"/>
      <c r="FE66" s="218"/>
      <c r="FF66" s="218"/>
      <c r="FG66" s="218"/>
      <c r="FH66" s="218"/>
      <c r="FI66" s="218"/>
      <c r="FJ66" s="218"/>
      <c r="FK66" s="218"/>
      <c r="FL66" s="218"/>
      <c r="FM66" s="218"/>
      <c r="FN66" s="218"/>
      <c r="FO66" s="218"/>
      <c r="FP66" s="218"/>
      <c r="FQ66" s="218"/>
    </row>
    <row r="67" spans="1:173" ht="10.5" customHeight="1">
      <c r="A67" s="782" t="s">
        <v>765</v>
      </c>
      <c r="B67" s="1010"/>
      <c r="C67" s="1010"/>
      <c r="D67" s="1010"/>
      <c r="E67" s="1035"/>
      <c r="F67" s="1010"/>
      <c r="G67" s="1010"/>
      <c r="H67" s="1020"/>
      <c r="I67" s="1010"/>
      <c r="J67" s="1010"/>
      <c r="K67" s="1010"/>
      <c r="L67" s="1035"/>
      <c r="M67" s="1010"/>
      <c r="N67" s="1010"/>
      <c r="O67" s="1020"/>
      <c r="P67" s="1010"/>
      <c r="Q67" s="1010"/>
      <c r="R67" s="1010"/>
      <c r="S67" s="1035"/>
      <c r="T67" s="1010"/>
      <c r="U67" s="1010"/>
      <c r="V67" s="1020"/>
      <c r="W67" s="1010"/>
      <c r="X67" s="1010"/>
      <c r="Y67" s="1010"/>
      <c r="Z67" s="1035"/>
      <c r="AA67" s="1010"/>
      <c r="AB67" s="1010"/>
      <c r="AC67" s="1020"/>
      <c r="AD67" s="1010"/>
      <c r="AE67" s="1010"/>
      <c r="AF67" s="1010"/>
      <c r="AG67" s="1035"/>
      <c r="AH67" s="1010"/>
      <c r="AI67" s="1010"/>
      <c r="AJ67" s="1020"/>
      <c r="AK67" s="1010"/>
      <c r="AL67" s="1010"/>
      <c r="AM67" s="1010"/>
      <c r="AN67" s="1035"/>
      <c r="AO67" s="1010"/>
      <c r="AP67" s="1010"/>
      <c r="AQ67" s="1020"/>
      <c r="AR67" s="1010"/>
      <c r="AS67" s="1010"/>
      <c r="AT67" s="1010"/>
      <c r="AU67" s="1035"/>
      <c r="AV67" s="1010"/>
      <c r="AW67" s="1010"/>
      <c r="AX67" s="1020"/>
      <c r="AY67" s="1010"/>
      <c r="AZ67" s="1010"/>
      <c r="BA67" s="1010"/>
      <c r="BB67" s="1035"/>
      <c r="BC67" s="1010"/>
      <c r="BD67" s="1010"/>
      <c r="BE67" s="1020"/>
      <c r="BF67" s="1010"/>
      <c r="BG67" s="1010"/>
      <c r="BH67" s="1010"/>
      <c r="BI67" s="1035"/>
      <c r="BJ67" s="1010"/>
      <c r="BK67" s="1010"/>
      <c r="BL67" s="1020"/>
      <c r="BM67" s="1010"/>
      <c r="BN67" s="1010"/>
      <c r="BO67" s="1010"/>
      <c r="BP67" s="1035"/>
      <c r="BQ67" s="1010"/>
      <c r="BR67" s="1010"/>
      <c r="BS67" s="1020"/>
      <c r="BT67" s="1010"/>
      <c r="BU67" s="1010"/>
      <c r="BV67" s="1010"/>
      <c r="BW67" s="1035"/>
      <c r="BX67" s="1010"/>
      <c r="BY67" s="1010"/>
      <c r="BZ67" s="1020"/>
      <c r="CA67" s="1010"/>
      <c r="CB67" s="1010"/>
      <c r="CC67" s="1010"/>
      <c r="CD67" s="1035"/>
      <c r="CE67" s="1010"/>
      <c r="CF67" s="1010"/>
      <c r="CG67" s="1020"/>
      <c r="CH67" s="1010"/>
      <c r="CI67" s="1010"/>
      <c r="CJ67" s="1010"/>
      <c r="CK67" s="1035"/>
      <c r="CL67" s="1010"/>
      <c r="CM67" s="1010"/>
      <c r="CN67" s="1020"/>
      <c r="CO67" s="1010"/>
      <c r="CP67" s="1010"/>
      <c r="CQ67" s="1010"/>
      <c r="CR67" s="1035"/>
      <c r="CS67" s="1010"/>
      <c r="CT67" s="1010"/>
      <c r="CU67" s="1020"/>
      <c r="CV67" s="1010"/>
      <c r="CW67" s="1010"/>
      <c r="CX67" s="1010"/>
      <c r="CY67" s="1035"/>
      <c r="CZ67" s="1010"/>
      <c r="DA67" s="1010"/>
      <c r="DB67" s="1020"/>
      <c r="DC67" s="1010"/>
      <c r="DD67" s="1010"/>
      <c r="DE67" s="1010"/>
      <c r="DF67" s="1035"/>
      <c r="DG67" s="1010"/>
      <c r="DH67" s="1010"/>
      <c r="DI67" s="1020"/>
      <c r="DJ67" s="1010"/>
      <c r="DK67" s="1010"/>
      <c r="DL67" s="1010"/>
      <c r="DM67" s="1035"/>
      <c r="DN67" s="1010"/>
      <c r="DO67" s="1010"/>
      <c r="DP67" s="1020"/>
      <c r="DQ67" s="1010"/>
      <c r="DR67" s="1010"/>
      <c r="DS67" s="1010"/>
      <c r="DT67" s="1035"/>
      <c r="DU67" s="1010"/>
      <c r="DV67" s="1010"/>
      <c r="DW67" s="1020"/>
      <c r="DX67" s="218"/>
      <c r="DY67" s="40"/>
      <c r="DZ67" s="40"/>
      <c r="EA67" s="218"/>
      <c r="EB67" s="29"/>
      <c r="EC67" s="29"/>
      <c r="ED67" s="27"/>
      <c r="EE67" s="31"/>
      <c r="EF67" s="31"/>
      <c r="EG67" s="31"/>
      <c r="EH67" s="31"/>
      <c r="EI67" s="218"/>
      <c r="EJ67" s="218"/>
      <c r="EK67" s="218"/>
      <c r="EL67" s="218"/>
      <c r="EM67" s="218"/>
      <c r="EN67" s="218"/>
      <c r="EO67" s="218"/>
      <c r="EP67" s="218"/>
      <c r="EQ67" s="218"/>
      <c r="ER67" s="218"/>
      <c r="ES67" s="218"/>
      <c r="ET67" s="218"/>
      <c r="EU67" s="218"/>
      <c r="EV67" s="218"/>
      <c r="EW67" s="218"/>
      <c r="EX67" s="218"/>
      <c r="EY67" s="218"/>
      <c r="EZ67" s="218"/>
      <c r="FA67" s="218"/>
      <c r="FB67" s="218"/>
      <c r="FC67" s="218"/>
      <c r="FD67" s="218"/>
      <c r="FE67" s="218"/>
      <c r="FF67" s="218"/>
      <c r="FG67" s="218"/>
      <c r="FH67" s="218"/>
      <c r="FI67" s="218"/>
      <c r="FJ67" s="218"/>
      <c r="FK67" s="218"/>
      <c r="FL67" s="218"/>
      <c r="FM67" s="218"/>
      <c r="FN67" s="218"/>
      <c r="FO67" s="218"/>
      <c r="FP67" s="218"/>
      <c r="FQ67" s="218"/>
    </row>
    <row r="68" spans="1:173" ht="10.5" customHeight="1">
      <c r="A68" s="108" t="s">
        <v>297</v>
      </c>
      <c r="B68" s="33">
        <v>43894</v>
      </c>
      <c r="C68" s="33">
        <f>F68</f>
        <v>42738</v>
      </c>
      <c r="D68" s="33">
        <v>43323</v>
      </c>
      <c r="E68" s="1033">
        <f>G68</f>
        <v>47845</v>
      </c>
      <c r="F68" s="33">
        <v>42738</v>
      </c>
      <c r="G68" s="33">
        <f>H68</f>
        <v>47845</v>
      </c>
      <c r="H68" s="305">
        <v>47845</v>
      </c>
      <c r="I68" s="33">
        <v>42588</v>
      </c>
      <c r="J68" s="33">
        <f>M68</f>
        <v>41566</v>
      </c>
      <c r="K68" s="33">
        <v>43647</v>
      </c>
      <c r="L68" s="1033">
        <f>N68</f>
        <v>43075</v>
      </c>
      <c r="M68" s="33">
        <v>41566</v>
      </c>
      <c r="N68" s="33">
        <f>O68</f>
        <v>43075</v>
      </c>
      <c r="O68" s="305">
        <v>43075</v>
      </c>
      <c r="P68" s="33">
        <v>41854</v>
      </c>
      <c r="Q68" s="33">
        <f>T68</f>
        <v>41683</v>
      </c>
      <c r="R68" s="33">
        <v>41657</v>
      </c>
      <c r="S68" s="1033">
        <f>U68</f>
        <v>42861</v>
      </c>
      <c r="T68" s="33">
        <v>41683</v>
      </c>
      <c r="U68" s="33">
        <f>V68</f>
        <v>42861</v>
      </c>
      <c r="V68" s="305">
        <v>42861</v>
      </c>
      <c r="W68" s="33">
        <v>42596</v>
      </c>
      <c r="X68" s="33">
        <f>AA68</f>
        <v>37665</v>
      </c>
      <c r="Y68" s="33">
        <v>38355</v>
      </c>
      <c r="Z68" s="1033">
        <f>AB68</f>
        <v>41499</v>
      </c>
      <c r="AA68" s="33">
        <v>37665</v>
      </c>
      <c r="AB68" s="33">
        <f>AC68</f>
        <v>41499</v>
      </c>
      <c r="AC68" s="305">
        <v>41499</v>
      </c>
      <c r="AD68" s="33">
        <v>39421</v>
      </c>
      <c r="AE68" s="33">
        <f>AH68</f>
        <v>38708</v>
      </c>
      <c r="AF68" s="33">
        <v>38551</v>
      </c>
      <c r="AG68" s="1033">
        <f>AI68</f>
        <v>37407</v>
      </c>
      <c r="AH68" s="33">
        <v>38708</v>
      </c>
      <c r="AI68" s="33">
        <f>AJ68</f>
        <v>37407</v>
      </c>
      <c r="AJ68" s="305">
        <v>37407</v>
      </c>
      <c r="AK68" s="33">
        <v>37303</v>
      </c>
      <c r="AL68" s="33">
        <f>AO68</f>
        <v>36462</v>
      </c>
      <c r="AM68" s="33">
        <v>35880</v>
      </c>
      <c r="AN68" s="1033">
        <f>AP68</f>
        <v>35316</v>
      </c>
      <c r="AO68" s="33">
        <v>36462</v>
      </c>
      <c r="AP68" s="33">
        <f>AQ68</f>
        <v>35316</v>
      </c>
      <c r="AQ68" s="305">
        <v>35316</v>
      </c>
      <c r="AR68" s="33"/>
      <c r="AS68" s="33"/>
      <c r="AT68" s="33"/>
      <c r="AU68" s="1033"/>
      <c r="AV68" s="33"/>
      <c r="AW68" s="33"/>
      <c r="AX68" s="305">
        <v>32263</v>
      </c>
      <c r="AY68" s="33"/>
      <c r="AZ68" s="33"/>
      <c r="BA68" s="33"/>
      <c r="BB68" s="1033"/>
      <c r="BC68" s="33"/>
      <c r="BD68" s="33"/>
      <c r="BE68" s="305">
        <v>33505</v>
      </c>
      <c r="BF68" s="33"/>
      <c r="BG68" s="33"/>
      <c r="BH68" s="33"/>
      <c r="BI68" s="1033"/>
      <c r="BJ68" s="33"/>
      <c r="BK68" s="33"/>
      <c r="BL68" s="305">
        <v>36131</v>
      </c>
      <c r="BM68" s="33"/>
      <c r="BN68" s="33"/>
      <c r="BO68" s="33"/>
      <c r="BP68" s="1033"/>
      <c r="BQ68" s="33"/>
      <c r="BR68" s="33"/>
      <c r="BS68" s="305">
        <v>38426</v>
      </c>
      <c r="BT68" s="33"/>
      <c r="BU68" s="33"/>
      <c r="BV68" s="33"/>
      <c r="BW68" s="1033"/>
      <c r="BX68" s="33"/>
      <c r="BY68" s="33"/>
      <c r="BZ68" s="305">
        <v>42195</v>
      </c>
      <c r="CA68" s="33"/>
      <c r="CB68" s="33"/>
      <c r="CC68" s="33"/>
      <c r="CD68" s="1033"/>
      <c r="CE68" s="33"/>
      <c r="CF68" s="33"/>
      <c r="CG68" s="2107">
        <v>46803</v>
      </c>
      <c r="CH68" s="33"/>
      <c r="CI68" s="33"/>
      <c r="CJ68" s="33"/>
      <c r="CK68" s="1033"/>
      <c r="CL68" s="33"/>
      <c r="CM68" s="33"/>
      <c r="CN68" s="1863">
        <v>50771</v>
      </c>
      <c r="CO68" s="33"/>
      <c r="CP68" s="33"/>
      <c r="CQ68" s="33"/>
      <c r="CR68" s="1033"/>
      <c r="CS68" s="33"/>
      <c r="CT68" s="33"/>
      <c r="CU68" s="1022"/>
      <c r="CV68" s="33"/>
      <c r="CW68" s="33"/>
      <c r="CX68" s="33"/>
      <c r="CY68" s="1033"/>
      <c r="CZ68" s="33"/>
      <c r="DA68" s="33"/>
      <c r="DB68" s="1022"/>
      <c r="DC68" s="33"/>
      <c r="DD68" s="33"/>
      <c r="DE68" s="33"/>
      <c r="DF68" s="1033"/>
      <c r="DG68" s="33"/>
      <c r="DH68" s="33"/>
      <c r="DI68" s="1022"/>
      <c r="DJ68" s="33"/>
      <c r="DK68" s="33"/>
      <c r="DL68" s="33"/>
      <c r="DM68" s="1033"/>
      <c r="DN68" s="33"/>
      <c r="DO68" s="33"/>
      <c r="DP68" s="1022"/>
      <c r="DQ68" s="33"/>
      <c r="DR68" s="33"/>
      <c r="DS68" s="33"/>
      <c r="DT68" s="1033"/>
      <c r="DU68" s="33"/>
      <c r="DV68" s="33"/>
      <c r="DW68" s="1022"/>
      <c r="DX68" s="218"/>
      <c r="DY68" s="40"/>
      <c r="DZ68" s="40"/>
      <c r="EA68" s="218"/>
      <c r="EB68" s="29"/>
      <c r="EC68" s="29"/>
      <c r="ED68" s="27"/>
      <c r="EE68" s="31"/>
      <c r="EF68" s="31"/>
      <c r="EG68" s="31"/>
      <c r="EH68" s="31"/>
      <c r="EI68" s="218"/>
      <c r="EJ68" s="218"/>
      <c r="EK68" s="218"/>
      <c r="EL68" s="218"/>
      <c r="EM68" s="218"/>
      <c r="EN68" s="218"/>
      <c r="EO68" s="218"/>
      <c r="EP68" s="218"/>
      <c r="EQ68" s="218"/>
      <c r="ER68" s="218"/>
      <c r="ES68" s="218"/>
      <c r="ET68" s="218"/>
      <c r="EU68" s="218"/>
      <c r="EV68" s="218"/>
      <c r="EW68" s="218"/>
      <c r="EX68" s="218"/>
      <c r="EY68" s="218"/>
      <c r="EZ68" s="218"/>
      <c r="FA68" s="218"/>
      <c r="FB68" s="218"/>
      <c r="FC68" s="218"/>
      <c r="FD68" s="218"/>
      <c r="FE68" s="218"/>
      <c r="FF68" s="218"/>
      <c r="FG68" s="218"/>
      <c r="FH68" s="218"/>
      <c r="FI68" s="218"/>
      <c r="FJ68" s="218"/>
      <c r="FK68" s="218"/>
      <c r="FL68" s="218"/>
      <c r="FM68" s="218"/>
      <c r="FN68" s="218"/>
      <c r="FO68" s="218"/>
      <c r="FP68" s="218"/>
      <c r="FQ68" s="218"/>
    </row>
    <row r="69" spans="1:173" ht="10.5" customHeight="1">
      <c r="A69" s="51" t="s">
        <v>358</v>
      </c>
      <c r="B69" s="57"/>
      <c r="C69" s="57"/>
      <c r="D69" s="57"/>
      <c r="E69" s="959"/>
      <c r="F69" s="57"/>
      <c r="G69" s="57"/>
      <c r="H69" s="946"/>
      <c r="I69" s="57">
        <f t="shared" ref="I69:N69" si="727">I68/B68-1</f>
        <v>-2.9753497061101752E-2</v>
      </c>
      <c r="J69" s="57">
        <f t="shared" si="727"/>
        <v>-2.7422902335158428E-2</v>
      </c>
      <c r="K69" s="57">
        <f t="shared" si="727"/>
        <v>7.4787064607713116E-3</v>
      </c>
      <c r="L69" s="959">
        <f t="shared" si="727"/>
        <v>-9.9696938029052107E-2</v>
      </c>
      <c r="M69" s="57">
        <f t="shared" si="727"/>
        <v>-2.7422902335158428E-2</v>
      </c>
      <c r="N69" s="57">
        <f t="shared" si="727"/>
        <v>-9.9696938029052107E-2</v>
      </c>
      <c r="O69" s="946">
        <f t="shared" ref="O69" si="728">O68/H68-1</f>
        <v>-9.9696938029052107E-2</v>
      </c>
      <c r="P69" s="57">
        <f t="shared" ref="P69:AQ69" si="729">P68/I68-1</f>
        <v>-1.7234901850286422E-2</v>
      </c>
      <c r="Q69" s="57">
        <f t="shared" si="729"/>
        <v>2.8148005581485336E-3</v>
      </c>
      <c r="R69" s="57">
        <f t="shared" si="729"/>
        <v>-4.5593053359910152E-2</v>
      </c>
      <c r="S69" s="959">
        <f t="shared" si="729"/>
        <v>-4.9680789320951657E-3</v>
      </c>
      <c r="T69" s="57">
        <f t="shared" si="729"/>
        <v>2.8148005581485336E-3</v>
      </c>
      <c r="U69" s="57">
        <f t="shared" si="729"/>
        <v>-4.9680789320951657E-3</v>
      </c>
      <c r="V69" s="946">
        <f t="shared" si="729"/>
        <v>-4.9680789320951657E-3</v>
      </c>
      <c r="W69" s="57">
        <f t="shared" si="729"/>
        <v>1.7728293592010225E-2</v>
      </c>
      <c r="X69" s="57">
        <f t="shared" si="729"/>
        <v>-9.6394213468320444E-2</v>
      </c>
      <c r="Y69" s="57">
        <f t="shared" si="729"/>
        <v>-7.9266389802434167E-2</v>
      </c>
      <c r="Z69" s="959">
        <f t="shared" si="729"/>
        <v>-3.1777140057394848E-2</v>
      </c>
      <c r="AA69" s="57">
        <f t="shared" si="729"/>
        <v>-9.6394213468320444E-2</v>
      </c>
      <c r="AB69" s="57">
        <f t="shared" si="729"/>
        <v>-3.1777140057394848E-2</v>
      </c>
      <c r="AC69" s="946">
        <f t="shared" si="729"/>
        <v>-3.1777140057394848E-2</v>
      </c>
      <c r="AD69" s="57">
        <f t="shared" si="729"/>
        <v>-7.4537515259648801E-2</v>
      </c>
      <c r="AE69" s="57">
        <f t="shared" si="729"/>
        <v>2.7691490773928074E-2</v>
      </c>
      <c r="AF69" s="57">
        <f t="shared" si="729"/>
        <v>5.1101551297092485E-3</v>
      </c>
      <c r="AG69" s="959">
        <f t="shared" si="729"/>
        <v>-9.8604785657485761E-2</v>
      </c>
      <c r="AH69" s="57">
        <f t="shared" si="729"/>
        <v>2.7691490773928074E-2</v>
      </c>
      <c r="AI69" s="57">
        <f t="shared" si="729"/>
        <v>-9.8604785657485761E-2</v>
      </c>
      <c r="AJ69" s="946">
        <f t="shared" si="729"/>
        <v>-9.8604785657485761E-2</v>
      </c>
      <c r="AK69" s="57">
        <f t="shared" si="729"/>
        <v>-5.3727708581720379E-2</v>
      </c>
      <c r="AL69" s="57">
        <f t="shared" si="729"/>
        <v>-5.8024181047845458E-2</v>
      </c>
      <c r="AM69" s="57">
        <f t="shared" si="729"/>
        <v>-6.9284843454125666E-2</v>
      </c>
      <c r="AN69" s="959">
        <f t="shared" si="729"/>
        <v>-5.589862859892536E-2</v>
      </c>
      <c r="AO69" s="57">
        <f t="shared" si="729"/>
        <v>-5.8024181047845458E-2</v>
      </c>
      <c r="AP69" s="57">
        <f t="shared" si="729"/>
        <v>-5.589862859892536E-2</v>
      </c>
      <c r="AQ69" s="946">
        <f t="shared" si="729"/>
        <v>-5.589862859892536E-2</v>
      </c>
      <c r="AR69" s="57"/>
      <c r="AS69" s="57"/>
      <c r="AT69" s="57"/>
      <c r="AU69" s="959"/>
      <c r="AV69" s="57"/>
      <c r="AW69" s="57"/>
      <c r="AX69" s="946">
        <f>AX68/AQ68-1</f>
        <v>-8.644806886397105E-2</v>
      </c>
      <c r="AY69" s="57"/>
      <c r="AZ69" s="57"/>
      <c r="BA69" s="57"/>
      <c r="BB69" s="959"/>
      <c r="BC69" s="57"/>
      <c r="BD69" s="57"/>
      <c r="BE69" s="946">
        <f>BE68/AX68-1</f>
        <v>3.8496110095155522E-2</v>
      </c>
      <c r="BF69" s="57"/>
      <c r="BG69" s="57"/>
      <c r="BH69" s="57"/>
      <c r="BI69" s="959"/>
      <c r="BJ69" s="57"/>
      <c r="BK69" s="57"/>
      <c r="BL69" s="946">
        <f>BL68/BE68-1</f>
        <v>7.837636173705409E-2</v>
      </c>
      <c r="BM69" s="57"/>
      <c r="BN69" s="57"/>
      <c r="BO69" s="57"/>
      <c r="BP69" s="959"/>
      <c r="BQ69" s="57"/>
      <c r="BR69" s="57"/>
      <c r="BS69" s="946">
        <f>BS68/BL68-1</f>
        <v>6.3518861919127589E-2</v>
      </c>
      <c r="BT69" s="57"/>
      <c r="BU69" s="57"/>
      <c r="BV69" s="57"/>
      <c r="BW69" s="959"/>
      <c r="BX69" s="57"/>
      <c r="BY69" s="57"/>
      <c r="BZ69" s="946">
        <f>BZ68/BS68-1</f>
        <v>9.8084630198303158E-2</v>
      </c>
      <c r="CA69" s="57"/>
      <c r="CB69" s="57"/>
      <c r="CC69" s="57"/>
      <c r="CD69" s="959"/>
      <c r="CE69" s="57"/>
      <c r="CF69" s="57"/>
      <c r="CG69" s="946">
        <f>CG68/BZ68-1</f>
        <v>0.10920725204408099</v>
      </c>
      <c r="CH69" s="57"/>
      <c r="CI69" s="57"/>
      <c r="CJ69" s="57"/>
      <c r="CK69" s="959"/>
      <c r="CL69" s="57"/>
      <c r="CM69" s="57"/>
      <c r="CN69" s="1864">
        <f>CN68/CG68-1</f>
        <v>8.4780890113881568E-2</v>
      </c>
      <c r="CO69" s="57"/>
      <c r="CP69" s="57"/>
      <c r="CQ69" s="57"/>
      <c r="CR69" s="959"/>
      <c r="CS69" s="57"/>
      <c r="CT69" s="57"/>
      <c r="CU69" s="1022"/>
      <c r="CV69" s="57"/>
      <c r="CW69" s="57"/>
      <c r="CX69" s="57"/>
      <c r="CY69" s="959"/>
      <c r="CZ69" s="57"/>
      <c r="DA69" s="57"/>
      <c r="DB69" s="1022"/>
      <c r="DC69" s="57"/>
      <c r="DD69" s="57"/>
      <c r="DE69" s="57"/>
      <c r="DF69" s="959"/>
      <c r="DG69" s="57"/>
      <c r="DH69" s="57"/>
      <c r="DI69" s="1022"/>
      <c r="DJ69" s="57"/>
      <c r="DK69" s="57"/>
      <c r="DL69" s="57"/>
      <c r="DM69" s="959"/>
      <c r="DN69" s="57"/>
      <c r="DO69" s="57"/>
      <c r="DP69" s="1022"/>
      <c r="DQ69" s="57"/>
      <c r="DR69" s="57"/>
      <c r="DS69" s="57"/>
      <c r="DT69" s="959"/>
      <c r="DU69" s="57"/>
      <c r="DV69" s="57"/>
      <c r="DW69" s="1022"/>
      <c r="DX69" s="218"/>
      <c r="DY69" s="40"/>
      <c r="DZ69" s="40"/>
      <c r="EA69" s="218"/>
      <c r="EB69" s="29"/>
      <c r="EC69" s="29"/>
      <c r="ED69" s="27"/>
      <c r="EE69" s="31"/>
      <c r="EF69" s="31"/>
      <c r="EG69" s="31"/>
      <c r="EH69" s="31"/>
      <c r="EI69" s="218"/>
      <c r="EJ69" s="218"/>
      <c r="EK69" s="218"/>
      <c r="EL69" s="218"/>
      <c r="EM69" s="218"/>
      <c r="EN69" s="218"/>
      <c r="EO69" s="218"/>
      <c r="EP69" s="218"/>
      <c r="EQ69" s="218"/>
      <c r="ER69" s="218"/>
      <c r="ES69" s="218"/>
      <c r="ET69" s="218"/>
      <c r="EU69" s="218"/>
      <c r="EV69" s="218"/>
      <c r="EW69" s="218"/>
      <c r="EX69" s="218"/>
      <c r="EY69" s="218"/>
      <c r="EZ69" s="218"/>
      <c r="FA69" s="218"/>
      <c r="FB69" s="218"/>
      <c r="FC69" s="218"/>
      <c r="FD69" s="218"/>
      <c r="FE69" s="218"/>
      <c r="FF69" s="218"/>
      <c r="FG69" s="218"/>
      <c r="FH69" s="218"/>
      <c r="FI69" s="218"/>
      <c r="FJ69" s="218"/>
      <c r="FK69" s="218"/>
      <c r="FL69" s="218"/>
      <c r="FM69" s="218"/>
      <c r="FN69" s="218"/>
      <c r="FO69" s="218"/>
      <c r="FP69" s="218"/>
      <c r="FQ69" s="218"/>
    </row>
    <row r="70" spans="1:173" ht="10.5" customHeight="1">
      <c r="A70" s="51"/>
      <c r="B70" s="27"/>
      <c r="C70" s="27"/>
      <c r="D70" s="27"/>
      <c r="E70" s="1036"/>
      <c r="F70" s="27"/>
      <c r="G70" s="27"/>
      <c r="H70" s="308"/>
      <c r="I70" s="27"/>
      <c r="J70" s="27"/>
      <c r="K70" s="27"/>
      <c r="L70" s="1036"/>
      <c r="M70" s="27"/>
      <c r="N70" s="27"/>
      <c r="O70" s="308"/>
      <c r="P70" s="27"/>
      <c r="Q70" s="27"/>
      <c r="R70" s="27"/>
      <c r="S70" s="1036"/>
      <c r="T70" s="27"/>
      <c r="U70" s="27"/>
      <c r="V70" s="308"/>
      <c r="W70" s="27"/>
      <c r="X70" s="27"/>
      <c r="Y70" s="27"/>
      <c r="Z70" s="1036"/>
      <c r="AA70" s="27"/>
      <c r="AB70" s="27"/>
      <c r="AC70" s="308"/>
      <c r="AD70" s="27"/>
      <c r="AE70" s="27"/>
      <c r="AF70" s="27"/>
      <c r="AG70" s="1036"/>
      <c r="AH70" s="27"/>
      <c r="AI70" s="27"/>
      <c r="AJ70" s="308"/>
      <c r="AK70" s="27"/>
      <c r="AL70" s="27"/>
      <c r="AM70" s="27"/>
      <c r="AN70" s="1036"/>
      <c r="AO70" s="27"/>
      <c r="AP70" s="27"/>
      <c r="AQ70" s="308"/>
      <c r="AR70" s="27"/>
      <c r="AS70" s="27"/>
      <c r="AT70" s="27"/>
      <c r="AU70" s="1036"/>
      <c r="AV70" s="27"/>
      <c r="AW70" s="27"/>
      <c r="AX70" s="308"/>
      <c r="AY70" s="27"/>
      <c r="AZ70" s="27"/>
      <c r="BA70" s="27"/>
      <c r="BB70" s="1036"/>
      <c r="BC70" s="27"/>
      <c r="BD70" s="27"/>
      <c r="BE70" s="308"/>
      <c r="BF70" s="27"/>
      <c r="BG70" s="27"/>
      <c r="BH70" s="27"/>
      <c r="BI70" s="1036"/>
      <c r="BJ70" s="27"/>
      <c r="BK70" s="27"/>
      <c r="BL70" s="308"/>
      <c r="BM70" s="27"/>
      <c r="BN70" s="27"/>
      <c r="BO70" s="27"/>
      <c r="BP70" s="1036"/>
      <c r="BQ70" s="27"/>
      <c r="BR70" s="27"/>
      <c r="BS70" s="308"/>
      <c r="BT70" s="27"/>
      <c r="BU70" s="27"/>
      <c r="BV70" s="27"/>
      <c r="BW70" s="1036"/>
      <c r="BX70" s="27"/>
      <c r="BY70" s="27"/>
      <c r="BZ70" s="308"/>
      <c r="CA70" s="27"/>
      <c r="CB70" s="27"/>
      <c r="CC70" s="27"/>
      <c r="CD70" s="1036"/>
      <c r="CE70" s="27"/>
      <c r="CF70" s="27"/>
      <c r="CG70" s="1022"/>
      <c r="CH70" s="27"/>
      <c r="CI70" s="27"/>
      <c r="CJ70" s="27"/>
      <c r="CK70" s="1036"/>
      <c r="CL70" s="27"/>
      <c r="CM70" s="27"/>
      <c r="CN70" s="1403"/>
      <c r="CO70" s="27"/>
      <c r="CP70" s="27"/>
      <c r="CQ70" s="27"/>
      <c r="CR70" s="1036"/>
      <c r="CS70" s="27"/>
      <c r="CT70" s="27"/>
      <c r="CU70" s="1022"/>
      <c r="CV70" s="27"/>
      <c r="CW70" s="27"/>
      <c r="CX70" s="27"/>
      <c r="CY70" s="1036"/>
      <c r="CZ70" s="27"/>
      <c r="DA70" s="27"/>
      <c r="DB70" s="1022"/>
      <c r="DC70" s="27"/>
      <c r="DD70" s="27"/>
      <c r="DE70" s="27"/>
      <c r="DF70" s="1036"/>
      <c r="DG70" s="27"/>
      <c r="DH70" s="27"/>
      <c r="DI70" s="1022"/>
      <c r="DJ70" s="27"/>
      <c r="DK70" s="27"/>
      <c r="DL70" s="27"/>
      <c r="DM70" s="1036"/>
      <c r="DN70" s="27"/>
      <c r="DO70" s="27"/>
      <c r="DP70" s="1022"/>
      <c r="DQ70" s="27"/>
      <c r="DR70" s="27"/>
      <c r="DS70" s="27"/>
      <c r="DT70" s="1036"/>
      <c r="DU70" s="27"/>
      <c r="DV70" s="27"/>
      <c r="DW70" s="1022"/>
      <c r="DX70" s="218"/>
      <c r="DY70" s="40"/>
      <c r="DZ70" s="40"/>
      <c r="EA70" s="218"/>
      <c r="EB70" s="29"/>
      <c r="EC70" s="29"/>
      <c r="ED70" s="27"/>
      <c r="EE70" s="31"/>
      <c r="EF70" s="31"/>
      <c r="EG70" s="31"/>
      <c r="EH70" s="31"/>
      <c r="EI70" s="218"/>
      <c r="EJ70" s="218"/>
      <c r="EK70" s="218"/>
      <c r="EL70" s="218"/>
      <c r="EM70" s="218"/>
      <c r="EN70" s="218"/>
      <c r="EO70" s="218"/>
      <c r="EP70" s="218"/>
      <c r="EQ70" s="218"/>
      <c r="ER70" s="218"/>
      <c r="ES70" s="218"/>
      <c r="ET70" s="218"/>
      <c r="EU70" s="218"/>
      <c r="EV70" s="218"/>
      <c r="EW70" s="218"/>
      <c r="EX70" s="218"/>
      <c r="EY70" s="218"/>
      <c r="EZ70" s="218"/>
      <c r="FA70" s="218"/>
      <c r="FB70" s="218"/>
      <c r="FC70" s="218"/>
      <c r="FD70" s="218"/>
      <c r="FE70" s="218"/>
      <c r="FF70" s="218"/>
      <c r="FG70" s="218"/>
      <c r="FH70" s="218"/>
      <c r="FI70" s="218"/>
      <c r="FJ70" s="218"/>
      <c r="FK70" s="218"/>
      <c r="FL70" s="218"/>
      <c r="FM70" s="218"/>
      <c r="FN70" s="218"/>
      <c r="FO70" s="218"/>
      <c r="FP70" s="218"/>
      <c r="FQ70" s="218"/>
    </row>
    <row r="71" spans="1:173" ht="10.5" customHeight="1">
      <c r="A71" s="108" t="s">
        <v>364</v>
      </c>
      <c r="B71" s="33">
        <v>2160</v>
      </c>
      <c r="C71" s="33">
        <f>F71-B71</f>
        <v>1788</v>
      </c>
      <c r="D71" s="33">
        <f>7120-B71-C71</f>
        <v>3172</v>
      </c>
      <c r="E71" s="1033">
        <f>G71-D71</f>
        <v>6334</v>
      </c>
      <c r="F71" s="33">
        <v>3948</v>
      </c>
      <c r="G71" s="33">
        <f>H71-F71</f>
        <v>9506</v>
      </c>
      <c r="H71" s="305">
        <v>13454</v>
      </c>
      <c r="I71" s="33">
        <v>2068</v>
      </c>
      <c r="J71" s="33">
        <f>M71-I71</f>
        <v>1763</v>
      </c>
      <c r="K71" s="33">
        <f>8227-I71-J71</f>
        <v>4396</v>
      </c>
      <c r="L71" s="1033">
        <f>N71-K71</f>
        <v>3998</v>
      </c>
      <c r="M71" s="33">
        <v>3831</v>
      </c>
      <c r="N71" s="33">
        <f>O71-M71</f>
        <v>8394</v>
      </c>
      <c r="O71" s="305">
        <v>12225</v>
      </c>
      <c r="P71" s="33">
        <v>2390</v>
      </c>
      <c r="Q71" s="33">
        <f>T71-P71</f>
        <v>2981</v>
      </c>
      <c r="R71" s="33">
        <f>8483-P71-Q71</f>
        <v>3112</v>
      </c>
      <c r="S71" s="1033">
        <f>U71-R71</f>
        <v>5957</v>
      </c>
      <c r="T71" s="33">
        <v>5371</v>
      </c>
      <c r="U71" s="33">
        <f>V71-T71</f>
        <v>9069</v>
      </c>
      <c r="V71" s="305">
        <v>14440</v>
      </c>
      <c r="W71" s="33">
        <v>2515</v>
      </c>
      <c r="X71" s="33">
        <f>AA71-W71</f>
        <v>2674</v>
      </c>
      <c r="Y71" s="33">
        <f>8189-W71-X71</f>
        <v>3000</v>
      </c>
      <c r="Z71" s="1033">
        <f>AB71-Y71</f>
        <v>7204</v>
      </c>
      <c r="AA71" s="33">
        <v>5189</v>
      </c>
      <c r="AB71" s="33">
        <f>AC71-AA71</f>
        <v>10204</v>
      </c>
      <c r="AC71" s="305">
        <v>15393</v>
      </c>
      <c r="AD71" s="33">
        <v>1521</v>
      </c>
      <c r="AE71" s="33">
        <f>AH71-AD71</f>
        <v>2095</v>
      </c>
      <c r="AF71" s="33">
        <f>5714-AD71-AE71</f>
        <v>2098</v>
      </c>
      <c r="AG71" s="1033">
        <f>AI71-AF71</f>
        <v>3179</v>
      </c>
      <c r="AH71" s="33">
        <v>3616</v>
      </c>
      <c r="AI71" s="33">
        <f>AJ71-AH71</f>
        <v>5277</v>
      </c>
      <c r="AJ71" s="305">
        <v>8893</v>
      </c>
      <c r="AK71" s="33">
        <v>1581</v>
      </c>
      <c r="AL71" s="33">
        <f>AO71-AK71</f>
        <v>1603</v>
      </c>
      <c r="AM71" s="33">
        <f>4988-AK71-AL71</f>
        <v>1804</v>
      </c>
      <c r="AN71" s="1033">
        <f>AP71-AM71</f>
        <v>3453</v>
      </c>
      <c r="AO71" s="33">
        <v>3184</v>
      </c>
      <c r="AP71" s="33">
        <f>AQ71-AO71</f>
        <v>5257</v>
      </c>
      <c r="AQ71" s="305">
        <v>8441</v>
      </c>
      <c r="AR71" s="33">
        <v>1074</v>
      </c>
      <c r="AS71" s="33">
        <f>AV71-AR71</f>
        <v>3941</v>
      </c>
      <c r="AT71" s="33">
        <f>6064-AR71-AS71</f>
        <v>1049</v>
      </c>
      <c r="AU71" s="1033">
        <f>AW71-AT71</f>
        <v>2456</v>
      </c>
      <c r="AV71" s="33">
        <v>5015</v>
      </c>
      <c r="AW71" s="33">
        <f>AX71-AV71</f>
        <v>3505</v>
      </c>
      <c r="AX71" s="305">
        <v>8520</v>
      </c>
      <c r="AY71" s="33">
        <v>1734</v>
      </c>
      <c r="AZ71" s="33">
        <f>BC71-AY71</f>
        <v>3854</v>
      </c>
      <c r="BA71" s="33">
        <f>8214-AY71-AZ71</f>
        <v>2626</v>
      </c>
      <c r="BB71" s="1033">
        <f>BD71-BA71</f>
        <v>3648</v>
      </c>
      <c r="BC71" s="33">
        <v>5588</v>
      </c>
      <c r="BD71" s="33">
        <f>BE71-BC71</f>
        <v>6274</v>
      </c>
      <c r="BE71" s="305">
        <v>11862</v>
      </c>
      <c r="BF71" s="33">
        <v>1962</v>
      </c>
      <c r="BG71" s="33">
        <f>BJ71-BF71</f>
        <v>1548</v>
      </c>
      <c r="BH71" s="33">
        <f>10134-BF71-BG71</f>
        <v>6624</v>
      </c>
      <c r="BI71" s="1033">
        <f>BK71-BH71</f>
        <v>3522</v>
      </c>
      <c r="BJ71" s="33">
        <v>3510</v>
      </c>
      <c r="BK71" s="33">
        <f>BL71-BJ71</f>
        <v>10146</v>
      </c>
      <c r="BL71" s="305">
        <v>13656</v>
      </c>
      <c r="BM71" s="33">
        <v>3211</v>
      </c>
      <c r="BN71" s="33">
        <f>BQ71-BM71</f>
        <v>3323</v>
      </c>
      <c r="BO71" s="33">
        <f>7991-BM71-BN71</f>
        <v>1457</v>
      </c>
      <c r="BP71" s="1033">
        <f>BR71-BO71</f>
        <v>5669</v>
      </c>
      <c r="BQ71" s="33">
        <v>6534</v>
      </c>
      <c r="BR71" s="33">
        <f>BS71-BQ71</f>
        <v>7126</v>
      </c>
      <c r="BS71" s="305">
        <v>13660</v>
      </c>
      <c r="BT71" s="33">
        <v>2521</v>
      </c>
      <c r="BU71" s="33">
        <f>BX71-BT71</f>
        <v>3517</v>
      </c>
      <c r="BV71" s="33">
        <f>8469-BT71-BU71</f>
        <v>2431</v>
      </c>
      <c r="BW71" s="1033">
        <f>BY71-BV71</f>
        <v>7232</v>
      </c>
      <c r="BX71" s="33">
        <v>6038</v>
      </c>
      <c r="BY71" s="33">
        <f>BZ71-BX71</f>
        <v>9663</v>
      </c>
      <c r="BZ71" s="305">
        <v>15701</v>
      </c>
      <c r="CA71" s="33">
        <v>1994</v>
      </c>
      <c r="CB71" s="33">
        <f>CE71-CA71</f>
        <v>4065</v>
      </c>
      <c r="CC71" s="33">
        <f>10971-CA71-CB71</f>
        <v>4912</v>
      </c>
      <c r="CD71" s="1033">
        <f>CF71-CC71</f>
        <v>5739</v>
      </c>
      <c r="CE71" s="33">
        <v>6059</v>
      </c>
      <c r="CF71" s="33">
        <f>CG71-CE71</f>
        <v>10651</v>
      </c>
      <c r="CG71" s="305">
        <v>16710</v>
      </c>
      <c r="CH71" s="33">
        <v>2592</v>
      </c>
      <c r="CI71" s="33">
        <f>CL71-CH71</f>
        <v>2492</v>
      </c>
      <c r="CJ71" s="33">
        <f>6753-CH71-CI71</f>
        <v>1669</v>
      </c>
      <c r="CK71" s="1033">
        <f>CM71-CJ71</f>
        <v>10976</v>
      </c>
      <c r="CL71" s="2106">
        <v>5084</v>
      </c>
      <c r="CM71" s="33">
        <f>CN71-CL71</f>
        <v>12645</v>
      </c>
      <c r="CN71" s="1865">
        <v>17729</v>
      </c>
      <c r="CO71" s="33">
        <v>4957</v>
      </c>
      <c r="CP71" s="33">
        <f>CS71-CO71</f>
        <v>4336</v>
      </c>
      <c r="CQ71" s="33"/>
      <c r="CR71" s="1033"/>
      <c r="CS71" s="33">
        <v>9293</v>
      </c>
      <c r="CT71" s="33"/>
      <c r="CU71" s="1022"/>
      <c r="CV71" s="33"/>
      <c r="CW71" s="33"/>
      <c r="CX71" s="33"/>
      <c r="CY71" s="1033"/>
      <c r="CZ71" s="33"/>
      <c r="DA71" s="33"/>
      <c r="DB71" s="1022"/>
      <c r="DC71" s="33"/>
      <c r="DD71" s="33"/>
      <c r="DE71" s="33"/>
      <c r="DF71" s="1033"/>
      <c r="DG71" s="33"/>
      <c r="DH71" s="33"/>
      <c r="DI71" s="1022"/>
      <c r="DJ71" s="33"/>
      <c r="DK71" s="33"/>
      <c r="DL71" s="33"/>
      <c r="DM71" s="1033"/>
      <c r="DN71" s="33"/>
      <c r="DO71" s="33"/>
      <c r="DP71" s="1022"/>
      <c r="DQ71" s="33"/>
      <c r="DR71" s="33"/>
      <c r="DS71" s="33"/>
      <c r="DT71" s="1033"/>
      <c r="DU71" s="33"/>
      <c r="DV71" s="33"/>
      <c r="DW71" s="1022"/>
      <c r="DX71" s="218"/>
      <c r="DY71" s="40"/>
      <c r="DZ71" s="40"/>
      <c r="EA71" s="218"/>
      <c r="EB71" s="29"/>
      <c r="EC71" s="29"/>
      <c r="ED71" s="27"/>
      <c r="EE71" s="31"/>
      <c r="EF71" s="31"/>
      <c r="EG71" s="31"/>
      <c r="EH71" s="31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</row>
    <row r="72" spans="1:173" ht="10.5" customHeight="1">
      <c r="A72" s="51" t="s">
        <v>347</v>
      </c>
      <c r="B72" s="115"/>
      <c r="C72" s="115"/>
      <c r="D72" s="115"/>
      <c r="E72" s="683"/>
      <c r="F72" s="115"/>
      <c r="G72" s="115"/>
      <c r="H72" s="341"/>
      <c r="I72" s="115">
        <f t="shared" ref="I72:J72" si="730">I71/B71-1</f>
        <v>-4.2592592592592626E-2</v>
      </c>
      <c r="J72" s="115">
        <f t="shared" si="730"/>
        <v>-1.3982102908277394E-2</v>
      </c>
      <c r="K72" s="115">
        <f t="shared" ref="K72" si="731">K71/D71-1</f>
        <v>0.38587641866330391</v>
      </c>
      <c r="L72" s="683">
        <f t="shared" ref="L72" si="732">L71/E71-1</f>
        <v>-0.36880328386485628</v>
      </c>
      <c r="M72" s="115">
        <f t="shared" ref="M72" si="733">M71/F71-1</f>
        <v>-2.9635258358662653E-2</v>
      </c>
      <c r="N72" s="115">
        <f t="shared" ref="N72" si="734">N71/G71-1</f>
        <v>-0.11697875026299176</v>
      </c>
      <c r="O72" s="341">
        <f>O71/H71-1</f>
        <v>-9.1348297903969033E-2</v>
      </c>
      <c r="P72" s="115">
        <f t="shared" ref="P72:Q72" si="735">P71/I71-1</f>
        <v>0.15570599613152813</v>
      </c>
      <c r="Q72" s="115">
        <f t="shared" si="735"/>
        <v>0.69086783891094727</v>
      </c>
      <c r="R72" s="115">
        <f t="shared" ref="R72" si="736">R71/K71-1</f>
        <v>-0.29208371246587805</v>
      </c>
      <c r="S72" s="683">
        <f t="shared" ref="S72" si="737">S71/L71-1</f>
        <v>0.48999499749874942</v>
      </c>
      <c r="T72" s="115">
        <f t="shared" ref="T72" si="738">T71/M71-1</f>
        <v>0.40198381623596968</v>
      </c>
      <c r="U72" s="115">
        <f t="shared" ref="U72" si="739">U71/N71-1</f>
        <v>8.0414581844174382E-2</v>
      </c>
      <c r="V72" s="341">
        <f t="shared" ref="V72:X72" si="740">V71/O71-1</f>
        <v>0.18118609406952957</v>
      </c>
      <c r="W72" s="115">
        <f t="shared" si="740"/>
        <v>5.2301255230125632E-2</v>
      </c>
      <c r="X72" s="115">
        <f t="shared" si="740"/>
        <v>-0.1029855753102985</v>
      </c>
      <c r="Y72" s="115">
        <f t="shared" ref="Y72" si="741">Y71/R71-1</f>
        <v>-3.5989717223650408E-2</v>
      </c>
      <c r="Z72" s="683">
        <f t="shared" ref="Z72" si="742">Z71/S71-1</f>
        <v>0.20933355715964419</v>
      </c>
      <c r="AA72" s="115">
        <f t="shared" ref="AA72" si="743">AA71/T71-1</f>
        <v>-3.388568236827405E-2</v>
      </c>
      <c r="AB72" s="115">
        <f t="shared" ref="AB72" si="744">AB71/U71-1</f>
        <v>0.12515161539309738</v>
      </c>
      <c r="AC72" s="341">
        <f>AC71/V71-1</f>
        <v>6.5997229916897604E-2</v>
      </c>
      <c r="AD72" s="115">
        <f t="shared" ref="AD72:AE72" si="745">AD71/W71-1</f>
        <v>-0.39522862823061633</v>
      </c>
      <c r="AE72" s="115">
        <f t="shared" si="745"/>
        <v>-0.21652954375467459</v>
      </c>
      <c r="AF72" s="115">
        <f t="shared" ref="AF72" si="746">AF71/Y71-1</f>
        <v>-0.30066666666666664</v>
      </c>
      <c r="AG72" s="683">
        <f t="shared" ref="AG72" si="747">AG71/Z71-1</f>
        <v>-0.55871737923375897</v>
      </c>
      <c r="AH72" s="115">
        <f t="shared" ref="AH72" si="748">AH71/AA71-1</f>
        <v>-0.30314126035845057</v>
      </c>
      <c r="AI72" s="115">
        <f t="shared" ref="AI72" si="749">AI71/AB71-1</f>
        <v>-0.48284986279890241</v>
      </c>
      <c r="AJ72" s="341">
        <f>AJ71/AC71-1</f>
        <v>-0.42226986292470603</v>
      </c>
      <c r="AK72" s="115">
        <f t="shared" ref="AK72:AN72" si="750">AK71/AD71-1</f>
        <v>3.9447731755424043E-2</v>
      </c>
      <c r="AL72" s="115">
        <f t="shared" si="750"/>
        <v>-0.23484486873508348</v>
      </c>
      <c r="AM72" s="115">
        <f t="shared" si="750"/>
        <v>-0.14013346043851282</v>
      </c>
      <c r="AN72" s="683">
        <f t="shared" si="750"/>
        <v>8.6190625983013636E-2</v>
      </c>
      <c r="AO72" s="115">
        <f t="shared" ref="AO72" si="751">AO71/AH71-1</f>
        <v>-0.11946902654867253</v>
      </c>
      <c r="AP72" s="115">
        <f t="shared" ref="AP72" si="752">AP71/AI71-1</f>
        <v>-3.790032215273853E-3</v>
      </c>
      <c r="AQ72" s="341">
        <f>AQ71/AJ71-1</f>
        <v>-5.082649274710449E-2</v>
      </c>
      <c r="AR72" s="115">
        <f t="shared" ref="AR72:AS72" si="753">AR71/AK71-1</f>
        <v>-0.3206831119544592</v>
      </c>
      <c r="AS72" s="115">
        <f t="shared" si="753"/>
        <v>1.4585152838427948</v>
      </c>
      <c r="AT72" s="115">
        <f t="shared" ref="AT72" si="754">AT71/AM71-1</f>
        <v>-0.41851441241685139</v>
      </c>
      <c r="AU72" s="683">
        <f t="shared" ref="AU72" si="755">AU71/AN71-1</f>
        <v>-0.28873443382565889</v>
      </c>
      <c r="AV72" s="115">
        <f t="shared" ref="AV72" si="756">AV71/AO71-1</f>
        <v>0.57506281407035176</v>
      </c>
      <c r="AW72" s="115">
        <f t="shared" ref="AW72" si="757">AW71/AP71-1</f>
        <v>-0.33326992581320147</v>
      </c>
      <c r="AX72" s="341">
        <f>AX71/AQ71-1</f>
        <v>9.3590806776449043E-3</v>
      </c>
      <c r="AY72" s="115">
        <f t="shared" ref="AY72:AZ72" si="758">AY71/AR71-1</f>
        <v>0.61452513966480438</v>
      </c>
      <c r="AZ72" s="115">
        <f t="shared" si="758"/>
        <v>-2.2075615326059395E-2</v>
      </c>
      <c r="BA72" s="115">
        <f t="shared" ref="BA72" si="759">BA71/AT71-1</f>
        <v>1.5033365109628218</v>
      </c>
      <c r="BB72" s="683">
        <f t="shared" ref="BB72" si="760">BB71/AU71-1</f>
        <v>0.48534201954397393</v>
      </c>
      <c r="BC72" s="115">
        <f t="shared" ref="BC72" si="761">BC71/AV71-1</f>
        <v>0.11425722831505492</v>
      </c>
      <c r="BD72" s="115">
        <f t="shared" ref="BD72" si="762">BD71/AW71-1</f>
        <v>0.79001426533523533</v>
      </c>
      <c r="BE72" s="341">
        <f>BE71/AX71-1</f>
        <v>0.3922535211267606</v>
      </c>
      <c r="BF72" s="115">
        <f t="shared" ref="BF72:BG72" si="763">BF71/AY71-1</f>
        <v>0.13148788927335642</v>
      </c>
      <c r="BG72" s="115">
        <f t="shared" si="763"/>
        <v>-0.59833938764919559</v>
      </c>
      <c r="BH72" s="115">
        <f t="shared" ref="BH72" si="764">BH71/BA71-1</f>
        <v>1.5224676313785226</v>
      </c>
      <c r="BI72" s="683">
        <f t="shared" ref="BI72" si="765">BI71/BB71-1</f>
        <v>-3.4539473684210509E-2</v>
      </c>
      <c r="BJ72" s="115">
        <f t="shared" ref="BJ72" si="766">BJ71/BC71-1</f>
        <v>-0.3718682891911238</v>
      </c>
      <c r="BK72" s="115">
        <f t="shared" ref="BK72" si="767">BK71/BD71-1</f>
        <v>0.61715014344915531</v>
      </c>
      <c r="BL72" s="341">
        <f>BL71/BE71-1</f>
        <v>0.15123925139099637</v>
      </c>
      <c r="BM72" s="115">
        <f t="shared" ref="BM72" si="768">BM71/BF71-1</f>
        <v>0.63659531090723753</v>
      </c>
      <c r="BN72" s="115">
        <f t="shared" ref="BN72" si="769">BN71/BG71-1</f>
        <v>1.146640826873385</v>
      </c>
      <c r="BO72" s="115">
        <f t="shared" ref="BO72" si="770">BO71/BH71-1</f>
        <v>-0.78004227053140096</v>
      </c>
      <c r="BP72" s="683">
        <f t="shared" ref="BP72" si="771">BP71/BI71-1</f>
        <v>0.60959681998864279</v>
      </c>
      <c r="BQ72" s="115">
        <f t="shared" ref="BQ72" si="772">BQ71/BJ71-1</f>
        <v>0.86153846153846159</v>
      </c>
      <c r="BR72" s="115">
        <f t="shared" ref="BR72" si="773">BR71/BK71-1</f>
        <v>-0.29765424797949935</v>
      </c>
      <c r="BS72" s="341">
        <f>BS71/BL71-1</f>
        <v>2.9291154071464653E-4</v>
      </c>
      <c r="BT72" s="115">
        <f t="shared" ref="BT72:BY72" si="774">BT71/BM71-1</f>
        <v>-0.2148863282466521</v>
      </c>
      <c r="BU72" s="115">
        <f t="shared" si="774"/>
        <v>5.8380981041227908E-2</v>
      </c>
      <c r="BV72" s="115">
        <f t="shared" si="774"/>
        <v>0.66849691146190793</v>
      </c>
      <c r="BW72" s="683">
        <f t="shared" si="774"/>
        <v>0.27571000176397953</v>
      </c>
      <c r="BX72" s="115">
        <f t="shared" si="774"/>
        <v>-7.5910621365166797E-2</v>
      </c>
      <c r="BY72" s="115">
        <f t="shared" si="774"/>
        <v>0.35602020769014886</v>
      </c>
      <c r="BZ72" s="341">
        <f>BZ71/BS71-1</f>
        <v>0.14941434846266466</v>
      </c>
      <c r="CA72" s="115">
        <f t="shared" ref="CA72:CD72" si="775">CA71/BT71-1</f>
        <v>-0.2090440301467672</v>
      </c>
      <c r="CB72" s="115">
        <f t="shared" si="775"/>
        <v>0.15581461472846181</v>
      </c>
      <c r="CC72" s="115">
        <f t="shared" si="775"/>
        <v>1.0205676676264912</v>
      </c>
      <c r="CD72" s="683">
        <f t="shared" si="775"/>
        <v>-0.20644358407079644</v>
      </c>
      <c r="CE72" s="115">
        <f>CE71/BX71-1</f>
        <v>3.4779728386882258E-3</v>
      </c>
      <c r="CF72" s="115">
        <f t="shared" ref="CF72" si="776">CF71/BY71-1</f>
        <v>0.10224567939563278</v>
      </c>
      <c r="CG72" s="341">
        <f>CG71/BZ71-1</f>
        <v>6.4263422711929197E-2</v>
      </c>
      <c r="CH72" s="115">
        <f t="shared" ref="CH72:CK72" si="777">CH71/CA71-1</f>
        <v>0.29989969909729197</v>
      </c>
      <c r="CI72" s="115">
        <f t="shared" si="777"/>
        <v>-0.38696186961869616</v>
      </c>
      <c r="CJ72" s="115">
        <f t="shared" si="777"/>
        <v>-0.66021986970684043</v>
      </c>
      <c r="CK72" s="683">
        <f t="shared" si="777"/>
        <v>0.91252831503746301</v>
      </c>
      <c r="CL72" s="115">
        <f>CL71/CE71-1</f>
        <v>-0.16091764317544144</v>
      </c>
      <c r="CM72" s="115">
        <f t="shared" ref="CM72" si="778">CM71/CF71-1</f>
        <v>0.18721246831283445</v>
      </c>
      <c r="CN72" s="1866">
        <f>CN71/CG71-1</f>
        <v>6.0981448234590063E-2</v>
      </c>
      <c r="CO72" s="115">
        <f t="shared" ref="CO72:CP72" si="779">CO71/CH71-1</f>
        <v>0.91242283950617287</v>
      </c>
      <c r="CP72" s="115">
        <f t="shared" si="779"/>
        <v>0.73996789727126799</v>
      </c>
      <c r="CQ72" s="128"/>
      <c r="CR72" s="683"/>
      <c r="CS72" s="115">
        <f>CS71/CL71-1</f>
        <v>0.82789142407553107</v>
      </c>
      <c r="CT72" s="128"/>
      <c r="CU72" s="1028"/>
      <c r="CV72" s="128"/>
      <c r="CW72" s="128"/>
      <c r="CX72" s="128"/>
      <c r="CY72" s="683"/>
      <c r="CZ72" s="128"/>
      <c r="DA72" s="128"/>
      <c r="DB72" s="1028"/>
      <c r="DC72" s="128"/>
      <c r="DD72" s="128"/>
      <c r="DE72" s="128"/>
      <c r="DF72" s="683"/>
      <c r="DG72" s="128"/>
      <c r="DH72" s="128"/>
      <c r="DI72" s="1028"/>
      <c r="DJ72" s="128"/>
      <c r="DK72" s="128"/>
      <c r="DL72" s="128"/>
      <c r="DM72" s="683"/>
      <c r="DN72" s="128"/>
      <c r="DO72" s="128"/>
      <c r="DP72" s="1028"/>
      <c r="DQ72" s="128"/>
      <c r="DR72" s="128"/>
      <c r="DS72" s="128"/>
      <c r="DT72" s="683"/>
      <c r="DU72" s="128"/>
      <c r="DV72" s="128"/>
      <c r="DW72" s="1028"/>
      <c r="DX72" s="219"/>
      <c r="DY72" s="791"/>
      <c r="DZ72" s="791"/>
      <c r="EA72" s="219"/>
      <c r="EB72" s="789"/>
      <c r="EC72" s="789"/>
      <c r="ED72" s="28"/>
      <c r="EE72" s="262"/>
      <c r="EF72" s="262"/>
      <c r="EG72" s="262"/>
      <c r="EH72" s="262"/>
      <c r="EI72" s="219"/>
      <c r="EJ72" s="219"/>
      <c r="EK72" s="219"/>
      <c r="EL72" s="219"/>
      <c r="EM72" s="219"/>
      <c r="EN72" s="219"/>
      <c r="EO72" s="219"/>
      <c r="EP72" s="219"/>
      <c r="EQ72" s="219"/>
      <c r="ER72" s="219"/>
      <c r="ES72" s="219"/>
      <c r="ET72" s="219"/>
      <c r="EU72" s="219"/>
      <c r="EV72" s="219"/>
      <c r="EW72" s="219"/>
      <c r="EX72" s="219"/>
      <c r="EY72" s="219"/>
      <c r="EZ72" s="219"/>
      <c r="FA72" s="219"/>
      <c r="FB72" s="219"/>
      <c r="FC72" s="219"/>
      <c r="FD72" s="219"/>
      <c r="FE72" s="219"/>
      <c r="FF72" s="219"/>
      <c r="FG72" s="219"/>
      <c r="FH72" s="219"/>
      <c r="FI72" s="219"/>
      <c r="FJ72" s="219"/>
      <c r="FK72" s="219"/>
      <c r="FL72" s="219"/>
      <c r="FM72" s="219"/>
      <c r="FN72" s="219"/>
      <c r="FO72" s="219"/>
      <c r="FP72" s="219"/>
      <c r="FQ72" s="219"/>
    </row>
    <row r="73" spans="1:173" ht="10.5" customHeight="1">
      <c r="A73" s="51" t="s">
        <v>345</v>
      </c>
      <c r="B73" s="174">
        <f t="shared" ref="B73:E73" si="780">B71/B28</f>
        <v>0.81081081081081086</v>
      </c>
      <c r="C73" s="174">
        <f t="shared" si="780"/>
        <v>0.61655172413793102</v>
      </c>
      <c r="D73" s="174">
        <f t="shared" si="780"/>
        <v>1.1256210078069553</v>
      </c>
      <c r="E73" s="968">
        <f t="shared" si="780"/>
        <v>1.3365688963916438</v>
      </c>
      <c r="F73" s="174">
        <f t="shared" ref="F73:H73" si="781">F71/F28</f>
        <v>0.70956146657081232</v>
      </c>
      <c r="G73" s="174">
        <f t="shared" si="781"/>
        <v>1.2579065766838693</v>
      </c>
      <c r="H73" s="1264">
        <f t="shared" si="781"/>
        <v>1.0253791631735385</v>
      </c>
      <c r="I73" s="174">
        <f t="shared" ref="I73:L73" si="782">I71/I28</f>
        <v>0.7539190667152752</v>
      </c>
      <c r="J73" s="174">
        <f t="shared" si="782"/>
        <v>0.63577353047241258</v>
      </c>
      <c r="K73" s="174">
        <f t="shared" si="782"/>
        <v>1.639686684073107</v>
      </c>
      <c r="L73" s="968">
        <f t="shared" si="782"/>
        <v>0.828086164043082</v>
      </c>
      <c r="M73" s="174">
        <f t="shared" ref="M73:N73" si="783">M71/M28</f>
        <v>0.69452501812907907</v>
      </c>
      <c r="N73" s="174">
        <f t="shared" si="783"/>
        <v>1.1178585697163403</v>
      </c>
      <c r="O73" s="1264">
        <f t="shared" ref="O73:BT73" si="784">O71/O28</f>
        <v>0.93857965451055658</v>
      </c>
      <c r="P73" s="174">
        <f t="shared" si="784"/>
        <v>0.91817134076066076</v>
      </c>
      <c r="Q73" s="174">
        <f t="shared" si="784"/>
        <v>1.0181010928961749</v>
      </c>
      <c r="R73" s="174">
        <f t="shared" si="784"/>
        <v>1.091164095371669</v>
      </c>
      <c r="S73" s="968">
        <f t="shared" si="784"/>
        <v>1.2682563338301043</v>
      </c>
      <c r="T73" s="174">
        <f t="shared" ref="T73:U73" si="785">T71/T28</f>
        <v>0.97107213885373356</v>
      </c>
      <c r="U73" s="174">
        <f t="shared" si="785"/>
        <v>1.2013511723407073</v>
      </c>
      <c r="V73" s="1264">
        <f t="shared" si="784"/>
        <v>1.1039755351681957</v>
      </c>
      <c r="W73" s="174">
        <f t="shared" ref="W73:Z73" si="786">W71/W28</f>
        <v>0.99250197316495659</v>
      </c>
      <c r="X73" s="174">
        <f t="shared" si="786"/>
        <v>0.9201651754989677</v>
      </c>
      <c r="Y73" s="174">
        <f t="shared" si="786"/>
        <v>1.3192612137203166</v>
      </c>
      <c r="Z73" s="968">
        <f t="shared" si="786"/>
        <v>1.740096618357488</v>
      </c>
      <c r="AA73" s="174">
        <f t="shared" ref="AA73:AB73" si="787">AA71/AA28</f>
        <v>0.95386029411764706</v>
      </c>
      <c r="AB73" s="174">
        <f t="shared" si="787"/>
        <v>1.5908949173682569</v>
      </c>
      <c r="AC73" s="1264">
        <f t="shared" si="784"/>
        <v>1.2985490129913952</v>
      </c>
      <c r="AD73" s="174">
        <f t="shared" si="784"/>
        <v>0.71948912015137179</v>
      </c>
      <c r="AE73" s="174">
        <f t="shared" si="784"/>
        <v>0.83432895260852247</v>
      </c>
      <c r="AF73" s="174">
        <f t="shared" si="784"/>
        <v>0.99525616698292219</v>
      </c>
      <c r="AG73" s="968">
        <f t="shared" si="784"/>
        <v>0.78088921640874476</v>
      </c>
      <c r="AH73" s="174">
        <f t="shared" ref="AH73:AI73" si="788">AH71/AH28</f>
        <v>0.78183783783783789</v>
      </c>
      <c r="AI73" s="174">
        <f t="shared" si="788"/>
        <v>0.8540216863570157</v>
      </c>
      <c r="AJ73" s="1264">
        <f t="shared" si="784"/>
        <v>0.82312106627175119</v>
      </c>
      <c r="AK73" s="174">
        <f t="shared" ref="AK73:AN73" si="789">AK71/AK28</f>
        <v>0.71312584573748306</v>
      </c>
      <c r="AL73" s="174">
        <f t="shared" si="789"/>
        <v>0.65831622176591376</v>
      </c>
      <c r="AM73" s="174">
        <f t="shared" si="789"/>
        <v>0.75197999166319296</v>
      </c>
      <c r="AN73" s="968">
        <f t="shared" si="789"/>
        <v>0.86066799601196409</v>
      </c>
      <c r="AO73" s="174">
        <f t="shared" ref="AO73:AP73" si="790">AO71/AO28</f>
        <v>0.68443680137575236</v>
      </c>
      <c r="AP73" s="174">
        <f t="shared" si="790"/>
        <v>0.81999688036187801</v>
      </c>
      <c r="AQ73" s="1264">
        <f t="shared" si="784"/>
        <v>0.76299376299376298</v>
      </c>
      <c r="AR73" s="174">
        <f t="shared" si="784"/>
        <v>0.50852272727272729</v>
      </c>
      <c r="AS73" s="174">
        <f t="shared" si="784"/>
        <v>1.3575611436445056</v>
      </c>
      <c r="AT73" s="174">
        <f t="shared" si="784"/>
        <v>0.38981791155704199</v>
      </c>
      <c r="AU73" s="968">
        <f t="shared" si="784"/>
        <v>0.76726023117775699</v>
      </c>
      <c r="AV73" s="174">
        <f t="shared" ref="AV73:AW73" si="791">AV71/AV28</f>
        <v>1</v>
      </c>
      <c r="AW73" s="174">
        <f t="shared" si="791"/>
        <v>0.59487440597420227</v>
      </c>
      <c r="AX73" s="1264">
        <f t="shared" si="784"/>
        <v>0.78114972036306962</v>
      </c>
      <c r="AY73" s="174">
        <f t="shared" ref="AY73:BB73" si="792">AY71/AY28</f>
        <v>0.82141165324490761</v>
      </c>
      <c r="AZ73" s="174">
        <f t="shared" si="792"/>
        <v>1.5795081967213114</v>
      </c>
      <c r="BA73" s="174">
        <f t="shared" si="792"/>
        <v>1.1010482180293502</v>
      </c>
      <c r="BB73" s="968">
        <f t="shared" si="792"/>
        <v>1.0393162393162394</v>
      </c>
      <c r="BC73" s="174">
        <f t="shared" ref="BC73:BD73" si="793">BC71/BC28</f>
        <v>1.2278620083498133</v>
      </c>
      <c r="BD73" s="174">
        <f t="shared" si="793"/>
        <v>1.0642917726887193</v>
      </c>
      <c r="BE73" s="1264">
        <f t="shared" si="784"/>
        <v>1.1355542791499138</v>
      </c>
      <c r="BF73" s="174">
        <f t="shared" si="784"/>
        <v>0.92765957446808511</v>
      </c>
      <c r="BG73" s="174">
        <f t="shared" si="784"/>
        <v>0.63887742468014863</v>
      </c>
      <c r="BH73" s="174">
        <f t="shared" si="784"/>
        <v>2.8271446862996159</v>
      </c>
      <c r="BI73" s="968">
        <f t="shared" si="784"/>
        <v>1.0656580937972768</v>
      </c>
      <c r="BJ73" s="174">
        <f t="shared" ref="BJ73:BK73" si="794">BJ71/BJ28</f>
        <v>0.77346848832084614</v>
      </c>
      <c r="BK73" s="174">
        <f t="shared" si="794"/>
        <v>1.7963881019830028</v>
      </c>
      <c r="BL73" s="1264">
        <f t="shared" si="784"/>
        <v>1.3406636559984293</v>
      </c>
      <c r="BM73" s="174">
        <f t="shared" ref="BM73:BP73" si="795">BM71/BM28</f>
        <v>1.3090093762739503</v>
      </c>
      <c r="BN73" s="174">
        <f t="shared" si="795"/>
        <v>1.2766039185555129</v>
      </c>
      <c r="BO73" s="174">
        <f t="shared" si="795"/>
        <v>0.57430035474970442</v>
      </c>
      <c r="BP73" s="968">
        <f t="shared" si="795"/>
        <v>1.5463720676486634</v>
      </c>
      <c r="BQ73" s="174">
        <f t="shared" ref="BQ73:BR73" si="796">BQ71/BQ28</f>
        <v>1.2923259493670887</v>
      </c>
      <c r="BR73" s="174">
        <f t="shared" si="796"/>
        <v>1.1487989682411737</v>
      </c>
      <c r="BS73" s="1264">
        <f t="shared" si="784"/>
        <v>1.2132516209254818</v>
      </c>
      <c r="BT73" s="174">
        <f t="shared" si="784"/>
        <v>1.0965637233579817</v>
      </c>
      <c r="BU73" s="174">
        <f t="shared" ref="BU73:BY73" si="797">BU71/BU28</f>
        <v>1.494052676295667</v>
      </c>
      <c r="BV73" s="174">
        <f t="shared" si="797"/>
        <v>0.98024193548387095</v>
      </c>
      <c r="BW73" s="968">
        <f t="shared" si="797"/>
        <v>1.6579550664832645</v>
      </c>
      <c r="BX73" s="174">
        <f t="shared" ref="BX73" si="798">BX71/BX28</f>
        <v>1.2976574253169997</v>
      </c>
      <c r="BY73" s="174">
        <f t="shared" si="797"/>
        <v>1.4123063431745104</v>
      </c>
      <c r="BZ73" s="1264">
        <f t="shared" ref="BZ73:CD73" si="799">BZ71/BZ28</f>
        <v>1.3658982166159199</v>
      </c>
      <c r="CA73" s="174">
        <f t="shared" si="799"/>
        <v>0.83117965819091288</v>
      </c>
      <c r="CB73" s="174">
        <f t="shared" si="799"/>
        <v>1.5719257540603249</v>
      </c>
      <c r="CC73" s="174">
        <f t="shared" si="799"/>
        <v>1.8719512195121952</v>
      </c>
      <c r="CD73" s="968">
        <f t="shared" si="799"/>
        <v>1.2830315224681421</v>
      </c>
      <c r="CE73" s="174">
        <f t="shared" ref="CE73:CK73" si="800">CE71/CE28</f>
        <v>1.2154463390170511</v>
      </c>
      <c r="CF73" s="174">
        <f t="shared" si="800"/>
        <v>1.5007749753416937</v>
      </c>
      <c r="CG73" s="1264">
        <f t="shared" si="800"/>
        <v>1.3830491640456879</v>
      </c>
      <c r="CH73" s="174">
        <f t="shared" si="800"/>
        <v>0.97590361445783136</v>
      </c>
      <c r="CI73" s="174">
        <f t="shared" si="800"/>
        <v>0.78935698447893565</v>
      </c>
      <c r="CJ73" s="174">
        <f t="shared" si="800"/>
        <v>0.54489063010120797</v>
      </c>
      <c r="CK73" s="968">
        <f t="shared" si="800"/>
        <v>2.4234930448222567</v>
      </c>
      <c r="CL73" s="174">
        <f t="shared" ref="CL73:CM73" si="801">CL71/CL28</f>
        <v>0.87459143299501119</v>
      </c>
      <c r="CM73" s="174">
        <f t="shared" si="801"/>
        <v>1.6655690200210749</v>
      </c>
      <c r="CN73" s="1867">
        <f t="shared" ref="CN73:CP73" si="802">CN71/CN28</f>
        <v>1.3225662066393138</v>
      </c>
      <c r="CO73" s="174">
        <f t="shared" si="802"/>
        <v>1.7503531073446328</v>
      </c>
      <c r="CP73" s="174">
        <f t="shared" si="802"/>
        <v>1.2445464982778416</v>
      </c>
      <c r="CQ73" s="174"/>
      <c r="CR73" s="968"/>
      <c r="CS73" s="174">
        <f t="shared" ref="CS73" si="803">CS71/CS28</f>
        <v>1.4713426219126029</v>
      </c>
      <c r="CT73" s="174"/>
      <c r="CU73" s="1022"/>
      <c r="CV73" s="174"/>
      <c r="CW73" s="174"/>
      <c r="CX73" s="174"/>
      <c r="CY73" s="968"/>
      <c r="CZ73" s="174"/>
      <c r="DA73" s="174"/>
      <c r="DB73" s="1022"/>
      <c r="DC73" s="174"/>
      <c r="DD73" s="174"/>
      <c r="DE73" s="174"/>
      <c r="DF73" s="968"/>
      <c r="DG73" s="174"/>
      <c r="DH73" s="174"/>
      <c r="DI73" s="1022"/>
      <c r="DJ73" s="174"/>
      <c r="DK73" s="174"/>
      <c r="DL73" s="174"/>
      <c r="DM73" s="968"/>
      <c r="DN73" s="174"/>
      <c r="DO73" s="174"/>
      <c r="DP73" s="1022"/>
      <c r="DQ73" s="174"/>
      <c r="DR73" s="174"/>
      <c r="DS73" s="174"/>
      <c r="DT73" s="968"/>
      <c r="DU73" s="174"/>
      <c r="DV73" s="174"/>
      <c r="DW73" s="1022"/>
      <c r="DX73" s="218"/>
      <c r="DY73" s="40"/>
      <c r="DZ73" s="40"/>
      <c r="EA73" s="218"/>
      <c r="EB73" s="29"/>
      <c r="EC73" s="29"/>
      <c r="ED73" s="27"/>
      <c r="EE73" s="31"/>
      <c r="EF73" s="31"/>
      <c r="EG73" s="31"/>
      <c r="EH73" s="31"/>
      <c r="EI73" s="218"/>
      <c r="EJ73" s="218"/>
      <c r="EK73" s="218"/>
      <c r="EL73" s="218"/>
      <c r="EM73" s="218"/>
      <c r="EN73" s="218"/>
      <c r="EO73" s="218"/>
      <c r="EP73" s="218"/>
      <c r="EQ73" s="218"/>
      <c r="ER73" s="218"/>
      <c r="ES73" s="218"/>
      <c r="ET73" s="218"/>
      <c r="EU73" s="218"/>
      <c r="EV73" s="218"/>
      <c r="EW73" s="218"/>
      <c r="EX73" s="218"/>
      <c r="EY73" s="218"/>
      <c r="EZ73" s="218"/>
      <c r="FA73" s="218"/>
      <c r="FB73" s="218"/>
      <c r="FC73" s="218"/>
      <c r="FD73" s="218"/>
      <c r="FE73" s="218"/>
      <c r="FF73" s="218"/>
      <c r="FG73" s="218"/>
      <c r="FH73" s="218"/>
      <c r="FI73" s="218"/>
      <c r="FJ73" s="218"/>
      <c r="FK73" s="218"/>
      <c r="FL73" s="218"/>
      <c r="FM73" s="218"/>
      <c r="FN73" s="218"/>
      <c r="FO73" s="218"/>
      <c r="FP73" s="218"/>
      <c r="FQ73" s="218"/>
    </row>
    <row r="74" spans="1:173" ht="10.5" customHeight="1">
      <c r="A74" s="108"/>
      <c r="B74" s="27"/>
      <c r="C74" s="27"/>
      <c r="D74" s="27"/>
      <c r="E74" s="1036"/>
      <c r="F74" s="27"/>
      <c r="G74" s="27"/>
      <c r="H74" s="308"/>
      <c r="I74" s="27"/>
      <c r="J74" s="27"/>
      <c r="K74" s="27"/>
      <c r="L74" s="1036"/>
      <c r="M74" s="27"/>
      <c r="N74" s="27"/>
      <c r="O74" s="308"/>
      <c r="P74" s="27"/>
      <c r="Q74" s="27"/>
      <c r="R74" s="27"/>
      <c r="S74" s="1036"/>
      <c r="T74" s="27"/>
      <c r="U74" s="27"/>
      <c r="V74" s="308"/>
      <c r="W74" s="27"/>
      <c r="X74" s="27"/>
      <c r="Y74" s="27"/>
      <c r="Z74" s="1036"/>
      <c r="AA74" s="27"/>
      <c r="AB74" s="27"/>
      <c r="AC74" s="308"/>
      <c r="AD74" s="27"/>
      <c r="AE74" s="27"/>
      <c r="AF74" s="27"/>
      <c r="AG74" s="1036"/>
      <c r="AH74" s="27"/>
      <c r="AI74" s="27"/>
      <c r="AJ74" s="308"/>
      <c r="AK74" s="27"/>
      <c r="AL74" s="27"/>
      <c r="AM74" s="27"/>
      <c r="AN74" s="1036"/>
      <c r="AO74" s="27"/>
      <c r="AP74" s="27"/>
      <c r="AQ74" s="308"/>
      <c r="AR74" s="27"/>
      <c r="AS74" s="27"/>
      <c r="AT74" s="27"/>
      <c r="AU74" s="1036"/>
      <c r="AV74" s="27"/>
      <c r="AW74" s="27"/>
      <c r="AX74" s="308"/>
      <c r="AY74" s="27"/>
      <c r="AZ74" s="27"/>
      <c r="BA74" s="27"/>
      <c r="BB74" s="1036"/>
      <c r="BC74" s="27"/>
      <c r="BD74" s="27"/>
      <c r="BE74" s="308"/>
      <c r="BF74" s="27"/>
      <c r="BG74" s="27"/>
      <c r="BH74" s="27"/>
      <c r="BI74" s="1036"/>
      <c r="BJ74" s="27"/>
      <c r="BK74" s="27"/>
      <c r="BL74" s="308"/>
      <c r="BM74" s="27"/>
      <c r="BN74" s="27"/>
      <c r="BO74" s="27"/>
      <c r="BP74" s="1036"/>
      <c r="BQ74" s="27"/>
      <c r="BR74" s="27"/>
      <c r="BS74" s="308"/>
      <c r="BT74" s="27"/>
      <c r="BU74" s="27"/>
      <c r="BV74" s="27"/>
      <c r="BW74" s="1036"/>
      <c r="BX74" s="27"/>
      <c r="BY74" s="27"/>
      <c r="BZ74" s="308"/>
      <c r="CA74" s="27"/>
      <c r="CB74" s="27"/>
      <c r="CC74" s="27"/>
      <c r="CD74" s="1036"/>
      <c r="CE74" s="27"/>
      <c r="CF74" s="27"/>
      <c r="CG74" s="308"/>
      <c r="CH74" s="27"/>
      <c r="CI74" s="27"/>
      <c r="CJ74" s="27"/>
      <c r="CK74" s="1036"/>
      <c r="CL74" s="27"/>
      <c r="CM74" s="27"/>
      <c r="CN74" s="1403"/>
      <c r="CO74" s="27"/>
      <c r="CP74" s="27"/>
      <c r="CQ74" s="27"/>
      <c r="CR74" s="1036"/>
      <c r="CS74" s="27"/>
      <c r="CT74" s="27"/>
      <c r="CU74" s="1022"/>
      <c r="CV74" s="27"/>
      <c r="CW74" s="27"/>
      <c r="CX74" s="27"/>
      <c r="CY74" s="1036"/>
      <c r="CZ74" s="27"/>
      <c r="DA74" s="27"/>
      <c r="DB74" s="1022"/>
      <c r="DC74" s="27"/>
      <c r="DD74" s="27"/>
      <c r="DE74" s="27"/>
      <c r="DF74" s="1036"/>
      <c r="DG74" s="27"/>
      <c r="DH74" s="27"/>
      <c r="DI74" s="1022"/>
      <c r="DJ74" s="27"/>
      <c r="DK74" s="27"/>
      <c r="DL74" s="27"/>
      <c r="DM74" s="1036"/>
      <c r="DN74" s="27"/>
      <c r="DO74" s="27"/>
      <c r="DP74" s="1022"/>
      <c r="DQ74" s="27"/>
      <c r="DR74" s="27"/>
      <c r="DS74" s="27"/>
      <c r="DT74" s="1036"/>
      <c r="DU74" s="27"/>
      <c r="DV74" s="27"/>
      <c r="DW74" s="1022"/>
      <c r="DX74" s="218"/>
      <c r="DY74" s="40"/>
      <c r="DZ74" s="40"/>
      <c r="EA74" s="218"/>
      <c r="EB74" s="29"/>
      <c r="EC74" s="29"/>
      <c r="ED74" s="27"/>
      <c r="EE74" s="31"/>
      <c r="EF74" s="31"/>
      <c r="EG74" s="31"/>
      <c r="EH74" s="31"/>
      <c r="EI74" s="218"/>
      <c r="EJ74" s="218"/>
      <c r="EK74" s="218"/>
      <c r="EL74" s="218"/>
      <c r="EM74" s="218"/>
      <c r="EN74" s="218"/>
      <c r="EO74" s="218"/>
      <c r="EP74" s="218"/>
      <c r="EQ74" s="218"/>
      <c r="ER74" s="218"/>
      <c r="ES74" s="218"/>
      <c r="ET74" s="218"/>
      <c r="EU74" s="218"/>
      <c r="EV74" s="218"/>
      <c r="EW74" s="218"/>
      <c r="EX74" s="218"/>
      <c r="EY74" s="218"/>
      <c r="EZ74" s="218"/>
      <c r="FA74" s="218"/>
      <c r="FB74" s="218"/>
      <c r="FC74" s="218"/>
      <c r="FD74" s="218"/>
      <c r="FE74" s="218"/>
      <c r="FF74" s="218"/>
      <c r="FG74" s="218"/>
      <c r="FH74" s="218"/>
      <c r="FI74" s="218"/>
      <c r="FJ74" s="218"/>
      <c r="FK74" s="218"/>
      <c r="FL74" s="218"/>
      <c r="FM74" s="218"/>
      <c r="FN74" s="218"/>
      <c r="FO74" s="218"/>
      <c r="FP74" s="218"/>
      <c r="FQ74" s="218"/>
    </row>
    <row r="75" spans="1:173" ht="10.5" customHeight="1">
      <c r="A75" s="108" t="s">
        <v>334</v>
      </c>
      <c r="B75" s="33">
        <f t="shared" ref="B75:E75" si="804">B9</f>
        <v>84</v>
      </c>
      <c r="C75" s="33">
        <f t="shared" si="804"/>
        <v>132</v>
      </c>
      <c r="D75" s="33">
        <f t="shared" si="804"/>
        <v>140</v>
      </c>
      <c r="E75" s="1033">
        <f t="shared" si="804"/>
        <v>555</v>
      </c>
      <c r="F75" s="33">
        <f t="shared" ref="F75:G75" si="805">F9</f>
        <v>216</v>
      </c>
      <c r="G75" s="33">
        <f t="shared" si="805"/>
        <v>695</v>
      </c>
      <c r="H75" s="305">
        <f t="shared" ref="H75:BS75" si="806">H9</f>
        <v>911</v>
      </c>
      <c r="I75" s="33">
        <f t="shared" si="806"/>
        <v>85</v>
      </c>
      <c r="J75" s="33">
        <f t="shared" si="806"/>
        <v>138</v>
      </c>
      <c r="K75" s="33">
        <f t="shared" si="806"/>
        <v>147</v>
      </c>
      <c r="L75" s="1033">
        <f t="shared" si="806"/>
        <v>550</v>
      </c>
      <c r="M75" s="33">
        <f t="shared" ref="M75:N75" si="807">M9</f>
        <v>223</v>
      </c>
      <c r="N75" s="33">
        <f t="shared" si="807"/>
        <v>697</v>
      </c>
      <c r="O75" s="305">
        <f t="shared" si="806"/>
        <v>920</v>
      </c>
      <c r="P75" s="33">
        <f t="shared" ref="P75:S75" si="808">P9</f>
        <v>90</v>
      </c>
      <c r="Q75" s="33">
        <f t="shared" si="808"/>
        <v>177</v>
      </c>
      <c r="R75" s="33">
        <f t="shared" si="808"/>
        <v>164</v>
      </c>
      <c r="S75" s="1033">
        <f t="shared" si="808"/>
        <v>629</v>
      </c>
      <c r="T75" s="33">
        <f t="shared" ref="T75:U75" si="809">T9</f>
        <v>267</v>
      </c>
      <c r="U75" s="33">
        <f t="shared" si="809"/>
        <v>793</v>
      </c>
      <c r="V75" s="305">
        <f t="shared" si="806"/>
        <v>1060</v>
      </c>
      <c r="W75" s="33">
        <f t="shared" si="806"/>
        <v>107</v>
      </c>
      <c r="X75" s="33">
        <f t="shared" si="806"/>
        <v>215</v>
      </c>
      <c r="Y75" s="33">
        <f t="shared" si="806"/>
        <v>114</v>
      </c>
      <c r="Z75" s="1033">
        <f t="shared" si="806"/>
        <v>566</v>
      </c>
      <c r="AA75" s="33">
        <f t="shared" ref="AA75:AB75" si="810">AA9</f>
        <v>322</v>
      </c>
      <c r="AB75" s="33">
        <f t="shared" si="810"/>
        <v>680</v>
      </c>
      <c r="AC75" s="305">
        <f t="shared" si="806"/>
        <v>1002</v>
      </c>
      <c r="AD75" s="33">
        <f t="shared" ref="AD75:AG75" si="811">AD9</f>
        <v>63</v>
      </c>
      <c r="AE75" s="33">
        <f t="shared" si="811"/>
        <v>185</v>
      </c>
      <c r="AF75" s="33">
        <f t="shared" si="811"/>
        <v>109</v>
      </c>
      <c r="AG75" s="1033">
        <f t="shared" si="811"/>
        <v>515</v>
      </c>
      <c r="AH75" s="33">
        <f t="shared" ref="AH75:AI75" si="812">AH9</f>
        <v>248</v>
      </c>
      <c r="AI75" s="33">
        <f t="shared" si="812"/>
        <v>624</v>
      </c>
      <c r="AJ75" s="305">
        <f t="shared" si="806"/>
        <v>872</v>
      </c>
      <c r="AK75" s="33">
        <f t="shared" si="806"/>
        <v>112</v>
      </c>
      <c r="AL75" s="33">
        <f t="shared" si="806"/>
        <v>197</v>
      </c>
      <c r="AM75" s="33">
        <f t="shared" si="806"/>
        <v>100</v>
      </c>
      <c r="AN75" s="1033">
        <f t="shared" si="806"/>
        <v>526</v>
      </c>
      <c r="AO75" s="33">
        <f t="shared" ref="AO75:AP75" si="813">AO9</f>
        <v>309</v>
      </c>
      <c r="AP75" s="33">
        <f t="shared" si="813"/>
        <v>626</v>
      </c>
      <c r="AQ75" s="305">
        <f t="shared" si="806"/>
        <v>935</v>
      </c>
      <c r="AR75" s="33">
        <f t="shared" ref="AR75:AU75" si="814">AR9</f>
        <v>101</v>
      </c>
      <c r="AS75" s="33">
        <f t="shared" si="814"/>
        <v>132</v>
      </c>
      <c r="AT75" s="33">
        <f t="shared" si="814"/>
        <v>122</v>
      </c>
      <c r="AU75" s="1033">
        <f t="shared" si="814"/>
        <v>210</v>
      </c>
      <c r="AV75" s="33">
        <f t="shared" ref="AV75:AW75" si="815">AV9</f>
        <v>233</v>
      </c>
      <c r="AW75" s="33">
        <f t="shared" si="815"/>
        <v>332</v>
      </c>
      <c r="AX75" s="305">
        <f t="shared" si="806"/>
        <v>565</v>
      </c>
      <c r="AY75" s="33">
        <f t="shared" si="806"/>
        <v>15</v>
      </c>
      <c r="AZ75" s="33">
        <f t="shared" si="806"/>
        <v>171</v>
      </c>
      <c r="BA75" s="33">
        <f t="shared" si="806"/>
        <v>80</v>
      </c>
      <c r="BB75" s="1033">
        <f t="shared" si="806"/>
        <v>394</v>
      </c>
      <c r="BC75" s="33">
        <f t="shared" ref="BC75:BD75" si="816">BC9</f>
        <v>186</v>
      </c>
      <c r="BD75" s="33">
        <f t="shared" si="816"/>
        <v>474</v>
      </c>
      <c r="BE75" s="305">
        <f t="shared" si="806"/>
        <v>660</v>
      </c>
      <c r="BF75" s="33">
        <f t="shared" ref="BF75:BI75" si="817">BF9</f>
        <v>59</v>
      </c>
      <c r="BG75" s="33">
        <f t="shared" si="817"/>
        <v>170</v>
      </c>
      <c r="BH75" s="33">
        <f t="shared" si="817"/>
        <v>55</v>
      </c>
      <c r="BI75" s="1033">
        <f t="shared" si="817"/>
        <v>412</v>
      </c>
      <c r="BJ75" s="33">
        <f t="shared" ref="BJ75:BK75" si="818">BJ9</f>
        <v>229</v>
      </c>
      <c r="BK75" s="33">
        <f t="shared" si="818"/>
        <v>467</v>
      </c>
      <c r="BL75" s="305">
        <f t="shared" si="806"/>
        <v>696</v>
      </c>
      <c r="BM75" s="33">
        <f t="shared" si="806"/>
        <v>106</v>
      </c>
      <c r="BN75" s="33">
        <f t="shared" si="806"/>
        <v>49</v>
      </c>
      <c r="BO75" s="33">
        <f t="shared" si="806"/>
        <v>76</v>
      </c>
      <c r="BP75" s="1033">
        <f t="shared" si="806"/>
        <v>153</v>
      </c>
      <c r="BQ75" s="33">
        <f t="shared" ref="BQ75:BR75" si="819">BQ9</f>
        <v>155</v>
      </c>
      <c r="BR75" s="33">
        <f t="shared" si="819"/>
        <v>229</v>
      </c>
      <c r="BS75" s="305">
        <f t="shared" si="806"/>
        <v>384</v>
      </c>
      <c r="BT75" s="33">
        <f t="shared" ref="BT75:BY75" si="820">BT9</f>
        <v>36</v>
      </c>
      <c r="BU75" s="33">
        <f t="shared" si="820"/>
        <v>42</v>
      </c>
      <c r="BV75" s="33">
        <f t="shared" si="820"/>
        <v>-79</v>
      </c>
      <c r="BW75" s="1033">
        <f t="shared" si="820"/>
        <v>230</v>
      </c>
      <c r="BX75" s="33">
        <f t="shared" si="820"/>
        <v>78</v>
      </c>
      <c r="BY75" s="33">
        <f t="shared" si="820"/>
        <v>151</v>
      </c>
      <c r="BZ75" s="305">
        <f t="shared" ref="BZ75:CD75" si="821">BZ9</f>
        <v>229</v>
      </c>
      <c r="CA75" s="33">
        <f t="shared" si="821"/>
        <v>-9</v>
      </c>
      <c r="CB75" s="33">
        <f t="shared" si="821"/>
        <v>-798</v>
      </c>
      <c r="CC75" s="33">
        <f t="shared" si="821"/>
        <v>146</v>
      </c>
      <c r="CD75" s="1033">
        <f t="shared" si="821"/>
        <v>95</v>
      </c>
      <c r="CE75" s="33">
        <f t="shared" ref="CE75:CK75" si="822">CE9</f>
        <v>-807</v>
      </c>
      <c r="CF75" s="33">
        <f t="shared" si="822"/>
        <v>241</v>
      </c>
      <c r="CG75" s="305">
        <f t="shared" si="822"/>
        <v>-566</v>
      </c>
      <c r="CH75" s="33">
        <f t="shared" si="822"/>
        <v>77</v>
      </c>
      <c r="CI75" s="33">
        <f t="shared" si="822"/>
        <v>188</v>
      </c>
      <c r="CJ75" s="33">
        <f t="shared" si="822"/>
        <v>155</v>
      </c>
      <c r="CK75" s="1033">
        <f t="shared" si="822"/>
        <v>378</v>
      </c>
      <c r="CL75" s="33">
        <f t="shared" ref="CL75:CM75" si="823">CL9</f>
        <v>265</v>
      </c>
      <c r="CM75" s="33">
        <f t="shared" si="823"/>
        <v>533</v>
      </c>
      <c r="CN75" s="305">
        <f t="shared" ref="CN75:CP75" si="824">CN9</f>
        <v>798</v>
      </c>
      <c r="CO75" s="33">
        <f t="shared" si="824"/>
        <v>130</v>
      </c>
      <c r="CP75" s="33">
        <f t="shared" si="824"/>
        <v>357</v>
      </c>
      <c r="CQ75" s="33"/>
      <c r="CR75" s="1033"/>
      <c r="CS75" s="33">
        <f t="shared" ref="CS75" si="825">CS9</f>
        <v>487</v>
      </c>
      <c r="CT75" s="33"/>
      <c r="CU75" s="1022"/>
      <c r="CV75" s="33"/>
      <c r="CW75" s="33"/>
      <c r="CX75" s="33"/>
      <c r="CY75" s="1033"/>
      <c r="CZ75" s="33"/>
      <c r="DA75" s="33"/>
      <c r="DB75" s="1022"/>
      <c r="DC75" s="33"/>
      <c r="DD75" s="33"/>
      <c r="DE75" s="33"/>
      <c r="DF75" s="1033"/>
      <c r="DG75" s="33"/>
      <c r="DH75" s="33"/>
      <c r="DI75" s="1022"/>
      <c r="DJ75" s="33"/>
      <c r="DK75" s="33"/>
      <c r="DL75" s="33"/>
      <c r="DM75" s="1033"/>
      <c r="DN75" s="33"/>
      <c r="DO75" s="33"/>
      <c r="DP75" s="1022"/>
      <c r="DQ75" s="33"/>
      <c r="DR75" s="33"/>
      <c r="DS75" s="33"/>
      <c r="DT75" s="1033"/>
      <c r="DU75" s="33"/>
      <c r="DV75" s="33"/>
      <c r="DW75" s="1022"/>
      <c r="DX75" s="218"/>
      <c r="DY75" s="40"/>
      <c r="DZ75" s="40"/>
      <c r="EA75" s="218"/>
      <c r="EB75" s="29"/>
      <c r="EC75" s="29"/>
      <c r="ED75" s="27"/>
      <c r="EE75" s="31"/>
      <c r="EF75" s="31"/>
      <c r="EG75" s="31"/>
      <c r="EH75" s="31"/>
      <c r="EI75" s="218"/>
      <c r="EJ75" s="218"/>
      <c r="EK75" s="218"/>
      <c r="EL75" s="218"/>
      <c r="EM75" s="218"/>
      <c r="EN75" s="218"/>
      <c r="EO75" s="218"/>
      <c r="EP75" s="218"/>
      <c r="EQ75" s="218"/>
      <c r="ER75" s="218"/>
      <c r="ES75" s="218"/>
      <c r="ET75" s="218"/>
      <c r="EU75" s="218"/>
      <c r="EV75" s="218"/>
      <c r="EW75" s="218"/>
      <c r="EX75" s="218"/>
      <c r="EY75" s="218"/>
      <c r="EZ75" s="218"/>
      <c r="FA75" s="218"/>
      <c r="FB75" s="218"/>
      <c r="FC75" s="218"/>
      <c r="FD75" s="218"/>
      <c r="FE75" s="218"/>
      <c r="FF75" s="218"/>
      <c r="FG75" s="218"/>
      <c r="FH75" s="218"/>
      <c r="FI75" s="218"/>
      <c r="FJ75" s="218"/>
      <c r="FK75" s="218"/>
      <c r="FL75" s="218"/>
      <c r="FM75" s="218"/>
      <c r="FN75" s="218"/>
      <c r="FO75" s="218"/>
      <c r="FP75" s="218"/>
      <c r="FQ75" s="218"/>
    </row>
    <row r="76" spans="1:173" ht="10.5" customHeight="1">
      <c r="A76" s="51" t="s">
        <v>31</v>
      </c>
      <c r="B76" s="57">
        <f t="shared" ref="B76:E76" si="826">B75/B28</f>
        <v>3.1531531531531529E-2</v>
      </c>
      <c r="C76" s="57">
        <f t="shared" si="826"/>
        <v>4.5517241379310347E-2</v>
      </c>
      <c r="D76" s="57">
        <f t="shared" si="826"/>
        <v>4.9680624556422998E-2</v>
      </c>
      <c r="E76" s="959">
        <f t="shared" si="826"/>
        <v>0.11711331504536822</v>
      </c>
      <c r="F76" s="57">
        <f t="shared" ref="F76:G76" si="827">F75/F28</f>
        <v>3.8820992092020126E-2</v>
      </c>
      <c r="G76" s="57">
        <f t="shared" si="827"/>
        <v>9.1967712055048306E-2</v>
      </c>
      <c r="H76" s="946">
        <f t="shared" ref="H76:BS76" si="828">H75/H28</f>
        <v>6.9430683636917914E-2</v>
      </c>
      <c r="I76" s="57">
        <f t="shared" si="828"/>
        <v>3.0987969376594968E-2</v>
      </c>
      <c r="J76" s="57">
        <f t="shared" si="828"/>
        <v>4.976559682654165E-2</v>
      </c>
      <c r="K76" s="57">
        <f t="shared" si="828"/>
        <v>5.4830287206266322E-2</v>
      </c>
      <c r="L76" s="959">
        <f t="shared" si="828"/>
        <v>0.11391880695940348</v>
      </c>
      <c r="M76" s="57">
        <f t="shared" ref="M76:N76" si="829">M75/M28</f>
        <v>4.0427846265409718E-2</v>
      </c>
      <c r="N76" s="57">
        <f t="shared" si="829"/>
        <v>9.2821946996937008E-2</v>
      </c>
      <c r="O76" s="946">
        <f t="shared" si="828"/>
        <v>7.0633397312859891E-2</v>
      </c>
      <c r="P76" s="57">
        <f t="shared" ref="P76:S76" si="830">P75/P28</f>
        <v>3.4575489819439108E-2</v>
      </c>
      <c r="Q76" s="57">
        <f t="shared" si="830"/>
        <v>6.0450819672131145E-2</v>
      </c>
      <c r="R76" s="57">
        <f t="shared" si="830"/>
        <v>5.7503506311360447E-2</v>
      </c>
      <c r="S76" s="959">
        <f t="shared" si="830"/>
        <v>0.13391526506280604</v>
      </c>
      <c r="T76" s="57">
        <f t="shared" ref="T76:U76" si="831">T75/T28</f>
        <v>4.827336828783222E-2</v>
      </c>
      <c r="U76" s="57">
        <f t="shared" si="831"/>
        <v>0.10504702609617168</v>
      </c>
      <c r="V76" s="946">
        <f t="shared" si="828"/>
        <v>8.1039755351681952E-2</v>
      </c>
      <c r="W76" s="57">
        <f t="shared" si="828"/>
        <v>4.2225730071033939E-2</v>
      </c>
      <c r="X76" s="57">
        <f t="shared" si="828"/>
        <v>7.3984858912594625E-2</v>
      </c>
      <c r="Y76" s="57">
        <f t="shared" si="828"/>
        <v>5.0131926121372031E-2</v>
      </c>
      <c r="Z76" s="959">
        <f t="shared" si="828"/>
        <v>0.13671497584541062</v>
      </c>
      <c r="AA76" s="57">
        <f t="shared" ref="AA76:AB76" si="832">AA75/AA28</f>
        <v>5.9191176470588233E-2</v>
      </c>
      <c r="AB76" s="57">
        <f t="shared" si="832"/>
        <v>0.10601808543810415</v>
      </c>
      <c r="AC76" s="946">
        <f t="shared" si="828"/>
        <v>8.452842922220348E-2</v>
      </c>
      <c r="AD76" s="57">
        <f t="shared" ref="AD76:AG76" si="833">AD75/AD28</f>
        <v>2.9801324503311258E-2</v>
      </c>
      <c r="AE76" s="57">
        <f t="shared" si="833"/>
        <v>7.3675826363998401E-2</v>
      </c>
      <c r="AF76" s="57">
        <f t="shared" si="833"/>
        <v>5.1707779886148005E-2</v>
      </c>
      <c r="AG76" s="959">
        <f t="shared" si="833"/>
        <v>0.12650454433800049</v>
      </c>
      <c r="AH76" s="57">
        <f t="shared" ref="AH76:AI76" si="834">AH75/AH28</f>
        <v>5.3621621621621623E-2</v>
      </c>
      <c r="AI76" s="57">
        <f t="shared" si="834"/>
        <v>0.10098721475966985</v>
      </c>
      <c r="AJ76" s="946">
        <f t="shared" si="828"/>
        <v>8.0710847834135499E-2</v>
      </c>
      <c r="AK76" s="57">
        <f t="shared" si="828"/>
        <v>5.0518718989625622E-2</v>
      </c>
      <c r="AL76" s="57">
        <f t="shared" si="828"/>
        <v>8.0903490759753588E-2</v>
      </c>
      <c r="AM76" s="57">
        <f t="shared" si="828"/>
        <v>4.1684035014589414E-2</v>
      </c>
      <c r="AN76" s="959">
        <f t="shared" si="828"/>
        <v>0.13110667996011965</v>
      </c>
      <c r="AO76" s="57">
        <f t="shared" ref="AO76:AP76" si="835">AO75/AO28</f>
        <v>6.6423043852106622E-2</v>
      </c>
      <c r="AP76" s="57">
        <f t="shared" si="835"/>
        <v>9.7644673217906722E-2</v>
      </c>
      <c r="AQ76" s="946">
        <f t="shared" si="828"/>
        <v>8.4515954081171477E-2</v>
      </c>
      <c r="AR76" s="57">
        <f t="shared" ref="AR76:AU76" si="836">AR75/AR28</f>
        <v>4.7821969696969696E-2</v>
      </c>
      <c r="AS76" s="57">
        <f t="shared" si="836"/>
        <v>4.5470203238029624E-2</v>
      </c>
      <c r="AT76" s="57">
        <f t="shared" si="836"/>
        <v>4.5336306205871424E-2</v>
      </c>
      <c r="AU76" s="959">
        <f t="shared" si="836"/>
        <v>6.560449859418932E-2</v>
      </c>
      <c r="AV76" s="57">
        <f t="shared" ref="AV76:AW76" si="837">AV75/AV28</f>
        <v>4.6460618145563307E-2</v>
      </c>
      <c r="AW76" s="57">
        <f t="shared" si="837"/>
        <v>5.6347589952477933E-2</v>
      </c>
      <c r="AX76" s="946">
        <f t="shared" si="828"/>
        <v>5.1801595305766938E-2</v>
      </c>
      <c r="AY76" s="57">
        <f t="shared" si="828"/>
        <v>7.1056371387967785E-3</v>
      </c>
      <c r="AZ76" s="57">
        <f t="shared" si="828"/>
        <v>7.0081967213114757E-2</v>
      </c>
      <c r="BA76" s="57">
        <f t="shared" si="828"/>
        <v>3.3542976939203356E-2</v>
      </c>
      <c r="BB76" s="959">
        <f t="shared" si="828"/>
        <v>0.11225071225071225</v>
      </c>
      <c r="BC76" s="57">
        <f t="shared" ref="BC76:BD76" si="838">BC75/BC28</f>
        <v>4.0870138431114041E-2</v>
      </c>
      <c r="BD76" s="57">
        <f t="shared" si="838"/>
        <v>8.0407124681933839E-2</v>
      </c>
      <c r="BE76" s="946">
        <f t="shared" si="828"/>
        <v>6.3182079264790345E-2</v>
      </c>
      <c r="BF76" s="57">
        <f t="shared" ref="BF76:BI76" si="839">BF75/BF28</f>
        <v>2.7895981087470448E-2</v>
      </c>
      <c r="BG76" s="57">
        <f t="shared" si="839"/>
        <v>7.0160957490713993E-2</v>
      </c>
      <c r="BH76" s="57">
        <f t="shared" si="839"/>
        <v>2.3474178403755867E-2</v>
      </c>
      <c r="BI76" s="959">
        <f t="shared" si="839"/>
        <v>0.12465960665658093</v>
      </c>
      <c r="BJ76" s="57">
        <f t="shared" ref="BJ76:BK76" si="840">BJ75/BJ28</f>
        <v>5.0462758924636406E-2</v>
      </c>
      <c r="BK76" s="57">
        <f t="shared" si="840"/>
        <v>8.2684135977337106E-2</v>
      </c>
      <c r="BL76" s="946">
        <f t="shared" si="828"/>
        <v>6.8329079128215203E-2</v>
      </c>
      <c r="BM76" s="57">
        <f t="shared" si="828"/>
        <v>4.3212392988177743E-2</v>
      </c>
      <c r="BN76" s="57">
        <f t="shared" si="828"/>
        <v>1.882443334613907E-2</v>
      </c>
      <c r="BO76" s="57">
        <f t="shared" si="828"/>
        <v>2.9956641702798582E-2</v>
      </c>
      <c r="BP76" s="959">
        <f t="shared" si="828"/>
        <v>4.1734860883797055E-2</v>
      </c>
      <c r="BQ76" s="57">
        <f t="shared" ref="BQ76:BR76" si="841">BQ75/BQ28</f>
        <v>3.0656645569620253E-2</v>
      </c>
      <c r="BR76" s="57">
        <f t="shared" si="841"/>
        <v>3.6917620506206672E-2</v>
      </c>
      <c r="BS76" s="946">
        <f t="shared" si="828"/>
        <v>3.4106048494537702E-2</v>
      </c>
      <c r="BT76" s="57">
        <f t="shared" ref="BT76:BY76" si="842">BT75/BT28</f>
        <v>1.5658982166159199E-2</v>
      </c>
      <c r="BU76" s="57">
        <f t="shared" si="842"/>
        <v>1.784197111299915E-2</v>
      </c>
      <c r="BV76" s="57">
        <f t="shared" si="842"/>
        <v>-3.1854838709677417E-2</v>
      </c>
      <c r="BW76" s="959">
        <f t="shared" si="842"/>
        <v>5.2728106373223289E-2</v>
      </c>
      <c r="BX76" s="57">
        <f t="shared" si="842"/>
        <v>1.6763378465506126E-2</v>
      </c>
      <c r="BY76" s="57">
        <f t="shared" si="842"/>
        <v>2.2069570301081556E-2</v>
      </c>
      <c r="BZ76" s="946">
        <f t="shared" ref="BZ76:CD76" si="843">BZ75/BZ28</f>
        <v>1.9921705089169205E-2</v>
      </c>
      <c r="CA76" s="57">
        <f t="shared" si="843"/>
        <v>-3.751563151313047E-3</v>
      </c>
      <c r="CB76" s="57">
        <f t="shared" si="843"/>
        <v>-0.308584686774942</v>
      </c>
      <c r="CC76" s="57">
        <f t="shared" si="843"/>
        <v>5.5640243902439025E-2</v>
      </c>
      <c r="CD76" s="959">
        <f t="shared" si="843"/>
        <v>2.1238542365302929E-2</v>
      </c>
      <c r="CE76" s="57">
        <f t="shared" ref="CE76:CK76" si="844">CE75/CE28</f>
        <v>-0.16188565697091273</v>
      </c>
      <c r="CF76" s="57">
        <f t="shared" si="844"/>
        <v>3.3958010426940959E-2</v>
      </c>
      <c r="CG76" s="946">
        <f t="shared" si="844"/>
        <v>-4.684654858467141E-2</v>
      </c>
      <c r="CH76" s="57">
        <f t="shared" si="844"/>
        <v>2.8990963855421686E-2</v>
      </c>
      <c r="CI76" s="57">
        <f t="shared" si="844"/>
        <v>5.955020589166931E-2</v>
      </c>
      <c r="CJ76" s="57">
        <f t="shared" si="844"/>
        <v>5.0603983023179887E-2</v>
      </c>
      <c r="CK76" s="959">
        <f t="shared" si="844"/>
        <v>8.3462132921174659E-2</v>
      </c>
      <c r="CL76" s="57">
        <f t="shared" ref="CL76:CM76" si="845">CL75/CL28</f>
        <v>4.5587476346120766E-2</v>
      </c>
      <c r="CM76" s="57">
        <f t="shared" si="845"/>
        <v>7.0205479452054798E-2</v>
      </c>
      <c r="CN76" s="946">
        <f t="shared" ref="CN76:CP76" si="846">CN75/CN28</f>
        <v>5.9530026109660572E-2</v>
      </c>
      <c r="CO76" s="57">
        <f t="shared" si="846"/>
        <v>4.5903954802259887E-2</v>
      </c>
      <c r="CP76" s="57">
        <f t="shared" si="846"/>
        <v>0.10246842709529276</v>
      </c>
      <c r="CQ76" s="57"/>
      <c r="CR76" s="959"/>
      <c r="CS76" s="57">
        <f t="shared" ref="CS76" si="847">CS75/CS28</f>
        <v>7.710576314122862E-2</v>
      </c>
      <c r="CT76" s="57"/>
      <c r="CU76" s="1022"/>
      <c r="CV76" s="57"/>
      <c r="CW76" s="57"/>
      <c r="CX76" s="57"/>
      <c r="CY76" s="959"/>
      <c r="CZ76" s="57"/>
      <c r="DA76" s="57"/>
      <c r="DB76" s="1022"/>
      <c r="DC76" s="57"/>
      <c r="DD76" s="57"/>
      <c r="DE76" s="57"/>
      <c r="DF76" s="959"/>
      <c r="DG76" s="57"/>
      <c r="DH76" s="57"/>
      <c r="DI76" s="1022"/>
      <c r="DJ76" s="57"/>
      <c r="DK76" s="57"/>
      <c r="DL76" s="57"/>
      <c r="DM76" s="959"/>
      <c r="DN76" s="57"/>
      <c r="DO76" s="57"/>
      <c r="DP76" s="1022"/>
      <c r="DQ76" s="57"/>
      <c r="DR76" s="57"/>
      <c r="DS76" s="57"/>
      <c r="DT76" s="959"/>
      <c r="DU76" s="57"/>
      <c r="DV76" s="57"/>
      <c r="DW76" s="1022"/>
      <c r="DX76" s="218"/>
      <c r="DY76" s="40"/>
      <c r="DZ76" s="40"/>
      <c r="EA76" s="218"/>
      <c r="EB76" s="29"/>
      <c r="EC76" s="29"/>
      <c r="ED76" s="27"/>
      <c r="EE76" s="31"/>
      <c r="EF76" s="31"/>
      <c r="EG76" s="31"/>
      <c r="EH76" s="31"/>
      <c r="EI76" s="218"/>
      <c r="EJ76" s="218"/>
      <c r="EK76" s="218"/>
      <c r="EL76" s="218"/>
      <c r="EM76" s="218"/>
      <c r="EN76" s="218"/>
      <c r="EO76" s="218"/>
      <c r="EP76" s="218"/>
      <c r="EQ76" s="218"/>
      <c r="ER76" s="218"/>
      <c r="ES76" s="218"/>
      <c r="ET76" s="218"/>
      <c r="EU76" s="218"/>
      <c r="EV76" s="218"/>
      <c r="EW76" s="218"/>
      <c r="EX76" s="218"/>
      <c r="EY76" s="218"/>
      <c r="EZ76" s="218"/>
      <c r="FA76" s="218"/>
      <c r="FB76" s="218"/>
      <c r="FC76" s="218"/>
      <c r="FD76" s="218"/>
      <c r="FE76" s="218"/>
      <c r="FF76" s="218"/>
      <c r="FG76" s="218"/>
      <c r="FH76" s="218"/>
      <c r="FI76" s="218"/>
      <c r="FJ76" s="218"/>
      <c r="FK76" s="218"/>
      <c r="FL76" s="218"/>
      <c r="FM76" s="218"/>
      <c r="FN76" s="218"/>
      <c r="FO76" s="218"/>
      <c r="FP76" s="218"/>
      <c r="FQ76" s="218"/>
    </row>
    <row r="77" spans="1:173" ht="10.5" customHeight="1">
      <c r="A77" s="218"/>
      <c r="B77" s="27"/>
      <c r="C77" s="27"/>
      <c r="D77" s="27"/>
      <c r="E77" s="1036"/>
      <c r="F77" s="27"/>
      <c r="G77" s="27"/>
      <c r="H77" s="308"/>
      <c r="I77" s="27"/>
      <c r="J77" s="27"/>
      <c r="K77" s="27"/>
      <c r="L77" s="1036"/>
      <c r="M77" s="27"/>
      <c r="N77" s="27"/>
      <c r="O77" s="308"/>
      <c r="P77" s="27"/>
      <c r="Q77" s="27"/>
      <c r="R77" s="27"/>
      <c r="S77" s="1036"/>
      <c r="T77" s="27"/>
      <c r="U77" s="27"/>
      <c r="V77" s="308"/>
      <c r="W77" s="27"/>
      <c r="X77" s="27"/>
      <c r="Y77" s="27"/>
      <c r="Z77" s="1036"/>
      <c r="AA77" s="27"/>
      <c r="AB77" s="27"/>
      <c r="AC77" s="308"/>
      <c r="AD77" s="27"/>
      <c r="AE77" s="27"/>
      <c r="AF77" s="27"/>
      <c r="AG77" s="1036"/>
      <c r="AH77" s="27"/>
      <c r="AI77" s="27"/>
      <c r="AJ77" s="308"/>
      <c r="AK77" s="27"/>
      <c r="AL77" s="27"/>
      <c r="AM77" s="27"/>
      <c r="AN77" s="1036"/>
      <c r="AO77" s="27"/>
      <c r="AP77" s="27"/>
      <c r="AQ77" s="308"/>
      <c r="AR77" s="27"/>
      <c r="AS77" s="27"/>
      <c r="AT77" s="27"/>
      <c r="AU77" s="1036"/>
      <c r="AV77" s="27"/>
      <c r="AW77" s="27"/>
      <c r="AX77" s="308"/>
      <c r="AY77" s="27"/>
      <c r="AZ77" s="27"/>
      <c r="BA77" s="27"/>
      <c r="BB77" s="1036"/>
      <c r="BC77" s="27"/>
      <c r="BD77" s="27"/>
      <c r="BE77" s="308"/>
      <c r="BF77" s="27"/>
      <c r="BG77" s="27"/>
      <c r="BH77" s="27"/>
      <c r="BI77" s="1036"/>
      <c r="BJ77" s="27"/>
      <c r="BK77" s="27"/>
      <c r="BL77" s="308"/>
      <c r="BM77" s="27"/>
      <c r="BN77" s="27"/>
      <c r="BO77" s="27"/>
      <c r="BP77" s="1036"/>
      <c r="BQ77" s="27"/>
      <c r="BR77" s="27"/>
      <c r="BS77" s="308"/>
      <c r="BT77" s="27"/>
      <c r="BU77" s="27"/>
      <c r="BV77" s="27"/>
      <c r="BW77" s="1036"/>
      <c r="BX77" s="27"/>
      <c r="BY77" s="27"/>
      <c r="BZ77" s="308"/>
      <c r="CA77" s="27"/>
      <c r="CB77" s="27"/>
      <c r="CC77" s="27"/>
      <c r="CD77" s="1036"/>
      <c r="CE77" s="27"/>
      <c r="CF77" s="27"/>
      <c r="CG77" s="308"/>
      <c r="CH77" s="27"/>
      <c r="CI77" s="27"/>
      <c r="CJ77" s="27"/>
      <c r="CK77" s="1036"/>
      <c r="CL77" s="27"/>
      <c r="CM77" s="27"/>
      <c r="CN77" s="1022"/>
      <c r="CO77" s="27"/>
      <c r="CP77" s="27"/>
      <c r="CQ77" s="27"/>
      <c r="CR77" s="1036"/>
      <c r="CS77" s="27"/>
      <c r="CT77" s="27"/>
      <c r="CU77" s="1022"/>
      <c r="CV77" s="27"/>
      <c r="CW77" s="27"/>
      <c r="CX77" s="27"/>
      <c r="CY77" s="1036"/>
      <c r="CZ77" s="27"/>
      <c r="DA77" s="27"/>
      <c r="DB77" s="1022"/>
      <c r="DC77" s="27"/>
      <c r="DD77" s="27"/>
      <c r="DE77" s="27"/>
      <c r="DF77" s="1036"/>
      <c r="DG77" s="27"/>
      <c r="DH77" s="27"/>
      <c r="DI77" s="1022"/>
      <c r="DJ77" s="27"/>
      <c r="DK77" s="27"/>
      <c r="DL77" s="27"/>
      <c r="DM77" s="1036"/>
      <c r="DN77" s="27"/>
      <c r="DO77" s="27"/>
      <c r="DP77" s="1022"/>
      <c r="DQ77" s="27"/>
      <c r="DR77" s="27"/>
      <c r="DS77" s="27"/>
      <c r="DT77" s="1036"/>
      <c r="DU77" s="27"/>
      <c r="DV77" s="27"/>
      <c r="DW77" s="1022"/>
      <c r="DX77" s="218"/>
      <c r="DY77" s="40"/>
      <c r="DZ77" s="40"/>
      <c r="EA77" s="218"/>
      <c r="EB77" s="29"/>
      <c r="EC77" s="29"/>
      <c r="ED77" s="27"/>
      <c r="EE77" s="31"/>
      <c r="EF77" s="31"/>
      <c r="EG77" s="31"/>
      <c r="EH77" s="31"/>
      <c r="EI77" s="218"/>
      <c r="EJ77" s="218"/>
      <c r="EK77" s="218"/>
      <c r="EL77" s="218"/>
      <c r="EM77" s="218"/>
      <c r="EN77" s="218"/>
      <c r="EO77" s="218"/>
      <c r="EP77" s="218"/>
      <c r="EQ77" s="218"/>
      <c r="ER77" s="218"/>
      <c r="ES77" s="218"/>
      <c r="ET77" s="218"/>
      <c r="EU77" s="218"/>
      <c r="EV77" s="218"/>
      <c r="EW77" s="218"/>
      <c r="EX77" s="218"/>
      <c r="EY77" s="218"/>
      <c r="EZ77" s="218"/>
      <c r="FA77" s="218"/>
      <c r="FB77" s="218"/>
      <c r="FC77" s="218"/>
      <c r="FD77" s="218"/>
      <c r="FE77" s="218"/>
      <c r="FF77" s="218"/>
      <c r="FG77" s="218"/>
      <c r="FH77" s="218"/>
      <c r="FI77" s="218"/>
      <c r="FJ77" s="218"/>
      <c r="FK77" s="218"/>
      <c r="FL77" s="218"/>
      <c r="FM77" s="218"/>
      <c r="FN77" s="218"/>
      <c r="FO77" s="218"/>
      <c r="FP77" s="218"/>
      <c r="FQ77" s="218"/>
    </row>
    <row r="78" spans="1:173" ht="10.5" customHeight="1">
      <c r="A78" s="188" t="s">
        <v>155</v>
      </c>
      <c r="B78" s="27"/>
      <c r="C78" s="27"/>
      <c r="D78" s="27"/>
      <c r="E78" s="1036"/>
      <c r="F78" s="27"/>
      <c r="G78" s="27"/>
      <c r="H78" s="308"/>
      <c r="I78" s="27"/>
      <c r="J78" s="27"/>
      <c r="K78" s="27"/>
      <c r="L78" s="1036"/>
      <c r="M78" s="27"/>
      <c r="N78" s="27"/>
      <c r="O78" s="308"/>
      <c r="P78" s="27"/>
      <c r="Q78" s="27"/>
      <c r="R78" s="27"/>
      <c r="S78" s="1036"/>
      <c r="T78" s="27"/>
      <c r="U78" s="27"/>
      <c r="V78" s="308"/>
      <c r="W78" s="27"/>
      <c r="X78" s="27"/>
      <c r="Y78" s="27"/>
      <c r="Z78" s="1036"/>
      <c r="AA78" s="27"/>
      <c r="AB78" s="27"/>
      <c r="AC78" s="308"/>
      <c r="AD78" s="27"/>
      <c r="AE78" s="27"/>
      <c r="AF78" s="27"/>
      <c r="AG78" s="1036"/>
      <c r="AH78" s="27"/>
      <c r="AI78" s="27"/>
      <c r="AJ78" s="308"/>
      <c r="AK78" s="27"/>
      <c r="AL78" s="27"/>
      <c r="AM78" s="27"/>
      <c r="AN78" s="1036"/>
      <c r="AO78" s="27"/>
      <c r="AP78" s="27"/>
      <c r="AQ78" s="308"/>
      <c r="AR78" s="27"/>
      <c r="AS78" s="27"/>
      <c r="AT78" s="27"/>
      <c r="AU78" s="1036"/>
      <c r="AV78" s="27"/>
      <c r="AW78" s="27"/>
      <c r="AX78" s="308"/>
      <c r="AY78" s="27"/>
      <c r="AZ78" s="27"/>
      <c r="BA78" s="27"/>
      <c r="BB78" s="1036"/>
      <c r="BC78" s="27"/>
      <c r="BD78" s="27"/>
      <c r="BE78" s="308"/>
      <c r="BF78" s="27"/>
      <c r="BG78" s="27"/>
      <c r="BH78" s="27"/>
      <c r="BI78" s="1036"/>
      <c r="BJ78" s="27"/>
      <c r="BK78" s="27"/>
      <c r="BL78" s="308"/>
      <c r="BM78" s="27"/>
      <c r="BN78" s="27"/>
      <c r="BO78" s="27"/>
      <c r="BP78" s="1036"/>
      <c r="BQ78" s="27"/>
      <c r="BR78" s="27"/>
      <c r="BS78" s="308"/>
      <c r="BT78" s="27"/>
      <c r="BU78" s="27"/>
      <c r="BV78" s="27"/>
      <c r="BW78" s="1036"/>
      <c r="BX78" s="27"/>
      <c r="BY78" s="27"/>
      <c r="BZ78" s="308"/>
      <c r="CA78" s="27"/>
      <c r="CB78" s="27"/>
      <c r="CC78" s="27"/>
      <c r="CD78" s="1036"/>
      <c r="CE78" s="27"/>
      <c r="CF78" s="27"/>
      <c r="CG78" s="308"/>
      <c r="CH78" s="27"/>
      <c r="CI78" s="27"/>
      <c r="CJ78" s="27"/>
      <c r="CK78" s="1036"/>
      <c r="CL78" s="27"/>
      <c r="CM78" s="27"/>
      <c r="CN78" s="1022"/>
      <c r="CO78" s="27"/>
      <c r="CP78" s="27"/>
      <c r="CQ78" s="27"/>
      <c r="CR78" s="1036"/>
      <c r="CS78" s="27"/>
      <c r="CT78" s="27"/>
      <c r="CU78" s="1022"/>
      <c r="CV78" s="27"/>
      <c r="CW78" s="27"/>
      <c r="CX78" s="27"/>
      <c r="CY78" s="1036"/>
      <c r="CZ78" s="27"/>
      <c r="DA78" s="27"/>
      <c r="DB78" s="1022"/>
      <c r="DC78" s="27"/>
      <c r="DD78" s="27"/>
      <c r="DE78" s="27"/>
      <c r="DF78" s="1036"/>
      <c r="DG78" s="27"/>
      <c r="DH78" s="27"/>
      <c r="DI78" s="1022"/>
      <c r="DJ78" s="27"/>
      <c r="DK78" s="27"/>
      <c r="DL78" s="27"/>
      <c r="DM78" s="1036"/>
      <c r="DN78" s="27"/>
      <c r="DO78" s="27"/>
      <c r="DP78" s="1022"/>
      <c r="DQ78" s="27"/>
      <c r="DR78" s="27"/>
      <c r="DS78" s="27"/>
      <c r="DT78" s="1036"/>
      <c r="DU78" s="27"/>
      <c r="DV78" s="27"/>
      <c r="DW78" s="1022"/>
      <c r="DX78" s="218"/>
      <c r="DY78" s="40"/>
      <c r="DZ78" s="40"/>
      <c r="EA78" s="218"/>
      <c r="EB78" s="29"/>
      <c r="EC78" s="29"/>
      <c r="ED78" s="27"/>
      <c r="EE78" s="31"/>
      <c r="EF78" s="31"/>
      <c r="EG78" s="31"/>
      <c r="EH78" s="31"/>
      <c r="EI78" s="218"/>
      <c r="EJ78" s="218"/>
      <c r="EK78" s="218"/>
      <c r="EL78" s="218"/>
      <c r="EM78" s="218"/>
      <c r="EN78" s="218"/>
      <c r="EO78" s="218"/>
      <c r="EP78" s="218"/>
      <c r="EQ78" s="218"/>
      <c r="ER78" s="218"/>
      <c r="ES78" s="218"/>
      <c r="ET78" s="218"/>
      <c r="EU78" s="218"/>
      <c r="EV78" s="218"/>
      <c r="EW78" s="218"/>
      <c r="EX78" s="218"/>
      <c r="EY78" s="218"/>
      <c r="EZ78" s="218"/>
      <c r="FA78" s="218"/>
      <c r="FB78" s="218"/>
      <c r="FC78" s="218"/>
      <c r="FD78" s="218"/>
      <c r="FE78" s="218"/>
      <c r="FF78" s="218"/>
      <c r="FG78" s="218"/>
      <c r="FH78" s="218"/>
      <c r="FI78" s="218"/>
      <c r="FJ78" s="218"/>
      <c r="FK78" s="218"/>
      <c r="FL78" s="218"/>
      <c r="FM78" s="218"/>
      <c r="FN78" s="218"/>
      <c r="FO78" s="218"/>
      <c r="FP78" s="218"/>
      <c r="FQ78" s="218"/>
    </row>
    <row r="79" spans="1:173" ht="10.5" customHeight="1">
      <c r="A79" s="186" t="s">
        <v>359</v>
      </c>
      <c r="B79" s="263"/>
      <c r="C79" s="263"/>
      <c r="D79" s="263"/>
      <c r="E79" s="1034"/>
      <c r="F79" s="263"/>
      <c r="G79" s="263"/>
      <c r="H79" s="304">
        <v>6</v>
      </c>
      <c r="I79" s="263"/>
      <c r="J79" s="263"/>
      <c r="K79" s="263"/>
      <c r="L79" s="1034"/>
      <c r="M79" s="263"/>
      <c r="N79" s="263"/>
      <c r="O79" s="304">
        <v>6</v>
      </c>
      <c r="P79" s="263"/>
      <c r="Q79" s="263"/>
      <c r="R79" s="263"/>
      <c r="S79" s="1034"/>
      <c r="T79" s="263"/>
      <c r="U79" s="263"/>
      <c r="V79" s="1351"/>
      <c r="W79" s="263"/>
      <c r="X79" s="263"/>
      <c r="Y79" s="263"/>
      <c r="Z79" s="1034"/>
      <c r="AA79" s="263"/>
      <c r="AB79" s="263"/>
      <c r="AC79" s="1351"/>
      <c r="AD79" s="263"/>
      <c r="AE79" s="263"/>
      <c r="AF79" s="263"/>
      <c r="AG79" s="1034"/>
      <c r="AH79" s="263"/>
      <c r="AI79" s="263"/>
      <c r="AJ79" s="1351"/>
      <c r="AK79" s="263"/>
      <c r="AL79" s="263"/>
      <c r="AM79" s="263"/>
      <c r="AN79" s="1034"/>
      <c r="AO79" s="263"/>
      <c r="AP79" s="263"/>
      <c r="AQ79" s="1351"/>
      <c r="AR79" s="263"/>
      <c r="AS79" s="263"/>
      <c r="AT79" s="263"/>
      <c r="AU79" s="1034"/>
      <c r="AV79" s="263"/>
      <c r="AW79" s="263"/>
      <c r="AX79" s="1351"/>
      <c r="AY79" s="263"/>
      <c r="AZ79" s="263"/>
      <c r="BA79" s="263"/>
      <c r="BB79" s="1034"/>
      <c r="BC79" s="263"/>
      <c r="BD79" s="263"/>
      <c r="BE79" s="1351"/>
      <c r="BF79" s="263"/>
      <c r="BG79" s="263"/>
      <c r="BH79" s="263"/>
      <c r="BI79" s="1034"/>
      <c r="BJ79" s="263"/>
      <c r="BK79" s="263"/>
      <c r="BL79" s="1351"/>
      <c r="BM79" s="263"/>
      <c r="BN79" s="263"/>
      <c r="BO79" s="263"/>
      <c r="BP79" s="1034"/>
      <c r="BQ79" s="263"/>
      <c r="BR79" s="263"/>
      <c r="BS79" s="1351"/>
      <c r="BT79" s="263"/>
      <c r="BU79" s="263"/>
      <c r="BV79" s="263"/>
      <c r="BW79" s="1034"/>
      <c r="BX79" s="263"/>
      <c r="BY79" s="263"/>
      <c r="BZ79" s="1351"/>
      <c r="CA79" s="263"/>
      <c r="CB79" s="263"/>
      <c r="CC79" s="263"/>
      <c r="CD79" s="1034"/>
      <c r="CE79" s="263"/>
      <c r="CF79" s="263"/>
      <c r="CG79" s="1351"/>
      <c r="CH79" s="263"/>
      <c r="CI79" s="263"/>
      <c r="CJ79" s="263"/>
      <c r="CK79" s="1034"/>
      <c r="CL79" s="263"/>
      <c r="CM79" s="263"/>
      <c r="CN79" s="1019"/>
      <c r="CO79" s="263"/>
      <c r="CP79" s="263"/>
      <c r="CQ79" s="263"/>
      <c r="CR79" s="1034"/>
      <c r="CS79" s="263"/>
      <c r="CT79" s="263"/>
      <c r="CU79" s="1019"/>
      <c r="CV79" s="263"/>
      <c r="CW79" s="263"/>
      <c r="CX79" s="263"/>
      <c r="CY79" s="1034"/>
      <c r="CZ79" s="263"/>
      <c r="DA79" s="263"/>
      <c r="DB79" s="1019"/>
      <c r="DC79" s="263"/>
      <c r="DD79" s="263"/>
      <c r="DE79" s="263"/>
      <c r="DF79" s="1034"/>
      <c r="DG79" s="263"/>
      <c r="DH79" s="263"/>
      <c r="DI79" s="1019"/>
      <c r="DJ79" s="263"/>
      <c r="DK79" s="263"/>
      <c r="DL79" s="263"/>
      <c r="DM79" s="1034"/>
      <c r="DN79" s="263"/>
      <c r="DO79" s="263"/>
      <c r="DP79" s="1019"/>
      <c r="DQ79" s="263"/>
      <c r="DR79" s="263"/>
      <c r="DS79" s="263"/>
      <c r="DT79" s="1034"/>
      <c r="DU79" s="263"/>
      <c r="DV79" s="263"/>
      <c r="DW79" s="1019"/>
      <c r="DX79" s="40"/>
      <c r="DY79" s="40"/>
      <c r="DZ79" s="40"/>
      <c r="EA79" s="218"/>
      <c r="EB79" s="29"/>
      <c r="EC79" s="29"/>
      <c r="ED79" s="27"/>
      <c r="EE79" s="31"/>
      <c r="EF79" s="31"/>
      <c r="EG79" s="31"/>
      <c r="EH79" s="31"/>
      <c r="EI79" s="218"/>
      <c r="EJ79" s="218"/>
      <c r="EK79" s="218"/>
      <c r="EL79" s="218"/>
      <c r="EM79" s="218"/>
      <c r="EN79" s="218"/>
      <c r="EO79" s="218"/>
      <c r="EP79" s="218"/>
      <c r="EQ79" s="218"/>
      <c r="ER79" s="218"/>
      <c r="ES79" s="218"/>
      <c r="ET79" s="218"/>
      <c r="EU79" s="218"/>
      <c r="EV79" s="218"/>
      <c r="EW79" s="218"/>
      <c r="EX79" s="218"/>
      <c r="EY79" s="218"/>
      <c r="EZ79" s="218"/>
      <c r="FA79" s="218"/>
      <c r="FB79" s="218"/>
      <c r="FC79" s="218"/>
      <c r="FD79" s="218"/>
      <c r="FE79" s="218"/>
      <c r="FF79" s="218"/>
      <c r="FG79" s="218"/>
      <c r="FH79" s="218"/>
      <c r="FI79" s="218"/>
      <c r="FJ79" s="218"/>
      <c r="FK79" s="218"/>
      <c r="FL79" s="218"/>
      <c r="FM79" s="218"/>
      <c r="FN79" s="218"/>
      <c r="FO79" s="218"/>
      <c r="FP79" s="218"/>
      <c r="FQ79" s="218"/>
    </row>
    <row r="80" spans="1:173" ht="10.5" customHeight="1">
      <c r="A80" s="186" t="s">
        <v>360</v>
      </c>
      <c r="B80" s="263"/>
      <c r="C80" s="263"/>
      <c r="D80" s="263"/>
      <c r="E80" s="1034"/>
      <c r="F80" s="263"/>
      <c r="G80" s="263"/>
      <c r="H80" s="304">
        <v>6</v>
      </c>
      <c r="I80" s="263"/>
      <c r="J80" s="263"/>
      <c r="K80" s="263"/>
      <c r="L80" s="1034"/>
      <c r="M80" s="263"/>
      <c r="N80" s="263"/>
      <c r="O80" s="1351"/>
      <c r="P80" s="263"/>
      <c r="Q80" s="263"/>
      <c r="R80" s="263"/>
      <c r="S80" s="1034"/>
      <c r="T80" s="263"/>
      <c r="U80" s="263"/>
      <c r="V80" s="1351"/>
      <c r="W80" s="263"/>
      <c r="X80" s="263"/>
      <c r="Y80" s="263"/>
      <c r="Z80" s="1034"/>
      <c r="AA80" s="263"/>
      <c r="AB80" s="263"/>
      <c r="AC80" s="1351"/>
      <c r="AD80" s="263"/>
      <c r="AE80" s="263"/>
      <c r="AF80" s="263"/>
      <c r="AG80" s="1034"/>
      <c r="AH80" s="263"/>
      <c r="AI80" s="263"/>
      <c r="AJ80" s="1351"/>
      <c r="AK80" s="263"/>
      <c r="AL80" s="263"/>
      <c r="AM80" s="263"/>
      <c r="AN80" s="1034"/>
      <c r="AO80" s="263"/>
      <c r="AP80" s="263"/>
      <c r="AQ80" s="1351"/>
      <c r="AR80" s="263"/>
      <c r="AS80" s="263"/>
      <c r="AT80" s="263"/>
      <c r="AU80" s="1034"/>
      <c r="AV80" s="263"/>
      <c r="AW80" s="263"/>
      <c r="AX80" s="1351"/>
      <c r="AY80" s="263"/>
      <c r="AZ80" s="263"/>
      <c r="BA80" s="263"/>
      <c r="BB80" s="1034"/>
      <c r="BC80" s="263"/>
      <c r="BD80" s="263"/>
      <c r="BE80" s="1351"/>
      <c r="BF80" s="263"/>
      <c r="BG80" s="263"/>
      <c r="BH80" s="263"/>
      <c r="BI80" s="1034"/>
      <c r="BJ80" s="263"/>
      <c r="BK80" s="263"/>
      <c r="BL80" s="1351"/>
      <c r="BM80" s="263"/>
      <c r="BN80" s="263"/>
      <c r="BO80" s="263"/>
      <c r="BP80" s="1034"/>
      <c r="BQ80" s="263"/>
      <c r="BR80" s="263"/>
      <c r="BS80" s="1351"/>
      <c r="BT80" s="263"/>
      <c r="BU80" s="263"/>
      <c r="BV80" s="263"/>
      <c r="BW80" s="1034"/>
      <c r="BX80" s="263"/>
      <c r="BY80" s="263"/>
      <c r="BZ80" s="1351"/>
      <c r="CA80" s="263"/>
      <c r="CB80" s="263"/>
      <c r="CC80" s="263"/>
      <c r="CD80" s="1034"/>
      <c r="CE80" s="263"/>
      <c r="CF80" s="263"/>
      <c r="CG80" s="1351"/>
      <c r="CH80" s="263"/>
      <c r="CI80" s="263"/>
      <c r="CJ80" s="263"/>
      <c r="CK80" s="1034"/>
      <c r="CL80" s="263"/>
      <c r="CM80" s="263"/>
      <c r="CN80" s="1019"/>
      <c r="CO80" s="263"/>
      <c r="CP80" s="263"/>
      <c r="CQ80" s="263"/>
      <c r="CR80" s="1034"/>
      <c r="CS80" s="263"/>
      <c r="CT80" s="263"/>
      <c r="CU80" s="1019"/>
      <c r="CV80" s="263"/>
      <c r="CW80" s="263"/>
      <c r="CX80" s="263"/>
      <c r="CY80" s="1034"/>
      <c r="CZ80" s="263"/>
      <c r="DA80" s="263"/>
      <c r="DB80" s="1019"/>
      <c r="DC80" s="263"/>
      <c r="DD80" s="263"/>
      <c r="DE80" s="263"/>
      <c r="DF80" s="1034"/>
      <c r="DG80" s="263"/>
      <c r="DH80" s="263"/>
      <c r="DI80" s="1019"/>
      <c r="DJ80" s="263"/>
      <c r="DK80" s="263"/>
      <c r="DL80" s="263"/>
      <c r="DM80" s="1034"/>
      <c r="DN80" s="263"/>
      <c r="DO80" s="263"/>
      <c r="DP80" s="1019"/>
      <c r="DQ80" s="263"/>
      <c r="DR80" s="263"/>
      <c r="DS80" s="263"/>
      <c r="DT80" s="1034"/>
      <c r="DU80" s="263"/>
      <c r="DV80" s="263"/>
      <c r="DW80" s="1019"/>
      <c r="DX80" s="40"/>
      <c r="DY80" s="40"/>
      <c r="DZ80" s="29"/>
      <c r="EA80" s="218"/>
      <c r="EB80" s="29"/>
      <c r="EC80" s="29"/>
      <c r="ED80" s="27"/>
      <c r="EE80" s="31"/>
      <c r="EF80" s="31"/>
      <c r="EG80" s="31"/>
      <c r="EH80" s="31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</row>
    <row r="81" spans="1:173" ht="10.5" customHeight="1">
      <c r="A81" s="186" t="s">
        <v>227</v>
      </c>
      <c r="B81" s="31"/>
      <c r="C81" s="33"/>
      <c r="D81" s="33"/>
      <c r="E81" s="1033"/>
      <c r="F81" s="31"/>
      <c r="G81" s="31"/>
      <c r="H81" s="304">
        <v>2</v>
      </c>
      <c r="I81" s="31">
        <v>0</v>
      </c>
      <c r="J81" s="33">
        <f>M81-I81</f>
        <v>1</v>
      </c>
      <c r="K81" s="33">
        <f>4-I81-J81</f>
        <v>3</v>
      </c>
      <c r="L81" s="1033">
        <f>N81-K81</f>
        <v>4</v>
      </c>
      <c r="M81" s="31">
        <v>1</v>
      </c>
      <c r="N81" s="31">
        <f>O81-M81</f>
        <v>7</v>
      </c>
      <c r="O81" s="304">
        <v>8</v>
      </c>
      <c r="P81" s="31">
        <v>2</v>
      </c>
      <c r="Q81" s="33">
        <f>T81-P81</f>
        <v>2</v>
      </c>
      <c r="R81" s="33">
        <f>5-P81-Q81</f>
        <v>1</v>
      </c>
      <c r="S81" s="1033">
        <f>U81-R81</f>
        <v>6</v>
      </c>
      <c r="T81" s="31">
        <v>4</v>
      </c>
      <c r="U81" s="31">
        <f>V81-T81</f>
        <v>7</v>
      </c>
      <c r="V81" s="304">
        <v>11</v>
      </c>
      <c r="W81" s="31">
        <v>2</v>
      </c>
      <c r="X81" s="33">
        <f>AA81-W81</f>
        <v>3</v>
      </c>
      <c r="Y81" s="33">
        <f>11-W81-X81</f>
        <v>6</v>
      </c>
      <c r="Z81" s="1033">
        <f>AB81-Y81</f>
        <v>6</v>
      </c>
      <c r="AA81" s="31">
        <v>5</v>
      </c>
      <c r="AB81" s="31">
        <f>AC81-AA81</f>
        <v>12</v>
      </c>
      <c r="AC81" s="304">
        <v>17</v>
      </c>
      <c r="AD81" s="31">
        <v>4</v>
      </c>
      <c r="AE81" s="33">
        <f>AH81-AD81</f>
        <v>4</v>
      </c>
      <c r="AF81" s="33">
        <f>12-AD81-AE81</f>
        <v>4</v>
      </c>
      <c r="AG81" s="1033">
        <f>AI81-AF81</f>
        <v>7</v>
      </c>
      <c r="AH81" s="31">
        <v>8</v>
      </c>
      <c r="AI81" s="31">
        <f>AJ81-AH81</f>
        <v>11</v>
      </c>
      <c r="AJ81" s="304">
        <v>19</v>
      </c>
      <c r="AK81" s="31">
        <v>4</v>
      </c>
      <c r="AL81" s="33">
        <f>AO81-AK81</f>
        <v>4</v>
      </c>
      <c r="AM81" s="33">
        <f>12-AK81-AL81</f>
        <v>4</v>
      </c>
      <c r="AN81" s="1033">
        <f>AP81-AM81</f>
        <v>5</v>
      </c>
      <c r="AO81" s="31">
        <v>8</v>
      </c>
      <c r="AP81" s="31">
        <f>AQ81-AO81</f>
        <v>9</v>
      </c>
      <c r="AQ81" s="304">
        <v>17</v>
      </c>
      <c r="AR81" s="31">
        <v>1</v>
      </c>
      <c r="AS81" s="33">
        <f>AV81-AR81</f>
        <v>6</v>
      </c>
      <c r="AT81" s="33">
        <f>10-AR81-AS81</f>
        <v>3</v>
      </c>
      <c r="AU81" s="1033">
        <f>AW81-AT81</f>
        <v>4</v>
      </c>
      <c r="AV81" s="31">
        <v>7</v>
      </c>
      <c r="AW81" s="31">
        <f>AX81-AV81</f>
        <v>7</v>
      </c>
      <c r="AX81" s="304">
        <v>14</v>
      </c>
      <c r="AY81" s="31">
        <v>1</v>
      </c>
      <c r="AZ81" s="33">
        <f>BC81-AY81</f>
        <v>2</v>
      </c>
      <c r="BA81" s="33">
        <f>5-AY81-AZ81</f>
        <v>2</v>
      </c>
      <c r="BB81" s="1033">
        <f>BD81-BA81</f>
        <v>4</v>
      </c>
      <c r="BC81" s="31">
        <v>3</v>
      </c>
      <c r="BD81" s="31">
        <f>BE81-BC81</f>
        <v>6</v>
      </c>
      <c r="BE81" s="304">
        <v>9</v>
      </c>
      <c r="BF81" s="31">
        <v>1</v>
      </c>
      <c r="BG81" s="33">
        <f>BJ81-BF81</f>
        <v>1</v>
      </c>
      <c r="BH81" s="33">
        <f>4-BF81-BG81</f>
        <v>2</v>
      </c>
      <c r="BI81" s="1033">
        <f>BK81-BH81</f>
        <v>4</v>
      </c>
      <c r="BJ81" s="31">
        <v>2</v>
      </c>
      <c r="BK81" s="31">
        <f>BL81-BJ81</f>
        <v>6</v>
      </c>
      <c r="BL81" s="304">
        <v>8</v>
      </c>
      <c r="BM81" s="31">
        <v>1</v>
      </c>
      <c r="BN81" s="33">
        <f>BQ81-BM81</f>
        <v>3</v>
      </c>
      <c r="BO81" s="33">
        <f>7-BM81-BN81</f>
        <v>3</v>
      </c>
      <c r="BP81" s="1033">
        <f>BR81-BO81</f>
        <v>3</v>
      </c>
      <c r="BQ81" s="31">
        <v>4</v>
      </c>
      <c r="BR81" s="31">
        <f>BS81-BQ81</f>
        <v>6</v>
      </c>
      <c r="BS81" s="304">
        <v>10</v>
      </c>
      <c r="BT81" s="31">
        <v>1</v>
      </c>
      <c r="BU81" s="33">
        <f>BX81-BT81</f>
        <v>2</v>
      </c>
      <c r="BV81" s="33">
        <f>4-BT81-BU81</f>
        <v>1</v>
      </c>
      <c r="BW81" s="1033">
        <f>BY81-BV81</f>
        <v>4</v>
      </c>
      <c r="BX81" s="31">
        <v>3</v>
      </c>
      <c r="BY81" s="31">
        <f>BZ81-BX81</f>
        <v>5</v>
      </c>
      <c r="BZ81" s="304">
        <v>8</v>
      </c>
      <c r="CA81" s="31">
        <v>1</v>
      </c>
      <c r="CB81" s="33">
        <f>CE81-CA81</f>
        <v>3</v>
      </c>
      <c r="CC81" s="33">
        <f>5-CA81-CB81</f>
        <v>1</v>
      </c>
      <c r="CD81" s="1033">
        <f>CF81-CC81</f>
        <v>2</v>
      </c>
      <c r="CE81" s="31">
        <v>4</v>
      </c>
      <c r="CF81" s="31">
        <f>CG81-CE81</f>
        <v>3</v>
      </c>
      <c r="CG81" s="2107">
        <v>7</v>
      </c>
      <c r="CH81" s="31">
        <v>0</v>
      </c>
      <c r="CI81" s="33">
        <f>CL81-CH81</f>
        <v>1</v>
      </c>
      <c r="CJ81" s="33">
        <f>3-CI81-CH81</f>
        <v>2</v>
      </c>
      <c r="CK81" s="1033">
        <f>CM81-CJ81</f>
        <v>4</v>
      </c>
      <c r="CL81" s="31">
        <v>1</v>
      </c>
      <c r="CM81" s="33">
        <f>CN81-CL81</f>
        <v>6</v>
      </c>
      <c r="CN81" s="1865">
        <v>7</v>
      </c>
      <c r="CO81" s="31">
        <v>2</v>
      </c>
      <c r="CP81" s="31"/>
      <c r="CQ81" s="31"/>
      <c r="CR81" s="1039"/>
      <c r="CS81" s="2036"/>
      <c r="CT81" s="31"/>
      <c r="CU81" s="1019"/>
      <c r="CV81" s="31"/>
      <c r="CW81" s="31"/>
      <c r="CX81" s="31"/>
      <c r="CY81" s="1039"/>
      <c r="CZ81" s="31"/>
      <c r="DA81" s="31"/>
      <c r="DB81" s="1019"/>
      <c r="DC81" s="31"/>
      <c r="DD81" s="31"/>
      <c r="DE81" s="31"/>
      <c r="DF81" s="1039"/>
      <c r="DG81" s="31"/>
      <c r="DH81" s="31"/>
      <c r="DI81" s="1019"/>
      <c r="DJ81" s="31"/>
      <c r="DK81" s="31"/>
      <c r="DL81" s="31"/>
      <c r="DM81" s="1039"/>
      <c r="DN81" s="31"/>
      <c r="DO81" s="31"/>
      <c r="DP81" s="1019"/>
      <c r="DQ81" s="31"/>
      <c r="DR81" s="31"/>
      <c r="DS81" s="31"/>
      <c r="DT81" s="1039"/>
      <c r="DU81" s="31"/>
      <c r="DV81" s="31"/>
      <c r="DW81" s="1019"/>
      <c r="DX81" s="40"/>
      <c r="DY81" s="31"/>
      <c r="DZ81" s="27"/>
      <c r="EA81" s="27"/>
      <c r="EB81" s="27"/>
      <c r="EC81" s="27"/>
      <c r="ED81" s="27"/>
      <c r="EE81" s="27"/>
      <c r="EF81" s="27"/>
      <c r="EG81" s="27"/>
      <c r="EH81" s="27"/>
      <c r="EI81" s="218"/>
      <c r="EJ81" s="218"/>
      <c r="EK81" s="218"/>
      <c r="EL81" s="218"/>
      <c r="EM81" s="218"/>
      <c r="EN81" s="218"/>
      <c r="EO81" s="218"/>
      <c r="EP81" s="218"/>
      <c r="EQ81" s="218"/>
      <c r="ER81" s="218"/>
      <c r="ES81" s="218"/>
      <c r="ET81" s="218"/>
      <c r="EU81" s="218"/>
      <c r="EV81" s="218"/>
      <c r="EW81" s="218"/>
      <c r="EX81" s="218"/>
      <c r="EY81" s="218"/>
      <c r="EZ81" s="218"/>
      <c r="FA81" s="218"/>
      <c r="FB81" s="218"/>
      <c r="FC81" s="218"/>
      <c r="FD81" s="218"/>
      <c r="FE81" s="218"/>
      <c r="FF81" s="218"/>
      <c r="FG81" s="218"/>
      <c r="FH81" s="218"/>
      <c r="FI81" s="218"/>
      <c r="FJ81" s="218"/>
      <c r="FK81" s="218"/>
      <c r="FL81" s="218"/>
      <c r="FM81" s="218"/>
      <c r="FN81" s="218"/>
      <c r="FO81" s="218"/>
      <c r="FP81" s="218"/>
      <c r="FQ81" s="218"/>
    </row>
    <row r="82" spans="1:173" ht="10.5" customHeight="1">
      <c r="A82" s="186" t="s">
        <v>362</v>
      </c>
      <c r="B82" s="263"/>
      <c r="C82" s="263"/>
      <c r="D82" s="263"/>
      <c r="E82" s="1034"/>
      <c r="F82" s="263"/>
      <c r="G82" s="263"/>
      <c r="H82" s="304">
        <v>7</v>
      </c>
      <c r="I82" s="263"/>
      <c r="J82" s="263"/>
      <c r="K82" s="263"/>
      <c r="L82" s="1034"/>
      <c r="M82" s="263"/>
      <c r="N82" s="263"/>
      <c r="O82" s="1019"/>
      <c r="P82" s="263"/>
      <c r="Q82" s="263"/>
      <c r="R82" s="263"/>
      <c r="S82" s="1034"/>
      <c r="T82" s="263"/>
      <c r="U82" s="263"/>
      <c r="V82" s="1019"/>
      <c r="W82" s="263"/>
      <c r="X82" s="263"/>
      <c r="Y82" s="263"/>
      <c r="Z82" s="1034"/>
      <c r="AA82" s="263"/>
      <c r="AB82" s="263"/>
      <c r="AC82" s="1019"/>
      <c r="AD82" s="263"/>
      <c r="AE82" s="263"/>
      <c r="AF82" s="263"/>
      <c r="AG82" s="1034"/>
      <c r="AH82" s="263"/>
      <c r="AI82" s="263"/>
      <c r="AJ82" s="1019"/>
      <c r="AK82" s="263"/>
      <c r="AL82" s="263"/>
      <c r="AM82" s="263"/>
      <c r="AN82" s="1034"/>
      <c r="AO82" s="263"/>
      <c r="AP82" s="263"/>
      <c r="AQ82" s="1019"/>
      <c r="AR82" s="263"/>
      <c r="AS82" s="263"/>
      <c r="AT82" s="263"/>
      <c r="AU82" s="1034"/>
      <c r="AV82" s="263"/>
      <c r="AW82" s="263"/>
      <c r="AX82" s="1019"/>
      <c r="AY82" s="263"/>
      <c r="AZ82" s="263"/>
      <c r="BA82" s="263"/>
      <c r="BB82" s="1034"/>
      <c r="BC82" s="263"/>
      <c r="BD82" s="263"/>
      <c r="BE82" s="1019"/>
      <c r="BF82" s="263"/>
      <c r="BG82" s="263"/>
      <c r="BH82" s="263"/>
      <c r="BI82" s="1034"/>
      <c r="BJ82" s="263"/>
      <c r="BK82" s="263"/>
      <c r="BL82" s="1019"/>
      <c r="BM82" s="263"/>
      <c r="BN82" s="263"/>
      <c r="BO82" s="263"/>
      <c r="BP82" s="1034"/>
      <c r="BQ82" s="263"/>
      <c r="BR82" s="263"/>
      <c r="BS82" s="1019"/>
      <c r="BT82" s="263"/>
      <c r="BU82" s="263"/>
      <c r="BV82" s="263"/>
      <c r="BW82" s="1034"/>
      <c r="BX82" s="263"/>
      <c r="BY82" s="263"/>
      <c r="BZ82" s="1019"/>
      <c r="CA82" s="263"/>
      <c r="CB82" s="263"/>
      <c r="CC82" s="263"/>
      <c r="CD82" s="1034"/>
      <c r="CE82" s="263"/>
      <c r="CF82" s="263"/>
      <c r="CG82" s="1019"/>
      <c r="CH82" s="263"/>
      <c r="CI82" s="263"/>
      <c r="CJ82" s="263"/>
      <c r="CK82" s="1034"/>
      <c r="CL82" s="263"/>
      <c r="CM82" s="263"/>
      <c r="CN82" s="1019"/>
      <c r="CO82" s="263"/>
      <c r="CP82" s="263"/>
      <c r="CQ82" s="263"/>
      <c r="CR82" s="1034"/>
      <c r="CS82" s="263"/>
      <c r="CT82" s="263"/>
      <c r="CU82" s="1019"/>
      <c r="CV82" s="263"/>
      <c r="CW82" s="263"/>
      <c r="CX82" s="263"/>
      <c r="CY82" s="1034"/>
      <c r="CZ82" s="263"/>
      <c r="DA82" s="263"/>
      <c r="DB82" s="1019"/>
      <c r="DC82" s="263"/>
      <c r="DD82" s="263"/>
      <c r="DE82" s="263"/>
      <c r="DF82" s="1034"/>
      <c r="DG82" s="263"/>
      <c r="DH82" s="263"/>
      <c r="DI82" s="1019"/>
      <c r="DJ82" s="263"/>
      <c r="DK82" s="263"/>
      <c r="DL82" s="263"/>
      <c r="DM82" s="1034"/>
      <c r="DN82" s="263"/>
      <c r="DO82" s="263"/>
      <c r="DP82" s="1019"/>
      <c r="DQ82" s="263"/>
      <c r="DR82" s="263"/>
      <c r="DS82" s="263"/>
      <c r="DT82" s="1034"/>
      <c r="DU82" s="263"/>
      <c r="DV82" s="263"/>
      <c r="DW82" s="1019"/>
      <c r="DX82" s="40"/>
      <c r="DY82" s="31"/>
      <c r="DZ82" s="27"/>
      <c r="EA82" s="27"/>
      <c r="EB82" s="27"/>
      <c r="EC82" s="27"/>
      <c r="ED82" s="27"/>
      <c r="EE82" s="27"/>
      <c r="EF82" s="27"/>
      <c r="EG82" s="27"/>
      <c r="EH82" s="27"/>
      <c r="EI82" s="218"/>
      <c r="EJ82" s="218"/>
      <c r="EK82" s="218"/>
      <c r="EL82" s="218"/>
      <c r="EM82" s="218"/>
      <c r="EN82" s="218"/>
      <c r="EO82" s="218"/>
      <c r="EP82" s="218"/>
      <c r="EQ82" s="218"/>
      <c r="ER82" s="218"/>
      <c r="ES82" s="218"/>
      <c r="ET82" s="218"/>
      <c r="EU82" s="218"/>
      <c r="EV82" s="218"/>
      <c r="EW82" s="218"/>
      <c r="EX82" s="218"/>
      <c r="EY82" s="218"/>
      <c r="EZ82" s="218"/>
      <c r="FA82" s="218"/>
      <c r="FB82" s="218"/>
      <c r="FC82" s="218"/>
      <c r="FD82" s="218"/>
      <c r="FE82" s="218"/>
      <c r="FF82" s="218"/>
      <c r="FG82" s="218"/>
      <c r="FH82" s="218"/>
      <c r="FI82" s="218"/>
      <c r="FJ82" s="218"/>
      <c r="FK82" s="218"/>
      <c r="FL82" s="218"/>
      <c r="FM82" s="218"/>
      <c r="FN82" s="218"/>
      <c r="FO82" s="218"/>
      <c r="FP82" s="218"/>
      <c r="FQ82" s="218"/>
    </row>
    <row r="83" spans="1:173" ht="10.5" customHeight="1">
      <c r="A83" s="186" t="s">
        <v>363</v>
      </c>
      <c r="B83" s="263"/>
      <c r="C83" s="263"/>
      <c r="D83" s="263"/>
      <c r="E83" s="1034"/>
      <c r="F83" s="263"/>
      <c r="G83" s="263"/>
      <c r="H83" s="304">
        <v>22</v>
      </c>
      <c r="I83" s="263"/>
      <c r="J83" s="263"/>
      <c r="K83" s="263"/>
      <c r="L83" s="1034"/>
      <c r="M83" s="263"/>
      <c r="N83" s="263"/>
      <c r="O83" s="1019"/>
      <c r="P83" s="263"/>
      <c r="Q83" s="263"/>
      <c r="R83" s="263"/>
      <c r="S83" s="1034"/>
      <c r="T83" s="263"/>
      <c r="U83" s="263"/>
      <c r="V83" s="1019"/>
      <c r="W83" s="263"/>
      <c r="X83" s="263"/>
      <c r="Y83" s="263"/>
      <c r="Z83" s="1034"/>
      <c r="AA83" s="263"/>
      <c r="AB83" s="263"/>
      <c r="AC83" s="1019"/>
      <c r="AD83" s="263"/>
      <c r="AE83" s="263"/>
      <c r="AF83" s="263"/>
      <c r="AG83" s="1034"/>
      <c r="AH83" s="263"/>
      <c r="AI83" s="263"/>
      <c r="AJ83" s="1019"/>
      <c r="AK83" s="263"/>
      <c r="AL83" s="263"/>
      <c r="AM83" s="263"/>
      <c r="AN83" s="1034"/>
      <c r="AO83" s="263"/>
      <c r="AP83" s="263"/>
      <c r="AQ83" s="1019"/>
      <c r="AR83" s="263"/>
      <c r="AS83" s="263"/>
      <c r="AT83" s="263"/>
      <c r="AU83" s="1034"/>
      <c r="AV83" s="263"/>
      <c r="AW83" s="263"/>
      <c r="AX83" s="1019"/>
      <c r="AY83" s="263"/>
      <c r="AZ83" s="263"/>
      <c r="BA83" s="263"/>
      <c r="BB83" s="1034"/>
      <c r="BC83" s="263"/>
      <c r="BD83" s="263"/>
      <c r="BE83" s="1019"/>
      <c r="BF83" s="263"/>
      <c r="BG83" s="263"/>
      <c r="BH83" s="263"/>
      <c r="BI83" s="1034"/>
      <c r="BJ83" s="263"/>
      <c r="BK83" s="263"/>
      <c r="BL83" s="1019"/>
      <c r="BM83" s="263"/>
      <c r="BN83" s="263"/>
      <c r="BO83" s="263"/>
      <c r="BP83" s="1034"/>
      <c r="BQ83" s="263"/>
      <c r="BR83" s="263"/>
      <c r="BS83" s="1019"/>
      <c r="BT83" s="263"/>
      <c r="BU83" s="263"/>
      <c r="BV83" s="263"/>
      <c r="BW83" s="1034"/>
      <c r="BX83" s="263"/>
      <c r="BY83" s="263"/>
      <c r="BZ83" s="1019"/>
      <c r="CA83" s="263"/>
      <c r="CB83" s="263"/>
      <c r="CC83" s="263"/>
      <c r="CD83" s="1034"/>
      <c r="CE83" s="263"/>
      <c r="CF83" s="263"/>
      <c r="CG83" s="1019"/>
      <c r="CH83" s="263"/>
      <c r="CI83" s="263"/>
      <c r="CJ83" s="263"/>
      <c r="CK83" s="1034"/>
      <c r="CL83" s="263"/>
      <c r="CM83" s="263"/>
      <c r="CN83" s="1019"/>
      <c r="CO83" s="263"/>
      <c r="CP83" s="263"/>
      <c r="CQ83" s="263"/>
      <c r="CR83" s="1034"/>
      <c r="CS83" s="263"/>
      <c r="CT83" s="263"/>
      <c r="CU83" s="1019"/>
      <c r="CV83" s="263"/>
      <c r="CW83" s="263"/>
      <c r="CX83" s="263"/>
      <c r="CY83" s="1034"/>
      <c r="CZ83" s="263"/>
      <c r="DA83" s="263"/>
      <c r="DB83" s="1019"/>
      <c r="DC83" s="263"/>
      <c r="DD83" s="263"/>
      <c r="DE83" s="263"/>
      <c r="DF83" s="1034"/>
      <c r="DG83" s="263"/>
      <c r="DH83" s="263"/>
      <c r="DI83" s="1019"/>
      <c r="DJ83" s="263"/>
      <c r="DK83" s="263"/>
      <c r="DL83" s="263"/>
      <c r="DM83" s="1034"/>
      <c r="DN83" s="263"/>
      <c r="DO83" s="263"/>
      <c r="DP83" s="1019"/>
      <c r="DQ83" s="263"/>
      <c r="DR83" s="263"/>
      <c r="DS83" s="263"/>
      <c r="DT83" s="1034"/>
      <c r="DU83" s="263"/>
      <c r="DV83" s="263"/>
      <c r="DW83" s="1019"/>
      <c r="DX83" s="41"/>
      <c r="DY83" s="31"/>
      <c r="DZ83" s="27"/>
      <c r="EA83" s="27"/>
      <c r="EB83" s="218"/>
      <c r="EC83" s="218"/>
      <c r="ED83" s="218"/>
      <c r="EE83" s="218"/>
      <c r="EF83" s="218"/>
      <c r="EG83" s="218"/>
      <c r="EH83" s="218"/>
      <c r="EI83" s="218"/>
      <c r="EJ83" s="218"/>
      <c r="EK83" s="218"/>
      <c r="EL83" s="218"/>
      <c r="EM83" s="218"/>
      <c r="EN83" s="218"/>
      <c r="EO83" s="218"/>
      <c r="EP83" s="218"/>
      <c r="EQ83" s="218"/>
      <c r="ER83" s="218"/>
      <c r="ES83" s="218"/>
      <c r="ET83" s="218"/>
      <c r="EU83" s="218"/>
      <c r="EV83" s="218"/>
      <c r="EW83" s="218"/>
      <c r="EX83" s="218"/>
      <c r="EY83" s="218"/>
      <c r="EZ83" s="218"/>
      <c r="FA83" s="218"/>
      <c r="FB83" s="218"/>
      <c r="FC83" s="218"/>
      <c r="FD83" s="218"/>
      <c r="FE83" s="218"/>
      <c r="FF83" s="218"/>
      <c r="FG83" s="218"/>
      <c r="FH83" s="218"/>
      <c r="FI83" s="218"/>
      <c r="FJ83" s="218"/>
      <c r="FK83" s="218"/>
      <c r="FL83" s="218"/>
      <c r="FM83" s="218"/>
      <c r="FN83" s="218"/>
      <c r="FO83" s="218"/>
      <c r="FP83" s="218"/>
      <c r="FQ83" s="218"/>
    </row>
    <row r="84" spans="1:173" ht="10.5" customHeight="1">
      <c r="A84" s="186" t="s">
        <v>365</v>
      </c>
      <c r="B84" s="263"/>
      <c r="C84" s="263"/>
      <c r="D84" s="263"/>
      <c r="E84" s="1034"/>
      <c r="F84" s="263"/>
      <c r="G84" s="263"/>
      <c r="H84" s="1019"/>
      <c r="I84" s="263"/>
      <c r="J84" s="263"/>
      <c r="K84" s="263"/>
      <c r="L84" s="1034"/>
      <c r="M84" s="263"/>
      <c r="N84" s="263"/>
      <c r="O84" s="1019"/>
      <c r="P84" s="263"/>
      <c r="Q84" s="263"/>
      <c r="R84" s="263"/>
      <c r="S84" s="1034"/>
      <c r="T84" s="263"/>
      <c r="U84" s="263"/>
      <c r="V84" s="1019"/>
      <c r="W84" s="263"/>
      <c r="X84" s="263"/>
      <c r="Y84" s="263"/>
      <c r="Z84" s="1034"/>
      <c r="AA84" s="263"/>
      <c r="AB84" s="263"/>
      <c r="AC84" s="1019"/>
      <c r="AD84" s="263"/>
      <c r="AE84" s="263"/>
      <c r="AF84" s="263"/>
      <c r="AG84" s="1034"/>
      <c r="AH84" s="263"/>
      <c r="AI84" s="263"/>
      <c r="AJ84" s="1019"/>
      <c r="AK84" s="263"/>
      <c r="AL84" s="263"/>
      <c r="AM84" s="263"/>
      <c r="AN84" s="1034"/>
      <c r="AO84" s="263"/>
      <c r="AP84" s="263"/>
      <c r="AQ84" s="1019"/>
      <c r="AR84" s="263"/>
      <c r="AS84" s="263"/>
      <c r="AT84" s="263"/>
      <c r="AU84" s="1034"/>
      <c r="AV84" s="263"/>
      <c r="AW84" s="263"/>
      <c r="AX84" s="1019"/>
      <c r="AY84" s="263"/>
      <c r="AZ84" s="263"/>
      <c r="BA84" s="263"/>
      <c r="BB84" s="1034"/>
      <c r="BC84" s="263"/>
      <c r="BD84" s="263"/>
      <c r="BE84" s="1019"/>
      <c r="BF84" s="263"/>
      <c r="BG84" s="263"/>
      <c r="BH84" s="263"/>
      <c r="BI84" s="1034"/>
      <c r="BJ84" s="263"/>
      <c r="BK84" s="263"/>
      <c r="BL84" s="1019"/>
      <c r="BM84" s="263"/>
      <c r="BN84" s="263"/>
      <c r="BO84" s="263"/>
      <c r="BP84" s="1034"/>
      <c r="BQ84" s="263"/>
      <c r="BR84" s="263"/>
      <c r="BS84" s="1019"/>
      <c r="BT84" s="263"/>
      <c r="BU84" s="263"/>
      <c r="BV84" s="263"/>
      <c r="BW84" s="1034"/>
      <c r="BX84" s="263"/>
      <c r="BY84" s="263"/>
      <c r="BZ84" s="1019"/>
      <c r="CA84" s="263"/>
      <c r="CB84" s="263"/>
      <c r="CC84" s="263"/>
      <c r="CD84" s="1034"/>
      <c r="CE84" s="263"/>
      <c r="CF84" s="263"/>
      <c r="CG84" s="1019"/>
      <c r="CH84" s="263"/>
      <c r="CI84" s="263"/>
      <c r="CJ84" s="263"/>
      <c r="CK84" s="1034"/>
      <c r="CL84" s="263"/>
      <c r="CM84" s="263"/>
      <c r="CN84" s="1019"/>
      <c r="CO84" s="263"/>
      <c r="CP84" s="263"/>
      <c r="CQ84" s="263"/>
      <c r="CR84" s="1034"/>
      <c r="CS84" s="263"/>
      <c r="CT84" s="263"/>
      <c r="CU84" s="1019"/>
      <c r="CV84" s="263"/>
      <c r="CW84" s="263"/>
      <c r="CX84" s="263"/>
      <c r="CY84" s="1034"/>
      <c r="CZ84" s="263"/>
      <c r="DA84" s="263"/>
      <c r="DB84" s="1019"/>
      <c r="DC84" s="263"/>
      <c r="DD84" s="263"/>
      <c r="DE84" s="263"/>
      <c r="DF84" s="1034"/>
      <c r="DG84" s="263"/>
      <c r="DH84" s="263"/>
      <c r="DI84" s="1019"/>
      <c r="DJ84" s="263"/>
      <c r="DK84" s="263"/>
      <c r="DL84" s="263"/>
      <c r="DM84" s="1034"/>
      <c r="DN84" s="263"/>
      <c r="DO84" s="263"/>
      <c r="DP84" s="1019"/>
      <c r="DQ84" s="263"/>
      <c r="DR84" s="263"/>
      <c r="DS84" s="263"/>
      <c r="DT84" s="1034"/>
      <c r="DU84" s="263"/>
      <c r="DV84" s="263"/>
      <c r="DW84" s="1019"/>
      <c r="DX84" s="29"/>
      <c r="DY84" s="31"/>
      <c r="DZ84" s="27"/>
      <c r="EA84" s="27"/>
      <c r="EB84" s="218"/>
      <c r="EC84" s="218"/>
      <c r="ED84" s="218"/>
      <c r="EE84" s="218"/>
      <c r="EF84" s="218"/>
      <c r="EG84" s="218"/>
      <c r="EH84" s="218"/>
      <c r="EI84" s="218"/>
      <c r="EJ84" s="218"/>
      <c r="EK84" s="218"/>
      <c r="EL84" s="218"/>
      <c r="EM84" s="218"/>
      <c r="EN84" s="218"/>
      <c r="EO84" s="218"/>
      <c r="EP84" s="218"/>
      <c r="EQ84" s="218"/>
      <c r="ER84" s="218"/>
      <c r="ES84" s="218"/>
      <c r="ET84" s="218"/>
      <c r="EU84" s="218"/>
      <c r="EV84" s="218"/>
      <c r="EW84" s="218"/>
      <c r="EX84" s="218"/>
      <c r="EY84" s="218"/>
      <c r="EZ84" s="218"/>
      <c r="FA84" s="218"/>
      <c r="FB84" s="218"/>
      <c r="FC84" s="218"/>
      <c r="FD84" s="218"/>
      <c r="FE84" s="218"/>
      <c r="FF84" s="218"/>
      <c r="FG84" s="218"/>
      <c r="FH84" s="218"/>
      <c r="FI84" s="218"/>
      <c r="FJ84" s="218"/>
      <c r="FK84" s="218"/>
      <c r="FL84" s="218"/>
      <c r="FM84" s="218"/>
      <c r="FN84" s="218"/>
      <c r="FO84" s="218"/>
      <c r="FP84" s="218"/>
      <c r="FQ84" s="218"/>
    </row>
    <row r="85" spans="1:173" ht="10.5" customHeight="1">
      <c r="A85" s="188" t="s">
        <v>361</v>
      </c>
      <c r="B85" s="190"/>
      <c r="C85" s="190"/>
      <c r="D85" s="190"/>
      <c r="E85" s="1040"/>
      <c r="F85" s="190"/>
      <c r="G85" s="190"/>
      <c r="H85" s="1029"/>
      <c r="I85" s="190"/>
      <c r="J85" s="190"/>
      <c r="K85" s="190"/>
      <c r="L85" s="1040"/>
      <c r="M85" s="190"/>
      <c r="N85" s="190"/>
      <c r="O85" s="1029"/>
      <c r="P85" s="190"/>
      <c r="Q85" s="190"/>
      <c r="R85" s="190"/>
      <c r="S85" s="1040"/>
      <c r="T85" s="190"/>
      <c r="U85" s="190"/>
      <c r="V85" s="1029"/>
      <c r="W85" s="190"/>
      <c r="X85" s="190"/>
      <c r="Y85" s="190"/>
      <c r="Z85" s="1040"/>
      <c r="AA85" s="190"/>
      <c r="AB85" s="190"/>
      <c r="AC85" s="1029"/>
      <c r="AD85" s="190"/>
      <c r="AE85" s="190"/>
      <c r="AF85" s="190"/>
      <c r="AG85" s="1040"/>
      <c r="AH85" s="190"/>
      <c r="AI85" s="190"/>
      <c r="AJ85" s="1029"/>
      <c r="AK85" s="190"/>
      <c r="AL85" s="190"/>
      <c r="AM85" s="190"/>
      <c r="AN85" s="1040"/>
      <c r="AO85" s="190"/>
      <c r="AP85" s="190"/>
      <c r="AQ85" s="1029"/>
      <c r="AR85" s="190"/>
      <c r="AS85" s="190"/>
      <c r="AT85" s="190"/>
      <c r="AU85" s="1040"/>
      <c r="AV85" s="190"/>
      <c r="AW85" s="190"/>
      <c r="AX85" s="1029"/>
      <c r="AY85" s="190"/>
      <c r="AZ85" s="190"/>
      <c r="BA85" s="190"/>
      <c r="BB85" s="1040"/>
      <c r="BC85" s="190"/>
      <c r="BD85" s="190"/>
      <c r="BE85" s="1029"/>
      <c r="BF85" s="190"/>
      <c r="BG85" s="190"/>
      <c r="BH85" s="190"/>
      <c r="BI85" s="1040"/>
      <c r="BJ85" s="190"/>
      <c r="BK85" s="190"/>
      <c r="BL85" s="1029"/>
      <c r="BM85" s="190"/>
      <c r="BN85" s="190"/>
      <c r="BO85" s="190"/>
      <c r="BP85" s="1040"/>
      <c r="BQ85" s="190"/>
      <c r="BR85" s="190"/>
      <c r="BS85" s="1029"/>
      <c r="BT85" s="190"/>
      <c r="BU85" s="190"/>
      <c r="BV85" s="190"/>
      <c r="BW85" s="1040"/>
      <c r="BX85" s="190"/>
      <c r="BY85" s="190"/>
      <c r="BZ85" s="1029"/>
      <c r="CA85" s="190"/>
      <c r="CB85" s="190"/>
      <c r="CC85" s="190"/>
      <c r="CD85" s="1040"/>
      <c r="CE85" s="190"/>
      <c r="CF85" s="190"/>
      <c r="CG85" s="1029"/>
      <c r="CH85" s="190"/>
      <c r="CI85" s="190"/>
      <c r="CJ85" s="190"/>
      <c r="CK85" s="1040"/>
      <c r="CL85" s="190"/>
      <c r="CM85" s="190"/>
      <c r="CN85" s="1029"/>
      <c r="CO85" s="190"/>
      <c r="CP85" s="190"/>
      <c r="CQ85" s="190"/>
      <c r="CR85" s="1040"/>
      <c r="CS85" s="190"/>
      <c r="CT85" s="190"/>
      <c r="CU85" s="1029"/>
      <c r="CV85" s="190"/>
      <c r="CW85" s="190"/>
      <c r="CX85" s="190"/>
      <c r="CY85" s="1040"/>
      <c r="CZ85" s="190"/>
      <c r="DA85" s="190"/>
      <c r="DB85" s="1029"/>
      <c r="DC85" s="190"/>
      <c r="DD85" s="190"/>
      <c r="DE85" s="190"/>
      <c r="DF85" s="1040"/>
      <c r="DG85" s="190"/>
      <c r="DH85" s="190"/>
      <c r="DI85" s="1029"/>
      <c r="DJ85" s="190"/>
      <c r="DK85" s="190"/>
      <c r="DL85" s="190"/>
      <c r="DM85" s="1040"/>
      <c r="DN85" s="190"/>
      <c r="DO85" s="190"/>
      <c r="DP85" s="1029"/>
      <c r="DQ85" s="190"/>
      <c r="DR85" s="190"/>
      <c r="DS85" s="190"/>
      <c r="DT85" s="1040"/>
      <c r="DU85" s="190"/>
      <c r="DV85" s="190"/>
      <c r="DW85" s="1029"/>
      <c r="DX85" s="29"/>
      <c r="DY85" s="31"/>
      <c r="DZ85" s="27"/>
      <c r="EA85" s="27"/>
      <c r="EB85" s="218"/>
      <c r="EC85" s="218"/>
      <c r="ED85" s="218"/>
      <c r="EE85" s="218"/>
      <c r="EF85" s="218"/>
      <c r="EG85" s="218"/>
      <c r="EH85" s="218"/>
      <c r="EI85" s="218"/>
      <c r="EJ85" s="218"/>
      <c r="EK85" s="218"/>
      <c r="EL85" s="218"/>
      <c r="EM85" s="218"/>
      <c r="EN85" s="218"/>
      <c r="EO85" s="218"/>
      <c r="EP85" s="218"/>
      <c r="EQ85" s="218"/>
      <c r="ER85" s="218"/>
      <c r="ES85" s="218"/>
      <c r="ET85" s="218"/>
      <c r="EU85" s="218"/>
      <c r="EV85" s="218"/>
      <c r="EW85" s="218"/>
      <c r="EX85" s="218"/>
      <c r="EY85" s="218"/>
      <c r="EZ85" s="218"/>
      <c r="FA85" s="218"/>
      <c r="FB85" s="218"/>
      <c r="FC85" s="218"/>
      <c r="FD85" s="218"/>
      <c r="FE85" s="218"/>
      <c r="FF85" s="218"/>
      <c r="FG85" s="218"/>
      <c r="FH85" s="218"/>
      <c r="FI85" s="218"/>
      <c r="FJ85" s="218"/>
      <c r="FK85" s="218"/>
      <c r="FL85" s="218"/>
      <c r="FM85" s="218"/>
      <c r="FN85" s="218"/>
      <c r="FO85" s="218"/>
      <c r="FP85" s="218"/>
      <c r="FQ85" s="218"/>
    </row>
    <row r="86" spans="1:173" ht="10.5" customHeight="1">
      <c r="A86" s="186" t="s">
        <v>359</v>
      </c>
      <c r="B86" s="27"/>
      <c r="C86" s="27"/>
      <c r="D86" s="27"/>
      <c r="E86" s="1036"/>
      <c r="F86" s="27"/>
      <c r="G86" s="27"/>
      <c r="H86" s="1022">
        <v>38</v>
      </c>
      <c r="I86" s="27"/>
      <c r="J86" s="27"/>
      <c r="K86" s="27"/>
      <c r="L86" s="1036"/>
      <c r="M86" s="27"/>
      <c r="N86" s="27"/>
      <c r="O86" s="1022"/>
      <c r="P86" s="27"/>
      <c r="Q86" s="27"/>
      <c r="R86" s="27"/>
      <c r="S86" s="1036"/>
      <c r="T86" s="27"/>
      <c r="U86" s="27"/>
      <c r="V86" s="1022"/>
      <c r="W86" s="27"/>
      <c r="X86" s="27"/>
      <c r="Y86" s="27"/>
      <c r="Z86" s="1036"/>
      <c r="AA86" s="27"/>
      <c r="AB86" s="27"/>
      <c r="AC86" s="1022"/>
      <c r="AD86" s="27"/>
      <c r="AE86" s="27"/>
      <c r="AF86" s="27"/>
      <c r="AG86" s="1036"/>
      <c r="AH86" s="27"/>
      <c r="AI86" s="27"/>
      <c r="AJ86" s="1022"/>
      <c r="AK86" s="27"/>
      <c r="AL86" s="27"/>
      <c r="AM86" s="27"/>
      <c r="AN86" s="1036"/>
      <c r="AO86" s="27"/>
      <c r="AP86" s="27"/>
      <c r="AQ86" s="1022"/>
      <c r="AR86" s="27"/>
      <c r="AS86" s="27"/>
      <c r="AT86" s="27"/>
      <c r="AU86" s="1036"/>
      <c r="AV86" s="27"/>
      <c r="AW86" s="27"/>
      <c r="AX86" s="1022"/>
      <c r="AY86" s="27"/>
      <c r="AZ86" s="27"/>
      <c r="BA86" s="27"/>
      <c r="BB86" s="1036"/>
      <c r="BC86" s="27"/>
      <c r="BD86" s="27"/>
      <c r="BE86" s="1022"/>
      <c r="BF86" s="27"/>
      <c r="BG86" s="27"/>
      <c r="BH86" s="27"/>
      <c r="BI86" s="1036"/>
      <c r="BJ86" s="27"/>
      <c r="BK86" s="27"/>
      <c r="BL86" s="1022"/>
      <c r="BM86" s="27"/>
      <c r="BN86" s="27"/>
      <c r="BO86" s="27"/>
      <c r="BP86" s="1036"/>
      <c r="BQ86" s="27"/>
      <c r="BR86" s="27"/>
      <c r="BS86" s="1022"/>
      <c r="BT86" s="27"/>
      <c r="BU86" s="27"/>
      <c r="BV86" s="27"/>
      <c r="BW86" s="1036"/>
      <c r="BX86" s="27"/>
      <c r="BY86" s="27"/>
      <c r="BZ86" s="1022"/>
      <c r="CA86" s="27"/>
      <c r="CB86" s="27"/>
      <c r="CC86" s="27"/>
      <c r="CD86" s="1036"/>
      <c r="CE86" s="27"/>
      <c r="CF86" s="27"/>
      <c r="CG86" s="1022"/>
      <c r="CH86" s="27"/>
      <c r="CI86" s="27"/>
      <c r="CJ86" s="27"/>
      <c r="CK86" s="1036"/>
      <c r="CL86" s="27"/>
      <c r="CM86" s="27"/>
      <c r="CN86" s="1022"/>
      <c r="CO86" s="27"/>
      <c r="CP86" s="27"/>
      <c r="CQ86" s="27"/>
      <c r="CR86" s="1036"/>
      <c r="CS86" s="27"/>
      <c r="CT86" s="27"/>
      <c r="CU86" s="1022"/>
      <c r="CV86" s="27"/>
      <c r="CW86" s="27"/>
      <c r="CX86" s="27"/>
      <c r="CY86" s="1036"/>
      <c r="CZ86" s="27"/>
      <c r="DA86" s="27"/>
      <c r="DB86" s="1022"/>
      <c r="DC86" s="27"/>
      <c r="DD86" s="27"/>
      <c r="DE86" s="27"/>
      <c r="DF86" s="1036"/>
      <c r="DG86" s="27"/>
      <c r="DH86" s="27"/>
      <c r="DI86" s="1022"/>
      <c r="DJ86" s="27"/>
      <c r="DK86" s="27"/>
      <c r="DL86" s="27"/>
      <c r="DM86" s="1036"/>
      <c r="DN86" s="27"/>
      <c r="DO86" s="27"/>
      <c r="DP86" s="1022"/>
      <c r="DQ86" s="27"/>
      <c r="DR86" s="27"/>
      <c r="DS86" s="27"/>
      <c r="DT86" s="1036"/>
      <c r="DU86" s="27"/>
      <c r="DV86" s="27"/>
      <c r="DW86" s="1022"/>
      <c r="DX86" s="29"/>
      <c r="DY86" s="31"/>
      <c r="DZ86" s="27"/>
      <c r="EA86" s="27"/>
      <c r="EB86" s="218"/>
      <c r="EC86" s="218"/>
      <c r="ED86" s="218"/>
      <c r="EE86" s="218"/>
      <c r="EF86" s="218"/>
      <c r="EG86" s="218"/>
      <c r="EH86" s="218"/>
      <c r="EI86" s="218"/>
      <c r="EJ86" s="218"/>
      <c r="EK86" s="218"/>
      <c r="EL86" s="218"/>
      <c r="EM86" s="218"/>
      <c r="EN86" s="218"/>
      <c r="EO86" s="218"/>
      <c r="EP86" s="218"/>
      <c r="EQ86" s="218"/>
      <c r="ER86" s="218"/>
      <c r="ES86" s="218"/>
      <c r="ET86" s="218"/>
      <c r="EU86" s="218"/>
      <c r="EV86" s="218"/>
      <c r="EW86" s="218"/>
      <c r="EX86" s="218"/>
      <c r="EY86" s="218"/>
      <c r="EZ86" s="218"/>
      <c r="FA86" s="218"/>
      <c r="FB86" s="218"/>
      <c r="FC86" s="218"/>
      <c r="FD86" s="218"/>
      <c r="FE86" s="218"/>
      <c r="FF86" s="218"/>
      <c r="FG86" s="218"/>
      <c r="FH86" s="218"/>
      <c r="FI86" s="218"/>
      <c r="FJ86" s="218"/>
      <c r="FK86" s="218"/>
      <c r="FL86" s="218"/>
      <c r="FM86" s="218"/>
      <c r="FN86" s="218"/>
      <c r="FO86" s="218"/>
      <c r="FP86" s="218"/>
      <c r="FQ86" s="218"/>
    </row>
    <row r="87" spans="1:173" ht="10.5" customHeight="1">
      <c r="A87" s="186" t="s">
        <v>227</v>
      </c>
      <c r="B87" s="27"/>
      <c r="C87" s="27"/>
      <c r="D87" s="27"/>
      <c r="E87" s="1036"/>
      <c r="F87" s="27"/>
      <c r="G87" s="27"/>
      <c r="H87" s="1022">
        <v>172</v>
      </c>
      <c r="I87" s="27"/>
      <c r="J87" s="27"/>
      <c r="K87" s="27"/>
      <c r="L87" s="1036"/>
      <c r="M87" s="27"/>
      <c r="N87" s="27"/>
      <c r="O87" s="1022"/>
      <c r="P87" s="27"/>
      <c r="Q87" s="27"/>
      <c r="R87" s="27"/>
      <c r="S87" s="1036"/>
      <c r="T87" s="27"/>
      <c r="U87" s="27"/>
      <c r="V87" s="1022"/>
      <c r="W87" s="27"/>
      <c r="X87" s="27"/>
      <c r="Y87" s="27"/>
      <c r="Z87" s="1036"/>
      <c r="AA87" s="27"/>
      <c r="AB87" s="27"/>
      <c r="AC87" s="1022"/>
      <c r="AD87" s="27"/>
      <c r="AE87" s="27"/>
      <c r="AF87" s="27"/>
      <c r="AG87" s="1036"/>
      <c r="AH87" s="27"/>
      <c r="AI87" s="27"/>
      <c r="AJ87" s="1022"/>
      <c r="AK87" s="27"/>
      <c r="AL87" s="27"/>
      <c r="AM87" s="27"/>
      <c r="AN87" s="1036"/>
      <c r="AO87" s="27"/>
      <c r="AP87" s="27"/>
      <c r="AQ87" s="1022"/>
      <c r="AR87" s="27"/>
      <c r="AS87" s="27"/>
      <c r="AT87" s="27"/>
      <c r="AU87" s="1036"/>
      <c r="AV87" s="27"/>
      <c r="AW87" s="27"/>
      <c r="AX87" s="1022"/>
      <c r="AY87" s="27"/>
      <c r="AZ87" s="27"/>
      <c r="BA87" s="27"/>
      <c r="BB87" s="1036"/>
      <c r="BC87" s="27"/>
      <c r="BD87" s="27"/>
      <c r="BE87" s="1022"/>
      <c r="BF87" s="27"/>
      <c r="BG87" s="27"/>
      <c r="BH87" s="27"/>
      <c r="BI87" s="1036"/>
      <c r="BJ87" s="27"/>
      <c r="BK87" s="27"/>
      <c r="BL87" s="1022"/>
      <c r="BM87" s="27"/>
      <c r="BN87" s="27"/>
      <c r="BO87" s="27"/>
      <c r="BP87" s="1036"/>
      <c r="BQ87" s="27"/>
      <c r="BR87" s="27"/>
      <c r="BS87" s="1022"/>
      <c r="BT87" s="27"/>
      <c r="BU87" s="27"/>
      <c r="BV87" s="27"/>
      <c r="BW87" s="1036"/>
      <c r="BX87" s="27"/>
      <c r="BY87" s="27"/>
      <c r="BZ87" s="1022"/>
      <c r="CA87" s="27"/>
      <c r="CB87" s="27"/>
      <c r="CC87" s="27"/>
      <c r="CD87" s="1036"/>
      <c r="CE87" s="27"/>
      <c r="CF87" s="27"/>
      <c r="CG87" s="1022"/>
      <c r="CH87" s="27"/>
      <c r="CI87" s="27"/>
      <c r="CJ87" s="27"/>
      <c r="CK87" s="1036"/>
      <c r="CL87" s="27"/>
      <c r="CM87" s="27"/>
      <c r="CN87" s="1022"/>
      <c r="CO87" s="27"/>
      <c r="CP87" s="27"/>
      <c r="CQ87" s="27"/>
      <c r="CR87" s="1036"/>
      <c r="CS87" s="27"/>
      <c r="CT87" s="27"/>
      <c r="CU87" s="1022"/>
      <c r="CV87" s="27"/>
      <c r="CW87" s="27"/>
      <c r="CX87" s="27"/>
      <c r="CY87" s="1036"/>
      <c r="CZ87" s="27"/>
      <c r="DA87" s="27"/>
      <c r="DB87" s="1022"/>
      <c r="DC87" s="27"/>
      <c r="DD87" s="27"/>
      <c r="DE87" s="27"/>
      <c r="DF87" s="1036"/>
      <c r="DG87" s="27"/>
      <c r="DH87" s="27"/>
      <c r="DI87" s="1022"/>
      <c r="DJ87" s="27"/>
      <c r="DK87" s="27"/>
      <c r="DL87" s="27"/>
      <c r="DM87" s="1036"/>
      <c r="DN87" s="27"/>
      <c r="DO87" s="27"/>
      <c r="DP87" s="1022"/>
      <c r="DQ87" s="27"/>
      <c r="DR87" s="27"/>
      <c r="DS87" s="27"/>
      <c r="DT87" s="1036"/>
      <c r="DU87" s="27"/>
      <c r="DV87" s="27"/>
      <c r="DW87" s="1022"/>
      <c r="DX87" s="29"/>
      <c r="DY87" s="31"/>
      <c r="DZ87" s="27"/>
      <c r="EA87" s="27"/>
      <c r="EB87" s="218"/>
      <c r="EC87" s="218"/>
      <c r="ED87" s="218"/>
      <c r="EE87" s="218"/>
      <c r="EF87" s="218"/>
      <c r="EG87" s="218"/>
      <c r="EH87" s="218"/>
      <c r="EI87" s="218"/>
      <c r="EJ87" s="218"/>
      <c r="EK87" s="218"/>
      <c r="EL87" s="218"/>
      <c r="EM87" s="218"/>
      <c r="EN87" s="218"/>
      <c r="EO87" s="218"/>
      <c r="EP87" s="218"/>
      <c r="EQ87" s="218"/>
      <c r="ER87" s="218"/>
      <c r="ES87" s="218"/>
      <c r="ET87" s="218"/>
      <c r="EU87" s="218"/>
      <c r="EV87" s="218"/>
      <c r="EW87" s="218"/>
      <c r="EX87" s="218"/>
      <c r="EY87" s="218"/>
      <c r="EZ87" s="218"/>
      <c r="FA87" s="218"/>
      <c r="FB87" s="218"/>
      <c r="FC87" s="218"/>
      <c r="FD87" s="218"/>
      <c r="FE87" s="218"/>
      <c r="FF87" s="218"/>
      <c r="FG87" s="218"/>
      <c r="FH87" s="218"/>
      <c r="FI87" s="218"/>
      <c r="FJ87" s="218"/>
      <c r="FK87" s="218"/>
      <c r="FL87" s="218"/>
      <c r="FM87" s="218"/>
      <c r="FN87" s="218"/>
      <c r="FO87" s="218"/>
      <c r="FP87" s="218"/>
      <c r="FQ87" s="218"/>
    </row>
    <row r="88" spans="1:173" ht="10.5" customHeight="1">
      <c r="A88" s="27"/>
      <c r="B88" s="263"/>
      <c r="C88" s="263"/>
      <c r="D88" s="263"/>
      <c r="E88" s="263"/>
      <c r="F88" s="263"/>
      <c r="G88" s="263"/>
      <c r="H88" s="40"/>
      <c r="I88" s="263"/>
      <c r="J88" s="263"/>
      <c r="K88" s="263"/>
      <c r="L88" s="263"/>
      <c r="M88" s="263"/>
      <c r="N88" s="263"/>
      <c r="O88" s="40"/>
      <c r="P88" s="263"/>
      <c r="Q88" s="263"/>
      <c r="R88" s="263"/>
      <c r="S88" s="263"/>
      <c r="T88" s="263"/>
      <c r="U88" s="263"/>
      <c r="V88" s="40"/>
      <c r="W88" s="263"/>
      <c r="X88" s="263"/>
      <c r="Y88" s="263"/>
      <c r="Z88" s="263"/>
      <c r="AA88" s="263"/>
      <c r="AB88" s="263"/>
      <c r="AC88" s="40"/>
      <c r="AD88" s="263"/>
      <c r="AE88" s="263"/>
      <c r="AF88" s="263"/>
      <c r="AG88" s="263"/>
      <c r="AH88" s="263"/>
      <c r="AI88" s="263"/>
      <c r="AJ88" s="40"/>
      <c r="AK88" s="263"/>
      <c r="AL88" s="263"/>
      <c r="AM88" s="263"/>
      <c r="AN88" s="263"/>
      <c r="AO88" s="263"/>
      <c r="AP88" s="263"/>
      <c r="AQ88" s="40"/>
      <c r="AR88" s="263"/>
      <c r="AS88" s="263"/>
      <c r="AT88" s="263"/>
      <c r="AU88" s="263"/>
      <c r="AV88" s="263"/>
      <c r="AW88" s="263"/>
      <c r="AX88" s="40"/>
      <c r="AY88" s="263"/>
      <c r="AZ88" s="263"/>
      <c r="BA88" s="263"/>
      <c r="BB88" s="263"/>
      <c r="BC88" s="263"/>
      <c r="BD88" s="263"/>
      <c r="BE88" s="40"/>
      <c r="BF88" s="263"/>
      <c r="BG88" s="263"/>
      <c r="BH88" s="263"/>
      <c r="BI88" s="263"/>
      <c r="BJ88" s="263"/>
      <c r="BK88" s="263"/>
      <c r="BL88" s="40"/>
      <c r="BM88" s="263"/>
      <c r="BN88" s="263"/>
      <c r="BO88" s="263"/>
      <c r="BP88" s="263"/>
      <c r="BQ88" s="263"/>
      <c r="BR88" s="263"/>
      <c r="BS88" s="40"/>
      <c r="BT88" s="263"/>
      <c r="BU88" s="263"/>
      <c r="BV88" s="263"/>
      <c r="BW88" s="263"/>
      <c r="BX88" s="263"/>
      <c r="BY88" s="263"/>
      <c r="BZ88" s="40"/>
      <c r="CA88" s="263"/>
      <c r="CB88" s="263"/>
      <c r="CC88" s="263"/>
      <c r="CD88" s="263"/>
      <c r="CE88" s="263"/>
      <c r="CF88" s="263"/>
      <c r="CG88" s="40"/>
      <c r="CH88" s="263"/>
      <c r="CI88" s="263"/>
      <c r="CJ88" s="263"/>
      <c r="CK88" s="263"/>
      <c r="CL88" s="263"/>
      <c r="CM88" s="263"/>
      <c r="CN88" s="40"/>
      <c r="CO88" s="263"/>
      <c r="CP88" s="263"/>
      <c r="CQ88" s="263"/>
      <c r="CR88" s="263"/>
      <c r="CS88" s="263"/>
      <c r="CT88" s="263"/>
      <c r="CU88" s="40"/>
      <c r="CV88" s="263"/>
      <c r="CW88" s="263"/>
      <c r="CX88" s="263"/>
      <c r="CY88" s="263"/>
      <c r="CZ88" s="263"/>
      <c r="DA88" s="263"/>
      <c r="DB88" s="40"/>
      <c r="DC88" s="263"/>
      <c r="DD88" s="263"/>
      <c r="DE88" s="263"/>
      <c r="DF88" s="263"/>
      <c r="DG88" s="263"/>
      <c r="DH88" s="263"/>
      <c r="DI88" s="40"/>
      <c r="DJ88" s="263"/>
      <c r="DK88" s="263"/>
      <c r="DL88" s="263"/>
      <c r="DM88" s="263"/>
      <c r="DN88" s="263"/>
      <c r="DO88" s="263"/>
      <c r="DP88" s="40"/>
      <c r="DQ88" s="263"/>
      <c r="DR88" s="263"/>
      <c r="DS88" s="263"/>
      <c r="DT88" s="263"/>
      <c r="DU88" s="263"/>
      <c r="DV88" s="263"/>
      <c r="DW88" s="40"/>
      <c r="DX88" s="29"/>
      <c r="DY88" s="29"/>
      <c r="DZ88" s="27"/>
      <c r="EA88" s="27"/>
      <c r="EB88" s="218"/>
      <c r="EC88" s="218"/>
      <c r="ED88" s="218"/>
      <c r="EE88" s="218"/>
      <c r="EF88" s="218"/>
      <c r="EG88" s="218"/>
      <c r="EH88" s="218"/>
      <c r="EI88" s="218"/>
      <c r="EJ88" s="218"/>
      <c r="EK88" s="218"/>
      <c r="EL88" s="218"/>
      <c r="EM88" s="218"/>
      <c r="EN88" s="218"/>
      <c r="EO88" s="218"/>
      <c r="EP88" s="218"/>
      <c r="EQ88" s="218"/>
      <c r="ER88" s="218"/>
      <c r="ES88" s="218"/>
      <c r="ET88" s="218"/>
      <c r="EU88" s="218"/>
      <c r="EV88" s="218"/>
      <c r="EW88" s="218"/>
      <c r="EX88" s="218"/>
      <c r="EY88" s="218"/>
      <c r="EZ88" s="218"/>
      <c r="FA88" s="218"/>
      <c r="FB88" s="218"/>
      <c r="FC88" s="218"/>
      <c r="FD88" s="218"/>
      <c r="FE88" s="218"/>
      <c r="FF88" s="218"/>
      <c r="FG88" s="218"/>
      <c r="FH88" s="218"/>
      <c r="FI88" s="218"/>
      <c r="FJ88" s="218"/>
      <c r="FK88" s="218"/>
      <c r="FL88" s="218"/>
      <c r="FM88" s="218"/>
      <c r="FN88" s="218"/>
      <c r="FO88" s="218"/>
      <c r="FP88" s="218"/>
      <c r="FQ88" s="218"/>
    </row>
    <row r="89" spans="1:173" ht="10.5" customHeight="1">
      <c r="A89" s="188"/>
      <c r="B89" s="263"/>
      <c r="C89" s="263"/>
      <c r="D89" s="263"/>
      <c r="E89" s="263"/>
      <c r="F89" s="263"/>
      <c r="G89" s="263"/>
      <c r="H89" s="40"/>
      <c r="I89" s="263"/>
      <c r="J89" s="263"/>
      <c r="K89" s="263"/>
      <c r="L89" s="263"/>
      <c r="M89" s="263"/>
      <c r="N89" s="263"/>
      <c r="O89" s="40"/>
      <c r="P89" s="263"/>
      <c r="Q89" s="263"/>
      <c r="R89" s="263"/>
      <c r="S89" s="263"/>
      <c r="T89" s="263"/>
      <c r="U89" s="263"/>
      <c r="V89" s="40"/>
      <c r="W89" s="263"/>
      <c r="X89" s="263"/>
      <c r="Y89" s="263"/>
      <c r="Z89" s="263"/>
      <c r="AA89" s="263"/>
      <c r="AB89" s="263"/>
      <c r="AC89" s="40"/>
      <c r="AD89" s="263"/>
      <c r="AE89" s="263"/>
      <c r="AF89" s="263"/>
      <c r="AG89" s="263"/>
      <c r="AH89" s="263"/>
      <c r="AI89" s="263"/>
      <c r="AJ89" s="40"/>
      <c r="AK89" s="263"/>
      <c r="AL89" s="263"/>
      <c r="AM89" s="263"/>
      <c r="AN89" s="263"/>
      <c r="AO89" s="263"/>
      <c r="AP89" s="263"/>
      <c r="AQ89" s="40"/>
      <c r="AR89" s="263"/>
      <c r="AS89" s="263"/>
      <c r="AT89" s="263"/>
      <c r="AU89" s="263"/>
      <c r="AV89" s="263"/>
      <c r="AW89" s="263"/>
      <c r="AX89" s="40"/>
      <c r="AY89" s="263"/>
      <c r="AZ89" s="263"/>
      <c r="BA89" s="263"/>
      <c r="BB89" s="263"/>
      <c r="BC89" s="263"/>
      <c r="BD89" s="263"/>
      <c r="BE89" s="40"/>
      <c r="BF89" s="263"/>
      <c r="BG89" s="263"/>
      <c r="BH89" s="263"/>
      <c r="BI89" s="263"/>
      <c r="BJ89" s="263"/>
      <c r="BK89" s="263"/>
      <c r="BL89" s="40"/>
      <c r="BM89" s="263"/>
      <c r="BN89" s="263"/>
      <c r="BO89" s="263"/>
      <c r="BP89" s="263"/>
      <c r="BQ89" s="263"/>
      <c r="BR89" s="263"/>
      <c r="BS89" s="40"/>
      <c r="BT89" s="263"/>
      <c r="BU89" s="263"/>
      <c r="BV89" s="263"/>
      <c r="BW89" s="263"/>
      <c r="BX89" s="263"/>
      <c r="BY89" s="263"/>
      <c r="BZ89" s="40"/>
      <c r="CA89" s="263"/>
      <c r="CB89" s="263"/>
      <c r="CC89" s="263"/>
      <c r="CD89" s="263"/>
      <c r="CE89" s="263"/>
      <c r="CF89" s="263"/>
      <c r="CG89" s="40"/>
      <c r="CH89" s="263"/>
      <c r="CI89" s="263"/>
      <c r="CJ89" s="263"/>
      <c r="CK89" s="263"/>
      <c r="CL89" s="263"/>
      <c r="CM89" s="263"/>
      <c r="CN89" s="40"/>
      <c r="CO89" s="263"/>
      <c r="CP89" s="263"/>
      <c r="CQ89" s="263"/>
      <c r="CR89" s="263"/>
      <c r="CS89" s="263"/>
      <c r="CT89" s="263"/>
      <c r="CU89" s="40"/>
      <c r="CV89" s="263"/>
      <c r="CW89" s="263"/>
      <c r="CX89" s="263"/>
      <c r="CY89" s="263"/>
      <c r="CZ89" s="263"/>
      <c r="DA89" s="263"/>
      <c r="DB89" s="40"/>
      <c r="DC89" s="263"/>
      <c r="DD89" s="263"/>
      <c r="DE89" s="263"/>
      <c r="DF89" s="263"/>
      <c r="DG89" s="263"/>
      <c r="DH89" s="263"/>
      <c r="DI89" s="40"/>
      <c r="DJ89" s="263"/>
      <c r="DK89" s="263"/>
      <c r="DL89" s="263"/>
      <c r="DM89" s="263"/>
      <c r="DN89" s="263"/>
      <c r="DO89" s="263"/>
      <c r="DP89" s="40"/>
      <c r="DQ89" s="263"/>
      <c r="DR89" s="263"/>
      <c r="DS89" s="263"/>
      <c r="DT89" s="263"/>
      <c r="DU89" s="263"/>
      <c r="DV89" s="263"/>
      <c r="DW89" s="40"/>
      <c r="DX89" s="29"/>
      <c r="DY89" s="29"/>
      <c r="DZ89" s="27"/>
      <c r="EA89" s="27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</row>
    <row r="90" spans="1:173" ht="10.5" customHeight="1">
      <c r="A90" s="48" t="s">
        <v>937</v>
      </c>
      <c r="B90" s="263"/>
      <c r="C90" s="263"/>
      <c r="D90" s="263"/>
      <c r="E90" s="263"/>
      <c r="F90" s="263"/>
      <c r="G90" s="263"/>
      <c r="H90" s="40"/>
      <c r="I90" s="263"/>
      <c r="J90" s="263"/>
      <c r="K90" s="263"/>
      <c r="L90" s="263"/>
      <c r="M90" s="263"/>
      <c r="N90" s="263"/>
      <c r="O90" s="40"/>
      <c r="P90" s="263"/>
      <c r="Q90" s="263"/>
      <c r="R90" s="263"/>
      <c r="S90" s="263"/>
      <c r="T90" s="263"/>
      <c r="U90" s="263"/>
      <c r="V90" s="40"/>
      <c r="W90" s="263"/>
      <c r="X90" s="263"/>
      <c r="Y90" s="263"/>
      <c r="Z90" s="263"/>
      <c r="AA90" s="263"/>
      <c r="AB90" s="263"/>
      <c r="AC90" s="40"/>
      <c r="AD90" s="263"/>
      <c r="AE90" s="263"/>
      <c r="AF90" s="263"/>
      <c r="AG90" s="263"/>
      <c r="AH90" s="263"/>
      <c r="AI90" s="263"/>
      <c r="AJ90" s="40"/>
      <c r="AK90" s="263"/>
      <c r="AL90" s="263"/>
      <c r="AM90" s="263"/>
      <c r="AN90" s="263"/>
      <c r="AO90" s="263"/>
      <c r="AP90" s="263"/>
      <c r="AQ90" s="40"/>
      <c r="AR90" s="263"/>
      <c r="AS90" s="263"/>
      <c r="AT90" s="263"/>
      <c r="AU90" s="263"/>
      <c r="AV90" s="263"/>
      <c r="AW90" s="263"/>
      <c r="AX90" s="40"/>
      <c r="AY90" s="263"/>
      <c r="AZ90" s="263"/>
      <c r="BA90" s="263"/>
      <c r="BB90" s="263"/>
      <c r="BC90" s="263"/>
      <c r="BD90" s="263"/>
      <c r="BE90" s="40"/>
      <c r="BF90" s="263"/>
      <c r="BG90" s="263"/>
      <c r="BH90" s="263"/>
      <c r="BI90" s="263"/>
      <c r="BJ90" s="263"/>
      <c r="BK90" s="263"/>
      <c r="BL90" s="40"/>
      <c r="BM90" s="263"/>
      <c r="BN90" s="263"/>
      <c r="BO90" s="263"/>
      <c r="BP90" s="263"/>
      <c r="BQ90" s="263"/>
      <c r="BR90" s="263"/>
      <c r="BS90" s="40"/>
      <c r="BT90" s="263"/>
      <c r="BU90" s="263"/>
      <c r="BV90" s="263"/>
      <c r="BW90" s="263"/>
      <c r="BX90" s="263"/>
      <c r="BY90" s="263"/>
      <c r="BZ90" s="230" t="s">
        <v>947</v>
      </c>
      <c r="CA90" s="230" t="s">
        <v>940</v>
      </c>
      <c r="CB90" s="230" t="s">
        <v>941</v>
      </c>
      <c r="CC90" s="230" t="s">
        <v>942</v>
      </c>
      <c r="CD90" s="230" t="s">
        <v>943</v>
      </c>
      <c r="CE90" s="230" t="s">
        <v>944</v>
      </c>
      <c r="CF90" s="230" t="s">
        <v>945</v>
      </c>
      <c r="CG90" s="163" t="s">
        <v>946</v>
      </c>
      <c r="CH90" s="230" t="s">
        <v>934</v>
      </c>
      <c r="CI90" s="230" t="s">
        <v>935</v>
      </c>
      <c r="CJ90" s="230" t="s">
        <v>936</v>
      </c>
      <c r="CK90" s="230" t="s">
        <v>933</v>
      </c>
      <c r="CL90" s="230" t="s">
        <v>932</v>
      </c>
      <c r="CM90" s="230" t="s">
        <v>938</v>
      </c>
      <c r="CN90" s="163" t="s">
        <v>939</v>
      </c>
      <c r="CO90" s="263"/>
      <c r="CP90" s="263"/>
      <c r="CQ90" s="263"/>
      <c r="CR90" s="263"/>
      <c r="CS90" s="263"/>
      <c r="CT90" s="263"/>
      <c r="CU90" s="40"/>
      <c r="CV90" s="263"/>
      <c r="CW90" s="263"/>
      <c r="CX90" s="263"/>
      <c r="CY90" s="263"/>
      <c r="CZ90" s="263"/>
      <c r="DA90" s="263"/>
      <c r="DB90" s="40"/>
      <c r="DC90" s="263"/>
      <c r="DD90" s="263"/>
      <c r="DE90" s="263"/>
      <c r="DF90" s="263"/>
      <c r="DG90" s="263"/>
      <c r="DH90" s="263"/>
      <c r="DI90" s="40"/>
      <c r="DJ90" s="263"/>
      <c r="DK90" s="263"/>
      <c r="DL90" s="263"/>
      <c r="DM90" s="263"/>
      <c r="DN90" s="263"/>
      <c r="DO90" s="263"/>
      <c r="DP90" s="40"/>
      <c r="DQ90" s="263"/>
      <c r="DR90" s="263"/>
      <c r="DS90" s="263"/>
      <c r="DT90" s="263"/>
      <c r="DU90" s="263"/>
      <c r="DV90" s="263"/>
      <c r="DW90" s="40"/>
      <c r="DX90" s="29"/>
      <c r="DY90" s="29"/>
      <c r="DZ90" s="27"/>
      <c r="EA90" s="27"/>
      <c r="EB90" s="218"/>
      <c r="EC90" s="218"/>
      <c r="ED90" s="218"/>
      <c r="EE90" s="218"/>
      <c r="EF90" s="218"/>
      <c r="EG90" s="218"/>
      <c r="EH90" s="218"/>
      <c r="EI90" s="218"/>
      <c r="EJ90" s="218"/>
      <c r="EK90" s="218"/>
      <c r="EL90" s="218"/>
      <c r="EM90" s="218"/>
      <c r="EN90" s="218"/>
      <c r="EO90" s="218"/>
      <c r="EP90" s="218"/>
      <c r="EQ90" s="218"/>
      <c r="ER90" s="218"/>
      <c r="ES90" s="218"/>
      <c r="ET90" s="218"/>
      <c r="EU90" s="218"/>
      <c r="EV90" s="218"/>
      <c r="EW90" s="218"/>
      <c r="EX90" s="218"/>
      <c r="EY90" s="218"/>
      <c r="EZ90" s="218"/>
      <c r="FA90" s="218"/>
      <c r="FB90" s="218"/>
      <c r="FC90" s="218"/>
      <c r="FD90" s="218"/>
      <c r="FE90" s="218"/>
      <c r="FF90" s="218"/>
      <c r="FG90" s="218"/>
      <c r="FH90" s="218"/>
      <c r="FI90" s="218"/>
      <c r="FJ90" s="218"/>
      <c r="FK90" s="218"/>
      <c r="FL90" s="218"/>
      <c r="FM90" s="218"/>
      <c r="FN90" s="218"/>
      <c r="FO90" s="218"/>
      <c r="FP90" s="218"/>
      <c r="FQ90" s="218"/>
    </row>
  </sheetData>
  <pageMargins left="0.7" right="0.7" top="0.75" bottom="0.75" header="0.3" footer="0.3"/>
  <pageSetup paperSize="9" scale="7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8">
    <tabColor theme="3"/>
    <pageSetUpPr fitToPage="1"/>
  </sheetPr>
  <dimension ref="A1:GE593"/>
  <sheetViews>
    <sheetView showGridLines="0" zoomScaleNormal="100" workbookViewId="0">
      <pane xSplit="1" ySplit="2" topLeftCell="T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9.109375" defaultRowHeight="10.5" customHeight="1" outlineLevelRow="1" outlineLevelCol="2"/>
  <cols>
    <col min="1" max="1" width="33.88671875" customWidth="1"/>
    <col min="2" max="12" width="7.5546875" hidden="1" customWidth="1" outlineLevel="1"/>
    <col min="13" max="13" width="7.5546875" hidden="1" customWidth="1" outlineLevel="1" collapsed="1"/>
    <col min="14" max="17" width="7.5546875" hidden="1" customWidth="1" outlineLevel="2"/>
    <col min="18" max="19" width="7.5546875" hidden="1" customWidth="1" outlineLevel="1"/>
    <col min="20" max="20" width="7.5546875" customWidth="1" collapsed="1"/>
    <col min="21" max="24" width="7.5546875" hidden="1" customWidth="1" outlineLevel="2"/>
    <col min="25" max="26" width="7.5546875" hidden="1" customWidth="1" outlineLevel="1"/>
    <col min="27" max="27" width="7.5546875" customWidth="1" collapsed="1"/>
    <col min="28" max="31" width="7.5546875" hidden="1" customWidth="1" outlineLevel="2"/>
    <col min="32" max="33" width="7.5546875" hidden="1" customWidth="1" outlineLevel="1"/>
    <col min="34" max="34" width="7.5546875" customWidth="1" collapsed="1"/>
    <col min="35" max="38" width="7.5546875" hidden="1" customWidth="1" outlineLevel="2"/>
    <col min="39" max="40" width="7.5546875" hidden="1" customWidth="1" outlineLevel="1"/>
    <col min="41" max="41" width="7.5546875" customWidth="1" collapsed="1"/>
    <col min="42" max="45" width="7.5546875" hidden="1" customWidth="1" outlineLevel="2"/>
    <col min="46" max="47" width="7.5546875" hidden="1" customWidth="1" outlineLevel="1"/>
    <col min="48" max="48" width="7.5546875" customWidth="1" collapsed="1"/>
    <col min="49" max="52" width="7.5546875" hidden="1" customWidth="1" outlineLevel="2"/>
    <col min="53" max="54" width="7.5546875" hidden="1" customWidth="1" outlineLevel="1"/>
    <col min="55" max="55" width="7.5546875" customWidth="1" collapsed="1"/>
    <col min="56" max="59" width="7.5546875" hidden="1" customWidth="1" outlineLevel="2"/>
    <col min="60" max="61" width="7.5546875" hidden="1" customWidth="1" outlineLevel="1"/>
    <col min="62" max="62" width="7.5546875" customWidth="1" collapsed="1"/>
    <col min="63" max="66" width="7.5546875" hidden="1" customWidth="1" outlineLevel="2"/>
    <col min="67" max="68" width="7.5546875" hidden="1" customWidth="1" outlineLevel="1"/>
    <col min="69" max="69" width="7.5546875" customWidth="1" collapsed="1"/>
    <col min="70" max="73" width="7.5546875" hidden="1" customWidth="1" outlineLevel="2"/>
    <col min="74" max="75" width="7.5546875" hidden="1" customWidth="1" outlineLevel="1"/>
    <col min="76" max="76" width="7.5546875" customWidth="1" collapsed="1"/>
    <col min="77" max="80" width="7.5546875" hidden="1" customWidth="1" outlineLevel="2"/>
    <col min="81" max="82" width="7.5546875" hidden="1" customWidth="1" outlineLevel="1"/>
    <col min="83" max="83" width="7.5546875" customWidth="1" collapsed="1"/>
    <col min="84" max="87" width="7.5546875" hidden="1" customWidth="1" outlineLevel="2"/>
    <col min="88" max="89" width="7.5546875" hidden="1" customWidth="1" outlineLevel="1"/>
    <col min="90" max="90" width="7.5546875" customWidth="1" collapsed="1"/>
    <col min="91" max="94" width="7.5546875" hidden="1" customWidth="1" outlineLevel="2"/>
    <col min="95" max="96" width="7.5546875" hidden="1" customWidth="1" outlineLevel="1"/>
    <col min="97" max="97" width="7.5546875" customWidth="1" collapsed="1"/>
    <col min="98" max="101" width="7.5546875" hidden="1" customWidth="1" outlineLevel="2"/>
    <col min="102" max="103" width="7.5546875" hidden="1" customWidth="1" outlineLevel="1"/>
    <col min="104" max="104" width="7.5546875" customWidth="1" collapsed="1"/>
    <col min="105" max="108" width="7.5546875" hidden="1" customWidth="1" outlineLevel="2"/>
    <col min="109" max="110" width="7.5546875" hidden="1" customWidth="1" outlineLevel="1"/>
    <col min="111" max="111" width="7.5546875" customWidth="1" collapsed="1"/>
    <col min="112" max="115" width="7.5546875" hidden="1" customWidth="1" outlineLevel="2"/>
    <col min="116" max="117" width="7.5546875" hidden="1" customWidth="1" outlineLevel="1"/>
    <col min="118" max="118" width="7.5546875" customWidth="1" collapsed="1"/>
    <col min="119" max="122" width="7.5546875" hidden="1" customWidth="1" outlineLevel="2"/>
    <col min="123" max="124" width="7.5546875" hidden="1" customWidth="1" outlineLevel="1"/>
    <col min="125" max="125" width="7.5546875" customWidth="1" collapsed="1"/>
    <col min="126" max="129" width="7.5546875" hidden="1" customWidth="1" outlineLevel="2"/>
    <col min="130" max="131" width="7.5546875" hidden="1" customWidth="1" outlineLevel="1"/>
    <col min="132" max="132" width="7.5546875" customWidth="1" collapsed="1"/>
    <col min="133" max="136" width="7.5546875" hidden="1" customWidth="1" outlineLevel="2"/>
    <col min="137" max="138" width="7.5546875" hidden="1" customWidth="1" outlineLevel="1"/>
    <col min="139" max="139" width="7.5546875" customWidth="1" collapsed="1"/>
    <col min="140" max="140" width="9.44140625" customWidth="1"/>
  </cols>
  <sheetData>
    <row r="1" spans="1:187" ht="12.9" customHeight="1">
      <c r="A1" s="938" t="s">
        <v>325</v>
      </c>
      <c r="B1" s="902"/>
      <c r="C1" s="902"/>
      <c r="D1" s="902"/>
      <c r="E1" s="939"/>
      <c r="F1" s="902"/>
      <c r="G1" s="902"/>
      <c r="H1" s="902"/>
      <c r="I1" s="902"/>
      <c r="J1" s="902"/>
      <c r="K1" s="940"/>
      <c r="L1" s="902"/>
      <c r="M1" s="902"/>
      <c r="N1" s="902"/>
      <c r="O1" s="902"/>
      <c r="P1" s="902"/>
      <c r="Q1" s="1337"/>
      <c r="R1" s="902"/>
      <c r="S1" s="902"/>
      <c r="T1" s="1338"/>
      <c r="U1" s="902"/>
      <c r="V1" s="902"/>
      <c r="W1" s="902"/>
      <c r="X1" s="1337"/>
      <c r="Y1" s="902"/>
      <c r="Z1" s="902"/>
      <c r="AA1" s="1338"/>
      <c r="AB1" s="902"/>
      <c r="AC1" s="902"/>
      <c r="AD1" s="902"/>
      <c r="AE1" s="1337"/>
      <c r="AF1" s="902"/>
      <c r="AG1" s="902"/>
      <c r="AH1" s="1338"/>
      <c r="AI1" s="902"/>
      <c r="AJ1" s="902"/>
      <c r="AK1" s="902"/>
      <c r="AL1" s="1337"/>
      <c r="AM1" s="902"/>
      <c r="AN1" s="902"/>
      <c r="AO1" s="1338"/>
      <c r="AP1" s="902"/>
      <c r="AQ1" s="902"/>
      <c r="AR1" s="902"/>
      <c r="AS1" s="1337"/>
      <c r="AT1" s="902"/>
      <c r="AU1" s="902"/>
      <c r="AV1" s="1338"/>
      <c r="AW1" s="902"/>
      <c r="AX1" s="902"/>
      <c r="AY1" s="902"/>
      <c r="AZ1" s="1337"/>
      <c r="BA1" s="902"/>
      <c r="BB1" s="902"/>
      <c r="BC1" s="1338"/>
      <c r="BD1" s="902"/>
      <c r="BE1" s="902"/>
      <c r="BF1" s="902"/>
      <c r="BG1" s="1337"/>
      <c r="BH1" s="902"/>
      <c r="BI1" s="902"/>
      <c r="BJ1" s="1338"/>
      <c r="BK1" s="902"/>
      <c r="BL1" s="902"/>
      <c r="BM1" s="902"/>
      <c r="BN1" s="1337"/>
      <c r="BO1" s="902"/>
      <c r="BP1" s="902"/>
      <c r="BQ1" s="1338"/>
      <c r="BR1" s="902"/>
      <c r="BS1" s="902"/>
      <c r="BT1" s="902"/>
      <c r="BU1" s="1337"/>
      <c r="BV1" s="902"/>
      <c r="BW1" s="902"/>
      <c r="BX1" s="1338"/>
      <c r="BY1" s="902"/>
      <c r="BZ1" s="902"/>
      <c r="CA1" s="902"/>
      <c r="CB1" s="1337"/>
      <c r="CC1" s="902"/>
      <c r="CD1" s="902"/>
      <c r="CE1" s="1338"/>
      <c r="CF1" s="902"/>
      <c r="CG1" s="902"/>
      <c r="CH1" s="902"/>
      <c r="CI1" s="1337"/>
      <c r="CJ1" s="902"/>
      <c r="CK1" s="902"/>
      <c r="CL1" s="1338"/>
      <c r="CM1" s="902"/>
      <c r="CN1" s="902"/>
      <c r="CO1" s="902"/>
      <c r="CP1" s="1337"/>
      <c r="CQ1" s="902"/>
      <c r="CR1" s="902"/>
      <c r="CS1" s="1338"/>
      <c r="CT1" s="902"/>
      <c r="CU1" s="902"/>
      <c r="CV1" s="902"/>
      <c r="CW1" s="1337"/>
      <c r="CX1" s="902"/>
      <c r="CY1" s="902"/>
      <c r="CZ1" s="1338"/>
      <c r="DA1" s="902"/>
      <c r="DB1" s="902"/>
      <c r="DC1" s="944"/>
      <c r="DD1" s="958"/>
      <c r="DE1" s="902"/>
      <c r="DF1" s="944"/>
      <c r="DG1" s="945"/>
      <c r="DH1" s="944"/>
      <c r="DI1" s="944"/>
      <c r="DJ1" s="944"/>
      <c r="DK1" s="958"/>
      <c r="DL1" s="944"/>
      <c r="DM1" s="944"/>
      <c r="DN1" s="945"/>
      <c r="DO1" s="944"/>
      <c r="DP1" s="944"/>
      <c r="DQ1" s="944"/>
      <c r="DR1" s="958"/>
      <c r="DS1" s="944"/>
      <c r="DT1" s="944"/>
      <c r="DU1" s="945"/>
      <c r="DV1" s="944"/>
      <c r="DW1" s="944"/>
      <c r="DX1" s="944"/>
      <c r="DY1" s="958"/>
      <c r="DZ1" s="944"/>
      <c r="EA1" s="944"/>
      <c r="EB1" s="945"/>
      <c r="EC1" s="944"/>
      <c r="ED1" s="944"/>
      <c r="EE1" s="944"/>
      <c r="EF1" s="958"/>
      <c r="EG1" s="944"/>
      <c r="EH1" s="944"/>
      <c r="EI1" s="945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</row>
    <row r="2" spans="1:187" ht="10.5" customHeight="1">
      <c r="A2" s="941" t="s">
        <v>245</v>
      </c>
      <c r="B2" s="942">
        <v>2001</v>
      </c>
      <c r="C2" s="942">
        <v>2002</v>
      </c>
      <c r="D2" s="942">
        <v>2003</v>
      </c>
      <c r="E2" s="943">
        <v>2004</v>
      </c>
      <c r="F2" s="943">
        <v>2005</v>
      </c>
      <c r="G2" s="848">
        <v>2006</v>
      </c>
      <c r="H2" s="848">
        <v>2007</v>
      </c>
      <c r="I2" s="848">
        <v>2008</v>
      </c>
      <c r="J2" s="848">
        <v>2009</v>
      </c>
      <c r="K2" s="848">
        <v>2010</v>
      </c>
      <c r="L2" s="848">
        <v>2011</v>
      </c>
      <c r="M2" s="848">
        <v>2012</v>
      </c>
      <c r="N2" s="848" t="s">
        <v>693</v>
      </c>
      <c r="O2" s="848" t="s">
        <v>694</v>
      </c>
      <c r="P2" s="848" t="s">
        <v>695</v>
      </c>
      <c r="Q2" s="914" t="s">
        <v>696</v>
      </c>
      <c r="R2" s="848" t="s">
        <v>697</v>
      </c>
      <c r="S2" s="848" t="s">
        <v>698</v>
      </c>
      <c r="T2" s="1267">
        <v>2013</v>
      </c>
      <c r="U2" s="848" t="s">
        <v>693</v>
      </c>
      <c r="V2" s="848" t="s">
        <v>694</v>
      </c>
      <c r="W2" s="848" t="s">
        <v>695</v>
      </c>
      <c r="X2" s="914" t="s">
        <v>696</v>
      </c>
      <c r="Y2" s="848" t="s">
        <v>697</v>
      </c>
      <c r="Z2" s="848" t="s">
        <v>698</v>
      </c>
      <c r="AA2" s="1267">
        <v>2014</v>
      </c>
      <c r="AB2" s="848" t="s">
        <v>693</v>
      </c>
      <c r="AC2" s="848" t="s">
        <v>694</v>
      </c>
      <c r="AD2" s="848" t="s">
        <v>695</v>
      </c>
      <c r="AE2" s="914" t="s">
        <v>696</v>
      </c>
      <c r="AF2" s="848" t="s">
        <v>697</v>
      </c>
      <c r="AG2" s="848" t="s">
        <v>698</v>
      </c>
      <c r="AH2" s="1267">
        <v>2015</v>
      </c>
      <c r="AI2" s="848" t="s">
        <v>693</v>
      </c>
      <c r="AJ2" s="848" t="s">
        <v>694</v>
      </c>
      <c r="AK2" s="848" t="s">
        <v>695</v>
      </c>
      <c r="AL2" s="914" t="s">
        <v>696</v>
      </c>
      <c r="AM2" s="848" t="s">
        <v>697</v>
      </c>
      <c r="AN2" s="848" t="s">
        <v>698</v>
      </c>
      <c r="AO2" s="1267">
        <v>2016</v>
      </c>
      <c r="AP2" s="848" t="s">
        <v>693</v>
      </c>
      <c r="AQ2" s="848" t="s">
        <v>694</v>
      </c>
      <c r="AR2" s="848" t="s">
        <v>695</v>
      </c>
      <c r="AS2" s="914" t="s">
        <v>696</v>
      </c>
      <c r="AT2" s="848" t="s">
        <v>697</v>
      </c>
      <c r="AU2" s="848" t="s">
        <v>698</v>
      </c>
      <c r="AV2" s="1267">
        <v>2017</v>
      </c>
      <c r="AW2" s="848" t="s">
        <v>693</v>
      </c>
      <c r="AX2" s="848" t="s">
        <v>694</v>
      </c>
      <c r="AY2" s="848" t="s">
        <v>695</v>
      </c>
      <c r="AZ2" s="914" t="s">
        <v>696</v>
      </c>
      <c r="BA2" s="848" t="s">
        <v>697</v>
      </c>
      <c r="BB2" s="848" t="s">
        <v>698</v>
      </c>
      <c r="BC2" s="1267">
        <v>2018</v>
      </c>
      <c r="BD2" s="848" t="s">
        <v>693</v>
      </c>
      <c r="BE2" s="848" t="s">
        <v>694</v>
      </c>
      <c r="BF2" s="848" t="s">
        <v>695</v>
      </c>
      <c r="BG2" s="914" t="s">
        <v>696</v>
      </c>
      <c r="BH2" s="848" t="s">
        <v>697</v>
      </c>
      <c r="BI2" s="848" t="s">
        <v>698</v>
      </c>
      <c r="BJ2" s="1267">
        <v>2019</v>
      </c>
      <c r="BK2" s="848" t="s">
        <v>693</v>
      </c>
      <c r="BL2" s="848" t="s">
        <v>694</v>
      </c>
      <c r="BM2" s="848" t="s">
        <v>695</v>
      </c>
      <c r="BN2" s="914" t="s">
        <v>696</v>
      </c>
      <c r="BO2" s="848" t="s">
        <v>697</v>
      </c>
      <c r="BP2" s="848" t="s">
        <v>698</v>
      </c>
      <c r="BQ2" s="1267">
        <v>2020</v>
      </c>
      <c r="BR2" s="848" t="s">
        <v>693</v>
      </c>
      <c r="BS2" s="848" t="s">
        <v>694</v>
      </c>
      <c r="BT2" s="848" t="s">
        <v>695</v>
      </c>
      <c r="BU2" s="914" t="s">
        <v>696</v>
      </c>
      <c r="BV2" s="848" t="s">
        <v>697</v>
      </c>
      <c r="BW2" s="848" t="s">
        <v>698</v>
      </c>
      <c r="BX2" s="1267">
        <v>2021</v>
      </c>
      <c r="BY2" s="848" t="s">
        <v>693</v>
      </c>
      <c r="BZ2" s="848" t="s">
        <v>694</v>
      </c>
      <c r="CA2" s="848" t="s">
        <v>695</v>
      </c>
      <c r="CB2" s="914" t="s">
        <v>696</v>
      </c>
      <c r="CC2" s="848" t="s">
        <v>697</v>
      </c>
      <c r="CD2" s="848" t="s">
        <v>698</v>
      </c>
      <c r="CE2" s="1267">
        <v>2022</v>
      </c>
      <c r="CF2" s="848" t="s">
        <v>693</v>
      </c>
      <c r="CG2" s="848" t="s">
        <v>694</v>
      </c>
      <c r="CH2" s="848" t="s">
        <v>695</v>
      </c>
      <c r="CI2" s="914" t="s">
        <v>696</v>
      </c>
      <c r="CJ2" s="848" t="s">
        <v>697</v>
      </c>
      <c r="CK2" s="848" t="s">
        <v>698</v>
      </c>
      <c r="CL2" s="1267">
        <v>2023</v>
      </c>
      <c r="CM2" s="848" t="s">
        <v>693</v>
      </c>
      <c r="CN2" s="848" t="s">
        <v>694</v>
      </c>
      <c r="CO2" s="848" t="s">
        <v>695</v>
      </c>
      <c r="CP2" s="914" t="s">
        <v>696</v>
      </c>
      <c r="CQ2" s="848" t="s">
        <v>697</v>
      </c>
      <c r="CR2" s="848" t="s">
        <v>698</v>
      </c>
      <c r="CS2" s="1267">
        <v>2024</v>
      </c>
      <c r="CT2" s="848" t="s">
        <v>693</v>
      </c>
      <c r="CU2" s="848" t="s">
        <v>694</v>
      </c>
      <c r="CV2" s="848" t="s">
        <v>695</v>
      </c>
      <c r="CW2" s="914" t="s">
        <v>696</v>
      </c>
      <c r="CX2" s="848" t="s">
        <v>697</v>
      </c>
      <c r="CY2" s="848" t="s">
        <v>698</v>
      </c>
      <c r="CZ2" s="1267">
        <v>2025</v>
      </c>
      <c r="DA2" s="848" t="s">
        <v>693</v>
      </c>
      <c r="DB2" s="848" t="s">
        <v>694</v>
      </c>
      <c r="DC2" s="903" t="s">
        <v>695</v>
      </c>
      <c r="DD2" s="915" t="s">
        <v>696</v>
      </c>
      <c r="DE2" s="848" t="s">
        <v>697</v>
      </c>
      <c r="DF2" s="903" t="s">
        <v>698</v>
      </c>
      <c r="DG2" s="916" t="s">
        <v>692</v>
      </c>
      <c r="DH2" s="903" t="s">
        <v>693</v>
      </c>
      <c r="DI2" s="903" t="s">
        <v>694</v>
      </c>
      <c r="DJ2" s="903" t="s">
        <v>695</v>
      </c>
      <c r="DK2" s="915" t="s">
        <v>696</v>
      </c>
      <c r="DL2" s="903" t="s">
        <v>697</v>
      </c>
      <c r="DM2" s="903" t="s">
        <v>698</v>
      </c>
      <c r="DN2" s="916" t="s">
        <v>705</v>
      </c>
      <c r="DO2" s="903" t="s">
        <v>693</v>
      </c>
      <c r="DP2" s="903" t="s">
        <v>694</v>
      </c>
      <c r="DQ2" s="903" t="s">
        <v>695</v>
      </c>
      <c r="DR2" s="915" t="s">
        <v>696</v>
      </c>
      <c r="DS2" s="903" t="s">
        <v>697</v>
      </c>
      <c r="DT2" s="903" t="s">
        <v>698</v>
      </c>
      <c r="DU2" s="916" t="s">
        <v>706</v>
      </c>
      <c r="DV2" s="903" t="s">
        <v>693</v>
      </c>
      <c r="DW2" s="903" t="s">
        <v>694</v>
      </c>
      <c r="DX2" s="903" t="s">
        <v>695</v>
      </c>
      <c r="DY2" s="915" t="s">
        <v>696</v>
      </c>
      <c r="DZ2" s="903" t="s">
        <v>697</v>
      </c>
      <c r="EA2" s="903" t="s">
        <v>698</v>
      </c>
      <c r="EB2" s="916" t="s">
        <v>707</v>
      </c>
      <c r="EC2" s="903" t="s">
        <v>693</v>
      </c>
      <c r="ED2" s="903" t="s">
        <v>694</v>
      </c>
      <c r="EE2" s="903" t="s">
        <v>695</v>
      </c>
      <c r="EF2" s="915" t="s">
        <v>696</v>
      </c>
      <c r="EG2" s="903" t="s">
        <v>697</v>
      </c>
      <c r="EH2" s="903" t="s">
        <v>698</v>
      </c>
      <c r="EI2" s="916" t="s">
        <v>708</v>
      </c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</row>
    <row r="3" spans="1:187" ht="10.5" customHeight="1">
      <c r="A3" s="51"/>
      <c r="B3" s="166"/>
      <c r="C3" s="166"/>
      <c r="D3" s="166"/>
      <c r="E3" s="770"/>
      <c r="F3" s="770"/>
      <c r="G3" s="54"/>
      <c r="H3" s="54"/>
      <c r="I3" s="54"/>
      <c r="J3" s="54"/>
      <c r="K3" s="54"/>
      <c r="L3" s="54"/>
      <c r="M3" s="54"/>
      <c r="N3" s="54"/>
      <c r="O3" s="54"/>
      <c r="P3" s="54"/>
      <c r="Q3" s="684"/>
      <c r="R3" s="54"/>
      <c r="S3" s="54"/>
      <c r="T3" s="583"/>
      <c r="U3" s="54"/>
      <c r="V3" s="54"/>
      <c r="W3" s="54"/>
      <c r="X3" s="684"/>
      <c r="Y3" s="54"/>
      <c r="Z3" s="54"/>
      <c r="AA3" s="583"/>
      <c r="AB3" s="54"/>
      <c r="AC3" s="54"/>
      <c r="AD3" s="54"/>
      <c r="AE3" s="684"/>
      <c r="AF3" s="54"/>
      <c r="AG3" s="54"/>
      <c r="AH3" s="583"/>
      <c r="AI3" s="54"/>
      <c r="AJ3" s="54"/>
      <c r="AK3" s="54"/>
      <c r="AL3" s="684"/>
      <c r="AM3" s="54"/>
      <c r="AN3" s="54"/>
      <c r="AO3" s="583"/>
      <c r="AP3" s="54"/>
      <c r="AQ3" s="54"/>
      <c r="AR3" s="54"/>
      <c r="AS3" s="684"/>
      <c r="AT3" s="54"/>
      <c r="AU3" s="54"/>
      <c r="AV3" s="583"/>
      <c r="AW3" s="54"/>
      <c r="AX3" s="54"/>
      <c r="AY3" s="54"/>
      <c r="AZ3" s="684"/>
      <c r="BA3" s="54"/>
      <c r="BB3" s="54"/>
      <c r="BC3" s="583"/>
      <c r="BD3" s="54"/>
      <c r="BE3" s="54"/>
      <c r="BF3" s="54"/>
      <c r="BG3" s="684"/>
      <c r="BH3" s="54"/>
      <c r="BI3" s="54"/>
      <c r="BJ3" s="583"/>
      <c r="BK3" s="54"/>
      <c r="BL3" s="54"/>
      <c r="BM3" s="54"/>
      <c r="BN3" s="684"/>
      <c r="BO3" s="54"/>
      <c r="BP3" s="54"/>
      <c r="BQ3" s="583"/>
      <c r="BR3" s="54"/>
      <c r="BS3" s="54"/>
      <c r="BT3" s="54"/>
      <c r="BU3" s="684"/>
      <c r="BV3" s="54"/>
      <c r="BW3" s="54"/>
      <c r="BX3" s="583"/>
      <c r="BY3" s="54"/>
      <c r="BZ3" s="54"/>
      <c r="CA3" s="54"/>
      <c r="CB3" s="684"/>
      <c r="CC3" s="54"/>
      <c r="CD3" s="54"/>
      <c r="CE3" s="583"/>
      <c r="CF3" s="54"/>
      <c r="CG3" s="54"/>
      <c r="CH3" s="54"/>
      <c r="CI3" s="684"/>
      <c r="CJ3" s="54"/>
      <c r="CK3" s="54"/>
      <c r="CL3" s="583"/>
      <c r="CM3" s="54"/>
      <c r="CN3" s="54"/>
      <c r="CO3" s="54"/>
      <c r="CP3" s="684"/>
      <c r="CQ3" s="54"/>
      <c r="CR3" s="54"/>
      <c r="CS3" s="583"/>
      <c r="CT3" s="54"/>
      <c r="CU3" s="54"/>
      <c r="CV3" s="54"/>
      <c r="CW3" s="684"/>
      <c r="CX3" s="54"/>
      <c r="CY3" s="54"/>
      <c r="CZ3" s="583"/>
      <c r="DA3" s="54"/>
      <c r="DB3" s="54"/>
      <c r="DC3" s="54"/>
      <c r="DD3" s="684"/>
      <c r="DE3" s="54"/>
      <c r="DF3" s="54"/>
      <c r="DG3" s="583"/>
      <c r="DH3" s="54"/>
      <c r="DI3" s="54"/>
      <c r="DJ3" s="54"/>
      <c r="DK3" s="684"/>
      <c r="DL3" s="54"/>
      <c r="DM3" s="54"/>
      <c r="DN3" s="583"/>
      <c r="DO3" s="54"/>
      <c r="DP3" s="54"/>
      <c r="DQ3" s="54"/>
      <c r="DR3" s="684"/>
      <c r="DS3" s="54"/>
      <c r="DT3" s="54"/>
      <c r="DU3" s="583"/>
      <c r="DV3" s="54"/>
      <c r="DW3" s="54"/>
      <c r="DX3" s="54"/>
      <c r="DY3" s="684"/>
      <c r="DZ3" s="54"/>
      <c r="EA3" s="54"/>
      <c r="EB3" s="583"/>
      <c r="EC3" s="54"/>
      <c r="ED3" s="54"/>
      <c r="EE3" s="54"/>
      <c r="EF3" s="684"/>
      <c r="EG3" s="54"/>
      <c r="EH3" s="54"/>
      <c r="EI3" s="583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</row>
    <row r="4" spans="1:187" ht="10.5" customHeight="1">
      <c r="A4" s="48" t="s">
        <v>236</v>
      </c>
      <c r="B4" s="58">
        <f>Divisional!B5</f>
        <v>2785.75</v>
      </c>
      <c r="C4" s="58">
        <f>Divisional!C5</f>
        <v>2683.7999999999997</v>
      </c>
      <c r="D4" s="58">
        <f>Divisional!D5</f>
        <v>2586</v>
      </c>
      <c r="E4" s="58">
        <f>Divisional!E5</f>
        <v>2786</v>
      </c>
      <c r="F4" s="58">
        <f>Divisional!F5</f>
        <v>3211</v>
      </c>
      <c r="G4" s="58">
        <f>Divisional!G5</f>
        <v>3803</v>
      </c>
      <c r="H4" s="58">
        <f>Divisional!H5</f>
        <v>4172</v>
      </c>
      <c r="I4" s="58">
        <f>Divisional!I5</f>
        <v>4486</v>
      </c>
      <c r="J4" s="58">
        <f>Divisional!J5</f>
        <v>4570</v>
      </c>
      <c r="K4" s="58">
        <f>Divisional!K5</f>
        <v>4830</v>
      </c>
      <c r="L4" s="58">
        <f>Divisional!L5</f>
        <v>5415</v>
      </c>
      <c r="M4" s="58">
        <f>Divisional!M5</f>
        <v>6264</v>
      </c>
      <c r="N4" s="58">
        <f>Divisional!N5</f>
        <v>1038</v>
      </c>
      <c r="O4" s="58">
        <f>Divisional!O5</f>
        <v>1546</v>
      </c>
      <c r="P4" s="58">
        <f>Divisional!P5</f>
        <v>1548</v>
      </c>
      <c r="Q4" s="1288">
        <f>Divisional!Q5</f>
        <v>2165</v>
      </c>
      <c r="R4" s="58">
        <f>Divisional!R5</f>
        <v>2584</v>
      </c>
      <c r="S4" s="58">
        <f>Divisional!S5</f>
        <v>3713</v>
      </c>
      <c r="T4" s="1282">
        <f>Divisional!T5</f>
        <v>6297</v>
      </c>
      <c r="U4" s="58">
        <f>Divisional!U5</f>
        <v>1182</v>
      </c>
      <c r="V4" s="58">
        <f>Divisional!V5</f>
        <v>1619</v>
      </c>
      <c r="W4" s="58">
        <f>Divisional!W5</f>
        <v>1459</v>
      </c>
      <c r="X4" s="1288">
        <f>Divisional!X5</f>
        <v>2264</v>
      </c>
      <c r="Y4" s="58">
        <f>Divisional!Y5</f>
        <v>2801</v>
      </c>
      <c r="Z4" s="58">
        <f>Divisional!Z5</f>
        <v>3723</v>
      </c>
      <c r="AA4" s="1282">
        <f>Divisional!AA5</f>
        <v>6524</v>
      </c>
      <c r="AB4" s="58">
        <f>Divisional!AB5</f>
        <v>1285</v>
      </c>
      <c r="AC4" s="58">
        <f>Divisional!AC5</f>
        <v>1665</v>
      </c>
      <c r="AD4" s="58">
        <f>Divisional!AD5</f>
        <v>1473</v>
      </c>
      <c r="AE4" s="1288">
        <f>Divisional!AE5</f>
        <v>2363</v>
      </c>
      <c r="AF4" s="58">
        <f>Divisional!AF5</f>
        <v>2950</v>
      </c>
      <c r="AG4" s="58">
        <f>Divisional!AG5</f>
        <v>3836</v>
      </c>
      <c r="AH4" s="1282">
        <f>Divisional!AH5</f>
        <v>6786</v>
      </c>
      <c r="AI4" s="58">
        <f>Divisional!AI5</f>
        <v>1158</v>
      </c>
      <c r="AJ4" s="58">
        <f>Divisional!AJ5</f>
        <v>1529</v>
      </c>
      <c r="AK4" s="58">
        <f>Divisional!AK5</f>
        <v>1595</v>
      </c>
      <c r="AL4" s="1288">
        <f>Divisional!AL5</f>
        <v>2370</v>
      </c>
      <c r="AM4" s="58">
        <f>Divisional!AM5</f>
        <v>2687</v>
      </c>
      <c r="AN4" s="58">
        <f>Divisional!AN5</f>
        <v>3965</v>
      </c>
      <c r="AO4" s="1282">
        <f>Divisional!AO5</f>
        <v>6652</v>
      </c>
      <c r="AP4" s="58">
        <f>Divisional!AP5</f>
        <v>1291</v>
      </c>
      <c r="AQ4" s="58">
        <f>Divisional!AQ5</f>
        <v>1630</v>
      </c>
      <c r="AR4" s="58">
        <f>Divisional!AR5</f>
        <v>1467</v>
      </c>
      <c r="AS4" s="1288">
        <f>Divisional!AS5</f>
        <v>2062</v>
      </c>
      <c r="AT4" s="58">
        <f>Divisional!AT5</f>
        <v>2921</v>
      </c>
      <c r="AU4" s="58">
        <f>Divisional!AU5</f>
        <v>3529</v>
      </c>
      <c r="AV4" s="1282">
        <f>Divisional!AV5</f>
        <v>6450</v>
      </c>
      <c r="AW4" s="58">
        <f>Divisional!BD5</f>
        <v>961</v>
      </c>
      <c r="AX4" s="58">
        <f>Divisional!BE5</f>
        <v>1427</v>
      </c>
      <c r="AY4" s="58">
        <f>Divisional!BF5</f>
        <v>1367</v>
      </c>
      <c r="AZ4" s="1288">
        <f>Divisional!BG5</f>
        <v>2179</v>
      </c>
      <c r="BA4" s="58">
        <f>Divisional!BH5</f>
        <v>2388</v>
      </c>
      <c r="BB4" s="58">
        <f>Divisional!BI5</f>
        <v>3546</v>
      </c>
      <c r="BC4" s="1282">
        <f>Divisional!BJ5</f>
        <v>5934</v>
      </c>
      <c r="BD4" s="58">
        <f>Divisional!BK5</f>
        <v>1007</v>
      </c>
      <c r="BE4" s="58">
        <f>Divisional!BL5</f>
        <v>1364</v>
      </c>
      <c r="BF4" s="58">
        <f>Divisional!BM5</f>
        <v>1341</v>
      </c>
      <c r="BG4" s="1288">
        <f>Divisional!BN5</f>
        <v>2295</v>
      </c>
      <c r="BH4" s="58">
        <f>Divisional!BO5</f>
        <v>2371</v>
      </c>
      <c r="BI4" s="58">
        <f>Divisional!BP5</f>
        <v>3636</v>
      </c>
      <c r="BJ4" s="1282">
        <f>Divisional!BQ5</f>
        <v>6007</v>
      </c>
      <c r="BK4" s="58">
        <f>Divisional!BY5</f>
        <v>1202</v>
      </c>
      <c r="BL4" s="58">
        <f>Divisional!BZ5</f>
        <v>1131</v>
      </c>
      <c r="BM4" s="58">
        <f>Divisional!CA5</f>
        <v>1290</v>
      </c>
      <c r="BN4" s="1288">
        <f>Divisional!CB5</f>
        <v>2628</v>
      </c>
      <c r="BO4" s="58">
        <f>Divisional!CC5</f>
        <v>2333</v>
      </c>
      <c r="BP4" s="58">
        <f>Divisional!CD5</f>
        <v>3918</v>
      </c>
      <c r="BQ4" s="1282">
        <f>Divisional!CE5</f>
        <v>6251</v>
      </c>
      <c r="BR4" s="58">
        <f>Divisional!CF5</f>
        <v>1177</v>
      </c>
      <c r="BS4" s="58">
        <f>Divisional!CG5</f>
        <v>1417</v>
      </c>
      <c r="BT4" s="58">
        <f>Divisional!CH5</f>
        <v>1543</v>
      </c>
      <c r="BU4" s="1288">
        <f>Divisional!CI5</f>
        <v>2372</v>
      </c>
      <c r="BV4" s="58">
        <f>Divisional!CJ5</f>
        <v>2594</v>
      </c>
      <c r="BW4" s="58">
        <f>Divisional!CK5</f>
        <v>3915</v>
      </c>
      <c r="BX4" s="1282">
        <f>Divisional!CL5</f>
        <v>6509</v>
      </c>
      <c r="BY4" s="58">
        <f>Divisional!CM5</f>
        <v>1265</v>
      </c>
      <c r="BZ4" s="58">
        <f>Divisional!CN5</f>
        <v>1479</v>
      </c>
      <c r="CA4" s="58">
        <f>Divisional!CO5</f>
        <v>1771</v>
      </c>
      <c r="CB4" s="1288">
        <f>Divisional!CP5</f>
        <v>2533</v>
      </c>
      <c r="CC4" s="58">
        <f>Divisional!CQ5</f>
        <v>2744</v>
      </c>
      <c r="CD4" s="58">
        <f>Divisional!CR5</f>
        <v>4304</v>
      </c>
      <c r="CE4" s="1282">
        <f>Divisional!CS5</f>
        <v>7048</v>
      </c>
      <c r="CF4" s="58">
        <f>Divisional!CT5</f>
        <v>1598</v>
      </c>
      <c r="CG4" s="58">
        <f>Divisional!CU5</f>
        <v>1596</v>
      </c>
      <c r="CH4" s="58">
        <f>Divisional!CV5</f>
        <v>1468</v>
      </c>
      <c r="CI4" s="1288">
        <f>Divisional!CW5</f>
        <v>2675</v>
      </c>
      <c r="CJ4" s="58">
        <f>Divisional!CX5</f>
        <v>3194</v>
      </c>
      <c r="CK4" s="58">
        <f>Divisional!CY5</f>
        <v>4143</v>
      </c>
      <c r="CL4" s="1282">
        <f>Divisional!CZ5</f>
        <v>7337</v>
      </c>
      <c r="CM4" s="58">
        <f>Divisional!DA5</f>
        <v>1461</v>
      </c>
      <c r="CN4" s="58">
        <f>Divisional!DB5</f>
        <v>1730</v>
      </c>
      <c r="CO4" s="58">
        <f>Divisional!DC5</f>
        <v>1684</v>
      </c>
      <c r="CP4" s="1288">
        <f>Divisional!DD5</f>
        <v>3066</v>
      </c>
      <c r="CQ4" s="58">
        <f>Divisional!DE5</f>
        <v>3191</v>
      </c>
      <c r="CR4" s="58">
        <f>Divisional!DF5</f>
        <v>4750</v>
      </c>
      <c r="CS4" s="1282">
        <f>Divisional!DG5</f>
        <v>7941</v>
      </c>
      <c r="CT4" s="58">
        <f>Divisional!DH5</f>
        <v>1600</v>
      </c>
      <c r="CU4" s="58">
        <f>Divisional!DI5</f>
        <v>2093</v>
      </c>
      <c r="CV4" s="58">
        <f>Divisional!DJ5</f>
        <v>1959</v>
      </c>
      <c r="CW4" s="1288">
        <f>Divisional!DK5</f>
        <v>3320</v>
      </c>
      <c r="CX4" s="58">
        <f>Divisional!DL5</f>
        <v>3693</v>
      </c>
      <c r="CY4" s="58">
        <f>Divisional!DM5</f>
        <v>5279</v>
      </c>
      <c r="CZ4" s="1282">
        <f>Divisional!DN5</f>
        <v>8972</v>
      </c>
      <c r="DA4" s="58">
        <f>Divisional!DO5</f>
        <v>1604</v>
      </c>
      <c r="DB4" s="58">
        <f>Divisional!DP5</f>
        <v>2076</v>
      </c>
      <c r="DC4" s="981">
        <f t="shared" ref="DC4:DK4" si="0">DC24</f>
        <v>2081.9272499999997</v>
      </c>
      <c r="DD4" s="996">
        <f t="shared" si="0"/>
        <v>3609.5779660000007</v>
      </c>
      <c r="DE4" s="58">
        <f>Divisional!DS5</f>
        <v>3680</v>
      </c>
      <c r="DF4" s="981">
        <f t="shared" si="0"/>
        <v>5691.5052160000005</v>
      </c>
      <c r="DG4" s="969">
        <f t="shared" si="0"/>
        <v>9371.5052160000014</v>
      </c>
      <c r="DH4" s="981">
        <f t="shared" si="0"/>
        <v>1677.8866560000001</v>
      </c>
      <c r="DI4" s="981">
        <f t="shared" si="0"/>
        <v>2169.5091839999995</v>
      </c>
      <c r="DJ4" s="981">
        <f t="shared" si="0"/>
        <v>2175.7130036999997</v>
      </c>
      <c r="DK4" s="996">
        <f t="shared" si="0"/>
        <v>3765.8934198264014</v>
      </c>
      <c r="DL4" s="981">
        <f t="shared" ref="DL4:EI4" si="1">DL24</f>
        <v>3847.3958400000001</v>
      </c>
      <c r="DM4" s="981">
        <f t="shared" si="1"/>
        <v>5941.6064235264012</v>
      </c>
      <c r="DN4" s="969">
        <f t="shared" si="1"/>
        <v>9789.0022635264013</v>
      </c>
      <c r="DO4" s="981">
        <f t="shared" si="1"/>
        <v>1755.2125857024002</v>
      </c>
      <c r="DP4" s="981">
        <f t="shared" si="1"/>
        <v>2267.2780782335999</v>
      </c>
      <c r="DQ4" s="981">
        <f t="shared" si="1"/>
        <v>2273.7714964894803</v>
      </c>
      <c r="DR4" s="996">
        <f t="shared" si="1"/>
        <v>3929.0484431873879</v>
      </c>
      <c r="DS4" s="981">
        <f t="shared" si="1"/>
        <v>4022.4906639360001</v>
      </c>
      <c r="DT4" s="981">
        <f t="shared" si="1"/>
        <v>6202.8199396768687</v>
      </c>
      <c r="DU4" s="969">
        <f t="shared" si="1"/>
        <v>10225.310603612868</v>
      </c>
      <c r="DV4" s="981">
        <f t="shared" si="1"/>
        <v>1836.1394484047773</v>
      </c>
      <c r="DW4" s="981">
        <f t="shared" si="1"/>
        <v>2369.5028719542379</v>
      </c>
      <c r="DX4" s="981">
        <f t="shared" si="1"/>
        <v>2376.299536759655</v>
      </c>
      <c r="DY4" s="996">
        <f t="shared" si="1"/>
        <v>4099.3455759521585</v>
      </c>
      <c r="DZ4" s="981">
        <f t="shared" si="1"/>
        <v>4205.6423203590148</v>
      </c>
      <c r="EA4" s="981">
        <f t="shared" si="1"/>
        <v>6475.6451127118135</v>
      </c>
      <c r="EB4" s="969">
        <f t="shared" si="1"/>
        <v>10681.287433070829</v>
      </c>
      <c r="EC4" s="981">
        <f t="shared" si="1"/>
        <v>1920.8365700723302</v>
      </c>
      <c r="ED4" s="981">
        <f t="shared" si="1"/>
        <v>2476.3888853091885</v>
      </c>
      <c r="EE4" s="981">
        <f t="shared" si="1"/>
        <v>2483.5030934473452</v>
      </c>
      <c r="EF4" s="996">
        <f t="shared" si="1"/>
        <v>4277.1008916636256</v>
      </c>
      <c r="EG4" s="981">
        <f t="shared" si="1"/>
        <v>4397.2254553815192</v>
      </c>
      <c r="EH4" s="981">
        <f t="shared" si="1"/>
        <v>6760.6039851109708</v>
      </c>
      <c r="EI4" s="969">
        <f t="shared" si="1"/>
        <v>11157.829440492489</v>
      </c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</row>
    <row r="5" spans="1:187" ht="10.5" customHeight="1">
      <c r="A5" s="28" t="s">
        <v>30</v>
      </c>
      <c r="B5" s="166"/>
      <c r="C5" s="264">
        <f t="shared" ref="C5:I5" si="2">C4/B4-1</f>
        <v>-3.6596966705555123E-2</v>
      </c>
      <c r="D5" s="264">
        <f t="shared" si="2"/>
        <v>-3.6440867426782875E-2</v>
      </c>
      <c r="E5" s="264">
        <f t="shared" si="2"/>
        <v>7.7339520494972946E-2</v>
      </c>
      <c r="F5" s="264">
        <f t="shared" si="2"/>
        <v>0.15254845656855709</v>
      </c>
      <c r="G5" s="264">
        <f t="shared" si="2"/>
        <v>0.18436624104640309</v>
      </c>
      <c r="H5" s="264">
        <f t="shared" si="2"/>
        <v>9.7028661582960751E-2</v>
      </c>
      <c r="I5" s="264">
        <f t="shared" si="2"/>
        <v>7.5263662511984686E-2</v>
      </c>
      <c r="J5" s="264">
        <f>J4/I4-1</f>
        <v>1.8724921979491826E-2</v>
      </c>
      <c r="K5" s="264">
        <f t="shared" ref="K5:M5" si="3">K4/J4-1</f>
        <v>5.6892778993435478E-2</v>
      </c>
      <c r="L5" s="264">
        <f t="shared" si="3"/>
        <v>0.12111801242236031</v>
      </c>
      <c r="M5" s="264">
        <f t="shared" si="3"/>
        <v>0.15678670360110813</v>
      </c>
      <c r="N5" s="264"/>
      <c r="O5" s="264"/>
      <c r="P5" s="264"/>
      <c r="Q5" s="1339"/>
      <c r="R5" s="264"/>
      <c r="S5" s="264"/>
      <c r="T5" s="307">
        <f>T4/M4-1</f>
        <v>5.268199233716464E-3</v>
      </c>
      <c r="U5" s="264">
        <f t="shared" ref="U5" si="4">U4/N4-1</f>
        <v>0.1387283236994219</v>
      </c>
      <c r="V5" s="264">
        <f t="shared" ref="V5" si="5">V4/O4-1</f>
        <v>4.7218628719275513E-2</v>
      </c>
      <c r="W5" s="264">
        <f t="shared" ref="W5" si="6">W4/P4-1</f>
        <v>-5.7493540051679615E-2</v>
      </c>
      <c r="X5" s="1339">
        <f t="shared" ref="X5" si="7">X4/Q4-1</f>
        <v>4.5727482678983744E-2</v>
      </c>
      <c r="Y5" s="264">
        <f t="shared" ref="Y5" si="8">Y4/R4-1</f>
        <v>8.3978328173374583E-2</v>
      </c>
      <c r="Z5" s="264">
        <f t="shared" ref="Z5" si="9">Z4/S4-1</f>
        <v>2.6932399676811158E-3</v>
      </c>
      <c r="AA5" s="307">
        <f>AA4/T4-1</f>
        <v>3.6048912180403292E-2</v>
      </c>
      <c r="AB5" s="264">
        <f t="shared" ref="AB5" si="10">AB4/U4-1</f>
        <v>8.7140439932318126E-2</v>
      </c>
      <c r="AC5" s="264">
        <f t="shared" ref="AC5" si="11">AC4/V4-1</f>
        <v>2.8412600370599117E-2</v>
      </c>
      <c r="AD5" s="264">
        <f t="shared" ref="AD5" si="12">AD4/W4-1</f>
        <v>9.5956134338588406E-3</v>
      </c>
      <c r="AE5" s="1339">
        <f t="shared" ref="AE5" si="13">AE4/X4-1</f>
        <v>4.3727915194346378E-2</v>
      </c>
      <c r="AF5" s="264">
        <f t="shared" ref="AF5" si="14">AF4/Y4-1</f>
        <v>5.3195287397358015E-2</v>
      </c>
      <c r="AG5" s="264">
        <f t="shared" ref="AG5" si="15">AG4/Z4-1</f>
        <v>3.035186677410695E-2</v>
      </c>
      <c r="AH5" s="307">
        <f>AH4/AA4-1</f>
        <v>4.0159411404046663E-2</v>
      </c>
      <c r="AI5" s="264">
        <f t="shared" ref="AI5" si="16">AI4/AB4-1</f>
        <v>-9.8832684824902706E-2</v>
      </c>
      <c r="AJ5" s="264">
        <f t="shared" ref="AJ5" si="17">AJ4/AC4-1</f>
        <v>-8.1681681681681662E-2</v>
      </c>
      <c r="AK5" s="264">
        <f t="shared" ref="AK5" si="18">AK4/AD4-1</f>
        <v>8.2824168363883288E-2</v>
      </c>
      <c r="AL5" s="1339">
        <f t="shared" ref="AL5" si="19">AL4/AE4-1</f>
        <v>2.9623360135420107E-3</v>
      </c>
      <c r="AM5" s="264">
        <f t="shared" ref="AM5" si="20">AM4/AF4-1</f>
        <v>-8.9152542372881394E-2</v>
      </c>
      <c r="AN5" s="264">
        <f t="shared" ref="AN5" si="21">AN4/AG4-1</f>
        <v>3.362877997914504E-2</v>
      </c>
      <c r="AO5" s="307">
        <f>AO4/AH4-1</f>
        <v>-1.9746536987916286E-2</v>
      </c>
      <c r="AP5" s="264">
        <f t="shared" ref="AP5" si="22">AP4/AI4-1</f>
        <v>0.11485319516407588</v>
      </c>
      <c r="AQ5" s="264">
        <f t="shared" ref="AQ5" si="23">AQ4/AJ4-1</f>
        <v>6.6056245912361033E-2</v>
      </c>
      <c r="AR5" s="264">
        <f t="shared" ref="AR5" si="24">AR4/AK4-1</f>
        <v>-8.025078369905958E-2</v>
      </c>
      <c r="AS5" s="1339">
        <f t="shared" ref="AS5" si="25">AS4/AL4-1</f>
        <v>-0.12995780590717299</v>
      </c>
      <c r="AT5" s="264">
        <f t="shared" ref="AT5" si="26">AT4/AM4-1</f>
        <v>8.7085969482694425E-2</v>
      </c>
      <c r="AU5" s="264">
        <f t="shared" ref="AU5" si="27">AU4/AN4-1</f>
        <v>-0.10996216897856237</v>
      </c>
      <c r="AV5" s="307">
        <f>AV4/AO4-1</f>
        <v>-3.0366806975345773E-2</v>
      </c>
      <c r="AW5" s="264">
        <f t="shared" ref="AW5" si="28">AW4/AP4-1</f>
        <v>-0.25561580170410536</v>
      </c>
      <c r="AX5" s="264">
        <f t="shared" ref="AX5" si="29">AX4/AQ4-1</f>
        <v>-0.12453987730061344</v>
      </c>
      <c r="AY5" s="264">
        <f t="shared" ref="AY5" si="30">AY4/AR4-1</f>
        <v>-6.8166325835037456E-2</v>
      </c>
      <c r="AZ5" s="1339">
        <f t="shared" ref="AZ5" si="31">AZ4/AS4-1</f>
        <v>5.6741028128030946E-2</v>
      </c>
      <c r="BA5" s="264">
        <f t="shared" ref="BA5" si="32">BA4/AT4-1</f>
        <v>-0.18247175624786027</v>
      </c>
      <c r="BB5" s="264">
        <f t="shared" ref="BB5" si="33">BB4/AU4-1</f>
        <v>4.8172286766789973E-3</v>
      </c>
      <c r="BC5" s="307">
        <f>BC4/AV4-1</f>
        <v>-7.999999999999996E-2</v>
      </c>
      <c r="BD5" s="264">
        <f t="shared" ref="BD5" si="34">BD4/AW4-1</f>
        <v>4.7866805411030278E-2</v>
      </c>
      <c r="BE5" s="264">
        <f t="shared" ref="BE5" si="35">BE4/AX4-1</f>
        <v>-4.4148563419761699E-2</v>
      </c>
      <c r="BF5" s="264">
        <f t="shared" ref="BF5" si="36">BF4/AY4-1</f>
        <v>-1.9019751280175523E-2</v>
      </c>
      <c r="BG5" s="1339">
        <f t="shared" ref="BG5" si="37">BG4/AZ4-1</f>
        <v>5.323542909591561E-2</v>
      </c>
      <c r="BH5" s="264">
        <f t="shared" ref="BH5" si="38">BH4/BA4-1</f>
        <v>-7.1189279731993516E-3</v>
      </c>
      <c r="BI5" s="264">
        <f t="shared" ref="BI5" si="39">BI4/BB4-1</f>
        <v>2.5380710659898442E-2</v>
      </c>
      <c r="BJ5" s="307">
        <f>BJ4/BC4-1</f>
        <v>1.2301988540613484E-2</v>
      </c>
      <c r="BK5" s="264">
        <f t="shared" ref="BK5" si="40">BK4/BD4-1</f>
        <v>0.19364448857994043</v>
      </c>
      <c r="BL5" s="264">
        <f t="shared" ref="BL5" si="41">BL4/BE4-1</f>
        <v>-0.17082111436950143</v>
      </c>
      <c r="BM5" s="264">
        <f t="shared" ref="BM5" si="42">BM4/BF4-1</f>
        <v>-3.8031319910514561E-2</v>
      </c>
      <c r="BN5" s="1339">
        <f t="shared" ref="BN5" si="43">BN4/BG4-1</f>
        <v>0.1450980392156862</v>
      </c>
      <c r="BO5" s="264">
        <f t="shared" ref="BO5" si="44">BO4/BH4-1</f>
        <v>-1.6026992830029507E-2</v>
      </c>
      <c r="BP5" s="264">
        <f t="shared" ref="BP5" si="45">BP4/BI4-1</f>
        <v>7.7557755775577553E-2</v>
      </c>
      <c r="BQ5" s="307">
        <f>BQ4/BJ4-1</f>
        <v>4.0619277509572171E-2</v>
      </c>
      <c r="BR5" s="264">
        <f t="shared" ref="BR5" si="46">BR4/BK4-1</f>
        <v>-2.0798668885191329E-2</v>
      </c>
      <c r="BS5" s="264">
        <f t="shared" ref="BS5" si="47">BS4/BL4-1</f>
        <v>0.25287356321839072</v>
      </c>
      <c r="BT5" s="264">
        <f t="shared" ref="BT5" si="48">BT4/BM4-1</f>
        <v>0.19612403100775189</v>
      </c>
      <c r="BU5" s="1339">
        <f t="shared" ref="BU5" si="49">BU4/BN4-1</f>
        <v>-9.7412480974124804E-2</v>
      </c>
      <c r="BV5" s="264">
        <f t="shared" ref="BV5" si="50">BV4/BO4-1</f>
        <v>0.11187312473210453</v>
      </c>
      <c r="BW5" s="264">
        <f t="shared" ref="BW5" si="51">BW4/BP4-1</f>
        <v>-7.6569678407345521E-4</v>
      </c>
      <c r="BX5" s="307">
        <f>BX4/BQ4-1</f>
        <v>4.1273396256598982E-2</v>
      </c>
      <c r="BY5" s="264">
        <f t="shared" ref="BY5:CD5" si="52">BY4/BR4-1</f>
        <v>7.4766355140186924E-2</v>
      </c>
      <c r="BZ5" s="264">
        <f t="shared" si="52"/>
        <v>4.3754410726887683E-2</v>
      </c>
      <c r="CA5" s="264">
        <f t="shared" si="52"/>
        <v>0.14776409591704476</v>
      </c>
      <c r="CB5" s="1339">
        <f t="shared" si="52"/>
        <v>6.7875210792580187E-2</v>
      </c>
      <c r="CC5" s="264">
        <f t="shared" si="52"/>
        <v>5.7825751734772446E-2</v>
      </c>
      <c r="CD5" s="264">
        <f t="shared" si="52"/>
        <v>9.9361430395913164E-2</v>
      </c>
      <c r="CE5" s="307">
        <f>CE4/BX4-1</f>
        <v>8.2808419111998877E-2</v>
      </c>
      <c r="CF5" s="264">
        <f t="shared" ref="CF5:CK5" si="53">CF4/BY4-1</f>
        <v>0.26324110671936762</v>
      </c>
      <c r="CG5" s="264">
        <f t="shared" si="53"/>
        <v>7.9107505070993955E-2</v>
      </c>
      <c r="CH5" s="264">
        <f t="shared" si="53"/>
        <v>-0.17108977978543194</v>
      </c>
      <c r="CI5" s="1339">
        <f t="shared" si="53"/>
        <v>5.606000789577581E-2</v>
      </c>
      <c r="CJ5" s="264">
        <f t="shared" si="53"/>
        <v>0.1639941690962099</v>
      </c>
      <c r="CK5" s="264">
        <f t="shared" si="53"/>
        <v>-3.7407063197026025E-2</v>
      </c>
      <c r="CL5" s="307">
        <f t="shared" ref="CL5:DQ5" si="54">CL4/CE4-1</f>
        <v>4.100454029511913E-2</v>
      </c>
      <c r="CM5" s="264">
        <f t="shared" si="54"/>
        <v>-8.5732165206508171E-2</v>
      </c>
      <c r="CN5" s="264">
        <f t="shared" si="54"/>
        <v>8.3959899749373346E-2</v>
      </c>
      <c r="CO5" s="264">
        <f t="shared" si="54"/>
        <v>0.14713896457765663</v>
      </c>
      <c r="CP5" s="1339">
        <f t="shared" si="54"/>
        <v>0.1461682242990654</v>
      </c>
      <c r="CQ5" s="264">
        <f t="shared" si="54"/>
        <v>-9.3926111458986217E-4</v>
      </c>
      <c r="CR5" s="264">
        <f t="shared" si="54"/>
        <v>0.14651218923485398</v>
      </c>
      <c r="CS5" s="307">
        <f t="shared" si="54"/>
        <v>8.232247512607338E-2</v>
      </c>
      <c r="CT5" s="264">
        <f t="shared" si="54"/>
        <v>9.5140314852840469E-2</v>
      </c>
      <c r="CU5" s="264">
        <f t="shared" si="54"/>
        <v>0.2098265895953757</v>
      </c>
      <c r="CV5" s="264">
        <f t="shared" si="54"/>
        <v>0.16330166270783852</v>
      </c>
      <c r="CW5" s="1339">
        <f t="shared" si="54"/>
        <v>8.284409654272662E-2</v>
      </c>
      <c r="CX5" s="264">
        <f t="shared" si="54"/>
        <v>0.15731745534315267</v>
      </c>
      <c r="CY5" s="264">
        <f t="shared" si="54"/>
        <v>0.11136842105263156</v>
      </c>
      <c r="CZ5" s="307">
        <f t="shared" si="54"/>
        <v>0.12983251479662505</v>
      </c>
      <c r="DA5" s="264">
        <f t="shared" si="54"/>
        <v>2.4999999999999467E-3</v>
      </c>
      <c r="DB5" s="264">
        <f t="shared" si="54"/>
        <v>-8.1223124701385041E-3</v>
      </c>
      <c r="DC5" s="982">
        <f t="shared" si="54"/>
        <v>6.2749999999999861E-2</v>
      </c>
      <c r="DD5" s="997">
        <f t="shared" si="54"/>
        <v>8.7222278915662921E-2</v>
      </c>
      <c r="DE5" s="264">
        <f t="shared" si="54"/>
        <v>-3.5201733008394243E-3</v>
      </c>
      <c r="DF5" s="982">
        <f t="shared" si="54"/>
        <v>7.814078727031637E-2</v>
      </c>
      <c r="DG5" s="970">
        <f t="shared" si="54"/>
        <v>4.4528000000000123E-2</v>
      </c>
      <c r="DH5" s="982">
        <f t="shared" si="54"/>
        <v>4.6064000000000105E-2</v>
      </c>
      <c r="DI5" s="982">
        <f t="shared" si="54"/>
        <v>4.5042959537572091E-2</v>
      </c>
      <c r="DJ5" s="982">
        <f t="shared" si="54"/>
        <v>4.5047565278757862E-2</v>
      </c>
      <c r="DK5" s="997">
        <f t="shared" si="54"/>
        <v>4.3305742471501096E-2</v>
      </c>
      <c r="DL5" s="982">
        <f t="shared" si="54"/>
        <v>4.5487999999999973E-2</v>
      </c>
      <c r="DM5" s="982">
        <f t="shared" si="54"/>
        <v>4.3942893493853719E-2</v>
      </c>
      <c r="DN5" s="970">
        <f t="shared" si="54"/>
        <v>4.4549625476770327E-2</v>
      </c>
      <c r="DO5" s="982">
        <f t="shared" si="54"/>
        <v>4.6085311797366302E-2</v>
      </c>
      <c r="DP5" s="982">
        <f t="shared" si="54"/>
        <v>4.5064982879372106E-2</v>
      </c>
      <c r="DQ5" s="982">
        <f t="shared" si="54"/>
        <v>4.5069589887417605E-2</v>
      </c>
      <c r="DR5" s="997">
        <f t="shared" ref="DR5:EI5" si="55">DR4/DK4-1</f>
        <v>4.3324386851210317E-2</v>
      </c>
      <c r="DS5" s="982">
        <f t="shared" si="55"/>
        <v>4.5509958220467439E-2</v>
      </c>
      <c r="DT5" s="982">
        <f t="shared" si="55"/>
        <v>4.396344987041978E-2</v>
      </c>
      <c r="DU5" s="970">
        <f t="shared" si="55"/>
        <v>4.4571277883154847E-2</v>
      </c>
      <c r="DV5" s="982">
        <f t="shared" si="55"/>
        <v>4.6106587521984821E-2</v>
      </c>
      <c r="DW5" s="982">
        <f t="shared" si="55"/>
        <v>4.5087011911780994E-2</v>
      </c>
      <c r="DX5" s="982">
        <f t="shared" si="55"/>
        <v>4.5091619992804866E-2</v>
      </c>
      <c r="DY5" s="997">
        <f t="shared" si="55"/>
        <v>4.3343098265955504E-2</v>
      </c>
      <c r="DZ5" s="982">
        <f t="shared" si="55"/>
        <v>4.5531903421200504E-2</v>
      </c>
      <c r="EA5" s="982">
        <f t="shared" si="55"/>
        <v>4.398405494407398E-2</v>
      </c>
      <c r="EB5" s="970">
        <f t="shared" si="55"/>
        <v>4.4592956354484903E-2</v>
      </c>
      <c r="EC5" s="982">
        <f t="shared" si="55"/>
        <v>4.6127826370234049E-2</v>
      </c>
      <c r="ED5" s="982">
        <f t="shared" si="55"/>
        <v>4.510904570746388E-2</v>
      </c>
      <c r="EE5" s="982">
        <f t="shared" si="55"/>
        <v>4.5113654667405356E-2</v>
      </c>
      <c r="EF5" s="997">
        <f t="shared" si="55"/>
        <v>4.3361876284406575E-2</v>
      </c>
      <c r="EG5" s="982">
        <f t="shared" si="55"/>
        <v>4.5553834688954131E-2</v>
      </c>
      <c r="EH5" s="982">
        <f t="shared" si="55"/>
        <v>4.4004708015851213E-2</v>
      </c>
      <c r="EI5" s="970">
        <f t="shared" si="55"/>
        <v>4.4614660021807584E-2</v>
      </c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</row>
    <row r="6" spans="1:187" ht="10.5" customHeight="1">
      <c r="A6" s="28"/>
      <c r="B6" s="166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982"/>
      <c r="O6" s="982"/>
      <c r="P6" s="982"/>
      <c r="Q6" s="997"/>
      <c r="R6" s="982"/>
      <c r="S6" s="982"/>
      <c r="T6" s="970"/>
      <c r="U6" s="982"/>
      <c r="V6" s="982"/>
      <c r="W6" s="982"/>
      <c r="X6" s="997"/>
      <c r="Y6" s="982"/>
      <c r="Z6" s="982"/>
      <c r="AA6" s="970"/>
      <c r="AB6" s="982"/>
      <c r="AC6" s="982"/>
      <c r="AD6" s="982"/>
      <c r="AE6" s="997"/>
      <c r="AF6" s="982"/>
      <c r="AG6" s="982"/>
      <c r="AH6" s="970"/>
      <c r="AI6" s="982"/>
      <c r="AJ6" s="982"/>
      <c r="AK6" s="982"/>
      <c r="AL6" s="997"/>
      <c r="AM6" s="982"/>
      <c r="AN6" s="982"/>
      <c r="AO6" s="970"/>
      <c r="AP6" s="982"/>
      <c r="AQ6" s="982"/>
      <c r="AR6" s="982"/>
      <c r="AS6" s="997"/>
      <c r="AT6" s="982"/>
      <c r="AU6" s="982"/>
      <c r="AV6" s="970"/>
      <c r="AW6" s="982"/>
      <c r="AX6" s="982"/>
      <c r="AY6" s="982"/>
      <c r="AZ6" s="997"/>
      <c r="BA6" s="982"/>
      <c r="BB6" s="982"/>
      <c r="BC6" s="970"/>
      <c r="BD6" s="982"/>
      <c r="BE6" s="982"/>
      <c r="BF6" s="982"/>
      <c r="BG6" s="997"/>
      <c r="BH6" s="982"/>
      <c r="BI6" s="982"/>
      <c r="BJ6" s="970"/>
      <c r="BK6" s="982"/>
      <c r="BL6" s="982"/>
      <c r="BM6" s="982"/>
      <c r="BN6" s="997"/>
      <c r="BO6" s="982"/>
      <c r="BP6" s="982"/>
      <c r="BQ6" s="970"/>
      <c r="BR6" s="982"/>
      <c r="BS6" s="982"/>
      <c r="BT6" s="982"/>
      <c r="BU6" s="997"/>
      <c r="BV6" s="982"/>
      <c r="BW6" s="982"/>
      <c r="BX6" s="970"/>
      <c r="BY6" s="982"/>
      <c r="BZ6" s="982"/>
      <c r="CA6" s="982"/>
      <c r="CB6" s="997"/>
      <c r="CC6" s="982"/>
      <c r="CD6" s="982"/>
      <c r="CE6" s="970"/>
      <c r="CF6" s="982"/>
      <c r="CG6" s="982"/>
      <c r="CH6" s="982"/>
      <c r="CI6" s="997"/>
      <c r="CJ6" s="982"/>
      <c r="CK6" s="982"/>
      <c r="CL6" s="970"/>
      <c r="CM6" s="982"/>
      <c r="CN6" s="982"/>
      <c r="CO6" s="982"/>
      <c r="CP6" s="997"/>
      <c r="CQ6" s="982"/>
      <c r="CR6" s="982"/>
      <c r="CS6" s="970"/>
      <c r="CT6" s="982"/>
      <c r="CU6" s="982"/>
      <c r="CV6" s="982"/>
      <c r="CW6" s="997"/>
      <c r="CX6" s="982"/>
      <c r="CY6" s="982"/>
      <c r="CZ6" s="970"/>
      <c r="DA6" s="982"/>
      <c r="DB6" s="982"/>
      <c r="DC6" s="982"/>
      <c r="DD6" s="997"/>
      <c r="DE6" s="982"/>
      <c r="DF6" s="982"/>
      <c r="DG6" s="970"/>
      <c r="DH6" s="982"/>
      <c r="DI6" s="982"/>
      <c r="DJ6" s="982"/>
      <c r="DK6" s="997"/>
      <c r="DL6" s="982"/>
      <c r="DM6" s="982"/>
      <c r="DN6" s="970"/>
      <c r="DO6" s="982"/>
      <c r="DP6" s="982"/>
      <c r="DQ6" s="982"/>
      <c r="DR6" s="997"/>
      <c r="DS6" s="982"/>
      <c r="DT6" s="982"/>
      <c r="DU6" s="970"/>
      <c r="DV6" s="982"/>
      <c r="DW6" s="982"/>
      <c r="DX6" s="982"/>
      <c r="DY6" s="997"/>
      <c r="DZ6" s="982"/>
      <c r="EA6" s="982"/>
      <c r="EB6" s="970"/>
      <c r="EC6" s="982"/>
      <c r="ED6" s="982"/>
      <c r="EE6" s="982"/>
      <c r="EF6" s="997"/>
      <c r="EG6" s="982"/>
      <c r="EH6" s="982"/>
      <c r="EI6" s="970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</row>
    <row r="7" spans="1:187" ht="10.5" customHeight="1">
      <c r="A7" s="32" t="s">
        <v>334</v>
      </c>
      <c r="B7" s="166"/>
      <c r="C7" s="166"/>
      <c r="D7" s="166"/>
      <c r="E7" s="770"/>
      <c r="F7" s="770"/>
      <c r="G7" s="54"/>
      <c r="H7" s="54"/>
      <c r="I7" s="54"/>
      <c r="J7" s="54"/>
      <c r="K7" s="54"/>
      <c r="L7" s="54"/>
      <c r="M7" s="58">
        <v>411</v>
      </c>
      <c r="N7" s="58">
        <f>Divisional!N27</f>
        <v>20</v>
      </c>
      <c r="O7" s="58">
        <f>Divisional!O27</f>
        <v>108</v>
      </c>
      <c r="P7" s="58">
        <f>Divisional!P27</f>
        <v>89</v>
      </c>
      <c r="Q7" s="1288">
        <f>Divisional!Q27</f>
        <v>180</v>
      </c>
      <c r="R7" s="58">
        <f>Divisional!R27</f>
        <v>128</v>
      </c>
      <c r="S7" s="58">
        <f>Divisional!S27</f>
        <v>269</v>
      </c>
      <c r="T7" s="1282">
        <v>397</v>
      </c>
      <c r="U7" s="58">
        <f>Divisional!U27</f>
        <v>58</v>
      </c>
      <c r="V7" s="58">
        <f>Divisional!V27</f>
        <v>92</v>
      </c>
      <c r="W7" s="58">
        <f>Divisional!W27</f>
        <v>91</v>
      </c>
      <c r="X7" s="1288">
        <f>Divisional!X27</f>
        <v>172</v>
      </c>
      <c r="Y7" s="58">
        <f>Divisional!Y27</f>
        <v>150</v>
      </c>
      <c r="Z7" s="58">
        <f>Divisional!Z27</f>
        <v>263</v>
      </c>
      <c r="AA7" s="1282">
        <v>413</v>
      </c>
      <c r="AB7" s="58">
        <f>Divisional!AB27</f>
        <v>52</v>
      </c>
      <c r="AC7" s="58">
        <f>Divisional!AC27</f>
        <v>110</v>
      </c>
      <c r="AD7" s="58">
        <f>Divisional!AD27</f>
        <v>79</v>
      </c>
      <c r="AE7" s="1288">
        <f>Divisional!AE27</f>
        <v>186</v>
      </c>
      <c r="AF7" s="58">
        <f>Divisional!AF27</f>
        <v>162</v>
      </c>
      <c r="AG7" s="58">
        <f>Divisional!AG27</f>
        <v>265</v>
      </c>
      <c r="AH7" s="1282">
        <v>427</v>
      </c>
      <c r="AI7" s="58">
        <f>Divisional!AI27</f>
        <v>33</v>
      </c>
      <c r="AJ7" s="58">
        <f>Divisional!AJ27</f>
        <v>111</v>
      </c>
      <c r="AK7" s="58">
        <f>Divisional!AK27</f>
        <v>56</v>
      </c>
      <c r="AL7" s="1288">
        <f>Divisional!AL27</f>
        <v>150</v>
      </c>
      <c r="AM7" s="58">
        <f>Divisional!AM27</f>
        <v>144</v>
      </c>
      <c r="AN7" s="58">
        <f>Divisional!AN27</f>
        <v>206</v>
      </c>
      <c r="AO7" s="1282">
        <v>350</v>
      </c>
      <c r="AP7" s="58">
        <f>Divisional!AP27</f>
        <v>-2</v>
      </c>
      <c r="AQ7" s="58">
        <f>Divisional!AQ27</f>
        <v>95</v>
      </c>
      <c r="AR7" s="58">
        <f>Divisional!AR27</f>
        <v>72</v>
      </c>
      <c r="AS7" s="1288">
        <f>Divisional!AS27</f>
        <v>172</v>
      </c>
      <c r="AT7" s="58">
        <f>Divisional!AT27</f>
        <v>93</v>
      </c>
      <c r="AU7" s="58">
        <f>Divisional!AU27</f>
        <v>244</v>
      </c>
      <c r="AV7" s="1282">
        <v>337</v>
      </c>
      <c r="AW7" s="58">
        <f>Divisional!BD27</f>
        <v>-3</v>
      </c>
      <c r="AX7" s="58">
        <f>Divisional!BE27</f>
        <v>138</v>
      </c>
      <c r="AY7" s="58">
        <f>Divisional!BF27</f>
        <v>67</v>
      </c>
      <c r="AZ7" s="1288">
        <f>Divisional!BG27</f>
        <v>178</v>
      </c>
      <c r="BA7" s="58">
        <f>Divisional!BH27</f>
        <v>135</v>
      </c>
      <c r="BB7" s="58">
        <f>Divisional!BI27</f>
        <v>245</v>
      </c>
      <c r="BC7" s="1282">
        <v>380</v>
      </c>
      <c r="BD7" s="58">
        <f>Divisional!BK27</f>
        <v>15</v>
      </c>
      <c r="BE7" s="58">
        <f>Divisional!BL27</f>
        <v>110</v>
      </c>
      <c r="BF7" s="58">
        <f>Divisional!BM27</f>
        <v>80</v>
      </c>
      <c r="BG7" s="1288">
        <f>Divisional!BN27</f>
        <v>217</v>
      </c>
      <c r="BH7" s="58">
        <f>Divisional!BO27</f>
        <v>125</v>
      </c>
      <c r="BI7" s="58">
        <f>Divisional!BP27</f>
        <v>297</v>
      </c>
      <c r="BJ7" s="1282">
        <v>422</v>
      </c>
      <c r="BK7" s="58">
        <f>+Divisional!BY27</f>
        <v>53</v>
      </c>
      <c r="BL7" s="58">
        <f>+Divisional!BZ27</f>
        <v>99</v>
      </c>
      <c r="BM7" s="58">
        <f>+Divisional!CA27</f>
        <v>86</v>
      </c>
      <c r="BN7" s="1288">
        <f>+Divisional!CB27</f>
        <v>233</v>
      </c>
      <c r="BO7" s="58">
        <f>+Divisional!CC27</f>
        <v>152</v>
      </c>
      <c r="BP7" s="58">
        <f>+Divisional!CD27</f>
        <v>319</v>
      </c>
      <c r="BQ7" s="1282">
        <f>+Divisional!CE27</f>
        <v>471</v>
      </c>
      <c r="BR7" s="58">
        <f>+Divisional!CF27</f>
        <v>62</v>
      </c>
      <c r="BS7" s="58">
        <f>+Divisional!CG27</f>
        <v>121</v>
      </c>
      <c r="BT7" s="58">
        <f>+Divisional!CH27</f>
        <v>131</v>
      </c>
      <c r="BU7" s="1288">
        <f>+Divisional!CI27</f>
        <v>221</v>
      </c>
      <c r="BV7" s="58">
        <f>+Divisional!CJ27</f>
        <v>183</v>
      </c>
      <c r="BW7" s="58">
        <f>+Divisional!CK27</f>
        <v>352</v>
      </c>
      <c r="BX7" s="1282">
        <f>+Divisional!CL27</f>
        <v>535</v>
      </c>
      <c r="BY7" s="58">
        <f>+Divisional!CM27</f>
        <v>90</v>
      </c>
      <c r="BZ7" s="58">
        <f>+Divisional!CN27</f>
        <v>125</v>
      </c>
      <c r="CA7" s="58">
        <f>+Divisional!CO27</f>
        <v>165</v>
      </c>
      <c r="CB7" s="1288">
        <f>+Divisional!CP27</f>
        <v>259</v>
      </c>
      <c r="CC7" s="58">
        <f>+Divisional!CQ27</f>
        <v>215</v>
      </c>
      <c r="CD7" s="58">
        <f>+Divisional!CR27</f>
        <v>424</v>
      </c>
      <c r="CE7" s="1282">
        <f>+Divisional!CS27</f>
        <v>639</v>
      </c>
      <c r="CF7" s="58">
        <f>+Divisional!CT27</f>
        <v>156</v>
      </c>
      <c r="CG7" s="58">
        <f>+Divisional!CU27</f>
        <v>118</v>
      </c>
      <c r="CH7" s="58">
        <f>+Divisional!CV27</f>
        <v>143</v>
      </c>
      <c r="CI7" s="1288">
        <f>+Divisional!CW27</f>
        <v>318</v>
      </c>
      <c r="CJ7" s="58">
        <f>+Divisional!CX27</f>
        <v>274</v>
      </c>
      <c r="CK7" s="58">
        <f>+Divisional!CY27</f>
        <v>461</v>
      </c>
      <c r="CL7" s="1282">
        <f>+Divisional!CZ27</f>
        <v>735</v>
      </c>
      <c r="CM7" s="58">
        <f>+Divisional!DA27</f>
        <v>71</v>
      </c>
      <c r="CN7" s="58">
        <f>+Divisional!DB27</f>
        <v>159</v>
      </c>
      <c r="CO7" s="58">
        <f>+Divisional!DC27</f>
        <v>190</v>
      </c>
      <c r="CP7" s="1288">
        <f>+Divisional!DD27</f>
        <v>398</v>
      </c>
      <c r="CQ7" s="58">
        <f>+Divisional!DE27</f>
        <v>230</v>
      </c>
      <c r="CR7" s="58">
        <f>+Divisional!DF27</f>
        <v>588</v>
      </c>
      <c r="CS7" s="1282">
        <f>+Divisional!DG27</f>
        <v>818</v>
      </c>
      <c r="CT7" s="58">
        <f>+Divisional!DH27</f>
        <v>78</v>
      </c>
      <c r="CU7" s="58">
        <f>+Divisional!DI27</f>
        <v>171</v>
      </c>
      <c r="CV7" s="58">
        <f>+Divisional!DJ27</f>
        <v>246</v>
      </c>
      <c r="CW7" s="1288">
        <f>+Divisional!DK27</f>
        <v>430</v>
      </c>
      <c r="CX7" s="58">
        <f>+Divisional!DL27</f>
        <v>249</v>
      </c>
      <c r="CY7" s="58">
        <f>+Divisional!DM27</f>
        <v>676</v>
      </c>
      <c r="CZ7" s="1282">
        <f>+Divisional!DN27</f>
        <v>925</v>
      </c>
      <c r="DA7" s="58">
        <f>+Divisional!DO27</f>
        <v>65</v>
      </c>
      <c r="DB7" s="58">
        <f>+Divisional!DP27</f>
        <v>175</v>
      </c>
      <c r="DC7" s="983">
        <f t="shared" ref="DC7:DK7" si="56">DC56</f>
        <v>260.24090624999997</v>
      </c>
      <c r="DD7" s="998">
        <f t="shared" si="56"/>
        <v>463.51285143000007</v>
      </c>
      <c r="DE7" s="58">
        <f>+Divisional!DS27</f>
        <v>240</v>
      </c>
      <c r="DF7" s="983">
        <f t="shared" si="56"/>
        <v>723.75375768000004</v>
      </c>
      <c r="DG7" s="971">
        <f t="shared" si="56"/>
        <v>963.75375768000004</v>
      </c>
      <c r="DH7" s="983">
        <f t="shared" si="56"/>
        <v>179.59914215999999</v>
      </c>
      <c r="DI7" s="983">
        <f t="shared" si="56"/>
        <v>233.37480023999996</v>
      </c>
      <c r="DJ7" s="983">
        <f t="shared" si="56"/>
        <v>234.036926532</v>
      </c>
      <c r="DK7" s="998">
        <f t="shared" si="56"/>
        <v>408.51237555590416</v>
      </c>
      <c r="DL7" s="983">
        <f t="shared" ref="DL7:EI7" si="57">DL56</f>
        <v>412.97394239999994</v>
      </c>
      <c r="DM7" s="983">
        <f t="shared" si="57"/>
        <v>642.54930208790415</v>
      </c>
      <c r="DN7" s="971">
        <f t="shared" si="57"/>
        <v>1055.5232444879041</v>
      </c>
      <c r="DO7" s="983">
        <f t="shared" si="57"/>
        <v>196.63263785577601</v>
      </c>
      <c r="DP7" s="983">
        <f t="shared" si="57"/>
        <v>255.20220849686402</v>
      </c>
      <c r="DQ7" s="983">
        <f t="shared" si="57"/>
        <v>255.92764302754023</v>
      </c>
      <c r="DR7" s="998">
        <f t="shared" si="57"/>
        <v>445.81787531029966</v>
      </c>
      <c r="DS7" s="983">
        <f t="shared" si="57"/>
        <v>451.83484635264006</v>
      </c>
      <c r="DT7" s="983">
        <f t="shared" si="57"/>
        <v>701.74551833783983</v>
      </c>
      <c r="DU7" s="971">
        <f t="shared" si="57"/>
        <v>1153.5803646904799</v>
      </c>
      <c r="DV7" s="983">
        <f t="shared" si="57"/>
        <v>209.38143385857325</v>
      </c>
      <c r="DW7" s="983">
        <f t="shared" si="57"/>
        <v>272.71732658450844</v>
      </c>
      <c r="DX7" s="983">
        <f t="shared" si="57"/>
        <v>273.48817836678359</v>
      </c>
      <c r="DY7" s="998">
        <f t="shared" si="57"/>
        <v>479.27380823613396</v>
      </c>
      <c r="DZ7" s="983">
        <f t="shared" si="57"/>
        <v>482.09876044308174</v>
      </c>
      <c r="EA7" s="983">
        <f t="shared" si="57"/>
        <v>752.76198660291766</v>
      </c>
      <c r="EB7" s="971">
        <f t="shared" si="57"/>
        <v>1234.8607470459992</v>
      </c>
      <c r="EC7" s="983">
        <f t="shared" si="57"/>
        <v>218.99732346117963</v>
      </c>
      <c r="ED7" s="983">
        <f t="shared" si="57"/>
        <v>284.96249728460259</v>
      </c>
      <c r="EE7" s="983">
        <f t="shared" si="57"/>
        <v>285.76921686708766</v>
      </c>
      <c r="EF7" s="998">
        <f t="shared" si="57"/>
        <v>499.97206307760376</v>
      </c>
      <c r="EG7" s="983">
        <f t="shared" si="57"/>
        <v>503.95982074578228</v>
      </c>
      <c r="EH7" s="983">
        <f t="shared" si="57"/>
        <v>785.74127994469143</v>
      </c>
      <c r="EI7" s="971">
        <f t="shared" si="57"/>
        <v>1289.7011006904736</v>
      </c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</row>
    <row r="8" spans="1:187" ht="10.5" customHeight="1">
      <c r="A8" s="28" t="s">
        <v>31</v>
      </c>
      <c r="B8" s="166"/>
      <c r="C8" s="166"/>
      <c r="D8" s="166"/>
      <c r="E8" s="770"/>
      <c r="F8" s="770"/>
      <c r="G8" s="54"/>
      <c r="H8" s="54"/>
      <c r="I8" s="54"/>
      <c r="J8" s="54"/>
      <c r="K8" s="54"/>
      <c r="L8" s="54"/>
      <c r="M8" s="57">
        <f t="shared" ref="M8:BB8" si="58">M7/M4</f>
        <v>6.561302681992337E-2</v>
      </c>
      <c r="N8" s="57">
        <f t="shared" si="58"/>
        <v>1.9267822736030827E-2</v>
      </c>
      <c r="O8" s="57">
        <f t="shared" si="58"/>
        <v>6.9857697283311773E-2</v>
      </c>
      <c r="P8" s="57">
        <f t="shared" si="58"/>
        <v>5.7493540051679587E-2</v>
      </c>
      <c r="Q8" s="959">
        <f t="shared" si="58"/>
        <v>8.3140877598152418E-2</v>
      </c>
      <c r="R8" s="57">
        <f t="shared" si="58"/>
        <v>4.9535603715170282E-2</v>
      </c>
      <c r="S8" s="57">
        <f t="shared" si="58"/>
        <v>7.2448155130622138E-2</v>
      </c>
      <c r="T8" s="946">
        <f t="shared" si="58"/>
        <v>6.3045894870573285E-2</v>
      </c>
      <c r="U8" s="57">
        <f t="shared" si="58"/>
        <v>4.9069373942470386E-2</v>
      </c>
      <c r="V8" s="57">
        <f t="shared" si="58"/>
        <v>5.6825200741198269E-2</v>
      </c>
      <c r="W8" s="57">
        <f t="shared" si="58"/>
        <v>6.2371487320082249E-2</v>
      </c>
      <c r="X8" s="959">
        <f t="shared" si="58"/>
        <v>7.5971731448763249E-2</v>
      </c>
      <c r="Y8" s="57">
        <f t="shared" si="58"/>
        <v>5.3552302749018205E-2</v>
      </c>
      <c r="Z8" s="57">
        <f t="shared" si="58"/>
        <v>7.0641955412301907E-2</v>
      </c>
      <c r="AA8" s="946">
        <f t="shared" si="58"/>
        <v>6.3304721030042921E-2</v>
      </c>
      <c r="AB8" s="57">
        <f t="shared" ref="AB8:AG8" si="59">AB7/AB4</f>
        <v>4.0466926070038912E-2</v>
      </c>
      <c r="AC8" s="57">
        <f t="shared" si="59"/>
        <v>6.6066066066066062E-2</v>
      </c>
      <c r="AD8" s="57">
        <f t="shared" si="59"/>
        <v>5.363204344874406E-2</v>
      </c>
      <c r="AE8" s="959">
        <f t="shared" si="59"/>
        <v>7.871349978840457E-2</v>
      </c>
      <c r="AF8" s="57">
        <f t="shared" si="59"/>
        <v>5.4915254237288137E-2</v>
      </c>
      <c r="AG8" s="57">
        <f t="shared" si="59"/>
        <v>6.9082377476538059E-2</v>
      </c>
      <c r="AH8" s="946">
        <f t="shared" si="58"/>
        <v>6.292366637194223E-2</v>
      </c>
      <c r="AI8" s="57">
        <f t="shared" si="58"/>
        <v>2.8497409326424871E-2</v>
      </c>
      <c r="AJ8" s="57">
        <f t="shared" si="58"/>
        <v>7.2596468279921514E-2</v>
      </c>
      <c r="AK8" s="57">
        <f t="shared" si="58"/>
        <v>3.5109717868338559E-2</v>
      </c>
      <c r="AL8" s="959">
        <f t="shared" si="58"/>
        <v>6.3291139240506333E-2</v>
      </c>
      <c r="AM8" s="57">
        <f t="shared" si="58"/>
        <v>5.3591365835504279E-2</v>
      </c>
      <c r="AN8" s="57">
        <f t="shared" si="58"/>
        <v>5.1954602774274904E-2</v>
      </c>
      <c r="AO8" s="946">
        <f t="shared" si="58"/>
        <v>5.2615754660252555E-2</v>
      </c>
      <c r="AP8" s="57">
        <f t="shared" ref="AP8:AU8" si="60">AP7/AP4</f>
        <v>-1.5491866769945779E-3</v>
      </c>
      <c r="AQ8" s="57">
        <f t="shared" si="60"/>
        <v>5.8282208588957052E-2</v>
      </c>
      <c r="AR8" s="57">
        <f t="shared" si="60"/>
        <v>4.9079754601226995E-2</v>
      </c>
      <c r="AS8" s="959">
        <f t="shared" si="60"/>
        <v>8.3414161008729393E-2</v>
      </c>
      <c r="AT8" s="57">
        <f t="shared" si="60"/>
        <v>3.1838411502909961E-2</v>
      </c>
      <c r="AU8" s="57">
        <f t="shared" si="60"/>
        <v>6.914139982998016E-2</v>
      </c>
      <c r="AV8" s="946">
        <f t="shared" si="58"/>
        <v>5.2248062015503874E-2</v>
      </c>
      <c r="AW8" s="57">
        <f t="shared" si="58"/>
        <v>-3.1217481789802288E-3</v>
      </c>
      <c r="AX8" s="57">
        <f t="shared" si="58"/>
        <v>9.6706377014716183E-2</v>
      </c>
      <c r="AY8" s="57">
        <f t="shared" si="58"/>
        <v>4.9012435991221653E-2</v>
      </c>
      <c r="AZ8" s="959">
        <f t="shared" si="58"/>
        <v>8.1688848095456637E-2</v>
      </c>
      <c r="BA8" s="57">
        <f t="shared" si="58"/>
        <v>5.6532663316582916E-2</v>
      </c>
      <c r="BB8" s="57">
        <f t="shared" si="58"/>
        <v>6.9091934574168082E-2</v>
      </c>
      <c r="BC8" s="946">
        <f t="shared" ref="BC8:CQ8" si="61">BC7/BC4</f>
        <v>6.4037748567576672E-2</v>
      </c>
      <c r="BD8" s="57">
        <f t="shared" ref="BD8:BI8" si="62">BD7/BD4</f>
        <v>1.4895729890764648E-2</v>
      </c>
      <c r="BE8" s="57">
        <f t="shared" si="62"/>
        <v>8.0645161290322578E-2</v>
      </c>
      <c r="BF8" s="57">
        <f t="shared" si="62"/>
        <v>5.9656972408650262E-2</v>
      </c>
      <c r="BG8" s="959">
        <f t="shared" si="62"/>
        <v>9.4553376906318085E-2</v>
      </c>
      <c r="BH8" s="57">
        <f t="shared" si="62"/>
        <v>5.2720371151412905E-2</v>
      </c>
      <c r="BI8" s="57">
        <f t="shared" si="62"/>
        <v>8.1683168316831686E-2</v>
      </c>
      <c r="BJ8" s="946">
        <f t="shared" si="61"/>
        <v>7.0251373397702682E-2</v>
      </c>
      <c r="BK8" s="57">
        <f t="shared" ref="BK8:BP8" si="63">BK7/BK4</f>
        <v>4.409317803660566E-2</v>
      </c>
      <c r="BL8" s="57">
        <f t="shared" si="63"/>
        <v>8.7533156498673742E-2</v>
      </c>
      <c r="BM8" s="57">
        <f t="shared" si="63"/>
        <v>6.6666666666666666E-2</v>
      </c>
      <c r="BN8" s="959">
        <f t="shared" si="63"/>
        <v>8.8660578386605779E-2</v>
      </c>
      <c r="BO8" s="57">
        <f t="shared" si="63"/>
        <v>6.5152164594942136E-2</v>
      </c>
      <c r="BP8" s="57">
        <f t="shared" si="63"/>
        <v>8.1419091373149566E-2</v>
      </c>
      <c r="BQ8" s="946">
        <f t="shared" si="61"/>
        <v>7.5347944328907374E-2</v>
      </c>
      <c r="BR8" s="57">
        <f t="shared" si="61"/>
        <v>5.2676295666949875E-2</v>
      </c>
      <c r="BS8" s="57">
        <f t="shared" si="61"/>
        <v>8.5391672547635855E-2</v>
      </c>
      <c r="BT8" s="57">
        <f t="shared" si="61"/>
        <v>8.4899546338302004E-2</v>
      </c>
      <c r="BU8" s="959">
        <f t="shared" si="61"/>
        <v>9.3170320404721757E-2</v>
      </c>
      <c r="BV8" s="57">
        <f t="shared" si="61"/>
        <v>7.0547417116422512E-2</v>
      </c>
      <c r="BW8" s="57">
        <f t="shared" si="61"/>
        <v>8.9910600255427839E-2</v>
      </c>
      <c r="BX8" s="946">
        <f>BX7/BX4</f>
        <v>8.219388538946075E-2</v>
      </c>
      <c r="BY8" s="57">
        <f t="shared" ref="BY8" si="64">BY7/BY4</f>
        <v>7.1146245059288543E-2</v>
      </c>
      <c r="BZ8" s="57">
        <f t="shared" ref="BZ8" si="65">BZ7/BZ4</f>
        <v>8.4516565246788369E-2</v>
      </c>
      <c r="CA8" s="57">
        <f t="shared" ref="CA8" si="66">CA7/CA4</f>
        <v>9.3167701863354033E-2</v>
      </c>
      <c r="CB8" s="959">
        <f t="shared" ref="CB8" si="67">CB7/CB4</f>
        <v>0.102250296091591</v>
      </c>
      <c r="CC8" s="57">
        <f t="shared" ref="CC8" si="68">CC7/CC4</f>
        <v>7.8352769679300285E-2</v>
      </c>
      <c r="CD8" s="57">
        <f t="shared" ref="CD8" si="69">CD7/CD4</f>
        <v>9.8513011152416355E-2</v>
      </c>
      <c r="CE8" s="946">
        <f t="shared" si="61"/>
        <v>9.0664018161180471E-2</v>
      </c>
      <c r="CF8" s="57">
        <f t="shared" ref="CF8" si="70">CF7/CF4</f>
        <v>9.7622027534418024E-2</v>
      </c>
      <c r="CG8" s="57">
        <f t="shared" ref="CG8:CH8" si="71">CG7/CG4</f>
        <v>7.3934837092731825E-2</v>
      </c>
      <c r="CH8" s="57">
        <f t="shared" si="71"/>
        <v>9.7411444141689368E-2</v>
      </c>
      <c r="CI8" s="959">
        <f t="shared" ref="CI8" si="72">CI7/CI4</f>
        <v>0.11887850467289719</v>
      </c>
      <c r="CJ8" s="57">
        <f t="shared" ref="CJ8:CN8" si="73">CJ7/CJ4</f>
        <v>8.5785848465873518E-2</v>
      </c>
      <c r="CK8" s="57">
        <f t="shared" si="73"/>
        <v>0.11127202510258268</v>
      </c>
      <c r="CL8" s="946">
        <f t="shared" si="73"/>
        <v>0.10017718413520513</v>
      </c>
      <c r="CM8" s="57">
        <f t="shared" si="73"/>
        <v>4.8596851471594801E-2</v>
      </c>
      <c r="CN8" s="57">
        <f t="shared" si="73"/>
        <v>9.1907514450867048E-2</v>
      </c>
      <c r="CO8" s="57">
        <f t="shared" ref="CO8:CP8" si="74">CO7/CO4</f>
        <v>0.11282660332541568</v>
      </c>
      <c r="CP8" s="959">
        <f t="shared" si="74"/>
        <v>0.12981082844096542</v>
      </c>
      <c r="CQ8" s="57">
        <f t="shared" si="61"/>
        <v>7.2077718583516137E-2</v>
      </c>
      <c r="CR8" s="57">
        <f t="shared" ref="CR8" si="75">CR7/CR4</f>
        <v>0.12378947368421053</v>
      </c>
      <c r="CS8" s="946">
        <f t="shared" ref="CS8" si="76">CS7/CS4</f>
        <v>0.10300969651177433</v>
      </c>
      <c r="CT8" s="57">
        <f>CT7/CT4</f>
        <v>4.8750000000000002E-2</v>
      </c>
      <c r="CU8" s="57">
        <f t="shared" ref="CU8:CW8" si="77">CU7/CU4</f>
        <v>8.1700907787864305E-2</v>
      </c>
      <c r="CV8" s="57">
        <f t="shared" si="77"/>
        <v>0.12557427258805512</v>
      </c>
      <c r="CW8" s="959">
        <f t="shared" si="77"/>
        <v>0.12951807228915663</v>
      </c>
      <c r="CX8" s="57">
        <f t="shared" ref="CX8:CZ8" si="78">CX7/CX4</f>
        <v>6.7424857839155153E-2</v>
      </c>
      <c r="CY8" s="57">
        <f t="shared" si="78"/>
        <v>0.12805455578708089</v>
      </c>
      <c r="CZ8" s="946">
        <f t="shared" si="78"/>
        <v>0.10309852875613018</v>
      </c>
      <c r="DA8" s="57">
        <f>DA7/DA4</f>
        <v>4.0523690773067333E-2</v>
      </c>
      <c r="DB8" s="57">
        <f t="shared" ref="DB8" si="79">DB7/DB4</f>
        <v>8.4296724470134879E-2</v>
      </c>
      <c r="DC8" s="799">
        <f t="shared" ref="DC8:DF8" si="80">DC7/DC4</f>
        <v>0.125</v>
      </c>
      <c r="DD8" s="999">
        <f t="shared" si="80"/>
        <v>0.12841192399665705</v>
      </c>
      <c r="DE8" s="57">
        <f t="shared" si="80"/>
        <v>6.5217391304347824E-2</v>
      </c>
      <c r="DF8" s="799">
        <f t="shared" si="80"/>
        <v>0.12716385740021433</v>
      </c>
      <c r="DG8" s="972">
        <f t="shared" ref="DG8:EI8" si="81">DG7/DG4</f>
        <v>0.10283873673084876</v>
      </c>
      <c r="DH8" s="799">
        <f t="shared" si="81"/>
        <v>0.10703890010553846</v>
      </c>
      <c r="DI8" s="799">
        <f t="shared" si="81"/>
        <v>0.10757032141699382</v>
      </c>
      <c r="DJ8" s="799">
        <f t="shared" si="81"/>
        <v>0.10756792193363679</v>
      </c>
      <c r="DK8" s="999">
        <f t="shared" si="81"/>
        <v>0.10847688184832793</v>
      </c>
      <c r="DL8" s="799">
        <f t="shared" si="81"/>
        <v>0.10733856342683988</v>
      </c>
      <c r="DM8" s="799">
        <f t="shared" si="81"/>
        <v>0.10814403652582308</v>
      </c>
      <c r="DN8" s="972">
        <f t="shared" si="81"/>
        <v>0.10782745943585686</v>
      </c>
      <c r="DO8" s="799">
        <f t="shared" si="81"/>
        <v>0.11202781899896624</v>
      </c>
      <c r="DP8" s="799">
        <f t="shared" si="81"/>
        <v>0.11255884796261427</v>
      </c>
      <c r="DQ8" s="799">
        <f t="shared" si="81"/>
        <v>0.1125564479204141</v>
      </c>
      <c r="DR8" s="999">
        <f t="shared" si="81"/>
        <v>0.11346713631981485</v>
      </c>
      <c r="DS8" s="799">
        <f t="shared" si="81"/>
        <v>0.11232713363479145</v>
      </c>
      <c r="DT8" s="799">
        <f t="shared" si="81"/>
        <v>0.11313330471662808</v>
      </c>
      <c r="DU8" s="972">
        <f t="shared" si="81"/>
        <v>0.11281616856537247</v>
      </c>
      <c r="DV8" s="799">
        <f t="shared" si="81"/>
        <v>0.11403351419767278</v>
      </c>
      <c r="DW8" s="799">
        <f t="shared" si="81"/>
        <v>0.11509474405472483</v>
      </c>
      <c r="DX8" s="799">
        <f t="shared" si="81"/>
        <v>0.11508994305478623</v>
      </c>
      <c r="DY8" s="999">
        <f t="shared" si="81"/>
        <v>0.11691471220374307</v>
      </c>
      <c r="DZ8" s="799">
        <f t="shared" si="81"/>
        <v>0.11463142219900606</v>
      </c>
      <c r="EA8" s="799">
        <f t="shared" si="81"/>
        <v>0.11624509581682166</v>
      </c>
      <c r="EB8" s="972">
        <f t="shared" si="81"/>
        <v>0.11560972914395035</v>
      </c>
      <c r="EC8" s="799">
        <f t="shared" si="81"/>
        <v>0.11401142964126988</v>
      </c>
      <c r="ED8" s="799">
        <f t="shared" si="81"/>
        <v>0.11507178818928665</v>
      </c>
      <c r="EE8" s="799">
        <f t="shared" si="81"/>
        <v>0.11506698647611187</v>
      </c>
      <c r="EF8" s="999">
        <f t="shared" si="81"/>
        <v>0.11689508284737565</v>
      </c>
      <c r="EG8" s="799">
        <f t="shared" si="81"/>
        <v>0.11460859259081518</v>
      </c>
      <c r="EH8" s="799">
        <f t="shared" si="81"/>
        <v>0.1162235329380551</v>
      </c>
      <c r="EI8" s="972">
        <f t="shared" si="81"/>
        <v>0.1155870958208112</v>
      </c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</row>
    <row r="9" spans="1:187" ht="10.5" customHeight="1">
      <c r="A9" s="32"/>
      <c r="B9" s="166"/>
      <c r="C9" s="166"/>
      <c r="D9" s="166"/>
      <c r="E9" s="770"/>
      <c r="F9" s="770"/>
      <c r="G9" s="54"/>
      <c r="H9" s="54"/>
      <c r="I9" s="54"/>
      <c r="J9" s="54"/>
      <c r="K9" s="54"/>
      <c r="L9" s="54"/>
      <c r="M9" s="54"/>
      <c r="N9" s="54"/>
      <c r="O9" s="54"/>
      <c r="P9" s="54"/>
      <c r="Q9" s="684"/>
      <c r="R9" s="54"/>
      <c r="S9" s="54"/>
      <c r="T9" s="555"/>
      <c r="U9" s="54"/>
      <c r="V9" s="54"/>
      <c r="W9" s="54"/>
      <c r="X9" s="684"/>
      <c r="Y9" s="54"/>
      <c r="Z9" s="54"/>
      <c r="AA9" s="555"/>
      <c r="AB9" s="54"/>
      <c r="AC9" s="54"/>
      <c r="AD9" s="54"/>
      <c r="AE9" s="684"/>
      <c r="AF9" s="54"/>
      <c r="AG9" s="54"/>
      <c r="AH9" s="555"/>
      <c r="AI9" s="54"/>
      <c r="AJ9" s="54"/>
      <c r="AK9" s="54"/>
      <c r="AL9" s="684"/>
      <c r="AM9" s="54"/>
      <c r="AN9" s="54"/>
      <c r="AO9" s="555"/>
      <c r="AP9" s="54"/>
      <c r="AQ9" s="54"/>
      <c r="AR9" s="54"/>
      <c r="AS9" s="684"/>
      <c r="AT9" s="54"/>
      <c r="AU9" s="54"/>
      <c r="AV9" s="555"/>
      <c r="AW9" s="54"/>
      <c r="AX9" s="54"/>
      <c r="AY9" s="54"/>
      <c r="AZ9" s="684"/>
      <c r="BA9" s="54"/>
      <c r="BB9" s="54"/>
      <c r="BC9" s="555"/>
      <c r="BD9" s="54"/>
      <c r="BE9" s="54"/>
      <c r="BF9" s="54"/>
      <c r="BG9" s="684"/>
      <c r="BH9" s="54"/>
      <c r="BI9" s="54"/>
      <c r="BJ9" s="555"/>
      <c r="BK9" s="54"/>
      <c r="BL9" s="54"/>
      <c r="BM9" s="54"/>
      <c r="BN9" s="684"/>
      <c r="BO9" s="54"/>
      <c r="BP9" s="54"/>
      <c r="BQ9" s="555"/>
      <c r="BR9" s="54"/>
      <c r="BS9" s="54"/>
      <c r="BT9" s="54"/>
      <c r="BU9" s="684"/>
      <c r="BV9" s="54"/>
      <c r="BW9" s="54"/>
      <c r="BX9" s="555"/>
      <c r="BY9" s="54"/>
      <c r="BZ9" s="54"/>
      <c r="CA9" s="54"/>
      <c r="CB9" s="684"/>
      <c r="CC9" s="54"/>
      <c r="CD9" s="54"/>
      <c r="CE9" s="555"/>
      <c r="CF9" s="54"/>
      <c r="CG9" s="54"/>
      <c r="CH9" s="54"/>
      <c r="CI9" s="684"/>
      <c r="CJ9" s="54"/>
      <c r="CK9" s="54"/>
      <c r="CL9" s="555"/>
      <c r="CM9" s="54"/>
      <c r="CN9" s="54"/>
      <c r="CO9" s="54"/>
      <c r="CP9" s="684"/>
      <c r="CQ9" s="54"/>
      <c r="CR9" s="54"/>
      <c r="CS9" s="555"/>
      <c r="CT9" s="54"/>
      <c r="CU9" s="54"/>
      <c r="CV9" s="54"/>
      <c r="CW9" s="684"/>
      <c r="CX9" s="54"/>
      <c r="CY9" s="54"/>
      <c r="CZ9" s="555"/>
      <c r="DA9" s="54"/>
      <c r="DB9" s="54"/>
      <c r="DC9" s="54"/>
      <c r="DD9" s="684"/>
      <c r="DE9" s="54"/>
      <c r="DF9" s="54"/>
      <c r="DG9" s="555"/>
      <c r="DH9" s="54"/>
      <c r="DI9" s="54"/>
      <c r="DJ9" s="54"/>
      <c r="DK9" s="684"/>
      <c r="DL9" s="54"/>
      <c r="DM9" s="54"/>
      <c r="DN9" s="555"/>
      <c r="DO9" s="54"/>
      <c r="DP9" s="54"/>
      <c r="DQ9" s="54"/>
      <c r="DR9" s="684"/>
      <c r="DS9" s="54"/>
      <c r="DT9" s="54"/>
      <c r="DU9" s="555"/>
      <c r="DV9" s="54"/>
      <c r="DW9" s="54"/>
      <c r="DX9" s="54"/>
      <c r="DY9" s="684"/>
      <c r="DZ9" s="54"/>
      <c r="EA9" s="54"/>
      <c r="EB9" s="555"/>
      <c r="EC9" s="54"/>
      <c r="ED9" s="54"/>
      <c r="EE9" s="54"/>
      <c r="EF9" s="684"/>
      <c r="EG9" s="54"/>
      <c r="EH9" s="54"/>
      <c r="EI9" s="555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</row>
    <row r="10" spans="1:187" ht="10.5" customHeight="1">
      <c r="A10" s="27" t="s">
        <v>333</v>
      </c>
      <c r="B10" s="166"/>
      <c r="C10" s="166"/>
      <c r="D10" s="166"/>
      <c r="E10" s="770"/>
      <c r="F10" s="770"/>
      <c r="G10" s="54"/>
      <c r="H10" s="54"/>
      <c r="I10" s="54"/>
      <c r="J10" s="54"/>
      <c r="K10" s="54"/>
      <c r="L10" s="54"/>
      <c r="M10" s="162">
        <v>-100</v>
      </c>
      <c r="N10" s="162">
        <f t="shared" ref="N10:S10" si="82">N11-N7</f>
        <v>0</v>
      </c>
      <c r="O10" s="162">
        <f t="shared" si="82"/>
        <v>0</v>
      </c>
      <c r="P10" s="162">
        <f t="shared" si="82"/>
        <v>0</v>
      </c>
      <c r="Q10" s="1340">
        <f t="shared" si="82"/>
        <v>0</v>
      </c>
      <c r="R10" s="162">
        <f t="shared" si="82"/>
        <v>0</v>
      </c>
      <c r="S10" s="162">
        <f t="shared" si="82"/>
        <v>0</v>
      </c>
      <c r="T10" s="1341">
        <v>0</v>
      </c>
      <c r="U10" s="162">
        <f t="shared" ref="U10:Z10" si="83">U11-U7</f>
        <v>0</v>
      </c>
      <c r="V10" s="162">
        <f t="shared" si="83"/>
        <v>0</v>
      </c>
      <c r="W10" s="162">
        <f t="shared" si="83"/>
        <v>0</v>
      </c>
      <c r="X10" s="1340">
        <f t="shared" si="83"/>
        <v>0</v>
      </c>
      <c r="Y10" s="162">
        <f t="shared" si="83"/>
        <v>0</v>
      </c>
      <c r="Z10" s="162">
        <f t="shared" si="83"/>
        <v>0</v>
      </c>
      <c r="AA10" s="1341">
        <v>0</v>
      </c>
      <c r="AB10" s="162">
        <f t="shared" ref="AB10:AG10" si="84">AB11-AB7</f>
        <v>0</v>
      </c>
      <c r="AC10" s="162">
        <f t="shared" si="84"/>
        <v>0</v>
      </c>
      <c r="AD10" s="162">
        <f t="shared" si="84"/>
        <v>0</v>
      </c>
      <c r="AE10" s="1340">
        <f t="shared" si="84"/>
        <v>0</v>
      </c>
      <c r="AF10" s="162">
        <f t="shared" si="84"/>
        <v>0</v>
      </c>
      <c r="AG10" s="162">
        <f t="shared" si="84"/>
        <v>0</v>
      </c>
      <c r="AH10" s="1341">
        <v>0</v>
      </c>
      <c r="AI10" s="162">
        <f t="shared" ref="AI10:AN10" si="85">AI11-AI7</f>
        <v>0</v>
      </c>
      <c r="AJ10" s="162">
        <f t="shared" si="85"/>
        <v>0</v>
      </c>
      <c r="AK10" s="162">
        <f t="shared" si="85"/>
        <v>0</v>
      </c>
      <c r="AL10" s="1340">
        <f t="shared" si="85"/>
        <v>-42</v>
      </c>
      <c r="AM10" s="162">
        <f t="shared" si="85"/>
        <v>0</v>
      </c>
      <c r="AN10" s="162">
        <f t="shared" si="85"/>
        <v>-42</v>
      </c>
      <c r="AO10" s="1341">
        <f t="shared" ref="AO10:CE10" si="86">AO11-AO7</f>
        <v>-42</v>
      </c>
      <c r="AP10" s="162">
        <f t="shared" ref="AP10:AU10" si="87">AP11-AP7</f>
        <v>0</v>
      </c>
      <c r="AQ10" s="162">
        <f t="shared" si="87"/>
        <v>0</v>
      </c>
      <c r="AR10" s="162">
        <f t="shared" si="87"/>
        <v>0</v>
      </c>
      <c r="AS10" s="1340">
        <f t="shared" si="87"/>
        <v>0</v>
      </c>
      <c r="AT10" s="162">
        <f t="shared" si="87"/>
        <v>0</v>
      </c>
      <c r="AU10" s="162">
        <f t="shared" si="87"/>
        <v>0</v>
      </c>
      <c r="AV10" s="1341">
        <f t="shared" si="86"/>
        <v>0</v>
      </c>
      <c r="AW10" s="162">
        <f t="shared" si="86"/>
        <v>-7</v>
      </c>
      <c r="AX10" s="162">
        <f t="shared" si="86"/>
        <v>-14</v>
      </c>
      <c r="AY10" s="162">
        <f t="shared" si="86"/>
        <v>-2</v>
      </c>
      <c r="AZ10" s="1340">
        <f t="shared" si="86"/>
        <v>9</v>
      </c>
      <c r="BA10" s="162">
        <f t="shared" si="86"/>
        <v>-21</v>
      </c>
      <c r="BB10" s="162">
        <f t="shared" si="86"/>
        <v>7</v>
      </c>
      <c r="BC10" s="1341">
        <f t="shared" si="86"/>
        <v>-14</v>
      </c>
      <c r="BD10" s="162">
        <f t="shared" ref="BD10:BI10" si="88">BD11-BD7</f>
        <v>-6</v>
      </c>
      <c r="BE10" s="162">
        <f t="shared" si="88"/>
        <v>5</v>
      </c>
      <c r="BF10" s="162">
        <f t="shared" si="88"/>
        <v>-1</v>
      </c>
      <c r="BG10" s="1340">
        <f t="shared" si="88"/>
        <v>-6</v>
      </c>
      <c r="BH10" s="162">
        <f t="shared" si="88"/>
        <v>-1</v>
      </c>
      <c r="BI10" s="162">
        <f t="shared" si="88"/>
        <v>-7</v>
      </c>
      <c r="BJ10" s="1341">
        <f t="shared" si="86"/>
        <v>-8</v>
      </c>
      <c r="BK10" s="162">
        <f t="shared" ref="BK10:BP10" si="89">BK11-BK7</f>
        <v>-106</v>
      </c>
      <c r="BL10" s="162">
        <f t="shared" si="89"/>
        <v>0</v>
      </c>
      <c r="BM10" s="162">
        <f t="shared" si="89"/>
        <v>0</v>
      </c>
      <c r="BN10" s="1340">
        <f t="shared" si="89"/>
        <v>90</v>
      </c>
      <c r="BO10" s="162">
        <f t="shared" si="89"/>
        <v>-106</v>
      </c>
      <c r="BP10" s="162">
        <f t="shared" si="89"/>
        <v>90</v>
      </c>
      <c r="BQ10" s="1341">
        <f t="shared" si="86"/>
        <v>-16</v>
      </c>
      <c r="BR10" s="162">
        <f t="shared" ref="BR10:BW10" si="90">BR11-BR7</f>
        <v>0</v>
      </c>
      <c r="BS10" s="162">
        <f t="shared" si="90"/>
        <v>0</v>
      </c>
      <c r="BT10" s="162">
        <f t="shared" si="90"/>
        <v>-2</v>
      </c>
      <c r="BU10" s="1340">
        <f t="shared" si="90"/>
        <v>2</v>
      </c>
      <c r="BV10" s="162">
        <f t="shared" si="90"/>
        <v>0</v>
      </c>
      <c r="BW10" s="162">
        <f t="shared" si="90"/>
        <v>0</v>
      </c>
      <c r="BX10" s="1341">
        <f t="shared" si="86"/>
        <v>0</v>
      </c>
      <c r="BY10" s="162">
        <f t="shared" ref="BY10" si="91">BY11-BY7</f>
        <v>0</v>
      </c>
      <c r="BZ10" s="162">
        <f t="shared" ref="BZ10" si="92">BZ11-BZ7</f>
        <v>0</v>
      </c>
      <c r="CA10" s="162">
        <f t="shared" ref="CA10" si="93">CA11-CA7</f>
        <v>0</v>
      </c>
      <c r="CB10" s="1340">
        <f t="shared" ref="CB10" si="94">CB11-CB7</f>
        <v>0</v>
      </c>
      <c r="CC10" s="162">
        <f t="shared" ref="CC10" si="95">CC11-CC7</f>
        <v>0</v>
      </c>
      <c r="CD10" s="162">
        <f t="shared" ref="CD10" si="96">CD11-CD7</f>
        <v>0</v>
      </c>
      <c r="CE10" s="1341">
        <f t="shared" si="86"/>
        <v>0</v>
      </c>
      <c r="CF10" s="162">
        <f t="shared" ref="CF10:CL10" si="97">CF11-CF7</f>
        <v>0</v>
      </c>
      <c r="CG10" s="162">
        <f t="shared" si="97"/>
        <v>-7</v>
      </c>
      <c r="CH10" s="162">
        <f t="shared" si="97"/>
        <v>0</v>
      </c>
      <c r="CI10" s="1340">
        <f t="shared" si="97"/>
        <v>-11</v>
      </c>
      <c r="CJ10" s="162">
        <f t="shared" si="97"/>
        <v>-7</v>
      </c>
      <c r="CK10" s="162">
        <f t="shared" si="97"/>
        <v>-11</v>
      </c>
      <c r="CL10" s="1341">
        <f t="shared" si="97"/>
        <v>-18</v>
      </c>
      <c r="CM10" s="162">
        <f t="shared" ref="CM10:CN10" si="98">CM11-CM7</f>
        <v>0</v>
      </c>
      <c r="CN10" s="162">
        <f t="shared" si="98"/>
        <v>0</v>
      </c>
      <c r="CO10" s="162">
        <f t="shared" ref="CO10:CP10" si="99">CO11-CO7</f>
        <v>0</v>
      </c>
      <c r="CP10" s="1340">
        <f t="shared" si="99"/>
        <v>0</v>
      </c>
      <c r="CQ10" s="162">
        <f t="shared" ref="CQ10:CS10" si="100">CQ11-CQ7</f>
        <v>0</v>
      </c>
      <c r="CR10" s="162">
        <f t="shared" ref="CR10" si="101">CR11-CR7</f>
        <v>0</v>
      </c>
      <c r="CS10" s="1341">
        <f t="shared" si="100"/>
        <v>0</v>
      </c>
      <c r="CT10" s="162">
        <f t="shared" ref="CT10:CU10" si="102">CT11-CT7</f>
        <v>0</v>
      </c>
      <c r="CU10" s="162">
        <f t="shared" si="102"/>
        <v>0</v>
      </c>
      <c r="CV10" s="1833">
        <v>0</v>
      </c>
      <c r="CW10" s="1340">
        <f t="shared" ref="CW10" si="103">CW11-CW7</f>
        <v>28</v>
      </c>
      <c r="CX10" s="162">
        <f t="shared" ref="CX10:CY10" si="104">CX11-CX7</f>
        <v>0</v>
      </c>
      <c r="CY10" s="162">
        <f t="shared" si="104"/>
        <v>28</v>
      </c>
      <c r="CZ10" s="1341">
        <f t="shared" ref="CZ10:DB10" si="105">CZ11-CZ7</f>
        <v>28</v>
      </c>
      <c r="DA10" s="162">
        <f t="shared" si="105"/>
        <v>0</v>
      </c>
      <c r="DB10" s="162">
        <f t="shared" si="105"/>
        <v>0</v>
      </c>
      <c r="DC10" s="1001">
        <v>0</v>
      </c>
      <c r="DD10" s="1004">
        <f>DF10-DC10</f>
        <v>0</v>
      </c>
      <c r="DE10" s="162">
        <f t="shared" ref="DE10" si="106">DE11-DE7</f>
        <v>0</v>
      </c>
      <c r="DF10" s="1000">
        <f>DG10-DE10</f>
        <v>0</v>
      </c>
      <c r="DG10" s="1002">
        <v>0</v>
      </c>
      <c r="DH10" s="1001">
        <v>0</v>
      </c>
      <c r="DI10" s="1000">
        <f>DL10-DH10</f>
        <v>0</v>
      </c>
      <c r="DJ10" s="1001">
        <v>0</v>
      </c>
      <c r="DK10" s="1004">
        <f>DM10-DJ10</f>
        <v>0</v>
      </c>
      <c r="DL10" s="1001">
        <v>0</v>
      </c>
      <c r="DM10" s="1000">
        <f>DN10-DL10</f>
        <v>0</v>
      </c>
      <c r="DN10" s="1002">
        <v>0</v>
      </c>
      <c r="DO10" s="1001">
        <v>0</v>
      </c>
      <c r="DP10" s="1000">
        <f>DS10-DO10</f>
        <v>0</v>
      </c>
      <c r="DQ10" s="1001">
        <v>0</v>
      </c>
      <c r="DR10" s="1004">
        <f>DT10-DQ10</f>
        <v>0</v>
      </c>
      <c r="DS10" s="1001">
        <v>0</v>
      </c>
      <c r="DT10" s="1000">
        <f>DU10-DS10</f>
        <v>0</v>
      </c>
      <c r="DU10" s="1002">
        <v>0</v>
      </c>
      <c r="DV10" s="1001">
        <v>0</v>
      </c>
      <c r="DW10" s="1000">
        <f>DZ10-DV10</f>
        <v>0</v>
      </c>
      <c r="DX10" s="1001">
        <v>0</v>
      </c>
      <c r="DY10" s="1004">
        <f>EA10-DX10</f>
        <v>0</v>
      </c>
      <c r="DZ10" s="1001">
        <v>0</v>
      </c>
      <c r="EA10" s="1000">
        <f>EB10-DZ10</f>
        <v>0</v>
      </c>
      <c r="EB10" s="1002">
        <v>0</v>
      </c>
      <c r="EC10" s="1001">
        <v>0</v>
      </c>
      <c r="ED10" s="1000">
        <f>EG10-EC10</f>
        <v>0</v>
      </c>
      <c r="EE10" s="1001">
        <v>0</v>
      </c>
      <c r="EF10" s="1004">
        <f>EH10-EE10</f>
        <v>0</v>
      </c>
      <c r="EG10" s="1001">
        <v>0</v>
      </c>
      <c r="EH10" s="1000">
        <f>EI10-EG10</f>
        <v>0</v>
      </c>
      <c r="EI10" s="1002">
        <v>0</v>
      </c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</row>
    <row r="11" spans="1:187" ht="10.5" customHeight="1">
      <c r="A11" s="48" t="s">
        <v>332</v>
      </c>
      <c r="B11" s="58">
        <v>87</v>
      </c>
      <c r="C11" s="58">
        <v>148</v>
      </c>
      <c r="D11" s="58">
        <f>Divisional!D52</f>
        <v>151.89999999999998</v>
      </c>
      <c r="E11" s="58">
        <f>Divisional!E52</f>
        <v>201</v>
      </c>
      <c r="F11" s="58">
        <f>Divisional!F52</f>
        <v>212</v>
      </c>
      <c r="G11" s="58">
        <f>Divisional!G52</f>
        <v>257</v>
      </c>
      <c r="H11" s="58">
        <f>Divisional!H52</f>
        <v>211</v>
      </c>
      <c r="I11" s="58">
        <f>Divisional!I52</f>
        <v>293</v>
      </c>
      <c r="J11" s="58">
        <f>Divisional!J52</f>
        <v>263</v>
      </c>
      <c r="K11" s="58">
        <f>Divisional!K52</f>
        <v>183</v>
      </c>
      <c r="L11" s="58">
        <f>Divisional!L52</f>
        <v>259</v>
      </c>
      <c r="M11" s="58">
        <f>Divisional!M52</f>
        <v>311</v>
      </c>
      <c r="N11" s="58">
        <f>Divisional!N52</f>
        <v>20</v>
      </c>
      <c r="O11" s="58">
        <f>Divisional!O52</f>
        <v>108</v>
      </c>
      <c r="P11" s="58">
        <f>Divisional!P52</f>
        <v>89</v>
      </c>
      <c r="Q11" s="1288">
        <f>Divisional!Q52</f>
        <v>180</v>
      </c>
      <c r="R11" s="58">
        <f>Divisional!R52</f>
        <v>128</v>
      </c>
      <c r="S11" s="58">
        <f>Divisional!S52</f>
        <v>269</v>
      </c>
      <c r="T11" s="1282">
        <f>Divisional!T52</f>
        <v>397</v>
      </c>
      <c r="U11" s="58">
        <f>Divisional!U52</f>
        <v>58</v>
      </c>
      <c r="V11" s="58">
        <f>Divisional!V52</f>
        <v>92</v>
      </c>
      <c r="W11" s="58">
        <f>Divisional!W52</f>
        <v>91</v>
      </c>
      <c r="X11" s="1288">
        <f>Divisional!X52</f>
        <v>172</v>
      </c>
      <c r="Y11" s="58">
        <f>Divisional!Y52</f>
        <v>150</v>
      </c>
      <c r="Z11" s="58">
        <f>Divisional!Z52</f>
        <v>263</v>
      </c>
      <c r="AA11" s="1282">
        <f>Divisional!AA52</f>
        <v>413</v>
      </c>
      <c r="AB11" s="58">
        <f>Divisional!AB52</f>
        <v>52</v>
      </c>
      <c r="AC11" s="58">
        <f>Divisional!AC52</f>
        <v>110</v>
      </c>
      <c r="AD11" s="58">
        <f>Divisional!AD52</f>
        <v>79</v>
      </c>
      <c r="AE11" s="1288">
        <f>Divisional!AE52</f>
        <v>186</v>
      </c>
      <c r="AF11" s="58">
        <f>Divisional!AF52</f>
        <v>162</v>
      </c>
      <c r="AG11" s="58">
        <f>Divisional!AG52</f>
        <v>265</v>
      </c>
      <c r="AH11" s="1282">
        <f>Divisional!AH52</f>
        <v>427</v>
      </c>
      <c r="AI11" s="58">
        <f>Divisional!AI52</f>
        <v>33</v>
      </c>
      <c r="AJ11" s="58">
        <f>Divisional!AJ52</f>
        <v>111</v>
      </c>
      <c r="AK11" s="58">
        <f>Divisional!AK52</f>
        <v>56</v>
      </c>
      <c r="AL11" s="1288">
        <f>Divisional!AL52</f>
        <v>108</v>
      </c>
      <c r="AM11" s="58">
        <f>Divisional!AM52</f>
        <v>144</v>
      </c>
      <c r="AN11" s="58">
        <f>Divisional!AN52</f>
        <v>164</v>
      </c>
      <c r="AO11" s="1282">
        <f>Divisional!AO52</f>
        <v>308</v>
      </c>
      <c r="AP11" s="58">
        <f>Divisional!AP52</f>
        <v>-2</v>
      </c>
      <c r="AQ11" s="58">
        <f>Divisional!AQ52</f>
        <v>95</v>
      </c>
      <c r="AR11" s="58">
        <f>Divisional!AR52</f>
        <v>72</v>
      </c>
      <c r="AS11" s="1288">
        <f>Divisional!AS52</f>
        <v>172</v>
      </c>
      <c r="AT11" s="58">
        <f>Divisional!AT52</f>
        <v>93</v>
      </c>
      <c r="AU11" s="58">
        <f>Divisional!AU52</f>
        <v>244</v>
      </c>
      <c r="AV11" s="1282">
        <f>Divisional!AV52</f>
        <v>337</v>
      </c>
      <c r="AW11" s="58">
        <f>Divisional!BD52</f>
        <v>-10</v>
      </c>
      <c r="AX11" s="58">
        <f>Divisional!BE52</f>
        <v>124</v>
      </c>
      <c r="AY11" s="58">
        <f>Divisional!BF52</f>
        <v>65</v>
      </c>
      <c r="AZ11" s="1288">
        <f>Divisional!BG52</f>
        <v>187</v>
      </c>
      <c r="BA11" s="58">
        <f>Divisional!BH52</f>
        <v>114</v>
      </c>
      <c r="BB11" s="58">
        <f>Divisional!BI52</f>
        <v>252</v>
      </c>
      <c r="BC11" s="1282">
        <f>Divisional!BJ52</f>
        <v>366</v>
      </c>
      <c r="BD11" s="58">
        <f>Divisional!BK52</f>
        <v>9</v>
      </c>
      <c r="BE11" s="58">
        <f>Divisional!BL52</f>
        <v>115</v>
      </c>
      <c r="BF11" s="58">
        <f>Divisional!BM52</f>
        <v>79</v>
      </c>
      <c r="BG11" s="1288">
        <f>Divisional!BN52</f>
        <v>211</v>
      </c>
      <c r="BH11" s="58">
        <f>Divisional!BO52</f>
        <v>124</v>
      </c>
      <c r="BI11" s="58">
        <f>Divisional!BP52</f>
        <v>290</v>
      </c>
      <c r="BJ11" s="1282">
        <f>Divisional!BQ52</f>
        <v>414</v>
      </c>
      <c r="BK11" s="58">
        <f>Divisional!BY52</f>
        <v>-53</v>
      </c>
      <c r="BL11" s="58">
        <f>Divisional!BZ52</f>
        <v>99</v>
      </c>
      <c r="BM11" s="58">
        <f>Divisional!CA52</f>
        <v>86</v>
      </c>
      <c r="BN11" s="1288">
        <f>Divisional!CB52</f>
        <v>323</v>
      </c>
      <c r="BO11" s="58">
        <f>Divisional!CC52</f>
        <v>46</v>
      </c>
      <c r="BP11" s="58">
        <f>Divisional!CD52</f>
        <v>409</v>
      </c>
      <c r="BQ11" s="1282">
        <f>Divisional!CE52</f>
        <v>455</v>
      </c>
      <c r="BR11" s="58">
        <f>Divisional!CF52</f>
        <v>62</v>
      </c>
      <c r="BS11" s="58">
        <f>Divisional!CG52</f>
        <v>121</v>
      </c>
      <c r="BT11" s="58">
        <f>Divisional!CH52</f>
        <v>129</v>
      </c>
      <c r="BU11" s="1288">
        <f>Divisional!CI52</f>
        <v>223</v>
      </c>
      <c r="BV11" s="58">
        <f>Divisional!CJ52</f>
        <v>183</v>
      </c>
      <c r="BW11" s="58">
        <f>Divisional!CK52</f>
        <v>352</v>
      </c>
      <c r="BX11" s="1282">
        <f>Divisional!CL52</f>
        <v>535</v>
      </c>
      <c r="BY11" s="58">
        <f>Divisional!CM52</f>
        <v>90</v>
      </c>
      <c r="BZ11" s="58">
        <f>Divisional!CN52</f>
        <v>125</v>
      </c>
      <c r="CA11" s="58">
        <f>Divisional!CO52</f>
        <v>165</v>
      </c>
      <c r="CB11" s="1288">
        <f>Divisional!CP52</f>
        <v>259</v>
      </c>
      <c r="CC11" s="58">
        <f>Divisional!CQ52</f>
        <v>215</v>
      </c>
      <c r="CD11" s="58">
        <f>Divisional!CR52</f>
        <v>424</v>
      </c>
      <c r="CE11" s="1282">
        <f>Divisional!CS52</f>
        <v>639</v>
      </c>
      <c r="CF11" s="58">
        <f>Divisional!CT52</f>
        <v>156</v>
      </c>
      <c r="CG11" s="58">
        <f>Divisional!CU52</f>
        <v>111</v>
      </c>
      <c r="CH11" s="58">
        <f>Divisional!CV52</f>
        <v>143</v>
      </c>
      <c r="CI11" s="1288">
        <f>Divisional!CW52</f>
        <v>307</v>
      </c>
      <c r="CJ11" s="58">
        <f>Divisional!CX52</f>
        <v>267</v>
      </c>
      <c r="CK11" s="58">
        <f>Divisional!CY52</f>
        <v>450</v>
      </c>
      <c r="CL11" s="1282">
        <f>Divisional!CZ52</f>
        <v>717</v>
      </c>
      <c r="CM11" s="58">
        <f>Divisional!DA52</f>
        <v>71</v>
      </c>
      <c r="CN11" s="58">
        <f>Divisional!DB52</f>
        <v>159</v>
      </c>
      <c r="CO11" s="58">
        <f>Divisional!DC52</f>
        <v>190</v>
      </c>
      <c r="CP11" s="1288">
        <f>Divisional!DD52</f>
        <v>398</v>
      </c>
      <c r="CQ11" s="58">
        <f>Divisional!DE52</f>
        <v>230</v>
      </c>
      <c r="CR11" s="58">
        <f>Divisional!DF52</f>
        <v>588</v>
      </c>
      <c r="CS11" s="1282">
        <f>Divisional!DG52</f>
        <v>818</v>
      </c>
      <c r="CT11" s="58">
        <f>Divisional!DH52</f>
        <v>78</v>
      </c>
      <c r="CU11" s="58">
        <f>Divisional!DI52</f>
        <v>171</v>
      </c>
      <c r="CV11" s="58">
        <f>Divisional!DJ52</f>
        <v>246</v>
      </c>
      <c r="CW11" s="1288">
        <f>Divisional!DK52</f>
        <v>458</v>
      </c>
      <c r="CX11" s="58">
        <f>Divisional!DL52</f>
        <v>249</v>
      </c>
      <c r="CY11" s="58">
        <f>Divisional!DM52</f>
        <v>704</v>
      </c>
      <c r="CZ11" s="1282">
        <f>Divisional!DN52</f>
        <v>953</v>
      </c>
      <c r="DA11" s="58">
        <f>Divisional!DO52</f>
        <v>65</v>
      </c>
      <c r="DB11" s="58">
        <f>Divisional!DP52</f>
        <v>175</v>
      </c>
      <c r="DC11" s="984">
        <f t="shared" ref="DC11:DK11" si="107">DC7+DC10</f>
        <v>260.24090624999997</v>
      </c>
      <c r="DD11" s="1005">
        <f t="shared" si="107"/>
        <v>463.51285143000007</v>
      </c>
      <c r="DE11" s="58">
        <f>Divisional!DS52</f>
        <v>240</v>
      </c>
      <c r="DF11" s="984">
        <f t="shared" si="107"/>
        <v>723.75375768000004</v>
      </c>
      <c r="DG11" s="973">
        <f t="shared" si="107"/>
        <v>963.75375768000004</v>
      </c>
      <c r="DH11" s="984">
        <f t="shared" si="107"/>
        <v>179.59914215999999</v>
      </c>
      <c r="DI11" s="984">
        <f t="shared" si="107"/>
        <v>233.37480023999996</v>
      </c>
      <c r="DJ11" s="984">
        <f t="shared" si="107"/>
        <v>234.036926532</v>
      </c>
      <c r="DK11" s="1005">
        <f t="shared" si="107"/>
        <v>408.51237555590416</v>
      </c>
      <c r="DL11" s="984">
        <f t="shared" ref="DL11:EI11" si="108">DL7+DL10</f>
        <v>412.97394239999994</v>
      </c>
      <c r="DM11" s="984">
        <f t="shared" si="108"/>
        <v>642.54930208790415</v>
      </c>
      <c r="DN11" s="973">
        <f t="shared" si="108"/>
        <v>1055.5232444879041</v>
      </c>
      <c r="DO11" s="984">
        <f t="shared" si="108"/>
        <v>196.63263785577601</v>
      </c>
      <c r="DP11" s="984">
        <f t="shared" si="108"/>
        <v>255.20220849686402</v>
      </c>
      <c r="DQ11" s="984">
        <f t="shared" si="108"/>
        <v>255.92764302754023</v>
      </c>
      <c r="DR11" s="1005">
        <f t="shared" si="108"/>
        <v>445.81787531029966</v>
      </c>
      <c r="DS11" s="984">
        <f t="shared" si="108"/>
        <v>451.83484635264006</v>
      </c>
      <c r="DT11" s="984">
        <f t="shared" si="108"/>
        <v>701.74551833783983</v>
      </c>
      <c r="DU11" s="973">
        <f t="shared" si="108"/>
        <v>1153.5803646904799</v>
      </c>
      <c r="DV11" s="984">
        <f t="shared" si="108"/>
        <v>209.38143385857325</v>
      </c>
      <c r="DW11" s="984">
        <f t="shared" si="108"/>
        <v>272.71732658450844</v>
      </c>
      <c r="DX11" s="984">
        <f t="shared" si="108"/>
        <v>273.48817836678359</v>
      </c>
      <c r="DY11" s="1005">
        <f t="shared" si="108"/>
        <v>479.27380823613396</v>
      </c>
      <c r="DZ11" s="984">
        <f t="shared" si="108"/>
        <v>482.09876044308174</v>
      </c>
      <c r="EA11" s="984">
        <f t="shared" si="108"/>
        <v>752.76198660291766</v>
      </c>
      <c r="EB11" s="973">
        <f t="shared" si="108"/>
        <v>1234.8607470459992</v>
      </c>
      <c r="EC11" s="984">
        <f t="shared" si="108"/>
        <v>218.99732346117963</v>
      </c>
      <c r="ED11" s="984">
        <f t="shared" si="108"/>
        <v>284.96249728460259</v>
      </c>
      <c r="EE11" s="984">
        <f t="shared" si="108"/>
        <v>285.76921686708766</v>
      </c>
      <c r="EF11" s="1005">
        <f t="shared" si="108"/>
        <v>499.97206307760376</v>
      </c>
      <c r="EG11" s="984">
        <f t="shared" si="108"/>
        <v>503.95982074578228</v>
      </c>
      <c r="EH11" s="984">
        <f t="shared" si="108"/>
        <v>785.74127994469143</v>
      </c>
      <c r="EI11" s="973">
        <f t="shared" si="108"/>
        <v>1289.7011006904736</v>
      </c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</row>
    <row r="12" spans="1:187" ht="10.5" customHeight="1">
      <c r="A12" s="28" t="s">
        <v>31</v>
      </c>
      <c r="B12" s="264"/>
      <c r="C12" s="57">
        <f t="shared" ref="C12:I12" si="109">C11/C4</f>
        <v>5.5145688948505855E-2</v>
      </c>
      <c r="D12" s="57">
        <f t="shared" si="109"/>
        <v>5.8739365815931935E-2</v>
      </c>
      <c r="E12" s="57">
        <f t="shared" si="109"/>
        <v>7.2146446518305818E-2</v>
      </c>
      <c r="F12" s="57">
        <f t="shared" si="109"/>
        <v>6.6023045780130796E-2</v>
      </c>
      <c r="G12" s="57">
        <f t="shared" si="109"/>
        <v>6.7578227714961872E-2</v>
      </c>
      <c r="H12" s="57">
        <f t="shared" si="109"/>
        <v>5.0575263662511985E-2</v>
      </c>
      <c r="I12" s="57">
        <f t="shared" si="109"/>
        <v>6.5314311190370039E-2</v>
      </c>
      <c r="J12" s="57">
        <f t="shared" ref="J12:AU12" si="110">J11/J4</f>
        <v>5.7549234135667399E-2</v>
      </c>
      <c r="K12" s="57">
        <f t="shared" si="110"/>
        <v>3.7888198757763975E-2</v>
      </c>
      <c r="L12" s="57">
        <f t="shared" si="110"/>
        <v>4.7830101569713755E-2</v>
      </c>
      <c r="M12" s="57">
        <f t="shared" si="110"/>
        <v>4.9648786717752233E-2</v>
      </c>
      <c r="N12" s="57">
        <f t="shared" si="110"/>
        <v>1.9267822736030827E-2</v>
      </c>
      <c r="O12" s="57">
        <f t="shared" si="110"/>
        <v>6.9857697283311773E-2</v>
      </c>
      <c r="P12" s="57">
        <f t="shared" si="110"/>
        <v>5.7493540051679587E-2</v>
      </c>
      <c r="Q12" s="959">
        <f t="shared" si="110"/>
        <v>8.3140877598152418E-2</v>
      </c>
      <c r="R12" s="57">
        <f t="shared" si="110"/>
        <v>4.9535603715170282E-2</v>
      </c>
      <c r="S12" s="57">
        <f t="shared" si="110"/>
        <v>7.2448155130622138E-2</v>
      </c>
      <c r="T12" s="946">
        <f t="shared" si="110"/>
        <v>6.3045894870573285E-2</v>
      </c>
      <c r="U12" s="57">
        <f t="shared" si="110"/>
        <v>4.9069373942470386E-2</v>
      </c>
      <c r="V12" s="57">
        <f t="shared" si="110"/>
        <v>5.6825200741198269E-2</v>
      </c>
      <c r="W12" s="57">
        <f t="shared" si="110"/>
        <v>6.2371487320082249E-2</v>
      </c>
      <c r="X12" s="959">
        <f t="shared" si="110"/>
        <v>7.5971731448763249E-2</v>
      </c>
      <c r="Y12" s="57">
        <f t="shared" si="110"/>
        <v>5.3552302749018205E-2</v>
      </c>
      <c r="Z12" s="57">
        <f t="shared" si="110"/>
        <v>7.0641955412301907E-2</v>
      </c>
      <c r="AA12" s="946">
        <f>AA11/AA4</f>
        <v>6.3304721030042921E-2</v>
      </c>
      <c r="AB12" s="57">
        <f t="shared" ref="AB12:AG12" si="111">AB11/AB4</f>
        <v>4.0466926070038912E-2</v>
      </c>
      <c r="AC12" s="57">
        <f t="shared" si="111"/>
        <v>6.6066066066066062E-2</v>
      </c>
      <c r="AD12" s="57">
        <f t="shared" si="111"/>
        <v>5.363204344874406E-2</v>
      </c>
      <c r="AE12" s="959">
        <f t="shared" si="111"/>
        <v>7.871349978840457E-2</v>
      </c>
      <c r="AF12" s="57">
        <f t="shared" si="111"/>
        <v>5.4915254237288137E-2</v>
      </c>
      <c r="AG12" s="57">
        <f t="shared" si="111"/>
        <v>6.9082377476538059E-2</v>
      </c>
      <c r="AH12" s="946">
        <f t="shared" si="110"/>
        <v>6.292366637194223E-2</v>
      </c>
      <c r="AI12" s="57">
        <f t="shared" ref="AI12:AN12" si="112">AI11/AI4</f>
        <v>2.8497409326424871E-2</v>
      </c>
      <c r="AJ12" s="57">
        <f t="shared" si="112"/>
        <v>7.2596468279921514E-2</v>
      </c>
      <c r="AK12" s="57">
        <f t="shared" si="112"/>
        <v>3.5109717868338559E-2</v>
      </c>
      <c r="AL12" s="959">
        <f t="shared" si="112"/>
        <v>4.5569620253164557E-2</v>
      </c>
      <c r="AM12" s="57">
        <f t="shared" si="112"/>
        <v>5.3591365835504279E-2</v>
      </c>
      <c r="AN12" s="57">
        <f t="shared" si="112"/>
        <v>4.1361916771752841E-2</v>
      </c>
      <c r="AO12" s="946">
        <f t="shared" si="110"/>
        <v>4.6301864101022251E-2</v>
      </c>
      <c r="AP12" s="57">
        <f t="shared" si="110"/>
        <v>-1.5491866769945779E-3</v>
      </c>
      <c r="AQ12" s="57">
        <f t="shared" si="110"/>
        <v>5.8282208588957052E-2</v>
      </c>
      <c r="AR12" s="57">
        <f t="shared" si="110"/>
        <v>4.9079754601226995E-2</v>
      </c>
      <c r="AS12" s="959">
        <f t="shared" si="110"/>
        <v>8.3414161008729393E-2</v>
      </c>
      <c r="AT12" s="57">
        <f t="shared" si="110"/>
        <v>3.1838411502909961E-2</v>
      </c>
      <c r="AU12" s="57">
        <f t="shared" si="110"/>
        <v>6.914139982998016E-2</v>
      </c>
      <c r="AV12" s="946">
        <f>AV11/AV4</f>
        <v>5.2248062015503874E-2</v>
      </c>
      <c r="AW12" s="57">
        <f t="shared" ref="AW12:BB12" si="113">AW11/AW4</f>
        <v>-1.040582726326743E-2</v>
      </c>
      <c r="AX12" s="57">
        <f t="shared" si="113"/>
        <v>8.6895585143658027E-2</v>
      </c>
      <c r="AY12" s="57">
        <f t="shared" si="113"/>
        <v>4.7549378200438919E-2</v>
      </c>
      <c r="AZ12" s="959">
        <f t="shared" si="113"/>
        <v>8.5819183111519051E-2</v>
      </c>
      <c r="BA12" s="57">
        <f t="shared" si="113"/>
        <v>4.7738693467336682E-2</v>
      </c>
      <c r="BB12" s="57">
        <f t="shared" si="113"/>
        <v>7.1065989847715741E-2</v>
      </c>
      <c r="BC12" s="946">
        <f t="shared" ref="BC12:CQ12" si="114">BC11/BC4</f>
        <v>6.167846309403438E-2</v>
      </c>
      <c r="BD12" s="57">
        <f t="shared" ref="BD12:BI12" si="115">BD11/BD4</f>
        <v>8.9374379344587893E-3</v>
      </c>
      <c r="BE12" s="57">
        <f t="shared" si="115"/>
        <v>8.4310850439882692E-2</v>
      </c>
      <c r="BF12" s="57">
        <f t="shared" si="115"/>
        <v>5.8911260253542132E-2</v>
      </c>
      <c r="BG12" s="959">
        <f t="shared" si="115"/>
        <v>9.193899782135076E-2</v>
      </c>
      <c r="BH12" s="57">
        <f t="shared" si="115"/>
        <v>5.2298608182201604E-2</v>
      </c>
      <c r="BI12" s="57">
        <f t="shared" si="115"/>
        <v>7.9757975797579761E-2</v>
      </c>
      <c r="BJ12" s="946">
        <f t="shared" si="114"/>
        <v>6.8919593807224899E-2</v>
      </c>
      <c r="BK12" s="57">
        <f t="shared" ref="BK12:BP12" si="116">BK11/BK4</f>
        <v>-4.409317803660566E-2</v>
      </c>
      <c r="BL12" s="57">
        <f t="shared" si="116"/>
        <v>8.7533156498673742E-2</v>
      </c>
      <c r="BM12" s="57">
        <f t="shared" si="116"/>
        <v>6.6666666666666666E-2</v>
      </c>
      <c r="BN12" s="959">
        <f t="shared" si="116"/>
        <v>0.12290715372907153</v>
      </c>
      <c r="BO12" s="57">
        <f t="shared" si="116"/>
        <v>1.9717102443206173E-2</v>
      </c>
      <c r="BP12" s="57">
        <f t="shared" si="116"/>
        <v>0.10438999489535478</v>
      </c>
      <c r="BQ12" s="946">
        <f t="shared" si="114"/>
        <v>7.2788353863381852E-2</v>
      </c>
      <c r="BR12" s="57">
        <f t="shared" si="114"/>
        <v>5.2676295666949875E-2</v>
      </c>
      <c r="BS12" s="57">
        <f t="shared" si="114"/>
        <v>8.5391672547635855E-2</v>
      </c>
      <c r="BT12" s="57">
        <f t="shared" si="114"/>
        <v>8.3603370058327936E-2</v>
      </c>
      <c r="BU12" s="959">
        <f t="shared" si="114"/>
        <v>9.4013490725126478E-2</v>
      </c>
      <c r="BV12" s="57">
        <f t="shared" si="114"/>
        <v>7.0547417116422512E-2</v>
      </c>
      <c r="BW12" s="57">
        <f t="shared" si="114"/>
        <v>8.9910600255427839E-2</v>
      </c>
      <c r="BX12" s="946">
        <f>BX11/BX4</f>
        <v>8.219388538946075E-2</v>
      </c>
      <c r="BY12" s="57">
        <f t="shared" ref="BY12" si="117">BY11/BY4</f>
        <v>7.1146245059288543E-2</v>
      </c>
      <c r="BZ12" s="57">
        <f t="shared" ref="BZ12" si="118">BZ11/BZ4</f>
        <v>8.4516565246788369E-2</v>
      </c>
      <c r="CA12" s="57">
        <f t="shared" ref="CA12" si="119">CA11/CA4</f>
        <v>9.3167701863354033E-2</v>
      </c>
      <c r="CB12" s="959">
        <f t="shared" ref="CB12" si="120">CB11/CB4</f>
        <v>0.102250296091591</v>
      </c>
      <c r="CC12" s="57">
        <f t="shared" ref="CC12" si="121">CC11/CC4</f>
        <v>7.8352769679300285E-2</v>
      </c>
      <c r="CD12" s="57">
        <f t="shared" ref="CD12" si="122">CD11/CD4</f>
        <v>9.8513011152416355E-2</v>
      </c>
      <c r="CE12" s="946">
        <f t="shared" si="114"/>
        <v>9.0664018161180471E-2</v>
      </c>
      <c r="CF12" s="57">
        <f t="shared" ref="CF12:CG12" si="123">CF11/CF4</f>
        <v>9.7622027534418024E-2</v>
      </c>
      <c r="CG12" s="57">
        <f t="shared" si="123"/>
        <v>6.9548872180451124E-2</v>
      </c>
      <c r="CH12" s="57">
        <f t="shared" ref="CH12:CI12" si="124">CH11/CH4</f>
        <v>9.7411444141689368E-2</v>
      </c>
      <c r="CI12" s="959">
        <f t="shared" si="124"/>
        <v>0.11476635514018692</v>
      </c>
      <c r="CJ12" s="57">
        <f t="shared" ref="CJ12:CN12" si="125">CJ11/CJ4</f>
        <v>8.3594239198497178E-2</v>
      </c>
      <c r="CK12" s="57">
        <f t="shared" si="125"/>
        <v>0.10861694424330195</v>
      </c>
      <c r="CL12" s="946">
        <f t="shared" si="125"/>
        <v>9.7723865340057239E-2</v>
      </c>
      <c r="CM12" s="57">
        <f t="shared" si="125"/>
        <v>4.8596851471594801E-2</v>
      </c>
      <c r="CN12" s="57">
        <f t="shared" si="125"/>
        <v>9.1907514450867048E-2</v>
      </c>
      <c r="CO12" s="57">
        <f t="shared" ref="CO12:CP12" si="126">CO11/CO4</f>
        <v>0.11282660332541568</v>
      </c>
      <c r="CP12" s="959">
        <f t="shared" si="126"/>
        <v>0.12981082844096542</v>
      </c>
      <c r="CQ12" s="57">
        <f t="shared" si="114"/>
        <v>7.2077718583516137E-2</v>
      </c>
      <c r="CR12" s="57">
        <f t="shared" ref="CR12" si="127">CR11/CR4</f>
        <v>0.12378947368421053</v>
      </c>
      <c r="CS12" s="946">
        <f t="shared" ref="CS12:CW12" si="128">CS11/CS4</f>
        <v>0.10300969651177433</v>
      </c>
      <c r="CT12" s="57">
        <f t="shared" si="128"/>
        <v>4.8750000000000002E-2</v>
      </c>
      <c r="CU12" s="57">
        <f t="shared" si="128"/>
        <v>8.1700907787864305E-2</v>
      </c>
      <c r="CV12" s="57">
        <f t="shared" si="128"/>
        <v>0.12557427258805512</v>
      </c>
      <c r="CW12" s="959">
        <f t="shared" si="128"/>
        <v>0.13795180722891567</v>
      </c>
      <c r="CX12" s="57">
        <f t="shared" ref="CX12:DB12" si="129">CX11/CX4</f>
        <v>6.7424857839155153E-2</v>
      </c>
      <c r="CY12" s="57">
        <f t="shared" si="129"/>
        <v>0.13335859064216707</v>
      </c>
      <c r="CZ12" s="946">
        <f t="shared" si="129"/>
        <v>0.10621934908604548</v>
      </c>
      <c r="DA12" s="57">
        <f t="shared" si="129"/>
        <v>4.0523690773067333E-2</v>
      </c>
      <c r="DB12" s="57">
        <f t="shared" si="129"/>
        <v>8.4296724470134879E-2</v>
      </c>
      <c r="DC12" s="799">
        <f t="shared" ref="DC12:DF12" si="130">DC11/DC4</f>
        <v>0.125</v>
      </c>
      <c r="DD12" s="999">
        <f t="shared" si="130"/>
        <v>0.12841192399665705</v>
      </c>
      <c r="DE12" s="57">
        <f t="shared" si="130"/>
        <v>6.5217391304347824E-2</v>
      </c>
      <c r="DF12" s="799">
        <f t="shared" si="130"/>
        <v>0.12716385740021433</v>
      </c>
      <c r="DG12" s="972">
        <f t="shared" ref="DG12:EI12" si="131">DG11/DG4</f>
        <v>0.10283873673084876</v>
      </c>
      <c r="DH12" s="799">
        <f t="shared" si="131"/>
        <v>0.10703890010553846</v>
      </c>
      <c r="DI12" s="799">
        <f t="shared" si="131"/>
        <v>0.10757032141699382</v>
      </c>
      <c r="DJ12" s="799">
        <f t="shared" si="131"/>
        <v>0.10756792193363679</v>
      </c>
      <c r="DK12" s="999">
        <f t="shared" si="131"/>
        <v>0.10847688184832793</v>
      </c>
      <c r="DL12" s="799">
        <f t="shared" si="131"/>
        <v>0.10733856342683988</v>
      </c>
      <c r="DM12" s="799">
        <f t="shared" si="131"/>
        <v>0.10814403652582308</v>
      </c>
      <c r="DN12" s="972">
        <f t="shared" si="131"/>
        <v>0.10782745943585686</v>
      </c>
      <c r="DO12" s="799">
        <f t="shared" si="131"/>
        <v>0.11202781899896624</v>
      </c>
      <c r="DP12" s="799">
        <f t="shared" si="131"/>
        <v>0.11255884796261427</v>
      </c>
      <c r="DQ12" s="799">
        <f t="shared" si="131"/>
        <v>0.1125564479204141</v>
      </c>
      <c r="DR12" s="999">
        <f t="shared" si="131"/>
        <v>0.11346713631981485</v>
      </c>
      <c r="DS12" s="799">
        <f t="shared" si="131"/>
        <v>0.11232713363479145</v>
      </c>
      <c r="DT12" s="799">
        <f t="shared" si="131"/>
        <v>0.11313330471662808</v>
      </c>
      <c r="DU12" s="972">
        <f t="shared" si="131"/>
        <v>0.11281616856537247</v>
      </c>
      <c r="DV12" s="799">
        <f t="shared" si="131"/>
        <v>0.11403351419767278</v>
      </c>
      <c r="DW12" s="799">
        <f t="shared" si="131"/>
        <v>0.11509474405472483</v>
      </c>
      <c r="DX12" s="799">
        <f t="shared" si="131"/>
        <v>0.11508994305478623</v>
      </c>
      <c r="DY12" s="999">
        <f t="shared" si="131"/>
        <v>0.11691471220374307</v>
      </c>
      <c r="DZ12" s="799">
        <f t="shared" si="131"/>
        <v>0.11463142219900606</v>
      </c>
      <c r="EA12" s="799">
        <f t="shared" si="131"/>
        <v>0.11624509581682166</v>
      </c>
      <c r="EB12" s="972">
        <f t="shared" si="131"/>
        <v>0.11560972914395035</v>
      </c>
      <c r="EC12" s="799">
        <f t="shared" si="131"/>
        <v>0.11401142964126988</v>
      </c>
      <c r="ED12" s="799">
        <f t="shared" si="131"/>
        <v>0.11507178818928665</v>
      </c>
      <c r="EE12" s="799">
        <f t="shared" si="131"/>
        <v>0.11506698647611187</v>
      </c>
      <c r="EF12" s="999">
        <f t="shared" si="131"/>
        <v>0.11689508284737565</v>
      </c>
      <c r="EG12" s="799">
        <f t="shared" si="131"/>
        <v>0.11460859259081518</v>
      </c>
      <c r="EH12" s="799">
        <f t="shared" si="131"/>
        <v>0.1162235329380551</v>
      </c>
      <c r="EI12" s="972">
        <f t="shared" si="131"/>
        <v>0.1155870958208112</v>
      </c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</row>
    <row r="13" spans="1:187" ht="10.5" customHeight="1">
      <c r="A13" s="28"/>
      <c r="B13" s="264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959"/>
      <c r="R13" s="57"/>
      <c r="S13" s="57"/>
      <c r="T13" s="946"/>
      <c r="U13" s="57"/>
      <c r="V13" s="57"/>
      <c r="W13" s="57"/>
      <c r="X13" s="959"/>
      <c r="Y13" s="57"/>
      <c r="Z13" s="57"/>
      <c r="AA13" s="946"/>
      <c r="AB13" s="57"/>
      <c r="AC13" s="57"/>
      <c r="AD13" s="57"/>
      <c r="AE13" s="959"/>
      <c r="AF13" s="57"/>
      <c r="AG13" s="57"/>
      <c r="AH13" s="946"/>
      <c r="AI13" s="57"/>
      <c r="AJ13" s="57"/>
      <c r="AK13" s="57"/>
      <c r="AL13" s="959"/>
      <c r="AM13" s="57"/>
      <c r="AN13" s="57"/>
      <c r="AO13" s="946"/>
      <c r="AP13" s="57"/>
      <c r="AQ13" s="57"/>
      <c r="AR13" s="57"/>
      <c r="AS13" s="959"/>
      <c r="AT13" s="57"/>
      <c r="AU13" s="57"/>
      <c r="AV13" s="946"/>
      <c r="AW13" s="57"/>
      <c r="AX13" s="57"/>
      <c r="AY13" s="57"/>
      <c r="AZ13" s="959"/>
      <c r="BA13" s="57"/>
      <c r="BB13" s="57"/>
      <c r="BC13" s="946"/>
      <c r="BD13" s="57"/>
      <c r="BE13" s="57"/>
      <c r="BF13" s="57"/>
      <c r="BG13" s="959"/>
      <c r="BH13" s="57"/>
      <c r="BI13" s="57"/>
      <c r="BJ13" s="946"/>
      <c r="BK13" s="57"/>
      <c r="BL13" s="57"/>
      <c r="BM13" s="57"/>
      <c r="BN13" s="959"/>
      <c r="BO13" s="57"/>
      <c r="BP13" s="57"/>
      <c r="BQ13" s="946"/>
      <c r="BR13" s="57"/>
      <c r="BS13" s="57"/>
      <c r="BT13" s="57"/>
      <c r="BU13" s="959"/>
      <c r="BV13" s="57"/>
      <c r="BW13" s="57"/>
      <c r="BX13" s="946"/>
      <c r="BY13" s="57"/>
      <c r="BZ13" s="57"/>
      <c r="CA13" s="57"/>
      <c r="CB13" s="959"/>
      <c r="CC13" s="57"/>
      <c r="CD13" s="57"/>
      <c r="CE13" s="946"/>
      <c r="CF13" s="57"/>
      <c r="CG13" s="57"/>
      <c r="CH13" s="57"/>
      <c r="CI13" s="959"/>
      <c r="CJ13" s="57"/>
      <c r="CK13" s="57"/>
      <c r="CL13" s="946"/>
      <c r="CM13" s="57"/>
      <c r="CN13" s="57"/>
      <c r="CO13" s="57"/>
      <c r="CP13" s="959"/>
      <c r="CQ13" s="57"/>
      <c r="CR13" s="57"/>
      <c r="CS13" s="946"/>
      <c r="CT13" s="57"/>
      <c r="CU13" s="57"/>
      <c r="CV13" s="57"/>
      <c r="CW13" s="959"/>
      <c r="CX13" s="57"/>
      <c r="CY13" s="57"/>
      <c r="CZ13" s="946"/>
      <c r="DA13" s="57"/>
      <c r="DB13" s="57"/>
      <c r="DC13" s="57"/>
      <c r="DD13" s="959"/>
      <c r="DE13" s="57"/>
      <c r="DF13" s="57"/>
      <c r="DG13" s="946"/>
      <c r="DH13" s="57"/>
      <c r="DI13" s="57"/>
      <c r="DJ13" s="57"/>
      <c r="DK13" s="959"/>
      <c r="DL13" s="57"/>
      <c r="DM13" s="57"/>
      <c r="DN13" s="946"/>
      <c r="DO13" s="57"/>
      <c r="DP13" s="57"/>
      <c r="DQ13" s="57"/>
      <c r="DR13" s="959"/>
      <c r="DS13" s="57"/>
      <c r="DT13" s="57"/>
      <c r="DU13" s="946"/>
      <c r="DV13" s="57"/>
      <c r="DW13" s="57"/>
      <c r="DX13" s="57"/>
      <c r="DY13" s="959"/>
      <c r="DZ13" s="57"/>
      <c r="EA13" s="57"/>
      <c r="EB13" s="946"/>
      <c r="EC13" s="57"/>
      <c r="ED13" s="57"/>
      <c r="EE13" s="57"/>
      <c r="EF13" s="959"/>
      <c r="EG13" s="57"/>
      <c r="EH13" s="57"/>
      <c r="EI13" s="946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</row>
    <row r="14" spans="1:187" ht="10.5" customHeight="1">
      <c r="A14" s="32" t="s">
        <v>546</v>
      </c>
      <c r="B14" s="48"/>
      <c r="C14" s="48"/>
      <c r="D14" s="58">
        <f>Divisional!D116</f>
        <v>56</v>
      </c>
      <c r="E14" s="58">
        <f>Divisional!E116</f>
        <v>61</v>
      </c>
      <c r="F14" s="58">
        <f>Divisional!F116</f>
        <v>70</v>
      </c>
      <c r="G14" s="58">
        <f>Divisional!G116</f>
        <v>78</v>
      </c>
      <c r="H14" s="58">
        <f>Divisional!H116</f>
        <v>93</v>
      </c>
      <c r="I14" s="58">
        <f>Divisional!I116</f>
        <v>134</v>
      </c>
      <c r="J14" s="58">
        <f>Divisional!J116</f>
        <v>164</v>
      </c>
      <c r="K14" s="58">
        <f>Divisional!K116</f>
        <v>189</v>
      </c>
      <c r="L14" s="58">
        <f>Divisional!L116</f>
        <v>235</v>
      </c>
      <c r="M14" s="58">
        <f>Divisional!M116</f>
        <v>297</v>
      </c>
      <c r="N14" s="58">
        <f>Divisional!N116</f>
        <v>66</v>
      </c>
      <c r="O14" s="58">
        <f>Divisional!O116</f>
        <v>77</v>
      </c>
      <c r="P14" s="58">
        <f>Divisional!P116</f>
        <v>75</v>
      </c>
      <c r="Q14" s="1288">
        <f>Divisional!Q116</f>
        <v>88</v>
      </c>
      <c r="R14" s="58">
        <f>Divisional!R116</f>
        <v>143</v>
      </c>
      <c r="S14" s="58">
        <f>Divisional!S116</f>
        <v>163</v>
      </c>
      <c r="T14" s="1282">
        <f>Divisional!T116</f>
        <v>306</v>
      </c>
      <c r="U14" s="58">
        <f>Divisional!U116</f>
        <v>73</v>
      </c>
      <c r="V14" s="58">
        <f>Divisional!V116</f>
        <v>91</v>
      </c>
      <c r="W14" s="58">
        <f>Divisional!W116</f>
        <v>66</v>
      </c>
      <c r="X14" s="1288">
        <f>Divisional!X116</f>
        <v>95</v>
      </c>
      <c r="Y14" s="58">
        <f>Divisional!Y116</f>
        <v>164</v>
      </c>
      <c r="Z14" s="58">
        <f>Divisional!Z116</f>
        <v>161</v>
      </c>
      <c r="AA14" s="1282">
        <f>Divisional!AA116</f>
        <v>325</v>
      </c>
      <c r="AB14" s="58">
        <f>Divisional!AB116</f>
        <v>70</v>
      </c>
      <c r="AC14" s="58">
        <f>Divisional!AC116</f>
        <v>83</v>
      </c>
      <c r="AD14" s="58">
        <f>Divisional!AD116</f>
        <v>68</v>
      </c>
      <c r="AE14" s="1288">
        <f>Divisional!AE116</f>
        <v>104</v>
      </c>
      <c r="AF14" s="58">
        <f>Divisional!AF116</f>
        <v>153</v>
      </c>
      <c r="AG14" s="58">
        <f>Divisional!AG116</f>
        <v>172</v>
      </c>
      <c r="AH14" s="1282">
        <f>Divisional!AH116</f>
        <v>325</v>
      </c>
      <c r="AI14" s="58">
        <f>Divisional!AI116</f>
        <v>63</v>
      </c>
      <c r="AJ14" s="58">
        <f>Divisional!AJ116</f>
        <v>88</v>
      </c>
      <c r="AK14" s="58">
        <f>Divisional!AK116</f>
        <v>75</v>
      </c>
      <c r="AL14" s="1288">
        <f>Divisional!AL116</f>
        <v>101</v>
      </c>
      <c r="AM14" s="58">
        <f>Divisional!AM116</f>
        <v>151</v>
      </c>
      <c r="AN14" s="58">
        <f>Divisional!AN116</f>
        <v>176</v>
      </c>
      <c r="AO14" s="1282">
        <f>Divisional!AO116</f>
        <v>327</v>
      </c>
      <c r="AP14" s="58">
        <f>Divisional!AP116</f>
        <v>65</v>
      </c>
      <c r="AQ14" s="58">
        <f>Divisional!AQ116</f>
        <v>77</v>
      </c>
      <c r="AR14" s="58">
        <f>Divisional!AR116</f>
        <v>63</v>
      </c>
      <c r="AS14" s="1288">
        <f>Divisional!AS116</f>
        <v>117</v>
      </c>
      <c r="AT14" s="58">
        <f>Divisional!AT116</f>
        <v>142</v>
      </c>
      <c r="AU14" s="58">
        <f>Divisional!AU116</f>
        <v>180</v>
      </c>
      <c r="AV14" s="1282">
        <v>337</v>
      </c>
      <c r="AW14" s="58">
        <f>Divisional!BD116</f>
        <v>70</v>
      </c>
      <c r="AX14" s="58">
        <f>Divisional!BE116</f>
        <v>77</v>
      </c>
      <c r="AY14" s="58">
        <f>Divisional!BF116</f>
        <v>67</v>
      </c>
      <c r="AZ14" s="1288">
        <f>Divisional!BG116</f>
        <v>101</v>
      </c>
      <c r="BA14" s="58">
        <f>Divisional!BH116</f>
        <v>147</v>
      </c>
      <c r="BB14" s="58">
        <f>Divisional!BI116</f>
        <v>168</v>
      </c>
      <c r="BC14" s="1282">
        <v>315</v>
      </c>
      <c r="BD14" s="58">
        <f>Divisional!BK116</f>
        <v>69</v>
      </c>
      <c r="BE14" s="58">
        <f>Divisional!BL116</f>
        <v>74</v>
      </c>
      <c r="BF14" s="58">
        <f>Divisional!BM116</f>
        <v>73</v>
      </c>
      <c r="BG14" s="1288">
        <f>Divisional!BN116</f>
        <v>75</v>
      </c>
      <c r="BH14" s="58">
        <f>Divisional!BO116</f>
        <v>143</v>
      </c>
      <c r="BI14" s="58">
        <f>Divisional!BP116</f>
        <v>148</v>
      </c>
      <c r="BJ14" s="1282">
        <v>291</v>
      </c>
      <c r="BK14" s="58">
        <f>Divisional!BY116</f>
        <v>75</v>
      </c>
      <c r="BL14" s="58">
        <f>Divisional!BZ116</f>
        <v>65</v>
      </c>
      <c r="BM14" s="58">
        <f>Divisional!CA116</f>
        <v>56</v>
      </c>
      <c r="BN14" s="1288">
        <f>Divisional!CB116</f>
        <v>77</v>
      </c>
      <c r="BO14" s="58">
        <f>Divisional!CC116</f>
        <v>140</v>
      </c>
      <c r="BP14" s="58">
        <f>Divisional!CD116</f>
        <v>133</v>
      </c>
      <c r="BQ14" s="1282">
        <v>273</v>
      </c>
      <c r="BR14" s="58">
        <f>Divisional!CF116</f>
        <v>55</v>
      </c>
      <c r="BS14" s="58">
        <f>Divisional!CG116</f>
        <v>64</v>
      </c>
      <c r="BT14" s="58">
        <f>Divisional!CH116</f>
        <v>58</v>
      </c>
      <c r="BU14" s="1288">
        <f>Divisional!CI116</f>
        <v>98</v>
      </c>
      <c r="BV14" s="58">
        <f>Divisional!CJ116</f>
        <v>119</v>
      </c>
      <c r="BW14" s="58">
        <f>Divisional!CK116</f>
        <v>156</v>
      </c>
      <c r="BX14" s="1282">
        <v>275</v>
      </c>
      <c r="BY14" s="58">
        <f>Divisional!CM116</f>
        <v>56</v>
      </c>
      <c r="BZ14" s="58">
        <f>Divisional!CN116</f>
        <v>63</v>
      </c>
      <c r="CA14" s="58">
        <f>Divisional!CO116</f>
        <v>58</v>
      </c>
      <c r="CB14" s="1288">
        <f>Divisional!CP116</f>
        <v>98</v>
      </c>
      <c r="CC14" s="58">
        <f>Divisional!CQ116</f>
        <v>119</v>
      </c>
      <c r="CD14" s="58">
        <f>Divisional!CR116</f>
        <v>156</v>
      </c>
      <c r="CE14" s="1282">
        <v>275</v>
      </c>
      <c r="CF14" s="58">
        <v>66</v>
      </c>
      <c r="CG14" s="1217">
        <f>CJ14-CF14</f>
        <v>79</v>
      </c>
      <c r="CH14" s="58">
        <f>223-CF14-CG14</f>
        <v>78</v>
      </c>
      <c r="CI14" s="1283">
        <f>CK14-CH14</f>
        <v>112</v>
      </c>
      <c r="CJ14" s="58">
        <v>145</v>
      </c>
      <c r="CK14" s="1217">
        <f>CL14-CJ14</f>
        <v>190</v>
      </c>
      <c r="CL14" s="1282">
        <v>335</v>
      </c>
      <c r="CM14" s="58">
        <f>Divisional!DA116</f>
        <v>71</v>
      </c>
      <c r="CN14" s="1217">
        <f>Divisional!DB116</f>
        <v>84</v>
      </c>
      <c r="CO14" s="1217">
        <f>Divisional!DC116</f>
        <v>72</v>
      </c>
      <c r="CP14" s="1283">
        <f>Divisional!DD116</f>
        <v>111</v>
      </c>
      <c r="CQ14" s="58">
        <f>Divisional!DE116</f>
        <v>155</v>
      </c>
      <c r="CR14" s="58">
        <f>Divisional!DF116</f>
        <v>183</v>
      </c>
      <c r="CS14" s="1282">
        <f>Divisional!DG116</f>
        <v>338</v>
      </c>
      <c r="CT14" s="58">
        <f>Divisional!DH116</f>
        <v>66</v>
      </c>
      <c r="CU14" s="1217">
        <f>Divisional!DI116</f>
        <v>79</v>
      </c>
      <c r="CV14" s="1217">
        <f>Divisional!DJ116</f>
        <v>82</v>
      </c>
      <c r="CW14" s="1283">
        <f>Divisional!DK116</f>
        <v>119</v>
      </c>
      <c r="CX14" s="58">
        <f>Divisional!DL116</f>
        <v>145</v>
      </c>
      <c r="CY14" s="58">
        <f>Divisional!DM116</f>
        <v>201</v>
      </c>
      <c r="CZ14" s="1282">
        <f>Divisional!DN116</f>
        <v>346</v>
      </c>
      <c r="DA14" s="58">
        <f>Divisional!DO116</f>
        <v>76</v>
      </c>
      <c r="DB14" s="1217">
        <f>Divisional!DP116</f>
        <v>74</v>
      </c>
      <c r="DC14" s="622">
        <f>DC15*DC4</f>
        <v>83.277089999999987</v>
      </c>
      <c r="DD14" s="1006">
        <f>DF14-DC14</f>
        <v>141.58311864000007</v>
      </c>
      <c r="DE14" s="58">
        <f>Divisional!DS116</f>
        <v>150</v>
      </c>
      <c r="DF14" s="985">
        <f>DG14-DE14</f>
        <v>224.86020864000005</v>
      </c>
      <c r="DG14" s="652">
        <f>DG15*DG4</f>
        <v>374.86020864000005</v>
      </c>
      <c r="DH14" s="622">
        <f>DH15*DH4</f>
        <v>67.115466240000003</v>
      </c>
      <c r="DI14" s="985">
        <f>DL14-DH14</f>
        <v>86.78036736</v>
      </c>
      <c r="DJ14" s="622">
        <f>DJ15*DJ4</f>
        <v>87.028520147999984</v>
      </c>
      <c r="DK14" s="1006">
        <f>DM14-DJ14</f>
        <v>150.63573679305608</v>
      </c>
      <c r="DL14" s="622">
        <f>DL15*DL4</f>
        <v>153.8958336</v>
      </c>
      <c r="DM14" s="985">
        <f>DN14-DL14</f>
        <v>237.66425694105607</v>
      </c>
      <c r="DN14" s="652">
        <f>DN15*DN4</f>
        <v>391.56009054105607</v>
      </c>
      <c r="DO14" s="622">
        <f>DO15*DO4</f>
        <v>70.208503428096009</v>
      </c>
      <c r="DP14" s="985">
        <f>DS14-DO14</f>
        <v>90.691123129343993</v>
      </c>
      <c r="DQ14" s="622">
        <f>DQ15*DQ4</f>
        <v>90.950859859579211</v>
      </c>
      <c r="DR14" s="1006">
        <f>DT14-DQ14</f>
        <v>157.16193772749551</v>
      </c>
      <c r="DS14" s="622">
        <f>DS15*DS4</f>
        <v>160.89962655744</v>
      </c>
      <c r="DT14" s="985">
        <f>DU14-DS14</f>
        <v>248.11279758707474</v>
      </c>
      <c r="DU14" s="652">
        <f>DU15*DU4</f>
        <v>409.01242414451474</v>
      </c>
      <c r="DV14" s="622">
        <f>DV15*DV4</f>
        <v>73.4455779361911</v>
      </c>
      <c r="DW14" s="985">
        <f>DZ14-DV14</f>
        <v>94.780114878169499</v>
      </c>
      <c r="DX14" s="622">
        <f>DX15*DX4</f>
        <v>95.051981470386195</v>
      </c>
      <c r="DY14" s="1006">
        <f>EA14-DX14</f>
        <v>163.97382303808638</v>
      </c>
      <c r="DZ14" s="622">
        <f>DZ15*DZ4</f>
        <v>168.2256928143606</v>
      </c>
      <c r="EA14" s="985">
        <f>EB14-DZ14</f>
        <v>259.02580450847256</v>
      </c>
      <c r="EB14" s="652">
        <f>EB15*EB4</f>
        <v>427.25149732283319</v>
      </c>
      <c r="EC14" s="622">
        <f>EC15*EC4</f>
        <v>76.833462802893209</v>
      </c>
      <c r="ED14" s="985">
        <f>EG14-EC14</f>
        <v>99.055555412367553</v>
      </c>
      <c r="EE14" s="622">
        <f>EE15*EE4</f>
        <v>99.340123737893805</v>
      </c>
      <c r="EF14" s="1006">
        <f>EH14-EE14</f>
        <v>171.08403566654499</v>
      </c>
      <c r="EG14" s="622">
        <f>EG15*EG4</f>
        <v>175.88901821526076</v>
      </c>
      <c r="EH14" s="985">
        <f>EI14-EG14</f>
        <v>270.4241594044388</v>
      </c>
      <c r="EI14" s="652">
        <f>EI15*EI4</f>
        <v>446.31317761969956</v>
      </c>
      <c r="EJ14" s="163"/>
      <c r="EK14" s="163"/>
      <c r="EL14" s="163"/>
      <c r="EM14" s="163"/>
      <c r="EN14" s="163"/>
      <c r="EO14" s="163"/>
      <c r="EP14" s="163"/>
      <c r="EQ14" s="163"/>
      <c r="ER14" s="163"/>
      <c r="ES14" s="163"/>
      <c r="ET14" s="163"/>
      <c r="EU14" s="163"/>
      <c r="EV14" s="163"/>
      <c r="EW14" s="163"/>
      <c r="EX14" s="163"/>
      <c r="EY14" s="163"/>
      <c r="EZ14" s="163"/>
      <c r="FA14" s="163"/>
      <c r="FB14" s="163"/>
      <c r="FC14" s="163"/>
      <c r="FD14" s="163"/>
      <c r="FE14" s="163"/>
      <c r="FF14" s="163"/>
      <c r="FG14" s="163"/>
      <c r="FH14" s="163"/>
      <c r="FI14" s="163"/>
      <c r="FJ14" s="163"/>
      <c r="FK14" s="163"/>
      <c r="FL14" s="163"/>
      <c r="FM14" s="163"/>
      <c r="FN14" s="163"/>
      <c r="FO14" s="163"/>
      <c r="FP14" s="163"/>
      <c r="FQ14" s="163"/>
      <c r="FR14" s="163"/>
      <c r="FS14" s="163"/>
      <c r="FT14" s="163"/>
      <c r="FU14" s="163"/>
      <c r="FV14" s="163"/>
      <c r="FW14" s="163"/>
      <c r="FX14" s="163"/>
      <c r="FY14" s="163"/>
      <c r="FZ14" s="163"/>
      <c r="GA14" s="163"/>
      <c r="GB14" s="163"/>
      <c r="GC14" s="163"/>
      <c r="GD14" s="163"/>
      <c r="GE14" s="163"/>
    </row>
    <row r="15" spans="1:187" ht="10.5" customHeight="1">
      <c r="A15" s="28" t="s">
        <v>335</v>
      </c>
      <c r="B15" s="108"/>
      <c r="C15" s="108"/>
      <c r="D15" s="157">
        <f t="shared" ref="D15:AN15" si="132">D14/D4</f>
        <v>2.1655065738592421E-2</v>
      </c>
      <c r="E15" s="157">
        <f t="shared" si="132"/>
        <v>2.189519023689878E-2</v>
      </c>
      <c r="F15" s="157">
        <f t="shared" si="132"/>
        <v>2.1800062285892246E-2</v>
      </c>
      <c r="G15" s="157">
        <f t="shared" si="132"/>
        <v>2.0510123586642125E-2</v>
      </c>
      <c r="H15" s="157">
        <f t="shared" si="132"/>
        <v>2.2291466922339406E-2</v>
      </c>
      <c r="I15" s="157">
        <f t="shared" si="132"/>
        <v>2.9870708872046365E-2</v>
      </c>
      <c r="J15" s="157">
        <f t="shared" si="132"/>
        <v>3.5886214442013127E-2</v>
      </c>
      <c r="K15" s="157">
        <f t="shared" si="132"/>
        <v>3.9130434782608699E-2</v>
      </c>
      <c r="L15" s="157">
        <f t="shared" si="132"/>
        <v>4.339796860572484E-2</v>
      </c>
      <c r="M15" s="128">
        <f t="shared" si="132"/>
        <v>4.7413793103448273E-2</v>
      </c>
      <c r="N15" s="115">
        <f t="shared" ref="N15:S15" si="133">N14/N4</f>
        <v>6.358381502890173E-2</v>
      </c>
      <c r="O15" s="115">
        <f t="shared" si="133"/>
        <v>4.9805950840879687E-2</v>
      </c>
      <c r="P15" s="115">
        <f t="shared" si="133"/>
        <v>4.8449612403100778E-2</v>
      </c>
      <c r="Q15" s="683">
        <f t="shared" si="133"/>
        <v>4.0646651270207855E-2</v>
      </c>
      <c r="R15" s="115">
        <f t="shared" si="133"/>
        <v>5.5340557275541796E-2</v>
      </c>
      <c r="S15" s="115">
        <f t="shared" si="133"/>
        <v>4.3899811473202259E-2</v>
      </c>
      <c r="T15" s="341">
        <f t="shared" si="132"/>
        <v>4.8594568842305862E-2</v>
      </c>
      <c r="U15" s="115">
        <f t="shared" ref="U15:Z15" si="134">U14/U4</f>
        <v>6.1759729272419628E-2</v>
      </c>
      <c r="V15" s="115">
        <f t="shared" si="134"/>
        <v>5.6207535515750466E-2</v>
      </c>
      <c r="W15" s="115">
        <f t="shared" si="134"/>
        <v>4.5236463331048665E-2</v>
      </c>
      <c r="X15" s="683">
        <f t="shared" si="134"/>
        <v>4.196113074204947E-2</v>
      </c>
      <c r="Y15" s="115">
        <f t="shared" si="134"/>
        <v>5.8550517672259904E-2</v>
      </c>
      <c r="Z15" s="115">
        <f t="shared" si="134"/>
        <v>4.3244695138329306E-2</v>
      </c>
      <c r="AA15" s="341">
        <f t="shared" si="132"/>
        <v>4.9816063764561616E-2</v>
      </c>
      <c r="AB15" s="115">
        <f t="shared" ref="AB15:AG15" si="135">AB14/AB4</f>
        <v>5.4474708171206226E-2</v>
      </c>
      <c r="AC15" s="115">
        <f t="shared" si="135"/>
        <v>4.9849849849849852E-2</v>
      </c>
      <c r="AD15" s="115">
        <f t="shared" si="135"/>
        <v>4.6164290563475902E-2</v>
      </c>
      <c r="AE15" s="683">
        <f t="shared" si="135"/>
        <v>4.4011849344054166E-2</v>
      </c>
      <c r="AF15" s="115">
        <f t="shared" si="135"/>
        <v>5.1864406779661018E-2</v>
      </c>
      <c r="AG15" s="115">
        <f t="shared" si="135"/>
        <v>4.4838373305526591E-2</v>
      </c>
      <c r="AH15" s="341">
        <f t="shared" si="132"/>
        <v>4.7892720306513412E-2</v>
      </c>
      <c r="AI15" s="115">
        <f t="shared" si="132"/>
        <v>5.4404145077720206E-2</v>
      </c>
      <c r="AJ15" s="115">
        <f t="shared" si="132"/>
        <v>5.7553956834532377E-2</v>
      </c>
      <c r="AK15" s="115">
        <f t="shared" si="132"/>
        <v>4.7021943573667714E-2</v>
      </c>
      <c r="AL15" s="683">
        <f t="shared" si="132"/>
        <v>4.2616033755274264E-2</v>
      </c>
      <c r="AM15" s="115">
        <f t="shared" si="132"/>
        <v>5.6196501674730184E-2</v>
      </c>
      <c r="AN15" s="115">
        <f t="shared" si="132"/>
        <v>4.4388398486759142E-2</v>
      </c>
      <c r="AO15" s="341">
        <f t="shared" ref="AO15:CE15" si="136">AO14/AO4</f>
        <v>4.9158147925435956E-2</v>
      </c>
      <c r="AP15" s="115">
        <f t="shared" ref="AP15:AU15" si="137">AP14/AP4</f>
        <v>5.0348567002323777E-2</v>
      </c>
      <c r="AQ15" s="115">
        <f t="shared" si="137"/>
        <v>4.7239263803680979E-2</v>
      </c>
      <c r="AR15" s="115">
        <f t="shared" si="137"/>
        <v>4.2944785276073622E-2</v>
      </c>
      <c r="AS15" s="683">
        <f t="shared" si="137"/>
        <v>5.6741028128031036E-2</v>
      </c>
      <c r="AT15" s="115">
        <f t="shared" si="137"/>
        <v>4.861348853132489E-2</v>
      </c>
      <c r="AU15" s="115">
        <f t="shared" si="137"/>
        <v>5.1005950694247661E-2</v>
      </c>
      <c r="AV15" s="341">
        <f t="shared" si="136"/>
        <v>5.2248062015503874E-2</v>
      </c>
      <c r="AW15" s="115">
        <f t="shared" si="136"/>
        <v>7.2840790842872011E-2</v>
      </c>
      <c r="AX15" s="115">
        <f t="shared" si="136"/>
        <v>5.3959355290819903E-2</v>
      </c>
      <c r="AY15" s="115">
        <f t="shared" si="136"/>
        <v>4.9012435991221653E-2</v>
      </c>
      <c r="AZ15" s="683">
        <f t="shared" si="136"/>
        <v>4.6351537402478202E-2</v>
      </c>
      <c r="BA15" s="115">
        <f t="shared" si="136"/>
        <v>6.1557788944723621E-2</v>
      </c>
      <c r="BB15" s="115">
        <f t="shared" si="136"/>
        <v>4.7377326565143825E-2</v>
      </c>
      <c r="BC15" s="341">
        <f t="shared" si="136"/>
        <v>5.3083923154701722E-2</v>
      </c>
      <c r="BD15" s="115">
        <f t="shared" ref="BD15:BI15" si="138">BD14/BD4</f>
        <v>6.8520357497517378E-2</v>
      </c>
      <c r="BE15" s="115">
        <f t="shared" si="138"/>
        <v>5.4252199413489736E-2</v>
      </c>
      <c r="BF15" s="115">
        <f t="shared" si="138"/>
        <v>5.4436987322893364E-2</v>
      </c>
      <c r="BG15" s="683">
        <f t="shared" si="138"/>
        <v>3.2679738562091505E-2</v>
      </c>
      <c r="BH15" s="115">
        <f t="shared" si="138"/>
        <v>6.0312104597216365E-2</v>
      </c>
      <c r="BI15" s="115">
        <f t="shared" si="138"/>
        <v>4.0704070407040702E-2</v>
      </c>
      <c r="BJ15" s="341">
        <f t="shared" si="136"/>
        <v>4.8443482603629101E-2</v>
      </c>
      <c r="BK15" s="115">
        <f t="shared" si="136"/>
        <v>6.2396006655574043E-2</v>
      </c>
      <c r="BL15" s="115">
        <f t="shared" si="136"/>
        <v>5.7471264367816091E-2</v>
      </c>
      <c r="BM15" s="115">
        <f t="shared" si="136"/>
        <v>4.3410852713178294E-2</v>
      </c>
      <c r="BN15" s="683">
        <f t="shared" si="136"/>
        <v>2.9299847792998476E-2</v>
      </c>
      <c r="BO15" s="115">
        <f t="shared" si="136"/>
        <v>6.0008572653236177E-2</v>
      </c>
      <c r="BP15" s="115">
        <f t="shared" si="136"/>
        <v>3.3945890760592137E-2</v>
      </c>
      <c r="BQ15" s="341">
        <f t="shared" si="136"/>
        <v>4.3673012318029114E-2</v>
      </c>
      <c r="BR15" s="115">
        <f t="shared" ref="BR15:BW15" si="139">BR14/BR4</f>
        <v>4.6728971962616821E-2</v>
      </c>
      <c r="BS15" s="115">
        <f t="shared" si="139"/>
        <v>4.5165843330980948E-2</v>
      </c>
      <c r="BT15" s="115">
        <f t="shared" si="139"/>
        <v>3.7589112119248216E-2</v>
      </c>
      <c r="BU15" s="683">
        <f t="shared" si="139"/>
        <v>4.1315345699831363E-2</v>
      </c>
      <c r="BV15" s="115">
        <f t="shared" si="139"/>
        <v>4.5875096376252894E-2</v>
      </c>
      <c r="BW15" s="115">
        <f t="shared" si="139"/>
        <v>3.9846743295019159E-2</v>
      </c>
      <c r="BX15" s="341">
        <f t="shared" si="136"/>
        <v>4.224919342448917E-2</v>
      </c>
      <c r="BY15" s="115">
        <f t="shared" si="136"/>
        <v>4.4268774703557313E-2</v>
      </c>
      <c r="BZ15" s="115">
        <f t="shared" ref="BZ15:CD15" si="140">BZ14/BZ4</f>
        <v>4.2596348884381338E-2</v>
      </c>
      <c r="CA15" s="115">
        <f t="shared" si="140"/>
        <v>3.274985883681536E-2</v>
      </c>
      <c r="CB15" s="683">
        <f t="shared" si="140"/>
        <v>3.8689301223845243E-2</v>
      </c>
      <c r="CC15" s="115">
        <f t="shared" si="140"/>
        <v>4.336734693877551E-2</v>
      </c>
      <c r="CD15" s="115">
        <f t="shared" si="140"/>
        <v>3.62453531598513E-2</v>
      </c>
      <c r="CE15" s="341">
        <f t="shared" si="136"/>
        <v>3.9018161180476733E-2</v>
      </c>
      <c r="CF15" s="115">
        <f t="shared" ref="CF15:CL15" si="141">CF14/CF4</f>
        <v>4.130162703379224E-2</v>
      </c>
      <c r="CG15" s="128">
        <f t="shared" si="141"/>
        <v>4.9498746867167917E-2</v>
      </c>
      <c r="CH15" s="115">
        <f t="shared" si="141"/>
        <v>5.3133514986376022E-2</v>
      </c>
      <c r="CI15" s="683">
        <f t="shared" si="141"/>
        <v>4.1869158878504675E-2</v>
      </c>
      <c r="CJ15" s="115">
        <f t="shared" si="141"/>
        <v>4.5397620538509709E-2</v>
      </c>
      <c r="CK15" s="128">
        <f t="shared" si="141"/>
        <v>4.5860487569394162E-2</v>
      </c>
      <c r="CL15" s="341">
        <f t="shared" si="141"/>
        <v>4.5658988687474443E-2</v>
      </c>
      <c r="CM15" s="115">
        <f t="shared" ref="CM15:CN15" si="142">CM14/CM4</f>
        <v>4.8596851471594801E-2</v>
      </c>
      <c r="CN15" s="128">
        <f t="shared" si="142"/>
        <v>4.8554913294797684E-2</v>
      </c>
      <c r="CO15" s="128">
        <f t="shared" ref="CO15:CP15" si="143">CO14/CO4</f>
        <v>4.2755344418052253E-2</v>
      </c>
      <c r="CP15" s="683">
        <f t="shared" si="143"/>
        <v>3.6203522504892366E-2</v>
      </c>
      <c r="CQ15" s="115">
        <f t="shared" ref="CQ15:CS15" si="144">CQ14/CQ4</f>
        <v>4.8574114697586962E-2</v>
      </c>
      <c r="CR15" s="115">
        <f t="shared" ref="CR15" si="145">CR14/CR4</f>
        <v>3.8526315789473686E-2</v>
      </c>
      <c r="CS15" s="341">
        <f t="shared" si="144"/>
        <v>4.2563908827603573E-2</v>
      </c>
      <c r="CT15" s="115">
        <f t="shared" ref="CT15:CW15" si="146">CT14/CT4</f>
        <v>4.1250000000000002E-2</v>
      </c>
      <c r="CU15" s="128">
        <f t="shared" si="146"/>
        <v>3.7744863831820352E-2</v>
      </c>
      <c r="CV15" s="128">
        <f t="shared" si="146"/>
        <v>4.1858090862685042E-2</v>
      </c>
      <c r="CW15" s="683">
        <f t="shared" si="146"/>
        <v>3.5843373493975907E-2</v>
      </c>
      <c r="CX15" s="115">
        <f t="shared" ref="CX15:CY15" si="147">CX14/CX4</f>
        <v>3.9263471432439752E-2</v>
      </c>
      <c r="CY15" s="115">
        <f t="shared" si="147"/>
        <v>3.8075393066868725E-2</v>
      </c>
      <c r="CZ15" s="341">
        <f t="shared" ref="CZ15:DB15" si="148">CZ14/CZ4</f>
        <v>3.8564422648238963E-2</v>
      </c>
      <c r="DA15" s="115">
        <f t="shared" si="148"/>
        <v>4.738154613466334E-2</v>
      </c>
      <c r="DB15" s="128">
        <f t="shared" si="148"/>
        <v>3.5645472061657031E-2</v>
      </c>
      <c r="DC15" s="539">
        <f>DG15</f>
        <v>0.04</v>
      </c>
      <c r="DD15" s="432">
        <f>DD14/DD4</f>
        <v>3.9224286044968623E-2</v>
      </c>
      <c r="DE15" s="115">
        <f t="shared" ref="DE15" si="149">DE14/DE4</f>
        <v>4.0760869565217392E-2</v>
      </c>
      <c r="DF15" s="817">
        <f>DF14/DF4</f>
        <v>3.9508038753592184E-2</v>
      </c>
      <c r="DG15" s="541">
        <v>0.04</v>
      </c>
      <c r="DH15" s="539">
        <f>DN15</f>
        <v>0.04</v>
      </c>
      <c r="DI15" s="817">
        <f>DI14/DI4</f>
        <v>4.0000000000000008E-2</v>
      </c>
      <c r="DJ15" s="539">
        <f>DN15</f>
        <v>0.04</v>
      </c>
      <c r="DK15" s="432">
        <f>DK14/DK4</f>
        <v>4.0000000000000008E-2</v>
      </c>
      <c r="DL15" s="539">
        <f>DN15</f>
        <v>0.04</v>
      </c>
      <c r="DM15" s="817">
        <f>DM14/DM4</f>
        <v>0.04</v>
      </c>
      <c r="DN15" s="1008">
        <f>DG15</f>
        <v>0.04</v>
      </c>
      <c r="DO15" s="539">
        <f>DU15</f>
        <v>0.04</v>
      </c>
      <c r="DP15" s="817">
        <f>DP14/DP4</f>
        <v>0.04</v>
      </c>
      <c r="DQ15" s="539">
        <f>DU15</f>
        <v>0.04</v>
      </c>
      <c r="DR15" s="432">
        <f>DR14/DR4</f>
        <v>0.04</v>
      </c>
      <c r="DS15" s="539">
        <f>DU15</f>
        <v>0.04</v>
      </c>
      <c r="DT15" s="817">
        <f>DT14/DT4</f>
        <v>0.04</v>
      </c>
      <c r="DU15" s="1008">
        <f>DN15</f>
        <v>0.04</v>
      </c>
      <c r="DV15" s="539">
        <f>EB15</f>
        <v>0.04</v>
      </c>
      <c r="DW15" s="817">
        <f>DW14/DW4</f>
        <v>3.9999999999999994E-2</v>
      </c>
      <c r="DX15" s="539">
        <f>EB15</f>
        <v>0.04</v>
      </c>
      <c r="DY15" s="432">
        <f>DY14/DY4</f>
        <v>4.0000000000000008E-2</v>
      </c>
      <c r="DZ15" s="539">
        <f>EB15</f>
        <v>0.04</v>
      </c>
      <c r="EA15" s="817">
        <f>EA14/EA4</f>
        <v>0.04</v>
      </c>
      <c r="EB15" s="1008">
        <f>DU15</f>
        <v>0.04</v>
      </c>
      <c r="EC15" s="539">
        <f>EI15</f>
        <v>0.04</v>
      </c>
      <c r="ED15" s="817">
        <f>ED14/ED4</f>
        <v>4.0000000000000008E-2</v>
      </c>
      <c r="EE15" s="539">
        <f>EI15</f>
        <v>0.04</v>
      </c>
      <c r="EF15" s="432">
        <f>EF14/EF4</f>
        <v>3.9999999999999994E-2</v>
      </c>
      <c r="EG15" s="539">
        <f>EI15</f>
        <v>0.04</v>
      </c>
      <c r="EH15" s="817">
        <f>EH14/EH4</f>
        <v>3.9999999999999994E-2</v>
      </c>
      <c r="EI15" s="1008">
        <f>EB15</f>
        <v>0.04</v>
      </c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</row>
    <row r="16" spans="1:187" ht="10.5" customHeight="1">
      <c r="A16" s="51"/>
      <c r="B16" s="166"/>
      <c r="C16" s="166"/>
      <c r="D16" s="166"/>
      <c r="E16" s="770"/>
      <c r="F16" s="770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684"/>
      <c r="R16" s="54"/>
      <c r="S16" s="54"/>
      <c r="T16" s="555"/>
      <c r="U16" s="54"/>
      <c r="V16" s="54"/>
      <c r="W16" s="54"/>
      <c r="X16" s="684"/>
      <c r="Y16" s="54"/>
      <c r="Z16" s="54"/>
      <c r="AA16" s="555"/>
      <c r="AB16" s="54"/>
      <c r="AC16" s="54"/>
      <c r="AD16" s="54"/>
      <c r="AE16" s="684"/>
      <c r="AF16" s="54"/>
      <c r="AG16" s="54"/>
      <c r="AH16" s="555"/>
      <c r="AI16" s="54"/>
      <c r="AJ16" s="54"/>
      <c r="AK16" s="54"/>
      <c r="AL16" s="684"/>
      <c r="AM16" s="54"/>
      <c r="AN16" s="54"/>
      <c r="AO16" s="555"/>
      <c r="AP16" s="54"/>
      <c r="AQ16" s="54"/>
      <c r="AR16" s="54"/>
      <c r="AS16" s="684"/>
      <c r="AT16" s="54"/>
      <c r="AU16" s="54"/>
      <c r="AV16" s="555"/>
      <c r="AW16" s="54"/>
      <c r="AX16" s="54"/>
      <c r="AY16" s="54"/>
      <c r="AZ16" s="684"/>
      <c r="BA16" s="54"/>
      <c r="BB16" s="54"/>
      <c r="BC16" s="555"/>
      <c r="BD16" s="54"/>
      <c r="BE16" s="54"/>
      <c r="BF16" s="54"/>
      <c r="BG16" s="684"/>
      <c r="BH16" s="54"/>
      <c r="BI16" s="54"/>
      <c r="BJ16" s="555"/>
      <c r="BK16" s="54"/>
      <c r="BL16" s="54"/>
      <c r="BM16" s="54"/>
      <c r="BN16" s="684"/>
      <c r="BO16" s="54"/>
      <c r="BP16" s="54"/>
      <c r="BQ16" s="555"/>
      <c r="BR16" s="54"/>
      <c r="BS16" s="54"/>
      <c r="BT16" s="54"/>
      <c r="BU16" s="684"/>
      <c r="BV16" s="54"/>
      <c r="BW16" s="54"/>
      <c r="BX16" s="555"/>
      <c r="BY16" s="54"/>
      <c r="BZ16" s="54"/>
      <c r="CA16" s="54"/>
      <c r="CB16" s="684"/>
      <c r="CC16" s="54"/>
      <c r="CD16" s="54"/>
      <c r="CE16" s="555"/>
      <c r="CF16" s="54"/>
      <c r="CG16" s="54"/>
      <c r="CH16" s="54"/>
      <c r="CI16" s="684"/>
      <c r="CJ16" s="54"/>
      <c r="CK16" s="54"/>
      <c r="CL16" s="555"/>
      <c r="CM16" s="54"/>
      <c r="CN16" s="54"/>
      <c r="CO16" s="54"/>
      <c r="CP16" s="684"/>
      <c r="CQ16" s="54"/>
      <c r="CR16" s="54"/>
      <c r="CS16" s="555"/>
      <c r="CT16" s="54"/>
      <c r="CU16" s="54"/>
      <c r="CV16" s="54"/>
      <c r="CW16" s="684"/>
      <c r="CX16" s="54"/>
      <c r="CY16" s="54"/>
      <c r="CZ16" s="555"/>
      <c r="DA16" s="54"/>
      <c r="DB16" s="54"/>
      <c r="DC16" s="54"/>
      <c r="DD16" s="684"/>
      <c r="DE16" s="54"/>
      <c r="DF16" s="54"/>
      <c r="DG16" s="555"/>
      <c r="DH16" s="54"/>
      <c r="DI16" s="54"/>
      <c r="DJ16" s="54"/>
      <c r="DK16" s="684"/>
      <c r="DL16" s="54"/>
      <c r="DM16" s="54"/>
      <c r="DN16" s="555"/>
      <c r="DO16" s="54"/>
      <c r="DP16" s="54"/>
      <c r="DQ16" s="54"/>
      <c r="DR16" s="684"/>
      <c r="DS16" s="54"/>
      <c r="DT16" s="54"/>
      <c r="DU16" s="555"/>
      <c r="DV16" s="54"/>
      <c r="DW16" s="54"/>
      <c r="DX16" s="54"/>
      <c r="DY16" s="684"/>
      <c r="DZ16" s="54"/>
      <c r="EA16" s="54"/>
      <c r="EB16" s="555"/>
      <c r="EC16" s="54"/>
      <c r="ED16" s="54"/>
      <c r="EE16" s="54"/>
      <c r="EF16" s="684"/>
      <c r="EG16" s="54"/>
      <c r="EH16" s="54"/>
      <c r="EI16" s="555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</row>
    <row r="17" spans="1:187" ht="10.5" customHeight="1">
      <c r="A17" s="48" t="s">
        <v>336</v>
      </c>
      <c r="B17" s="56">
        <v>45</v>
      </c>
      <c r="C17" s="58">
        <f>Divisional!C64</f>
        <v>138.6</v>
      </c>
      <c r="D17" s="58">
        <f>Divisional!D64</f>
        <v>95.199999999999989</v>
      </c>
      <c r="E17" s="58">
        <f>Divisional!E64</f>
        <v>52</v>
      </c>
      <c r="F17" s="58">
        <f>Divisional!F64</f>
        <v>68</v>
      </c>
      <c r="G17" s="58">
        <f>Divisional!G64</f>
        <v>74</v>
      </c>
      <c r="H17" s="58">
        <f>Divisional!H64</f>
        <v>76</v>
      </c>
      <c r="I17" s="58">
        <f>Divisional!I64</f>
        <v>85</v>
      </c>
      <c r="J17" s="58">
        <f>Divisional!J64</f>
        <v>86</v>
      </c>
      <c r="K17" s="58">
        <f>Divisional!K64</f>
        <v>91</v>
      </c>
      <c r="L17" s="58">
        <f>Divisional!L64</f>
        <v>140</v>
      </c>
      <c r="M17" s="58">
        <f>Divisional!M64</f>
        <v>134</v>
      </c>
      <c r="N17" s="1217"/>
      <c r="O17" s="1217"/>
      <c r="P17" s="1217"/>
      <c r="Q17" s="1283"/>
      <c r="R17" s="1217"/>
      <c r="S17" s="1217"/>
      <c r="T17" s="1282">
        <f>Divisional!T64</f>
        <v>136</v>
      </c>
      <c r="U17" s="1217"/>
      <c r="V17" s="1217"/>
      <c r="W17" s="1217"/>
      <c r="X17" s="1283"/>
      <c r="Y17" s="1217"/>
      <c r="Z17" s="1217"/>
      <c r="AA17" s="1282">
        <f>Divisional!AA64</f>
        <v>157</v>
      </c>
      <c r="AB17" s="1217"/>
      <c r="AC17" s="1217"/>
      <c r="AD17" s="1217"/>
      <c r="AE17" s="1283"/>
      <c r="AF17" s="1217"/>
      <c r="AG17" s="1217"/>
      <c r="AH17" s="1282">
        <f>Divisional!AH64</f>
        <v>159</v>
      </c>
      <c r="AI17" s="1217"/>
      <c r="AJ17" s="1217"/>
      <c r="AK17" s="1217"/>
      <c r="AL17" s="1283"/>
      <c r="AM17" s="1217"/>
      <c r="AN17" s="1217"/>
      <c r="AO17" s="1282">
        <f>Divisional!AO64</f>
        <v>183</v>
      </c>
      <c r="AP17" s="1217"/>
      <c r="AQ17" s="1217"/>
      <c r="AR17" s="1217"/>
      <c r="AS17" s="1283"/>
      <c r="AT17" s="1217"/>
      <c r="AU17" s="1217"/>
      <c r="AV17" s="1282">
        <f>Divisional!AV64</f>
        <v>209</v>
      </c>
      <c r="AW17" s="1217"/>
      <c r="AX17" s="1217"/>
      <c r="AY17" s="1217"/>
      <c r="AZ17" s="1283"/>
      <c r="BA17" s="1217"/>
      <c r="BB17" s="1217"/>
      <c r="BC17" s="1282">
        <f>Divisional!BJ64</f>
        <v>167</v>
      </c>
      <c r="BD17" s="1217"/>
      <c r="BE17" s="1217"/>
      <c r="BF17" s="1217"/>
      <c r="BG17" s="1283"/>
      <c r="BH17" s="1217"/>
      <c r="BI17" s="1217"/>
      <c r="BJ17" s="1282">
        <v>160</v>
      </c>
      <c r="BK17" s="1217"/>
      <c r="BL17" s="1217"/>
      <c r="BM17" s="1217"/>
      <c r="BN17" s="1283"/>
      <c r="BO17" s="1217"/>
      <c r="BP17" s="1217"/>
      <c r="BQ17" s="1282">
        <v>208</v>
      </c>
      <c r="BR17" s="1217"/>
      <c r="BS17" s="1217"/>
      <c r="BT17" s="1217"/>
      <c r="BU17" s="1283"/>
      <c r="BV17" s="1217"/>
      <c r="BW17" s="1217"/>
      <c r="BX17" s="1282">
        <v>184</v>
      </c>
      <c r="BY17" s="1217"/>
      <c r="BZ17" s="1217"/>
      <c r="CA17" s="1217"/>
      <c r="CB17" s="1283"/>
      <c r="CC17" s="1217"/>
      <c r="CD17" s="1217"/>
      <c r="CE17" s="1282">
        <v>189</v>
      </c>
      <c r="CF17" s="1217">
        <f>CF4*CF18</f>
        <v>41.547999999999995</v>
      </c>
      <c r="CG17" s="1217">
        <f>CJ17-CF17</f>
        <v>41.496000000000002</v>
      </c>
      <c r="CH17" s="1217">
        <f>CH4*CH18</f>
        <v>38.167999999999999</v>
      </c>
      <c r="CI17" s="1283">
        <f>CK17-CH17</f>
        <v>70.788000000000011</v>
      </c>
      <c r="CJ17" s="1217">
        <f>CJ4*CJ18</f>
        <v>83.043999999999997</v>
      </c>
      <c r="CK17" s="1217">
        <f>CL17-CJ17</f>
        <v>108.956</v>
      </c>
      <c r="CL17" s="1282">
        <v>192</v>
      </c>
      <c r="CM17" s="1217">
        <f>CM4*CM18</f>
        <v>39.447000000000003</v>
      </c>
      <c r="CN17" s="1217">
        <f>CQ17-CM17</f>
        <v>46.709999999999994</v>
      </c>
      <c r="CO17" s="1217">
        <f>CO4*CO18</f>
        <v>45.467999999999996</v>
      </c>
      <c r="CP17" s="1283">
        <f>CR17-CO17</f>
        <v>83.375000000000028</v>
      </c>
      <c r="CQ17" s="1217">
        <f>CQ4*CQ18</f>
        <v>86.156999999999996</v>
      </c>
      <c r="CR17" s="1217">
        <f>CS17-CQ17</f>
        <v>128.84300000000002</v>
      </c>
      <c r="CS17" s="1282">
        <v>215</v>
      </c>
      <c r="CT17" s="1217">
        <f>CT4*CT18</f>
        <v>40</v>
      </c>
      <c r="CU17" s="1217">
        <f>CX17-CT17</f>
        <v>52.325000000000003</v>
      </c>
      <c r="CV17" s="1217">
        <f>CV4*CV18</f>
        <v>48.975000000000001</v>
      </c>
      <c r="CW17" s="1283">
        <f>CY17-CV17</f>
        <v>109.70000000000002</v>
      </c>
      <c r="CX17" s="1217">
        <f>CX4*CX18</f>
        <v>92.325000000000003</v>
      </c>
      <c r="CY17" s="1217">
        <f>CZ17-CX17</f>
        <v>158.67500000000001</v>
      </c>
      <c r="CZ17" s="1282">
        <v>251</v>
      </c>
      <c r="DA17" s="1217">
        <f>DA4*DA18</f>
        <v>48.12</v>
      </c>
      <c r="DB17" s="1217">
        <f>DE17-DA17</f>
        <v>62.279999999999994</v>
      </c>
      <c r="DC17" s="985">
        <f>DC4*DC18</f>
        <v>62.45781749999999</v>
      </c>
      <c r="DD17" s="1006">
        <f>DF17-DC17</f>
        <v>108.28733898000006</v>
      </c>
      <c r="DE17" s="1217">
        <f>DE4*DE18</f>
        <v>110.39999999999999</v>
      </c>
      <c r="DF17" s="985">
        <f>DG17-DE17</f>
        <v>170.74515648000005</v>
      </c>
      <c r="DG17" s="974">
        <f>DG4*DG18</f>
        <v>281.14515648000003</v>
      </c>
      <c r="DH17" s="985">
        <f>DH4*DH18</f>
        <v>50.336599679999999</v>
      </c>
      <c r="DI17" s="985">
        <f>DL17-DH17</f>
        <v>65.08527552000001</v>
      </c>
      <c r="DJ17" s="985">
        <f>DJ4*DJ18</f>
        <v>65.271390110999988</v>
      </c>
      <c r="DK17" s="1006">
        <f>DM17-DJ17</f>
        <v>112.97680259479208</v>
      </c>
      <c r="DL17" s="985">
        <f>DL4*DL18</f>
        <v>115.4218752</v>
      </c>
      <c r="DM17" s="985">
        <f>DN17-DL17</f>
        <v>178.24819270579206</v>
      </c>
      <c r="DN17" s="974">
        <f>DN4*DN18</f>
        <v>293.67006790579205</v>
      </c>
      <c r="DO17" s="985">
        <f>DO4*DO18</f>
        <v>52.656377571072007</v>
      </c>
      <c r="DP17" s="985">
        <f>DS17-DO17</f>
        <v>68.018342347008002</v>
      </c>
      <c r="DQ17" s="985">
        <f>DQ4*DQ18</f>
        <v>68.213144894684405</v>
      </c>
      <c r="DR17" s="1006">
        <f>DT17-DQ17</f>
        <v>117.87145329562162</v>
      </c>
      <c r="DS17" s="985">
        <f>DS4*DS18</f>
        <v>120.67471991808</v>
      </c>
      <c r="DT17" s="985">
        <f>DU17-DS17</f>
        <v>186.08459819030602</v>
      </c>
      <c r="DU17" s="974">
        <f>DU4*DU18</f>
        <v>306.75931810838603</v>
      </c>
      <c r="DV17" s="985">
        <f>DV4*DV18</f>
        <v>55.084183452143321</v>
      </c>
      <c r="DW17" s="985">
        <f>DZ17-DV17</f>
        <v>71.085086158627121</v>
      </c>
      <c r="DX17" s="985">
        <f>DX4*DX18</f>
        <v>71.28898610278965</v>
      </c>
      <c r="DY17" s="1006">
        <f>EA17-DX17</f>
        <v>122.98036727856477</v>
      </c>
      <c r="DZ17" s="985">
        <f>DZ4*DZ18</f>
        <v>126.16926961077044</v>
      </c>
      <c r="EA17" s="985">
        <f>EB17-DZ17</f>
        <v>194.26935338135442</v>
      </c>
      <c r="EB17" s="974">
        <f>EB4*EB18</f>
        <v>320.43862299212486</v>
      </c>
      <c r="EC17" s="985">
        <f>EC4*EC18</f>
        <v>57.625097102169903</v>
      </c>
      <c r="ED17" s="985">
        <f>EG17-EC17</f>
        <v>74.291666559275669</v>
      </c>
      <c r="EE17" s="985">
        <f>EE4*EE18</f>
        <v>74.505092803420354</v>
      </c>
      <c r="EF17" s="1006">
        <f>EH17-EE17</f>
        <v>128.31302674990872</v>
      </c>
      <c r="EG17" s="985">
        <f>EG4*EG18</f>
        <v>131.91676366144557</v>
      </c>
      <c r="EH17" s="985">
        <f>EI17-EG17</f>
        <v>202.81811955332907</v>
      </c>
      <c r="EI17" s="974">
        <f>EI4*EI18</f>
        <v>334.73488321477464</v>
      </c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63"/>
      <c r="FQ17" s="163"/>
      <c r="FR17" s="163"/>
      <c r="FS17" s="163"/>
      <c r="FT17" s="163"/>
      <c r="FU17" s="163"/>
      <c r="FV17" s="163"/>
      <c r="FW17" s="163"/>
      <c r="FX17" s="163"/>
      <c r="FY17" s="163"/>
      <c r="FZ17" s="163"/>
      <c r="GA17" s="163"/>
      <c r="GB17" s="163"/>
      <c r="GC17" s="163"/>
      <c r="GD17" s="163"/>
      <c r="GE17" s="163"/>
    </row>
    <row r="18" spans="1:187" ht="10.5" customHeight="1">
      <c r="A18" s="28" t="s">
        <v>335</v>
      </c>
      <c r="B18" s="166"/>
      <c r="C18" s="128">
        <f t="shared" ref="C18:L18" si="150">C17/C4</f>
        <v>5.1643192488262914E-2</v>
      </c>
      <c r="D18" s="128">
        <f t="shared" si="150"/>
        <v>3.6813611755607108E-2</v>
      </c>
      <c r="E18" s="128">
        <f t="shared" si="150"/>
        <v>1.8664752333094042E-2</v>
      </c>
      <c r="F18" s="128">
        <f t="shared" si="150"/>
        <v>2.1177203363438181E-2</v>
      </c>
      <c r="G18" s="128">
        <f t="shared" si="150"/>
        <v>1.9458322377070732E-2</v>
      </c>
      <c r="H18" s="128">
        <f t="shared" si="150"/>
        <v>1.8216682646212849E-2</v>
      </c>
      <c r="I18" s="128">
        <f t="shared" si="150"/>
        <v>1.8947837717342843E-2</v>
      </c>
      <c r="J18" s="128">
        <f t="shared" si="150"/>
        <v>1.8818380743982493E-2</v>
      </c>
      <c r="K18" s="128">
        <f t="shared" si="150"/>
        <v>1.8840579710144929E-2</v>
      </c>
      <c r="L18" s="128">
        <f t="shared" si="150"/>
        <v>2.5854108956602031E-2</v>
      </c>
      <c r="M18" s="128">
        <f t="shared" ref="M18:AV18" si="151">M17/M4</f>
        <v>2.1392081736909322E-2</v>
      </c>
      <c r="N18" s="937"/>
      <c r="O18" s="128"/>
      <c r="P18" s="937"/>
      <c r="Q18" s="683"/>
      <c r="R18" s="937"/>
      <c r="S18" s="128"/>
      <c r="T18" s="341">
        <f t="shared" si="151"/>
        <v>2.1597586152135938E-2</v>
      </c>
      <c r="U18" s="937"/>
      <c r="V18" s="128"/>
      <c r="W18" s="937"/>
      <c r="X18" s="683"/>
      <c r="Y18" s="937"/>
      <c r="Z18" s="128"/>
      <c r="AA18" s="341">
        <f t="shared" si="151"/>
        <v>2.4064990803188229E-2</v>
      </c>
      <c r="AB18" s="937"/>
      <c r="AC18" s="128"/>
      <c r="AD18" s="937"/>
      <c r="AE18" s="683"/>
      <c r="AF18" s="937"/>
      <c r="AG18" s="128"/>
      <c r="AH18" s="341">
        <f t="shared" si="151"/>
        <v>2.3430592396109638E-2</v>
      </c>
      <c r="AI18" s="937"/>
      <c r="AJ18" s="128"/>
      <c r="AK18" s="937"/>
      <c r="AL18" s="683"/>
      <c r="AM18" s="937"/>
      <c r="AN18" s="128"/>
      <c r="AO18" s="341">
        <f t="shared" si="151"/>
        <v>2.751052315093205E-2</v>
      </c>
      <c r="AP18" s="937"/>
      <c r="AQ18" s="128"/>
      <c r="AR18" s="937"/>
      <c r="AS18" s="683"/>
      <c r="AT18" s="937"/>
      <c r="AU18" s="128"/>
      <c r="AV18" s="341">
        <f t="shared" si="151"/>
        <v>3.2403100775193795E-2</v>
      </c>
      <c r="AW18" s="937"/>
      <c r="AX18" s="128"/>
      <c r="AY18" s="937"/>
      <c r="AZ18" s="683"/>
      <c r="BA18" s="937"/>
      <c r="BB18" s="128"/>
      <c r="BC18" s="341">
        <f>BC17/BC4</f>
        <v>2.8142905291540277E-2</v>
      </c>
      <c r="BD18" s="937"/>
      <c r="BE18" s="128"/>
      <c r="BF18" s="937"/>
      <c r="BG18" s="683"/>
      <c r="BH18" s="937"/>
      <c r="BI18" s="128"/>
      <c r="BJ18" s="341">
        <f>BJ17/BJ4</f>
        <v>2.663559180955552E-2</v>
      </c>
      <c r="BK18" s="937"/>
      <c r="BL18" s="128"/>
      <c r="BM18" s="937"/>
      <c r="BN18" s="683"/>
      <c r="BO18" s="937"/>
      <c r="BP18" s="128"/>
      <c r="BQ18" s="341">
        <f>BQ17/BQ4</f>
        <v>3.3274676051831709E-2</v>
      </c>
      <c r="BR18" s="937"/>
      <c r="BS18" s="128"/>
      <c r="BT18" s="937"/>
      <c r="BU18" s="683"/>
      <c r="BV18" s="937"/>
      <c r="BW18" s="128"/>
      <c r="BX18" s="341">
        <f>BX17/BX4</f>
        <v>2.8268551236749116E-2</v>
      </c>
      <c r="BY18" s="937"/>
      <c r="BZ18" s="128"/>
      <c r="CA18" s="937"/>
      <c r="CB18" s="683"/>
      <c r="CC18" s="937"/>
      <c r="CD18" s="128"/>
      <c r="CE18" s="341">
        <f>CE17/CE4</f>
        <v>2.6816118047673098E-2</v>
      </c>
      <c r="CF18" s="937">
        <v>2.5999999999999999E-2</v>
      </c>
      <c r="CG18" s="128">
        <f>CG17/CG4</f>
        <v>2.6000000000000002E-2</v>
      </c>
      <c r="CH18" s="937">
        <v>2.5999999999999999E-2</v>
      </c>
      <c r="CI18" s="683">
        <f>CI17/CI4</f>
        <v>2.6462803738317761E-2</v>
      </c>
      <c r="CJ18" s="937">
        <v>2.5999999999999999E-2</v>
      </c>
      <c r="CK18" s="128">
        <f>CK17/CK4</f>
        <v>2.6298817282162684E-2</v>
      </c>
      <c r="CL18" s="341">
        <f>CL17/CL4</f>
        <v>2.6168733814910725E-2</v>
      </c>
      <c r="CM18" s="937">
        <v>2.7E-2</v>
      </c>
      <c r="CN18" s="128">
        <f>CN17/CN4</f>
        <v>2.6999999999999996E-2</v>
      </c>
      <c r="CO18" s="937">
        <v>2.7E-2</v>
      </c>
      <c r="CP18" s="683">
        <f>CP17/CP4</f>
        <v>2.7193411611219839E-2</v>
      </c>
      <c r="CQ18" s="937">
        <v>2.7E-2</v>
      </c>
      <c r="CR18" s="128">
        <f>CR17/CR4</f>
        <v>2.7124842105263162E-2</v>
      </c>
      <c r="CS18" s="341">
        <f>CS17/CS4</f>
        <v>2.7074675733534819E-2</v>
      </c>
      <c r="CT18" s="937">
        <v>2.5000000000000001E-2</v>
      </c>
      <c r="CU18" s="128">
        <f>CU17/CU4</f>
        <v>2.5000000000000001E-2</v>
      </c>
      <c r="CV18" s="937">
        <v>2.5000000000000001E-2</v>
      </c>
      <c r="CW18" s="683">
        <f>CW17/CW4</f>
        <v>3.3042168674698801E-2</v>
      </c>
      <c r="CX18" s="1818">
        <v>2.5000000000000001E-2</v>
      </c>
      <c r="CY18" s="128">
        <f>CY17/CY4</f>
        <v>3.0057776093957191E-2</v>
      </c>
      <c r="CZ18" s="341">
        <f>CZ17/CZ4</f>
        <v>2.7975925100312084E-2</v>
      </c>
      <c r="DA18" s="937">
        <v>0.03</v>
      </c>
      <c r="DB18" s="128">
        <f>DB17/DB4</f>
        <v>2.9999999999999995E-2</v>
      </c>
      <c r="DC18" s="539">
        <f>DG18</f>
        <v>0.03</v>
      </c>
      <c r="DD18" s="432">
        <f>DD17/DD4</f>
        <v>3.0000000000000009E-2</v>
      </c>
      <c r="DE18" s="937">
        <f>DG18</f>
        <v>0.03</v>
      </c>
      <c r="DF18" s="817">
        <f>DF17/DF4</f>
        <v>3.0000000000000006E-2</v>
      </c>
      <c r="DG18" s="541">
        <v>0.03</v>
      </c>
      <c r="DH18" s="539">
        <f>DN18</f>
        <v>0.03</v>
      </c>
      <c r="DI18" s="817">
        <f>DI17/DI4</f>
        <v>3.0000000000000009E-2</v>
      </c>
      <c r="DJ18" s="539">
        <f>DN18</f>
        <v>0.03</v>
      </c>
      <c r="DK18" s="432">
        <f>DK17/DK4</f>
        <v>3.0000000000000009E-2</v>
      </c>
      <c r="DL18" s="539">
        <f>DN18</f>
        <v>0.03</v>
      </c>
      <c r="DM18" s="817">
        <f>DM17/DM4</f>
        <v>3.0000000000000006E-2</v>
      </c>
      <c r="DN18" s="1008">
        <f>DG18</f>
        <v>0.03</v>
      </c>
      <c r="DO18" s="539">
        <f>DU18</f>
        <v>0.03</v>
      </c>
      <c r="DP18" s="817">
        <f>DP17/DP4</f>
        <v>3.0000000000000002E-2</v>
      </c>
      <c r="DQ18" s="539">
        <f>DU18</f>
        <v>0.03</v>
      </c>
      <c r="DR18" s="432">
        <f>DR17/DR4</f>
        <v>2.9999999999999995E-2</v>
      </c>
      <c r="DS18" s="539">
        <f>DU18</f>
        <v>0.03</v>
      </c>
      <c r="DT18" s="817">
        <f>DT17/DT4</f>
        <v>2.9999999999999995E-2</v>
      </c>
      <c r="DU18" s="1008">
        <f>DN18</f>
        <v>0.03</v>
      </c>
      <c r="DV18" s="539">
        <f>EB18</f>
        <v>0.03</v>
      </c>
      <c r="DW18" s="817">
        <f>DW17/DW4</f>
        <v>2.9999999999999992E-2</v>
      </c>
      <c r="DX18" s="539">
        <f>EB18</f>
        <v>0.03</v>
      </c>
      <c r="DY18" s="432">
        <f>DY17/DY4</f>
        <v>3.0000000000000002E-2</v>
      </c>
      <c r="DZ18" s="539">
        <f>EB18</f>
        <v>0.03</v>
      </c>
      <c r="EA18" s="817">
        <f>EA17/EA4</f>
        <v>3.0000000000000002E-2</v>
      </c>
      <c r="EB18" s="1008">
        <f>DU18</f>
        <v>0.03</v>
      </c>
      <c r="EC18" s="539">
        <f>EI18</f>
        <v>0.03</v>
      </c>
      <c r="ED18" s="817">
        <f>ED17/ED4</f>
        <v>3.0000000000000006E-2</v>
      </c>
      <c r="EE18" s="539">
        <f>EI18</f>
        <v>0.03</v>
      </c>
      <c r="EF18" s="432">
        <f>EF17/EF4</f>
        <v>2.9999999999999988E-2</v>
      </c>
      <c r="EG18" s="539">
        <f>EI18</f>
        <v>0.03</v>
      </c>
      <c r="EH18" s="817">
        <f>EH17/EH4</f>
        <v>2.9999999999999992E-2</v>
      </c>
      <c r="EI18" s="1008">
        <f>EB18</f>
        <v>0.03</v>
      </c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</row>
    <row r="19" spans="1:187" ht="10.5" customHeight="1">
      <c r="A19" s="51"/>
      <c r="B19" s="166"/>
      <c r="C19" s="166"/>
      <c r="D19" s="166"/>
      <c r="E19" s="770"/>
      <c r="F19" s="770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684"/>
      <c r="R19" s="54"/>
      <c r="S19" s="54"/>
      <c r="T19" s="555"/>
      <c r="U19" s="54"/>
      <c r="V19" s="54"/>
      <c r="W19" s="54"/>
      <c r="X19" s="684"/>
      <c r="Y19" s="54"/>
      <c r="Z19" s="54"/>
      <c r="AA19" s="555"/>
      <c r="AB19" s="54"/>
      <c r="AC19" s="54"/>
      <c r="AD19" s="54"/>
      <c r="AE19" s="684"/>
      <c r="AF19" s="54"/>
      <c r="AG19" s="54"/>
      <c r="AH19" s="555"/>
      <c r="AI19" s="54"/>
      <c r="AJ19" s="54"/>
      <c r="AK19" s="54"/>
      <c r="AL19" s="684"/>
      <c r="AM19" s="54"/>
      <c r="AN19" s="54"/>
      <c r="AO19" s="555"/>
      <c r="AP19" s="54"/>
      <c r="AQ19" s="54"/>
      <c r="AR19" s="54"/>
      <c r="AS19" s="684"/>
      <c r="AT19" s="54"/>
      <c r="AU19" s="54"/>
      <c r="AV19" s="555"/>
      <c r="AW19" s="54"/>
      <c r="AX19" s="54"/>
      <c r="AY19" s="54"/>
      <c r="AZ19" s="684"/>
      <c r="BA19" s="54"/>
      <c r="BB19" s="54"/>
      <c r="BC19" s="555"/>
      <c r="BD19" s="54"/>
      <c r="BE19" s="54"/>
      <c r="BF19" s="54"/>
      <c r="BG19" s="684"/>
      <c r="BH19" s="54"/>
      <c r="BI19" s="54"/>
      <c r="BJ19" s="555"/>
      <c r="BK19" s="54"/>
      <c r="BL19" s="54"/>
      <c r="BM19" s="54"/>
      <c r="BN19" s="684"/>
      <c r="BO19" s="54"/>
      <c r="BP19" s="54"/>
      <c r="BQ19" s="555"/>
      <c r="BR19" s="54"/>
      <c r="BS19" s="54"/>
      <c r="BT19" s="54"/>
      <c r="BU19" s="684"/>
      <c r="BV19" s="54"/>
      <c r="BW19" s="54"/>
      <c r="BX19" s="555"/>
      <c r="BY19" s="54"/>
      <c r="BZ19" s="54"/>
      <c r="CA19" s="54"/>
      <c r="CB19" s="684"/>
      <c r="CC19" s="54"/>
      <c r="CD19" s="54"/>
      <c r="CE19" s="555"/>
      <c r="CF19" s="54"/>
      <c r="CG19" s="54"/>
      <c r="CH19" s="54"/>
      <c r="CI19" s="684"/>
      <c r="CJ19" s="54"/>
      <c r="CK19" s="54"/>
      <c r="CL19" s="555"/>
      <c r="CM19" s="54"/>
      <c r="CN19" s="54"/>
      <c r="CO19" s="54"/>
      <c r="CP19" s="684"/>
      <c r="CQ19" s="54"/>
      <c r="CR19" s="54"/>
      <c r="CS19" s="555"/>
      <c r="CT19" s="54"/>
      <c r="CU19" s="54"/>
      <c r="CV19" s="54"/>
      <c r="CW19" s="684"/>
      <c r="CX19" s="54"/>
      <c r="CY19" s="54"/>
      <c r="CZ19" s="555"/>
      <c r="DA19" s="54"/>
      <c r="DB19" s="54"/>
      <c r="DC19" s="54"/>
      <c r="DD19" s="684"/>
      <c r="DE19" s="54"/>
      <c r="DF19" s="54"/>
      <c r="DG19" s="555"/>
      <c r="DH19" s="54"/>
      <c r="DI19" s="54"/>
      <c r="DJ19" s="54"/>
      <c r="DK19" s="684"/>
      <c r="DL19" s="54"/>
      <c r="DM19" s="54"/>
      <c r="DN19" s="555"/>
      <c r="DO19" s="54"/>
      <c r="DP19" s="54"/>
      <c r="DQ19" s="54"/>
      <c r="DR19" s="684"/>
      <c r="DS19" s="54"/>
      <c r="DT19" s="54"/>
      <c r="DU19" s="555"/>
      <c r="DV19" s="54"/>
      <c r="DW19" s="54"/>
      <c r="DX19" s="54"/>
      <c r="DY19" s="684"/>
      <c r="DZ19" s="54"/>
      <c r="EA19" s="54"/>
      <c r="EB19" s="555"/>
      <c r="EC19" s="54"/>
      <c r="ED19" s="54"/>
      <c r="EE19" s="54"/>
      <c r="EF19" s="684"/>
      <c r="EG19" s="54"/>
      <c r="EH19" s="54"/>
      <c r="EI19" s="555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</row>
    <row r="20" spans="1:187" ht="10.5" customHeight="1">
      <c r="A20" s="48" t="s">
        <v>327</v>
      </c>
      <c r="B20" s="124"/>
      <c r="C20" s="58">
        <f>Divisional!C142</f>
        <v>137</v>
      </c>
      <c r="D20" s="58">
        <f>Divisional!D142</f>
        <v>142</v>
      </c>
      <c r="E20" s="58">
        <f>Divisional!E142</f>
        <v>92</v>
      </c>
      <c r="F20" s="58">
        <f>Divisional!F142</f>
        <v>79</v>
      </c>
      <c r="G20" s="58">
        <f>Divisional!G142</f>
        <v>110</v>
      </c>
      <c r="H20" s="58">
        <f>Divisional!H142</f>
        <v>206</v>
      </c>
      <c r="I20" s="58">
        <f>Divisional!I142</f>
        <v>190</v>
      </c>
      <c r="J20" s="58">
        <f>Divisional!J142</f>
        <v>149</v>
      </c>
      <c r="K20" s="58">
        <f>Divisional!K142</f>
        <v>166</v>
      </c>
      <c r="L20" s="58">
        <f>Divisional!L142</f>
        <v>200</v>
      </c>
      <c r="M20" s="58">
        <f>Divisional!M142</f>
        <v>323</v>
      </c>
      <c r="N20" s="871"/>
      <c r="O20" s="1217"/>
      <c r="P20" s="871"/>
      <c r="Q20" s="1283"/>
      <c r="R20" s="871"/>
      <c r="S20" s="1217"/>
      <c r="T20" s="1282">
        <f>Divisional!T142</f>
        <v>279</v>
      </c>
      <c r="U20" s="871"/>
      <c r="V20" s="1217"/>
      <c r="W20" s="871"/>
      <c r="X20" s="1283"/>
      <c r="Y20" s="871"/>
      <c r="Z20" s="1217"/>
      <c r="AA20" s="1282">
        <f>Divisional!AA142</f>
        <v>303</v>
      </c>
      <c r="AB20" s="871"/>
      <c r="AC20" s="1217"/>
      <c r="AD20" s="871"/>
      <c r="AE20" s="1283"/>
      <c r="AF20" s="871"/>
      <c r="AG20" s="1217"/>
      <c r="AH20" s="1282">
        <f>Divisional!AH142</f>
        <v>280</v>
      </c>
      <c r="AI20" s="871"/>
      <c r="AJ20" s="1217"/>
      <c r="AK20" s="871"/>
      <c r="AL20" s="1283"/>
      <c r="AM20" s="871"/>
      <c r="AN20" s="1217"/>
      <c r="AO20" s="1282">
        <f>Divisional!AO142</f>
        <v>236</v>
      </c>
      <c r="AP20" s="871"/>
      <c r="AQ20" s="1217"/>
      <c r="AR20" s="871"/>
      <c r="AS20" s="1283"/>
      <c r="AT20" s="871"/>
      <c r="AU20" s="1217"/>
      <c r="AV20" s="1282">
        <f>Divisional!AV142</f>
        <v>192</v>
      </c>
      <c r="AW20" s="871"/>
      <c r="AX20" s="1217"/>
      <c r="AY20" s="871"/>
      <c r="AZ20" s="1283"/>
      <c r="BA20" s="871"/>
      <c r="BB20" s="1217"/>
      <c r="BC20" s="1282">
        <f>Divisional!BJ142</f>
        <v>149</v>
      </c>
      <c r="BD20" s="871"/>
      <c r="BE20" s="1217"/>
      <c r="BF20" s="871"/>
      <c r="BG20" s="1283"/>
      <c r="BH20" s="871"/>
      <c r="BI20" s="1217"/>
      <c r="BJ20" s="1282">
        <v>163</v>
      </c>
      <c r="BK20" s="871"/>
      <c r="BL20" s="1217"/>
      <c r="BM20" s="871"/>
      <c r="BN20" s="1283"/>
      <c r="BO20" s="871"/>
      <c r="BP20" s="1217"/>
      <c r="BQ20" s="1282">
        <v>113</v>
      </c>
      <c r="BR20" s="871"/>
      <c r="BS20" s="1217"/>
      <c r="BT20" s="871"/>
      <c r="BU20" s="1283"/>
      <c r="BV20" s="871"/>
      <c r="BW20" s="1217"/>
      <c r="BX20" s="1282">
        <v>175</v>
      </c>
      <c r="BY20" s="871"/>
      <c r="BZ20" s="1217"/>
      <c r="CA20" s="871"/>
      <c r="CB20" s="1283"/>
      <c r="CC20" s="871"/>
      <c r="CD20" s="1217"/>
      <c r="CE20" s="1282">
        <v>183</v>
      </c>
      <c r="CF20" s="871">
        <f>CF17*CF21</f>
        <v>47.780199999999994</v>
      </c>
      <c r="CG20" s="1217">
        <f>CJ20-CF20</f>
        <v>47.720399999999998</v>
      </c>
      <c r="CH20" s="871">
        <f>CH17*CH21</f>
        <v>43.893199999999993</v>
      </c>
      <c r="CI20" s="1283">
        <f>CK20-CH20</f>
        <v>81.606200000000015</v>
      </c>
      <c r="CJ20" s="871">
        <f>CJ17*CJ21</f>
        <v>95.500599999999991</v>
      </c>
      <c r="CK20" s="1217">
        <f>CL20-CJ20</f>
        <v>125.49940000000001</v>
      </c>
      <c r="CL20" s="1282">
        <v>221</v>
      </c>
      <c r="CM20" s="871">
        <f>CM17*CM21</f>
        <v>49.308750000000003</v>
      </c>
      <c r="CN20" s="1217">
        <f>CQ20-CM20</f>
        <v>58.387499999999989</v>
      </c>
      <c r="CO20" s="871">
        <f>CO17*CO21</f>
        <v>56.834999999999994</v>
      </c>
      <c r="CP20" s="1283">
        <f>CR20-CO20</f>
        <v>104.46875000000001</v>
      </c>
      <c r="CQ20" s="871">
        <f>CQ17*CQ21</f>
        <v>107.69624999999999</v>
      </c>
      <c r="CR20" s="1217">
        <f>CS20-CQ20</f>
        <v>161.30375000000001</v>
      </c>
      <c r="CS20" s="1282">
        <v>269</v>
      </c>
      <c r="CT20" s="871">
        <f>CT17*CT21</f>
        <v>48</v>
      </c>
      <c r="CU20" s="1217">
        <f>CX20-CT20</f>
        <v>62.790000000000006</v>
      </c>
      <c r="CV20" s="871">
        <f>CV17*CV21</f>
        <v>58.769999999999996</v>
      </c>
      <c r="CW20" s="1283">
        <f>CY20-CV20</f>
        <v>127.43999999999998</v>
      </c>
      <c r="CX20" s="871">
        <f>CX17*CX21</f>
        <v>110.79</v>
      </c>
      <c r="CY20" s="1217">
        <f>CZ20-CX20</f>
        <v>186.20999999999998</v>
      </c>
      <c r="CZ20" s="1282">
        <v>297</v>
      </c>
      <c r="DA20" s="871">
        <f>DA17*DA21</f>
        <v>57.743999999999993</v>
      </c>
      <c r="DB20" s="1217">
        <f>DE20-DA20</f>
        <v>74.73599999999999</v>
      </c>
      <c r="DC20" s="895">
        <f>DC17*DC21</f>
        <v>74.949380999999988</v>
      </c>
      <c r="DD20" s="1006">
        <f>DF20-DC20</f>
        <v>129.94480677600006</v>
      </c>
      <c r="DE20" s="871">
        <f>DE17*DE21</f>
        <v>132.47999999999999</v>
      </c>
      <c r="DF20" s="985">
        <f>DG20-DE20</f>
        <v>204.89418777600005</v>
      </c>
      <c r="DG20" s="975">
        <f>DG17*DG21</f>
        <v>337.37418777600004</v>
      </c>
      <c r="DH20" s="895">
        <f>DH17*DH21</f>
        <v>55.370259648000001</v>
      </c>
      <c r="DI20" s="985">
        <f>DL20-DH20</f>
        <v>71.593803072000014</v>
      </c>
      <c r="DJ20" s="895">
        <f>DJ17*DJ21</f>
        <v>71.798529122099993</v>
      </c>
      <c r="DK20" s="1006">
        <f>DM20-DJ20</f>
        <v>124.27448285427128</v>
      </c>
      <c r="DL20" s="895">
        <f>DL17*DL21</f>
        <v>126.96406272000002</v>
      </c>
      <c r="DM20" s="985">
        <f>DN20-DL20</f>
        <v>196.07301197637128</v>
      </c>
      <c r="DN20" s="975">
        <f>DN17*DN21</f>
        <v>323.03707469637129</v>
      </c>
      <c r="DO20" s="895">
        <f>DO17*DO21</f>
        <v>52.656377571072007</v>
      </c>
      <c r="DP20" s="985">
        <f>DS20-DO20</f>
        <v>68.018342347008002</v>
      </c>
      <c r="DQ20" s="895">
        <f>DQ17*DQ21</f>
        <v>68.213144894684405</v>
      </c>
      <c r="DR20" s="1006">
        <f>DT20-DQ20</f>
        <v>117.87145329562162</v>
      </c>
      <c r="DS20" s="895">
        <f>DS17*DS21</f>
        <v>120.67471991808</v>
      </c>
      <c r="DT20" s="985">
        <f>DU20-DS20</f>
        <v>186.08459819030602</v>
      </c>
      <c r="DU20" s="975">
        <f>DU17*DU21</f>
        <v>306.75931810838603</v>
      </c>
      <c r="DV20" s="895">
        <f>DV17*DV21</f>
        <v>55.084183452143321</v>
      </c>
      <c r="DW20" s="985">
        <f>DZ20-DV20</f>
        <v>71.085086158627121</v>
      </c>
      <c r="DX20" s="895">
        <f>DX17*DX21</f>
        <v>71.28898610278965</v>
      </c>
      <c r="DY20" s="1006">
        <f>EA20-DX20</f>
        <v>122.98036727856477</v>
      </c>
      <c r="DZ20" s="895">
        <f>DZ17*DZ21</f>
        <v>126.16926961077044</v>
      </c>
      <c r="EA20" s="985">
        <f>EB20-DZ20</f>
        <v>194.26935338135442</v>
      </c>
      <c r="EB20" s="975">
        <f>EB17*EB21</f>
        <v>320.43862299212486</v>
      </c>
      <c r="EC20" s="895">
        <f>EC17*EC21</f>
        <v>57.625097102169903</v>
      </c>
      <c r="ED20" s="985">
        <f>EG20-EC20</f>
        <v>74.291666559275669</v>
      </c>
      <c r="EE20" s="895">
        <f>EE17*EE21</f>
        <v>74.505092803420354</v>
      </c>
      <c r="EF20" s="1006">
        <f>EH20-EE20</f>
        <v>128.31302674990872</v>
      </c>
      <c r="EG20" s="895">
        <f>EG17*EG21</f>
        <v>131.91676366144557</v>
      </c>
      <c r="EH20" s="985">
        <f>EI20-EG20</f>
        <v>202.81811955332907</v>
      </c>
      <c r="EI20" s="975">
        <f>EI17*EI21</f>
        <v>334.73488321477464</v>
      </c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</row>
    <row r="21" spans="1:187" ht="10.5" customHeight="1">
      <c r="A21" s="28" t="s">
        <v>337</v>
      </c>
      <c r="B21" s="164"/>
      <c r="C21" s="165">
        <f>C20/C17</f>
        <v>0.98845598845598848</v>
      </c>
      <c r="D21" s="165">
        <f t="shared" ref="D21:T21" si="152">D20/D17</f>
        <v>1.4915966386554624</v>
      </c>
      <c r="E21" s="165">
        <f t="shared" si="152"/>
        <v>1.7692307692307692</v>
      </c>
      <c r="F21" s="165">
        <f t="shared" si="152"/>
        <v>1.161764705882353</v>
      </c>
      <c r="G21" s="165">
        <f t="shared" si="152"/>
        <v>1.4864864864864864</v>
      </c>
      <c r="H21" s="165">
        <f t="shared" si="152"/>
        <v>2.7105263157894739</v>
      </c>
      <c r="I21" s="165">
        <f t="shared" si="152"/>
        <v>2.2352941176470589</v>
      </c>
      <c r="J21" s="165">
        <f t="shared" si="152"/>
        <v>1.7325581395348837</v>
      </c>
      <c r="K21" s="165">
        <f t="shared" si="152"/>
        <v>1.8241758241758241</v>
      </c>
      <c r="L21" s="165">
        <f t="shared" si="152"/>
        <v>1.4285714285714286</v>
      </c>
      <c r="M21" s="165">
        <f t="shared" si="152"/>
        <v>2.41044776119403</v>
      </c>
      <c r="N21" s="1218"/>
      <c r="O21" s="165"/>
      <c r="P21" s="1218"/>
      <c r="Q21" s="1293"/>
      <c r="R21" s="1218"/>
      <c r="S21" s="165"/>
      <c r="T21" s="1292">
        <f t="shared" si="152"/>
        <v>2.0514705882352939</v>
      </c>
      <c r="U21" s="1218"/>
      <c r="V21" s="165"/>
      <c r="W21" s="1218"/>
      <c r="X21" s="1293"/>
      <c r="Y21" s="1218"/>
      <c r="Z21" s="165"/>
      <c r="AA21" s="1292">
        <f t="shared" ref="AA21:CG21" si="153">AA20/AA17</f>
        <v>1.9299363057324841</v>
      </c>
      <c r="AB21" s="1218"/>
      <c r="AC21" s="165"/>
      <c r="AD21" s="1218"/>
      <c r="AE21" s="1293"/>
      <c r="AF21" s="1218"/>
      <c r="AG21" s="165"/>
      <c r="AH21" s="1292">
        <f t="shared" si="153"/>
        <v>1.7610062893081762</v>
      </c>
      <c r="AI21" s="1218"/>
      <c r="AJ21" s="165"/>
      <c r="AK21" s="1218"/>
      <c r="AL21" s="1293"/>
      <c r="AM21" s="1218"/>
      <c r="AN21" s="165"/>
      <c r="AO21" s="1292">
        <f t="shared" si="153"/>
        <v>1.2896174863387979</v>
      </c>
      <c r="AP21" s="1218"/>
      <c r="AQ21" s="165"/>
      <c r="AR21" s="1218"/>
      <c r="AS21" s="1293"/>
      <c r="AT21" s="1218"/>
      <c r="AU21" s="165"/>
      <c r="AV21" s="1292">
        <f t="shared" si="153"/>
        <v>0.91866028708133973</v>
      </c>
      <c r="AW21" s="1218"/>
      <c r="AX21" s="165"/>
      <c r="AY21" s="1218"/>
      <c r="AZ21" s="1293"/>
      <c r="BA21" s="1218"/>
      <c r="BB21" s="165"/>
      <c r="BC21" s="1292">
        <f t="shared" si="153"/>
        <v>0.89221556886227549</v>
      </c>
      <c r="BD21" s="1218"/>
      <c r="BE21" s="165"/>
      <c r="BF21" s="1218"/>
      <c r="BG21" s="1293"/>
      <c r="BH21" s="1218"/>
      <c r="BI21" s="165"/>
      <c r="BJ21" s="1292">
        <f t="shared" si="153"/>
        <v>1.01875</v>
      </c>
      <c r="BK21" s="1218"/>
      <c r="BL21" s="165"/>
      <c r="BM21" s="1218"/>
      <c r="BN21" s="1293"/>
      <c r="BO21" s="1218"/>
      <c r="BP21" s="165"/>
      <c r="BQ21" s="1292">
        <f t="shared" si="153"/>
        <v>0.54326923076923073</v>
      </c>
      <c r="BR21" s="1218"/>
      <c r="BS21" s="165"/>
      <c r="BT21" s="1218"/>
      <c r="BU21" s="1293"/>
      <c r="BV21" s="1218"/>
      <c r="BW21" s="165"/>
      <c r="BX21" s="1292">
        <f t="shared" si="153"/>
        <v>0.95108695652173914</v>
      </c>
      <c r="BY21" s="1218"/>
      <c r="BZ21" s="165"/>
      <c r="CA21" s="1218"/>
      <c r="CB21" s="1293"/>
      <c r="CC21" s="1218"/>
      <c r="CD21" s="165"/>
      <c r="CE21" s="1292">
        <f t="shared" si="153"/>
        <v>0.96825396825396826</v>
      </c>
      <c r="CF21" s="1218">
        <v>1.1499999999999999</v>
      </c>
      <c r="CG21" s="165">
        <f t="shared" si="153"/>
        <v>1.1499999999999999</v>
      </c>
      <c r="CH21" s="1218">
        <v>1.1499999999999999</v>
      </c>
      <c r="CI21" s="1293">
        <f>CI20/CI17</f>
        <v>1.1528253376278466</v>
      </c>
      <c r="CJ21" s="1218">
        <v>1.1499999999999999</v>
      </c>
      <c r="CK21" s="165">
        <f>CK20/CK17</f>
        <v>1.1518356033628254</v>
      </c>
      <c r="CL21" s="1292">
        <f t="shared" ref="CL21" si="154">CL20/CL17</f>
        <v>1.1510416666666667</v>
      </c>
      <c r="CM21" s="1218">
        <v>1.25</v>
      </c>
      <c r="CN21" s="165">
        <f t="shared" ref="CN21" si="155">CN20/CN17</f>
        <v>1.25</v>
      </c>
      <c r="CO21" s="1218">
        <v>1.25</v>
      </c>
      <c r="CP21" s="1293">
        <f>CP20/CP17</f>
        <v>1.2529985007496249</v>
      </c>
      <c r="CQ21" s="1218">
        <v>1.25</v>
      </c>
      <c r="CR21" s="165">
        <f>CR20/CR17</f>
        <v>1.2519403460024991</v>
      </c>
      <c r="CS21" s="1292">
        <f t="shared" ref="CS21" si="156">CS20/CS17</f>
        <v>1.2511627906976743</v>
      </c>
      <c r="CT21" s="1218">
        <v>1.2</v>
      </c>
      <c r="CU21" s="165">
        <f t="shared" ref="CU21" si="157">CU20/CU17</f>
        <v>1.2</v>
      </c>
      <c r="CV21" s="1218">
        <v>1.2</v>
      </c>
      <c r="CW21" s="1293">
        <f>CW20/CW17</f>
        <v>1.1617137648131264</v>
      </c>
      <c r="CX21" s="1822">
        <v>1.2</v>
      </c>
      <c r="CY21" s="165">
        <f>CY20/CY17</f>
        <v>1.1735308019536788</v>
      </c>
      <c r="CZ21" s="1292">
        <f t="shared" ref="CZ21" si="158">CZ20/CZ17</f>
        <v>1.1832669322709164</v>
      </c>
      <c r="DA21" s="1218">
        <v>1.2</v>
      </c>
      <c r="DB21" s="165">
        <f t="shared" ref="DB21" si="159">DB20/DB17</f>
        <v>1.2</v>
      </c>
      <c r="DC21" s="995">
        <f>DG21</f>
        <v>1.2</v>
      </c>
      <c r="DD21" s="1007">
        <f>DD20/DD17</f>
        <v>1.2</v>
      </c>
      <c r="DE21" s="1218">
        <f>DG21</f>
        <v>1.2</v>
      </c>
      <c r="DF21" s="1003">
        <f>DF20/DF17</f>
        <v>1.2</v>
      </c>
      <c r="DG21" s="1406">
        <v>1.2</v>
      </c>
      <c r="DH21" s="995">
        <f>DN21</f>
        <v>1.1000000000000001</v>
      </c>
      <c r="DI21" s="1003">
        <f>DI20/DI17</f>
        <v>1.1000000000000001</v>
      </c>
      <c r="DJ21" s="995">
        <f>DN21</f>
        <v>1.1000000000000001</v>
      </c>
      <c r="DK21" s="1007">
        <f>DK20/DK17</f>
        <v>1.1000000000000001</v>
      </c>
      <c r="DL21" s="995">
        <f>DN21</f>
        <v>1.1000000000000001</v>
      </c>
      <c r="DM21" s="1003">
        <f>DM20/DM17</f>
        <v>1.1000000000000001</v>
      </c>
      <c r="DN21" s="1406">
        <v>1.1000000000000001</v>
      </c>
      <c r="DO21" s="995">
        <f>DU21</f>
        <v>1</v>
      </c>
      <c r="DP21" s="1003">
        <f>DP20/DP17</f>
        <v>1</v>
      </c>
      <c r="DQ21" s="995">
        <f>DU21</f>
        <v>1</v>
      </c>
      <c r="DR21" s="1007">
        <f>DR20/DR17</f>
        <v>1</v>
      </c>
      <c r="DS21" s="995">
        <f>DU21</f>
        <v>1</v>
      </c>
      <c r="DT21" s="1003">
        <f>DT20/DT17</f>
        <v>1</v>
      </c>
      <c r="DU21" s="1406">
        <v>1</v>
      </c>
      <c r="DV21" s="995">
        <f>EB21</f>
        <v>1</v>
      </c>
      <c r="DW21" s="1003">
        <f>DW20/DW17</f>
        <v>1</v>
      </c>
      <c r="DX21" s="995">
        <f>EB21</f>
        <v>1</v>
      </c>
      <c r="DY21" s="1007">
        <f>DY20/DY17</f>
        <v>1</v>
      </c>
      <c r="DZ21" s="995">
        <f>EB21</f>
        <v>1</v>
      </c>
      <c r="EA21" s="1003">
        <f>EA20/EA17</f>
        <v>1</v>
      </c>
      <c r="EB21" s="976">
        <f>DU21</f>
        <v>1</v>
      </c>
      <c r="EC21" s="995">
        <f>EI21</f>
        <v>1</v>
      </c>
      <c r="ED21" s="1003">
        <f>ED20/ED17</f>
        <v>1</v>
      </c>
      <c r="EE21" s="995">
        <f>EI21</f>
        <v>1</v>
      </c>
      <c r="EF21" s="1007">
        <f>EF20/EF17</f>
        <v>1</v>
      </c>
      <c r="EG21" s="995">
        <f>EI21</f>
        <v>1</v>
      </c>
      <c r="EH21" s="1003">
        <f>EH20/EH17</f>
        <v>1</v>
      </c>
      <c r="EI21" s="976">
        <f>EB21</f>
        <v>1</v>
      </c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</row>
    <row r="22" spans="1:187" ht="10.5" customHeight="1">
      <c r="A22" s="51"/>
      <c r="B22" s="166"/>
      <c r="C22" s="166"/>
      <c r="D22" s="166"/>
      <c r="E22" s="770"/>
      <c r="F22" s="770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684"/>
      <c r="R22" s="54"/>
      <c r="S22" s="54"/>
      <c r="T22" s="555"/>
      <c r="U22" s="54"/>
      <c r="V22" s="54"/>
      <c r="W22" s="54"/>
      <c r="X22" s="684"/>
      <c r="Y22" s="54"/>
      <c r="Z22" s="54"/>
      <c r="AA22" s="555"/>
      <c r="AB22" s="54"/>
      <c r="AC22" s="54"/>
      <c r="AD22" s="54"/>
      <c r="AE22" s="684"/>
      <c r="AF22" s="54"/>
      <c r="AG22" s="54"/>
      <c r="AH22" s="555"/>
      <c r="AI22" s="54"/>
      <c r="AJ22" s="54"/>
      <c r="AK22" s="54"/>
      <c r="AL22" s="684"/>
      <c r="AM22" s="54"/>
      <c r="AN22" s="54"/>
      <c r="AO22" s="555"/>
      <c r="AP22" s="54"/>
      <c r="AQ22" s="54"/>
      <c r="AR22" s="54"/>
      <c r="AS22" s="684"/>
      <c r="AT22" s="54"/>
      <c r="AU22" s="54"/>
      <c r="AV22" s="555"/>
      <c r="AW22" s="54"/>
      <c r="AX22" s="54"/>
      <c r="AY22" s="54"/>
      <c r="AZ22" s="684"/>
      <c r="BA22" s="54"/>
      <c r="BB22" s="54"/>
      <c r="BC22" s="555"/>
      <c r="BD22" s="54"/>
      <c r="BE22" s="54"/>
      <c r="BF22" s="54"/>
      <c r="BG22" s="684"/>
      <c r="BH22" s="54"/>
      <c r="BI22" s="54"/>
      <c r="BJ22" s="555"/>
      <c r="BK22" s="54"/>
      <c r="BL22" s="54"/>
      <c r="BM22" s="54"/>
      <c r="BN22" s="684"/>
      <c r="BO22" s="54"/>
      <c r="BP22" s="54"/>
      <c r="BQ22" s="555"/>
      <c r="BR22" s="54"/>
      <c r="BS22" s="54"/>
      <c r="BT22" s="54"/>
      <c r="BU22" s="684"/>
      <c r="BV22" s="54"/>
      <c r="BW22" s="54"/>
      <c r="BX22" s="555"/>
      <c r="BY22" s="54"/>
      <c r="BZ22" s="54"/>
      <c r="CA22" s="54"/>
      <c r="CB22" s="684"/>
      <c r="CC22" s="54"/>
      <c r="CD22" s="54"/>
      <c r="CE22" s="555"/>
      <c r="CF22" s="54"/>
      <c r="CG22" s="54"/>
      <c r="CH22" s="54"/>
      <c r="CI22" s="684"/>
      <c r="CJ22" s="54"/>
      <c r="CK22" s="54"/>
      <c r="CL22" s="555"/>
      <c r="CM22" s="54"/>
      <c r="CN22" s="54"/>
      <c r="CO22" s="54"/>
      <c r="CP22" s="684"/>
      <c r="CQ22" s="54"/>
      <c r="CR22" s="54"/>
      <c r="CS22" s="555"/>
      <c r="CT22" s="54"/>
      <c r="CU22" s="54"/>
      <c r="CV22" s="54"/>
      <c r="CW22" s="684"/>
      <c r="CX22" s="54"/>
      <c r="CY22" s="54"/>
      <c r="CZ22" s="555"/>
      <c r="DA22" s="54"/>
      <c r="DB22" s="54"/>
      <c r="DC22" s="54"/>
      <c r="DD22" s="684"/>
      <c r="DE22" s="54"/>
      <c r="DF22" s="54"/>
      <c r="DG22" s="555"/>
      <c r="DH22" s="54"/>
      <c r="DI22" s="54"/>
      <c r="DJ22" s="54"/>
      <c r="DK22" s="684"/>
      <c r="DL22" s="54"/>
      <c r="DM22" s="54"/>
      <c r="DN22" s="555"/>
      <c r="DO22" s="54"/>
      <c r="DP22" s="54"/>
      <c r="DQ22" s="54"/>
      <c r="DR22" s="684"/>
      <c r="DS22" s="54"/>
      <c r="DT22" s="54"/>
      <c r="DU22" s="555"/>
      <c r="DV22" s="54"/>
      <c r="DW22" s="54"/>
      <c r="DX22" s="54"/>
      <c r="DY22" s="684"/>
      <c r="DZ22" s="54"/>
      <c r="EA22" s="54"/>
      <c r="EB22" s="555"/>
      <c r="EC22" s="54"/>
      <c r="ED22" s="54"/>
      <c r="EE22" s="54"/>
      <c r="EF22" s="684"/>
      <c r="EG22" s="54"/>
      <c r="EH22" s="54"/>
      <c r="EI22" s="555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</row>
    <row r="23" spans="1:187" ht="10.5" customHeight="1">
      <c r="A23" s="178" t="s">
        <v>768</v>
      </c>
      <c r="B23" s="179"/>
      <c r="C23" s="179"/>
      <c r="D23" s="179"/>
      <c r="E23" s="180"/>
      <c r="F23" s="180"/>
      <c r="G23" s="181"/>
      <c r="H23" s="181"/>
      <c r="I23" s="181"/>
      <c r="J23" s="182"/>
      <c r="K23" s="181"/>
      <c r="L23" s="181"/>
      <c r="M23" s="181"/>
      <c r="N23" s="181"/>
      <c r="O23" s="181"/>
      <c r="P23" s="181"/>
      <c r="Q23" s="960"/>
      <c r="R23" s="181"/>
      <c r="S23" s="181"/>
      <c r="T23" s="947"/>
      <c r="U23" s="181"/>
      <c r="V23" s="181"/>
      <c r="W23" s="181"/>
      <c r="X23" s="960"/>
      <c r="Y23" s="181"/>
      <c r="Z23" s="181"/>
      <c r="AA23" s="947"/>
      <c r="AB23" s="181"/>
      <c r="AC23" s="181"/>
      <c r="AD23" s="181"/>
      <c r="AE23" s="960"/>
      <c r="AF23" s="181"/>
      <c r="AG23" s="181"/>
      <c r="AH23" s="947"/>
      <c r="AI23" s="181"/>
      <c r="AJ23" s="181"/>
      <c r="AK23" s="181"/>
      <c r="AL23" s="960"/>
      <c r="AM23" s="181"/>
      <c r="AN23" s="181"/>
      <c r="AO23" s="947"/>
      <c r="AP23" s="181"/>
      <c r="AQ23" s="181"/>
      <c r="AR23" s="181"/>
      <c r="AS23" s="960"/>
      <c r="AT23" s="181"/>
      <c r="AU23" s="181"/>
      <c r="AV23" s="947"/>
      <c r="AW23" s="181"/>
      <c r="AX23" s="181"/>
      <c r="AY23" s="181"/>
      <c r="AZ23" s="960"/>
      <c r="BA23" s="181"/>
      <c r="BB23" s="181"/>
      <c r="BC23" s="947"/>
      <c r="BD23" s="181"/>
      <c r="BE23" s="181"/>
      <c r="BF23" s="181"/>
      <c r="BG23" s="960"/>
      <c r="BH23" s="181"/>
      <c r="BI23" s="181"/>
      <c r="BJ23" s="947"/>
      <c r="BK23" s="181"/>
      <c r="BL23" s="181"/>
      <c r="BM23" s="181"/>
      <c r="BN23" s="960"/>
      <c r="BO23" s="181"/>
      <c r="BP23" s="181"/>
      <c r="BQ23" s="947"/>
      <c r="BR23" s="181"/>
      <c r="BS23" s="181"/>
      <c r="BT23" s="181"/>
      <c r="BU23" s="960"/>
      <c r="BV23" s="181"/>
      <c r="BW23" s="181"/>
      <c r="BX23" s="947"/>
      <c r="BY23" s="181"/>
      <c r="BZ23" s="181"/>
      <c r="CA23" s="181"/>
      <c r="CB23" s="960"/>
      <c r="CC23" s="181"/>
      <c r="CD23" s="181"/>
      <c r="CE23" s="947"/>
      <c r="CF23" s="181"/>
      <c r="CG23" s="181"/>
      <c r="CH23" s="181"/>
      <c r="CI23" s="960"/>
      <c r="CJ23" s="181"/>
      <c r="CK23" s="181"/>
      <c r="CL23" s="947"/>
      <c r="CM23" s="181"/>
      <c r="CN23" s="181"/>
      <c r="CO23" s="181"/>
      <c r="CP23" s="960"/>
      <c r="CQ23" s="181"/>
      <c r="CR23" s="181"/>
      <c r="CS23" s="947"/>
      <c r="CT23" s="181"/>
      <c r="CU23" s="181"/>
      <c r="CV23" s="181"/>
      <c r="CW23" s="960"/>
      <c r="CX23" s="181"/>
      <c r="CY23" s="181"/>
      <c r="CZ23" s="947"/>
      <c r="DA23" s="181"/>
      <c r="DB23" s="181"/>
      <c r="DC23" s="181"/>
      <c r="DD23" s="960"/>
      <c r="DE23" s="181"/>
      <c r="DF23" s="181"/>
      <c r="DG23" s="947"/>
      <c r="DH23" s="181"/>
      <c r="DI23" s="181"/>
      <c r="DJ23" s="181"/>
      <c r="DK23" s="960"/>
      <c r="DL23" s="181"/>
      <c r="DM23" s="181"/>
      <c r="DN23" s="947"/>
      <c r="DO23" s="181"/>
      <c r="DP23" s="181"/>
      <c r="DQ23" s="181"/>
      <c r="DR23" s="960"/>
      <c r="DS23" s="181"/>
      <c r="DT23" s="181"/>
      <c r="DU23" s="947"/>
      <c r="DV23" s="181"/>
      <c r="DW23" s="181"/>
      <c r="DX23" s="181"/>
      <c r="DY23" s="960"/>
      <c r="DZ23" s="181"/>
      <c r="EA23" s="181"/>
      <c r="EB23" s="947"/>
      <c r="EC23" s="181"/>
      <c r="ED23" s="181"/>
      <c r="EE23" s="181"/>
      <c r="EF23" s="960"/>
      <c r="EG23" s="181"/>
      <c r="EH23" s="181"/>
      <c r="EI23" s="947"/>
      <c r="EJ23" s="56"/>
      <c r="EK23" s="56"/>
      <c r="EL23" s="47"/>
      <c r="EM23" s="48"/>
      <c r="EN23" s="108"/>
      <c r="EO23" s="108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</row>
    <row r="24" spans="1:187" ht="10.5" customHeight="1">
      <c r="A24" s="108" t="s">
        <v>351</v>
      </c>
      <c r="B24" s="71"/>
      <c r="C24" s="71"/>
      <c r="D24" s="71"/>
      <c r="E24" s="72"/>
      <c r="F24" s="72"/>
      <c r="G24" s="54"/>
      <c r="H24" s="54"/>
      <c r="I24" s="54"/>
      <c r="J24" s="59"/>
      <c r="K24" s="54"/>
      <c r="L24" s="54"/>
      <c r="M24" s="167">
        <f t="shared" ref="M24:CG24" si="160">M4</f>
        <v>6264</v>
      </c>
      <c r="N24" s="167">
        <f t="shared" si="160"/>
        <v>1038</v>
      </c>
      <c r="O24" s="167">
        <f t="shared" si="160"/>
        <v>1546</v>
      </c>
      <c r="P24" s="167">
        <f t="shared" si="160"/>
        <v>1548</v>
      </c>
      <c r="Q24" s="1263">
        <f t="shared" si="160"/>
        <v>2165</v>
      </c>
      <c r="R24" s="167">
        <f t="shared" si="160"/>
        <v>2584</v>
      </c>
      <c r="S24" s="167">
        <f t="shared" si="160"/>
        <v>3713</v>
      </c>
      <c r="T24" s="1342">
        <f t="shared" si="160"/>
        <v>6297</v>
      </c>
      <c r="U24" s="167">
        <f t="shared" ref="U24:Z24" si="161">U4</f>
        <v>1182</v>
      </c>
      <c r="V24" s="167">
        <f t="shared" si="161"/>
        <v>1619</v>
      </c>
      <c r="W24" s="167">
        <f t="shared" si="161"/>
        <v>1459</v>
      </c>
      <c r="X24" s="1263">
        <f t="shared" si="161"/>
        <v>2264</v>
      </c>
      <c r="Y24" s="167">
        <f t="shared" si="161"/>
        <v>2801</v>
      </c>
      <c r="Z24" s="167">
        <f t="shared" si="161"/>
        <v>3723</v>
      </c>
      <c r="AA24" s="1342">
        <f t="shared" si="160"/>
        <v>6524</v>
      </c>
      <c r="AB24" s="167">
        <f t="shared" ref="AB24:AG24" si="162">AB4</f>
        <v>1285</v>
      </c>
      <c r="AC24" s="167">
        <f t="shared" si="162"/>
        <v>1665</v>
      </c>
      <c r="AD24" s="167">
        <f t="shared" si="162"/>
        <v>1473</v>
      </c>
      <c r="AE24" s="1263">
        <f t="shared" si="162"/>
        <v>2363</v>
      </c>
      <c r="AF24" s="167">
        <f t="shared" si="162"/>
        <v>2950</v>
      </c>
      <c r="AG24" s="167">
        <f t="shared" si="162"/>
        <v>3836</v>
      </c>
      <c r="AH24" s="1342">
        <f t="shared" si="160"/>
        <v>6786</v>
      </c>
      <c r="AI24" s="167">
        <f t="shared" ref="AI24:AN24" si="163">AI4</f>
        <v>1158</v>
      </c>
      <c r="AJ24" s="167">
        <f t="shared" si="163"/>
        <v>1529</v>
      </c>
      <c r="AK24" s="167">
        <f t="shared" si="163"/>
        <v>1595</v>
      </c>
      <c r="AL24" s="1263">
        <f t="shared" si="163"/>
        <v>2370</v>
      </c>
      <c r="AM24" s="167">
        <f t="shared" si="163"/>
        <v>2687</v>
      </c>
      <c r="AN24" s="167">
        <f t="shared" si="163"/>
        <v>3965</v>
      </c>
      <c r="AO24" s="1342">
        <f t="shared" si="160"/>
        <v>6652</v>
      </c>
      <c r="AP24" s="167">
        <f t="shared" ref="AP24:AU24" si="164">AP4</f>
        <v>1291</v>
      </c>
      <c r="AQ24" s="167">
        <f t="shared" si="164"/>
        <v>1630</v>
      </c>
      <c r="AR24" s="167">
        <f t="shared" si="164"/>
        <v>1467</v>
      </c>
      <c r="AS24" s="1263">
        <f t="shared" si="164"/>
        <v>2062</v>
      </c>
      <c r="AT24" s="167">
        <f t="shared" si="164"/>
        <v>2921</v>
      </c>
      <c r="AU24" s="167">
        <f t="shared" si="164"/>
        <v>3529</v>
      </c>
      <c r="AV24" s="1342">
        <f t="shared" si="160"/>
        <v>6450</v>
      </c>
      <c r="AW24" s="167">
        <f t="shared" ref="AW24:BB24" si="165">AW4</f>
        <v>961</v>
      </c>
      <c r="AX24" s="167">
        <f t="shared" si="165"/>
        <v>1427</v>
      </c>
      <c r="AY24" s="167">
        <f t="shared" si="165"/>
        <v>1367</v>
      </c>
      <c r="AZ24" s="1263">
        <f t="shared" si="165"/>
        <v>2179</v>
      </c>
      <c r="BA24" s="167">
        <f t="shared" si="165"/>
        <v>2388</v>
      </c>
      <c r="BB24" s="167">
        <f t="shared" si="165"/>
        <v>3546</v>
      </c>
      <c r="BC24" s="1342">
        <f t="shared" si="160"/>
        <v>5934</v>
      </c>
      <c r="BD24" s="167">
        <f t="shared" ref="BD24:BI24" si="166">BD4</f>
        <v>1007</v>
      </c>
      <c r="BE24" s="167">
        <f t="shared" si="166"/>
        <v>1364</v>
      </c>
      <c r="BF24" s="167">
        <f t="shared" si="166"/>
        <v>1341</v>
      </c>
      <c r="BG24" s="1263">
        <f t="shared" si="166"/>
        <v>2295</v>
      </c>
      <c r="BH24" s="167">
        <f t="shared" si="166"/>
        <v>2371</v>
      </c>
      <c r="BI24" s="167">
        <f t="shared" si="166"/>
        <v>3636</v>
      </c>
      <c r="BJ24" s="1342">
        <f t="shared" si="160"/>
        <v>6007</v>
      </c>
      <c r="BK24" s="167">
        <f t="shared" ref="BK24:BP24" si="167">BK4</f>
        <v>1202</v>
      </c>
      <c r="BL24" s="167">
        <f t="shared" si="167"/>
        <v>1131</v>
      </c>
      <c r="BM24" s="167">
        <f t="shared" si="167"/>
        <v>1290</v>
      </c>
      <c r="BN24" s="1263">
        <f t="shared" si="167"/>
        <v>2628</v>
      </c>
      <c r="BO24" s="167">
        <f t="shared" si="167"/>
        <v>2333</v>
      </c>
      <c r="BP24" s="167">
        <f t="shared" si="167"/>
        <v>3918</v>
      </c>
      <c r="BQ24" s="1342">
        <f t="shared" si="160"/>
        <v>6251</v>
      </c>
      <c r="BR24" s="167">
        <f t="shared" ref="BR24:BW24" si="168">BR4</f>
        <v>1177</v>
      </c>
      <c r="BS24" s="167">
        <f t="shared" si="168"/>
        <v>1417</v>
      </c>
      <c r="BT24" s="167">
        <f t="shared" si="168"/>
        <v>1543</v>
      </c>
      <c r="BU24" s="1263">
        <f t="shared" si="168"/>
        <v>2372</v>
      </c>
      <c r="BV24" s="167">
        <f t="shared" si="168"/>
        <v>2594</v>
      </c>
      <c r="BW24" s="167">
        <f t="shared" si="168"/>
        <v>3915</v>
      </c>
      <c r="BX24" s="1342">
        <f t="shared" si="160"/>
        <v>6509</v>
      </c>
      <c r="BY24" s="167">
        <f t="shared" si="160"/>
        <v>1265</v>
      </c>
      <c r="BZ24" s="167">
        <f t="shared" si="160"/>
        <v>1479</v>
      </c>
      <c r="CA24" s="167">
        <f t="shared" si="160"/>
        <v>1771</v>
      </c>
      <c r="CB24" s="1263">
        <f t="shared" si="160"/>
        <v>2533</v>
      </c>
      <c r="CC24" s="167">
        <f t="shared" si="160"/>
        <v>2744</v>
      </c>
      <c r="CD24" s="167">
        <f t="shared" si="160"/>
        <v>4304</v>
      </c>
      <c r="CE24" s="1342">
        <f t="shared" si="160"/>
        <v>7048</v>
      </c>
      <c r="CF24" s="167">
        <f t="shared" si="160"/>
        <v>1598</v>
      </c>
      <c r="CG24" s="167">
        <f t="shared" si="160"/>
        <v>1596</v>
      </c>
      <c r="CH24" s="167">
        <f t="shared" ref="CH24:CK24" si="169">CH4</f>
        <v>1468</v>
      </c>
      <c r="CI24" s="1263">
        <f t="shared" si="169"/>
        <v>2675</v>
      </c>
      <c r="CJ24" s="167">
        <f t="shared" si="169"/>
        <v>3194</v>
      </c>
      <c r="CK24" s="167">
        <f t="shared" si="169"/>
        <v>4143</v>
      </c>
      <c r="CL24" s="1342">
        <f t="shared" ref="CL24:CN24" si="170">CL4</f>
        <v>7337</v>
      </c>
      <c r="CM24" s="167">
        <f t="shared" si="170"/>
        <v>1461</v>
      </c>
      <c r="CN24" s="167">
        <f t="shared" si="170"/>
        <v>1730</v>
      </c>
      <c r="CO24" s="167">
        <f t="shared" ref="CO24:CP24" si="171">CO4</f>
        <v>1684</v>
      </c>
      <c r="CP24" s="1263">
        <f t="shared" si="171"/>
        <v>3066</v>
      </c>
      <c r="CQ24" s="167">
        <f t="shared" ref="CQ24:CW24" si="172">CQ4</f>
        <v>3191</v>
      </c>
      <c r="CR24" s="167">
        <f t="shared" si="172"/>
        <v>4750</v>
      </c>
      <c r="CS24" s="1342">
        <f t="shared" si="172"/>
        <v>7941</v>
      </c>
      <c r="CT24" s="167">
        <f>CT4</f>
        <v>1600</v>
      </c>
      <c r="CU24" s="167">
        <f t="shared" si="172"/>
        <v>2093</v>
      </c>
      <c r="CV24" s="167">
        <f t="shared" si="172"/>
        <v>1959</v>
      </c>
      <c r="CW24" s="1263">
        <f t="shared" si="172"/>
        <v>3320</v>
      </c>
      <c r="CX24" s="167">
        <f t="shared" ref="CX24:CY24" si="173">CX4</f>
        <v>3693</v>
      </c>
      <c r="CY24" s="167">
        <f t="shared" si="173"/>
        <v>5279</v>
      </c>
      <c r="CZ24" s="1342">
        <f t="shared" ref="CZ24" si="174">CZ4</f>
        <v>8972</v>
      </c>
      <c r="DA24" s="167">
        <f>DA4</f>
        <v>1604</v>
      </c>
      <c r="DB24" s="167">
        <f t="shared" ref="DB24" si="175">DB4</f>
        <v>2076</v>
      </c>
      <c r="DC24" s="986">
        <f t="shared" ref="DC24:DK24" si="176">DC34+DC27</f>
        <v>2081.9272499999997</v>
      </c>
      <c r="DD24" s="992">
        <f t="shared" si="176"/>
        <v>3609.5779660000007</v>
      </c>
      <c r="DE24" s="2031">
        <f t="shared" ref="DE24" si="177">DE4</f>
        <v>3680</v>
      </c>
      <c r="DF24" s="986">
        <f t="shared" si="176"/>
        <v>5691.5052160000005</v>
      </c>
      <c r="DG24" s="977">
        <f t="shared" si="176"/>
        <v>9371.5052160000014</v>
      </c>
      <c r="DH24" s="986">
        <f t="shared" si="176"/>
        <v>1677.8866560000001</v>
      </c>
      <c r="DI24" s="986">
        <f t="shared" si="176"/>
        <v>2169.5091839999995</v>
      </c>
      <c r="DJ24" s="986">
        <f t="shared" si="176"/>
        <v>2175.7130036999997</v>
      </c>
      <c r="DK24" s="992">
        <f t="shared" si="176"/>
        <v>3765.8934198264014</v>
      </c>
      <c r="DL24" s="986">
        <f t="shared" ref="DL24:EI24" si="178">DL34+DL27</f>
        <v>3847.3958400000001</v>
      </c>
      <c r="DM24" s="986">
        <f t="shared" si="178"/>
        <v>5941.6064235264012</v>
      </c>
      <c r="DN24" s="977">
        <f t="shared" si="178"/>
        <v>9789.0022635264013</v>
      </c>
      <c r="DO24" s="986">
        <f t="shared" si="178"/>
        <v>1755.2125857024002</v>
      </c>
      <c r="DP24" s="986">
        <f t="shared" si="178"/>
        <v>2267.2780782335999</v>
      </c>
      <c r="DQ24" s="986">
        <f t="shared" si="178"/>
        <v>2273.7714964894803</v>
      </c>
      <c r="DR24" s="992">
        <f t="shared" si="178"/>
        <v>3929.0484431873879</v>
      </c>
      <c r="DS24" s="986">
        <f t="shared" si="178"/>
        <v>4022.4906639360001</v>
      </c>
      <c r="DT24" s="986">
        <f t="shared" si="178"/>
        <v>6202.8199396768687</v>
      </c>
      <c r="DU24" s="977">
        <f t="shared" si="178"/>
        <v>10225.310603612868</v>
      </c>
      <c r="DV24" s="986">
        <f t="shared" si="178"/>
        <v>1836.1394484047773</v>
      </c>
      <c r="DW24" s="986">
        <f t="shared" si="178"/>
        <v>2369.5028719542379</v>
      </c>
      <c r="DX24" s="986">
        <f t="shared" si="178"/>
        <v>2376.299536759655</v>
      </c>
      <c r="DY24" s="992">
        <f t="shared" si="178"/>
        <v>4099.3455759521585</v>
      </c>
      <c r="DZ24" s="986">
        <f t="shared" si="178"/>
        <v>4205.6423203590148</v>
      </c>
      <c r="EA24" s="986">
        <f t="shared" si="178"/>
        <v>6475.6451127118135</v>
      </c>
      <c r="EB24" s="977">
        <f t="shared" si="178"/>
        <v>10681.287433070829</v>
      </c>
      <c r="EC24" s="986">
        <f t="shared" si="178"/>
        <v>1920.8365700723302</v>
      </c>
      <c r="ED24" s="986">
        <f t="shared" si="178"/>
        <v>2476.3888853091885</v>
      </c>
      <c r="EE24" s="986">
        <f t="shared" si="178"/>
        <v>2483.5030934473452</v>
      </c>
      <c r="EF24" s="992">
        <f t="shared" si="178"/>
        <v>4277.1008916636256</v>
      </c>
      <c r="EG24" s="986">
        <f t="shared" si="178"/>
        <v>4397.2254553815192</v>
      </c>
      <c r="EH24" s="986">
        <f t="shared" si="178"/>
        <v>6760.6039851109708</v>
      </c>
      <c r="EI24" s="977">
        <f t="shared" si="178"/>
        <v>11157.829440492489</v>
      </c>
      <c r="EJ24" s="168"/>
      <c r="EK24" s="168"/>
      <c r="EL24" s="47"/>
      <c r="EM24" s="108"/>
      <c r="EN24" s="108"/>
      <c r="EO24" s="108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</row>
    <row r="25" spans="1:187" ht="10.5" customHeight="1">
      <c r="A25" s="51" t="s">
        <v>347</v>
      </c>
      <c r="B25" s="71"/>
      <c r="C25" s="71"/>
      <c r="D25" s="71"/>
      <c r="E25" s="72"/>
      <c r="F25" s="72"/>
      <c r="G25" s="54"/>
      <c r="H25" s="54"/>
      <c r="I25" s="54"/>
      <c r="J25" s="59"/>
      <c r="K25" s="54"/>
      <c r="L25" s="54"/>
      <c r="M25" s="167"/>
      <c r="N25" s="57"/>
      <c r="O25" s="57"/>
      <c r="P25" s="57"/>
      <c r="Q25" s="959"/>
      <c r="R25" s="57"/>
      <c r="S25" s="57"/>
      <c r="T25" s="946">
        <f t="shared" ref="T25" si="179">T24/M24-1</f>
        <v>5.268199233716464E-3</v>
      </c>
      <c r="U25" s="57">
        <f t="shared" ref="U25" si="180">U24/N24-1</f>
        <v>0.1387283236994219</v>
      </c>
      <c r="V25" s="57">
        <f t="shared" ref="V25" si="181">V24/O24-1</f>
        <v>4.7218628719275513E-2</v>
      </c>
      <c r="W25" s="57">
        <f t="shared" ref="W25" si="182">W24/P24-1</f>
        <v>-5.7493540051679615E-2</v>
      </c>
      <c r="X25" s="959">
        <f t="shared" ref="X25" si="183">X24/Q24-1</f>
        <v>4.5727482678983744E-2</v>
      </c>
      <c r="Y25" s="57">
        <f t="shared" ref="Y25" si="184">Y24/R24-1</f>
        <v>8.3978328173374583E-2</v>
      </c>
      <c r="Z25" s="57">
        <f t="shared" ref="Z25" si="185">Z24/S24-1</f>
        <v>2.6932399676811158E-3</v>
      </c>
      <c r="AA25" s="946">
        <f>AA24/T24-1</f>
        <v>3.6048912180403292E-2</v>
      </c>
      <c r="AB25" s="57">
        <f t="shared" ref="AB25" si="186">AB24/U24-1</f>
        <v>8.7140439932318126E-2</v>
      </c>
      <c r="AC25" s="57">
        <f t="shared" ref="AC25" si="187">AC24/V24-1</f>
        <v>2.8412600370599117E-2</v>
      </c>
      <c r="AD25" s="57">
        <f t="shared" ref="AD25" si="188">AD24/W24-1</f>
        <v>9.5956134338588406E-3</v>
      </c>
      <c r="AE25" s="959">
        <f t="shared" ref="AE25" si="189">AE24/X24-1</f>
        <v>4.3727915194346378E-2</v>
      </c>
      <c r="AF25" s="57">
        <f t="shared" ref="AF25" si="190">AF24/Y24-1</f>
        <v>5.3195287397358015E-2</v>
      </c>
      <c r="AG25" s="57">
        <f t="shared" ref="AG25" si="191">AG24/Z24-1</f>
        <v>3.035186677410695E-2</v>
      </c>
      <c r="AH25" s="946">
        <f>AH24/AA24-1</f>
        <v>4.0159411404046663E-2</v>
      </c>
      <c r="AI25" s="57">
        <f t="shared" ref="AI25" si="192">AI24/AB24-1</f>
        <v>-9.8832684824902706E-2</v>
      </c>
      <c r="AJ25" s="57">
        <f t="shared" ref="AJ25" si="193">AJ24/AC24-1</f>
        <v>-8.1681681681681662E-2</v>
      </c>
      <c r="AK25" s="57">
        <f t="shared" ref="AK25" si="194">AK24/AD24-1</f>
        <v>8.2824168363883288E-2</v>
      </c>
      <c r="AL25" s="959">
        <f t="shared" ref="AL25" si="195">AL24/AE24-1</f>
        <v>2.9623360135420107E-3</v>
      </c>
      <c r="AM25" s="57">
        <f t="shared" ref="AM25" si="196">AM24/AF24-1</f>
        <v>-8.9152542372881394E-2</v>
      </c>
      <c r="AN25" s="57">
        <f t="shared" ref="AN25" si="197">AN24/AG24-1</f>
        <v>3.362877997914504E-2</v>
      </c>
      <c r="AO25" s="946">
        <f>AO24/AH24-1</f>
        <v>-1.9746536987916286E-2</v>
      </c>
      <c r="AP25" s="57">
        <f t="shared" ref="AP25" si="198">AP24/AI24-1</f>
        <v>0.11485319516407588</v>
      </c>
      <c r="AQ25" s="57">
        <f t="shared" ref="AQ25" si="199">AQ24/AJ24-1</f>
        <v>6.6056245912361033E-2</v>
      </c>
      <c r="AR25" s="57">
        <f t="shared" ref="AR25" si="200">AR24/AK24-1</f>
        <v>-8.025078369905958E-2</v>
      </c>
      <c r="AS25" s="959">
        <f t="shared" ref="AS25" si="201">AS24/AL24-1</f>
        <v>-0.12995780590717299</v>
      </c>
      <c r="AT25" s="57">
        <f t="shared" ref="AT25" si="202">AT24/AM24-1</f>
        <v>8.7085969482694425E-2</v>
      </c>
      <c r="AU25" s="57">
        <f t="shared" ref="AU25" si="203">AU24/AN24-1</f>
        <v>-0.10996216897856237</v>
      </c>
      <c r="AV25" s="946">
        <f>AV24/AO24-1</f>
        <v>-3.0366806975345773E-2</v>
      </c>
      <c r="AW25" s="57">
        <f t="shared" ref="AW25" si="204">AW24/AP24-1</f>
        <v>-0.25561580170410536</v>
      </c>
      <c r="AX25" s="57">
        <f t="shared" ref="AX25" si="205">AX24/AQ24-1</f>
        <v>-0.12453987730061344</v>
      </c>
      <c r="AY25" s="57">
        <f t="shared" ref="AY25" si="206">AY24/AR24-1</f>
        <v>-6.8166325835037456E-2</v>
      </c>
      <c r="AZ25" s="959">
        <f t="shared" ref="AZ25" si="207">AZ24/AS24-1</f>
        <v>5.6741028128030946E-2</v>
      </c>
      <c r="BA25" s="57">
        <f t="shared" ref="BA25" si="208">BA24/AT24-1</f>
        <v>-0.18247175624786027</v>
      </c>
      <c r="BB25" s="57">
        <f t="shared" ref="BB25" si="209">BB24/AU24-1</f>
        <v>4.8172286766789973E-3</v>
      </c>
      <c r="BC25" s="946">
        <f>BC24/AV24-1</f>
        <v>-7.999999999999996E-2</v>
      </c>
      <c r="BD25" s="57">
        <f t="shared" ref="BD25" si="210">BD24/AW24-1</f>
        <v>4.7866805411030278E-2</v>
      </c>
      <c r="BE25" s="57">
        <f t="shared" ref="BE25" si="211">BE24/AX24-1</f>
        <v>-4.4148563419761699E-2</v>
      </c>
      <c r="BF25" s="57">
        <f t="shared" ref="BF25" si="212">BF24/AY24-1</f>
        <v>-1.9019751280175523E-2</v>
      </c>
      <c r="BG25" s="959">
        <f t="shared" ref="BG25" si="213">BG24/AZ24-1</f>
        <v>5.323542909591561E-2</v>
      </c>
      <c r="BH25" s="57">
        <f t="shared" ref="BH25" si="214">BH24/BA24-1</f>
        <v>-7.1189279731993516E-3</v>
      </c>
      <c r="BI25" s="57">
        <f t="shared" ref="BI25" si="215">BI24/BB24-1</f>
        <v>2.5380710659898442E-2</v>
      </c>
      <c r="BJ25" s="946">
        <f>BJ24/BC24-1</f>
        <v>1.2301988540613484E-2</v>
      </c>
      <c r="BK25" s="57">
        <f t="shared" ref="BK25" si="216">BK24/BD24-1</f>
        <v>0.19364448857994043</v>
      </c>
      <c r="BL25" s="57">
        <f t="shared" ref="BL25" si="217">BL24/BE24-1</f>
        <v>-0.17082111436950143</v>
      </c>
      <c r="BM25" s="57">
        <f t="shared" ref="BM25" si="218">BM24/BF24-1</f>
        <v>-3.8031319910514561E-2</v>
      </c>
      <c r="BN25" s="959">
        <f t="shared" ref="BN25" si="219">BN24/BG24-1</f>
        <v>0.1450980392156862</v>
      </c>
      <c r="BO25" s="57">
        <f t="shared" ref="BO25" si="220">BO24/BH24-1</f>
        <v>-1.6026992830029507E-2</v>
      </c>
      <c r="BP25" s="57">
        <f t="shared" ref="BP25" si="221">BP24/BI24-1</f>
        <v>7.7557755775577553E-2</v>
      </c>
      <c r="BQ25" s="946">
        <f>BQ24/BJ24-1</f>
        <v>4.0619277509572171E-2</v>
      </c>
      <c r="BR25" s="57">
        <f t="shared" ref="BR25" si="222">BR24/BK24-1</f>
        <v>-2.0798668885191329E-2</v>
      </c>
      <c r="BS25" s="57">
        <f t="shared" ref="BS25" si="223">BS24/BL24-1</f>
        <v>0.25287356321839072</v>
      </c>
      <c r="BT25" s="57">
        <f t="shared" ref="BT25" si="224">BT24/BM24-1</f>
        <v>0.19612403100775189</v>
      </c>
      <c r="BU25" s="959">
        <f t="shared" ref="BU25" si="225">BU24/BN24-1</f>
        <v>-9.7412480974124804E-2</v>
      </c>
      <c r="BV25" s="57">
        <f t="shared" ref="BV25" si="226">BV24/BO24-1</f>
        <v>0.11187312473210453</v>
      </c>
      <c r="BW25" s="57">
        <f t="shared" ref="BW25" si="227">BW24/BP24-1</f>
        <v>-7.6569678407345521E-4</v>
      </c>
      <c r="BX25" s="946">
        <f>BX24/BQ24-1</f>
        <v>4.1273396256598982E-2</v>
      </c>
      <c r="BY25" s="57">
        <f t="shared" ref="BY25:CD25" si="228">BY24/BR24-1</f>
        <v>7.4766355140186924E-2</v>
      </c>
      <c r="BZ25" s="57">
        <f t="shared" si="228"/>
        <v>4.3754410726887683E-2</v>
      </c>
      <c r="CA25" s="57">
        <f t="shared" si="228"/>
        <v>0.14776409591704476</v>
      </c>
      <c r="CB25" s="959">
        <f t="shared" si="228"/>
        <v>6.7875210792580187E-2</v>
      </c>
      <c r="CC25" s="57">
        <f t="shared" si="228"/>
        <v>5.7825751734772446E-2</v>
      </c>
      <c r="CD25" s="57">
        <f t="shared" si="228"/>
        <v>9.9361430395913164E-2</v>
      </c>
      <c r="CE25" s="946">
        <f>CE24/BX24-1</f>
        <v>8.2808419111998877E-2</v>
      </c>
      <c r="CF25" s="57">
        <f t="shared" ref="CF25:CK25" si="229">CF24/BY24-1</f>
        <v>0.26324110671936762</v>
      </c>
      <c r="CG25" s="57">
        <f t="shared" si="229"/>
        <v>7.9107505070993955E-2</v>
      </c>
      <c r="CH25" s="57">
        <f t="shared" si="229"/>
        <v>-0.17108977978543194</v>
      </c>
      <c r="CI25" s="959">
        <f t="shared" si="229"/>
        <v>5.606000789577581E-2</v>
      </c>
      <c r="CJ25" s="57">
        <f t="shared" si="229"/>
        <v>0.1639941690962099</v>
      </c>
      <c r="CK25" s="57">
        <f t="shared" si="229"/>
        <v>-3.7407063197026025E-2</v>
      </c>
      <c r="CL25" s="946">
        <f>CL24/CE24-1</f>
        <v>4.100454029511913E-2</v>
      </c>
      <c r="CM25" s="57">
        <f t="shared" ref="CM25:CQ25" si="230">CM24/CF24-1</f>
        <v>-8.5732165206508171E-2</v>
      </c>
      <c r="CN25" s="57">
        <f t="shared" si="230"/>
        <v>8.3959899749373346E-2</v>
      </c>
      <c r="CO25" s="57">
        <f t="shared" si="230"/>
        <v>0.14713896457765663</v>
      </c>
      <c r="CP25" s="959">
        <f t="shared" si="230"/>
        <v>0.1461682242990654</v>
      </c>
      <c r="CQ25" s="57">
        <f t="shared" si="230"/>
        <v>-9.3926111458986217E-4</v>
      </c>
      <c r="CR25" s="57">
        <f t="shared" ref="CR25" si="231">CR24/CK24-1</f>
        <v>0.14651218923485398</v>
      </c>
      <c r="CS25" s="946">
        <f>CS24/CL24-1</f>
        <v>8.232247512607338E-2</v>
      </c>
      <c r="CT25" s="57">
        <f t="shared" ref="CT25:CW25" si="232">CT24/CM24-1</f>
        <v>9.5140314852840469E-2</v>
      </c>
      <c r="CU25" s="57">
        <f t="shared" si="232"/>
        <v>0.2098265895953757</v>
      </c>
      <c r="CV25" s="57">
        <f t="shared" si="232"/>
        <v>0.16330166270783852</v>
      </c>
      <c r="CW25" s="959">
        <f t="shared" si="232"/>
        <v>8.284409654272662E-2</v>
      </c>
      <c r="CX25" s="57">
        <f t="shared" ref="CX25:EI25" si="233">CX24/CQ24-1</f>
        <v>0.15731745534315267</v>
      </c>
      <c r="CY25" s="57">
        <f t="shared" si="233"/>
        <v>0.11136842105263156</v>
      </c>
      <c r="CZ25" s="946">
        <f>CZ24/CS24-1</f>
        <v>0.12983251479662505</v>
      </c>
      <c r="DA25" s="57">
        <f t="shared" ref="DA25:DB25" si="234">DA24/CT24-1</f>
        <v>2.4999999999999467E-3</v>
      </c>
      <c r="DB25" s="57">
        <f t="shared" si="234"/>
        <v>-8.1223124701385041E-3</v>
      </c>
      <c r="DC25" s="799">
        <f t="shared" si="233"/>
        <v>6.2749999999999861E-2</v>
      </c>
      <c r="DD25" s="999">
        <f t="shared" si="233"/>
        <v>8.7222278915662921E-2</v>
      </c>
      <c r="DE25" s="2032">
        <f t="shared" si="233"/>
        <v>-3.5201733008394243E-3</v>
      </c>
      <c r="DF25" s="799">
        <f t="shared" si="233"/>
        <v>7.814078727031637E-2</v>
      </c>
      <c r="DG25" s="972">
        <f t="shared" si="233"/>
        <v>4.4528000000000123E-2</v>
      </c>
      <c r="DH25" s="799">
        <f t="shared" si="233"/>
        <v>4.6064000000000105E-2</v>
      </c>
      <c r="DI25" s="799">
        <f t="shared" si="233"/>
        <v>4.5042959537572091E-2</v>
      </c>
      <c r="DJ25" s="799">
        <f t="shared" si="233"/>
        <v>4.5047565278757862E-2</v>
      </c>
      <c r="DK25" s="999">
        <f t="shared" si="233"/>
        <v>4.3305742471501096E-2</v>
      </c>
      <c r="DL25" s="799">
        <f t="shared" si="233"/>
        <v>4.5487999999999973E-2</v>
      </c>
      <c r="DM25" s="799">
        <f t="shared" si="233"/>
        <v>4.3942893493853719E-2</v>
      </c>
      <c r="DN25" s="972">
        <f t="shared" si="233"/>
        <v>4.4549625476770327E-2</v>
      </c>
      <c r="DO25" s="799">
        <f t="shared" si="233"/>
        <v>4.6085311797366302E-2</v>
      </c>
      <c r="DP25" s="799">
        <f t="shared" si="233"/>
        <v>4.5064982879372106E-2</v>
      </c>
      <c r="DQ25" s="799">
        <f t="shared" si="233"/>
        <v>4.5069589887417605E-2</v>
      </c>
      <c r="DR25" s="999">
        <f t="shared" si="233"/>
        <v>4.3324386851210317E-2</v>
      </c>
      <c r="DS25" s="799">
        <f t="shared" si="233"/>
        <v>4.5509958220467439E-2</v>
      </c>
      <c r="DT25" s="799">
        <f t="shared" si="233"/>
        <v>4.396344987041978E-2</v>
      </c>
      <c r="DU25" s="972">
        <f t="shared" si="233"/>
        <v>4.4571277883154847E-2</v>
      </c>
      <c r="DV25" s="799">
        <f t="shared" si="233"/>
        <v>4.6106587521984821E-2</v>
      </c>
      <c r="DW25" s="799">
        <f t="shared" si="233"/>
        <v>4.5087011911780994E-2</v>
      </c>
      <c r="DX25" s="799">
        <f t="shared" si="233"/>
        <v>4.5091619992804866E-2</v>
      </c>
      <c r="DY25" s="999">
        <f t="shared" si="233"/>
        <v>4.3343098265955504E-2</v>
      </c>
      <c r="DZ25" s="799">
        <f t="shared" si="233"/>
        <v>4.5531903421200504E-2</v>
      </c>
      <c r="EA25" s="799">
        <f t="shared" si="233"/>
        <v>4.398405494407398E-2</v>
      </c>
      <c r="EB25" s="972">
        <f t="shared" si="233"/>
        <v>4.4592956354484903E-2</v>
      </c>
      <c r="EC25" s="799">
        <f t="shared" si="233"/>
        <v>4.6127826370234049E-2</v>
      </c>
      <c r="ED25" s="799">
        <f t="shared" si="233"/>
        <v>4.510904570746388E-2</v>
      </c>
      <c r="EE25" s="799">
        <f t="shared" si="233"/>
        <v>4.5113654667405356E-2</v>
      </c>
      <c r="EF25" s="999">
        <f t="shared" si="233"/>
        <v>4.3361876284406575E-2</v>
      </c>
      <c r="EG25" s="799">
        <f t="shared" si="233"/>
        <v>4.5553834688954131E-2</v>
      </c>
      <c r="EH25" s="799">
        <f t="shared" si="233"/>
        <v>4.4004708015851213E-2</v>
      </c>
      <c r="EI25" s="972">
        <f t="shared" si="233"/>
        <v>4.4614660021807584E-2</v>
      </c>
      <c r="EJ25" s="168"/>
      <c r="EK25" s="57"/>
      <c r="EL25" s="47"/>
      <c r="EM25" s="108"/>
      <c r="EN25" s="108"/>
      <c r="EO25" s="108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</row>
    <row r="26" spans="1:187" ht="10.5" customHeight="1">
      <c r="A26" s="51"/>
      <c r="B26" s="71"/>
      <c r="C26" s="71"/>
      <c r="D26" s="71"/>
      <c r="E26" s="72"/>
      <c r="F26" s="72"/>
      <c r="G26" s="54"/>
      <c r="H26" s="54"/>
      <c r="I26" s="54"/>
      <c r="J26" s="59"/>
      <c r="K26" s="54"/>
      <c r="L26" s="54"/>
      <c r="M26" s="167"/>
      <c r="N26" s="57"/>
      <c r="O26" s="57"/>
      <c r="P26" s="57"/>
      <c r="Q26" s="959"/>
      <c r="R26" s="57"/>
      <c r="S26" s="57"/>
      <c r="T26" s="946"/>
      <c r="U26" s="57"/>
      <c r="V26" s="57"/>
      <c r="W26" s="57"/>
      <c r="X26" s="959"/>
      <c r="Y26" s="57"/>
      <c r="Z26" s="57"/>
      <c r="AA26" s="946"/>
      <c r="AB26" s="57"/>
      <c r="AC26" s="57"/>
      <c r="AD26" s="57"/>
      <c r="AE26" s="959"/>
      <c r="AF26" s="57"/>
      <c r="AG26" s="57"/>
      <c r="AH26" s="946"/>
      <c r="AI26" s="57"/>
      <c r="AJ26" s="57"/>
      <c r="AK26" s="57"/>
      <c r="AL26" s="959"/>
      <c r="AM26" s="57"/>
      <c r="AN26" s="57"/>
      <c r="AO26" s="946"/>
      <c r="AP26" s="57"/>
      <c r="AQ26" s="57"/>
      <c r="AR26" s="57"/>
      <c r="AS26" s="959"/>
      <c r="AT26" s="57"/>
      <c r="AU26" s="57"/>
      <c r="AV26" s="946"/>
      <c r="AW26" s="57"/>
      <c r="AX26" s="57"/>
      <c r="AY26" s="57"/>
      <c r="AZ26" s="959"/>
      <c r="BA26" s="57"/>
      <c r="BB26" s="57"/>
      <c r="BC26" s="946"/>
      <c r="BD26" s="57"/>
      <c r="BE26" s="57"/>
      <c r="BF26" s="57"/>
      <c r="BG26" s="959"/>
      <c r="BH26" s="57"/>
      <c r="BI26" s="57"/>
      <c r="BJ26" s="946"/>
      <c r="BK26" s="57"/>
      <c r="BL26" s="57"/>
      <c r="BM26" s="57"/>
      <c r="BN26" s="959"/>
      <c r="BO26" s="57"/>
      <c r="BP26" s="57"/>
      <c r="BQ26" s="946"/>
      <c r="BR26" s="57"/>
      <c r="BS26" s="57"/>
      <c r="BT26" s="57"/>
      <c r="BU26" s="959"/>
      <c r="BV26" s="57"/>
      <c r="BW26" s="57"/>
      <c r="BX26" s="946"/>
      <c r="BY26" s="57"/>
      <c r="BZ26" s="57"/>
      <c r="CA26" s="57"/>
      <c r="CB26" s="959"/>
      <c r="CC26" s="57"/>
      <c r="CD26" s="57"/>
      <c r="CE26" s="946"/>
      <c r="CF26" s="57"/>
      <c r="CG26" s="57"/>
      <c r="CH26" s="57"/>
      <c r="CI26" s="959"/>
      <c r="CJ26" s="57"/>
      <c r="CK26" s="57"/>
      <c r="CL26" s="946"/>
      <c r="CM26" s="57"/>
      <c r="CN26" s="57"/>
      <c r="CO26" s="57"/>
      <c r="CP26" s="959"/>
      <c r="CQ26" s="57"/>
      <c r="CR26" s="57"/>
      <c r="CS26" s="946"/>
      <c r="CT26" s="57"/>
      <c r="CU26" s="57"/>
      <c r="CV26" s="57"/>
      <c r="CW26" s="959"/>
      <c r="CX26" s="57"/>
      <c r="CY26" s="57"/>
      <c r="CZ26" s="946"/>
      <c r="DA26" s="57"/>
      <c r="DB26" s="57"/>
      <c r="DC26" s="57"/>
      <c r="DD26" s="959"/>
      <c r="DE26" s="2032"/>
      <c r="DF26" s="57"/>
      <c r="DG26" s="946"/>
      <c r="DH26" s="57"/>
      <c r="DI26" s="57"/>
      <c r="DJ26" s="57"/>
      <c r="DK26" s="959"/>
      <c r="DL26" s="57"/>
      <c r="DM26" s="57"/>
      <c r="DN26" s="946"/>
      <c r="DO26" s="57"/>
      <c r="DP26" s="57"/>
      <c r="DQ26" s="57"/>
      <c r="DR26" s="959"/>
      <c r="DS26" s="57"/>
      <c r="DT26" s="57"/>
      <c r="DU26" s="946"/>
      <c r="DV26" s="57"/>
      <c r="DW26" s="57"/>
      <c r="DX26" s="57"/>
      <c r="DY26" s="959"/>
      <c r="DZ26" s="57"/>
      <c r="EA26" s="57"/>
      <c r="EB26" s="946"/>
      <c r="EC26" s="57"/>
      <c r="ED26" s="57"/>
      <c r="EE26" s="57"/>
      <c r="EF26" s="959"/>
      <c r="EG26" s="57"/>
      <c r="EH26" s="57"/>
      <c r="EI26" s="946"/>
      <c r="EJ26" s="168"/>
      <c r="EK26" s="57"/>
      <c r="EL26" s="47"/>
      <c r="EM26" s="108"/>
      <c r="EN26" s="108"/>
      <c r="EO26" s="108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</row>
    <row r="27" spans="1:187" ht="10.5" customHeight="1">
      <c r="A27" s="108" t="s">
        <v>353</v>
      </c>
      <c r="B27" s="166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>
        <f t="shared" ref="M27:BX27" si="235">M24*M37</f>
        <v>3633.12</v>
      </c>
      <c r="N27" s="167">
        <f>N24*N37</f>
        <v>498.24</v>
      </c>
      <c r="O27" s="167">
        <f>R27-N27</f>
        <v>845.44</v>
      </c>
      <c r="P27" s="167">
        <f>P24*P37</f>
        <v>789.48</v>
      </c>
      <c r="Q27" s="1263">
        <f>S27-P27</f>
        <v>1519.1</v>
      </c>
      <c r="R27" s="167">
        <f>R24*R37</f>
        <v>1343.68</v>
      </c>
      <c r="S27" s="167">
        <f>T27-R27</f>
        <v>2308.58</v>
      </c>
      <c r="T27" s="1342">
        <f t="shared" si="235"/>
        <v>3652.2599999999998</v>
      </c>
      <c r="U27" s="167">
        <f>U24*U37</f>
        <v>579.17999999999995</v>
      </c>
      <c r="V27" s="167">
        <f>Y27-U27</f>
        <v>905.35</v>
      </c>
      <c r="W27" s="167">
        <f>W24*W37</f>
        <v>773.2700000000001</v>
      </c>
      <c r="X27" s="1263">
        <f>Z27-W27</f>
        <v>1395.6400000000008</v>
      </c>
      <c r="Y27" s="167">
        <f>Y24*Y37</f>
        <v>1484.53</v>
      </c>
      <c r="Z27" s="167">
        <f>AA27-Y27</f>
        <v>2168.9100000000008</v>
      </c>
      <c r="AA27" s="1342">
        <f t="shared" si="235"/>
        <v>3653.4400000000005</v>
      </c>
      <c r="AB27" s="167">
        <f>AB24*AB37</f>
        <v>603.94999999999993</v>
      </c>
      <c r="AC27" s="167">
        <f>AF27-AB27</f>
        <v>930.05000000000007</v>
      </c>
      <c r="AD27" s="167">
        <f>AD24*AD37</f>
        <v>721.77</v>
      </c>
      <c r="AE27" s="1263">
        <f>AG27-AD27</f>
        <v>933.64999999999964</v>
      </c>
      <c r="AF27" s="167">
        <f>AF24*AF37</f>
        <v>1534</v>
      </c>
      <c r="AG27" s="167">
        <f>AH27-AF27</f>
        <v>1655.4199999999996</v>
      </c>
      <c r="AH27" s="1342">
        <f t="shared" si="235"/>
        <v>3189.4199999999996</v>
      </c>
      <c r="AI27" s="167">
        <f>AI24*AI37</f>
        <v>428.46</v>
      </c>
      <c r="AJ27" s="167">
        <f>AM27-AI27</f>
        <v>726.95</v>
      </c>
      <c r="AK27" s="167">
        <f>AK24*AK37</f>
        <v>781.55</v>
      </c>
      <c r="AL27" s="1263">
        <f>AN27-AK27</f>
        <v>1588.6000000000006</v>
      </c>
      <c r="AM27" s="167">
        <f>AM24*AM37</f>
        <v>1155.4100000000001</v>
      </c>
      <c r="AN27" s="167">
        <f>AO27-AM27</f>
        <v>2370.1500000000005</v>
      </c>
      <c r="AO27" s="1342">
        <f t="shared" si="235"/>
        <v>3525.5600000000004</v>
      </c>
      <c r="AP27" s="167">
        <f>AP24*AP37</f>
        <v>658.41</v>
      </c>
      <c r="AQ27" s="167">
        <f>AT27-AP27</f>
        <v>889.72000000000014</v>
      </c>
      <c r="AR27" s="167">
        <f>AR24*AR37</f>
        <v>777.51</v>
      </c>
      <c r="AS27" s="1263">
        <f>AU27-AR27</f>
        <v>1286.3600000000004</v>
      </c>
      <c r="AT27" s="167">
        <f>AT24*AT37</f>
        <v>1548.13</v>
      </c>
      <c r="AU27" s="167">
        <f>AV27-AT27</f>
        <v>2063.8700000000003</v>
      </c>
      <c r="AV27" s="1342">
        <f t="shared" si="235"/>
        <v>3612.0000000000005</v>
      </c>
      <c r="AW27" s="167">
        <f>AW24*AW37</f>
        <v>442.06</v>
      </c>
      <c r="AX27" s="167">
        <f>BA27-AW27</f>
        <v>847.46</v>
      </c>
      <c r="AY27" s="167">
        <f>AY24*AY37</f>
        <v>765.5200000000001</v>
      </c>
      <c r="AZ27" s="1263">
        <f>BB27-AY27</f>
        <v>1446.02</v>
      </c>
      <c r="BA27" s="167">
        <f>BA24*BA37</f>
        <v>1289.52</v>
      </c>
      <c r="BB27" s="167">
        <f>BC27-BA27</f>
        <v>2211.54</v>
      </c>
      <c r="BC27" s="1342">
        <f t="shared" si="235"/>
        <v>3501.06</v>
      </c>
      <c r="BD27" s="167">
        <f>BD24*BD37</f>
        <v>422.94</v>
      </c>
      <c r="BE27" s="167">
        <f>BH27-BD27</f>
        <v>762.56</v>
      </c>
      <c r="BF27" s="167">
        <f>BF24*BF37</f>
        <v>683.91</v>
      </c>
      <c r="BG27" s="1263">
        <f>BI27-BF27</f>
        <v>1554.58</v>
      </c>
      <c r="BH27" s="167">
        <f>BH24*BH37</f>
        <v>1185.5</v>
      </c>
      <c r="BI27" s="167">
        <f>BJ27-BH27</f>
        <v>2238.4899999999998</v>
      </c>
      <c r="BJ27" s="1342">
        <f t="shared" si="235"/>
        <v>3423.99</v>
      </c>
      <c r="BK27" s="167">
        <f>BK24*BK37</f>
        <v>552.92000000000007</v>
      </c>
      <c r="BL27" s="167">
        <f>BO27-BK27</f>
        <v>520.26</v>
      </c>
      <c r="BM27" s="167">
        <f>BM24*BM37</f>
        <v>606.29999999999995</v>
      </c>
      <c r="BN27" s="1263">
        <f>BP27-BM27</f>
        <v>1883.5899999999995</v>
      </c>
      <c r="BO27" s="167">
        <f>BO24*BO37</f>
        <v>1073.18</v>
      </c>
      <c r="BP27" s="167">
        <f>BQ27-BO27</f>
        <v>2489.8899999999994</v>
      </c>
      <c r="BQ27" s="1342">
        <f t="shared" si="235"/>
        <v>3563.0699999999997</v>
      </c>
      <c r="BR27" s="167">
        <f>BR24*BR37</f>
        <v>529.65</v>
      </c>
      <c r="BS27" s="167">
        <f>BV27-BR27</f>
        <v>689.52999999999986</v>
      </c>
      <c r="BT27" s="167">
        <f>BT24*BT37</f>
        <v>756.06999999999994</v>
      </c>
      <c r="BU27" s="1263">
        <f>BW27-BT27</f>
        <v>1669.7900000000006</v>
      </c>
      <c r="BV27" s="167">
        <f>BV24*BV37</f>
        <v>1219.1799999999998</v>
      </c>
      <c r="BW27" s="167">
        <f>BX27-BV27</f>
        <v>2425.8600000000006</v>
      </c>
      <c r="BX27" s="1342">
        <f t="shared" si="235"/>
        <v>3645.0400000000004</v>
      </c>
      <c r="BY27" s="167">
        <f>BY24*BY37</f>
        <v>556.6</v>
      </c>
      <c r="BZ27" s="167">
        <f>CC27-BY27</f>
        <v>733.07999999999981</v>
      </c>
      <c r="CA27" s="167">
        <f>CA24*CA37</f>
        <v>867.79</v>
      </c>
      <c r="CB27" s="1263">
        <f>CD27-CA27</f>
        <v>1718.9300000000003</v>
      </c>
      <c r="CC27" s="167">
        <f>CC24*CC37</f>
        <v>1289.6799999999998</v>
      </c>
      <c r="CD27" s="167">
        <f>CE27-CC27</f>
        <v>2586.7200000000003</v>
      </c>
      <c r="CE27" s="1342">
        <f>CE24*CE37</f>
        <v>3876.4</v>
      </c>
      <c r="CF27" s="167">
        <f>CF24*CF37</f>
        <v>814.98</v>
      </c>
      <c r="CG27" s="167">
        <f>CJ27-CF27</f>
        <v>750.07999999999993</v>
      </c>
      <c r="CH27" s="167">
        <f>CH24*CH37</f>
        <v>689.95999999999992</v>
      </c>
      <c r="CI27" s="1263">
        <f>CK27-CH27</f>
        <v>1633.5900000000001</v>
      </c>
      <c r="CJ27" s="167">
        <f>CJ24*CJ37</f>
        <v>1565.06</v>
      </c>
      <c r="CK27" s="167">
        <f>CL27-CJ27</f>
        <v>2323.5500000000002</v>
      </c>
      <c r="CL27" s="1342">
        <f>CL24*CL37</f>
        <v>3888.61</v>
      </c>
      <c r="CM27" s="167">
        <f>CM24*CM37</f>
        <v>613.62</v>
      </c>
      <c r="CN27" s="167">
        <f>CQ27-CM27</f>
        <v>854.24000000000012</v>
      </c>
      <c r="CO27" s="167">
        <f>CO24*CO37</f>
        <v>774.64</v>
      </c>
      <c r="CP27" s="1263">
        <f>CR27-CO27</f>
        <v>2045.6400000000003</v>
      </c>
      <c r="CQ27" s="167">
        <f>CQ24*CQ37</f>
        <v>1467.8600000000001</v>
      </c>
      <c r="CR27" s="167">
        <f>CS27-CQ27</f>
        <v>2820.28</v>
      </c>
      <c r="CS27" s="1342">
        <f>CS24*CS37</f>
        <v>4288.1400000000003</v>
      </c>
      <c r="CT27" s="167">
        <f>CT24*CT37</f>
        <v>656</v>
      </c>
      <c r="CU27" s="167">
        <f>CX27-CT27</f>
        <v>1190.5</v>
      </c>
      <c r="CV27" s="167">
        <f>CV24*CV37</f>
        <v>999.09</v>
      </c>
      <c r="CW27" s="1263">
        <f>CY27-CV27</f>
        <v>2268.4499999999998</v>
      </c>
      <c r="CX27" s="167">
        <f>CX24*CX37</f>
        <v>1846.5</v>
      </c>
      <c r="CY27" s="167">
        <f>CZ27-CX27</f>
        <v>3267.54</v>
      </c>
      <c r="CZ27" s="1342">
        <f>CZ24*CZ37</f>
        <v>5114.04</v>
      </c>
      <c r="DA27" s="167">
        <f>DA24*DA37</f>
        <v>657.64</v>
      </c>
      <c r="DB27" s="167">
        <f>DE27-DA27</f>
        <v>1071.96</v>
      </c>
      <c r="DC27" s="986">
        <f>DC29*DC31</f>
        <v>1074.0217499999999</v>
      </c>
      <c r="DD27" s="992">
        <f>DF27-DC27</f>
        <v>2517.0254660000005</v>
      </c>
      <c r="DE27" s="2031">
        <f>DE24*DE37</f>
        <v>1729.6</v>
      </c>
      <c r="DF27" s="986">
        <f>DG27-DE27</f>
        <v>3591.0472160000004</v>
      </c>
      <c r="DG27" s="977">
        <f>DG29*DG31</f>
        <v>5320.6472160000003</v>
      </c>
      <c r="DH27" s="986">
        <f>DH29*DH31</f>
        <v>684.20865600000002</v>
      </c>
      <c r="DI27" s="986">
        <f>DL27-DH27</f>
        <v>1115.2671839999998</v>
      </c>
      <c r="DJ27" s="986">
        <f>DJ29*DJ31</f>
        <v>1117.4122287</v>
      </c>
      <c r="DK27" s="992">
        <f>DM27-DJ27</f>
        <v>2618.7132948264007</v>
      </c>
      <c r="DL27" s="986">
        <f>DL29*DL31</f>
        <v>1799.4758399999998</v>
      </c>
      <c r="DM27" s="986">
        <f>DN27-DL27</f>
        <v>3736.1255235264007</v>
      </c>
      <c r="DN27" s="977">
        <f>DN29*DN31</f>
        <v>5535.6013635264007</v>
      </c>
      <c r="DO27" s="986">
        <f>DO29*DO31</f>
        <v>711.85068570240014</v>
      </c>
      <c r="DP27" s="986">
        <f>DS27-DO27</f>
        <v>1160.3239782335997</v>
      </c>
      <c r="DQ27" s="986">
        <f>DQ29*DQ31</f>
        <v>1162.5556827394801</v>
      </c>
      <c r="DR27" s="992">
        <f>DT27-DQ27</f>
        <v>2724.5093119373878</v>
      </c>
      <c r="DS27" s="986">
        <f>DS29*DS31</f>
        <v>1872.1746639359999</v>
      </c>
      <c r="DT27" s="986">
        <f>DU27-DS27</f>
        <v>3887.0649946768681</v>
      </c>
      <c r="DU27" s="977">
        <f>DU29*DU31</f>
        <v>5759.239658612868</v>
      </c>
      <c r="DV27" s="986">
        <f>DV29*DV31</f>
        <v>740.60945340477713</v>
      </c>
      <c r="DW27" s="986">
        <f>DZ27-DV27</f>
        <v>1207.2010669542374</v>
      </c>
      <c r="DX27" s="986">
        <f>DX29*DX31</f>
        <v>1209.5229323221549</v>
      </c>
      <c r="DY27" s="992">
        <f>EA27-DX27</f>
        <v>2834.5794881396578</v>
      </c>
      <c r="DZ27" s="986">
        <f>DZ29*DZ31</f>
        <v>1947.8105203590144</v>
      </c>
      <c r="EA27" s="986">
        <f>EB27-DZ27</f>
        <v>4044.1024204618129</v>
      </c>
      <c r="EB27" s="977">
        <f>EB29*EB31</f>
        <v>5991.9129408208273</v>
      </c>
      <c r="EC27" s="986">
        <f>EC29*EC31</f>
        <v>770.53007532233016</v>
      </c>
      <c r="ED27" s="986">
        <f>EG27-EC27</f>
        <v>1255.9719900591881</v>
      </c>
      <c r="EE27" s="986">
        <f>EE29*EE31</f>
        <v>1258.3876587879702</v>
      </c>
      <c r="EF27" s="992">
        <f>EH27-EE27</f>
        <v>2949.0964994605001</v>
      </c>
      <c r="EG27" s="986">
        <f>EG29*EG31</f>
        <v>2026.5020653815184</v>
      </c>
      <c r="EH27" s="986">
        <f>EI27-EG27</f>
        <v>4207.4841582484705</v>
      </c>
      <c r="EI27" s="977">
        <f>EI29*EI31</f>
        <v>6233.9862236299887</v>
      </c>
      <c r="EJ27" s="168"/>
      <c r="EK27" s="168"/>
      <c r="EL27" s="47"/>
      <c r="EM27" s="108"/>
      <c r="EN27" s="108"/>
      <c r="EO27" s="108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</row>
    <row r="28" spans="1:187" ht="10.95" customHeight="1">
      <c r="A28" s="51" t="s">
        <v>347</v>
      </c>
      <c r="B28" s="166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57"/>
      <c r="O28" s="57"/>
      <c r="P28" s="57"/>
      <c r="Q28" s="959"/>
      <c r="R28" s="57"/>
      <c r="S28" s="57"/>
      <c r="T28" s="946">
        <f>T27/M27-1</f>
        <v>5.268199233716464E-3</v>
      </c>
      <c r="U28" s="57">
        <f t="shared" ref="U28:V28" si="236">U27/N27-1</f>
        <v>0.16245183044315969</v>
      </c>
      <c r="V28" s="57">
        <f t="shared" si="236"/>
        <v>7.0862509462528367E-2</v>
      </c>
      <c r="W28" s="57">
        <f t="shared" ref="W28" si="237">W27/P27-1</f>
        <v>-2.0532502406647279E-2</v>
      </c>
      <c r="X28" s="959">
        <f t="shared" ref="X28" si="238">X27/Q27-1</f>
        <v>-8.1271805674411945E-2</v>
      </c>
      <c r="Y28" s="57">
        <f t="shared" ref="Y28" si="239">Y27/R27-1</f>
        <v>0.10482406525363164</v>
      </c>
      <c r="Z28" s="57">
        <f t="shared" ref="Z28" si="240">Z27/S27-1</f>
        <v>-6.0500394181704387E-2</v>
      </c>
      <c r="AA28" s="946">
        <f>AA27/T27-1</f>
        <v>3.2308762245869538E-4</v>
      </c>
      <c r="AB28" s="57">
        <f t="shared" ref="AB28:AC28" si="241">AB27/U27-1</f>
        <v>4.2767360751407191E-2</v>
      </c>
      <c r="AC28" s="57">
        <f t="shared" si="241"/>
        <v>2.7282266526757581E-2</v>
      </c>
      <c r="AD28" s="57">
        <f t="shared" ref="AD28" si="242">AD27/W27-1</f>
        <v>-6.660028191964007E-2</v>
      </c>
      <c r="AE28" s="959">
        <f t="shared" ref="AE28" si="243">AE27/X27-1</f>
        <v>-0.33102375970880804</v>
      </c>
      <c r="AF28" s="57">
        <f t="shared" ref="AF28" si="244">AF27/Y27-1</f>
        <v>3.3323678201181428E-2</v>
      </c>
      <c r="AG28" s="57">
        <f t="shared" ref="AG28" si="245">AG27/Z27-1</f>
        <v>-0.23675025704155583</v>
      </c>
      <c r="AH28" s="946">
        <f>AH27/AA27-1</f>
        <v>-0.12700906542874679</v>
      </c>
      <c r="AI28" s="57">
        <f t="shared" ref="AI28:AJ28" si="246">AI27/AB27-1</f>
        <v>-0.29057041145790208</v>
      </c>
      <c r="AJ28" s="57">
        <f t="shared" si="246"/>
        <v>-0.21837535616364712</v>
      </c>
      <c r="AK28" s="57">
        <f t="shared" ref="AK28" si="247">AK27/AD27-1</f>
        <v>8.2824168363883288E-2</v>
      </c>
      <c r="AL28" s="959">
        <f t="shared" ref="AL28" si="248">AL27/AE27-1</f>
        <v>0.70149413591817189</v>
      </c>
      <c r="AM28" s="57">
        <f t="shared" ref="AM28" si="249">AM27/AF27-1</f>
        <v>-0.24679921773142111</v>
      </c>
      <c r="AN28" s="57">
        <f t="shared" ref="AN28" si="250">AN27/AG27-1</f>
        <v>0.4317514588442819</v>
      </c>
      <c r="AO28" s="946">
        <f>AO27/AH27-1</f>
        <v>0.10539220297107343</v>
      </c>
      <c r="AP28" s="57">
        <f t="shared" ref="AP28:AQ28" si="251">AP27/AI27-1</f>
        <v>0.5366895392802129</v>
      </c>
      <c r="AQ28" s="57">
        <f t="shared" si="251"/>
        <v>0.22390810922346804</v>
      </c>
      <c r="AR28" s="57">
        <f t="shared" ref="AR28" si="252">AR27/AK27-1</f>
        <v>-5.16921502143175E-3</v>
      </c>
      <c r="AS28" s="959">
        <f t="shared" ref="AS28" si="253">AS27/AL27-1</f>
        <v>-0.19025557094296874</v>
      </c>
      <c r="AT28" s="57">
        <f t="shared" ref="AT28" si="254">AT27/AM27-1</f>
        <v>0.33989666006006525</v>
      </c>
      <c r="AU28" s="57">
        <f t="shared" ref="AU28" si="255">AU27/AN27-1</f>
        <v>-0.1292238887834104</v>
      </c>
      <c r="AV28" s="946">
        <f t="shared" ref="AV28:AX28" si="256">AV27/AO27-1</f>
        <v>2.4518090743030907E-2</v>
      </c>
      <c r="AW28" s="57">
        <f t="shared" si="256"/>
        <v>-0.32859464467429111</v>
      </c>
      <c r="AX28" s="57">
        <f t="shared" si="256"/>
        <v>-4.749808928651722E-2</v>
      </c>
      <c r="AY28" s="57">
        <f t="shared" ref="AY28" si="257">AY27/AR27-1</f>
        <v>-1.5421023523813027E-2</v>
      </c>
      <c r="AZ28" s="959">
        <f t="shared" ref="AZ28" si="258">AZ27/AS27-1</f>
        <v>0.12411766535029045</v>
      </c>
      <c r="BA28" s="57">
        <f t="shared" ref="BA28" si="259">BA27/AT27-1</f>
        <v>-0.16704669504498981</v>
      </c>
      <c r="BB28" s="57">
        <f t="shared" ref="BB28" si="260">BB27/AU27-1</f>
        <v>7.1550049179453845E-2</v>
      </c>
      <c r="BC28" s="946">
        <f>BC27/AV27-1</f>
        <v>-3.0714285714285805E-2</v>
      </c>
      <c r="BD28" s="57">
        <f t="shared" ref="BD28:BE28" si="261">BD27/AW27-1</f>
        <v>-4.3252047233407254E-2</v>
      </c>
      <c r="BE28" s="57">
        <f t="shared" si="261"/>
        <v>-0.10018171949118548</v>
      </c>
      <c r="BF28" s="57">
        <f t="shared" ref="BF28" si="262">BF27/AY27-1</f>
        <v>-0.10660727348730292</v>
      </c>
      <c r="BG28" s="959">
        <f t="shared" ref="BG28" si="263">BG27/AZ27-1</f>
        <v>7.5075033540338287E-2</v>
      </c>
      <c r="BH28" s="57">
        <f t="shared" ref="BH28" si="264">BH27/BA27-1</f>
        <v>-8.0665674049258618E-2</v>
      </c>
      <c r="BI28" s="57">
        <f t="shared" ref="BI28" si="265">BI27/BB27-1</f>
        <v>1.2186078479249574E-2</v>
      </c>
      <c r="BJ28" s="946">
        <f>BJ27/BC27-1</f>
        <v>-2.2013333104831112E-2</v>
      </c>
      <c r="BK28" s="57">
        <f t="shared" ref="BK28:BL28" si="266">BK27/BD27-1</f>
        <v>0.30732491606374435</v>
      </c>
      <c r="BL28" s="57">
        <f t="shared" si="266"/>
        <v>-0.31774548887956355</v>
      </c>
      <c r="BM28" s="57">
        <f t="shared" ref="BM28" si="267">BM27/BF27-1</f>
        <v>-0.1134798438391017</v>
      </c>
      <c r="BN28" s="959">
        <f t="shared" ref="BN28" si="268">BN27/BG27-1</f>
        <v>0.21163915655675458</v>
      </c>
      <c r="BO28" s="57">
        <f t="shared" ref="BO28" si="269">BO27/BH27-1</f>
        <v>-9.474483340362716E-2</v>
      </c>
      <c r="BP28" s="57">
        <f t="shared" ref="BP28" si="270">BP27/BI27-1</f>
        <v>0.11230785038128377</v>
      </c>
      <c r="BQ28" s="946">
        <f>BQ27/BJ27-1</f>
        <v>4.0619277509572171E-2</v>
      </c>
      <c r="BR28" s="57">
        <f t="shared" ref="BR28:BS28" si="271">BR27/BK27-1</f>
        <v>-4.2085654344209078E-2</v>
      </c>
      <c r="BS28" s="57">
        <f t="shared" si="271"/>
        <v>0.32535655249298401</v>
      </c>
      <c r="BT28" s="57">
        <f t="shared" ref="BT28" si="272">BT27/BM27-1</f>
        <v>0.24702292594425201</v>
      </c>
      <c r="BU28" s="959">
        <f t="shared" ref="BU28" si="273">BU27/BN27-1</f>
        <v>-0.11350665484526823</v>
      </c>
      <c r="BV28" s="57">
        <f t="shared" ref="BV28" si="274">BV27/BO27-1</f>
        <v>0.13604427961758492</v>
      </c>
      <c r="BW28" s="57">
        <f t="shared" ref="BW28" si="275">BW27/BP27-1</f>
        <v>-2.5715995485743881E-2</v>
      </c>
      <c r="BX28" s="946">
        <f>BX27/BQ27-1</f>
        <v>2.3005441936307935E-2</v>
      </c>
      <c r="BY28" s="57">
        <f t="shared" ref="BY28" si="276">BY27/BR27-1</f>
        <v>5.0882658359294064E-2</v>
      </c>
      <c r="BZ28" s="57">
        <f t="shared" ref="BZ28" si="277">BZ27/BS27-1</f>
        <v>6.3158963351848341E-2</v>
      </c>
      <c r="CA28" s="57">
        <f t="shared" ref="CA28" si="278">CA27/BT27-1</f>
        <v>0.14776409591704476</v>
      </c>
      <c r="CB28" s="959">
        <f t="shared" ref="CB28" si="279">CB27/BU27-1</f>
        <v>2.9428850334473067E-2</v>
      </c>
      <c r="CC28" s="57">
        <f t="shared" ref="CC28" si="280">CC27/BV27-1</f>
        <v>5.7825751734772668E-2</v>
      </c>
      <c r="CD28" s="57">
        <f t="shared" ref="CD28" si="281">CD27/BW27-1</f>
        <v>6.6310504315995056E-2</v>
      </c>
      <c r="CE28" s="946">
        <f>CE27/BX27-1</f>
        <v>6.3472554484998778E-2</v>
      </c>
      <c r="CF28" s="57">
        <f t="shared" ref="CF28:CK28" si="282">CF27/BY27-1</f>
        <v>0.46421128278835777</v>
      </c>
      <c r="CG28" s="57">
        <f t="shared" si="282"/>
        <v>2.3189829213728474E-2</v>
      </c>
      <c r="CH28" s="57">
        <f t="shared" si="282"/>
        <v>-0.20492284999827148</v>
      </c>
      <c r="CI28" s="959">
        <f t="shared" si="282"/>
        <v>-4.9647164224255858E-2</v>
      </c>
      <c r="CJ28" s="57">
        <f t="shared" si="282"/>
        <v>0.2135258358662615</v>
      </c>
      <c r="CK28" s="57">
        <f t="shared" si="282"/>
        <v>-0.10173888167254286</v>
      </c>
      <c r="CL28" s="946">
        <f>CL27/CE27-1</f>
        <v>3.1498297389329633E-3</v>
      </c>
      <c r="CM28" s="57">
        <f t="shared" ref="CM28:DB32" si="283">CM27/CF27-1</f>
        <v>-0.24707354781712432</v>
      </c>
      <c r="CN28" s="57">
        <f t="shared" si="283"/>
        <v>0.13886518771331091</v>
      </c>
      <c r="CO28" s="57">
        <f t="shared" si="283"/>
        <v>0.12273175256536617</v>
      </c>
      <c r="CP28" s="959">
        <f t="shared" si="283"/>
        <v>0.25223587313830276</v>
      </c>
      <c r="CQ28" s="57">
        <f t="shared" si="283"/>
        <v>-6.210624512798224E-2</v>
      </c>
      <c r="CR28" s="57">
        <f t="shared" si="283"/>
        <v>0.21378063738675723</v>
      </c>
      <c r="CS28" s="946">
        <f>CS27/CL27-1</f>
        <v>0.10274365390203699</v>
      </c>
      <c r="CT28" s="57">
        <f t="shared" si="283"/>
        <v>6.90655454515825E-2</v>
      </c>
      <c r="CU28" s="57">
        <f t="shared" si="283"/>
        <v>0.39363644877317827</v>
      </c>
      <c r="CV28" s="57">
        <f t="shared" si="283"/>
        <v>0.28974749561086455</v>
      </c>
      <c r="CW28" s="959">
        <f t="shared" si="283"/>
        <v>0.10891945796914393</v>
      </c>
      <c r="CX28" s="57">
        <f t="shared" ref="CX28:EI28" si="284">CX27/CQ27-1</f>
        <v>0.25795375580777447</v>
      </c>
      <c r="CY28" s="57">
        <f t="shared" si="283"/>
        <v>0.15858709064348209</v>
      </c>
      <c r="CZ28" s="946">
        <f>CZ27/CS27-1</f>
        <v>0.19260098784088187</v>
      </c>
      <c r="DA28" s="57">
        <f t="shared" si="283"/>
        <v>2.4999999999999467E-3</v>
      </c>
      <c r="DB28" s="57">
        <f t="shared" si="283"/>
        <v>-9.9571608567828651E-2</v>
      </c>
      <c r="DC28" s="799">
        <f t="shared" si="284"/>
        <v>7.4999999999999956E-2</v>
      </c>
      <c r="DD28" s="999">
        <f t="shared" si="284"/>
        <v>0.10957943353391109</v>
      </c>
      <c r="DE28" s="2032">
        <f t="shared" si="284"/>
        <v>-6.330896290278909E-2</v>
      </c>
      <c r="DF28" s="799">
        <f t="shared" si="284"/>
        <v>9.9006352179315416E-2</v>
      </c>
      <c r="DG28" s="972">
        <f t="shared" si="284"/>
        <v>4.0399999999999991E-2</v>
      </c>
      <c r="DH28" s="799">
        <f t="shared" si="284"/>
        <v>4.0399999999999991E-2</v>
      </c>
      <c r="DI28" s="799">
        <f t="shared" si="284"/>
        <v>4.0399999999999769E-2</v>
      </c>
      <c r="DJ28" s="799">
        <f t="shared" si="284"/>
        <v>4.0400000000000214E-2</v>
      </c>
      <c r="DK28" s="999">
        <f t="shared" si="284"/>
        <v>4.0399999999999991E-2</v>
      </c>
      <c r="DL28" s="799">
        <f t="shared" si="284"/>
        <v>4.0399999999999991E-2</v>
      </c>
      <c r="DM28" s="799">
        <f t="shared" si="284"/>
        <v>4.0399999999999991E-2</v>
      </c>
      <c r="DN28" s="972">
        <f t="shared" si="284"/>
        <v>4.0399999999999991E-2</v>
      </c>
      <c r="DO28" s="799">
        <f t="shared" si="284"/>
        <v>4.0400000000000214E-2</v>
      </c>
      <c r="DP28" s="799">
        <f t="shared" si="284"/>
        <v>4.0399999999999991E-2</v>
      </c>
      <c r="DQ28" s="799">
        <f t="shared" si="284"/>
        <v>4.0399999999999991E-2</v>
      </c>
      <c r="DR28" s="999">
        <f t="shared" si="284"/>
        <v>4.0400000000000214E-2</v>
      </c>
      <c r="DS28" s="799">
        <f t="shared" si="284"/>
        <v>4.0399999999999991E-2</v>
      </c>
      <c r="DT28" s="799">
        <f t="shared" si="284"/>
        <v>4.0400000000000214E-2</v>
      </c>
      <c r="DU28" s="972">
        <f t="shared" si="284"/>
        <v>4.0400000000000214E-2</v>
      </c>
      <c r="DV28" s="799">
        <f t="shared" si="284"/>
        <v>4.0399999999999991E-2</v>
      </c>
      <c r="DW28" s="799">
        <f t="shared" si="284"/>
        <v>4.0400000000000214E-2</v>
      </c>
      <c r="DX28" s="799">
        <f t="shared" si="284"/>
        <v>4.0399999999999991E-2</v>
      </c>
      <c r="DY28" s="999">
        <f t="shared" si="284"/>
        <v>4.0399999999999769E-2</v>
      </c>
      <c r="DZ28" s="799">
        <f t="shared" si="284"/>
        <v>4.0399999999999991E-2</v>
      </c>
      <c r="EA28" s="799">
        <f t="shared" si="284"/>
        <v>4.0399999999999769E-2</v>
      </c>
      <c r="EB28" s="972">
        <f t="shared" si="284"/>
        <v>4.0399999999999991E-2</v>
      </c>
      <c r="EC28" s="799">
        <f t="shared" si="284"/>
        <v>4.0399999999999991E-2</v>
      </c>
      <c r="ED28" s="799">
        <f t="shared" si="284"/>
        <v>4.0399999999999547E-2</v>
      </c>
      <c r="EE28" s="799">
        <f t="shared" si="284"/>
        <v>4.0400000000000214E-2</v>
      </c>
      <c r="EF28" s="999">
        <f t="shared" si="284"/>
        <v>4.0399999999999991E-2</v>
      </c>
      <c r="EG28" s="799">
        <f t="shared" si="284"/>
        <v>4.0399999999999991E-2</v>
      </c>
      <c r="EH28" s="799">
        <f t="shared" si="284"/>
        <v>4.0399999999999991E-2</v>
      </c>
      <c r="EI28" s="972">
        <f t="shared" si="284"/>
        <v>4.0399999999999991E-2</v>
      </c>
      <c r="EJ28" s="168"/>
      <c r="EK28" s="57"/>
      <c r="EL28" s="47"/>
      <c r="EM28" s="108"/>
      <c r="EN28" s="108"/>
      <c r="EO28" s="108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</row>
    <row r="29" spans="1:187" ht="10.5" customHeight="1">
      <c r="A29" s="76" t="s">
        <v>283</v>
      </c>
      <c r="B29" s="135">
        <f t="shared" ref="B29:AO29" si="285">B89</f>
        <v>335</v>
      </c>
      <c r="C29" s="135">
        <f t="shared" si="285"/>
        <v>367</v>
      </c>
      <c r="D29" s="135">
        <f t="shared" si="285"/>
        <v>297</v>
      </c>
      <c r="E29" s="135">
        <f t="shared" si="285"/>
        <v>279</v>
      </c>
      <c r="F29" s="135">
        <f t="shared" si="285"/>
        <v>334</v>
      </c>
      <c r="G29" s="135">
        <f t="shared" si="285"/>
        <v>381</v>
      </c>
      <c r="H29" s="135">
        <f t="shared" si="285"/>
        <v>488</v>
      </c>
      <c r="I29" s="135">
        <f t="shared" si="285"/>
        <v>918</v>
      </c>
      <c r="J29" s="135">
        <f t="shared" si="285"/>
        <v>558</v>
      </c>
      <c r="K29" s="135">
        <f t="shared" si="285"/>
        <v>527</v>
      </c>
      <c r="L29" s="135">
        <f t="shared" si="285"/>
        <v>503</v>
      </c>
      <c r="M29" s="135">
        <f t="shared" si="285"/>
        <v>475</v>
      </c>
      <c r="N29" s="135">
        <v>58</v>
      </c>
      <c r="O29" s="167">
        <f>R29-N29</f>
        <v>132</v>
      </c>
      <c r="P29" s="135">
        <f>312-N29-O29</f>
        <v>122</v>
      </c>
      <c r="Q29" s="1263">
        <f>S29-P29</f>
        <v>185</v>
      </c>
      <c r="R29" s="135">
        <v>190</v>
      </c>
      <c r="S29" s="167">
        <f>T29-R29</f>
        <v>307</v>
      </c>
      <c r="T29" s="948">
        <f t="shared" si="285"/>
        <v>497</v>
      </c>
      <c r="U29" s="135">
        <v>74</v>
      </c>
      <c r="V29" s="167">
        <f>Y29-U29</f>
        <v>126</v>
      </c>
      <c r="W29" s="135">
        <f>295-U29-V29</f>
        <v>95</v>
      </c>
      <c r="X29" s="1263">
        <f>Z29-W29</f>
        <v>176</v>
      </c>
      <c r="Y29" s="135">
        <v>200</v>
      </c>
      <c r="Z29" s="167">
        <f>AA29-Y29</f>
        <v>271</v>
      </c>
      <c r="AA29" s="948">
        <f t="shared" si="285"/>
        <v>471</v>
      </c>
      <c r="AB29" s="135">
        <v>62</v>
      </c>
      <c r="AC29" s="167">
        <f>AF29-AB29</f>
        <v>90</v>
      </c>
      <c r="AD29" s="135">
        <f>237-AB29-AC29</f>
        <v>85</v>
      </c>
      <c r="AE29" s="1263">
        <f>AG29-AD29</f>
        <v>158</v>
      </c>
      <c r="AF29" s="135">
        <v>152</v>
      </c>
      <c r="AG29" s="167">
        <f>AH29-AF29</f>
        <v>243</v>
      </c>
      <c r="AH29" s="948">
        <f t="shared" si="285"/>
        <v>395</v>
      </c>
      <c r="AI29" s="135">
        <v>56</v>
      </c>
      <c r="AJ29" s="167">
        <f>AM29-AI29</f>
        <v>107</v>
      </c>
      <c r="AK29" s="135">
        <f>258-AI29-AJ29</f>
        <v>95</v>
      </c>
      <c r="AL29" s="1263">
        <f>AN29-AK29</f>
        <v>160</v>
      </c>
      <c r="AM29" s="135">
        <v>163</v>
      </c>
      <c r="AN29" s="167">
        <f>AO29-AM29</f>
        <v>255</v>
      </c>
      <c r="AO29" s="948">
        <f t="shared" si="285"/>
        <v>418</v>
      </c>
      <c r="AP29" s="135">
        <v>78</v>
      </c>
      <c r="AQ29" s="167">
        <f>AT29-AP29</f>
        <v>112</v>
      </c>
      <c r="AR29" s="135">
        <f>266-AP29-AQ29</f>
        <v>76</v>
      </c>
      <c r="AS29" s="1263">
        <f>AU29-AR29</f>
        <v>143</v>
      </c>
      <c r="AT29" s="135">
        <v>190</v>
      </c>
      <c r="AU29" s="167">
        <f>AV29-AT29</f>
        <v>219</v>
      </c>
      <c r="AV29" s="948">
        <v>409</v>
      </c>
      <c r="AW29" s="135">
        <v>52</v>
      </c>
      <c r="AX29" s="167">
        <f>BA29-AW29</f>
        <v>89</v>
      </c>
      <c r="AY29" s="135">
        <f>218-AW29-AX29</f>
        <v>77</v>
      </c>
      <c r="AZ29" s="1263">
        <f>BB29-AY29</f>
        <v>138</v>
      </c>
      <c r="BA29" s="135">
        <v>141</v>
      </c>
      <c r="BB29" s="167">
        <f>BC29-BA29</f>
        <v>215</v>
      </c>
      <c r="BC29" s="948">
        <v>356</v>
      </c>
      <c r="BD29" s="135">
        <v>46</v>
      </c>
      <c r="BE29" s="167">
        <f>BH29-BD29</f>
        <v>97</v>
      </c>
      <c r="BF29" s="135">
        <f>209-BD29-BE29</f>
        <v>66</v>
      </c>
      <c r="BG29" s="1263">
        <f>BI29-BF29</f>
        <v>123</v>
      </c>
      <c r="BH29" s="135">
        <v>143</v>
      </c>
      <c r="BI29" s="167">
        <f>BJ29-BH29</f>
        <v>189</v>
      </c>
      <c r="BJ29" s="948">
        <v>332</v>
      </c>
      <c r="BK29" s="135">
        <v>47</v>
      </c>
      <c r="BL29" s="167">
        <f>BO29-BK29</f>
        <v>57</v>
      </c>
      <c r="BM29" s="135">
        <f>169-BK29-BL29</f>
        <v>65</v>
      </c>
      <c r="BN29" s="1263">
        <f>BP29-BM29</f>
        <v>131</v>
      </c>
      <c r="BO29" s="135">
        <v>104</v>
      </c>
      <c r="BP29" s="167">
        <f>BQ29-BO29</f>
        <v>196</v>
      </c>
      <c r="BQ29" s="948">
        <v>300</v>
      </c>
      <c r="BR29" s="135">
        <v>39</v>
      </c>
      <c r="BS29" s="167">
        <f>BV29-BR29</f>
        <v>76</v>
      </c>
      <c r="BT29" s="135">
        <f>194-BR29-BS29</f>
        <v>79</v>
      </c>
      <c r="BU29" s="1263">
        <f>BW29-BT29</f>
        <v>144</v>
      </c>
      <c r="BV29" s="135">
        <v>115</v>
      </c>
      <c r="BW29" s="167">
        <f>BX29-BV29</f>
        <v>223</v>
      </c>
      <c r="BX29" s="948">
        <v>338</v>
      </c>
      <c r="BY29" s="135">
        <v>39</v>
      </c>
      <c r="BZ29" s="167">
        <f>CC29-BY29</f>
        <v>76</v>
      </c>
      <c r="CA29" s="135">
        <f>193-BY29-BZ29</f>
        <v>78</v>
      </c>
      <c r="CB29" s="1263">
        <f>CD29-CA29</f>
        <v>151</v>
      </c>
      <c r="CC29" s="135">
        <v>115</v>
      </c>
      <c r="CD29" s="167">
        <f>CE29-CC29</f>
        <v>229</v>
      </c>
      <c r="CE29" s="948">
        <v>344</v>
      </c>
      <c r="CF29" s="135">
        <v>71</v>
      </c>
      <c r="CG29" s="167">
        <f>CJ29-CF29</f>
        <v>74</v>
      </c>
      <c r="CH29" s="135">
        <f>197-CF29-CG29</f>
        <v>52</v>
      </c>
      <c r="CI29" s="1263">
        <f>CK29-CH29</f>
        <v>149</v>
      </c>
      <c r="CJ29" s="135">
        <v>145</v>
      </c>
      <c r="CK29" s="167">
        <f>CL29-CJ29</f>
        <v>201</v>
      </c>
      <c r="CL29" s="948">
        <v>346</v>
      </c>
      <c r="CM29" s="135">
        <v>50</v>
      </c>
      <c r="CN29" s="167">
        <f>CQ29-CM29</f>
        <v>74</v>
      </c>
      <c r="CO29" s="135">
        <f>190-CM29-CN29</f>
        <v>66</v>
      </c>
      <c r="CP29" s="1263">
        <f>CR29-CO29</f>
        <v>171</v>
      </c>
      <c r="CQ29" s="135">
        <v>124</v>
      </c>
      <c r="CR29" s="167">
        <f>CS29-CQ29</f>
        <v>237</v>
      </c>
      <c r="CS29" s="948">
        <v>361</v>
      </c>
      <c r="CT29" s="135">
        <v>51</v>
      </c>
      <c r="CU29" s="167">
        <f>CX29-CT29</f>
        <v>87</v>
      </c>
      <c r="CV29" s="135">
        <f>218-CT29-CU29</f>
        <v>80</v>
      </c>
      <c r="CW29" s="1263">
        <f>CY29-CV29</f>
        <v>174</v>
      </c>
      <c r="CX29" s="2100">
        <v>138</v>
      </c>
      <c r="CY29" s="167">
        <f>CZ29-CX29</f>
        <v>254</v>
      </c>
      <c r="CZ29" s="948">
        <v>392</v>
      </c>
      <c r="DA29" s="135">
        <v>56</v>
      </c>
      <c r="DB29" s="167">
        <f>DE29-DA29</f>
        <v>88</v>
      </c>
      <c r="DC29" s="442">
        <f>CV29*(1+DC30)</f>
        <v>80</v>
      </c>
      <c r="DD29" s="992">
        <f>DF29-DC29</f>
        <v>175.84000000000003</v>
      </c>
      <c r="DE29" s="1872">
        <v>144</v>
      </c>
      <c r="DF29" s="986">
        <f>DG29-DE29</f>
        <v>255.84000000000003</v>
      </c>
      <c r="DG29" s="548">
        <f>CZ29*(1+DG30)</f>
        <v>399.84000000000003</v>
      </c>
      <c r="DH29" s="442">
        <f>DA29*(1+DH30)</f>
        <v>57.120000000000005</v>
      </c>
      <c r="DI29" s="986">
        <f>DL29-DH29</f>
        <v>89.759999999999991</v>
      </c>
      <c r="DJ29" s="442">
        <f>DC29*(1+DJ30)</f>
        <v>81.599999999999994</v>
      </c>
      <c r="DK29" s="992">
        <f>DM29-DJ29</f>
        <v>179.35680000000005</v>
      </c>
      <c r="DL29" s="442">
        <f>DE29*(1+DL30)</f>
        <v>146.88</v>
      </c>
      <c r="DM29" s="986">
        <f>DN29-DL29</f>
        <v>260.95680000000004</v>
      </c>
      <c r="DN29" s="548">
        <f>DG29*(1+DN30)</f>
        <v>407.83680000000004</v>
      </c>
      <c r="DO29" s="442">
        <f>DH29*(1+DO30)</f>
        <v>58.262400000000007</v>
      </c>
      <c r="DP29" s="986">
        <f>DS29-DO29</f>
        <v>91.555199999999985</v>
      </c>
      <c r="DQ29" s="442">
        <f>DJ29*(1+DQ30)</f>
        <v>83.231999999999999</v>
      </c>
      <c r="DR29" s="992">
        <f>DT29-DQ29</f>
        <v>182.94393600000009</v>
      </c>
      <c r="DS29" s="442">
        <f>DL29*(1+DS30)</f>
        <v>149.8176</v>
      </c>
      <c r="DT29" s="986">
        <f>DU29-DS29</f>
        <v>266.17593600000009</v>
      </c>
      <c r="DU29" s="548">
        <f>DN29*(1+DU30)</f>
        <v>415.99353600000006</v>
      </c>
      <c r="DV29" s="442">
        <f>DO29*(1+DV30)</f>
        <v>59.427648000000005</v>
      </c>
      <c r="DW29" s="986">
        <f>DZ29-DV29</f>
        <v>93.386303999999996</v>
      </c>
      <c r="DX29" s="442">
        <f>DQ29*(1+DX30)</f>
        <v>84.896640000000005</v>
      </c>
      <c r="DY29" s="992">
        <f>EA29-DX29</f>
        <v>186.60281472000003</v>
      </c>
      <c r="DZ29" s="442">
        <f>DS29*(1+DZ30)</f>
        <v>152.813952</v>
      </c>
      <c r="EA29" s="986">
        <f>EB29-DZ29</f>
        <v>271.49945472000002</v>
      </c>
      <c r="EB29" s="548">
        <f>DU29*(1+EB30)</f>
        <v>424.31340672000005</v>
      </c>
      <c r="EC29" s="442">
        <f>DV29*(1+EC30)</f>
        <v>60.616200960000008</v>
      </c>
      <c r="ED29" s="986">
        <f>EG29-EC29</f>
        <v>95.254030079999978</v>
      </c>
      <c r="EE29" s="442">
        <f>DX29*(1+EE30)</f>
        <v>86.594572800000009</v>
      </c>
      <c r="EF29" s="992">
        <f>EH29-EE29</f>
        <v>190.33487101440008</v>
      </c>
      <c r="EG29" s="442">
        <f>DZ29*(1+EG30)</f>
        <v>155.87023103999999</v>
      </c>
      <c r="EH29" s="986">
        <f>EI29-EG29</f>
        <v>276.92944381440009</v>
      </c>
      <c r="EI29" s="548">
        <f>EB29*(1+EI30)</f>
        <v>432.79967485440005</v>
      </c>
      <c r="EJ29" s="137"/>
      <c r="EK29" s="137"/>
      <c r="EL29" s="47"/>
      <c r="EM29" s="108"/>
      <c r="EN29" s="108"/>
      <c r="EO29" s="108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</row>
    <row r="30" spans="1:187" ht="10.5" customHeight="1">
      <c r="A30" s="78" t="s">
        <v>347</v>
      </c>
      <c r="B30" s="166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57"/>
      <c r="O30" s="57"/>
      <c r="P30" s="57"/>
      <c r="Q30" s="959"/>
      <c r="R30" s="57"/>
      <c r="S30" s="57"/>
      <c r="T30" s="1262">
        <f t="shared" ref="T30:V30" si="286">T29/M29-1</f>
        <v>4.631578947368431E-2</v>
      </c>
      <c r="U30" s="57">
        <f t="shared" si="286"/>
        <v>0.27586206896551735</v>
      </c>
      <c r="V30" s="57">
        <f t="shared" si="286"/>
        <v>-4.5454545454545414E-2</v>
      </c>
      <c r="W30" s="57">
        <f t="shared" ref="W30" si="287">W29/P29-1</f>
        <v>-0.22131147540983609</v>
      </c>
      <c r="X30" s="959">
        <f t="shared" ref="X30" si="288">X29/Q29-1</f>
        <v>-4.8648648648648596E-2</v>
      </c>
      <c r="Y30" s="57">
        <f t="shared" ref="Y30" si="289">Y29/R29-1</f>
        <v>5.2631578947368363E-2</v>
      </c>
      <c r="Z30" s="57">
        <f t="shared" ref="Z30" si="290">Z29/S29-1</f>
        <v>-0.11726384364820852</v>
      </c>
      <c r="AA30" s="1262">
        <f>AA29/T29-1</f>
        <v>-5.2313883299798802E-2</v>
      </c>
      <c r="AB30" s="57">
        <f t="shared" ref="AB30:AC30" si="291">AB29/U29-1</f>
        <v>-0.16216216216216217</v>
      </c>
      <c r="AC30" s="57">
        <f t="shared" si="291"/>
        <v>-0.2857142857142857</v>
      </c>
      <c r="AD30" s="57">
        <f t="shared" ref="AD30" si="292">AD29/W29-1</f>
        <v>-0.10526315789473684</v>
      </c>
      <c r="AE30" s="959">
        <f t="shared" ref="AE30" si="293">AE29/X29-1</f>
        <v>-0.10227272727272729</v>
      </c>
      <c r="AF30" s="57">
        <f t="shared" ref="AF30" si="294">AF29/Y29-1</f>
        <v>-0.24</v>
      </c>
      <c r="AG30" s="57">
        <f t="shared" ref="AG30" si="295">AG29/Z29-1</f>
        <v>-0.10332103321033215</v>
      </c>
      <c r="AH30" s="1262">
        <f>AH29/AA29-1</f>
        <v>-0.16135881104033967</v>
      </c>
      <c r="AI30" s="57">
        <f t="shared" ref="AI30:AJ30" si="296">AI29/AB29-1</f>
        <v>-9.6774193548387122E-2</v>
      </c>
      <c r="AJ30" s="57">
        <f t="shared" si="296"/>
        <v>0.18888888888888888</v>
      </c>
      <c r="AK30" s="57">
        <f t="shared" ref="AK30" si="297">AK29/AD29-1</f>
        <v>0.11764705882352944</v>
      </c>
      <c r="AL30" s="959">
        <f t="shared" ref="AL30" si="298">AL29/AE29-1</f>
        <v>1.2658227848101333E-2</v>
      </c>
      <c r="AM30" s="57">
        <f t="shared" ref="AM30" si="299">AM29/AF29-1</f>
        <v>7.2368421052631637E-2</v>
      </c>
      <c r="AN30" s="57">
        <f t="shared" ref="AN30" si="300">AN29/AG29-1</f>
        <v>4.9382716049382713E-2</v>
      </c>
      <c r="AO30" s="1262">
        <f>AO29/AH29-1</f>
        <v>5.8227848101265911E-2</v>
      </c>
      <c r="AP30" s="57">
        <f t="shared" ref="AP30:AQ30" si="301">AP29/AI29-1</f>
        <v>0.39285714285714279</v>
      </c>
      <c r="AQ30" s="57">
        <f t="shared" si="301"/>
        <v>4.6728971962616717E-2</v>
      </c>
      <c r="AR30" s="57">
        <f t="shared" ref="AR30" si="302">AR29/AK29-1</f>
        <v>-0.19999999999999996</v>
      </c>
      <c r="AS30" s="959">
        <f t="shared" ref="AS30" si="303">AS29/AL29-1</f>
        <v>-0.10624999999999996</v>
      </c>
      <c r="AT30" s="57">
        <f t="shared" ref="AT30" si="304">AT29/AM29-1</f>
        <v>0.16564417177914104</v>
      </c>
      <c r="AU30" s="57">
        <f t="shared" ref="AU30" si="305">AU29/AN29-1</f>
        <v>-0.14117647058823535</v>
      </c>
      <c r="AV30" s="1262">
        <f>AV29/AO29-1</f>
        <v>-2.1531100478468845E-2</v>
      </c>
      <c r="AW30" s="57">
        <f t="shared" ref="AW30:AX30" si="306">AW29/AP29-1</f>
        <v>-0.33333333333333337</v>
      </c>
      <c r="AX30" s="57">
        <f t="shared" si="306"/>
        <v>-0.2053571428571429</v>
      </c>
      <c r="AY30" s="57">
        <f t="shared" ref="AY30" si="307">AY29/AR29-1</f>
        <v>1.3157894736842035E-2</v>
      </c>
      <c r="AZ30" s="959">
        <f t="shared" ref="AZ30" si="308">AZ29/AS29-1</f>
        <v>-3.4965034965035002E-2</v>
      </c>
      <c r="BA30" s="57">
        <f t="shared" ref="BA30" si="309">BA29/AT29-1</f>
        <v>-0.25789473684210529</v>
      </c>
      <c r="BB30" s="57">
        <f t="shared" ref="BB30" si="310">BB29/AU29-1</f>
        <v>-1.8264840182648401E-2</v>
      </c>
      <c r="BC30" s="1262">
        <f>BC29/AV29-1</f>
        <v>-0.1295843520782396</v>
      </c>
      <c r="BD30" s="57">
        <f t="shared" ref="BD30:BE30" si="311">BD29/AW29-1</f>
        <v>-0.11538461538461542</v>
      </c>
      <c r="BE30" s="57">
        <f t="shared" si="311"/>
        <v>8.98876404494382E-2</v>
      </c>
      <c r="BF30" s="57">
        <f t="shared" ref="BF30" si="312">BF29/AY29-1</f>
        <v>-0.1428571428571429</v>
      </c>
      <c r="BG30" s="959">
        <f t="shared" ref="BG30" si="313">BG29/AZ29-1</f>
        <v>-0.10869565217391308</v>
      </c>
      <c r="BH30" s="57">
        <f t="shared" ref="BH30" si="314">BH29/BA29-1</f>
        <v>1.4184397163120588E-2</v>
      </c>
      <c r="BI30" s="57">
        <f t="shared" ref="BI30" si="315">BI29/BB29-1</f>
        <v>-0.12093023255813951</v>
      </c>
      <c r="BJ30" s="1262">
        <f>BJ29/BC29-1</f>
        <v>-6.7415730337078705E-2</v>
      </c>
      <c r="BK30" s="57">
        <f t="shared" ref="BK30:BL30" si="316">BK29/BD29-1</f>
        <v>2.1739130434782705E-2</v>
      </c>
      <c r="BL30" s="57">
        <f t="shared" si="316"/>
        <v>-0.41237113402061853</v>
      </c>
      <c r="BM30" s="57">
        <f t="shared" ref="BM30" si="317">BM29/BF29-1</f>
        <v>-1.5151515151515138E-2</v>
      </c>
      <c r="BN30" s="959">
        <f t="shared" ref="BN30" si="318">BN29/BG29-1</f>
        <v>6.5040650406503975E-2</v>
      </c>
      <c r="BO30" s="57">
        <f t="shared" ref="BO30" si="319">BO29/BH29-1</f>
        <v>-0.27272727272727271</v>
      </c>
      <c r="BP30" s="57">
        <f t="shared" ref="BP30" si="320">BP29/BI29-1</f>
        <v>3.7037037037036979E-2</v>
      </c>
      <c r="BQ30" s="1262">
        <f>BQ29/BJ29-1</f>
        <v>-9.6385542168674676E-2</v>
      </c>
      <c r="BR30" s="57">
        <f t="shared" ref="BR30:BS30" si="321">BR29/BK29-1</f>
        <v>-0.17021276595744683</v>
      </c>
      <c r="BS30" s="57">
        <f t="shared" si="321"/>
        <v>0.33333333333333326</v>
      </c>
      <c r="BT30" s="57">
        <f t="shared" ref="BT30" si="322">BT29/BM29-1</f>
        <v>0.21538461538461529</v>
      </c>
      <c r="BU30" s="959">
        <f t="shared" ref="BU30" si="323">BU29/BN29-1</f>
        <v>9.92366412213741E-2</v>
      </c>
      <c r="BV30" s="57">
        <f t="shared" ref="BV30" si="324">BV29/BO29-1</f>
        <v>0.10576923076923084</v>
      </c>
      <c r="BW30" s="57">
        <f t="shared" ref="BW30" si="325">BW29/BP29-1</f>
        <v>0.13775510204081631</v>
      </c>
      <c r="BX30" s="1262">
        <f>BX29/BQ29-1</f>
        <v>0.12666666666666671</v>
      </c>
      <c r="BY30" s="57">
        <f t="shared" ref="BY30" si="326">BY29/BR29-1</f>
        <v>0</v>
      </c>
      <c r="BZ30" s="57">
        <f t="shared" ref="BZ30" si="327">BZ29/BS29-1</f>
        <v>0</v>
      </c>
      <c r="CA30" s="57">
        <f t="shared" ref="CA30" si="328">CA29/BT29-1</f>
        <v>-1.2658227848101222E-2</v>
      </c>
      <c r="CB30" s="959">
        <f t="shared" ref="CB30" si="329">CB29/BU29-1</f>
        <v>4.861111111111116E-2</v>
      </c>
      <c r="CC30" s="57">
        <f t="shared" ref="CC30" si="330">CC29/BV29-1</f>
        <v>0</v>
      </c>
      <c r="CD30" s="57">
        <f t="shared" ref="CD30" si="331">CD29/BW29-1</f>
        <v>2.6905829596412634E-2</v>
      </c>
      <c r="CE30" s="1262">
        <f>CE29/BX29-1</f>
        <v>1.7751479289940919E-2</v>
      </c>
      <c r="CF30" s="1216">
        <f t="shared" ref="CF30:CK30" si="332">CF29/BY29-1</f>
        <v>0.82051282051282048</v>
      </c>
      <c r="CG30" s="1216">
        <f t="shared" si="332"/>
        <v>-2.6315789473684181E-2</v>
      </c>
      <c r="CH30" s="1216">
        <f t="shared" si="332"/>
        <v>-0.33333333333333337</v>
      </c>
      <c r="CI30" s="1347">
        <f t="shared" si="332"/>
        <v>-1.3245033112582738E-2</v>
      </c>
      <c r="CJ30" s="1216">
        <f t="shared" si="332"/>
        <v>0.26086956521739135</v>
      </c>
      <c r="CK30" s="1216">
        <f t="shared" si="332"/>
        <v>-0.12227074235807855</v>
      </c>
      <c r="CL30" s="1262">
        <f>CL29/CE29-1</f>
        <v>5.8139534883721034E-3</v>
      </c>
      <c r="CM30" s="57">
        <f t="shared" si="283"/>
        <v>-0.29577464788732399</v>
      </c>
      <c r="CN30" s="57">
        <f t="shared" si="283"/>
        <v>0</v>
      </c>
      <c r="CO30" s="57">
        <f t="shared" si="283"/>
        <v>0.26923076923076916</v>
      </c>
      <c r="CP30" s="1347">
        <f t="shared" si="283"/>
        <v>0.1476510067114094</v>
      </c>
      <c r="CQ30" s="1216">
        <f>CQ29/CJ29-1</f>
        <v>-0.14482758620689651</v>
      </c>
      <c r="CR30" s="1216">
        <f t="shared" ref="CR30" si="333">CR29/CK29-1</f>
        <v>0.17910447761194037</v>
      </c>
      <c r="CS30" s="1262">
        <f>CS29/CL29-1</f>
        <v>4.3352601156069426E-2</v>
      </c>
      <c r="CT30" s="57">
        <f t="shared" si="283"/>
        <v>2.0000000000000018E-2</v>
      </c>
      <c r="CU30" s="57">
        <f t="shared" si="283"/>
        <v>0.17567567567567566</v>
      </c>
      <c r="CV30" s="57">
        <f t="shared" si="283"/>
        <v>0.21212121212121215</v>
      </c>
      <c r="CW30" s="1347">
        <f t="shared" si="283"/>
        <v>1.7543859649122862E-2</v>
      </c>
      <c r="CX30" s="1216">
        <f>CX29/CQ29-1</f>
        <v>0.11290322580645151</v>
      </c>
      <c r="CY30" s="1216">
        <f t="shared" ref="CY30" si="334">CY29/CR29-1</f>
        <v>7.1729957805907185E-2</v>
      </c>
      <c r="CZ30" s="1262">
        <f>CZ29/CS29-1</f>
        <v>8.5872576177285387E-2</v>
      </c>
      <c r="DA30" s="57">
        <f t="shared" si="283"/>
        <v>9.8039215686274606E-2</v>
      </c>
      <c r="DB30" s="57">
        <f t="shared" si="283"/>
        <v>1.1494252873563315E-2</v>
      </c>
      <c r="DC30" s="1974">
        <v>0</v>
      </c>
      <c r="DD30" s="999">
        <f>DD29/CW29-1</f>
        <v>1.0574712643678374E-2</v>
      </c>
      <c r="DE30" s="2032">
        <f>DE29/CX29-1</f>
        <v>4.3478260869565188E-2</v>
      </c>
      <c r="DF30" s="799">
        <f>DF29/CY29-1</f>
        <v>7.244094488189079E-3</v>
      </c>
      <c r="DG30" s="978">
        <v>0.02</v>
      </c>
      <c r="DH30" s="989">
        <f>DN30</f>
        <v>0.02</v>
      </c>
      <c r="DI30" s="799">
        <f>DI29/DB29-1</f>
        <v>1.9999999999999796E-2</v>
      </c>
      <c r="DJ30" s="989">
        <f>DN30</f>
        <v>0.02</v>
      </c>
      <c r="DK30" s="999">
        <f>DK29/DD29-1</f>
        <v>2.0000000000000018E-2</v>
      </c>
      <c r="DL30" s="989">
        <f>DN30</f>
        <v>0.02</v>
      </c>
      <c r="DM30" s="799">
        <f>DM29/DF29-1</f>
        <v>2.0000000000000018E-2</v>
      </c>
      <c r="DN30" s="978">
        <v>0.02</v>
      </c>
      <c r="DO30" s="989">
        <f>DU30</f>
        <v>0.02</v>
      </c>
      <c r="DP30" s="799">
        <f>DP29/DI29-1</f>
        <v>2.0000000000000018E-2</v>
      </c>
      <c r="DQ30" s="989">
        <f>DU30</f>
        <v>0.02</v>
      </c>
      <c r="DR30" s="999">
        <f>DR29/DK29-1</f>
        <v>2.000000000000024E-2</v>
      </c>
      <c r="DS30" s="989">
        <f>DU30</f>
        <v>0.02</v>
      </c>
      <c r="DT30" s="799">
        <f>DT29/DM29-1</f>
        <v>2.000000000000024E-2</v>
      </c>
      <c r="DU30" s="978">
        <v>0.02</v>
      </c>
      <c r="DV30" s="989">
        <f>EB30</f>
        <v>0.02</v>
      </c>
      <c r="DW30" s="799">
        <f>DW29/DP29-1</f>
        <v>2.0000000000000018E-2</v>
      </c>
      <c r="DX30" s="989">
        <f>EB30</f>
        <v>0.02</v>
      </c>
      <c r="DY30" s="999">
        <f>DY29/DR29-1</f>
        <v>1.9999999999999574E-2</v>
      </c>
      <c r="DZ30" s="989">
        <f>EB30</f>
        <v>0.02</v>
      </c>
      <c r="EA30" s="799">
        <f>EA29/DT29-1</f>
        <v>1.9999999999999796E-2</v>
      </c>
      <c r="EB30" s="978">
        <v>0.02</v>
      </c>
      <c r="EC30" s="989">
        <f>EI30</f>
        <v>0.02</v>
      </c>
      <c r="ED30" s="799">
        <f>ED29/DW29-1</f>
        <v>1.9999999999999796E-2</v>
      </c>
      <c r="EE30" s="989">
        <f>EI30</f>
        <v>0.02</v>
      </c>
      <c r="EF30" s="999">
        <f>EF29/DY29-1</f>
        <v>2.000000000000024E-2</v>
      </c>
      <c r="EG30" s="989">
        <f>EI30</f>
        <v>0.02</v>
      </c>
      <c r="EH30" s="799">
        <f>EH29/EA29-1</f>
        <v>2.000000000000024E-2</v>
      </c>
      <c r="EI30" s="978">
        <v>0.02</v>
      </c>
      <c r="EJ30" s="137"/>
      <c r="EK30" s="57"/>
      <c r="EL30" s="47"/>
      <c r="EM30" s="108"/>
      <c r="EN30" s="108"/>
      <c r="EO30" s="108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</row>
    <row r="31" spans="1:187" ht="10.5" customHeight="1">
      <c r="A31" s="78" t="s">
        <v>344</v>
      </c>
      <c r="B31" s="166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>
        <f t="shared" ref="M31:CI31" si="335">M27/M29</f>
        <v>7.6486736842105261</v>
      </c>
      <c r="N31" s="161">
        <f t="shared" si="335"/>
        <v>8.5903448275862075</v>
      </c>
      <c r="O31" s="161">
        <f t="shared" si="335"/>
        <v>6.4048484848484852</v>
      </c>
      <c r="P31" s="161">
        <f t="shared" si="335"/>
        <v>6.4711475409836066</v>
      </c>
      <c r="Q31" s="962">
        <f t="shared" si="335"/>
        <v>8.2113513513513503</v>
      </c>
      <c r="R31" s="161">
        <f t="shared" ref="R31" si="336">R27/R29</f>
        <v>7.0720000000000001</v>
      </c>
      <c r="S31" s="161">
        <f>S27/S29</f>
        <v>7.5198045602605861</v>
      </c>
      <c r="T31" s="1343">
        <f t="shared" si="335"/>
        <v>7.3486116700201203</v>
      </c>
      <c r="U31" s="161">
        <f t="shared" ref="U31:X31" si="337">U27/U29</f>
        <v>7.8267567567567564</v>
      </c>
      <c r="V31" s="161">
        <f t="shared" si="337"/>
        <v>7.1853174603174601</v>
      </c>
      <c r="W31" s="161">
        <f t="shared" si="337"/>
        <v>8.1396842105263172</v>
      </c>
      <c r="X31" s="962">
        <f t="shared" si="337"/>
        <v>7.9297727272727316</v>
      </c>
      <c r="Y31" s="161">
        <f t="shared" ref="Y31" si="338">Y27/Y29</f>
        <v>7.42265</v>
      </c>
      <c r="Z31" s="161">
        <f>Z27/Z29</f>
        <v>8.0033579335793394</v>
      </c>
      <c r="AA31" s="1343">
        <f t="shared" si="335"/>
        <v>7.756772823779194</v>
      </c>
      <c r="AB31" s="161">
        <f t="shared" si="335"/>
        <v>9.7411290322580637</v>
      </c>
      <c r="AC31" s="161">
        <f t="shared" si="335"/>
        <v>10.33388888888889</v>
      </c>
      <c r="AD31" s="161">
        <f t="shared" si="335"/>
        <v>8.491411764705882</v>
      </c>
      <c r="AE31" s="962">
        <f t="shared" si="335"/>
        <v>5.9091772151898709</v>
      </c>
      <c r="AF31" s="161">
        <f t="shared" ref="AF31" si="339">AF27/AF29</f>
        <v>10.092105263157896</v>
      </c>
      <c r="AG31" s="161">
        <f>AG27/AG29</f>
        <v>6.8124279835390933</v>
      </c>
      <c r="AH31" s="1343">
        <f t="shared" si="335"/>
        <v>8.0744810126582269</v>
      </c>
      <c r="AI31" s="161">
        <f t="shared" ref="AI31:AL31" si="340">AI27/AI29</f>
        <v>7.6510714285714281</v>
      </c>
      <c r="AJ31" s="161">
        <f t="shared" si="340"/>
        <v>6.7939252336448606</v>
      </c>
      <c r="AK31" s="161">
        <f t="shared" si="340"/>
        <v>8.2268421052631577</v>
      </c>
      <c r="AL31" s="962">
        <f t="shared" si="340"/>
        <v>9.9287500000000044</v>
      </c>
      <c r="AM31" s="161">
        <f t="shared" ref="AM31" si="341">AM27/AM29</f>
        <v>7.0884049079754607</v>
      </c>
      <c r="AN31" s="161">
        <f>AN27/AN29</f>
        <v>9.2947058823529431</v>
      </c>
      <c r="AO31" s="1343">
        <f t="shared" si="335"/>
        <v>8.4343540669856463</v>
      </c>
      <c r="AP31" s="161">
        <f t="shared" si="335"/>
        <v>8.4411538461538456</v>
      </c>
      <c r="AQ31" s="161">
        <f t="shared" si="335"/>
        <v>7.9439285714285726</v>
      </c>
      <c r="AR31" s="161">
        <f t="shared" si="335"/>
        <v>10.230394736842106</v>
      </c>
      <c r="AS31" s="962">
        <f t="shared" si="335"/>
        <v>8.9955244755244781</v>
      </c>
      <c r="AT31" s="161">
        <f t="shared" ref="AT31" si="342">AT27/AT29</f>
        <v>8.1480526315789472</v>
      </c>
      <c r="AU31" s="161">
        <f>AU27/AU29</f>
        <v>9.4240639269406401</v>
      </c>
      <c r="AV31" s="1343">
        <f t="shared" si="335"/>
        <v>8.8312958435207829</v>
      </c>
      <c r="AW31" s="161">
        <f t="shared" ref="AW31:AZ31" si="343">AW27/AW29</f>
        <v>8.5011538461538461</v>
      </c>
      <c r="AX31" s="161">
        <f t="shared" si="343"/>
        <v>9.5220224719101125</v>
      </c>
      <c r="AY31" s="161">
        <f t="shared" si="343"/>
        <v>9.9418181818181832</v>
      </c>
      <c r="AZ31" s="962">
        <f t="shared" si="343"/>
        <v>10.478405797101448</v>
      </c>
      <c r="BA31" s="161">
        <f t="shared" ref="BA31" si="344">BA27/BA29</f>
        <v>9.1455319148936169</v>
      </c>
      <c r="BB31" s="161">
        <f>BB27/BB29</f>
        <v>10.286232558139535</v>
      </c>
      <c r="BC31" s="1343">
        <f t="shared" si="335"/>
        <v>9.8344382022471901</v>
      </c>
      <c r="BD31" s="161">
        <f t="shared" si="335"/>
        <v>9.1943478260869558</v>
      </c>
      <c r="BE31" s="161">
        <f t="shared" si="335"/>
        <v>7.8614432989690712</v>
      </c>
      <c r="BF31" s="161">
        <f t="shared" si="335"/>
        <v>10.362272727272726</v>
      </c>
      <c r="BG31" s="962">
        <f t="shared" si="335"/>
        <v>12.638861788617886</v>
      </c>
      <c r="BH31" s="161">
        <f t="shared" ref="BH31" si="345">BH27/BH29</f>
        <v>8.29020979020979</v>
      </c>
      <c r="BI31" s="161">
        <f>BI27/BI29</f>
        <v>11.843862433862432</v>
      </c>
      <c r="BJ31" s="1343">
        <f t="shared" si="335"/>
        <v>10.313222891566264</v>
      </c>
      <c r="BK31" s="161">
        <f t="shared" ref="BK31:BN31" si="346">BK27/BK29</f>
        <v>11.764255319148937</v>
      </c>
      <c r="BL31" s="161">
        <f t="shared" si="346"/>
        <v>9.1273684210526316</v>
      </c>
      <c r="BM31" s="161">
        <f t="shared" si="346"/>
        <v>9.3276923076923062</v>
      </c>
      <c r="BN31" s="962">
        <f t="shared" si="346"/>
        <v>14.378549618320607</v>
      </c>
      <c r="BO31" s="161">
        <f t="shared" ref="BO31" si="347">BO27/BO29</f>
        <v>10.319038461538462</v>
      </c>
      <c r="BP31" s="161">
        <f>BP27/BP29</f>
        <v>12.703520408163262</v>
      </c>
      <c r="BQ31" s="1343">
        <f t="shared" si="335"/>
        <v>11.876899999999999</v>
      </c>
      <c r="BR31" s="161">
        <f t="shared" si="335"/>
        <v>13.58076923076923</v>
      </c>
      <c r="BS31" s="161">
        <f t="shared" si="335"/>
        <v>9.0727631578947356</v>
      </c>
      <c r="BT31" s="161">
        <f t="shared" si="335"/>
        <v>9.5705063291139236</v>
      </c>
      <c r="BU31" s="962">
        <f t="shared" si="335"/>
        <v>11.595763888888893</v>
      </c>
      <c r="BV31" s="161">
        <f t="shared" ref="BV31" si="348">BV27/BV29</f>
        <v>10.601565217391302</v>
      </c>
      <c r="BW31" s="161">
        <f>BW27/BW29</f>
        <v>10.878295964125563</v>
      </c>
      <c r="BX31" s="1343">
        <f t="shared" si="335"/>
        <v>10.784142011834321</v>
      </c>
      <c r="BY31" s="161">
        <f t="shared" ref="BY31:CB31" si="349">BY27/BY29</f>
        <v>14.271794871794873</v>
      </c>
      <c r="BZ31" s="161">
        <f t="shared" si="349"/>
        <v>9.6457894736842089</v>
      </c>
      <c r="CA31" s="161">
        <f t="shared" si="349"/>
        <v>11.125512820512821</v>
      </c>
      <c r="CB31" s="962">
        <f t="shared" si="349"/>
        <v>11.383642384105963</v>
      </c>
      <c r="CC31" s="161">
        <f t="shared" ref="CC31" si="350">CC27/CC29</f>
        <v>11.214608695652172</v>
      </c>
      <c r="CD31" s="161">
        <f>CD27/CD29</f>
        <v>11.295720524017469</v>
      </c>
      <c r="CE31" s="1343">
        <f t="shared" si="335"/>
        <v>11.268604651162791</v>
      </c>
      <c r="CF31" s="161">
        <f t="shared" si="335"/>
        <v>11.478591549295775</v>
      </c>
      <c r="CG31" s="161">
        <f t="shared" si="335"/>
        <v>10.136216216216216</v>
      </c>
      <c r="CH31" s="161">
        <f t="shared" ref="CH31" si="351">CH27/CH29</f>
        <v>13.268461538461537</v>
      </c>
      <c r="CI31" s="962">
        <f t="shared" si="335"/>
        <v>10.963691275167786</v>
      </c>
      <c r="CJ31" s="161">
        <f t="shared" ref="CJ31" si="352">CJ27/CJ29</f>
        <v>10.793517241379311</v>
      </c>
      <c r="CK31" s="161">
        <f>CK27/CK29</f>
        <v>11.55995024875622</v>
      </c>
      <c r="CL31" s="1343">
        <f t="shared" ref="CL31:CN31" si="353">CL27/CL29</f>
        <v>11.238757225433526</v>
      </c>
      <c r="CM31" s="161">
        <f t="shared" si="353"/>
        <v>12.272399999999999</v>
      </c>
      <c r="CN31" s="161">
        <f t="shared" si="353"/>
        <v>11.543783783783786</v>
      </c>
      <c r="CO31" s="161">
        <f t="shared" ref="CO31:CP31" si="354">CO27/CO29</f>
        <v>11.736969696969696</v>
      </c>
      <c r="CP31" s="962">
        <f t="shared" si="354"/>
        <v>11.962807017543861</v>
      </c>
      <c r="CQ31" s="161">
        <f t="shared" ref="CQ31" si="355">CQ27/CQ29</f>
        <v>11.837580645161291</v>
      </c>
      <c r="CR31" s="161">
        <f>CR27/CR29</f>
        <v>11.899915611814347</v>
      </c>
      <c r="CS31" s="1343">
        <f t="shared" ref="CS31:CW31" si="356">CS27/CS29</f>
        <v>11.878504155124654</v>
      </c>
      <c r="CT31" s="161">
        <f t="shared" si="356"/>
        <v>12.862745098039216</v>
      </c>
      <c r="CU31" s="161">
        <f t="shared" si="356"/>
        <v>13.683908045977011</v>
      </c>
      <c r="CV31" s="161">
        <f t="shared" si="356"/>
        <v>12.488625000000001</v>
      </c>
      <c r="CW31" s="962">
        <f t="shared" si="356"/>
        <v>13.037068965517241</v>
      </c>
      <c r="CX31" s="161">
        <f t="shared" ref="CX31" si="357">CX27/CX29</f>
        <v>13.380434782608695</v>
      </c>
      <c r="CY31" s="161">
        <f>CY27/CY29</f>
        <v>12.864330708661416</v>
      </c>
      <c r="CZ31" s="1343">
        <f t="shared" ref="CZ31:DB31" si="358">CZ27/CZ29</f>
        <v>13.046020408163265</v>
      </c>
      <c r="DA31" s="161">
        <f t="shared" si="358"/>
        <v>11.743571428571428</v>
      </c>
      <c r="DB31" s="161">
        <f t="shared" si="358"/>
        <v>12.181363636363637</v>
      </c>
      <c r="DC31" s="987">
        <f>CV31*(1+DC32)</f>
        <v>13.425271875</v>
      </c>
      <c r="DD31" s="993">
        <f>DD27/DD29</f>
        <v>14.314294051410373</v>
      </c>
      <c r="DE31" s="2033">
        <f t="shared" ref="DE31" si="359">DE27/DE29</f>
        <v>12.011111111111111</v>
      </c>
      <c r="DF31" s="990">
        <f>DF27/DF29</f>
        <v>14.036300875547218</v>
      </c>
      <c r="DG31" s="979">
        <f>CZ31*(1+DG32)</f>
        <v>13.306940816326531</v>
      </c>
      <c r="DH31" s="987">
        <f>DA31*(1+DH32)</f>
        <v>11.978442857142857</v>
      </c>
      <c r="DI31" s="990">
        <f>DI27/DI29</f>
        <v>12.424990909090909</v>
      </c>
      <c r="DJ31" s="987">
        <f>DC31*(1+DJ32)</f>
        <v>13.6937773125</v>
      </c>
      <c r="DK31" s="993">
        <f>DK27/DK29</f>
        <v>14.600579932438579</v>
      </c>
      <c r="DL31" s="987">
        <f>DE31*(1+DL32)</f>
        <v>12.251333333333333</v>
      </c>
      <c r="DM31" s="990">
        <f>DM27/DM29</f>
        <v>14.317026893058161</v>
      </c>
      <c r="DN31" s="979">
        <f>DG31*(1+DN32)</f>
        <v>13.573079632653062</v>
      </c>
      <c r="DO31" s="987">
        <f>DH31*(1+DO32)</f>
        <v>12.218011714285716</v>
      </c>
      <c r="DP31" s="990">
        <f>DP27/DP29</f>
        <v>12.673490727272727</v>
      </c>
      <c r="DQ31" s="987">
        <f>DJ31*(1+DQ32)</f>
        <v>13.96765285875</v>
      </c>
      <c r="DR31" s="993">
        <f>DR27/DR29</f>
        <v>14.892591531087351</v>
      </c>
      <c r="DS31" s="987">
        <f>DL31*(1+DS32)</f>
        <v>12.496359999999999</v>
      </c>
      <c r="DT31" s="990">
        <f>DT27/DT29</f>
        <v>14.603367430919326</v>
      </c>
      <c r="DU31" s="979">
        <f>DN31*(1+DU32)</f>
        <v>13.844541225306124</v>
      </c>
      <c r="DV31" s="987">
        <f>DO31*(1+DV32)</f>
        <v>12.46237194857143</v>
      </c>
      <c r="DW31" s="990">
        <f>DW27/DW29</f>
        <v>12.926960541818183</v>
      </c>
      <c r="DX31" s="987">
        <f>DQ31*(1+DX32)</f>
        <v>14.247005915925</v>
      </c>
      <c r="DY31" s="993">
        <f>DY27/DY29</f>
        <v>15.190443361709102</v>
      </c>
      <c r="DZ31" s="987">
        <f>DS31*(1+DZ32)</f>
        <v>12.746287199999999</v>
      </c>
      <c r="EA31" s="990">
        <f>EA27/EA29</f>
        <v>14.895434779537714</v>
      </c>
      <c r="EB31" s="979">
        <f>DU31*(1+EB32)</f>
        <v>14.121432049812245</v>
      </c>
      <c r="EC31" s="987">
        <f>DV31*(1+EC32)</f>
        <v>12.711619387542859</v>
      </c>
      <c r="ED31" s="990">
        <f>ED27/ED29</f>
        <v>13.185499752654543</v>
      </c>
      <c r="EE31" s="987">
        <f>DX31*(1+EE32)</f>
        <v>14.5319460342435</v>
      </c>
      <c r="EF31" s="993">
        <f>EF27/EF29</f>
        <v>15.49425222894328</v>
      </c>
      <c r="EG31" s="987">
        <f>DZ31*(1+EG32)</f>
        <v>13.001212943999999</v>
      </c>
      <c r="EH31" s="990">
        <f>EH27/EH29</f>
        <v>15.193343475128465</v>
      </c>
      <c r="EI31" s="979">
        <f>EB31*(1+EI32)</f>
        <v>14.403860690808491</v>
      </c>
      <c r="EJ31" s="161"/>
      <c r="EK31" s="161"/>
      <c r="EL31" s="47"/>
      <c r="EM31" s="108"/>
      <c r="EN31" s="108"/>
      <c r="EO31" s="108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</row>
    <row r="32" spans="1:187" ht="10.5" customHeight="1">
      <c r="A32" s="78" t="s">
        <v>347</v>
      </c>
      <c r="B32" s="166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57"/>
      <c r="O32" s="57"/>
      <c r="P32" s="57"/>
      <c r="Q32" s="959"/>
      <c r="R32" s="57"/>
      <c r="S32" s="57"/>
      <c r="T32" s="1262">
        <f t="shared" ref="T32:V32" si="360">T31/M31-1</f>
        <v>-3.9230594293731769E-2</v>
      </c>
      <c r="U32" s="57">
        <f t="shared" si="360"/>
        <v>-8.8889105868874774E-2</v>
      </c>
      <c r="V32" s="57">
        <f t="shared" si="360"/>
        <v>0.12185596229407736</v>
      </c>
      <c r="W32" s="57">
        <f t="shared" ref="W32" si="361">W31/P31-1</f>
        <v>0.25784247059356891</v>
      </c>
      <c r="X32" s="959">
        <f t="shared" ref="X32" si="362">X31/Q31-1</f>
        <v>-3.4291386646398858E-2</v>
      </c>
      <c r="Y32" s="57">
        <f t="shared" ref="Y32" si="363">Y31/R31-1</f>
        <v>4.9582861990950189E-2</v>
      </c>
      <c r="Z32" s="57">
        <f t="shared" ref="Z32" si="364">Z31/S31-1</f>
        <v>6.4303981498954998E-2</v>
      </c>
      <c r="AA32" s="1262">
        <f>AA31/T31-1</f>
        <v>5.5542621121787539E-2</v>
      </c>
      <c r="AB32" s="57">
        <f t="shared" ref="AB32:AC32" si="365">AB31/U31-1</f>
        <v>0.2445933015420021</v>
      </c>
      <c r="AC32" s="57">
        <f t="shared" si="365"/>
        <v>0.4381951731374607</v>
      </c>
      <c r="AD32" s="57">
        <f t="shared" ref="AD32" si="366">AD31/W31-1</f>
        <v>4.3211449619225739E-2</v>
      </c>
      <c r="AE32" s="959">
        <f t="shared" ref="AE32" si="367">AE31/X31-1</f>
        <v>-0.25481127663765968</v>
      </c>
      <c r="AF32" s="57">
        <f t="shared" ref="AF32" si="368">AF31/Y31-1</f>
        <v>0.35963641868576524</v>
      </c>
      <c r="AG32" s="57">
        <f t="shared" ref="AG32" si="369">AG31/Z31-1</f>
        <v>-0.1488037846018998</v>
      </c>
      <c r="AH32" s="1262">
        <f>AH31/AA31-1</f>
        <v>4.095881059002604E-2</v>
      </c>
      <c r="AI32" s="57">
        <f t="shared" ref="AI32:AJ32" si="370">AI31/AB31-1</f>
        <v>-0.21456009839982026</v>
      </c>
      <c r="AJ32" s="57">
        <f t="shared" si="370"/>
        <v>-0.34255871079185274</v>
      </c>
      <c r="AK32" s="57">
        <f t="shared" ref="AK32" si="371">AK31/AD31-1</f>
        <v>-3.1157323042841245E-2</v>
      </c>
      <c r="AL32" s="959">
        <f t="shared" ref="AL32" si="372">AL31/AE31-1</f>
        <v>0.68022545921919497</v>
      </c>
      <c r="AM32" s="57">
        <f t="shared" ref="AM32" si="373">AM31/AF31-1</f>
        <v>-0.29762871837531291</v>
      </c>
      <c r="AN32" s="57">
        <f t="shared" ref="AN32" si="374">AN31/AG31-1</f>
        <v>0.36437491960455093</v>
      </c>
      <c r="AO32" s="1262">
        <f>AO31/AH31-1</f>
        <v>4.4569187018119516E-2</v>
      </c>
      <c r="AP32" s="57">
        <f t="shared" ref="AP32:AQ32" si="375">AP31/AI31-1</f>
        <v>0.10326428461143489</v>
      </c>
      <c r="AQ32" s="57">
        <f t="shared" si="375"/>
        <v>0.16926935434742019</v>
      </c>
      <c r="AR32" s="57">
        <f t="shared" ref="AR32" si="376">AR31/AK31-1</f>
        <v>0.24353848122321042</v>
      </c>
      <c r="AS32" s="959">
        <f t="shared" ref="AS32" si="377">AS31/AL31-1</f>
        <v>-9.399224720891608E-2</v>
      </c>
      <c r="AT32" s="57">
        <f t="shared" ref="AT32" si="378">AT31/AM31-1</f>
        <v>0.14949029257784541</v>
      </c>
      <c r="AU32" s="57">
        <f t="shared" ref="AU32" si="379">AU31/AN31-1</f>
        <v>1.3917389772741373E-2</v>
      </c>
      <c r="AV32" s="1262">
        <f>AV31/AO31-1</f>
        <v>4.7062498607791881E-2</v>
      </c>
      <c r="AW32" s="57">
        <f t="shared" ref="AW32:AX32" si="380">AW31/AP31-1</f>
        <v>7.1080329885633287E-3</v>
      </c>
      <c r="AX32" s="57">
        <f t="shared" si="380"/>
        <v>0.19865408988663003</v>
      </c>
      <c r="AY32" s="57">
        <f t="shared" ref="AY32" si="381">AY31/AR31-1</f>
        <v>-2.8207763478049319E-2</v>
      </c>
      <c r="AZ32" s="959">
        <f t="shared" ref="AZ32" si="382">AZ31/AS31-1</f>
        <v>0.16484656626877903</v>
      </c>
      <c r="BA32" s="57">
        <f t="shared" ref="BA32" si="383">BA31/AT31-1</f>
        <v>0.12241934710249613</v>
      </c>
      <c r="BB32" s="57">
        <f t="shared" ref="BB32" si="384">BB31/AU31-1</f>
        <v>9.1485864047909038E-2</v>
      </c>
      <c r="BC32" s="1262">
        <f>BC31/AV31-1</f>
        <v>0.11358948635634003</v>
      </c>
      <c r="BD32" s="57">
        <f t="shared" ref="BD32:BE32" si="385">BD31/AW31-1</f>
        <v>8.1541163997017829E-2</v>
      </c>
      <c r="BE32" s="57">
        <f t="shared" si="385"/>
        <v>-0.17439353644036615</v>
      </c>
      <c r="BF32" s="57">
        <f t="shared" ref="BF32" si="386">BF31/AY31-1</f>
        <v>4.2291514264813257E-2</v>
      </c>
      <c r="BG32" s="959">
        <f t="shared" ref="BG32" si="387">BG31/AZ31-1</f>
        <v>0.20618174494769681</v>
      </c>
      <c r="BH32" s="57">
        <f t="shared" ref="BH32" si="388">BH31/BA31-1</f>
        <v>-9.352349678982852E-2</v>
      </c>
      <c r="BI32" s="57">
        <f t="shared" ref="BI32" si="389">BI31/BB31-1</f>
        <v>0.15142860779385536</v>
      </c>
      <c r="BJ32" s="1262">
        <f>BJ31/BC31-1</f>
        <v>4.8684498236988283E-2</v>
      </c>
      <c r="BK32" s="57">
        <f t="shared" ref="BK32:BL32" si="390">BK31/BD31-1</f>
        <v>0.27950949231770728</v>
      </c>
      <c r="BL32" s="57">
        <f t="shared" si="390"/>
        <v>0.16102960664354993</v>
      </c>
      <c r="BM32" s="57">
        <f t="shared" ref="BM32" si="391">BM31/BF31-1</f>
        <v>-9.984107220585714E-2</v>
      </c>
      <c r="BN32" s="959">
        <f t="shared" ref="BN32" si="392">BN31/BG31-1</f>
        <v>0.13764592562199085</v>
      </c>
      <c r="BO32" s="57">
        <f t="shared" ref="BO32" si="393">BO31/BH31-1</f>
        <v>0.24472585407001279</v>
      </c>
      <c r="BP32" s="57">
        <f t="shared" ref="BP32" si="394">BP31/BI31-1</f>
        <v>7.2582570010523595E-2</v>
      </c>
      <c r="BQ32" s="1262">
        <f>BQ31/BJ31-1</f>
        <v>0.15161866711059324</v>
      </c>
      <c r="BR32" s="57">
        <f t="shared" ref="BR32:BS32" si="395">BR31/BK31-1</f>
        <v>0.15440959604672244</v>
      </c>
      <c r="BS32" s="57">
        <f t="shared" si="395"/>
        <v>-5.9825856302618829E-3</v>
      </c>
      <c r="BT32" s="57">
        <f t="shared" ref="BT32" si="396">BT31/BM31-1</f>
        <v>2.6031521346536524E-2</v>
      </c>
      <c r="BU32" s="959">
        <f t="shared" ref="BU32" si="397">BU31/BN31-1</f>
        <v>-0.19353730406062608</v>
      </c>
      <c r="BV32" s="57">
        <f t="shared" ref="BV32" si="398">BV31/BO31-1</f>
        <v>2.7379174610685508E-2</v>
      </c>
      <c r="BW32" s="57">
        <f t="shared" ref="BW32" si="399">BW31/BP31-1</f>
        <v>-0.14367863280361348</v>
      </c>
      <c r="BX32" s="1262">
        <f>BX31/BQ31-1</f>
        <v>-9.2007004198543241E-2</v>
      </c>
      <c r="BY32" s="57">
        <f t="shared" ref="BY32" si="400">BY31/BR31-1</f>
        <v>5.0882658359294064E-2</v>
      </c>
      <c r="BZ32" s="57">
        <f t="shared" ref="BZ32" si="401">BZ31/BS31-1</f>
        <v>6.3158963351848341E-2</v>
      </c>
      <c r="CA32" s="57">
        <f t="shared" ref="CA32" si="402">CA31/BT31-1</f>
        <v>0.16247902022367366</v>
      </c>
      <c r="CB32" s="959">
        <f t="shared" ref="CB32" si="403">CB31/BU31-1</f>
        <v>-1.8293016899575298E-2</v>
      </c>
      <c r="CC32" s="57">
        <f t="shared" ref="CC32" si="404">CC31/BV31-1</f>
        <v>5.7825751734772668E-2</v>
      </c>
      <c r="CD32" s="57">
        <f t="shared" ref="CD32" si="405">CD31/BW31-1</f>
        <v>3.8372237827366318E-2</v>
      </c>
      <c r="CE32" s="1262">
        <f>CE31/BX31-1</f>
        <v>4.4923614581190652E-2</v>
      </c>
      <c r="CF32" s="1216">
        <f t="shared" ref="CF32:CK32" si="406">CF31/BY31-1</f>
        <v>-0.19571492917259214</v>
      </c>
      <c r="CG32" s="1216">
        <f t="shared" si="406"/>
        <v>5.0843608381667016E-2</v>
      </c>
      <c r="CH32" s="1216">
        <f t="shared" si="406"/>
        <v>0.19261572500259261</v>
      </c>
      <c r="CI32" s="1347">
        <f t="shared" si="406"/>
        <v>-3.6890750321225796E-2</v>
      </c>
      <c r="CJ32" s="1216">
        <f t="shared" si="406"/>
        <v>-3.7548475002620152E-2</v>
      </c>
      <c r="CK32" s="1216">
        <f t="shared" si="406"/>
        <v>2.3392020383023349E-2</v>
      </c>
      <c r="CL32" s="1262">
        <f>CL31/CE31-1</f>
        <v>-2.6487241901937963E-3</v>
      </c>
      <c r="CM32" s="57">
        <f t="shared" si="283"/>
        <v>6.9155562099683321E-2</v>
      </c>
      <c r="CN32" s="57">
        <f t="shared" si="283"/>
        <v>0.13886518771331091</v>
      </c>
      <c r="CO32" s="57">
        <f t="shared" si="283"/>
        <v>-0.11542346767577205</v>
      </c>
      <c r="CP32" s="1347">
        <f t="shared" si="283"/>
        <v>9.1129503494778552E-2</v>
      </c>
      <c r="CQ32" s="1216">
        <f>CQ31/CJ31-1</f>
        <v>9.6730600455182003E-2</v>
      </c>
      <c r="CR32" s="1216">
        <f t="shared" ref="CR32" si="407">CR31/CK31-1</f>
        <v>2.9408894998895541E-2</v>
      </c>
      <c r="CS32" s="1262">
        <f>CS31/CL31-1</f>
        <v>5.692328047120454E-2</v>
      </c>
      <c r="CT32" s="57">
        <f t="shared" si="283"/>
        <v>4.8103475932923967E-2</v>
      </c>
      <c r="CU32" s="57">
        <f t="shared" si="283"/>
        <v>0.1853919219450022</v>
      </c>
      <c r="CV32" s="57">
        <f t="shared" si="283"/>
        <v>6.4041683878963251E-2</v>
      </c>
      <c r="CW32" s="1347">
        <f t="shared" si="283"/>
        <v>8.9800156969676026E-2</v>
      </c>
      <c r="CX32" s="1216">
        <f>CX31/CQ31-1</f>
        <v>0.13033525884176833</v>
      </c>
      <c r="CY32" s="1216">
        <f t="shared" ref="CY32" si="408">CY31/CR31-1</f>
        <v>8.1043860167343551E-2</v>
      </c>
      <c r="CZ32" s="1262">
        <f>CZ31/CS31-1</f>
        <v>9.8288154618771495E-2</v>
      </c>
      <c r="DA32" s="57">
        <f t="shared" si="283"/>
        <v>-8.7008928571428612E-2</v>
      </c>
      <c r="DB32" s="57">
        <f t="shared" si="283"/>
        <v>-0.10980374937955784</v>
      </c>
      <c r="DC32" s="1974">
        <v>7.4999999999999997E-2</v>
      </c>
      <c r="DD32" s="999">
        <f>DD31/CW31-1</f>
        <v>9.7968729725321335E-2</v>
      </c>
      <c r="DE32" s="2032">
        <f>DE31/CX31-1</f>
        <v>-0.10233775611517282</v>
      </c>
      <c r="DF32" s="799">
        <f>DF31/CY31-1</f>
        <v>9.1102303992910194E-2</v>
      </c>
      <c r="DG32" s="978">
        <v>0.02</v>
      </c>
      <c r="DH32" s="989">
        <f>DN32</f>
        <v>0.02</v>
      </c>
      <c r="DI32" s="799">
        <f>DI31/DB31-1</f>
        <v>2.0000000000000018E-2</v>
      </c>
      <c r="DJ32" s="989">
        <f>DN32</f>
        <v>0.02</v>
      </c>
      <c r="DK32" s="999">
        <f>DK31/DD31-1</f>
        <v>2.0000000000000018E-2</v>
      </c>
      <c r="DL32" s="989">
        <f>DN32</f>
        <v>0.02</v>
      </c>
      <c r="DM32" s="799">
        <f>DM31/DF31-1</f>
        <v>2.0000000000000018E-2</v>
      </c>
      <c r="DN32" s="978">
        <v>0.02</v>
      </c>
      <c r="DO32" s="989">
        <f>DU32</f>
        <v>0.02</v>
      </c>
      <c r="DP32" s="799">
        <f>DP31/DI31-1</f>
        <v>2.0000000000000018E-2</v>
      </c>
      <c r="DQ32" s="989">
        <f>DU32</f>
        <v>0.02</v>
      </c>
      <c r="DR32" s="999">
        <f>DR31/DK31-1</f>
        <v>2.0000000000000018E-2</v>
      </c>
      <c r="DS32" s="989">
        <f>DU32</f>
        <v>0.02</v>
      </c>
      <c r="DT32" s="799">
        <f>DT31/DM31-1</f>
        <v>2.0000000000000018E-2</v>
      </c>
      <c r="DU32" s="978">
        <v>0.02</v>
      </c>
      <c r="DV32" s="989">
        <f>EB32</f>
        <v>0.02</v>
      </c>
      <c r="DW32" s="799">
        <f>DW31/DP31-1</f>
        <v>2.0000000000000018E-2</v>
      </c>
      <c r="DX32" s="989">
        <f>EB32</f>
        <v>0.02</v>
      </c>
      <c r="DY32" s="999">
        <f>DY31/DR31-1</f>
        <v>2.000000000000024E-2</v>
      </c>
      <c r="DZ32" s="989">
        <f>EB32</f>
        <v>0.02</v>
      </c>
      <c r="EA32" s="799">
        <f>EA31/DT31-1</f>
        <v>2.000000000000024E-2</v>
      </c>
      <c r="EB32" s="978">
        <v>0.02</v>
      </c>
      <c r="EC32" s="989">
        <f>EI32</f>
        <v>0.02</v>
      </c>
      <c r="ED32" s="799">
        <f>ED31/DW31-1</f>
        <v>1.9999999999999796E-2</v>
      </c>
      <c r="EE32" s="989">
        <f>EI32</f>
        <v>0.02</v>
      </c>
      <c r="EF32" s="999">
        <f>EF31/DY31-1</f>
        <v>1.9999999999999796E-2</v>
      </c>
      <c r="EG32" s="989">
        <f>EI32</f>
        <v>0.02</v>
      </c>
      <c r="EH32" s="799">
        <f>EH31/EA31-1</f>
        <v>1.9999999999999796E-2</v>
      </c>
      <c r="EI32" s="978">
        <v>0.02</v>
      </c>
      <c r="EJ32" s="161"/>
      <c r="EK32" s="57"/>
      <c r="EL32" s="47"/>
      <c r="EM32" s="108"/>
      <c r="EN32" s="108"/>
      <c r="EO32" s="108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</row>
    <row r="33" spans="1:187" ht="10.5" customHeight="1">
      <c r="A33" s="51"/>
      <c r="B33" s="166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781"/>
      <c r="O33" s="57"/>
      <c r="P33" s="781"/>
      <c r="Q33" s="959"/>
      <c r="R33" s="781"/>
      <c r="S33" s="57"/>
      <c r="T33" s="949"/>
      <c r="U33" s="781"/>
      <c r="V33" s="57"/>
      <c r="W33" s="781"/>
      <c r="X33" s="959"/>
      <c r="Y33" s="781"/>
      <c r="Z33" s="57"/>
      <c r="AA33" s="949"/>
      <c r="AB33" s="781"/>
      <c r="AC33" s="57"/>
      <c r="AD33" s="781"/>
      <c r="AE33" s="959"/>
      <c r="AF33" s="781"/>
      <c r="AG33" s="57"/>
      <c r="AH33" s="949"/>
      <c r="AI33" s="781"/>
      <c r="AJ33" s="57"/>
      <c r="AK33" s="781"/>
      <c r="AL33" s="959"/>
      <c r="AM33" s="781"/>
      <c r="AN33" s="57"/>
      <c r="AO33" s="949"/>
      <c r="AP33" s="781"/>
      <c r="AQ33" s="57"/>
      <c r="AR33" s="781"/>
      <c r="AS33" s="959"/>
      <c r="AT33" s="781"/>
      <c r="AU33" s="57"/>
      <c r="AV33" s="949"/>
      <c r="AW33" s="781"/>
      <c r="AX33" s="57"/>
      <c r="AY33" s="781"/>
      <c r="AZ33" s="959"/>
      <c r="BA33" s="781"/>
      <c r="BB33" s="57"/>
      <c r="BC33" s="949"/>
      <c r="BD33" s="781"/>
      <c r="BE33" s="57"/>
      <c r="BF33" s="781"/>
      <c r="BG33" s="959"/>
      <c r="BH33" s="781"/>
      <c r="BI33" s="57"/>
      <c r="BJ33" s="949"/>
      <c r="BK33" s="781"/>
      <c r="BL33" s="57"/>
      <c r="BM33" s="781"/>
      <c r="BN33" s="959"/>
      <c r="BO33" s="781"/>
      <c r="BP33" s="57"/>
      <c r="BQ33" s="949"/>
      <c r="BR33" s="781"/>
      <c r="BS33" s="57"/>
      <c r="BT33" s="781"/>
      <c r="BU33" s="959"/>
      <c r="BV33" s="781"/>
      <c r="BW33" s="57"/>
      <c r="BX33" s="949"/>
      <c r="BY33" s="781"/>
      <c r="BZ33" s="57"/>
      <c r="CA33" s="781"/>
      <c r="CB33" s="959"/>
      <c r="CC33" s="781"/>
      <c r="CD33" s="57"/>
      <c r="CE33" s="949"/>
      <c r="CF33" s="781"/>
      <c r="CG33" s="57"/>
      <c r="CH33" s="781"/>
      <c r="CI33" s="959"/>
      <c r="CJ33" s="781"/>
      <c r="CK33" s="57"/>
      <c r="CL33" s="949"/>
      <c r="CM33" s="781"/>
      <c r="CN33" s="57"/>
      <c r="CO33" s="781"/>
      <c r="CP33" s="959"/>
      <c r="CQ33" s="781"/>
      <c r="CR33" s="57"/>
      <c r="CS33" s="949"/>
      <c r="CT33" s="781"/>
      <c r="CU33" s="57"/>
      <c r="CV33" s="781"/>
      <c r="CW33" s="959"/>
      <c r="CX33" s="781"/>
      <c r="CY33" s="57"/>
      <c r="CZ33" s="949"/>
      <c r="DA33" s="781"/>
      <c r="DB33" s="57"/>
      <c r="DC33" s="781"/>
      <c r="DD33" s="959"/>
      <c r="DE33" s="2032"/>
      <c r="DF33" s="57"/>
      <c r="DG33" s="949"/>
      <c r="DH33" s="781"/>
      <c r="DI33" s="57"/>
      <c r="DJ33" s="781"/>
      <c r="DK33" s="959"/>
      <c r="DL33" s="781"/>
      <c r="DM33" s="57"/>
      <c r="DN33" s="949"/>
      <c r="DO33" s="781"/>
      <c r="DP33" s="57"/>
      <c r="DQ33" s="781"/>
      <c r="DR33" s="959"/>
      <c r="DS33" s="781"/>
      <c r="DT33" s="57"/>
      <c r="DU33" s="949"/>
      <c r="DV33" s="781"/>
      <c r="DW33" s="57"/>
      <c r="DX33" s="781"/>
      <c r="DY33" s="959"/>
      <c r="DZ33" s="781"/>
      <c r="EA33" s="57"/>
      <c r="EB33" s="949"/>
      <c r="EC33" s="781"/>
      <c r="ED33" s="57"/>
      <c r="EE33" s="781"/>
      <c r="EF33" s="959"/>
      <c r="EG33" s="781"/>
      <c r="EH33" s="57"/>
      <c r="EI33" s="949"/>
      <c r="EJ33" s="161"/>
      <c r="EK33" s="57"/>
      <c r="EL33" s="47"/>
      <c r="EM33" s="108"/>
      <c r="EN33" s="108"/>
      <c r="EO33" s="108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</row>
    <row r="34" spans="1:187" ht="10.5" customHeight="1">
      <c r="A34" s="108" t="s">
        <v>352</v>
      </c>
      <c r="B34" s="71"/>
      <c r="C34" s="71"/>
      <c r="D34" s="71"/>
      <c r="E34" s="72"/>
      <c r="F34" s="72"/>
      <c r="G34" s="54"/>
      <c r="H34" s="54"/>
      <c r="I34" s="54"/>
      <c r="J34" s="59"/>
      <c r="K34" s="54"/>
      <c r="L34" s="54"/>
      <c r="M34" s="167">
        <f t="shared" ref="M34:CG34" si="409">M24-M27</f>
        <v>2630.88</v>
      </c>
      <c r="N34" s="167">
        <f t="shared" si="409"/>
        <v>539.76</v>
      </c>
      <c r="O34" s="167">
        <f t="shared" si="409"/>
        <v>700.56</v>
      </c>
      <c r="P34" s="167">
        <f t="shared" si="409"/>
        <v>758.52</v>
      </c>
      <c r="Q34" s="1263">
        <f>S34-P34</f>
        <v>645.90000000000032</v>
      </c>
      <c r="R34" s="167">
        <f t="shared" ref="R34" si="410">R24-R27</f>
        <v>1240.32</v>
      </c>
      <c r="S34" s="167">
        <f>T34-R34</f>
        <v>1404.4200000000003</v>
      </c>
      <c r="T34" s="1342">
        <f t="shared" si="409"/>
        <v>2644.7400000000002</v>
      </c>
      <c r="U34" s="167">
        <f t="shared" ref="U34:W34" si="411">U24-U27</f>
        <v>602.82000000000005</v>
      </c>
      <c r="V34" s="167">
        <f t="shared" si="411"/>
        <v>713.65</v>
      </c>
      <c r="W34" s="167">
        <f t="shared" si="411"/>
        <v>685.7299999999999</v>
      </c>
      <c r="X34" s="1263">
        <f>Z34-W34</f>
        <v>868.35999999999956</v>
      </c>
      <c r="Y34" s="167">
        <f t="shared" ref="Y34" si="412">Y24-Y27</f>
        <v>1316.47</v>
      </c>
      <c r="Z34" s="167">
        <f>AA34-Y34</f>
        <v>1554.0899999999995</v>
      </c>
      <c r="AA34" s="1342">
        <f t="shared" si="409"/>
        <v>2870.5599999999995</v>
      </c>
      <c r="AB34" s="167">
        <f t="shared" si="409"/>
        <v>681.05000000000007</v>
      </c>
      <c r="AC34" s="167">
        <f t="shared" si="409"/>
        <v>734.94999999999993</v>
      </c>
      <c r="AD34" s="167">
        <f t="shared" si="409"/>
        <v>751.23</v>
      </c>
      <c r="AE34" s="1263">
        <f>AG34-AD34</f>
        <v>1429.3500000000004</v>
      </c>
      <c r="AF34" s="167">
        <f t="shared" ref="AF34" si="413">AF24-AF27</f>
        <v>1416</v>
      </c>
      <c r="AG34" s="167">
        <f>AH34-AF34</f>
        <v>2180.5800000000004</v>
      </c>
      <c r="AH34" s="1342">
        <f t="shared" si="409"/>
        <v>3596.5800000000004</v>
      </c>
      <c r="AI34" s="167">
        <f t="shared" ref="AI34:AK34" si="414">AI24-AI27</f>
        <v>729.54</v>
      </c>
      <c r="AJ34" s="167">
        <f t="shared" si="414"/>
        <v>802.05</v>
      </c>
      <c r="AK34" s="167">
        <f t="shared" si="414"/>
        <v>813.45</v>
      </c>
      <c r="AL34" s="1263">
        <f>AN34-AK34</f>
        <v>781.39999999999964</v>
      </c>
      <c r="AM34" s="167">
        <f t="shared" ref="AM34" si="415">AM24-AM27</f>
        <v>1531.59</v>
      </c>
      <c r="AN34" s="167">
        <f>AO34-AM34</f>
        <v>1594.8499999999997</v>
      </c>
      <c r="AO34" s="1342">
        <f t="shared" si="409"/>
        <v>3126.4399999999996</v>
      </c>
      <c r="AP34" s="167">
        <f t="shared" si="409"/>
        <v>632.59</v>
      </c>
      <c r="AQ34" s="167">
        <f t="shared" si="409"/>
        <v>740.27999999999986</v>
      </c>
      <c r="AR34" s="167">
        <f t="shared" si="409"/>
        <v>689.49</v>
      </c>
      <c r="AS34" s="1263">
        <f>AU34-AR34</f>
        <v>775.63999999999965</v>
      </c>
      <c r="AT34" s="167">
        <f t="shared" ref="AT34" si="416">AT24-AT27</f>
        <v>1372.87</v>
      </c>
      <c r="AU34" s="167">
        <f>AV34-AT34</f>
        <v>1465.1299999999997</v>
      </c>
      <c r="AV34" s="1342">
        <f t="shared" si="409"/>
        <v>2837.9999999999995</v>
      </c>
      <c r="AW34" s="167">
        <f t="shared" ref="AW34:AY34" si="417">AW24-AW27</f>
        <v>518.94000000000005</v>
      </c>
      <c r="AX34" s="167">
        <f t="shared" si="417"/>
        <v>579.54</v>
      </c>
      <c r="AY34" s="167">
        <f t="shared" si="417"/>
        <v>601.4799999999999</v>
      </c>
      <c r="AZ34" s="1263">
        <f>BB34-AY34</f>
        <v>732.98000000000013</v>
      </c>
      <c r="BA34" s="167">
        <f t="shared" ref="BA34" si="418">BA24-BA27</f>
        <v>1098.48</v>
      </c>
      <c r="BB34" s="167">
        <f>BC34-BA34</f>
        <v>1334.46</v>
      </c>
      <c r="BC34" s="1342">
        <f t="shared" si="409"/>
        <v>2432.94</v>
      </c>
      <c r="BD34" s="167">
        <f t="shared" si="409"/>
        <v>584.05999999999995</v>
      </c>
      <c r="BE34" s="167">
        <f t="shared" si="409"/>
        <v>601.44000000000005</v>
      </c>
      <c r="BF34" s="167">
        <f t="shared" si="409"/>
        <v>657.09</v>
      </c>
      <c r="BG34" s="1263">
        <f>BI34-BF34</f>
        <v>740.42000000000019</v>
      </c>
      <c r="BH34" s="167">
        <f t="shared" ref="BH34" si="419">BH24-BH27</f>
        <v>1185.5</v>
      </c>
      <c r="BI34" s="167">
        <f>BJ34-BH34</f>
        <v>1397.5100000000002</v>
      </c>
      <c r="BJ34" s="1342">
        <f t="shared" si="409"/>
        <v>2583.0100000000002</v>
      </c>
      <c r="BK34" s="167">
        <f t="shared" ref="BK34:BM34" si="420">BK24-BK27</f>
        <v>649.07999999999993</v>
      </c>
      <c r="BL34" s="167">
        <f t="shared" si="420"/>
        <v>610.74</v>
      </c>
      <c r="BM34" s="167">
        <f t="shared" si="420"/>
        <v>683.7</v>
      </c>
      <c r="BN34" s="1263">
        <f>BP34-BM34</f>
        <v>744.41000000000031</v>
      </c>
      <c r="BO34" s="167">
        <f t="shared" ref="BO34" si="421">BO24-BO27</f>
        <v>1259.82</v>
      </c>
      <c r="BP34" s="167">
        <f>BQ34-BO34</f>
        <v>1428.1100000000004</v>
      </c>
      <c r="BQ34" s="1342">
        <f t="shared" si="409"/>
        <v>2687.9300000000003</v>
      </c>
      <c r="BR34" s="167">
        <f t="shared" si="409"/>
        <v>647.35</v>
      </c>
      <c r="BS34" s="167">
        <f t="shared" si="409"/>
        <v>727.47000000000014</v>
      </c>
      <c r="BT34" s="167">
        <f t="shared" si="409"/>
        <v>786.93000000000006</v>
      </c>
      <c r="BU34" s="1263">
        <f>BW34-BT34</f>
        <v>702.20999999999935</v>
      </c>
      <c r="BV34" s="167">
        <f t="shared" ref="BV34" si="422">BV24-BV27</f>
        <v>1374.8200000000002</v>
      </c>
      <c r="BW34" s="167">
        <f>BX34-BV34</f>
        <v>1489.1399999999994</v>
      </c>
      <c r="BX34" s="1342">
        <f t="shared" si="409"/>
        <v>2863.9599999999996</v>
      </c>
      <c r="BY34" s="167">
        <f t="shared" ref="BY34:CA34" si="423">BY24-BY27</f>
        <v>708.4</v>
      </c>
      <c r="BZ34" s="167">
        <f t="shared" si="423"/>
        <v>745.92000000000019</v>
      </c>
      <c r="CA34" s="167">
        <f t="shared" si="423"/>
        <v>903.21</v>
      </c>
      <c r="CB34" s="1263">
        <f>CD34-CA34</f>
        <v>814.06999999999971</v>
      </c>
      <c r="CC34" s="167">
        <f t="shared" ref="CC34" si="424">CC24-CC27</f>
        <v>1454.3200000000002</v>
      </c>
      <c r="CD34" s="167">
        <f>CE34-CC34</f>
        <v>1717.2799999999997</v>
      </c>
      <c r="CE34" s="1342">
        <f t="shared" si="409"/>
        <v>3171.6</v>
      </c>
      <c r="CF34" s="167">
        <f t="shared" si="409"/>
        <v>783.02</v>
      </c>
      <c r="CG34" s="167">
        <f t="shared" si="409"/>
        <v>845.92000000000007</v>
      </c>
      <c r="CH34" s="167">
        <f t="shared" ref="CH34" si="425">CH24-CH27</f>
        <v>778.04000000000008</v>
      </c>
      <c r="CI34" s="1263">
        <f>CK34-CH34</f>
        <v>1041.4099999999999</v>
      </c>
      <c r="CJ34" s="167">
        <f t="shared" ref="CJ34" si="426">CJ24-CJ27</f>
        <v>1628.94</v>
      </c>
      <c r="CK34" s="167">
        <f>CL34-CJ34</f>
        <v>1819.4499999999998</v>
      </c>
      <c r="CL34" s="1342">
        <f t="shared" ref="CL34:CN34" si="427">CL24-CL27</f>
        <v>3448.39</v>
      </c>
      <c r="CM34" s="167">
        <f t="shared" si="427"/>
        <v>847.38</v>
      </c>
      <c r="CN34" s="167">
        <f t="shared" si="427"/>
        <v>875.75999999999988</v>
      </c>
      <c r="CO34" s="167">
        <f t="shared" ref="CO34" si="428">CO24-CO27</f>
        <v>909.36</v>
      </c>
      <c r="CP34" s="1263">
        <f>CR34-CO34</f>
        <v>1020.3599999999998</v>
      </c>
      <c r="CQ34" s="167">
        <f t="shared" ref="CQ34" si="429">CQ24-CQ27</f>
        <v>1723.1399999999999</v>
      </c>
      <c r="CR34" s="167">
        <f>CS34-CQ34</f>
        <v>1929.7199999999998</v>
      </c>
      <c r="CS34" s="1342">
        <f t="shared" ref="CS34:CV34" si="430">CS24-CS27</f>
        <v>3652.8599999999997</v>
      </c>
      <c r="CT34" s="167">
        <f t="shared" si="430"/>
        <v>944</v>
      </c>
      <c r="CU34" s="167">
        <f t="shared" si="430"/>
        <v>902.5</v>
      </c>
      <c r="CV34" s="167">
        <f t="shared" si="430"/>
        <v>959.91</v>
      </c>
      <c r="CW34" s="1263">
        <f>CY34-CV34</f>
        <v>1051.5500000000002</v>
      </c>
      <c r="CX34" s="167">
        <f t="shared" ref="CX34" si="431">CX24-CX27</f>
        <v>1846.5</v>
      </c>
      <c r="CY34" s="167">
        <f>CZ34-CX34</f>
        <v>2011.46</v>
      </c>
      <c r="CZ34" s="1342">
        <f t="shared" ref="CZ34:DB34" si="432">CZ24-CZ27</f>
        <v>3857.96</v>
      </c>
      <c r="DA34" s="167">
        <f t="shared" si="432"/>
        <v>946.36</v>
      </c>
      <c r="DB34" s="167">
        <f t="shared" si="432"/>
        <v>1004.04</v>
      </c>
      <c r="DC34" s="986">
        <f>CV34*(1+DC35)</f>
        <v>1007.9055</v>
      </c>
      <c r="DD34" s="992">
        <f>DF34-DC34</f>
        <v>1092.5525000000002</v>
      </c>
      <c r="DE34" s="2031">
        <f t="shared" ref="DE34" si="433">DE24-DE27</f>
        <v>1950.4</v>
      </c>
      <c r="DF34" s="986">
        <f>DG34-DE34</f>
        <v>2100.4580000000001</v>
      </c>
      <c r="DG34" s="977">
        <f>CZ34*(1+DG35)</f>
        <v>4050.8580000000002</v>
      </c>
      <c r="DH34" s="986">
        <f>DA34*(1+DH35)</f>
        <v>993.67800000000011</v>
      </c>
      <c r="DI34" s="986">
        <f>DL34-DH34</f>
        <v>1054.242</v>
      </c>
      <c r="DJ34" s="986">
        <f>DC34*(1+DJ35)</f>
        <v>1058.3007749999999</v>
      </c>
      <c r="DK34" s="992">
        <f>DM34-DJ34</f>
        <v>1147.1801250000005</v>
      </c>
      <c r="DL34" s="986">
        <f>DE34*(1+DL35)</f>
        <v>2047.92</v>
      </c>
      <c r="DM34" s="986">
        <f>DN34-DL34</f>
        <v>2205.4809000000005</v>
      </c>
      <c r="DN34" s="977">
        <f>DG34*(1+DN35)</f>
        <v>4253.4009000000005</v>
      </c>
      <c r="DO34" s="986">
        <f>DH34*(1+DO35)</f>
        <v>1043.3619000000001</v>
      </c>
      <c r="DP34" s="986">
        <f>DS34-DO34</f>
        <v>1106.9541000000002</v>
      </c>
      <c r="DQ34" s="986">
        <f>DJ34*(1+DQ35)</f>
        <v>1111.2158137500001</v>
      </c>
      <c r="DR34" s="992">
        <f>DT34-DQ34</f>
        <v>1204.5391312500001</v>
      </c>
      <c r="DS34" s="986">
        <f>DL34*(1+DS35)</f>
        <v>2150.3160000000003</v>
      </c>
      <c r="DT34" s="986">
        <f>DU34-DS34</f>
        <v>2315.7549450000001</v>
      </c>
      <c r="DU34" s="977">
        <f>DN34*(1+DU35)</f>
        <v>4466.0709450000004</v>
      </c>
      <c r="DV34" s="986">
        <f>DO34*(1+DV35)</f>
        <v>1095.5299950000001</v>
      </c>
      <c r="DW34" s="986">
        <f>DZ34-DV34</f>
        <v>1162.3018050000003</v>
      </c>
      <c r="DX34" s="986">
        <f>DQ34*(1+DX35)</f>
        <v>1166.7766044375001</v>
      </c>
      <c r="DY34" s="992">
        <f>EA34-DX34</f>
        <v>1264.7660878125005</v>
      </c>
      <c r="DZ34" s="986">
        <f>DS34*(1+DZ35)</f>
        <v>2257.8318000000004</v>
      </c>
      <c r="EA34" s="986">
        <f>EB34-DZ34</f>
        <v>2431.5426922500005</v>
      </c>
      <c r="EB34" s="977">
        <f>DU34*(1+EB35)</f>
        <v>4689.3744922500009</v>
      </c>
      <c r="EC34" s="986">
        <f>DV34*(1+EC35)</f>
        <v>1150.3064947500002</v>
      </c>
      <c r="ED34" s="986">
        <f>EG34-EC34</f>
        <v>1220.4168952500004</v>
      </c>
      <c r="EE34" s="986">
        <f>DX34*(1+EE35)</f>
        <v>1225.1154346593751</v>
      </c>
      <c r="EF34" s="992">
        <f>EH34-EE34</f>
        <v>1328.0043922031257</v>
      </c>
      <c r="EG34" s="986">
        <f>DZ34*(1+EG35)</f>
        <v>2370.7233900000006</v>
      </c>
      <c r="EH34" s="986">
        <f>EI34-EG34</f>
        <v>2553.1198268625008</v>
      </c>
      <c r="EI34" s="977">
        <f>EB34*(1+EI35)</f>
        <v>4923.8432168625013</v>
      </c>
      <c r="EJ34" s="168"/>
      <c r="EK34" s="168"/>
      <c r="EL34" s="47"/>
      <c r="EM34" s="108"/>
      <c r="EN34" s="108"/>
      <c r="EO34" s="108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</row>
    <row r="35" spans="1:187" ht="10.5" customHeight="1">
      <c r="A35" s="51" t="s">
        <v>347</v>
      </c>
      <c r="B35" s="71"/>
      <c r="C35" s="71"/>
      <c r="D35" s="71"/>
      <c r="E35" s="72"/>
      <c r="F35" s="72"/>
      <c r="G35" s="54"/>
      <c r="H35" s="54"/>
      <c r="I35" s="54"/>
      <c r="J35" s="59"/>
      <c r="K35" s="54"/>
      <c r="L35" s="54"/>
      <c r="M35" s="167"/>
      <c r="N35" s="57"/>
      <c r="O35" s="57"/>
      <c r="P35" s="57"/>
      <c r="Q35" s="959"/>
      <c r="R35" s="57"/>
      <c r="S35" s="57"/>
      <c r="T35" s="1262">
        <f t="shared" ref="T35:V35" si="434">T34/M34-1</f>
        <v>5.268199233716464E-3</v>
      </c>
      <c r="U35" s="57">
        <f t="shared" si="434"/>
        <v>0.11682970208981791</v>
      </c>
      <c r="V35" s="57">
        <f t="shared" si="434"/>
        <v>1.8685051958433396E-2</v>
      </c>
      <c r="W35" s="57">
        <f t="shared" ref="W35" si="435">W34/P34-1</f>
        <v>-9.5963191478141696E-2</v>
      </c>
      <c r="X35" s="959">
        <f t="shared" ref="X35" si="436">X34/Q34-1</f>
        <v>0.34441864065644712</v>
      </c>
      <c r="Y35" s="57">
        <f t="shared" ref="Y35" si="437">Y34/R34-1</f>
        <v>6.139544633642946E-2</v>
      </c>
      <c r="Z35" s="57">
        <f t="shared" ref="Z35" si="438">Z34/S34-1</f>
        <v>0.10657068398342306</v>
      </c>
      <c r="AA35" s="1262">
        <f>AA34/T34-1</f>
        <v>8.5384574665184232E-2</v>
      </c>
      <c r="AB35" s="57">
        <f t="shared" ref="AB35:AC35" si="439">AB34/U34-1</f>
        <v>0.12977339836103652</v>
      </c>
      <c r="AC35" s="57">
        <f t="shared" si="439"/>
        <v>2.9846563441462859E-2</v>
      </c>
      <c r="AD35" s="57">
        <f t="shared" ref="AD35" si="440">AD34/W34-1</f>
        <v>9.5518644364400052E-2</v>
      </c>
      <c r="AE35" s="959">
        <f t="shared" ref="AE35" si="441">AE34/X34-1</f>
        <v>0.64603390298954477</v>
      </c>
      <c r="AF35" s="57">
        <f t="shared" ref="AF35" si="442">AF34/Y34-1</f>
        <v>7.5603697767514522E-2</v>
      </c>
      <c r="AG35" s="57">
        <f t="shared" ref="AG35" si="443">AG34/Z34-1</f>
        <v>0.40312337123332709</v>
      </c>
      <c r="AH35" s="1262">
        <f>AH34/AA34-1</f>
        <v>0.25291929100942001</v>
      </c>
      <c r="AI35" s="57">
        <f t="shared" ref="AI35:AJ35" si="444">AI34/AB34-1</f>
        <v>7.1198884076058899E-2</v>
      </c>
      <c r="AJ35" s="57">
        <f t="shared" si="444"/>
        <v>9.1298727804612678E-2</v>
      </c>
      <c r="AK35" s="57">
        <f t="shared" ref="AK35" si="445">AK34/AD34-1</f>
        <v>8.2824168363883288E-2</v>
      </c>
      <c r="AL35" s="959">
        <f t="shared" ref="AL35" si="446">AL34/AE34-1</f>
        <v>-0.45331794172176199</v>
      </c>
      <c r="AM35" s="57">
        <f t="shared" ref="AM35" si="447">AM34/AF34-1</f>
        <v>8.1631355932203276E-2</v>
      </c>
      <c r="AN35" s="57">
        <f t="shared" ref="AN35" si="448">AN34/AG34-1</f>
        <v>-0.26861202065505541</v>
      </c>
      <c r="AO35" s="1262">
        <f>AO34/AH34-1</f>
        <v>-0.13071862714022786</v>
      </c>
      <c r="AP35" s="57">
        <f t="shared" ref="AP35:AQ35" si="449">AP34/AI34-1</f>
        <v>-0.13289195931682973</v>
      </c>
      <c r="AQ35" s="57">
        <f t="shared" si="449"/>
        <v>-7.701514868150372E-2</v>
      </c>
      <c r="AR35" s="57">
        <f t="shared" ref="AR35" si="450">AR34/AK34-1</f>
        <v>-0.15238797713442742</v>
      </c>
      <c r="AS35" s="959">
        <f t="shared" ref="AS35" si="451">AS34/AL34-1</f>
        <v>-7.3713846941386718E-3</v>
      </c>
      <c r="AT35" s="57">
        <f t="shared" ref="AT35" si="452">AT34/AM34-1</f>
        <v>-0.10363086726865545</v>
      </c>
      <c r="AU35" s="57">
        <f t="shared" ref="AU35" si="453">AU34/AN34-1</f>
        <v>-8.1336802834122368E-2</v>
      </c>
      <c r="AV35" s="1262">
        <f>AV34/AO34-1</f>
        <v>-9.2258287381174808E-2</v>
      </c>
      <c r="AW35" s="57">
        <f t="shared" ref="AW35:AX35" si="454">AW34/AP34-1</f>
        <v>-0.1796582304494222</v>
      </c>
      <c r="AX35" s="57">
        <f t="shared" si="454"/>
        <v>-0.21713405738369251</v>
      </c>
      <c r="AY35" s="57">
        <f t="shared" ref="AY35" si="455">AY34/AR34-1</f>
        <v>-0.12764507099450328</v>
      </c>
      <c r="AZ35" s="959">
        <f t="shared" ref="AZ35" si="456">AZ34/AS34-1</f>
        <v>-5.499974214841874E-2</v>
      </c>
      <c r="BA35" s="57">
        <f t="shared" ref="BA35" si="457">BA34/AT34-1</f>
        <v>-0.19986597420003338</v>
      </c>
      <c r="BB35" s="57">
        <f t="shared" ref="BB35" si="458">BB34/AU34-1</f>
        <v>-8.9186625077637971E-2</v>
      </c>
      <c r="BC35" s="1262">
        <f>BC34/AV34-1</f>
        <v>-0.14272727272727259</v>
      </c>
      <c r="BD35" s="57">
        <f t="shared" ref="BD35:BE35" si="459">BD34/AW34-1</f>
        <v>0.1254865687748099</v>
      </c>
      <c r="BE35" s="57">
        <f t="shared" si="459"/>
        <v>3.7788590951444379E-2</v>
      </c>
      <c r="BF35" s="57">
        <f t="shared" ref="BF35" si="460">BF34/AY34-1</f>
        <v>9.2455276983441026E-2</v>
      </c>
      <c r="BG35" s="959">
        <f t="shared" ref="BG35" si="461">BG34/AZ34-1</f>
        <v>1.0150345166307417E-2</v>
      </c>
      <c r="BH35" s="57">
        <f t="shared" ref="BH35" si="462">BH34/BA34-1</f>
        <v>7.9218556550870289E-2</v>
      </c>
      <c r="BI35" s="57">
        <f t="shared" ref="BI35" si="463">BI34/BB34-1</f>
        <v>4.7247575798450514E-2</v>
      </c>
      <c r="BJ35" s="1262">
        <f>BJ34/BC34-1</f>
        <v>6.1682573347472625E-2</v>
      </c>
      <c r="BK35" s="57">
        <f t="shared" ref="BK35:BL35" si="464">BK34/BD34-1</f>
        <v>0.11132417902270308</v>
      </c>
      <c r="BL35" s="57">
        <f t="shared" si="464"/>
        <v>1.5462889066240937E-2</v>
      </c>
      <c r="BM35" s="57">
        <f t="shared" ref="BM35" si="465">BM34/BF34-1</f>
        <v>4.0496735606994516E-2</v>
      </c>
      <c r="BN35" s="959">
        <f t="shared" ref="BN35" si="466">BN34/BG34-1</f>
        <v>5.3888333648470788E-3</v>
      </c>
      <c r="BO35" s="57">
        <f t="shared" ref="BO35" si="467">BO34/BH34-1</f>
        <v>6.2690847743568145E-2</v>
      </c>
      <c r="BP35" s="57">
        <f t="shared" ref="BP35" si="468">BP34/BI34-1</f>
        <v>2.1896086611187027E-2</v>
      </c>
      <c r="BQ35" s="1262">
        <f>BQ34/BJ34-1</f>
        <v>4.0619277509572171E-2</v>
      </c>
      <c r="BR35" s="57">
        <f t="shared" ref="BR35:BS35" si="469">BR34/BK34-1</f>
        <v>-2.6653109015836174E-3</v>
      </c>
      <c r="BS35" s="57">
        <f t="shared" si="469"/>
        <v>0.19112879457707055</v>
      </c>
      <c r="BT35" s="57">
        <f t="shared" ref="BT35" si="470">BT34/BM34-1</f>
        <v>0.1509872751206669</v>
      </c>
      <c r="BU35" s="959">
        <f t="shared" ref="BU35" si="471">BU34/BN34-1</f>
        <v>-5.6689190096856468E-2</v>
      </c>
      <c r="BV35" s="57">
        <f t="shared" ref="BV35" si="472">BV34/BO34-1</f>
        <v>9.1282881681510331E-2</v>
      </c>
      <c r="BW35" s="57">
        <f t="shared" ref="BW35" si="473">BW34/BP34-1</f>
        <v>4.2734803341478722E-2</v>
      </c>
      <c r="BX35" s="1262">
        <f>BX34/BQ34-1</f>
        <v>6.5489056634659093E-2</v>
      </c>
      <c r="BY35" s="57">
        <f t="shared" ref="BY35" si="474">BY34/BR34-1</f>
        <v>9.4307561597281042E-2</v>
      </c>
      <c r="BZ35" s="57">
        <f t="shared" ref="BZ35" si="475">BZ34/BS34-1</f>
        <v>2.5361870592601754E-2</v>
      </c>
      <c r="CA35" s="57">
        <f t="shared" ref="CA35" si="476">CA34/BT34-1</f>
        <v>0.14776409591704476</v>
      </c>
      <c r="CB35" s="959">
        <f t="shared" ref="CB35" si="477">CB34/BU34-1</f>
        <v>0.15929707637316537</v>
      </c>
      <c r="CC35" s="57">
        <f t="shared" ref="CC35" si="478">CC34/BV34-1</f>
        <v>5.7825751734772446E-2</v>
      </c>
      <c r="CD35" s="57">
        <f t="shared" ref="CD35" si="479">CD34/BW34-1</f>
        <v>0.15320251957505704</v>
      </c>
      <c r="CE35" s="1262">
        <f>CE34/BX34-1</f>
        <v>0.10741770136454432</v>
      </c>
      <c r="CF35" s="1216">
        <f t="shared" ref="CF35:CK35" si="480">CF34/BY34-1</f>
        <v>0.10533596837944659</v>
      </c>
      <c r="CG35" s="1216">
        <f t="shared" si="480"/>
        <v>0.13406263406263386</v>
      </c>
      <c r="CH35" s="1216">
        <f t="shared" si="480"/>
        <v>-0.13858349663976255</v>
      </c>
      <c r="CI35" s="1347">
        <f t="shared" si="480"/>
        <v>0.27926345400272723</v>
      </c>
      <c r="CJ35" s="1216">
        <f t="shared" si="480"/>
        <v>0.1200698608284283</v>
      </c>
      <c r="CK35" s="1216">
        <f t="shared" si="480"/>
        <v>5.9495248299636705E-2</v>
      </c>
      <c r="CL35" s="1262">
        <f>CL34/CE34-1</f>
        <v>8.7271408752680024E-2</v>
      </c>
      <c r="CM35" s="57">
        <f t="shared" ref="CM35:CP35" si="481">CM34/CF34-1</f>
        <v>8.2194579959643521E-2</v>
      </c>
      <c r="CN35" s="57">
        <f t="shared" si="481"/>
        <v>3.5275203328919869E-2</v>
      </c>
      <c r="CO35" s="57">
        <f t="shared" si="481"/>
        <v>0.16878309598478225</v>
      </c>
      <c r="CP35" s="1347">
        <f t="shared" si="481"/>
        <v>-2.021298047838993E-2</v>
      </c>
      <c r="CQ35" s="1216">
        <f>CQ34/CJ34-1</f>
        <v>5.7829017643375336E-2</v>
      </c>
      <c r="CR35" s="1216">
        <f t="shared" ref="CR35" si="482">CR34/CK34-1</f>
        <v>6.060622715655839E-2</v>
      </c>
      <c r="CS35" s="1262">
        <f>CS34/CL34-1</f>
        <v>5.9294337357433502E-2</v>
      </c>
      <c r="CT35" s="57">
        <f t="shared" ref="CT35:CW35" si="483">CT34/CM34-1</f>
        <v>0.11402204441926878</v>
      </c>
      <c r="CU35" s="57">
        <f t="shared" si="483"/>
        <v>3.0533479492098392E-2</v>
      </c>
      <c r="CV35" s="57">
        <f t="shared" si="483"/>
        <v>5.558854579044592E-2</v>
      </c>
      <c r="CW35" s="1347">
        <f t="shared" si="483"/>
        <v>3.0567642792740157E-2</v>
      </c>
      <c r="CX35" s="1216">
        <f>CX34/CQ34-1</f>
        <v>7.1590236428844989E-2</v>
      </c>
      <c r="CY35" s="1216">
        <f t="shared" ref="CY35" si="484">CY34/CR34-1</f>
        <v>4.2358476877474516E-2</v>
      </c>
      <c r="CZ35" s="1262">
        <f>CZ34/CS34-1</f>
        <v>5.6147785570758391E-2</v>
      </c>
      <c r="DA35" s="57">
        <f t="shared" ref="DA35:DB35" si="485">DA34/CT34-1</f>
        <v>2.4999999999999467E-3</v>
      </c>
      <c r="DB35" s="57">
        <f t="shared" si="485"/>
        <v>0.11250969529085864</v>
      </c>
      <c r="DC35" s="1974">
        <v>0.05</v>
      </c>
      <c r="DD35" s="999">
        <f>DD34/CW34-1</f>
        <v>3.8992439731824424E-2</v>
      </c>
      <c r="DE35" s="2032">
        <f>DE34/CX34-1</f>
        <v>5.6268616301110352E-2</v>
      </c>
      <c r="DF35" s="799">
        <f>DF34/CY34-1</f>
        <v>4.4245473437204863E-2</v>
      </c>
      <c r="DG35" s="978">
        <v>0.05</v>
      </c>
      <c r="DH35" s="989">
        <f>DN35</f>
        <v>0.05</v>
      </c>
      <c r="DI35" s="799">
        <f>DI34/DB34-1</f>
        <v>5.0000000000000044E-2</v>
      </c>
      <c r="DJ35" s="989">
        <f>DN35</f>
        <v>0.05</v>
      </c>
      <c r="DK35" s="999">
        <f>DK34/DD34-1</f>
        <v>5.0000000000000266E-2</v>
      </c>
      <c r="DL35" s="989">
        <f>DN35</f>
        <v>0.05</v>
      </c>
      <c r="DM35" s="799">
        <f>DM34/DF34-1</f>
        <v>5.0000000000000266E-2</v>
      </c>
      <c r="DN35" s="978">
        <v>0.05</v>
      </c>
      <c r="DO35" s="989">
        <f>DU35</f>
        <v>0.05</v>
      </c>
      <c r="DP35" s="799">
        <f>DP34/DI34-1</f>
        <v>5.0000000000000266E-2</v>
      </c>
      <c r="DQ35" s="989">
        <f>DU35</f>
        <v>0.05</v>
      </c>
      <c r="DR35" s="999">
        <f>DR34/DK34-1</f>
        <v>4.99999999999996E-2</v>
      </c>
      <c r="DS35" s="989">
        <f>DU35</f>
        <v>0.05</v>
      </c>
      <c r="DT35" s="799">
        <f>DT34/DM34-1</f>
        <v>4.9999999999999822E-2</v>
      </c>
      <c r="DU35" s="978">
        <v>0.05</v>
      </c>
      <c r="DV35" s="989">
        <f>EB35</f>
        <v>0.05</v>
      </c>
      <c r="DW35" s="799">
        <f>DW34/DP34-1</f>
        <v>5.0000000000000044E-2</v>
      </c>
      <c r="DX35" s="989">
        <f>EB35</f>
        <v>0.05</v>
      </c>
      <c r="DY35" s="999">
        <f>DY34/DR34-1</f>
        <v>5.0000000000000266E-2</v>
      </c>
      <c r="DZ35" s="989">
        <f>EB35</f>
        <v>0.05</v>
      </c>
      <c r="EA35" s="799">
        <f>EA34/DT34-1</f>
        <v>5.0000000000000266E-2</v>
      </c>
      <c r="EB35" s="978">
        <v>0.05</v>
      </c>
      <c r="EC35" s="989">
        <f>EI35</f>
        <v>0.05</v>
      </c>
      <c r="ED35" s="799">
        <f>ED34/DW34-1</f>
        <v>5.0000000000000044E-2</v>
      </c>
      <c r="EE35" s="989">
        <f>EI35</f>
        <v>0.05</v>
      </c>
      <c r="EF35" s="999">
        <f>EF34/DY34-1</f>
        <v>5.0000000000000044E-2</v>
      </c>
      <c r="EG35" s="989">
        <f>EI35</f>
        <v>0.05</v>
      </c>
      <c r="EH35" s="799">
        <f>EH34/EA34-1</f>
        <v>5.0000000000000044E-2</v>
      </c>
      <c r="EI35" s="978">
        <v>0.05</v>
      </c>
      <c r="EJ35" s="168"/>
      <c r="EK35" s="57"/>
      <c r="EL35" s="47"/>
      <c r="EM35" s="108"/>
      <c r="EN35" s="108"/>
      <c r="EO35" s="108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</row>
    <row r="36" spans="1:187" ht="10.5" customHeight="1">
      <c r="A36" s="108"/>
      <c r="B36" s="71"/>
      <c r="C36" s="71"/>
      <c r="D36" s="71"/>
      <c r="E36" s="72"/>
      <c r="F36" s="72"/>
      <c r="G36" s="54"/>
      <c r="H36" s="54"/>
      <c r="I36" s="54"/>
      <c r="J36" s="59"/>
      <c r="K36" s="54"/>
      <c r="L36" s="54"/>
      <c r="M36" s="167"/>
      <c r="N36" s="54"/>
      <c r="O36" s="54"/>
      <c r="P36" s="54"/>
      <c r="Q36" s="684"/>
      <c r="R36" s="54"/>
      <c r="S36" s="54"/>
      <c r="T36" s="555"/>
      <c r="U36" s="54"/>
      <c r="V36" s="54"/>
      <c r="W36" s="54"/>
      <c r="X36" s="684"/>
      <c r="Y36" s="54"/>
      <c r="Z36" s="54"/>
      <c r="AA36" s="555"/>
      <c r="AB36" s="54"/>
      <c r="AC36" s="54"/>
      <c r="AD36" s="54"/>
      <c r="AE36" s="684"/>
      <c r="AF36" s="54"/>
      <c r="AG36" s="54"/>
      <c r="AH36" s="555"/>
      <c r="AI36" s="54"/>
      <c r="AJ36" s="54"/>
      <c r="AK36" s="54"/>
      <c r="AL36" s="684"/>
      <c r="AM36" s="54"/>
      <c r="AN36" s="54"/>
      <c r="AO36" s="555"/>
      <c r="AP36" s="54"/>
      <c r="AQ36" s="54"/>
      <c r="AR36" s="54"/>
      <c r="AS36" s="684"/>
      <c r="AT36" s="54"/>
      <c r="AU36" s="54"/>
      <c r="AV36" s="555"/>
      <c r="AW36" s="54"/>
      <c r="AX36" s="54"/>
      <c r="AY36" s="54"/>
      <c r="AZ36" s="684"/>
      <c r="BA36" s="54"/>
      <c r="BB36" s="54"/>
      <c r="BC36" s="555"/>
      <c r="BD36" s="54"/>
      <c r="BE36" s="54"/>
      <c r="BF36" s="54"/>
      <c r="BG36" s="684"/>
      <c r="BH36" s="54"/>
      <c r="BI36" s="54"/>
      <c r="BJ36" s="555"/>
      <c r="BK36" s="54"/>
      <c r="BL36" s="54"/>
      <c r="BM36" s="54"/>
      <c r="BN36" s="684"/>
      <c r="BO36" s="54"/>
      <c r="BP36" s="54"/>
      <c r="BQ36" s="555"/>
      <c r="BR36" s="54"/>
      <c r="BS36" s="54"/>
      <c r="BT36" s="54"/>
      <c r="BU36" s="684"/>
      <c r="BV36" s="54"/>
      <c r="BW36" s="54"/>
      <c r="BX36" s="555"/>
      <c r="BY36" s="54"/>
      <c r="BZ36" s="54"/>
      <c r="CA36" s="54"/>
      <c r="CB36" s="684"/>
      <c r="CC36" s="54"/>
      <c r="CD36" s="54"/>
      <c r="CE36" s="555"/>
      <c r="CF36" s="54"/>
      <c r="CG36" s="54"/>
      <c r="CH36" s="54"/>
      <c r="CI36" s="684"/>
      <c r="CJ36" s="54"/>
      <c r="CK36" s="54"/>
      <c r="CL36" s="555"/>
      <c r="CM36" s="54"/>
      <c r="CN36" s="54"/>
      <c r="CO36" s="54"/>
      <c r="CP36" s="684"/>
      <c r="CQ36" s="54"/>
      <c r="CR36" s="54"/>
      <c r="CS36" s="555"/>
      <c r="CT36" s="54"/>
      <c r="CU36" s="54"/>
      <c r="CV36" s="54"/>
      <c r="CW36" s="684"/>
      <c r="CX36" s="54"/>
      <c r="CY36" s="54"/>
      <c r="CZ36" s="555"/>
      <c r="DA36" s="54"/>
      <c r="DB36" s="54"/>
      <c r="DC36" s="54"/>
      <c r="DD36" s="684"/>
      <c r="DE36" s="2034"/>
      <c r="DF36" s="54"/>
      <c r="DG36" s="555"/>
      <c r="DH36" s="54"/>
      <c r="DI36" s="54"/>
      <c r="DJ36" s="54"/>
      <c r="DK36" s="684"/>
      <c r="DL36" s="54"/>
      <c r="DM36" s="54"/>
      <c r="DN36" s="555"/>
      <c r="DO36" s="54"/>
      <c r="DP36" s="54"/>
      <c r="DQ36" s="54"/>
      <c r="DR36" s="684"/>
      <c r="DS36" s="54"/>
      <c r="DT36" s="54"/>
      <c r="DU36" s="555"/>
      <c r="DV36" s="54"/>
      <c r="DW36" s="54"/>
      <c r="DX36" s="54"/>
      <c r="DY36" s="684"/>
      <c r="DZ36" s="54"/>
      <c r="EA36" s="54"/>
      <c r="EB36" s="555"/>
      <c r="EC36" s="54"/>
      <c r="ED36" s="54"/>
      <c r="EE36" s="54"/>
      <c r="EF36" s="684"/>
      <c r="EG36" s="54"/>
      <c r="EH36" s="54"/>
      <c r="EI36" s="555"/>
      <c r="EJ36" s="168"/>
      <c r="EK36" s="168"/>
      <c r="EL36" s="47"/>
      <c r="EM36" s="108"/>
      <c r="EN36" s="108"/>
      <c r="EO36" s="108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</row>
    <row r="37" spans="1:187" ht="10.5" customHeight="1">
      <c r="A37" s="201" t="s">
        <v>770</v>
      </c>
      <c r="B37" s="771"/>
      <c r="C37" s="771"/>
      <c r="D37" s="771"/>
      <c r="E37" s="772"/>
      <c r="F37" s="772"/>
      <c r="G37" s="773"/>
      <c r="H37" s="773"/>
      <c r="I37" s="773"/>
      <c r="J37" s="773"/>
      <c r="K37" s="773"/>
      <c r="L37" s="773"/>
      <c r="M37" s="773">
        <v>0.57999999999999996</v>
      </c>
      <c r="N37" s="773">
        <v>0.48</v>
      </c>
      <c r="O37" s="773">
        <f t="shared" ref="O37" si="486">O27/O24</f>
        <v>0.54685640362225096</v>
      </c>
      <c r="P37" s="773">
        <v>0.51</v>
      </c>
      <c r="Q37" s="963">
        <f t="shared" ref="Q37" si="487">Q27/Q24</f>
        <v>0.70166281755196303</v>
      </c>
      <c r="R37" s="773">
        <v>0.52</v>
      </c>
      <c r="S37" s="773">
        <f t="shared" ref="S37" si="488">S27/S24</f>
        <v>0.6217559924589281</v>
      </c>
      <c r="T37" s="953">
        <v>0.57999999999999996</v>
      </c>
      <c r="U37" s="773">
        <v>0.49</v>
      </c>
      <c r="V37" s="773">
        <f t="shared" ref="V37" si="489">V27/V24</f>
        <v>0.55920321185917232</v>
      </c>
      <c r="W37" s="773">
        <v>0.53</v>
      </c>
      <c r="X37" s="963">
        <f t="shared" ref="X37" si="490">X27/X24</f>
        <v>0.61644876325088371</v>
      </c>
      <c r="Y37" s="773">
        <v>0.53</v>
      </c>
      <c r="Z37" s="773">
        <f t="shared" ref="Z37" si="491">Z27/Z24</f>
        <v>0.58257050765511709</v>
      </c>
      <c r="AA37" s="953">
        <v>0.56000000000000005</v>
      </c>
      <c r="AB37" s="773">
        <v>0.47</v>
      </c>
      <c r="AC37" s="773">
        <f t="shared" ref="AC37" si="492">AC27/AC24</f>
        <v>0.55858858858858862</v>
      </c>
      <c r="AD37" s="773">
        <v>0.49</v>
      </c>
      <c r="AE37" s="963">
        <f t="shared" ref="AE37" si="493">AE27/AE24</f>
        <v>0.39511214557765539</v>
      </c>
      <c r="AF37" s="773">
        <v>0.52</v>
      </c>
      <c r="AG37" s="773">
        <f t="shared" ref="AG37" si="494">AG27/AG24</f>
        <v>0.43154848800834195</v>
      </c>
      <c r="AH37" s="953">
        <v>0.46999999999999992</v>
      </c>
      <c r="AI37" s="773">
        <v>0.37</v>
      </c>
      <c r="AJ37" s="773">
        <f t="shared" ref="AJ37" si="495">AJ27/AJ24</f>
        <v>0.47544146500981038</v>
      </c>
      <c r="AK37" s="773">
        <v>0.49</v>
      </c>
      <c r="AL37" s="963">
        <f t="shared" ref="AL37" si="496">AL27/AL24</f>
        <v>0.67029535864978929</v>
      </c>
      <c r="AM37" s="773">
        <v>0.43</v>
      </c>
      <c r="AN37" s="773">
        <f t="shared" ref="AN37" si="497">AN27/AN24</f>
        <v>0.59776796973518298</v>
      </c>
      <c r="AO37" s="953">
        <v>0.53</v>
      </c>
      <c r="AP37" s="773">
        <v>0.51</v>
      </c>
      <c r="AQ37" s="773">
        <f t="shared" ref="AQ37" si="498">AQ27/AQ24</f>
        <v>0.54584049079754615</v>
      </c>
      <c r="AR37" s="773">
        <v>0.53</v>
      </c>
      <c r="AS37" s="963">
        <f t="shared" ref="AS37" si="499">AS27/AS24</f>
        <v>0.62384093113482075</v>
      </c>
      <c r="AT37" s="773">
        <v>0.53</v>
      </c>
      <c r="AU37" s="773">
        <f t="shared" ref="AU37" si="500">AU27/AU24</f>
        <v>0.58483139699631637</v>
      </c>
      <c r="AV37" s="953">
        <v>0.56000000000000005</v>
      </c>
      <c r="AW37" s="773">
        <v>0.46</v>
      </c>
      <c r="AX37" s="773">
        <f t="shared" ref="AX37" si="501">AX27/AX24</f>
        <v>0.59387526278906799</v>
      </c>
      <c r="AY37" s="773">
        <v>0.56000000000000005</v>
      </c>
      <c r="AZ37" s="963">
        <f t="shared" ref="AZ37" si="502">AZ27/AZ24</f>
        <v>0.66361633776961904</v>
      </c>
      <c r="BA37" s="773">
        <v>0.54</v>
      </c>
      <c r="BB37" s="773">
        <f t="shared" ref="BB37" si="503">BB27/BB24</f>
        <v>0.62367174280879867</v>
      </c>
      <c r="BC37" s="953">
        <v>0.59</v>
      </c>
      <c r="BD37" s="773">
        <v>0.42</v>
      </c>
      <c r="BE37" s="773">
        <f t="shared" ref="BE37" si="504">BE27/BE24</f>
        <v>0.55906158357771252</v>
      </c>
      <c r="BF37" s="773">
        <v>0.51</v>
      </c>
      <c r="BG37" s="963">
        <f t="shared" ref="BG37" si="505">BG27/BG24</f>
        <v>0.67737690631808278</v>
      </c>
      <c r="BH37" s="773">
        <v>0.5</v>
      </c>
      <c r="BI37" s="773">
        <f t="shared" ref="BI37" si="506">BI27/BI24</f>
        <v>0.61564631463146313</v>
      </c>
      <c r="BJ37" s="953">
        <v>0.56999999999999995</v>
      </c>
      <c r="BK37" s="773">
        <v>0.46</v>
      </c>
      <c r="BL37" s="773">
        <f t="shared" ref="BL37" si="507">BL27/BL24</f>
        <v>0.45999999999999996</v>
      </c>
      <c r="BM37" s="773">
        <v>0.47</v>
      </c>
      <c r="BN37" s="963">
        <f t="shared" ref="BN37" si="508">BN27/BN24</f>
        <v>0.71673896499238943</v>
      </c>
      <c r="BO37" s="773">
        <v>0.46</v>
      </c>
      <c r="BP37" s="773">
        <f t="shared" ref="BP37" si="509">BP27/BP24</f>
        <v>0.63550025523226117</v>
      </c>
      <c r="BQ37" s="953">
        <v>0.56999999999999995</v>
      </c>
      <c r="BR37" s="773">
        <v>0.45</v>
      </c>
      <c r="BS37" s="773">
        <f t="shared" ref="BS37" si="510">BS27/BS24</f>
        <v>0.48661256175017631</v>
      </c>
      <c r="BT37" s="773">
        <v>0.49</v>
      </c>
      <c r="BU37" s="963">
        <f t="shared" ref="BU37" si="511">BU27/BU24</f>
        <v>0.70395868465430045</v>
      </c>
      <c r="BV37" s="773">
        <v>0.47</v>
      </c>
      <c r="BW37" s="773">
        <f t="shared" ref="BW37" si="512">BW27/BW24</f>
        <v>0.61963218390804609</v>
      </c>
      <c r="BX37" s="953">
        <v>0.56000000000000005</v>
      </c>
      <c r="BY37" s="773">
        <v>0.44</v>
      </c>
      <c r="BZ37" s="773">
        <f t="shared" ref="BZ37" si="513">BZ27/BZ24</f>
        <v>0.4956592292089248</v>
      </c>
      <c r="CA37" s="773">
        <v>0.49</v>
      </c>
      <c r="CB37" s="963">
        <f t="shared" ref="CB37" si="514">CB27/CB24</f>
        <v>0.67861429135412565</v>
      </c>
      <c r="CC37" s="773">
        <v>0.47</v>
      </c>
      <c r="CD37" s="773">
        <f t="shared" ref="CD37" si="515">CD27/CD24</f>
        <v>0.601003717472119</v>
      </c>
      <c r="CE37" s="953">
        <v>0.55000000000000004</v>
      </c>
      <c r="CF37" s="773">
        <v>0.51</v>
      </c>
      <c r="CG37" s="773">
        <f t="shared" ref="CG37:DK37" si="516">CG27/CG24</f>
        <v>0.46997493734335832</v>
      </c>
      <c r="CH37" s="773">
        <v>0.47</v>
      </c>
      <c r="CI37" s="963">
        <f t="shared" si="516"/>
        <v>0.61068785046728979</v>
      </c>
      <c r="CJ37" s="773">
        <v>0.49</v>
      </c>
      <c r="CK37" s="773">
        <f t="shared" si="516"/>
        <v>0.56083755732560947</v>
      </c>
      <c r="CL37" s="953">
        <v>0.53</v>
      </c>
      <c r="CM37" s="773">
        <v>0.42</v>
      </c>
      <c r="CN37" s="773">
        <f t="shared" ref="CN37" si="517">CN27/CN24</f>
        <v>0.49378034682080935</v>
      </c>
      <c r="CO37" s="773">
        <v>0.46</v>
      </c>
      <c r="CP37" s="963">
        <f t="shared" ref="CP37" si="518">CP27/CP24</f>
        <v>0.66720156555773003</v>
      </c>
      <c r="CQ37" s="773">
        <v>0.46</v>
      </c>
      <c r="CR37" s="773">
        <f t="shared" ref="CR37" si="519">CR27/CR24</f>
        <v>0.59374315789473686</v>
      </c>
      <c r="CS37" s="953">
        <v>0.54</v>
      </c>
      <c r="CT37" s="773">
        <v>0.41</v>
      </c>
      <c r="CU37" s="773">
        <f t="shared" ref="CU37" si="520">CU27/CU24</f>
        <v>0.56880076445293837</v>
      </c>
      <c r="CV37" s="773">
        <v>0.51</v>
      </c>
      <c r="CW37" s="963">
        <f t="shared" ref="CW37" si="521">CW27/CW24</f>
        <v>0.68326807228915654</v>
      </c>
      <c r="CX37" s="1823">
        <v>0.5</v>
      </c>
      <c r="CY37" s="773">
        <f t="shared" ref="CY37" si="522">CY27/CY24</f>
        <v>0.61896950179958321</v>
      </c>
      <c r="CZ37" s="953">
        <v>0.56999999999999995</v>
      </c>
      <c r="DA37" s="773">
        <v>0.41</v>
      </c>
      <c r="DB37" s="773">
        <f t="shared" ref="DB37" si="523">DB27/DB24</f>
        <v>0.51635838150289015</v>
      </c>
      <c r="DC37" s="775">
        <f t="shared" si="516"/>
        <v>0.51587861679604796</v>
      </c>
      <c r="DD37" s="994">
        <f t="shared" si="516"/>
        <v>0.69731849255199052</v>
      </c>
      <c r="DE37" s="2035">
        <v>0.47</v>
      </c>
      <c r="DF37" s="775">
        <f t="shared" si="516"/>
        <v>0.63094859439025419</v>
      </c>
      <c r="DG37" s="950">
        <f t="shared" si="516"/>
        <v>0.5677473461697532</v>
      </c>
      <c r="DH37" s="775">
        <f t="shared" si="516"/>
        <v>0.40778002110769512</v>
      </c>
      <c r="DI37" s="775">
        <f t="shared" si="516"/>
        <v>0.51406428339876531</v>
      </c>
      <c r="DJ37" s="775">
        <f t="shared" si="516"/>
        <v>0.51358438672735696</v>
      </c>
      <c r="DK37" s="994">
        <f t="shared" si="516"/>
        <v>0.6953763696655858</v>
      </c>
      <c r="DL37" s="775">
        <f t="shared" ref="DL37:EI37" si="524">DL27/DL24</f>
        <v>0.46771268536798122</v>
      </c>
      <c r="DM37" s="775">
        <f t="shared" si="524"/>
        <v>0.62880730516461469</v>
      </c>
      <c r="DN37" s="950">
        <f t="shared" si="524"/>
        <v>0.56549188717137444</v>
      </c>
      <c r="DO37" s="775">
        <f t="shared" si="524"/>
        <v>0.40556379979324958</v>
      </c>
      <c r="DP37" s="775">
        <f t="shared" si="524"/>
        <v>0.51176959252284993</v>
      </c>
      <c r="DQ37" s="775">
        <f t="shared" si="524"/>
        <v>0.5112895840828211</v>
      </c>
      <c r="DR37" s="994">
        <f t="shared" si="524"/>
        <v>0.69342726396296761</v>
      </c>
      <c r="DS37" s="775">
        <f t="shared" si="524"/>
        <v>0.46542672695828713</v>
      </c>
      <c r="DT37" s="775">
        <f t="shared" si="524"/>
        <v>0.62666094332561939</v>
      </c>
      <c r="DU37" s="950">
        <f t="shared" si="524"/>
        <v>0.56323371307449366</v>
      </c>
      <c r="DV37" s="775">
        <f t="shared" si="524"/>
        <v>0.4033514197672799</v>
      </c>
      <c r="DW37" s="775">
        <f t="shared" si="524"/>
        <v>0.50947440547248768</v>
      </c>
      <c r="DX37" s="775">
        <f t="shared" si="524"/>
        <v>0.50899430547862334</v>
      </c>
      <c r="DY37" s="994">
        <f t="shared" si="524"/>
        <v>0.69147122037430753</v>
      </c>
      <c r="DZ37" s="775">
        <f t="shared" si="524"/>
        <v>0.46314221990060711</v>
      </c>
      <c r="EA37" s="775">
        <f t="shared" si="524"/>
        <v>0.6245095816821653</v>
      </c>
      <c r="EB37" s="950">
        <f t="shared" si="524"/>
        <v>0.56097291439503705</v>
      </c>
      <c r="EC37" s="775">
        <f t="shared" si="524"/>
        <v>0.40114296412698736</v>
      </c>
      <c r="ED37" s="775">
        <f t="shared" si="524"/>
        <v>0.50717881892866523</v>
      </c>
      <c r="EE37" s="775">
        <f t="shared" si="524"/>
        <v>0.50669864761118744</v>
      </c>
      <c r="EF37" s="994">
        <f t="shared" si="524"/>
        <v>0.68950828473756587</v>
      </c>
      <c r="EG37" s="775">
        <f t="shared" si="524"/>
        <v>0.4608592590815182</v>
      </c>
      <c r="EH37" s="775">
        <f t="shared" si="524"/>
        <v>0.62235329380551008</v>
      </c>
      <c r="EI37" s="950">
        <f t="shared" si="524"/>
        <v>0.5587095820811212</v>
      </c>
      <c r="EJ37" s="774"/>
      <c r="EK37" s="774"/>
      <c r="EL37" s="774"/>
      <c r="EM37" s="201"/>
      <c r="EN37" s="201"/>
      <c r="EO37" s="201"/>
      <c r="EP37" s="774"/>
      <c r="EQ37" s="774"/>
      <c r="ER37" s="774"/>
      <c r="ES37" s="774"/>
      <c r="ET37" s="774"/>
      <c r="EU37" s="774"/>
      <c r="EV37" s="774"/>
      <c r="EW37" s="774"/>
      <c r="EX37" s="774"/>
      <c r="EY37" s="774"/>
      <c r="EZ37" s="774"/>
      <c r="FA37" s="774"/>
      <c r="FB37" s="774"/>
      <c r="FC37" s="774"/>
      <c r="FD37" s="774"/>
      <c r="FE37" s="774"/>
      <c r="FF37" s="774"/>
      <c r="FG37" s="774"/>
      <c r="FH37" s="774"/>
      <c r="FI37" s="774"/>
      <c r="FJ37" s="774"/>
      <c r="FK37" s="774"/>
      <c r="FL37" s="774"/>
      <c r="FM37" s="774"/>
      <c r="FN37" s="774"/>
      <c r="FO37" s="774"/>
      <c r="FP37" s="774"/>
      <c r="FQ37" s="774"/>
      <c r="FR37" s="774"/>
      <c r="FS37" s="774"/>
      <c r="FT37" s="774"/>
      <c r="FU37" s="774"/>
      <c r="FV37" s="774"/>
      <c r="FW37" s="774"/>
      <c r="FX37" s="774"/>
      <c r="FY37" s="774"/>
      <c r="FZ37" s="774"/>
      <c r="GA37" s="774"/>
      <c r="GB37" s="774"/>
      <c r="GC37" s="774"/>
      <c r="GD37" s="774"/>
      <c r="GE37" s="774"/>
    </row>
    <row r="38" spans="1:187" ht="10.5" customHeight="1">
      <c r="A38" s="201" t="s">
        <v>771</v>
      </c>
      <c r="B38" s="771"/>
      <c r="C38" s="771"/>
      <c r="D38" s="771"/>
      <c r="E38" s="772"/>
      <c r="F38" s="772"/>
      <c r="G38" s="773"/>
      <c r="H38" s="773"/>
      <c r="I38" s="773"/>
      <c r="J38" s="773"/>
      <c r="K38" s="773"/>
      <c r="L38" s="773"/>
      <c r="M38" s="773">
        <f>1-M37</f>
        <v>0.42000000000000004</v>
      </c>
      <c r="N38" s="773">
        <f>1-N37</f>
        <v>0.52</v>
      </c>
      <c r="O38" s="773">
        <f t="shared" ref="O38" si="525">O34/O24</f>
        <v>0.45314359637774898</v>
      </c>
      <c r="P38" s="773">
        <f>1-P37</f>
        <v>0.49</v>
      </c>
      <c r="Q38" s="963">
        <f t="shared" ref="Q38" si="526">Q34/Q24</f>
        <v>0.29833718244803709</v>
      </c>
      <c r="R38" s="773">
        <f>1-R37</f>
        <v>0.48</v>
      </c>
      <c r="S38" s="773">
        <f t="shared" ref="S38" si="527">S34/S24</f>
        <v>0.37824400754107201</v>
      </c>
      <c r="T38" s="953">
        <f t="shared" ref="T38:CE38" si="528">1-T37</f>
        <v>0.42000000000000004</v>
      </c>
      <c r="U38" s="773">
        <f>1-U37</f>
        <v>0.51</v>
      </c>
      <c r="V38" s="773">
        <f t="shared" ref="V38" si="529">V34/V24</f>
        <v>0.44079678814082768</v>
      </c>
      <c r="W38" s="773">
        <f>1-W37</f>
        <v>0.47</v>
      </c>
      <c r="X38" s="963">
        <f t="shared" ref="X38" si="530">X34/X24</f>
        <v>0.3835512367491164</v>
      </c>
      <c r="Y38" s="773">
        <f>1-Y37</f>
        <v>0.47</v>
      </c>
      <c r="Z38" s="773">
        <f t="shared" ref="Z38" si="531">Z34/Z24</f>
        <v>0.41742949234488302</v>
      </c>
      <c r="AA38" s="953">
        <f t="shared" si="528"/>
        <v>0.43999999999999995</v>
      </c>
      <c r="AB38" s="773">
        <f>1-AB37</f>
        <v>0.53</v>
      </c>
      <c r="AC38" s="773">
        <f t="shared" ref="AC38" si="532">AC34/AC24</f>
        <v>0.44141141141141138</v>
      </c>
      <c r="AD38" s="773">
        <f>1-AD37</f>
        <v>0.51</v>
      </c>
      <c r="AE38" s="963">
        <f t="shared" ref="AE38" si="533">AE34/AE24</f>
        <v>0.60488785442234461</v>
      </c>
      <c r="AF38" s="773">
        <f>1-AF37</f>
        <v>0.48</v>
      </c>
      <c r="AG38" s="773">
        <f t="shared" ref="AG38" si="534">AG34/AG24</f>
        <v>0.56845151199165811</v>
      </c>
      <c r="AH38" s="953">
        <f t="shared" si="528"/>
        <v>0.53</v>
      </c>
      <c r="AI38" s="773">
        <f>1-AI37</f>
        <v>0.63</v>
      </c>
      <c r="AJ38" s="773">
        <f t="shared" ref="AJ38" si="535">AJ34/AJ24</f>
        <v>0.52455853499018967</v>
      </c>
      <c r="AK38" s="773">
        <f>1-AK37</f>
        <v>0.51</v>
      </c>
      <c r="AL38" s="963">
        <f t="shared" ref="AL38" si="536">AL34/AL24</f>
        <v>0.32970464135021083</v>
      </c>
      <c r="AM38" s="773">
        <f>1-AM37</f>
        <v>0.57000000000000006</v>
      </c>
      <c r="AN38" s="773">
        <f t="shared" ref="AN38" si="537">AN34/AN24</f>
        <v>0.40223203026481708</v>
      </c>
      <c r="AO38" s="953">
        <f t="shared" si="528"/>
        <v>0.47</v>
      </c>
      <c r="AP38" s="773">
        <f>1-AP37</f>
        <v>0.49</v>
      </c>
      <c r="AQ38" s="773">
        <f t="shared" ref="AQ38" si="538">AQ34/AQ24</f>
        <v>0.4541595092024539</v>
      </c>
      <c r="AR38" s="773">
        <f>1-AR37</f>
        <v>0.47</v>
      </c>
      <c r="AS38" s="963">
        <f t="shared" ref="AS38" si="539">AS34/AS24</f>
        <v>0.37615906886517925</v>
      </c>
      <c r="AT38" s="773">
        <f>1-AT37</f>
        <v>0.47</v>
      </c>
      <c r="AU38" s="773">
        <f t="shared" ref="AU38" si="540">AU34/AU24</f>
        <v>0.41516860300368369</v>
      </c>
      <c r="AV38" s="953">
        <f t="shared" si="528"/>
        <v>0.43999999999999995</v>
      </c>
      <c r="AW38" s="773">
        <f>1-AW37</f>
        <v>0.54</v>
      </c>
      <c r="AX38" s="773">
        <f t="shared" ref="AX38" si="541">AX34/AX24</f>
        <v>0.40612473721093201</v>
      </c>
      <c r="AY38" s="773">
        <f>1-AY37</f>
        <v>0.43999999999999995</v>
      </c>
      <c r="AZ38" s="963">
        <f t="shared" ref="AZ38" si="542">AZ34/AZ24</f>
        <v>0.33638366223038096</v>
      </c>
      <c r="BA38" s="773">
        <f>1-BA37</f>
        <v>0.45999999999999996</v>
      </c>
      <c r="BB38" s="773">
        <f t="shared" ref="BB38" si="543">BB34/BB24</f>
        <v>0.37632825719120139</v>
      </c>
      <c r="BC38" s="953">
        <f t="shared" si="528"/>
        <v>0.41000000000000003</v>
      </c>
      <c r="BD38" s="773">
        <f>1-BD37</f>
        <v>0.58000000000000007</v>
      </c>
      <c r="BE38" s="773">
        <f t="shared" ref="BE38" si="544">BE34/BE24</f>
        <v>0.44093841642228743</v>
      </c>
      <c r="BF38" s="773">
        <f>1-BF37</f>
        <v>0.49</v>
      </c>
      <c r="BG38" s="963">
        <f t="shared" ref="BG38" si="545">BG34/BG24</f>
        <v>0.32262309368191727</v>
      </c>
      <c r="BH38" s="773">
        <f>1-BH37</f>
        <v>0.5</v>
      </c>
      <c r="BI38" s="773">
        <f t="shared" ref="BI38" si="546">BI34/BI24</f>
        <v>0.38435368536853692</v>
      </c>
      <c r="BJ38" s="953">
        <f t="shared" si="528"/>
        <v>0.43000000000000005</v>
      </c>
      <c r="BK38" s="773">
        <f>1-BK37</f>
        <v>0.54</v>
      </c>
      <c r="BL38" s="773">
        <f t="shared" ref="BL38" si="547">BL34/BL24</f>
        <v>0.54</v>
      </c>
      <c r="BM38" s="773">
        <f>1-BM37</f>
        <v>0.53</v>
      </c>
      <c r="BN38" s="963">
        <f t="shared" ref="BN38" si="548">BN34/BN24</f>
        <v>0.28326103500761046</v>
      </c>
      <c r="BO38" s="773">
        <f>1-BO37</f>
        <v>0.54</v>
      </c>
      <c r="BP38" s="773">
        <f t="shared" ref="BP38" si="549">BP34/BP24</f>
        <v>0.36449974476773872</v>
      </c>
      <c r="BQ38" s="953">
        <f t="shared" si="528"/>
        <v>0.43000000000000005</v>
      </c>
      <c r="BR38" s="773">
        <f>1-BR37</f>
        <v>0.55000000000000004</v>
      </c>
      <c r="BS38" s="773">
        <f t="shared" ref="BS38" si="550">BS34/BS24</f>
        <v>0.51338743824982369</v>
      </c>
      <c r="BT38" s="773">
        <f>1-BT37</f>
        <v>0.51</v>
      </c>
      <c r="BU38" s="963">
        <f t="shared" ref="BU38" si="551">BU34/BU24</f>
        <v>0.29604131534569955</v>
      </c>
      <c r="BV38" s="773">
        <f>1-BV37</f>
        <v>0.53</v>
      </c>
      <c r="BW38" s="773">
        <f t="shared" ref="BW38" si="552">BW34/BW24</f>
        <v>0.38036781609195386</v>
      </c>
      <c r="BX38" s="953">
        <f t="shared" si="528"/>
        <v>0.43999999999999995</v>
      </c>
      <c r="BY38" s="773">
        <f>1-BY37</f>
        <v>0.56000000000000005</v>
      </c>
      <c r="BZ38" s="773">
        <f t="shared" ref="BZ38" si="553">BZ34/BZ24</f>
        <v>0.5043407707910752</v>
      </c>
      <c r="CA38" s="773">
        <f>1-CA37</f>
        <v>0.51</v>
      </c>
      <c r="CB38" s="963">
        <f t="shared" ref="CB38" si="554">CB34/CB24</f>
        <v>0.32138570864587435</v>
      </c>
      <c r="CC38" s="773">
        <f>1-CC37</f>
        <v>0.53</v>
      </c>
      <c r="CD38" s="773">
        <f t="shared" ref="CD38" si="555">CD34/CD24</f>
        <v>0.398996282527881</v>
      </c>
      <c r="CE38" s="953">
        <f t="shared" si="528"/>
        <v>0.44999999999999996</v>
      </c>
      <c r="CF38" s="773">
        <f>1-CF37</f>
        <v>0.49</v>
      </c>
      <c r="CG38" s="773">
        <f t="shared" ref="CG38:DK38" si="556">CG34/CG24</f>
        <v>0.53002506265664162</v>
      </c>
      <c r="CH38" s="773">
        <f>1-CH37</f>
        <v>0.53</v>
      </c>
      <c r="CI38" s="963">
        <f t="shared" si="556"/>
        <v>0.38931214953271021</v>
      </c>
      <c r="CJ38" s="773">
        <f>1-CJ37</f>
        <v>0.51</v>
      </c>
      <c r="CK38" s="773">
        <f t="shared" si="556"/>
        <v>0.43916244267439047</v>
      </c>
      <c r="CL38" s="953">
        <f t="shared" ref="CL38" si="557">1-CL37</f>
        <v>0.47</v>
      </c>
      <c r="CM38" s="773">
        <f>1-CM37</f>
        <v>0.58000000000000007</v>
      </c>
      <c r="CN38" s="773">
        <f t="shared" ref="CN38" si="558">CN34/CN24</f>
        <v>0.50621965317919071</v>
      </c>
      <c r="CO38" s="773">
        <f>1-CO37</f>
        <v>0.54</v>
      </c>
      <c r="CP38" s="963">
        <f t="shared" ref="CP38" si="559">CP34/CP24</f>
        <v>0.33279843444226997</v>
      </c>
      <c r="CQ38" s="773">
        <f>1-CQ37</f>
        <v>0.54</v>
      </c>
      <c r="CR38" s="773">
        <f t="shared" ref="CR38" si="560">CR34/CR24</f>
        <v>0.40625684210526314</v>
      </c>
      <c r="CS38" s="953">
        <f t="shared" ref="CS38" si="561">1-CS37</f>
        <v>0.45999999999999996</v>
      </c>
      <c r="CT38" s="773">
        <f>1-CT37</f>
        <v>0.59000000000000008</v>
      </c>
      <c r="CU38" s="773">
        <f t="shared" ref="CU38" si="562">CU34/CU24</f>
        <v>0.43119923554706163</v>
      </c>
      <c r="CV38" s="773">
        <f>1-CV37</f>
        <v>0.49</v>
      </c>
      <c r="CW38" s="963">
        <f t="shared" ref="CW38" si="563">CW34/CW24</f>
        <v>0.31673192771084341</v>
      </c>
      <c r="CX38" s="773">
        <f>1-CX37</f>
        <v>0.5</v>
      </c>
      <c r="CY38" s="773">
        <f t="shared" ref="CY38" si="564">CY34/CY24</f>
        <v>0.38103049820041673</v>
      </c>
      <c r="CZ38" s="953">
        <f t="shared" ref="CZ38" si="565">1-CZ37</f>
        <v>0.43000000000000005</v>
      </c>
      <c r="DA38" s="773">
        <f>1-DA37</f>
        <v>0.59000000000000008</v>
      </c>
      <c r="DB38" s="773">
        <f t="shared" ref="DB38" si="566">DB34/DB24</f>
        <v>0.48364161849710979</v>
      </c>
      <c r="DC38" s="775">
        <f t="shared" si="556"/>
        <v>0.48412138320395204</v>
      </c>
      <c r="DD38" s="994">
        <f t="shared" si="556"/>
        <v>0.30268150744800953</v>
      </c>
      <c r="DE38" s="2035">
        <f t="shared" si="556"/>
        <v>0.53</v>
      </c>
      <c r="DF38" s="775">
        <f t="shared" si="556"/>
        <v>0.36905140560974581</v>
      </c>
      <c r="DG38" s="950">
        <f t="shared" si="556"/>
        <v>0.43225265383024675</v>
      </c>
      <c r="DH38" s="775">
        <f t="shared" si="556"/>
        <v>0.59221997889230493</v>
      </c>
      <c r="DI38" s="775">
        <f t="shared" si="556"/>
        <v>0.4859357166012348</v>
      </c>
      <c r="DJ38" s="775">
        <f t="shared" si="556"/>
        <v>0.48641561327264315</v>
      </c>
      <c r="DK38" s="994">
        <f t="shared" si="556"/>
        <v>0.3046236303344142</v>
      </c>
      <c r="DL38" s="775">
        <f t="shared" ref="DL38:EI38" si="567">DL34/DL24</f>
        <v>0.53228731463201873</v>
      </c>
      <c r="DM38" s="775">
        <f t="shared" si="567"/>
        <v>0.37119269483538531</v>
      </c>
      <c r="DN38" s="950">
        <f t="shared" si="567"/>
        <v>0.43450811282862556</v>
      </c>
      <c r="DO38" s="775">
        <f t="shared" si="567"/>
        <v>0.59443620020675048</v>
      </c>
      <c r="DP38" s="775">
        <f t="shared" si="567"/>
        <v>0.48823040747715002</v>
      </c>
      <c r="DQ38" s="775">
        <f t="shared" si="567"/>
        <v>0.48871041591717884</v>
      </c>
      <c r="DR38" s="994">
        <f t="shared" si="567"/>
        <v>0.30657273603703239</v>
      </c>
      <c r="DS38" s="775">
        <f t="shared" si="567"/>
        <v>0.53457327304171287</v>
      </c>
      <c r="DT38" s="775">
        <f t="shared" si="567"/>
        <v>0.37333905667438055</v>
      </c>
      <c r="DU38" s="950">
        <f t="shared" si="567"/>
        <v>0.43676628692550634</v>
      </c>
      <c r="DV38" s="775">
        <f t="shared" si="567"/>
        <v>0.59664858023272005</v>
      </c>
      <c r="DW38" s="775">
        <f t="shared" si="567"/>
        <v>0.49052559452751227</v>
      </c>
      <c r="DX38" s="775">
        <f t="shared" si="567"/>
        <v>0.49100569452137666</v>
      </c>
      <c r="DY38" s="994">
        <f t="shared" si="567"/>
        <v>0.30852877962569236</v>
      </c>
      <c r="DZ38" s="775">
        <f t="shared" si="567"/>
        <v>0.53685778009939289</v>
      </c>
      <c r="EA38" s="775">
        <f t="shared" si="567"/>
        <v>0.3754904183178347</v>
      </c>
      <c r="EB38" s="950">
        <f t="shared" si="567"/>
        <v>0.43902708560496284</v>
      </c>
      <c r="EC38" s="775">
        <f t="shared" si="567"/>
        <v>0.59885703587301276</v>
      </c>
      <c r="ED38" s="775">
        <f t="shared" si="567"/>
        <v>0.49282118107133477</v>
      </c>
      <c r="EE38" s="775">
        <f t="shared" si="567"/>
        <v>0.49330135238881262</v>
      </c>
      <c r="EF38" s="994">
        <f t="shared" si="567"/>
        <v>0.31049171526243419</v>
      </c>
      <c r="EG38" s="775">
        <f t="shared" si="567"/>
        <v>0.53914074091848174</v>
      </c>
      <c r="EH38" s="775">
        <f t="shared" si="567"/>
        <v>0.37764670619448998</v>
      </c>
      <c r="EI38" s="950">
        <f t="shared" si="567"/>
        <v>0.44129041791887891</v>
      </c>
      <c r="EJ38" s="774"/>
      <c r="EK38" s="774"/>
      <c r="EL38" s="774"/>
      <c r="EM38" s="201"/>
      <c r="EN38" s="201"/>
      <c r="EO38" s="201"/>
      <c r="EP38" s="774"/>
      <c r="EQ38" s="774"/>
      <c r="ER38" s="774"/>
      <c r="ES38" s="774"/>
      <c r="ET38" s="774"/>
      <c r="EU38" s="774"/>
      <c r="EV38" s="774"/>
      <c r="EW38" s="774"/>
      <c r="EX38" s="774"/>
      <c r="EY38" s="774"/>
      <c r="EZ38" s="774"/>
      <c r="FA38" s="774"/>
      <c r="FB38" s="774"/>
      <c r="FC38" s="774"/>
      <c r="FD38" s="774"/>
      <c r="FE38" s="774"/>
      <c r="FF38" s="774"/>
      <c r="FG38" s="774"/>
      <c r="FH38" s="774"/>
      <c r="FI38" s="774"/>
      <c r="FJ38" s="774"/>
      <c r="FK38" s="774"/>
      <c r="FL38" s="774"/>
      <c r="FM38" s="774"/>
      <c r="FN38" s="774"/>
      <c r="FO38" s="774"/>
      <c r="FP38" s="774"/>
      <c r="FQ38" s="774"/>
      <c r="FR38" s="774"/>
      <c r="FS38" s="774"/>
      <c r="FT38" s="774"/>
      <c r="FU38" s="774"/>
      <c r="FV38" s="774"/>
      <c r="FW38" s="774"/>
      <c r="FX38" s="774"/>
      <c r="FY38" s="774"/>
      <c r="FZ38" s="774"/>
      <c r="GA38" s="774"/>
      <c r="GB38" s="774"/>
      <c r="GC38" s="774"/>
      <c r="GD38" s="774"/>
      <c r="GE38" s="774"/>
    </row>
    <row r="39" spans="1:187" ht="10.5" customHeight="1">
      <c r="A39" s="108"/>
      <c r="B39" s="166"/>
      <c r="C39" s="166"/>
      <c r="D39" s="166"/>
      <c r="E39" s="770"/>
      <c r="F39" s="770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684"/>
      <c r="R39" s="54"/>
      <c r="S39" s="54"/>
      <c r="T39" s="555"/>
      <c r="U39" s="54"/>
      <c r="V39" s="54"/>
      <c r="W39" s="54"/>
      <c r="X39" s="684"/>
      <c r="Y39" s="54"/>
      <c r="Z39" s="54"/>
      <c r="AA39" s="555"/>
      <c r="AB39" s="54"/>
      <c r="AC39" s="54"/>
      <c r="AD39" s="54"/>
      <c r="AE39" s="684"/>
      <c r="AF39" s="54"/>
      <c r="AG39" s="54"/>
      <c r="AH39" s="555"/>
      <c r="AI39" s="54"/>
      <c r="AJ39" s="54"/>
      <c r="AK39" s="54"/>
      <c r="AL39" s="684"/>
      <c r="AM39" s="54"/>
      <c r="AN39" s="54"/>
      <c r="AO39" s="555"/>
      <c r="AP39" s="54"/>
      <c r="AQ39" s="54"/>
      <c r="AR39" s="54"/>
      <c r="AS39" s="684"/>
      <c r="AT39" s="54"/>
      <c r="AU39" s="54"/>
      <c r="AV39" s="555"/>
      <c r="AW39" s="54"/>
      <c r="AX39" s="54"/>
      <c r="AY39" s="54"/>
      <c r="AZ39" s="684"/>
      <c r="BA39" s="54"/>
      <c r="BB39" s="54"/>
      <c r="BC39" s="555"/>
      <c r="BD39" s="54"/>
      <c r="BE39" s="54"/>
      <c r="BF39" s="54"/>
      <c r="BG39" s="684"/>
      <c r="BH39" s="54"/>
      <c r="BI39" s="54"/>
      <c r="BJ39" s="555"/>
      <c r="BK39" s="54"/>
      <c r="BL39" s="54"/>
      <c r="BM39" s="54"/>
      <c r="BN39" s="684"/>
      <c r="BO39" s="54"/>
      <c r="BP39" s="54"/>
      <c r="BQ39" s="555"/>
      <c r="BR39" s="54"/>
      <c r="BS39" s="54"/>
      <c r="BT39" s="54"/>
      <c r="BU39" s="684"/>
      <c r="BV39" s="54"/>
      <c r="BW39" s="54"/>
      <c r="BX39" s="555"/>
      <c r="BY39" s="54"/>
      <c r="BZ39" s="54"/>
      <c r="CA39" s="54"/>
      <c r="CB39" s="684"/>
      <c r="CC39" s="54"/>
      <c r="CD39" s="54"/>
      <c r="CE39" s="555"/>
      <c r="CF39" s="54"/>
      <c r="CG39" s="54"/>
      <c r="CH39" s="54"/>
      <c r="CI39" s="684"/>
      <c r="CJ39" s="54"/>
      <c r="CK39" s="54"/>
      <c r="CL39" s="555"/>
      <c r="CM39" s="54"/>
      <c r="CN39" s="54"/>
      <c r="CO39" s="54"/>
      <c r="CP39" s="684"/>
      <c r="CQ39" s="54"/>
      <c r="CR39" s="54"/>
      <c r="CS39" s="555"/>
      <c r="CT39" s="54"/>
      <c r="CU39" s="54"/>
      <c r="CV39" s="54"/>
      <c r="CW39" s="684"/>
      <c r="CX39" s="54"/>
      <c r="CY39" s="54"/>
      <c r="CZ39" s="555"/>
      <c r="DA39" s="54"/>
      <c r="DB39" s="54"/>
      <c r="DC39" s="54"/>
      <c r="DD39" s="684"/>
      <c r="DE39" s="2034"/>
      <c r="DF39" s="54"/>
      <c r="DG39" s="555"/>
      <c r="DH39" s="54"/>
      <c r="DI39" s="54"/>
      <c r="DJ39" s="54"/>
      <c r="DK39" s="684"/>
      <c r="DL39" s="54"/>
      <c r="DM39" s="54"/>
      <c r="DN39" s="555"/>
      <c r="DO39" s="54"/>
      <c r="DP39" s="54"/>
      <c r="DQ39" s="54"/>
      <c r="DR39" s="684"/>
      <c r="DS39" s="54"/>
      <c r="DT39" s="54"/>
      <c r="DU39" s="555"/>
      <c r="DV39" s="54"/>
      <c r="DW39" s="54"/>
      <c r="DX39" s="54"/>
      <c r="DY39" s="684"/>
      <c r="DZ39" s="54"/>
      <c r="EA39" s="54"/>
      <c r="EB39" s="555"/>
      <c r="EC39" s="54"/>
      <c r="ED39" s="54"/>
      <c r="EE39" s="54"/>
      <c r="EF39" s="684"/>
      <c r="EG39" s="54"/>
      <c r="EH39" s="54"/>
      <c r="EI39" s="555"/>
      <c r="EJ39" s="299"/>
      <c r="EK39" s="299"/>
      <c r="EL39" s="299"/>
      <c r="EM39" s="108"/>
      <c r="EN39" s="108"/>
      <c r="EO39" s="108"/>
      <c r="EP39" s="299"/>
      <c r="EQ39" s="299"/>
      <c r="ER39" s="299"/>
      <c r="ES39" s="299"/>
      <c r="ET39" s="299"/>
      <c r="EU39" s="299"/>
      <c r="EV39" s="299"/>
      <c r="EW39" s="299"/>
      <c r="EX39" s="299"/>
      <c r="EY39" s="299"/>
      <c r="EZ39" s="299"/>
      <c r="FA39" s="299"/>
      <c r="FB39" s="299"/>
      <c r="FC39" s="299"/>
      <c r="FD39" s="299"/>
      <c r="FE39" s="299"/>
      <c r="FF39" s="299"/>
      <c r="FG39" s="299"/>
      <c r="FH39" s="299"/>
      <c r="FI39" s="299"/>
      <c r="FJ39" s="299"/>
      <c r="FK39" s="299"/>
      <c r="FL39" s="299"/>
      <c r="FM39" s="299"/>
      <c r="FN39" s="299"/>
      <c r="FO39" s="299"/>
      <c r="FP39" s="299"/>
      <c r="FQ39" s="299"/>
      <c r="FR39" s="299"/>
      <c r="FS39" s="299"/>
      <c r="FT39" s="299"/>
      <c r="FU39" s="299"/>
      <c r="FV39" s="299"/>
      <c r="FW39" s="299"/>
      <c r="FX39" s="299"/>
      <c r="FY39" s="299"/>
      <c r="FZ39" s="299"/>
      <c r="GA39" s="299"/>
      <c r="GB39" s="299"/>
      <c r="GC39" s="299"/>
      <c r="GD39" s="299"/>
      <c r="GE39" s="299"/>
    </row>
    <row r="40" spans="1:187" ht="10.5" customHeight="1">
      <c r="A40" s="130" t="s">
        <v>772</v>
      </c>
      <c r="B40" s="776"/>
      <c r="C40" s="776"/>
      <c r="D40" s="776"/>
      <c r="E40" s="777"/>
      <c r="F40" s="777"/>
      <c r="G40" s="213"/>
      <c r="H40" s="213"/>
      <c r="I40" s="213"/>
      <c r="J40" s="213"/>
      <c r="K40" s="213"/>
      <c r="L40" s="213"/>
      <c r="M40" s="917">
        <f t="shared" ref="M40:CF40" si="568">M24*M45</f>
        <v>3382.5600000000004</v>
      </c>
      <c r="N40" s="917">
        <f t="shared" si="568"/>
        <v>570.90000000000009</v>
      </c>
      <c r="O40" s="167">
        <f>R40-N40</f>
        <v>901.97999999999979</v>
      </c>
      <c r="P40" s="917">
        <f t="shared" ref="P40" si="569">P24*P45</f>
        <v>851.40000000000009</v>
      </c>
      <c r="Q40" s="964">
        <f>S40-P40</f>
        <v>1139.0700000000004</v>
      </c>
      <c r="R40" s="917">
        <f t="shared" ref="R40" si="570">R24*R45</f>
        <v>1472.8799999999999</v>
      </c>
      <c r="S40" s="917">
        <f>T40-R40</f>
        <v>1990.4700000000005</v>
      </c>
      <c r="T40" s="1286">
        <f t="shared" si="568"/>
        <v>3463.3500000000004</v>
      </c>
      <c r="U40" s="917">
        <f t="shared" ref="U40" si="571">U24*U45</f>
        <v>638.28000000000009</v>
      </c>
      <c r="V40" s="167">
        <f>Y40-U40</f>
        <v>818.2399999999999</v>
      </c>
      <c r="W40" s="917">
        <f t="shared" ref="W40" si="572">W24*W45</f>
        <v>773.2700000000001</v>
      </c>
      <c r="X40" s="964">
        <f>Z40-W40</f>
        <v>1162.69</v>
      </c>
      <c r="Y40" s="917">
        <f t="shared" ref="Y40" si="573">Y24*Y45</f>
        <v>1456.52</v>
      </c>
      <c r="Z40" s="917">
        <f>AA40-Y40</f>
        <v>1935.96</v>
      </c>
      <c r="AA40" s="1286">
        <f t="shared" si="568"/>
        <v>3392.48</v>
      </c>
      <c r="AB40" s="917">
        <f t="shared" si="568"/>
        <v>603.94999999999993</v>
      </c>
      <c r="AC40" s="167">
        <f>AF40-AB40</f>
        <v>812.05000000000007</v>
      </c>
      <c r="AD40" s="917">
        <f t="shared" ref="AD40" si="574">AD24*AD45</f>
        <v>707.04</v>
      </c>
      <c r="AE40" s="964">
        <f>AG40-AD40</f>
        <v>1269.96</v>
      </c>
      <c r="AF40" s="917">
        <f t="shared" ref="AF40" si="575">AF24*AF45</f>
        <v>1416</v>
      </c>
      <c r="AG40" s="917">
        <f>AH40-AF40</f>
        <v>1977</v>
      </c>
      <c r="AH40" s="1286">
        <f t="shared" si="568"/>
        <v>3393</v>
      </c>
      <c r="AI40" s="917">
        <f t="shared" ref="AI40" si="576">AI24*AI45</f>
        <v>521.1</v>
      </c>
      <c r="AJ40" s="167">
        <f>AM40-AI40</f>
        <v>741.78999999999985</v>
      </c>
      <c r="AK40" s="917">
        <f t="shared" ref="AK40" si="577">AK24*AK45</f>
        <v>701.8</v>
      </c>
      <c r="AL40" s="964">
        <f>AN40-AK40</f>
        <v>895.6700000000003</v>
      </c>
      <c r="AM40" s="917">
        <f t="shared" ref="AM40" si="578">AM24*AM45</f>
        <v>1262.8899999999999</v>
      </c>
      <c r="AN40" s="917">
        <f>AO40-AM40</f>
        <v>1597.4700000000003</v>
      </c>
      <c r="AO40" s="1286">
        <f t="shared" si="568"/>
        <v>2860.36</v>
      </c>
      <c r="AP40" s="917">
        <f t="shared" si="568"/>
        <v>671.32</v>
      </c>
      <c r="AQ40" s="167">
        <f>AT40-AP40</f>
        <v>555.49999999999989</v>
      </c>
      <c r="AR40" s="917">
        <f t="shared" ref="AR40" si="579">AR24*AR45</f>
        <v>733.5</v>
      </c>
      <c r="AS40" s="964">
        <f>AU40-AR40</f>
        <v>1329.1800000000003</v>
      </c>
      <c r="AT40" s="917">
        <f t="shared" ref="AT40" si="580">AT24*AT45</f>
        <v>1226.82</v>
      </c>
      <c r="AU40" s="917">
        <f>AV40-AT40</f>
        <v>2062.6800000000003</v>
      </c>
      <c r="AV40" s="1286">
        <f t="shared" si="568"/>
        <v>3289.5</v>
      </c>
      <c r="AW40" s="917">
        <f t="shared" ref="AW40" si="581">AW24*AW45</f>
        <v>490.11</v>
      </c>
      <c r="AX40" s="167">
        <f>BA40-AW40</f>
        <v>680.00999999999988</v>
      </c>
      <c r="AY40" s="917">
        <f t="shared" ref="AY40" si="582">AY24*AY45</f>
        <v>724.51</v>
      </c>
      <c r="AZ40" s="964">
        <f>BB40-AY40</f>
        <v>1131.7100000000003</v>
      </c>
      <c r="BA40" s="917">
        <f t="shared" ref="BA40" si="583">BA24*BA45</f>
        <v>1170.1199999999999</v>
      </c>
      <c r="BB40" s="917">
        <f>BC40-BA40</f>
        <v>1856.2200000000003</v>
      </c>
      <c r="BC40" s="1286">
        <f t="shared" si="568"/>
        <v>3026.34</v>
      </c>
      <c r="BD40" s="917">
        <f t="shared" si="568"/>
        <v>513.57000000000005</v>
      </c>
      <c r="BE40" s="167">
        <f>BH40-BD40</f>
        <v>743.06000000000006</v>
      </c>
      <c r="BF40" s="917">
        <f t="shared" ref="BF40" si="584">BF24*BF45</f>
        <v>683.91</v>
      </c>
      <c r="BG40" s="964">
        <f>BI40-BF40</f>
        <v>762.61</v>
      </c>
      <c r="BH40" s="917">
        <f t="shared" ref="BH40" si="585">BH24*BH45</f>
        <v>1256.6300000000001</v>
      </c>
      <c r="BI40" s="917">
        <f>BJ40-BH40</f>
        <v>1446.52</v>
      </c>
      <c r="BJ40" s="1286">
        <f t="shared" si="568"/>
        <v>2703.15</v>
      </c>
      <c r="BK40" s="917">
        <f t="shared" ref="BK40" si="586">BK24*BK45</f>
        <v>576.95999999999992</v>
      </c>
      <c r="BL40" s="167">
        <f>BO40-BK40</f>
        <v>496.22000000000014</v>
      </c>
      <c r="BM40" s="917">
        <f t="shared" ref="BM40" si="587">BM24*BM45</f>
        <v>593.4</v>
      </c>
      <c r="BN40" s="964">
        <f>BP40-BM40</f>
        <v>896.32999999999981</v>
      </c>
      <c r="BO40" s="917">
        <f t="shared" ref="BO40" si="588">BO24*BO45</f>
        <v>1073.18</v>
      </c>
      <c r="BP40" s="917">
        <f>BQ40-BO40</f>
        <v>1489.7299999999998</v>
      </c>
      <c r="BQ40" s="1286">
        <f t="shared" si="568"/>
        <v>2562.91</v>
      </c>
      <c r="BR40" s="917">
        <f t="shared" si="568"/>
        <v>435.49</v>
      </c>
      <c r="BS40" s="167">
        <f>BV40-BR40</f>
        <v>731.81</v>
      </c>
      <c r="BT40" s="917">
        <f t="shared" ref="BT40" si="589">BT24*BT45</f>
        <v>725.20999999999992</v>
      </c>
      <c r="BU40" s="964">
        <f>BW40-BT40</f>
        <v>971.45000000000016</v>
      </c>
      <c r="BV40" s="917">
        <f t="shared" ref="BV40" si="590">BV24*BV45</f>
        <v>1167.3</v>
      </c>
      <c r="BW40" s="917">
        <f>BX40-BV40</f>
        <v>1696.66</v>
      </c>
      <c r="BX40" s="1286">
        <f t="shared" si="568"/>
        <v>2863.96</v>
      </c>
      <c r="BY40" s="917">
        <f t="shared" ref="BY40" si="591">BY24*BY45</f>
        <v>506</v>
      </c>
      <c r="BZ40" s="167">
        <f>CC40-BY40</f>
        <v>728.8</v>
      </c>
      <c r="CA40" s="917">
        <f t="shared" ref="CA40" si="592">CA24*CA45</f>
        <v>814.66000000000008</v>
      </c>
      <c r="CB40" s="964">
        <f>CD40-CA40</f>
        <v>1051.6599999999999</v>
      </c>
      <c r="CC40" s="917">
        <f t="shared" ref="CC40" si="593">CC24*CC45</f>
        <v>1234.8</v>
      </c>
      <c r="CD40" s="917">
        <f>CE40-CC40</f>
        <v>1866.32</v>
      </c>
      <c r="CE40" s="1286">
        <f t="shared" si="568"/>
        <v>3101.12</v>
      </c>
      <c r="CF40" s="917">
        <f t="shared" si="568"/>
        <v>719.1</v>
      </c>
      <c r="CG40" s="167">
        <f>CJ40-CF40</f>
        <v>782.07999999999981</v>
      </c>
      <c r="CH40" s="917">
        <f t="shared" ref="CH40" si="594">CH24*CH45</f>
        <v>689.95999999999992</v>
      </c>
      <c r="CI40" s="964">
        <f>CK40-CH40</f>
        <v>1330.62</v>
      </c>
      <c r="CJ40" s="917">
        <f t="shared" ref="CJ40" si="595">CJ24*CJ45</f>
        <v>1501.1799999999998</v>
      </c>
      <c r="CK40" s="917">
        <f>CL40-CJ40</f>
        <v>2020.58</v>
      </c>
      <c r="CL40" s="1286">
        <f t="shared" ref="CL40:CM40" si="596">CL24*CL45</f>
        <v>3521.7599999999998</v>
      </c>
      <c r="CM40" s="917">
        <f t="shared" si="596"/>
        <v>876.6</v>
      </c>
      <c r="CN40" s="167">
        <f>CQ40-CM40</f>
        <v>750.81000000000006</v>
      </c>
      <c r="CO40" s="917">
        <f t="shared" ref="CO40" si="597">CO24*CO45</f>
        <v>858.84</v>
      </c>
      <c r="CP40" s="964">
        <f>CR40-CO40</f>
        <v>1563.6599999999999</v>
      </c>
      <c r="CQ40" s="917">
        <f t="shared" ref="CQ40" si="598">CQ24*CQ45</f>
        <v>1627.41</v>
      </c>
      <c r="CR40" s="917">
        <f>CS40-CQ40</f>
        <v>2422.5</v>
      </c>
      <c r="CS40" s="1286">
        <f t="shared" ref="CS40:CT40" si="599">CS24*CS45</f>
        <v>4049.91</v>
      </c>
      <c r="CT40" s="917">
        <f t="shared" si="599"/>
        <v>768</v>
      </c>
      <c r="CU40" s="167">
        <f>CX40-CT40</f>
        <v>893.85000000000014</v>
      </c>
      <c r="CV40" s="917">
        <f t="shared" ref="CV40" si="600">CV24*CV45</f>
        <v>920.7299999999999</v>
      </c>
      <c r="CW40" s="964">
        <f>CY40-CV40</f>
        <v>1723.9799999999991</v>
      </c>
      <c r="CX40" s="917">
        <f t="shared" ref="CX40" si="601">CX24*CX45</f>
        <v>1661.8500000000001</v>
      </c>
      <c r="CY40" s="917">
        <f>CZ40-CX40</f>
        <v>2644.7099999999991</v>
      </c>
      <c r="CZ40" s="1286">
        <f t="shared" ref="CZ40:DA40" si="602">CZ24*CZ45</f>
        <v>4306.5599999999995</v>
      </c>
      <c r="DA40" s="917">
        <f t="shared" si="602"/>
        <v>818.04</v>
      </c>
      <c r="DB40" s="167">
        <f>DE40-DA40</f>
        <v>1021.96</v>
      </c>
      <c r="DC40" s="917"/>
      <c r="DD40" s="964"/>
      <c r="DE40" s="917">
        <f t="shared" ref="DE40" si="603">DE24*DE45</f>
        <v>1840</v>
      </c>
      <c r="DF40" s="917"/>
      <c r="DG40" s="951"/>
      <c r="DH40" s="213"/>
      <c r="DI40" s="917"/>
      <c r="DJ40" s="917"/>
      <c r="DK40" s="964"/>
      <c r="DL40" s="917"/>
      <c r="DM40" s="917"/>
      <c r="DN40" s="951"/>
      <c r="DO40" s="213"/>
      <c r="DP40" s="917"/>
      <c r="DQ40" s="917"/>
      <c r="DR40" s="964"/>
      <c r="DS40" s="917"/>
      <c r="DT40" s="917"/>
      <c r="DU40" s="951"/>
      <c r="DV40" s="213"/>
      <c r="DW40" s="917"/>
      <c r="DX40" s="917"/>
      <c r="DY40" s="964"/>
      <c r="DZ40" s="917"/>
      <c r="EA40" s="917"/>
      <c r="EB40" s="951"/>
      <c r="EC40" s="213"/>
      <c r="ED40" s="917"/>
      <c r="EE40" s="917"/>
      <c r="EF40" s="964"/>
      <c r="EG40" s="917"/>
      <c r="EH40" s="917"/>
      <c r="EI40" s="951"/>
      <c r="EJ40" s="130"/>
      <c r="EK40" s="130"/>
      <c r="EL40" s="130"/>
      <c r="EM40" s="130"/>
      <c r="EN40" s="130"/>
      <c r="EO40" s="130"/>
      <c r="EP40" s="130"/>
      <c r="EQ40" s="130"/>
      <c r="ER40" s="130"/>
      <c r="ES40" s="130"/>
      <c r="ET40" s="130"/>
      <c r="EU40" s="130"/>
      <c r="EV40" s="130"/>
      <c r="EW40" s="130"/>
      <c r="EX40" s="130"/>
      <c r="EY40" s="130"/>
      <c r="EZ40" s="130"/>
      <c r="FA40" s="130"/>
      <c r="FB40" s="130"/>
      <c r="FC40" s="130"/>
      <c r="FD40" s="130"/>
      <c r="FE40" s="130"/>
      <c r="FF40" s="130"/>
      <c r="FG40" s="130"/>
      <c r="FH40" s="130"/>
      <c r="FI40" s="130"/>
      <c r="FJ40" s="130"/>
      <c r="FK40" s="130"/>
      <c r="FL40" s="130"/>
      <c r="FM40" s="130"/>
      <c r="FN40" s="130"/>
      <c r="FO40" s="130"/>
      <c r="FP40" s="130"/>
      <c r="FQ40" s="130"/>
      <c r="FR40" s="130"/>
      <c r="FS40" s="130"/>
      <c r="FT40" s="130"/>
      <c r="FU40" s="130"/>
      <c r="FV40" s="130"/>
      <c r="FW40" s="130"/>
      <c r="FX40" s="130"/>
      <c r="FY40" s="130"/>
      <c r="FZ40" s="130"/>
      <c r="GA40" s="130"/>
      <c r="GB40" s="130"/>
      <c r="GC40" s="130"/>
      <c r="GD40" s="130"/>
      <c r="GE40" s="130"/>
    </row>
    <row r="41" spans="1:187" ht="10.5" customHeight="1">
      <c r="A41" s="193" t="s">
        <v>347</v>
      </c>
      <c r="B41" s="778"/>
      <c r="C41" s="778"/>
      <c r="D41" s="778"/>
      <c r="E41" s="779"/>
      <c r="F41" s="779"/>
      <c r="G41" s="780"/>
      <c r="H41" s="780"/>
      <c r="I41" s="780"/>
      <c r="J41" s="780"/>
      <c r="K41" s="780"/>
      <c r="L41" s="780"/>
      <c r="M41" s="601"/>
      <c r="N41" s="601"/>
      <c r="O41" s="601"/>
      <c r="P41" s="601"/>
      <c r="Q41" s="965"/>
      <c r="R41" s="601"/>
      <c r="S41" s="601"/>
      <c r="T41" s="1305">
        <f t="shared" ref="T41:V41" si="604">T40/M40-1</f>
        <v>2.3884276997303777E-2</v>
      </c>
      <c r="U41" s="601">
        <f t="shared" si="604"/>
        <v>0.11802417235943241</v>
      </c>
      <c r="V41" s="601">
        <f t="shared" si="604"/>
        <v>-9.2840196013215248E-2</v>
      </c>
      <c r="W41" s="601">
        <f t="shared" ref="W41" si="605">W40/P40-1</f>
        <v>-9.176650223161853E-2</v>
      </c>
      <c r="X41" s="965">
        <f t="shared" ref="X41" si="606">X40/Q40-1</f>
        <v>2.0736214631233985E-2</v>
      </c>
      <c r="Y41" s="601">
        <f t="shared" ref="Y41" si="607">Y40/R40-1</f>
        <v>-1.1107490087447602E-2</v>
      </c>
      <c r="Z41" s="601">
        <f t="shared" ref="Z41" si="608">Z40/S40-1</f>
        <v>-2.738549186875483E-2</v>
      </c>
      <c r="AA41" s="1305">
        <f>AA40/T40-1</f>
        <v>-2.046284666580056E-2</v>
      </c>
      <c r="AB41" s="601">
        <f t="shared" ref="AB41:AC41" si="609">AB40/U40-1</f>
        <v>-5.3785172651501179E-2</v>
      </c>
      <c r="AC41" s="601">
        <f t="shared" si="609"/>
        <v>-7.5650175987482804E-3</v>
      </c>
      <c r="AD41" s="601">
        <f t="shared" ref="AD41" si="610">AD40/W40-1</f>
        <v>-8.5649255758014853E-2</v>
      </c>
      <c r="AE41" s="965">
        <f t="shared" ref="AE41" si="611">AE40/X40-1</f>
        <v>9.2260189732430886E-2</v>
      </c>
      <c r="AF41" s="601">
        <f t="shared" ref="AF41" si="612">AF40/Y40-1</f>
        <v>-2.7819734710130994E-2</v>
      </c>
      <c r="AG41" s="601">
        <f t="shared" ref="AG41" si="613">AG40/Z40-1</f>
        <v>2.1198785098865747E-2</v>
      </c>
      <c r="AH41" s="1305">
        <f>AH40/AA40-1</f>
        <v>1.5328019619853528E-4</v>
      </c>
      <c r="AI41" s="601">
        <f t="shared" ref="AI41:AJ41" si="614">AI40/AB40-1</f>
        <v>-0.13718023015150249</v>
      </c>
      <c r="AJ41" s="601">
        <f t="shared" si="614"/>
        <v>-8.6521765901114711E-2</v>
      </c>
      <c r="AK41" s="601">
        <f t="shared" ref="AK41" si="615">AK40/AD40-1</f>
        <v>-7.4111789997737265E-3</v>
      </c>
      <c r="AL41" s="965">
        <f t="shared" ref="AL41" si="616">AL40/AE40-1</f>
        <v>-0.29472581813600407</v>
      </c>
      <c r="AM41" s="601">
        <f t="shared" ref="AM41" si="617">AM40/AF40-1</f>
        <v>-0.10812853107344644</v>
      </c>
      <c r="AN41" s="601">
        <f t="shared" ref="AN41" si="618">AN40/AG40-1</f>
        <v>-0.19197268588770855</v>
      </c>
      <c r="AO41" s="1305">
        <f>AO40/AH40-1</f>
        <v>-0.15698202180960796</v>
      </c>
      <c r="AP41" s="601">
        <f t="shared" ref="AP41:AQ41" si="619">AP40/AI40-1</f>
        <v>0.28827480330071009</v>
      </c>
      <c r="AQ41" s="601">
        <f t="shared" si="619"/>
        <v>-0.2511357661871958</v>
      </c>
      <c r="AR41" s="601">
        <f t="shared" ref="AR41" si="620">AR40/AK40-1</f>
        <v>4.5169563978341376E-2</v>
      </c>
      <c r="AS41" s="965">
        <f t="shared" ref="AS41" si="621">AS40/AL40-1</f>
        <v>0.48400638628066117</v>
      </c>
      <c r="AT41" s="601">
        <f t="shared" ref="AT41" si="622">AT40/AM40-1</f>
        <v>-2.8561474079294324E-2</v>
      </c>
      <c r="AU41" s="601">
        <f t="shared" ref="AU41" si="623">AU40/AN40-1</f>
        <v>0.29121673646453461</v>
      </c>
      <c r="AV41" s="1305">
        <f>AV40/AO40-1</f>
        <v>0.15003006614552006</v>
      </c>
      <c r="AW41" s="601">
        <f t="shared" ref="AW41:AX41" si="624">AW40/AP40-1</f>
        <v>-0.26993088244056485</v>
      </c>
      <c r="AX41" s="601">
        <f t="shared" si="624"/>
        <v>0.22414041404140428</v>
      </c>
      <c r="AY41" s="601">
        <f t="shared" ref="AY41" si="625">AY40/AR40-1</f>
        <v>-1.2256305385139776E-2</v>
      </c>
      <c r="AZ41" s="965">
        <f t="shared" ref="AZ41" si="626">AZ40/AS40-1</f>
        <v>-0.14856528084984721</v>
      </c>
      <c r="BA41" s="601">
        <f t="shared" ref="BA41" si="627">BA40/AT40-1</f>
        <v>-4.6217048955837114E-2</v>
      </c>
      <c r="BB41" s="601">
        <f t="shared" ref="BB41" si="628">BB40/AU40-1</f>
        <v>-0.10009308278550233</v>
      </c>
      <c r="BC41" s="1305">
        <f>BC40/AV40-1</f>
        <v>-7.999999999999996E-2</v>
      </c>
      <c r="BD41" s="601">
        <f t="shared" ref="BD41:BE41" si="629">BD40/AW40-1</f>
        <v>4.7866805411030278E-2</v>
      </c>
      <c r="BE41" s="601">
        <f t="shared" si="629"/>
        <v>9.2719224717283888E-2</v>
      </c>
      <c r="BF41" s="601">
        <f t="shared" ref="BF41" si="630">BF40/AY40-1</f>
        <v>-5.6037873873376554E-2</v>
      </c>
      <c r="BG41" s="965">
        <f t="shared" ref="BG41" si="631">BG40/AZ40-1</f>
        <v>-0.32614362336641023</v>
      </c>
      <c r="BH41" s="601">
        <f t="shared" ref="BH41" si="632">BH40/BA40-1</f>
        <v>7.3932588110621422E-2</v>
      </c>
      <c r="BI41" s="601">
        <f t="shared" ref="BI41" si="633">BI40/BB40-1</f>
        <v>-0.22071737186324913</v>
      </c>
      <c r="BJ41" s="1305">
        <f>BJ40/BC40-1</f>
        <v>-0.10679236305239992</v>
      </c>
      <c r="BK41" s="601">
        <f t="shared" ref="BK41:BL41" si="634">BK40/BD40-1</f>
        <v>0.1234301068987671</v>
      </c>
      <c r="BL41" s="601">
        <f t="shared" si="634"/>
        <v>-0.33219390089629353</v>
      </c>
      <c r="BM41" s="601">
        <f t="shared" ref="BM41" si="635">BM40/BF40-1</f>
        <v>-0.13234197482124843</v>
      </c>
      <c r="BN41" s="965">
        <f t="shared" ref="BN41" si="636">BN40/BG40-1</f>
        <v>0.17534519610285693</v>
      </c>
      <c r="BO41" s="601">
        <f t="shared" ref="BO41" si="637">BO40/BH40-1</f>
        <v>-0.14598569189021438</v>
      </c>
      <c r="BP41" s="601">
        <f t="shared" ref="BP41" si="638">BP40/BI40-1</f>
        <v>2.9871692060946087E-2</v>
      </c>
      <c r="BQ41" s="1305">
        <f>BQ40/BJ40-1</f>
        <v>-5.1880213824612165E-2</v>
      </c>
      <c r="BR41" s="601">
        <f t="shared" ref="BR41:BS41" si="639">BR40/BK40-1</f>
        <v>-0.24519897393233492</v>
      </c>
      <c r="BS41" s="601">
        <f t="shared" si="639"/>
        <v>0.47476925557212479</v>
      </c>
      <c r="BT41" s="601">
        <f t="shared" ref="BT41" si="640">BT40/BM40-1</f>
        <v>0.22212672733400729</v>
      </c>
      <c r="BU41" s="965">
        <f t="shared" ref="BU41" si="641">BU40/BN40-1</f>
        <v>8.3808418774335758E-2</v>
      </c>
      <c r="BV41" s="601">
        <f t="shared" ref="BV41" si="642">BV40/BO40-1</f>
        <v>8.7701969846623928E-2</v>
      </c>
      <c r="BW41" s="601">
        <f t="shared" ref="BW41" si="643">BW40/BP40-1</f>
        <v>0.1389043652205435</v>
      </c>
      <c r="BX41" s="1305">
        <f>BX40/BQ40-1</f>
        <v>0.11746413256805743</v>
      </c>
      <c r="BY41" s="601">
        <f t="shared" ref="BY41" si="644">BY40/BR40-1</f>
        <v>0.16190957312452636</v>
      </c>
      <c r="BZ41" s="601">
        <f t="shared" ref="BZ41" si="645">BZ40/BS40-1</f>
        <v>-4.1130894631119519E-3</v>
      </c>
      <c r="CA41" s="601">
        <f t="shared" ref="CA41" si="646">CA40/BT40-1</f>
        <v>0.1233435832379588</v>
      </c>
      <c r="CB41" s="965">
        <f t="shared" ref="CB41" si="647">CB40/BU40-1</f>
        <v>8.2567296309639993E-2</v>
      </c>
      <c r="CC41" s="601">
        <f t="shared" ref="CC41" si="648">CC40/BV40-1</f>
        <v>5.7825751734772446E-2</v>
      </c>
      <c r="CD41" s="601">
        <f t="shared" ref="CD41" si="649">CD40/BW40-1</f>
        <v>9.9996463640328548E-2</v>
      </c>
      <c r="CE41" s="1305">
        <f>CE40/BX40-1</f>
        <v>8.2808419111998655E-2</v>
      </c>
      <c r="CF41" s="601">
        <f t="shared" ref="CF41:CK41" si="650">CF40/BY40-1</f>
        <v>0.42114624505928866</v>
      </c>
      <c r="CG41" s="601">
        <f t="shared" si="650"/>
        <v>7.3106476399560805E-2</v>
      </c>
      <c r="CH41" s="601">
        <f t="shared" si="650"/>
        <v>-0.15306999238946328</v>
      </c>
      <c r="CI41" s="965">
        <f t="shared" si="650"/>
        <v>0.26525683205598782</v>
      </c>
      <c r="CJ41" s="601">
        <f t="shared" si="650"/>
        <v>0.21572724327826354</v>
      </c>
      <c r="CK41" s="601">
        <f t="shared" si="650"/>
        <v>8.265463586094568E-2</v>
      </c>
      <c r="CL41" s="1305">
        <f>CL40/CE40-1</f>
        <v>0.13564131668558455</v>
      </c>
      <c r="CM41" s="601">
        <f>CM40/CF40-1</f>
        <v>0.21902377972465592</v>
      </c>
      <c r="CN41" s="601">
        <f>CN40/CG40-1</f>
        <v>-3.9983121931259968E-2</v>
      </c>
      <c r="CO41" s="601">
        <f>CO40/CH40-1</f>
        <v>0.24476781262681913</v>
      </c>
      <c r="CP41" s="965">
        <f t="shared" ref="CP41" si="651">CP40/CI40-1</f>
        <v>0.17513640257924878</v>
      </c>
      <c r="CQ41" s="601">
        <f>CQ40/CJ40-1</f>
        <v>8.4087184747998478E-2</v>
      </c>
      <c r="CR41" s="601">
        <f t="shared" ref="CR41" si="652">CR40/CK40-1</f>
        <v>0.19891318334339658</v>
      </c>
      <c r="CS41" s="1305">
        <f>CS40/CL40-1</f>
        <v>0.14996762982145295</v>
      </c>
      <c r="CT41" s="601">
        <f>CT40/CM40-1</f>
        <v>-0.12388774811772763</v>
      </c>
      <c r="CU41" s="601">
        <f>CU40/CN40-1</f>
        <v>0.19051424461581501</v>
      </c>
      <c r="CV41" s="601">
        <f>CV40/CO40-1</f>
        <v>7.2062316613105803E-2</v>
      </c>
      <c r="CW41" s="965">
        <f t="shared" ref="CW41" si="653">CW40/CP40-1</f>
        <v>0.10252868270595861</v>
      </c>
      <c r="CX41" s="601">
        <f>CX40/CQ40-1</f>
        <v>2.1162460596899413E-2</v>
      </c>
      <c r="CY41" s="601">
        <f t="shared" ref="CY41" si="654">CY40/CR40-1</f>
        <v>9.1727554179566129E-2</v>
      </c>
      <c r="CZ41" s="1305">
        <f>CZ40/CS40-1</f>
        <v>6.3371778632117737E-2</v>
      </c>
      <c r="DA41" s="601">
        <f>DA40/CT40-1</f>
        <v>6.5156250000000027E-2</v>
      </c>
      <c r="DB41" s="601">
        <f>DB40/CU40-1</f>
        <v>0.14332382390781429</v>
      </c>
      <c r="DC41" s="601"/>
      <c r="DD41" s="965"/>
      <c r="DE41" s="601">
        <f>DE40/CX40-1</f>
        <v>0.10719980744351165</v>
      </c>
      <c r="DF41" s="601"/>
      <c r="DG41" s="952"/>
      <c r="DH41" s="780"/>
      <c r="DI41" s="601"/>
      <c r="DJ41" s="601"/>
      <c r="DK41" s="965"/>
      <c r="DL41" s="601"/>
      <c r="DM41" s="601"/>
      <c r="DN41" s="952"/>
      <c r="DO41" s="780"/>
      <c r="DP41" s="601"/>
      <c r="DQ41" s="601"/>
      <c r="DR41" s="965"/>
      <c r="DS41" s="601"/>
      <c r="DT41" s="601"/>
      <c r="DU41" s="952"/>
      <c r="DV41" s="780"/>
      <c r="DW41" s="601"/>
      <c r="DX41" s="601"/>
      <c r="DY41" s="965"/>
      <c r="DZ41" s="601"/>
      <c r="EA41" s="601"/>
      <c r="EB41" s="952"/>
      <c r="EC41" s="780"/>
      <c r="ED41" s="601"/>
      <c r="EE41" s="601"/>
      <c r="EF41" s="965"/>
      <c r="EG41" s="601"/>
      <c r="EH41" s="601"/>
      <c r="EI41" s="952"/>
      <c r="EJ41" s="193"/>
      <c r="EK41" s="193"/>
      <c r="EL41" s="193"/>
      <c r="EM41" s="193"/>
      <c r="EN41" s="193"/>
      <c r="EO41" s="193"/>
      <c r="EP41" s="193"/>
      <c r="EQ41" s="193"/>
      <c r="ER41" s="193"/>
      <c r="ES41" s="193"/>
      <c r="ET41" s="193"/>
      <c r="EU41" s="193"/>
      <c r="EV41" s="193"/>
      <c r="EW41" s="193"/>
      <c r="EX41" s="193"/>
      <c r="EY41" s="193"/>
      <c r="EZ41" s="193"/>
      <c r="FA41" s="193"/>
      <c r="FB41" s="193"/>
      <c r="FC41" s="193"/>
      <c r="FD41" s="193"/>
      <c r="FE41" s="193"/>
      <c r="FF41" s="193"/>
      <c r="FG41" s="193"/>
      <c r="FH41" s="193"/>
      <c r="FI41" s="193"/>
      <c r="FJ41" s="193"/>
      <c r="FK41" s="193"/>
      <c r="FL41" s="193"/>
      <c r="FM41" s="193"/>
      <c r="FN41" s="193"/>
      <c r="FO41" s="193"/>
      <c r="FP41" s="193"/>
      <c r="FQ41" s="193"/>
      <c r="FR41" s="193"/>
      <c r="FS41" s="193"/>
      <c r="FT41" s="193"/>
      <c r="FU41" s="193"/>
      <c r="FV41" s="193"/>
      <c r="FW41" s="193"/>
      <c r="FX41" s="193"/>
      <c r="FY41" s="193"/>
      <c r="FZ41" s="193"/>
      <c r="GA41" s="193"/>
      <c r="GB41" s="193"/>
      <c r="GC41" s="193"/>
      <c r="GD41" s="193"/>
      <c r="GE41" s="193"/>
    </row>
    <row r="42" spans="1:187" ht="10.5" customHeight="1">
      <c r="A42" s="130" t="s">
        <v>775</v>
      </c>
      <c r="B42" s="776"/>
      <c r="C42" s="776"/>
      <c r="D42" s="776"/>
      <c r="E42" s="777"/>
      <c r="F42" s="777"/>
      <c r="G42" s="213"/>
      <c r="H42" s="213"/>
      <c r="I42" s="213"/>
      <c r="J42" s="213"/>
      <c r="K42" s="213"/>
      <c r="L42" s="213"/>
      <c r="M42" s="917">
        <f t="shared" ref="M42:CF42" si="655">M24*M46</f>
        <v>2881.44</v>
      </c>
      <c r="N42" s="917">
        <f t="shared" si="655"/>
        <v>467.09999999999997</v>
      </c>
      <c r="O42" s="167">
        <f>R42-N42</f>
        <v>644.02000000000021</v>
      </c>
      <c r="P42" s="917">
        <f t="shared" ref="P42" si="656">P24*P46</f>
        <v>696.59999999999991</v>
      </c>
      <c r="Q42" s="964">
        <f>S42-P42</f>
        <v>1025.93</v>
      </c>
      <c r="R42" s="917">
        <f t="shared" ref="R42" si="657">R24*R46</f>
        <v>1111.1200000000001</v>
      </c>
      <c r="S42" s="917">
        <f>T42-R42</f>
        <v>1722.53</v>
      </c>
      <c r="T42" s="1286">
        <f t="shared" si="655"/>
        <v>2833.65</v>
      </c>
      <c r="U42" s="917">
        <f t="shared" ref="U42" si="658">U24*U46</f>
        <v>543.71999999999991</v>
      </c>
      <c r="V42" s="167">
        <f>Y42-U42</f>
        <v>800.7600000000001</v>
      </c>
      <c r="W42" s="917">
        <f t="shared" ref="W42" si="659">W24*W46</f>
        <v>685.7299999999999</v>
      </c>
      <c r="X42" s="964">
        <f>Z42-W42</f>
        <v>1101.31</v>
      </c>
      <c r="Y42" s="917">
        <f t="shared" ref="Y42" si="660">Y24*Y46</f>
        <v>1344.48</v>
      </c>
      <c r="Z42" s="917">
        <f>AA42-Y42</f>
        <v>1787.04</v>
      </c>
      <c r="AA42" s="1286">
        <f t="shared" si="655"/>
        <v>3131.52</v>
      </c>
      <c r="AB42" s="917">
        <f t="shared" si="655"/>
        <v>681.05000000000007</v>
      </c>
      <c r="AC42" s="167">
        <f>AF42-AB42</f>
        <v>852.94999999999993</v>
      </c>
      <c r="AD42" s="917">
        <f t="shared" ref="AD42" si="661">AD24*AD46</f>
        <v>765.96</v>
      </c>
      <c r="AE42" s="964">
        <f>AG42-AD42</f>
        <v>1093.04</v>
      </c>
      <c r="AF42" s="917">
        <f t="shared" ref="AF42" si="662">AF24*AF46</f>
        <v>1534</v>
      </c>
      <c r="AG42" s="917">
        <f>AH42-AF42</f>
        <v>1859</v>
      </c>
      <c r="AH42" s="1286">
        <f t="shared" si="655"/>
        <v>3393</v>
      </c>
      <c r="AI42" s="917">
        <f t="shared" ref="AI42" si="663">AI24*AI46</f>
        <v>636.90000000000009</v>
      </c>
      <c r="AJ42" s="167">
        <f>AM42-AI42</f>
        <v>787.21</v>
      </c>
      <c r="AK42" s="917">
        <f t="shared" ref="AK42" si="664">AK24*AK46</f>
        <v>893.2</v>
      </c>
      <c r="AL42" s="964">
        <f>AN42-AK42</f>
        <v>1474.3299999999997</v>
      </c>
      <c r="AM42" s="917">
        <f t="shared" ref="AM42" si="665">AM24*AM46</f>
        <v>1424.1100000000001</v>
      </c>
      <c r="AN42" s="917">
        <f>AO42-AM42</f>
        <v>2367.5299999999997</v>
      </c>
      <c r="AO42" s="1286">
        <f t="shared" si="655"/>
        <v>3791.64</v>
      </c>
      <c r="AP42" s="917">
        <f t="shared" si="655"/>
        <v>619.67999999999995</v>
      </c>
      <c r="AQ42" s="167">
        <f>AT42-AP42</f>
        <v>1074.5000000000005</v>
      </c>
      <c r="AR42" s="917">
        <f t="shared" ref="AR42" si="666">AR24*AR46</f>
        <v>733.5</v>
      </c>
      <c r="AS42" s="964">
        <f>AU42-AR42</f>
        <v>732.81999999999971</v>
      </c>
      <c r="AT42" s="917">
        <f t="shared" ref="AT42" si="667">AT24*AT46</f>
        <v>1694.1800000000003</v>
      </c>
      <c r="AU42" s="917">
        <f>AV42-AT42</f>
        <v>1466.3199999999997</v>
      </c>
      <c r="AV42" s="1286">
        <f t="shared" si="655"/>
        <v>3160.5</v>
      </c>
      <c r="AW42" s="917">
        <f t="shared" ref="AW42" si="668">AW24*AW46</f>
        <v>470.89</v>
      </c>
      <c r="AX42" s="167">
        <f>BA42-AW42</f>
        <v>746.99000000000012</v>
      </c>
      <c r="AY42" s="917">
        <f t="shared" ref="AY42" si="669">AY24*AY46</f>
        <v>642.49</v>
      </c>
      <c r="AZ42" s="964">
        <f>BB42-AY42</f>
        <v>1047.2899999999997</v>
      </c>
      <c r="BA42" s="917">
        <f t="shared" ref="BA42" si="670">BA24*BA46</f>
        <v>1217.8800000000001</v>
      </c>
      <c r="BB42" s="917">
        <f>BC42-BA42</f>
        <v>1689.7799999999997</v>
      </c>
      <c r="BC42" s="1286">
        <f t="shared" si="655"/>
        <v>2907.66</v>
      </c>
      <c r="BD42" s="917">
        <f t="shared" si="655"/>
        <v>493.43</v>
      </c>
      <c r="BE42" s="167">
        <f>BH42-BD42</f>
        <v>620.93999999999983</v>
      </c>
      <c r="BF42" s="917">
        <f t="shared" ref="BF42" si="671">BF24*BF46</f>
        <v>657.09</v>
      </c>
      <c r="BG42" s="964">
        <f>BI42-BF42</f>
        <v>1532.3900000000003</v>
      </c>
      <c r="BH42" s="917">
        <f t="shared" ref="BH42" si="672">BH24*BH46</f>
        <v>1114.3699999999999</v>
      </c>
      <c r="BI42" s="917">
        <f>BJ42-BH42</f>
        <v>2189.4800000000005</v>
      </c>
      <c r="BJ42" s="1286">
        <f t="shared" si="655"/>
        <v>3303.8500000000004</v>
      </c>
      <c r="BK42" s="917">
        <f t="shared" ref="BK42" si="673">BK24*BK46</f>
        <v>625.04000000000008</v>
      </c>
      <c r="BL42" s="167">
        <f>BO42-BK42</f>
        <v>634.78000000000009</v>
      </c>
      <c r="BM42" s="917">
        <f t="shared" ref="BM42" si="674">BM24*BM46</f>
        <v>696.6</v>
      </c>
      <c r="BN42" s="964">
        <f>BP42-BM42</f>
        <v>1731.6699999999996</v>
      </c>
      <c r="BO42" s="917">
        <f t="shared" ref="BO42" si="675">BO24*BO46</f>
        <v>1259.8200000000002</v>
      </c>
      <c r="BP42" s="917">
        <f>BQ42-BO42</f>
        <v>2428.2699999999995</v>
      </c>
      <c r="BQ42" s="1286">
        <f t="shared" si="655"/>
        <v>3688.0899999999997</v>
      </c>
      <c r="BR42" s="917">
        <f t="shared" si="655"/>
        <v>741.51</v>
      </c>
      <c r="BS42" s="167">
        <f>BV42-BR42</f>
        <v>685.19</v>
      </c>
      <c r="BT42" s="917">
        <f t="shared" ref="BT42" si="676">BT24*BT46</f>
        <v>817.79000000000008</v>
      </c>
      <c r="BU42" s="964">
        <f>BW42-BT42</f>
        <v>1400.5500000000002</v>
      </c>
      <c r="BV42" s="917">
        <f t="shared" ref="BV42" si="677">BV24*BV46</f>
        <v>1426.7</v>
      </c>
      <c r="BW42" s="917">
        <f>BX42-BV42</f>
        <v>2218.34</v>
      </c>
      <c r="BX42" s="1286">
        <f t="shared" si="655"/>
        <v>3645.0400000000004</v>
      </c>
      <c r="BY42" s="917">
        <f t="shared" ref="BY42" si="678">BY24*BY46</f>
        <v>759</v>
      </c>
      <c r="BZ42" s="167">
        <f>CC42-BY42</f>
        <v>750.2</v>
      </c>
      <c r="CA42" s="917">
        <f t="shared" ref="CA42" si="679">CA24*CA46</f>
        <v>956.34</v>
      </c>
      <c r="CB42" s="964">
        <f>CD42-CA42</f>
        <v>1481.3400000000001</v>
      </c>
      <c r="CC42" s="917">
        <f t="shared" ref="CC42" si="680">CC24*CC46</f>
        <v>1509.2</v>
      </c>
      <c r="CD42" s="917">
        <f>CE42-CC42</f>
        <v>2437.6800000000003</v>
      </c>
      <c r="CE42" s="1286">
        <f t="shared" si="655"/>
        <v>3946.8800000000006</v>
      </c>
      <c r="CF42" s="917">
        <f t="shared" si="655"/>
        <v>878.90000000000009</v>
      </c>
      <c r="CG42" s="167">
        <f>CJ42-CF42</f>
        <v>813.92000000000007</v>
      </c>
      <c r="CH42" s="917">
        <f t="shared" ref="CH42" si="681">CH24*CH46</f>
        <v>778.04000000000008</v>
      </c>
      <c r="CI42" s="964">
        <f>CK42-CH42</f>
        <v>1344.38</v>
      </c>
      <c r="CJ42" s="917">
        <f t="shared" ref="CJ42" si="682">CJ24*CJ46</f>
        <v>1692.8200000000002</v>
      </c>
      <c r="CK42" s="917">
        <f>CL42-CJ42</f>
        <v>2122.42</v>
      </c>
      <c r="CL42" s="1286">
        <f t="shared" ref="CL42:CM42" si="683">CL24*CL46</f>
        <v>3815.2400000000002</v>
      </c>
      <c r="CM42" s="917">
        <f t="shared" si="683"/>
        <v>584.4</v>
      </c>
      <c r="CN42" s="167">
        <f>CQ42-CM42</f>
        <v>979.18999999999994</v>
      </c>
      <c r="CO42" s="917">
        <f t="shared" ref="CO42" si="684">CO24*CO46</f>
        <v>825.16</v>
      </c>
      <c r="CP42" s="964">
        <f>CR42-CO42</f>
        <v>1502.3400000000001</v>
      </c>
      <c r="CQ42" s="917">
        <f t="shared" ref="CQ42" si="685">CQ24*CQ46</f>
        <v>1563.59</v>
      </c>
      <c r="CR42" s="917">
        <f>CS42-CQ42</f>
        <v>2327.5</v>
      </c>
      <c r="CS42" s="1286">
        <f t="shared" ref="CS42:CT42" si="686">CS24*CS46</f>
        <v>3891.09</v>
      </c>
      <c r="CT42" s="917">
        <f t="shared" si="686"/>
        <v>832</v>
      </c>
      <c r="CU42" s="167">
        <f>CX42-CT42</f>
        <v>1199.1500000000001</v>
      </c>
      <c r="CV42" s="917">
        <f t="shared" ref="CV42" si="687">CV24*CV46</f>
        <v>1038.27</v>
      </c>
      <c r="CW42" s="964">
        <f>CY42-CV42</f>
        <v>1596.0200000000004</v>
      </c>
      <c r="CX42" s="917">
        <f t="shared" ref="CX42" si="688">CX24*CX46</f>
        <v>2031.15</v>
      </c>
      <c r="CY42" s="917">
        <f>CZ42-CX42</f>
        <v>2634.2900000000004</v>
      </c>
      <c r="CZ42" s="1286">
        <f t="shared" ref="CZ42:DA42" si="689">CZ24*CZ46</f>
        <v>4665.4400000000005</v>
      </c>
      <c r="DA42" s="917">
        <f t="shared" si="689"/>
        <v>785.96</v>
      </c>
      <c r="DB42" s="167">
        <f>DE42-DA42</f>
        <v>1054.04</v>
      </c>
      <c r="DC42" s="917"/>
      <c r="DD42" s="964"/>
      <c r="DE42" s="917">
        <f t="shared" ref="DE42" si="690">DE24*DE46</f>
        <v>1840</v>
      </c>
      <c r="DF42" s="917"/>
      <c r="DG42" s="951"/>
      <c r="DH42" s="213"/>
      <c r="DI42" s="917"/>
      <c r="DJ42" s="917"/>
      <c r="DK42" s="964"/>
      <c r="DL42" s="917"/>
      <c r="DM42" s="917"/>
      <c r="DN42" s="951"/>
      <c r="DO42" s="213"/>
      <c r="DP42" s="917"/>
      <c r="DQ42" s="917"/>
      <c r="DR42" s="964"/>
      <c r="DS42" s="917"/>
      <c r="DT42" s="917"/>
      <c r="DU42" s="951"/>
      <c r="DV42" s="213"/>
      <c r="DW42" s="917"/>
      <c r="DX42" s="917"/>
      <c r="DY42" s="964"/>
      <c r="DZ42" s="917"/>
      <c r="EA42" s="917"/>
      <c r="EB42" s="951"/>
      <c r="EC42" s="213"/>
      <c r="ED42" s="917"/>
      <c r="EE42" s="917"/>
      <c r="EF42" s="964"/>
      <c r="EG42" s="917"/>
      <c r="EH42" s="917"/>
      <c r="EI42" s="951"/>
      <c r="EJ42" s="130"/>
      <c r="EK42" s="130"/>
      <c r="EL42" s="130"/>
      <c r="EM42" s="130"/>
      <c r="EN42" s="130"/>
      <c r="EO42" s="130"/>
      <c r="EP42" s="130"/>
      <c r="EQ42" s="130"/>
      <c r="ER42" s="130"/>
      <c r="ES42" s="130"/>
      <c r="ET42" s="130"/>
      <c r="EU42" s="130"/>
      <c r="EV42" s="130"/>
      <c r="EW42" s="130"/>
      <c r="EX42" s="130"/>
      <c r="EY42" s="130"/>
      <c r="EZ42" s="130"/>
      <c r="FA42" s="130"/>
      <c r="FB42" s="130"/>
      <c r="FC42" s="130"/>
      <c r="FD42" s="130"/>
      <c r="FE42" s="130"/>
      <c r="FF42" s="130"/>
      <c r="FG42" s="130"/>
      <c r="FH42" s="130"/>
      <c r="FI42" s="130"/>
      <c r="FJ42" s="130"/>
      <c r="FK42" s="130"/>
      <c r="FL42" s="130"/>
      <c r="FM42" s="130"/>
      <c r="FN42" s="130"/>
      <c r="FO42" s="130"/>
      <c r="FP42" s="130"/>
      <c r="FQ42" s="130"/>
      <c r="FR42" s="130"/>
      <c r="FS42" s="130"/>
      <c r="FT42" s="130"/>
      <c r="FU42" s="130"/>
      <c r="FV42" s="130"/>
      <c r="FW42" s="130"/>
      <c r="FX42" s="130"/>
      <c r="FY42" s="130"/>
      <c r="FZ42" s="130"/>
      <c r="GA42" s="130"/>
      <c r="GB42" s="130"/>
      <c r="GC42" s="130"/>
      <c r="GD42" s="130"/>
      <c r="GE42" s="130"/>
    </row>
    <row r="43" spans="1:187" ht="10.5" customHeight="1">
      <c r="A43" s="193" t="s">
        <v>347</v>
      </c>
      <c r="B43" s="778"/>
      <c r="C43" s="778"/>
      <c r="D43" s="778"/>
      <c r="E43" s="779"/>
      <c r="F43" s="779"/>
      <c r="G43" s="780"/>
      <c r="H43" s="780"/>
      <c r="I43" s="780"/>
      <c r="J43" s="780"/>
      <c r="K43" s="780"/>
      <c r="L43" s="780"/>
      <c r="M43" s="601"/>
      <c r="N43" s="601"/>
      <c r="O43" s="601"/>
      <c r="P43" s="601"/>
      <c r="Q43" s="965"/>
      <c r="R43" s="601"/>
      <c r="S43" s="601"/>
      <c r="T43" s="1305">
        <f t="shared" ref="T43:V43" si="691">T42/M42-1</f>
        <v>-1.658545727136429E-2</v>
      </c>
      <c r="U43" s="601">
        <f t="shared" si="691"/>
        <v>0.16403339755940904</v>
      </c>
      <c r="V43" s="601">
        <f t="shared" si="691"/>
        <v>0.24337753485916558</v>
      </c>
      <c r="W43" s="601">
        <f t="shared" ref="W43" si="692">W42/P42-1</f>
        <v>-1.5604364053976472E-2</v>
      </c>
      <c r="X43" s="965">
        <f t="shared" ref="X43" si="693">X42/Q42-1</f>
        <v>7.347479847552929E-2</v>
      </c>
      <c r="Y43" s="601">
        <f t="shared" ref="Y43" si="694">Y42/R42-1</f>
        <v>0.21002231982144126</v>
      </c>
      <c r="Z43" s="601">
        <f t="shared" ref="Z43" si="695">Z42/S42-1</f>
        <v>3.7450726547578306E-2</v>
      </c>
      <c r="AA43" s="1305">
        <f>AA42/T42-1</f>
        <v>0.10511883965909696</v>
      </c>
      <c r="AB43" s="601">
        <f t="shared" ref="AB43:AC43" si="696">AB42/U42-1</f>
        <v>0.25257485470462782</v>
      </c>
      <c r="AC43" s="601">
        <f t="shared" si="696"/>
        <v>6.5175583195963505E-2</v>
      </c>
      <c r="AD43" s="601">
        <f t="shared" ref="AD43" si="697">AD42/W42-1</f>
        <v>0.11699940209703552</v>
      </c>
      <c r="AE43" s="965">
        <f t="shared" ref="AE43" si="698">AE42/X42-1</f>
        <v>-7.5092389971942453E-3</v>
      </c>
      <c r="AF43" s="601">
        <f t="shared" ref="AF43" si="699">AF42/Y42-1</f>
        <v>0.140961561347138</v>
      </c>
      <c r="AG43" s="601">
        <f t="shared" ref="AG43" si="700">AG42/Z42-1</f>
        <v>4.026770525561818E-2</v>
      </c>
      <c r="AH43" s="1305">
        <f>AH42/AA42-1</f>
        <v>8.349938687921532E-2</v>
      </c>
      <c r="AI43" s="601">
        <f t="shared" ref="AI43:AJ43" si="701">AI42/AB42-1</f>
        <v>-6.482637104471034E-2</v>
      </c>
      <c r="AJ43" s="601">
        <f t="shared" si="701"/>
        <v>-7.7073685444633222E-2</v>
      </c>
      <c r="AK43" s="601">
        <f t="shared" ref="AK43" si="702">AK42/AD42-1</f>
        <v>0.16611833516110508</v>
      </c>
      <c r="AL43" s="965">
        <f t="shared" ref="AL43" si="703">AL42/AE42-1</f>
        <v>0.34883444338725011</v>
      </c>
      <c r="AM43" s="601">
        <f t="shared" ref="AM43" si="704">AM42/AF42-1</f>
        <v>-7.1636245110821339E-2</v>
      </c>
      <c r="AN43" s="601">
        <f t="shared" ref="AN43" si="705">AN42/AG42-1</f>
        <v>0.27355029585798807</v>
      </c>
      <c r="AO43" s="1305">
        <f>AO42/AH42-1</f>
        <v>0.11748894783377528</v>
      </c>
      <c r="AP43" s="601">
        <f t="shared" ref="AP43:AQ43" si="706">AP42/AI42-1</f>
        <v>-2.7037211493170288E-2</v>
      </c>
      <c r="AQ43" s="601">
        <f t="shared" si="706"/>
        <v>0.36494709162739336</v>
      </c>
      <c r="AR43" s="601">
        <f t="shared" ref="AR43" si="707">AR42/AK42-1</f>
        <v>-0.17879534258844609</v>
      </c>
      <c r="AS43" s="965">
        <f t="shared" ref="AS43" si="708">AS42/AL42-1</f>
        <v>-0.50294710139521015</v>
      </c>
      <c r="AT43" s="601">
        <f t="shared" ref="AT43" si="709">AT42/AM42-1</f>
        <v>0.18964124962257145</v>
      </c>
      <c r="AU43" s="601">
        <f t="shared" ref="AU43" si="710">AU42/AN42-1</f>
        <v>-0.38065409942007078</v>
      </c>
      <c r="AV43" s="1305">
        <f>AV42/AO42-1</f>
        <v>-0.16645567617178847</v>
      </c>
      <c r="AW43" s="601">
        <f t="shared" ref="AW43:AX43" si="711">AW42/AP42-1</f>
        <v>-0.24010779757294087</v>
      </c>
      <c r="AX43" s="601">
        <f t="shared" si="711"/>
        <v>-0.30480223359702208</v>
      </c>
      <c r="AY43" s="601">
        <f t="shared" ref="AY43" si="712">AY42/AR42-1</f>
        <v>-0.12407634628493525</v>
      </c>
      <c r="AZ43" s="965">
        <f t="shared" ref="AZ43" si="713">AZ42/AS42-1</f>
        <v>0.42912311345214404</v>
      </c>
      <c r="BA43" s="601">
        <f t="shared" ref="BA43" si="714">BA42/AT42-1</f>
        <v>-0.28113895808001521</v>
      </c>
      <c r="BB43" s="601">
        <f t="shared" ref="BB43" si="715">BB42/AU42-1</f>
        <v>0.15239511157182606</v>
      </c>
      <c r="BC43" s="1305">
        <f>BC42/AV42-1</f>
        <v>-8.0000000000000071E-2</v>
      </c>
      <c r="BD43" s="601">
        <f t="shared" ref="BD43:BE43" si="716">BD42/AW42-1</f>
        <v>4.7866805411030278E-2</v>
      </c>
      <c r="BE43" s="601">
        <f t="shared" si="716"/>
        <v>-0.16874389215384444</v>
      </c>
      <c r="BF43" s="601">
        <f t="shared" ref="BF43" si="717">BF42/AY42-1</f>
        <v>2.2724089090880861E-2</v>
      </c>
      <c r="BG43" s="965">
        <f t="shared" ref="BG43" si="718">BG42/AZ42-1</f>
        <v>0.46319548549112532</v>
      </c>
      <c r="BH43" s="601">
        <f t="shared" ref="BH43" si="719">BH42/BA42-1</f>
        <v>-8.4991953230203476E-2</v>
      </c>
      <c r="BI43" s="601">
        <f t="shared" ref="BI43" si="720">BI42/BB42-1</f>
        <v>0.29571896933328645</v>
      </c>
      <c r="BJ43" s="1305">
        <f>BJ42/BC42-1</f>
        <v>0.136257334076199</v>
      </c>
      <c r="BK43" s="601">
        <f t="shared" ref="BK43:BL43" si="721">BK42/BD42-1</f>
        <v>0.2667247633909573</v>
      </c>
      <c r="BL43" s="601">
        <f t="shared" si="721"/>
        <v>2.2288787966631585E-2</v>
      </c>
      <c r="BM43" s="601">
        <f t="shared" ref="BM43" si="722">BM42/BF42-1</f>
        <v>6.0128749486371813E-2</v>
      </c>
      <c r="BN43" s="965">
        <f t="shared" ref="BN43" si="723">BN42/BG42-1</f>
        <v>0.13004522347444136</v>
      </c>
      <c r="BO43" s="601">
        <f t="shared" ref="BO43" si="724">BO42/BH42-1</f>
        <v>0.13052217845060454</v>
      </c>
      <c r="BP43" s="601">
        <f t="shared" ref="BP43" si="725">BP42/BI42-1</f>
        <v>0.10906242578146363</v>
      </c>
      <c r="BQ43" s="1305">
        <f>BQ42/BJ42-1</f>
        <v>0.11630067951026812</v>
      </c>
      <c r="BR43" s="601">
        <f t="shared" ref="BR43:BS43" si="726">BR42/BK42-1</f>
        <v>0.18634007423524879</v>
      </c>
      <c r="BS43" s="601">
        <f t="shared" si="726"/>
        <v>7.9413340054822035E-2</v>
      </c>
      <c r="BT43" s="601">
        <f t="shared" ref="BT43" si="727">BT42/BM42-1</f>
        <v>0.17397358598908985</v>
      </c>
      <c r="BU43" s="965">
        <f t="shared" ref="BU43" si="728">BU42/BN42-1</f>
        <v>-0.19121426137774489</v>
      </c>
      <c r="BV43" s="601">
        <f t="shared" ref="BV43" si="729">BV42/BO42-1</f>
        <v>0.13246336778269896</v>
      </c>
      <c r="BW43" s="601">
        <f t="shared" ref="BW43" si="730">BW42/BP42-1</f>
        <v>-8.6452494986142159E-2</v>
      </c>
      <c r="BX43" s="1305">
        <f>BX42/BQ42-1</f>
        <v>-1.167270863780423E-2</v>
      </c>
      <c r="BY43" s="601">
        <f t="shared" ref="BY43" si="731">BY42/BR42-1</f>
        <v>2.3587004895416097E-2</v>
      </c>
      <c r="BZ43" s="601">
        <f t="shared" ref="BZ43" si="732">BZ42/BS42-1</f>
        <v>9.4878792743618545E-2</v>
      </c>
      <c r="CA43" s="601">
        <f t="shared" ref="CA43" si="733">CA42/BT42-1</f>
        <v>0.16942002225510211</v>
      </c>
      <c r="CB43" s="965">
        <f t="shared" ref="CB43" si="734">CB42/BU42-1</f>
        <v>5.768448109671187E-2</v>
      </c>
      <c r="CC43" s="601">
        <f t="shared" ref="CC43" si="735">CC42/BV42-1</f>
        <v>5.7825751734772446E-2</v>
      </c>
      <c r="CD43" s="601">
        <f t="shared" ref="CD43" si="736">CD42/BW42-1</f>
        <v>9.8875735910636031E-2</v>
      </c>
      <c r="CE43" s="1305">
        <f>CE42/BX42-1</f>
        <v>8.2808419111998877E-2</v>
      </c>
      <c r="CF43" s="601">
        <f t="shared" ref="CF43:CK43" si="737">CF42/BY42-1</f>
        <v>0.15797101449275375</v>
      </c>
      <c r="CG43" s="601">
        <f t="shared" si="737"/>
        <v>8.4937350039989257E-2</v>
      </c>
      <c r="CH43" s="601">
        <f t="shared" si="737"/>
        <v>-0.18643996904866467</v>
      </c>
      <c r="CI43" s="965">
        <f t="shared" si="737"/>
        <v>-9.2456829627229453E-2</v>
      </c>
      <c r="CJ43" s="601">
        <f t="shared" si="737"/>
        <v>0.12166710840180239</v>
      </c>
      <c r="CK43" s="601">
        <f t="shared" si="737"/>
        <v>-0.12932788553050445</v>
      </c>
      <c r="CL43" s="1305">
        <f>CL42/CE42-1</f>
        <v>-3.3352926868817967E-2</v>
      </c>
      <c r="CM43" s="601">
        <f>CM42/CF42-1</f>
        <v>-0.33507793833200605</v>
      </c>
      <c r="CN43" s="601">
        <f>CN42/CG42-1</f>
        <v>0.20305435423628837</v>
      </c>
      <c r="CO43" s="601">
        <f>CO42/CH42-1</f>
        <v>6.056243894915414E-2</v>
      </c>
      <c r="CP43" s="965">
        <f t="shared" ref="CP43" si="738">CP42/CI42-1</f>
        <v>0.11749654115651831</v>
      </c>
      <c r="CQ43" s="601">
        <f>CQ42/CJ42-1</f>
        <v>-7.6340071596507686E-2</v>
      </c>
      <c r="CR43" s="601">
        <f t="shared" ref="CR43" si="739">CR42/CK42-1</f>
        <v>9.6625550079626032E-2</v>
      </c>
      <c r="CS43" s="1305">
        <f>CS42/CL42-1</f>
        <v>1.9880793868799929E-2</v>
      </c>
      <c r="CT43" s="601">
        <f>CT42/CM42-1</f>
        <v>0.42368240930869283</v>
      </c>
      <c r="CU43" s="601">
        <f>CU42/CN42-1</f>
        <v>0.2246346470041567</v>
      </c>
      <c r="CV43" s="601">
        <f>CV42/CO42-1</f>
        <v>0.25826506374521307</v>
      </c>
      <c r="CW43" s="965">
        <f t="shared" ref="CW43" si="740">CW42/CP42-1</f>
        <v>6.2356057883035998E-2</v>
      </c>
      <c r="CX43" s="601">
        <f>CX42/CQ42-1</f>
        <v>0.29902979681374275</v>
      </c>
      <c r="CY43" s="601">
        <f t="shared" ref="CY43" si="741">CY42/CR42-1</f>
        <v>0.13181095596133208</v>
      </c>
      <c r="CZ43" s="1305">
        <f>CZ42/CS42-1</f>
        <v>0.19900593406988798</v>
      </c>
      <c r="DA43" s="601">
        <f>DA42/CT42-1</f>
        <v>-5.5336538461538409E-2</v>
      </c>
      <c r="DB43" s="601">
        <f>DB42/CU42-1</f>
        <v>-0.12101071592377943</v>
      </c>
      <c r="DC43" s="601"/>
      <c r="DD43" s="965"/>
      <c r="DE43" s="601">
        <f>DE42/CX42-1</f>
        <v>-9.4109248455308658E-2</v>
      </c>
      <c r="DF43" s="601"/>
      <c r="DG43" s="952"/>
      <c r="DH43" s="780"/>
      <c r="DI43" s="601"/>
      <c r="DJ43" s="601"/>
      <c r="DK43" s="965"/>
      <c r="DL43" s="601"/>
      <c r="DM43" s="601"/>
      <c r="DN43" s="952"/>
      <c r="DO43" s="780"/>
      <c r="DP43" s="601"/>
      <c r="DQ43" s="601"/>
      <c r="DR43" s="965"/>
      <c r="DS43" s="601"/>
      <c r="DT43" s="601"/>
      <c r="DU43" s="952"/>
      <c r="DV43" s="780"/>
      <c r="DW43" s="601"/>
      <c r="DX43" s="601"/>
      <c r="DY43" s="965"/>
      <c r="DZ43" s="601"/>
      <c r="EA43" s="601"/>
      <c r="EB43" s="952"/>
      <c r="EC43" s="780"/>
      <c r="ED43" s="601"/>
      <c r="EE43" s="601"/>
      <c r="EF43" s="965"/>
      <c r="EG43" s="601"/>
      <c r="EH43" s="601"/>
      <c r="EI43" s="952"/>
      <c r="EJ43" s="193"/>
      <c r="EK43" s="193"/>
      <c r="EL43" s="193"/>
      <c r="EM43" s="193"/>
      <c r="EN43" s="193"/>
      <c r="EO43" s="193"/>
      <c r="EP43" s="193"/>
      <c r="EQ43" s="193"/>
      <c r="ER43" s="193"/>
      <c r="ES43" s="193"/>
      <c r="ET43" s="193"/>
      <c r="EU43" s="193"/>
      <c r="EV43" s="193"/>
      <c r="EW43" s="193"/>
      <c r="EX43" s="193"/>
      <c r="EY43" s="193"/>
      <c r="EZ43" s="193"/>
      <c r="FA43" s="193"/>
      <c r="FB43" s="193"/>
      <c r="FC43" s="193"/>
      <c r="FD43" s="193"/>
      <c r="FE43" s="193"/>
      <c r="FF43" s="193"/>
      <c r="FG43" s="193"/>
      <c r="FH43" s="193"/>
      <c r="FI43" s="193"/>
      <c r="FJ43" s="193"/>
      <c r="FK43" s="193"/>
      <c r="FL43" s="193"/>
      <c r="FM43" s="193"/>
      <c r="FN43" s="193"/>
      <c r="FO43" s="193"/>
      <c r="FP43" s="193"/>
      <c r="FQ43" s="193"/>
      <c r="FR43" s="193"/>
      <c r="FS43" s="193"/>
      <c r="FT43" s="193"/>
      <c r="FU43" s="193"/>
      <c r="FV43" s="193"/>
      <c r="FW43" s="193"/>
      <c r="FX43" s="193"/>
      <c r="FY43" s="193"/>
      <c r="FZ43" s="193"/>
      <c r="GA43" s="193"/>
      <c r="GB43" s="193"/>
      <c r="GC43" s="193"/>
      <c r="GD43" s="193"/>
      <c r="GE43" s="193"/>
    </row>
    <row r="44" spans="1:187" ht="10.5" customHeight="1">
      <c r="A44" s="108"/>
      <c r="B44" s="166"/>
      <c r="C44" s="166"/>
      <c r="D44" s="166"/>
      <c r="E44" s="770"/>
      <c r="F44" s="770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684"/>
      <c r="R44" s="54"/>
      <c r="S44" s="54"/>
      <c r="T44" s="555"/>
      <c r="U44" s="54"/>
      <c r="V44" s="54"/>
      <c r="W44" s="54"/>
      <c r="X44" s="684"/>
      <c r="Y44" s="54"/>
      <c r="Z44" s="54"/>
      <c r="AA44" s="555"/>
      <c r="AB44" s="54"/>
      <c r="AC44" s="54"/>
      <c r="AD44" s="54"/>
      <c r="AE44" s="684"/>
      <c r="AF44" s="54"/>
      <c r="AG44" s="54"/>
      <c r="AH44" s="555"/>
      <c r="AI44" s="54"/>
      <c r="AJ44" s="54"/>
      <c r="AK44" s="54"/>
      <c r="AL44" s="684"/>
      <c r="AM44" s="54"/>
      <c r="AN44" s="54"/>
      <c r="AO44" s="555"/>
      <c r="AP44" s="54"/>
      <c r="AQ44" s="54"/>
      <c r="AR44" s="54"/>
      <c r="AS44" s="684"/>
      <c r="AT44" s="54"/>
      <c r="AU44" s="54"/>
      <c r="AV44" s="555"/>
      <c r="AW44" s="54"/>
      <c r="AX44" s="54"/>
      <c r="AY44" s="54"/>
      <c r="AZ44" s="684"/>
      <c r="BA44" s="54"/>
      <c r="BB44" s="54"/>
      <c r="BC44" s="555"/>
      <c r="BD44" s="54"/>
      <c r="BE44" s="54"/>
      <c r="BF44" s="54"/>
      <c r="BG44" s="684"/>
      <c r="BH44" s="54"/>
      <c r="BI44" s="54"/>
      <c r="BJ44" s="555"/>
      <c r="BK44" s="54"/>
      <c r="BL44" s="54"/>
      <c r="BM44" s="54"/>
      <c r="BN44" s="684"/>
      <c r="BO44" s="54"/>
      <c r="BP44" s="54"/>
      <c r="BQ44" s="555"/>
      <c r="BR44" s="54"/>
      <c r="BS44" s="54"/>
      <c r="BT44" s="54"/>
      <c r="BU44" s="684"/>
      <c r="BV44" s="54"/>
      <c r="BW44" s="54"/>
      <c r="BX44" s="555"/>
      <c r="BY44" s="54"/>
      <c r="BZ44" s="54"/>
      <c r="CA44" s="54"/>
      <c r="CB44" s="684"/>
      <c r="CC44" s="54"/>
      <c r="CD44" s="54"/>
      <c r="CE44" s="555"/>
      <c r="CF44" s="54"/>
      <c r="CG44" s="54"/>
      <c r="CH44" s="54"/>
      <c r="CI44" s="684"/>
      <c r="CJ44" s="54"/>
      <c r="CK44" s="54"/>
      <c r="CL44" s="555"/>
      <c r="CM44" s="54"/>
      <c r="CN44" s="54"/>
      <c r="CO44" s="54"/>
      <c r="CP44" s="684"/>
      <c r="CQ44" s="54"/>
      <c r="CR44" s="54"/>
      <c r="CS44" s="555"/>
      <c r="CT44" s="54"/>
      <c r="CU44" s="54"/>
      <c r="CV44" s="54"/>
      <c r="CW44" s="684"/>
      <c r="CX44" s="54"/>
      <c r="CY44" s="54"/>
      <c r="CZ44" s="555"/>
      <c r="DA44" s="54"/>
      <c r="DB44" s="54"/>
      <c r="DC44" s="54"/>
      <c r="DD44" s="684"/>
      <c r="DE44" s="2034"/>
      <c r="DF44" s="54"/>
      <c r="DG44" s="555"/>
      <c r="DH44" s="54"/>
      <c r="DI44" s="54"/>
      <c r="DJ44" s="54"/>
      <c r="DK44" s="684"/>
      <c r="DL44" s="54"/>
      <c r="DM44" s="54"/>
      <c r="DN44" s="555"/>
      <c r="DO44" s="54"/>
      <c r="DP44" s="54"/>
      <c r="DQ44" s="54"/>
      <c r="DR44" s="684"/>
      <c r="DS44" s="54"/>
      <c r="DT44" s="54"/>
      <c r="DU44" s="555"/>
      <c r="DV44" s="54"/>
      <c r="DW44" s="54"/>
      <c r="DX44" s="54"/>
      <c r="DY44" s="684"/>
      <c r="DZ44" s="54"/>
      <c r="EA44" s="54"/>
      <c r="EB44" s="555"/>
      <c r="EC44" s="54"/>
      <c r="ED44" s="54"/>
      <c r="EE44" s="54"/>
      <c r="EF44" s="684"/>
      <c r="EG44" s="54"/>
      <c r="EH44" s="54"/>
      <c r="EI44" s="555"/>
      <c r="EJ44" s="108"/>
      <c r="EK44" s="108"/>
      <c r="EL44" s="108"/>
      <c r="EM44" s="108"/>
      <c r="EN44" s="108"/>
      <c r="EO44" s="108"/>
      <c r="EP44" s="108"/>
      <c r="EQ44" s="108"/>
      <c r="ER44" s="108"/>
      <c r="ES44" s="108"/>
      <c r="ET44" s="108"/>
      <c r="EU44" s="108"/>
      <c r="EV44" s="108"/>
      <c r="EW44" s="108"/>
      <c r="EX44" s="108"/>
      <c r="EY44" s="108"/>
      <c r="EZ44" s="108"/>
      <c r="FA44" s="108"/>
      <c r="FB44" s="108"/>
      <c r="FC44" s="108"/>
      <c r="FD44" s="108"/>
      <c r="FE44" s="108"/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108"/>
      <c r="FT44" s="108"/>
      <c r="FU44" s="108"/>
      <c r="FV44" s="108"/>
      <c r="FW44" s="108"/>
      <c r="FX44" s="108"/>
      <c r="FY44" s="108"/>
      <c r="FZ44" s="108"/>
      <c r="GA44" s="108"/>
      <c r="GB44" s="108"/>
      <c r="GC44" s="108"/>
      <c r="GD44" s="108"/>
      <c r="GE44" s="108"/>
    </row>
    <row r="45" spans="1:187" ht="10.5" customHeight="1">
      <c r="A45" s="201" t="s">
        <v>773</v>
      </c>
      <c r="B45" s="771"/>
      <c r="C45" s="771"/>
      <c r="D45" s="771"/>
      <c r="E45" s="772"/>
      <c r="F45" s="772"/>
      <c r="G45" s="773"/>
      <c r="H45" s="773"/>
      <c r="I45" s="773"/>
      <c r="J45" s="773"/>
      <c r="K45" s="773"/>
      <c r="L45" s="773"/>
      <c r="M45" s="773">
        <v>0.54</v>
      </c>
      <c r="N45" s="773">
        <v>0.55000000000000004</v>
      </c>
      <c r="O45" s="773">
        <f>O40/O24</f>
        <v>0.58342820181112531</v>
      </c>
      <c r="P45" s="773">
        <v>0.55000000000000004</v>
      </c>
      <c r="Q45" s="963">
        <f>Q40/Q24</f>
        <v>0.52612933025404174</v>
      </c>
      <c r="R45" s="773">
        <v>0.56999999999999995</v>
      </c>
      <c r="S45" s="773">
        <f>S40/S24</f>
        <v>0.53608133584702411</v>
      </c>
      <c r="T45" s="953">
        <v>0.55000000000000004</v>
      </c>
      <c r="U45" s="773">
        <v>0.54</v>
      </c>
      <c r="V45" s="773">
        <f>V40/V24</f>
        <v>0.50539839407041376</v>
      </c>
      <c r="W45" s="773">
        <v>0.53</v>
      </c>
      <c r="X45" s="963">
        <f>X40/X24</f>
        <v>0.51355565371024736</v>
      </c>
      <c r="Y45" s="773">
        <v>0.52</v>
      </c>
      <c r="Z45" s="773">
        <f>Z40/Z24</f>
        <v>0.52</v>
      </c>
      <c r="AA45" s="953">
        <v>0.52</v>
      </c>
      <c r="AB45" s="773">
        <v>0.47</v>
      </c>
      <c r="AC45" s="773">
        <f>AC40/AC24</f>
        <v>0.48771771771771777</v>
      </c>
      <c r="AD45" s="773">
        <v>0.48</v>
      </c>
      <c r="AE45" s="963">
        <f>AE40/AE24</f>
        <v>0.53743546339399073</v>
      </c>
      <c r="AF45" s="773">
        <v>0.48</v>
      </c>
      <c r="AG45" s="773">
        <f>AG40/AG24</f>
        <v>0.51538060479666314</v>
      </c>
      <c r="AH45" s="953">
        <v>0.5</v>
      </c>
      <c r="AI45" s="773">
        <v>0.45</v>
      </c>
      <c r="AJ45" s="773">
        <f>AJ40/AJ24</f>
        <v>0.48514715500326999</v>
      </c>
      <c r="AK45" s="773">
        <v>0.44</v>
      </c>
      <c r="AL45" s="963">
        <f>AL40/AL24</f>
        <v>0.37791983122362882</v>
      </c>
      <c r="AM45" s="773">
        <v>0.47</v>
      </c>
      <c r="AN45" s="773">
        <f>AN40/AN24</f>
        <v>0.40289281210592692</v>
      </c>
      <c r="AO45" s="953">
        <v>0.43</v>
      </c>
      <c r="AP45" s="773">
        <v>0.52</v>
      </c>
      <c r="AQ45" s="773">
        <f>AQ40/AQ24</f>
        <v>0.34079754601226986</v>
      </c>
      <c r="AR45" s="773">
        <v>0.5</v>
      </c>
      <c r="AS45" s="963">
        <f>AS40/AS24</f>
        <v>0.64460717749757535</v>
      </c>
      <c r="AT45" s="773">
        <v>0.42</v>
      </c>
      <c r="AU45" s="773">
        <f>AU40/AU24</f>
        <v>0.58449419098894884</v>
      </c>
      <c r="AV45" s="953">
        <v>0.51</v>
      </c>
      <c r="AW45" s="773">
        <v>0.51</v>
      </c>
      <c r="AX45" s="773">
        <f>AX40/AX24</f>
        <v>0.47653118430273295</v>
      </c>
      <c r="AY45" s="773">
        <v>0.53</v>
      </c>
      <c r="AZ45" s="963">
        <f>AZ40/AZ24</f>
        <v>0.51937127122533289</v>
      </c>
      <c r="BA45" s="773">
        <v>0.49</v>
      </c>
      <c r="BB45" s="773">
        <f>BB40/BB24</f>
        <v>0.52346869712351951</v>
      </c>
      <c r="BC45" s="953">
        <v>0.51</v>
      </c>
      <c r="BD45" s="773">
        <v>0.51</v>
      </c>
      <c r="BE45" s="773">
        <f>BE40/BE24</f>
        <v>0.54476539589442818</v>
      </c>
      <c r="BF45" s="773">
        <v>0.51</v>
      </c>
      <c r="BG45" s="963">
        <f>BG40/BG24</f>
        <v>0.33229193899782133</v>
      </c>
      <c r="BH45" s="773">
        <v>0.53</v>
      </c>
      <c r="BI45" s="773">
        <f>BI40/BI24</f>
        <v>0.39783278327832783</v>
      </c>
      <c r="BJ45" s="953">
        <v>0.45</v>
      </c>
      <c r="BK45" s="773">
        <v>0.48</v>
      </c>
      <c r="BL45" s="773">
        <f>BL40/BL24</f>
        <v>0.43874447391688781</v>
      </c>
      <c r="BM45" s="773">
        <v>0.46</v>
      </c>
      <c r="BN45" s="963">
        <f>BN40/BN24</f>
        <v>0.34106925418569245</v>
      </c>
      <c r="BO45" s="773">
        <v>0.46</v>
      </c>
      <c r="BP45" s="773">
        <f>BP40/BP24</f>
        <v>0.38022715671260843</v>
      </c>
      <c r="BQ45" s="953">
        <v>0.41</v>
      </c>
      <c r="BR45" s="773">
        <v>0.37</v>
      </c>
      <c r="BS45" s="773">
        <f>BS40/BS24</f>
        <v>0.51645024700070563</v>
      </c>
      <c r="BT45" s="773">
        <v>0.47</v>
      </c>
      <c r="BU45" s="963">
        <f>BU40/BU24</f>
        <v>0.40954890387858356</v>
      </c>
      <c r="BV45" s="773">
        <v>0.45</v>
      </c>
      <c r="BW45" s="773">
        <f>BW40/BW24</f>
        <v>0.43337420178799491</v>
      </c>
      <c r="BX45" s="953">
        <v>0.44</v>
      </c>
      <c r="BY45" s="773">
        <v>0.4</v>
      </c>
      <c r="BZ45" s="773">
        <f>BZ40/BZ24</f>
        <v>0.49276538201487491</v>
      </c>
      <c r="CA45" s="773">
        <v>0.46</v>
      </c>
      <c r="CB45" s="963">
        <f>CB40/CB24</f>
        <v>0.41518357678641921</v>
      </c>
      <c r="CC45" s="773">
        <v>0.45</v>
      </c>
      <c r="CD45" s="773">
        <f>CD40/CD24</f>
        <v>0.4336245353159851</v>
      </c>
      <c r="CE45" s="953">
        <v>0.44</v>
      </c>
      <c r="CF45" s="773">
        <v>0.45</v>
      </c>
      <c r="CG45" s="773">
        <f>CG40/CG24</f>
        <v>0.49002506265664147</v>
      </c>
      <c r="CH45" s="773">
        <v>0.47</v>
      </c>
      <c r="CI45" s="963">
        <f>CI40/CI24</f>
        <v>0.49742803738317753</v>
      </c>
      <c r="CJ45" s="773">
        <v>0.47</v>
      </c>
      <c r="CK45" s="773">
        <f>CK40/CK24</f>
        <v>0.48770938933140234</v>
      </c>
      <c r="CL45" s="953">
        <v>0.48</v>
      </c>
      <c r="CM45" s="773">
        <v>0.6</v>
      </c>
      <c r="CN45" s="773">
        <f>CN40/CN24</f>
        <v>0.43399421965317925</v>
      </c>
      <c r="CO45" s="773">
        <v>0.51</v>
      </c>
      <c r="CP45" s="963">
        <f>CP40/CP24</f>
        <v>0.5099999999999999</v>
      </c>
      <c r="CQ45" s="773">
        <v>0.51</v>
      </c>
      <c r="CR45" s="773">
        <f>CR40/CR24</f>
        <v>0.51</v>
      </c>
      <c r="CS45" s="953">
        <v>0.51</v>
      </c>
      <c r="CT45" s="773">
        <v>0.48</v>
      </c>
      <c r="CU45" s="773">
        <f>CU40/CU24</f>
        <v>0.42706641184902061</v>
      </c>
      <c r="CV45" s="773">
        <v>0.47</v>
      </c>
      <c r="CW45" s="963">
        <f>CW40/CW24</f>
        <v>0.51927108433734914</v>
      </c>
      <c r="CX45" s="1823">
        <v>0.45</v>
      </c>
      <c r="CY45" s="773">
        <f>CY40/CY24</f>
        <v>0.50098692934267841</v>
      </c>
      <c r="CZ45" s="953">
        <v>0.48</v>
      </c>
      <c r="DA45" s="773">
        <v>0.51</v>
      </c>
      <c r="DB45" s="773">
        <f>DB40/DB24</f>
        <v>0.49227360308285167</v>
      </c>
      <c r="DC45" s="773"/>
      <c r="DD45" s="963"/>
      <c r="DE45" s="2035">
        <v>0.5</v>
      </c>
      <c r="DF45" s="773"/>
      <c r="DG45" s="953"/>
      <c r="DH45" s="773"/>
      <c r="DI45" s="773"/>
      <c r="DJ45" s="773"/>
      <c r="DK45" s="963"/>
      <c r="DL45" s="773"/>
      <c r="DM45" s="773"/>
      <c r="DN45" s="953"/>
      <c r="DO45" s="773"/>
      <c r="DP45" s="773"/>
      <c r="DQ45" s="773"/>
      <c r="DR45" s="963"/>
      <c r="DS45" s="773"/>
      <c r="DT45" s="773"/>
      <c r="DU45" s="953"/>
      <c r="DV45" s="773"/>
      <c r="DW45" s="773"/>
      <c r="DX45" s="773"/>
      <c r="DY45" s="963"/>
      <c r="DZ45" s="773"/>
      <c r="EA45" s="773"/>
      <c r="EB45" s="953"/>
      <c r="EC45" s="773"/>
      <c r="ED45" s="773"/>
      <c r="EE45" s="773"/>
      <c r="EF45" s="963"/>
      <c r="EG45" s="773"/>
      <c r="EH45" s="773"/>
      <c r="EI45" s="953"/>
      <c r="EJ45" s="201"/>
      <c r="EK45" s="201"/>
      <c r="EL45" s="201"/>
      <c r="EM45" s="201"/>
      <c r="EN45" s="201"/>
      <c r="EO45" s="201"/>
      <c r="EP45" s="201"/>
      <c r="EQ45" s="201"/>
      <c r="ER45" s="201"/>
      <c r="ES45" s="201"/>
      <c r="ET45" s="201"/>
      <c r="EU45" s="201"/>
      <c r="EV45" s="201"/>
      <c r="EW45" s="201"/>
      <c r="EX45" s="201"/>
      <c r="EY45" s="201"/>
      <c r="EZ45" s="201"/>
      <c r="FA45" s="201"/>
      <c r="FB45" s="201"/>
      <c r="FC45" s="201"/>
      <c r="FD45" s="201"/>
      <c r="FE45" s="201"/>
      <c r="FF45" s="201"/>
      <c r="FG45" s="201"/>
      <c r="FH45" s="201"/>
      <c r="FI45" s="201"/>
      <c r="FJ45" s="201"/>
      <c r="FK45" s="201"/>
      <c r="FL45" s="201"/>
      <c r="FM45" s="201"/>
      <c r="FN45" s="201"/>
      <c r="FO45" s="201"/>
      <c r="FP45" s="201"/>
      <c r="FQ45" s="201"/>
      <c r="FR45" s="201"/>
      <c r="FS45" s="201"/>
      <c r="FT45" s="201"/>
      <c r="FU45" s="201"/>
      <c r="FV45" s="201"/>
      <c r="FW45" s="201"/>
      <c r="FX45" s="201"/>
      <c r="FY45" s="201"/>
      <c r="FZ45" s="201"/>
      <c r="GA45" s="201"/>
      <c r="GB45" s="201"/>
      <c r="GC45" s="201"/>
      <c r="GD45" s="201"/>
      <c r="GE45" s="201"/>
    </row>
    <row r="46" spans="1:187" ht="10.5" customHeight="1">
      <c r="A46" s="201" t="s">
        <v>774</v>
      </c>
      <c r="B46" s="771"/>
      <c r="C46" s="771"/>
      <c r="D46" s="771"/>
      <c r="E46" s="772"/>
      <c r="F46" s="772"/>
      <c r="G46" s="773"/>
      <c r="H46" s="773"/>
      <c r="I46" s="773"/>
      <c r="J46" s="773"/>
      <c r="K46" s="773"/>
      <c r="L46" s="773"/>
      <c r="M46" s="773">
        <v>0.46</v>
      </c>
      <c r="N46" s="773">
        <f>1-N45</f>
        <v>0.44999999999999996</v>
      </c>
      <c r="O46" s="773">
        <f>1-O45</f>
        <v>0.41657179818887469</v>
      </c>
      <c r="P46" s="773">
        <f>1-P45</f>
        <v>0.44999999999999996</v>
      </c>
      <c r="Q46" s="963">
        <f>Q42/Q24</f>
        <v>0.47387066974595848</v>
      </c>
      <c r="R46" s="773">
        <f>1-R45</f>
        <v>0.43000000000000005</v>
      </c>
      <c r="S46" s="773">
        <f>S42/S24</f>
        <v>0.463918664152976</v>
      </c>
      <c r="T46" s="953">
        <v>0.45</v>
      </c>
      <c r="U46" s="773">
        <f>1-U45</f>
        <v>0.45999999999999996</v>
      </c>
      <c r="V46" s="773">
        <f>1-V45</f>
        <v>0.49460160592958624</v>
      </c>
      <c r="W46" s="773">
        <f>1-W45</f>
        <v>0.47</v>
      </c>
      <c r="X46" s="963">
        <f>X42/X24</f>
        <v>0.48644434628975264</v>
      </c>
      <c r="Y46" s="773">
        <f>1-Y45</f>
        <v>0.48</v>
      </c>
      <c r="Z46" s="773">
        <f>Z42/Z24</f>
        <v>0.48</v>
      </c>
      <c r="AA46" s="953">
        <v>0.48</v>
      </c>
      <c r="AB46" s="773">
        <f>1-AB45</f>
        <v>0.53</v>
      </c>
      <c r="AC46" s="773">
        <f>1-AC45</f>
        <v>0.51228228228228223</v>
      </c>
      <c r="AD46" s="773">
        <f>1-AD45</f>
        <v>0.52</v>
      </c>
      <c r="AE46" s="963">
        <f>AE42/AE24</f>
        <v>0.46256453660600927</v>
      </c>
      <c r="AF46" s="773">
        <f>1-AF45</f>
        <v>0.52</v>
      </c>
      <c r="AG46" s="773">
        <f>AG42/AG24</f>
        <v>0.4846193952033368</v>
      </c>
      <c r="AH46" s="953">
        <v>0.5</v>
      </c>
      <c r="AI46" s="773">
        <f>1-AI45</f>
        <v>0.55000000000000004</v>
      </c>
      <c r="AJ46" s="773">
        <f>1-AJ45</f>
        <v>0.51485284499673001</v>
      </c>
      <c r="AK46" s="773">
        <f>1-AK45</f>
        <v>0.56000000000000005</v>
      </c>
      <c r="AL46" s="963">
        <f>AL42/AL24</f>
        <v>0.62208016877637118</v>
      </c>
      <c r="AM46" s="773">
        <f>1-AM45</f>
        <v>0.53</v>
      </c>
      <c r="AN46" s="773">
        <f>AN42/AN24</f>
        <v>0.59710718789407302</v>
      </c>
      <c r="AO46" s="953">
        <v>0.56999999999999995</v>
      </c>
      <c r="AP46" s="773">
        <f>1-AP45</f>
        <v>0.48</v>
      </c>
      <c r="AQ46" s="773">
        <f>1-AQ45</f>
        <v>0.65920245398773014</v>
      </c>
      <c r="AR46" s="773">
        <f>1-AR45</f>
        <v>0.5</v>
      </c>
      <c r="AS46" s="963">
        <f>AS42/AS24</f>
        <v>0.35539282250242471</v>
      </c>
      <c r="AT46" s="773">
        <f>1-AT45</f>
        <v>0.58000000000000007</v>
      </c>
      <c r="AU46" s="773">
        <f>AU42/AU24</f>
        <v>0.41550580901105122</v>
      </c>
      <c r="AV46" s="953">
        <v>0.49</v>
      </c>
      <c r="AW46" s="773">
        <f>1-AW45</f>
        <v>0.49</v>
      </c>
      <c r="AX46" s="773">
        <f>1-AX45</f>
        <v>0.52346881569726711</v>
      </c>
      <c r="AY46" s="773">
        <f>1-AY45</f>
        <v>0.47</v>
      </c>
      <c r="AZ46" s="963">
        <f>AZ42/AZ24</f>
        <v>0.48062872877466717</v>
      </c>
      <c r="BA46" s="773">
        <f>1-BA45</f>
        <v>0.51</v>
      </c>
      <c r="BB46" s="773">
        <f>BB42/BB24</f>
        <v>0.47653130287648049</v>
      </c>
      <c r="BC46" s="953">
        <v>0.49</v>
      </c>
      <c r="BD46" s="773">
        <f>1-BD45</f>
        <v>0.49</v>
      </c>
      <c r="BE46" s="773">
        <f>1-BE45</f>
        <v>0.45523460410557182</v>
      </c>
      <c r="BF46" s="773">
        <f>1-BF45</f>
        <v>0.49</v>
      </c>
      <c r="BG46" s="963">
        <f>BG42/BG24</f>
        <v>0.66770806100217883</v>
      </c>
      <c r="BH46" s="773">
        <f>1-BH45</f>
        <v>0.47</v>
      </c>
      <c r="BI46" s="773">
        <f>BI42/BI24</f>
        <v>0.60216721672167228</v>
      </c>
      <c r="BJ46" s="953">
        <v>0.55000000000000004</v>
      </c>
      <c r="BK46" s="773">
        <f>1-BK45</f>
        <v>0.52</v>
      </c>
      <c r="BL46" s="773">
        <f>1-BL45</f>
        <v>0.56125552608311224</v>
      </c>
      <c r="BM46" s="773">
        <f>1-BM45</f>
        <v>0.54</v>
      </c>
      <c r="BN46" s="963">
        <f>BN42/BN24</f>
        <v>0.65893074581430733</v>
      </c>
      <c r="BO46" s="773">
        <f>1-BO45</f>
        <v>0.54</v>
      </c>
      <c r="BP46" s="773">
        <f>BP42/BP24</f>
        <v>0.61977284328739135</v>
      </c>
      <c r="BQ46" s="953">
        <v>0.59</v>
      </c>
      <c r="BR46" s="773">
        <f>1-BR45</f>
        <v>0.63</v>
      </c>
      <c r="BS46" s="773">
        <f>1-BS45</f>
        <v>0.48354975299929437</v>
      </c>
      <c r="BT46" s="773">
        <f>1-BT45</f>
        <v>0.53</v>
      </c>
      <c r="BU46" s="963">
        <f>BU42/BU24</f>
        <v>0.59045109612141655</v>
      </c>
      <c r="BV46" s="773">
        <f>1-BV45</f>
        <v>0.55000000000000004</v>
      </c>
      <c r="BW46" s="773">
        <f>BW42/BW24</f>
        <v>0.56662579821200509</v>
      </c>
      <c r="BX46" s="953">
        <v>0.56000000000000005</v>
      </c>
      <c r="BY46" s="773">
        <f>1-BY45</f>
        <v>0.6</v>
      </c>
      <c r="BZ46" s="773">
        <f>1-BZ45</f>
        <v>0.50723461798512504</v>
      </c>
      <c r="CA46" s="773">
        <f>1-CA45</f>
        <v>0.54</v>
      </c>
      <c r="CB46" s="963">
        <f>CB42/CB24</f>
        <v>0.58481642321358074</v>
      </c>
      <c r="CC46" s="773">
        <f>1-CC45</f>
        <v>0.55000000000000004</v>
      </c>
      <c r="CD46" s="773">
        <f>CD42/CD24</f>
        <v>0.5663754646840149</v>
      </c>
      <c r="CE46" s="953">
        <v>0.56000000000000005</v>
      </c>
      <c r="CF46" s="773">
        <f>1-CF45</f>
        <v>0.55000000000000004</v>
      </c>
      <c r="CG46" s="773">
        <f>1-CG45</f>
        <v>0.50997493734335853</v>
      </c>
      <c r="CH46" s="773">
        <f>1-CH45</f>
        <v>0.53</v>
      </c>
      <c r="CI46" s="963">
        <f>CI42/CI24</f>
        <v>0.50257196261682247</v>
      </c>
      <c r="CJ46" s="773">
        <f>1-CJ45</f>
        <v>0.53</v>
      </c>
      <c r="CK46" s="773">
        <f>CK42/CK24</f>
        <v>0.5122906106685976</v>
      </c>
      <c r="CL46" s="953">
        <v>0.52</v>
      </c>
      <c r="CM46" s="773">
        <f>1-CM45</f>
        <v>0.4</v>
      </c>
      <c r="CN46" s="773">
        <f>1-CN45</f>
        <v>0.56600578034682081</v>
      </c>
      <c r="CO46" s="773">
        <f>1-CO45</f>
        <v>0.49</v>
      </c>
      <c r="CP46" s="963">
        <f>CP42/CP24</f>
        <v>0.49000000000000005</v>
      </c>
      <c r="CQ46" s="773">
        <f>1-CQ45</f>
        <v>0.49</v>
      </c>
      <c r="CR46" s="773">
        <f>CR42/CR24</f>
        <v>0.49</v>
      </c>
      <c r="CS46" s="953">
        <f>1-CS45</f>
        <v>0.49</v>
      </c>
      <c r="CT46" s="773">
        <f>1-CT45</f>
        <v>0.52</v>
      </c>
      <c r="CU46" s="773">
        <f>1-CU45</f>
        <v>0.57293358815097939</v>
      </c>
      <c r="CV46" s="773">
        <f>1-CV45</f>
        <v>0.53</v>
      </c>
      <c r="CW46" s="963">
        <f>CW42/CW24</f>
        <v>0.48072891566265075</v>
      </c>
      <c r="CX46" s="773">
        <f>1-CX45</f>
        <v>0.55000000000000004</v>
      </c>
      <c r="CY46" s="773">
        <f>CY42/CY24</f>
        <v>0.49901307065732153</v>
      </c>
      <c r="CZ46" s="953">
        <f>1-CZ45</f>
        <v>0.52</v>
      </c>
      <c r="DA46" s="773">
        <f>1-DA45</f>
        <v>0.49</v>
      </c>
      <c r="DB46" s="773">
        <f>1-DB45</f>
        <v>0.50772639691714838</v>
      </c>
      <c r="DC46" s="773"/>
      <c r="DD46" s="963"/>
      <c r="DE46" s="2035">
        <v>0.5</v>
      </c>
      <c r="DF46" s="773"/>
      <c r="DG46" s="953"/>
      <c r="DH46" s="773"/>
      <c r="DI46" s="773"/>
      <c r="DJ46" s="773"/>
      <c r="DK46" s="963"/>
      <c r="DL46" s="773"/>
      <c r="DM46" s="773"/>
      <c r="DN46" s="953"/>
      <c r="DO46" s="773"/>
      <c r="DP46" s="773"/>
      <c r="DQ46" s="773"/>
      <c r="DR46" s="963"/>
      <c r="DS46" s="773"/>
      <c r="DT46" s="773"/>
      <c r="DU46" s="953"/>
      <c r="DV46" s="773"/>
      <c r="DW46" s="773"/>
      <c r="DX46" s="773"/>
      <c r="DY46" s="963"/>
      <c r="DZ46" s="773"/>
      <c r="EA46" s="773"/>
      <c r="EB46" s="953"/>
      <c r="EC46" s="773"/>
      <c r="ED46" s="773"/>
      <c r="EE46" s="773"/>
      <c r="EF46" s="963"/>
      <c r="EG46" s="773"/>
      <c r="EH46" s="773"/>
      <c r="EI46" s="953"/>
      <c r="EJ46" s="201"/>
      <c r="EK46" s="201"/>
      <c r="EL46" s="201"/>
      <c r="EM46" s="201"/>
      <c r="EN46" s="201"/>
      <c r="EO46" s="201"/>
      <c r="EP46" s="201"/>
      <c r="EQ46" s="201"/>
      <c r="ER46" s="201"/>
      <c r="ES46" s="201"/>
      <c r="ET46" s="201"/>
      <c r="EU46" s="201"/>
      <c r="EV46" s="201"/>
      <c r="EW46" s="201"/>
      <c r="EX46" s="201"/>
      <c r="EY46" s="201"/>
      <c r="EZ46" s="201"/>
      <c r="FA46" s="201"/>
      <c r="FB46" s="201"/>
      <c r="FC46" s="201"/>
      <c r="FD46" s="201"/>
      <c r="FE46" s="201"/>
      <c r="FF46" s="201"/>
      <c r="FG46" s="201"/>
      <c r="FH46" s="201"/>
      <c r="FI46" s="201"/>
      <c r="FJ46" s="201"/>
      <c r="FK46" s="201"/>
      <c r="FL46" s="201"/>
      <c r="FM46" s="201"/>
      <c r="FN46" s="201"/>
      <c r="FO46" s="201"/>
      <c r="FP46" s="201"/>
      <c r="FQ46" s="201"/>
      <c r="FR46" s="201"/>
      <c r="FS46" s="201"/>
      <c r="FT46" s="201"/>
      <c r="FU46" s="201"/>
      <c r="FV46" s="201"/>
      <c r="FW46" s="201"/>
      <c r="FX46" s="201"/>
      <c r="FY46" s="201"/>
      <c r="FZ46" s="201"/>
      <c r="GA46" s="201"/>
      <c r="GB46" s="201"/>
      <c r="GC46" s="201"/>
      <c r="GD46" s="201"/>
      <c r="GE46" s="201"/>
    </row>
    <row r="47" spans="1:187" ht="10.5" customHeight="1">
      <c r="A47" s="108"/>
      <c r="B47" s="166"/>
      <c r="C47" s="166"/>
      <c r="D47" s="166"/>
      <c r="E47" s="770"/>
      <c r="F47" s="770"/>
      <c r="G47" s="54"/>
      <c r="H47" s="54"/>
      <c r="I47" s="54"/>
      <c r="J47" s="54"/>
      <c r="K47" s="54"/>
      <c r="L47" s="54"/>
      <c r="M47" s="54"/>
      <c r="N47" s="54"/>
      <c r="O47" s="58"/>
      <c r="P47" s="1009"/>
      <c r="Q47" s="991"/>
      <c r="R47" s="54"/>
      <c r="S47" s="54"/>
      <c r="T47" s="555"/>
      <c r="U47" s="54"/>
      <c r="V47" s="58"/>
      <c r="W47" s="1009"/>
      <c r="X47" s="991"/>
      <c r="Y47" s="54"/>
      <c r="Z47" s="54"/>
      <c r="AA47" s="555"/>
      <c r="AB47" s="54"/>
      <c r="AC47" s="58"/>
      <c r="AD47" s="1009"/>
      <c r="AE47" s="991"/>
      <c r="AF47" s="54"/>
      <c r="AG47" s="54"/>
      <c r="AH47" s="555"/>
      <c r="AI47" s="54"/>
      <c r="AJ47" s="58"/>
      <c r="AK47" s="1009"/>
      <c r="AL47" s="991"/>
      <c r="AM47" s="54"/>
      <c r="AN47" s="54"/>
      <c r="AO47" s="555"/>
      <c r="AP47" s="54"/>
      <c r="AQ47" s="58"/>
      <c r="AR47" s="1009"/>
      <c r="AS47" s="991"/>
      <c r="AT47" s="54"/>
      <c r="AU47" s="54"/>
      <c r="AV47" s="555"/>
      <c r="AW47" s="54"/>
      <c r="AX47" s="58"/>
      <c r="AY47" s="1009"/>
      <c r="AZ47" s="991"/>
      <c r="BA47" s="54"/>
      <c r="BB47" s="54"/>
      <c r="BC47" s="555"/>
      <c r="BD47" s="54"/>
      <c r="BE47" s="58"/>
      <c r="BF47" s="1009"/>
      <c r="BG47" s="991"/>
      <c r="BH47" s="54"/>
      <c r="BI47" s="54"/>
      <c r="BJ47" s="555"/>
      <c r="BK47" s="54"/>
      <c r="BL47" s="58"/>
      <c r="BM47" s="1009"/>
      <c r="BN47" s="991"/>
      <c r="BO47" s="54"/>
      <c r="BP47" s="54"/>
      <c r="BQ47" s="555"/>
      <c r="BR47" s="54"/>
      <c r="BS47" s="58"/>
      <c r="BT47" s="1009"/>
      <c r="BU47" s="991"/>
      <c r="BV47" s="54"/>
      <c r="BW47" s="54"/>
      <c r="BX47" s="555"/>
      <c r="BY47" s="54"/>
      <c r="BZ47" s="58"/>
      <c r="CA47" s="1009"/>
      <c r="CB47" s="991"/>
      <c r="CC47" s="54"/>
      <c r="CD47" s="54"/>
      <c r="CE47" s="555"/>
      <c r="CF47" s="54"/>
      <c r="CG47" s="58"/>
      <c r="CH47" s="1009"/>
      <c r="CI47" s="991"/>
      <c r="CJ47" s="54"/>
      <c r="CK47" s="54"/>
      <c r="CL47" s="555"/>
      <c r="CM47" s="54"/>
      <c r="CN47" s="58"/>
      <c r="CO47" s="58"/>
      <c r="CP47" s="991"/>
      <c r="CQ47" s="54"/>
      <c r="CR47" s="54"/>
      <c r="CS47" s="555"/>
      <c r="CT47" s="54"/>
      <c r="CU47" s="58"/>
      <c r="CV47" s="58"/>
      <c r="CW47" s="991"/>
      <c r="CX47" s="54"/>
      <c r="CY47" s="54"/>
      <c r="CZ47" s="555"/>
      <c r="DA47" s="54"/>
      <c r="DB47" s="58"/>
      <c r="DC47" s="58"/>
      <c r="DD47" s="991"/>
      <c r="DE47" s="2034"/>
      <c r="DF47" s="54"/>
      <c r="DG47" s="555"/>
      <c r="DH47" s="54"/>
      <c r="DI47" s="58"/>
      <c r="DJ47" s="58"/>
      <c r="DK47" s="991"/>
      <c r="DL47" s="54"/>
      <c r="DM47" s="54"/>
      <c r="DN47" s="555"/>
      <c r="DO47" s="54"/>
      <c r="DP47" s="58"/>
      <c r="DQ47" s="58"/>
      <c r="DR47" s="991"/>
      <c r="DS47" s="54"/>
      <c r="DT47" s="54"/>
      <c r="DU47" s="555"/>
      <c r="DV47" s="54"/>
      <c r="DW47" s="58"/>
      <c r="DX47" s="58"/>
      <c r="DY47" s="991"/>
      <c r="DZ47" s="54"/>
      <c r="EA47" s="54"/>
      <c r="EB47" s="555"/>
      <c r="EC47" s="54"/>
      <c r="ED47" s="58"/>
      <c r="EE47" s="58"/>
      <c r="EF47" s="991"/>
      <c r="EG47" s="54"/>
      <c r="EH47" s="54"/>
      <c r="EI47" s="555"/>
      <c r="EJ47" s="299"/>
      <c r="EK47" s="299"/>
      <c r="EL47" s="299"/>
      <c r="EM47" s="108"/>
      <c r="EN47" s="108"/>
      <c r="EO47" s="108"/>
      <c r="EP47" s="299"/>
      <c r="EQ47" s="299"/>
      <c r="ER47" s="299"/>
      <c r="ES47" s="299"/>
      <c r="ET47" s="299"/>
      <c r="EU47" s="299"/>
      <c r="EV47" s="299"/>
      <c r="EW47" s="299"/>
      <c r="EX47" s="299"/>
      <c r="EY47" s="299"/>
      <c r="EZ47" s="299"/>
      <c r="FA47" s="299"/>
      <c r="FB47" s="299"/>
      <c r="FC47" s="299"/>
      <c r="FD47" s="299"/>
      <c r="FE47" s="299"/>
      <c r="FF47" s="299"/>
      <c r="FG47" s="299"/>
      <c r="FH47" s="299"/>
      <c r="FI47" s="299"/>
      <c r="FJ47" s="299"/>
      <c r="FK47" s="299"/>
      <c r="FL47" s="299"/>
      <c r="FM47" s="299"/>
      <c r="FN47" s="299"/>
      <c r="FO47" s="299"/>
      <c r="FP47" s="299"/>
      <c r="FQ47" s="299"/>
      <c r="FR47" s="299"/>
      <c r="FS47" s="299"/>
      <c r="FT47" s="299"/>
      <c r="FU47" s="299"/>
      <c r="FV47" s="299"/>
      <c r="FW47" s="299"/>
      <c r="FX47" s="299"/>
      <c r="FY47" s="299"/>
      <c r="FZ47" s="299"/>
      <c r="GA47" s="299"/>
      <c r="GB47" s="299"/>
      <c r="GC47" s="299"/>
      <c r="GD47" s="299"/>
      <c r="GE47" s="299"/>
    </row>
    <row r="48" spans="1:187" ht="10.5" customHeight="1">
      <c r="A48" s="178" t="s">
        <v>746</v>
      </c>
      <c r="B48" s="179"/>
      <c r="C48" s="179"/>
      <c r="D48" s="179"/>
      <c r="E48" s="180"/>
      <c r="F48" s="180"/>
      <c r="G48" s="181"/>
      <c r="H48" s="181"/>
      <c r="I48" s="181"/>
      <c r="J48" s="182"/>
      <c r="K48" s="181"/>
      <c r="L48" s="181"/>
      <c r="M48" s="181"/>
      <c r="N48" s="181"/>
      <c r="O48" s="181"/>
      <c r="P48" s="181"/>
      <c r="Q48" s="960"/>
      <c r="R48" s="181"/>
      <c r="S48" s="181"/>
      <c r="T48" s="947"/>
      <c r="U48" s="181"/>
      <c r="V48" s="181"/>
      <c r="W48" s="181"/>
      <c r="X48" s="960"/>
      <c r="Y48" s="181"/>
      <c r="Z48" s="181"/>
      <c r="AA48" s="947"/>
      <c r="AB48" s="181"/>
      <c r="AC48" s="181"/>
      <c r="AD48" s="181"/>
      <c r="AE48" s="960"/>
      <c r="AF48" s="181"/>
      <c r="AG48" s="181"/>
      <c r="AH48" s="947"/>
      <c r="AI48" s="181"/>
      <c r="AJ48" s="181"/>
      <c r="AK48" s="181"/>
      <c r="AL48" s="960"/>
      <c r="AM48" s="181"/>
      <c r="AN48" s="181"/>
      <c r="AO48" s="947"/>
      <c r="AP48" s="181"/>
      <c r="AQ48" s="181"/>
      <c r="AR48" s="181"/>
      <c r="AS48" s="960"/>
      <c r="AT48" s="181"/>
      <c r="AU48" s="181"/>
      <c r="AV48" s="947"/>
      <c r="AW48" s="181"/>
      <c r="AX48" s="181"/>
      <c r="AY48" s="181"/>
      <c r="AZ48" s="960"/>
      <c r="BA48" s="181"/>
      <c r="BB48" s="181"/>
      <c r="BC48" s="947"/>
      <c r="BD48" s="181"/>
      <c r="BE48" s="181"/>
      <c r="BF48" s="181"/>
      <c r="BG48" s="960"/>
      <c r="BH48" s="181"/>
      <c r="BI48" s="181"/>
      <c r="BJ48" s="947"/>
      <c r="BK48" s="181"/>
      <c r="BL48" s="181"/>
      <c r="BM48" s="181"/>
      <c r="BN48" s="960"/>
      <c r="BO48" s="181"/>
      <c r="BP48" s="181"/>
      <c r="BQ48" s="947"/>
      <c r="BR48" s="181"/>
      <c r="BS48" s="181"/>
      <c r="BT48" s="181"/>
      <c r="BU48" s="960"/>
      <c r="BV48" s="181"/>
      <c r="BW48" s="181"/>
      <c r="BX48" s="947"/>
      <c r="BY48" s="181"/>
      <c r="BZ48" s="181"/>
      <c r="CA48" s="181"/>
      <c r="CB48" s="960"/>
      <c r="CC48" s="181"/>
      <c r="CD48" s="181"/>
      <c r="CE48" s="947"/>
      <c r="CF48" s="181"/>
      <c r="CG48" s="181"/>
      <c r="CH48" s="181"/>
      <c r="CI48" s="960"/>
      <c r="CJ48" s="181"/>
      <c r="CK48" s="181"/>
      <c r="CL48" s="947"/>
      <c r="CM48" s="181"/>
      <c r="CN48" s="181"/>
      <c r="CO48" s="181"/>
      <c r="CP48" s="960"/>
      <c r="CQ48" s="181"/>
      <c r="CR48" s="181"/>
      <c r="CS48" s="947"/>
      <c r="CT48" s="181"/>
      <c r="CU48" s="181"/>
      <c r="CV48" s="181"/>
      <c r="CW48" s="960"/>
      <c r="CX48" s="181"/>
      <c r="CY48" s="181"/>
      <c r="CZ48" s="947"/>
      <c r="DA48" s="181"/>
      <c r="DB48" s="181"/>
      <c r="DC48" s="181"/>
      <c r="DD48" s="960"/>
      <c r="DE48" s="181"/>
      <c r="DF48" s="181"/>
      <c r="DG48" s="947"/>
      <c r="DH48" s="181"/>
      <c r="DI48" s="181"/>
      <c r="DJ48" s="181"/>
      <c r="DK48" s="960"/>
      <c r="DL48" s="181"/>
      <c r="DM48" s="181"/>
      <c r="DN48" s="947"/>
      <c r="DO48" s="181"/>
      <c r="DP48" s="181"/>
      <c r="DQ48" s="181"/>
      <c r="DR48" s="960"/>
      <c r="DS48" s="181"/>
      <c r="DT48" s="181"/>
      <c r="DU48" s="947"/>
      <c r="DV48" s="181"/>
      <c r="DW48" s="181"/>
      <c r="DX48" s="181"/>
      <c r="DY48" s="960"/>
      <c r="DZ48" s="181"/>
      <c r="EA48" s="181"/>
      <c r="EB48" s="947"/>
      <c r="EC48" s="181"/>
      <c r="ED48" s="181"/>
      <c r="EE48" s="181"/>
      <c r="EF48" s="960"/>
      <c r="EG48" s="181"/>
      <c r="EH48" s="181"/>
      <c r="EI48" s="947"/>
      <c r="EJ48" s="56"/>
      <c r="EK48" s="56"/>
      <c r="EL48" s="47"/>
      <c r="EM48" s="48"/>
      <c r="EN48" s="108"/>
      <c r="EO48" s="108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</row>
    <row r="49" spans="1:187" ht="10.5" customHeight="1">
      <c r="A49" s="51"/>
      <c r="B49" s="166"/>
      <c r="C49" s="166"/>
      <c r="D49" s="166"/>
      <c r="E49" s="770"/>
      <c r="F49" s="770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684"/>
      <c r="R49" s="54"/>
      <c r="S49" s="54"/>
      <c r="T49" s="555"/>
      <c r="U49" s="54"/>
      <c r="V49" s="54"/>
      <c r="W49" s="54"/>
      <c r="X49" s="684"/>
      <c r="Y49" s="54"/>
      <c r="Z49" s="54"/>
      <c r="AA49" s="555"/>
      <c r="AB49" s="54"/>
      <c r="AC49" s="54"/>
      <c r="AD49" s="54"/>
      <c r="AE49" s="684"/>
      <c r="AF49" s="54"/>
      <c r="AG49" s="54"/>
      <c r="AH49" s="555"/>
      <c r="AI49" s="54"/>
      <c r="AJ49" s="54"/>
      <c r="AK49" s="54"/>
      <c r="AL49" s="684"/>
      <c r="AM49" s="54"/>
      <c r="AN49" s="54"/>
      <c r="AO49" s="555"/>
      <c r="AP49" s="54"/>
      <c r="AQ49" s="54"/>
      <c r="AR49" s="54"/>
      <c r="AS49" s="684"/>
      <c r="AT49" s="54"/>
      <c r="AU49" s="54"/>
      <c r="AV49" s="555"/>
      <c r="AW49" s="54"/>
      <c r="AX49" s="54"/>
      <c r="AY49" s="54"/>
      <c r="AZ49" s="684"/>
      <c r="BA49" s="54"/>
      <c r="BB49" s="54"/>
      <c r="BC49" s="555"/>
      <c r="BD49" s="54"/>
      <c r="BE49" s="54"/>
      <c r="BF49" s="54"/>
      <c r="BG49" s="684"/>
      <c r="BH49" s="54"/>
      <c r="BI49" s="54"/>
      <c r="BJ49" s="555"/>
      <c r="BK49" s="54"/>
      <c r="BL49" s="54"/>
      <c r="BM49" s="54"/>
      <c r="BN49" s="684"/>
      <c r="BO49" s="54"/>
      <c r="BP49" s="54"/>
      <c r="BQ49" s="555"/>
      <c r="BR49" s="54"/>
      <c r="BS49" s="54"/>
      <c r="BT49" s="54"/>
      <c r="BU49" s="684"/>
      <c r="BV49" s="54"/>
      <c r="BW49" s="54"/>
      <c r="BX49" s="555"/>
      <c r="BY49" s="54"/>
      <c r="BZ49" s="54"/>
      <c r="CA49" s="54"/>
      <c r="CB49" s="684"/>
      <c r="CC49" s="54"/>
      <c r="CD49" s="54"/>
      <c r="CE49" s="555"/>
      <c r="CF49" s="54"/>
      <c r="CG49" s="54"/>
      <c r="CH49" s="54"/>
      <c r="CI49" s="684"/>
      <c r="CJ49" s="54"/>
      <c r="CK49" s="54"/>
      <c r="CL49" s="555"/>
      <c r="CM49" s="54"/>
      <c r="CN49" s="54"/>
      <c r="CO49" s="54"/>
      <c r="CP49" s="684"/>
      <c r="CQ49" s="54"/>
      <c r="CR49" s="54"/>
      <c r="CS49" s="555"/>
      <c r="CT49" s="54"/>
      <c r="CU49" s="54"/>
      <c r="CV49" s="54"/>
      <c r="CW49" s="684"/>
      <c r="CX49" s="54"/>
      <c r="CY49" s="54"/>
      <c r="CZ49" s="555"/>
      <c r="DA49" s="54"/>
      <c r="DB49" s="54"/>
      <c r="DC49" s="54"/>
      <c r="DD49" s="684"/>
      <c r="DE49" s="54"/>
      <c r="DF49" s="54"/>
      <c r="DG49" s="555"/>
      <c r="DH49" s="54"/>
      <c r="DI49" s="54"/>
      <c r="DJ49" s="54"/>
      <c r="DK49" s="684"/>
      <c r="DL49" s="54"/>
      <c r="DM49" s="54"/>
      <c r="DN49" s="555"/>
      <c r="DO49" s="54"/>
      <c r="DP49" s="54"/>
      <c r="DQ49" s="54"/>
      <c r="DR49" s="684"/>
      <c r="DS49" s="54"/>
      <c r="DT49" s="54"/>
      <c r="DU49" s="555"/>
      <c r="DV49" s="54"/>
      <c r="DW49" s="54"/>
      <c r="DX49" s="54"/>
      <c r="DY49" s="684"/>
      <c r="DZ49" s="54"/>
      <c r="EA49" s="54"/>
      <c r="EB49" s="555"/>
      <c r="EC49" s="54"/>
      <c r="ED49" s="54"/>
      <c r="EE49" s="54"/>
      <c r="EF49" s="684"/>
      <c r="EG49" s="54"/>
      <c r="EH49" s="54"/>
      <c r="EI49" s="555"/>
      <c r="EJ49" s="47"/>
      <c r="EK49" s="47"/>
      <c r="EL49" s="47"/>
      <c r="EM49" s="108"/>
      <c r="EN49" s="108"/>
      <c r="EO49" s="108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</row>
    <row r="50" spans="1:187" ht="10.5" customHeight="1">
      <c r="A50" s="108" t="s">
        <v>356</v>
      </c>
      <c r="B50" s="918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67"/>
      <c r="P50" s="176"/>
      <c r="Q50" s="1263"/>
      <c r="R50" s="176"/>
      <c r="S50" s="167"/>
      <c r="T50" s="352">
        <f t="shared" ref="T50:CF50" si="742">T56-T53</f>
        <v>153.68391999999997</v>
      </c>
      <c r="U50" s="176"/>
      <c r="V50" s="167"/>
      <c r="W50" s="176"/>
      <c r="X50" s="1263"/>
      <c r="Y50" s="176"/>
      <c r="Z50" s="167"/>
      <c r="AA50" s="352">
        <f t="shared" si="742"/>
        <v>148.90848000000005</v>
      </c>
      <c r="AB50" s="176"/>
      <c r="AC50" s="167"/>
      <c r="AD50" s="176"/>
      <c r="AE50" s="1263"/>
      <c r="AF50" s="176"/>
      <c r="AG50" s="167"/>
      <c r="AH50" s="352">
        <f t="shared" si="742"/>
        <v>96.114639999999952</v>
      </c>
      <c r="AI50" s="176"/>
      <c r="AJ50" s="167"/>
      <c r="AK50" s="176"/>
      <c r="AL50" s="1263"/>
      <c r="AM50" s="176"/>
      <c r="AN50" s="167"/>
      <c r="AO50" s="352">
        <f t="shared" si="742"/>
        <v>96.133072000000055</v>
      </c>
      <c r="AP50" s="176"/>
      <c r="AQ50" s="167"/>
      <c r="AR50" s="176"/>
      <c r="AS50" s="1263"/>
      <c r="AT50" s="176"/>
      <c r="AU50" s="167"/>
      <c r="AV50" s="352">
        <f t="shared" si="742"/>
        <v>166.72000000000003</v>
      </c>
      <c r="AW50" s="176"/>
      <c r="AX50" s="167"/>
      <c r="AY50" s="176"/>
      <c r="AZ50" s="1263"/>
      <c r="BA50" s="176"/>
      <c r="BB50" s="167"/>
      <c r="BC50" s="352">
        <f t="shared" si="742"/>
        <v>161.03540000000001</v>
      </c>
      <c r="BD50" s="176"/>
      <c r="BE50" s="167"/>
      <c r="BF50" s="176"/>
      <c r="BG50" s="1263"/>
      <c r="BH50" s="176"/>
      <c r="BI50" s="167"/>
      <c r="BJ50" s="352">
        <f t="shared" si="742"/>
        <v>202.44414999999998</v>
      </c>
      <c r="BK50" s="176"/>
      <c r="BL50" s="167"/>
      <c r="BM50" s="176"/>
      <c r="BN50" s="1263"/>
      <c r="BO50" s="176"/>
      <c r="BP50" s="167"/>
      <c r="BQ50" s="352">
        <f t="shared" si="742"/>
        <v>229.08629999999999</v>
      </c>
      <c r="BR50" s="176"/>
      <c r="BS50" s="167"/>
      <c r="BT50" s="176"/>
      <c r="BU50" s="1263"/>
      <c r="BV50" s="176"/>
      <c r="BW50" s="167"/>
      <c r="BX50" s="352">
        <f t="shared" si="742"/>
        <v>277.24360000000007</v>
      </c>
      <c r="BY50" s="176"/>
      <c r="BZ50" s="167"/>
      <c r="CA50" s="176"/>
      <c r="CB50" s="1263"/>
      <c r="CC50" s="176"/>
      <c r="CD50" s="167"/>
      <c r="CE50" s="352">
        <f t="shared" si="742"/>
        <v>321.83999999999997</v>
      </c>
      <c r="CF50" s="176">
        <f t="shared" si="742"/>
        <v>69.867800000000003</v>
      </c>
      <c r="CG50" s="167">
        <f>CJ50-CF50</f>
        <v>49.382899999999992</v>
      </c>
      <c r="CH50" s="176">
        <f t="shared" ref="CH50" si="743">CH56-CH53</f>
        <v>57.415599999999998</v>
      </c>
      <c r="CI50" s="1263">
        <f>CK50-CH50</f>
        <v>213.49470000000002</v>
      </c>
      <c r="CJ50" s="176">
        <f t="shared" ref="CJ50" si="744">CJ56-CJ53</f>
        <v>119.25069999999999</v>
      </c>
      <c r="CK50" s="167">
        <f>CL50-CJ50</f>
        <v>270.91030000000001</v>
      </c>
      <c r="CL50" s="352">
        <f t="shared" ref="CL50:CM50" si="745">CL56-CL53</f>
        <v>390.161</v>
      </c>
      <c r="CM50" s="176">
        <f t="shared" si="745"/>
        <v>3.2095999999999947</v>
      </c>
      <c r="CN50" s="167">
        <f>CQ50-CM50</f>
        <v>88.9392</v>
      </c>
      <c r="CO50" s="176">
        <f t="shared" ref="CO50" si="746">CO56-CO53</f>
        <v>80.876800000000003</v>
      </c>
      <c r="CP50" s="1263">
        <f>CR50-CO50</f>
        <v>279.6884</v>
      </c>
      <c r="CQ50" s="176">
        <f t="shared" ref="CQ50" si="747">CQ56-CQ53</f>
        <v>92.148799999999994</v>
      </c>
      <c r="CR50" s="167">
        <f>CS50-CQ50</f>
        <v>360.5652</v>
      </c>
      <c r="CS50" s="352">
        <f t="shared" ref="CS50:CT50" si="748">CS56-CS53</f>
        <v>452.714</v>
      </c>
      <c r="CT50" s="176">
        <f t="shared" si="748"/>
        <v>11.919999999999987</v>
      </c>
      <c r="CU50" s="167">
        <f>CX50-CT50</f>
        <v>89.360000000000014</v>
      </c>
      <c r="CV50" s="176">
        <f t="shared" ref="CV50" si="749">CV56-CV53</f>
        <v>130.81080000000003</v>
      </c>
      <c r="CW50" s="1263">
        <f>CY50-CV50</f>
        <v>307.11319999999995</v>
      </c>
      <c r="CX50" s="176">
        <f t="shared" ref="CX50" si="750">CX56-CX53</f>
        <v>101.28</v>
      </c>
      <c r="CY50" s="167">
        <f>CZ50-CX50</f>
        <v>437.92399999999998</v>
      </c>
      <c r="CZ50" s="352">
        <f t="shared" ref="CZ50:DA50" si="751">CZ56-CZ53</f>
        <v>539.20399999999995</v>
      </c>
      <c r="DA50" s="176">
        <f t="shared" si="751"/>
        <v>8.2184000000000026</v>
      </c>
      <c r="DB50" s="167">
        <f>DE50-DA50</f>
        <v>95.253599999999977</v>
      </c>
      <c r="DC50" s="988">
        <f>DC27*DC51</f>
        <v>134.25271874999999</v>
      </c>
      <c r="DD50" s="992">
        <f>DF50-DC50</f>
        <v>320.94323893000001</v>
      </c>
      <c r="DE50" s="176">
        <f t="shared" ref="DE50" si="752">DE56-DE53</f>
        <v>103.47199999999998</v>
      </c>
      <c r="DF50" s="986">
        <f>DG50-DE50</f>
        <v>455.19595767999999</v>
      </c>
      <c r="DG50" s="980">
        <f>DG27*DG51</f>
        <v>558.66795767999997</v>
      </c>
      <c r="DH50" s="988">
        <f>DH27*DH51</f>
        <v>75.262952159999998</v>
      </c>
      <c r="DI50" s="986">
        <f>DL50-DH50</f>
        <v>122.67939023999998</v>
      </c>
      <c r="DJ50" s="988">
        <f>DJ27*DJ51</f>
        <v>122.915345157</v>
      </c>
      <c r="DK50" s="992">
        <f>DM50-DJ50</f>
        <v>288.05846243090411</v>
      </c>
      <c r="DL50" s="988">
        <f>DL27*DL51</f>
        <v>197.94234239999997</v>
      </c>
      <c r="DM50" s="986">
        <f>DN50-DL50</f>
        <v>410.9738075879041</v>
      </c>
      <c r="DN50" s="980">
        <f>DN27*DN51</f>
        <v>608.91614998790408</v>
      </c>
      <c r="DO50" s="988">
        <f>DO27*DO51</f>
        <v>81.862828855776016</v>
      </c>
      <c r="DP50" s="986">
        <f>DS50-DO50</f>
        <v>133.43725749686399</v>
      </c>
      <c r="DQ50" s="988">
        <f>DQ27*DQ51</f>
        <v>133.6939035150402</v>
      </c>
      <c r="DR50" s="992">
        <f>DT50-DQ50</f>
        <v>313.31857087279968</v>
      </c>
      <c r="DS50" s="988">
        <f>DS27*DS51</f>
        <v>215.30008635263999</v>
      </c>
      <c r="DT50" s="986">
        <f>DU50-DS50</f>
        <v>447.01247438783986</v>
      </c>
      <c r="DU50" s="980">
        <f>DU27*DU51</f>
        <v>662.31256074047985</v>
      </c>
      <c r="DV50" s="988">
        <f>DV27*DV51</f>
        <v>88.87313440857325</v>
      </c>
      <c r="DW50" s="986">
        <f>DZ50-DV50</f>
        <v>144.86412803450844</v>
      </c>
      <c r="DX50" s="988">
        <f>DX27*DX51</f>
        <v>145.14275187865857</v>
      </c>
      <c r="DY50" s="992">
        <f>EA50-DX50</f>
        <v>340.14953857675891</v>
      </c>
      <c r="DZ50" s="988">
        <f>DZ27*DZ51</f>
        <v>233.7372624430817</v>
      </c>
      <c r="EA50" s="986">
        <f>EB50-DZ50</f>
        <v>485.29229045541751</v>
      </c>
      <c r="EB50" s="980">
        <f>EB27*EB51</f>
        <v>719.02955289849922</v>
      </c>
      <c r="EC50" s="988">
        <f>EC27*EC51</f>
        <v>92.463609038679621</v>
      </c>
      <c r="ED50" s="986">
        <f>EG50-EC50</f>
        <v>150.71663880710258</v>
      </c>
      <c r="EE50" s="988">
        <f>EE27*EE51</f>
        <v>151.00651905455641</v>
      </c>
      <c r="EF50" s="992">
        <f>EH50-EE50</f>
        <v>353.89157993525998</v>
      </c>
      <c r="EG50" s="988">
        <f>EG27*EG51</f>
        <v>243.18024784578219</v>
      </c>
      <c r="EH50" s="986">
        <f>EI50-EG50</f>
        <v>504.89809898981639</v>
      </c>
      <c r="EI50" s="980">
        <f>EI27*EI51</f>
        <v>748.07834683559861</v>
      </c>
      <c r="EJ50" s="176"/>
      <c r="EK50" s="176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</row>
    <row r="51" spans="1:187" ht="10.5" customHeight="1">
      <c r="A51" s="108" t="s">
        <v>357</v>
      </c>
      <c r="B51" s="918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919"/>
      <c r="N51" s="115"/>
      <c r="O51" s="115"/>
      <c r="P51" s="115"/>
      <c r="Q51" s="683"/>
      <c r="R51" s="115"/>
      <c r="S51" s="115"/>
      <c r="T51" s="341">
        <f t="shared" ref="T51:CK51" si="753">T50/T27</f>
        <v>4.207912908719532E-2</v>
      </c>
      <c r="U51" s="115"/>
      <c r="V51" s="115"/>
      <c r="W51" s="115"/>
      <c r="X51" s="683"/>
      <c r="Y51" s="115"/>
      <c r="Z51" s="115"/>
      <c r="AA51" s="341">
        <f t="shared" si="753"/>
        <v>4.0758430410790934E-2</v>
      </c>
      <c r="AB51" s="115"/>
      <c r="AC51" s="115"/>
      <c r="AD51" s="115"/>
      <c r="AE51" s="683"/>
      <c r="AF51" s="115"/>
      <c r="AG51" s="115"/>
      <c r="AH51" s="341">
        <f t="shared" si="753"/>
        <v>3.0135460365834529E-2</v>
      </c>
      <c r="AI51" s="115"/>
      <c r="AJ51" s="115"/>
      <c r="AK51" s="115"/>
      <c r="AL51" s="683"/>
      <c r="AM51" s="115"/>
      <c r="AN51" s="115"/>
      <c r="AO51" s="341">
        <f t="shared" si="753"/>
        <v>2.7267461623118043E-2</v>
      </c>
      <c r="AP51" s="115"/>
      <c r="AQ51" s="115"/>
      <c r="AR51" s="115"/>
      <c r="AS51" s="683"/>
      <c r="AT51" s="115"/>
      <c r="AU51" s="115"/>
      <c r="AV51" s="341">
        <f t="shared" si="753"/>
        <v>4.6157253599114066E-2</v>
      </c>
      <c r="AW51" s="115"/>
      <c r="AX51" s="115"/>
      <c r="AY51" s="115"/>
      <c r="AZ51" s="683"/>
      <c r="BA51" s="115"/>
      <c r="BB51" s="115"/>
      <c r="BC51" s="341">
        <f t="shared" si="753"/>
        <v>4.5996184012841827E-2</v>
      </c>
      <c r="BD51" s="115"/>
      <c r="BE51" s="115"/>
      <c r="BF51" s="115"/>
      <c r="BG51" s="683"/>
      <c r="BH51" s="115"/>
      <c r="BI51" s="115"/>
      <c r="BJ51" s="341">
        <f t="shared" si="753"/>
        <v>5.9125216487197679E-2</v>
      </c>
      <c r="BK51" s="115"/>
      <c r="BL51" s="115"/>
      <c r="BM51" s="115"/>
      <c r="BN51" s="683"/>
      <c r="BO51" s="115"/>
      <c r="BP51" s="115"/>
      <c r="BQ51" s="341">
        <f t="shared" si="753"/>
        <v>6.4294639173521712E-2</v>
      </c>
      <c r="BR51" s="115"/>
      <c r="BS51" s="115"/>
      <c r="BT51" s="115"/>
      <c r="BU51" s="683"/>
      <c r="BV51" s="115"/>
      <c r="BW51" s="115"/>
      <c r="BX51" s="341">
        <f t="shared" si="753"/>
        <v>7.6060509624037057E-2</v>
      </c>
      <c r="BY51" s="115"/>
      <c r="BZ51" s="115"/>
      <c r="CA51" s="115"/>
      <c r="CB51" s="683"/>
      <c r="CC51" s="115"/>
      <c r="CD51" s="115"/>
      <c r="CE51" s="341">
        <f t="shared" si="753"/>
        <v>8.302548756578268E-2</v>
      </c>
      <c r="CF51" s="115">
        <f t="shared" si="753"/>
        <v>8.5729465753760836E-2</v>
      </c>
      <c r="CG51" s="115">
        <f t="shared" si="753"/>
        <v>6.5836844069965872E-2</v>
      </c>
      <c r="CH51" s="115">
        <f t="shared" ref="CH51" si="754">CH50/CH27</f>
        <v>8.3215838599339093E-2</v>
      </c>
      <c r="CI51" s="683">
        <f t="shared" si="753"/>
        <v>0.13069050373716784</v>
      </c>
      <c r="CJ51" s="115">
        <f t="shared" ref="CJ51" si="755">CJ50/CJ27</f>
        <v>7.6195609114027577E-2</v>
      </c>
      <c r="CK51" s="115">
        <f t="shared" si="753"/>
        <v>0.1165932732241613</v>
      </c>
      <c r="CL51" s="341">
        <f t="shared" ref="CL51:CP51" si="756">CL50/CL27</f>
        <v>0.10033430968906627</v>
      </c>
      <c r="CM51" s="115">
        <f t="shared" si="756"/>
        <v>5.2305987418923673E-3</v>
      </c>
      <c r="CN51" s="115">
        <f t="shared" si="756"/>
        <v>0.10411500280951487</v>
      </c>
      <c r="CO51" s="115">
        <f t="shared" si="756"/>
        <v>0.10440565940307757</v>
      </c>
      <c r="CP51" s="683">
        <f t="shared" si="756"/>
        <v>0.13672415478774366</v>
      </c>
      <c r="CQ51" s="115">
        <f t="shared" ref="CQ51:CR51" si="757">CQ50/CQ27</f>
        <v>6.2777649094600291E-2</v>
      </c>
      <c r="CR51" s="115">
        <f t="shared" si="757"/>
        <v>0.12784730594125404</v>
      </c>
      <c r="CS51" s="341">
        <f t="shared" ref="CS51:CW51" si="758">CS50/CS27</f>
        <v>0.10557351205884136</v>
      </c>
      <c r="CT51" s="115">
        <f t="shared" si="758"/>
        <v>1.8170731707317055E-2</v>
      </c>
      <c r="CU51" s="115">
        <f t="shared" si="758"/>
        <v>7.5060898782024377E-2</v>
      </c>
      <c r="CV51" s="115">
        <f t="shared" si="758"/>
        <v>0.1309299462510885</v>
      </c>
      <c r="CW51" s="683">
        <f t="shared" si="758"/>
        <v>0.13538460182062642</v>
      </c>
      <c r="CX51" s="115">
        <f t="shared" ref="CX51:CY51" si="759">CX50/CX27</f>
        <v>5.4849715678310318E-2</v>
      </c>
      <c r="CY51" s="115">
        <f t="shared" si="759"/>
        <v>0.13402253683198981</v>
      </c>
      <c r="CZ51" s="341">
        <f t="shared" ref="CZ51:DB51" si="760">CZ50/CZ27</f>
        <v>0.10543601536163189</v>
      </c>
      <c r="DA51" s="115">
        <f t="shared" si="760"/>
        <v>1.2496806763578863E-2</v>
      </c>
      <c r="DB51" s="115">
        <f t="shared" si="760"/>
        <v>8.8859285794246026E-2</v>
      </c>
      <c r="DC51" s="1974">
        <v>0.125</v>
      </c>
      <c r="DD51" s="432">
        <f>DD50/DD27</f>
        <v>0.12750893595051133</v>
      </c>
      <c r="DE51" s="115">
        <f t="shared" ref="DE51" si="761">DE50/DE27</f>
        <v>5.9824236817761327E-2</v>
      </c>
      <c r="DF51" s="403">
        <f>DF50/DF27</f>
        <v>0.12675855545754539</v>
      </c>
      <c r="DG51" s="541">
        <v>0.105</v>
      </c>
      <c r="DH51" s="989">
        <f>DN51</f>
        <v>0.11</v>
      </c>
      <c r="DI51" s="403">
        <f>DI50/DI27</f>
        <v>0.11</v>
      </c>
      <c r="DJ51" s="989">
        <f>DN51</f>
        <v>0.11</v>
      </c>
      <c r="DK51" s="432">
        <f>DK50/DK27</f>
        <v>0.11000000000000001</v>
      </c>
      <c r="DL51" s="989">
        <f>DN51</f>
        <v>0.11</v>
      </c>
      <c r="DM51" s="403">
        <f>DM50/DM27</f>
        <v>0.11000000000000001</v>
      </c>
      <c r="DN51" s="541">
        <v>0.11</v>
      </c>
      <c r="DO51" s="989">
        <f>DU51</f>
        <v>0.115</v>
      </c>
      <c r="DP51" s="403">
        <f>DP50/DP27</f>
        <v>0.11500000000000002</v>
      </c>
      <c r="DQ51" s="989">
        <f>DU51</f>
        <v>0.115</v>
      </c>
      <c r="DR51" s="432">
        <f>DR50/DR27</f>
        <v>0.11500000000000003</v>
      </c>
      <c r="DS51" s="989">
        <f>DU51</f>
        <v>0.115</v>
      </c>
      <c r="DT51" s="403">
        <f>DT50/DT27</f>
        <v>0.115</v>
      </c>
      <c r="DU51" s="541">
        <v>0.115</v>
      </c>
      <c r="DV51" s="989">
        <f>EB51</f>
        <v>0.12</v>
      </c>
      <c r="DW51" s="403">
        <f>DW50/DW27</f>
        <v>0.11999999999999997</v>
      </c>
      <c r="DX51" s="989">
        <f>EB51</f>
        <v>0.12</v>
      </c>
      <c r="DY51" s="432">
        <f>DY50/DY27</f>
        <v>0.12</v>
      </c>
      <c r="DZ51" s="989">
        <f>EB51</f>
        <v>0.12</v>
      </c>
      <c r="EA51" s="403">
        <f>EA50/EA27</f>
        <v>0.12</v>
      </c>
      <c r="EB51" s="541">
        <v>0.12</v>
      </c>
      <c r="EC51" s="989">
        <f>EI51</f>
        <v>0.12</v>
      </c>
      <c r="ED51" s="403">
        <f>ED50/ED27</f>
        <v>0.12000000000000001</v>
      </c>
      <c r="EE51" s="989">
        <f>EI51</f>
        <v>0.12</v>
      </c>
      <c r="EF51" s="432">
        <f>EF50/EF27</f>
        <v>0.12</v>
      </c>
      <c r="EG51" s="989">
        <f>EI51</f>
        <v>0.12</v>
      </c>
      <c r="EH51" s="403">
        <f>EH50/EH27</f>
        <v>0.11999999999999998</v>
      </c>
      <c r="EI51" s="1008">
        <f>+EB51</f>
        <v>0.12</v>
      </c>
      <c r="EJ51" s="243"/>
      <c r="EK51" s="243"/>
      <c r="EL51" s="173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</row>
    <row r="52" spans="1:187" ht="10.5" customHeight="1">
      <c r="A52" s="51"/>
      <c r="B52" s="166"/>
      <c r="C52" s="166"/>
      <c r="D52" s="166"/>
      <c r="E52" s="770"/>
      <c r="F52" s="770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684"/>
      <c r="R52" s="54"/>
      <c r="S52" s="54"/>
      <c r="T52" s="555"/>
      <c r="U52" s="54"/>
      <c r="V52" s="54"/>
      <c r="W52" s="54"/>
      <c r="X52" s="684"/>
      <c r="Y52" s="54"/>
      <c r="Z52" s="54"/>
      <c r="AA52" s="555"/>
      <c r="AB52" s="54"/>
      <c r="AC52" s="54"/>
      <c r="AD52" s="54"/>
      <c r="AE52" s="684"/>
      <c r="AF52" s="54"/>
      <c r="AG52" s="54"/>
      <c r="AH52" s="555"/>
      <c r="AI52" s="54"/>
      <c r="AJ52" s="54"/>
      <c r="AK52" s="54"/>
      <c r="AL52" s="684"/>
      <c r="AM52" s="54"/>
      <c r="AN52" s="54"/>
      <c r="AO52" s="555"/>
      <c r="AP52" s="54"/>
      <c r="AQ52" s="54"/>
      <c r="AR52" s="54"/>
      <c r="AS52" s="684"/>
      <c r="AT52" s="54"/>
      <c r="AU52" s="54"/>
      <c r="AV52" s="555"/>
      <c r="AW52" s="54"/>
      <c r="AX52" s="54"/>
      <c r="AY52" s="54"/>
      <c r="AZ52" s="684"/>
      <c r="BA52" s="54"/>
      <c r="BB52" s="54"/>
      <c r="BC52" s="555"/>
      <c r="BD52" s="54"/>
      <c r="BE52" s="54"/>
      <c r="BF52" s="54"/>
      <c r="BG52" s="684"/>
      <c r="BH52" s="54"/>
      <c r="BI52" s="54"/>
      <c r="BJ52" s="555"/>
      <c r="BK52" s="54"/>
      <c r="BL52" s="54"/>
      <c r="BM52" s="54"/>
      <c r="BN52" s="684"/>
      <c r="BO52" s="54"/>
      <c r="BP52" s="54"/>
      <c r="BQ52" s="555"/>
      <c r="BR52" s="54"/>
      <c r="BS52" s="54"/>
      <c r="BT52" s="54"/>
      <c r="BU52" s="684"/>
      <c r="BV52" s="54"/>
      <c r="BW52" s="54"/>
      <c r="BX52" s="555"/>
      <c r="BY52" s="54"/>
      <c r="BZ52" s="54"/>
      <c r="CA52" s="54"/>
      <c r="CB52" s="684"/>
      <c r="CC52" s="54"/>
      <c r="CD52" s="54"/>
      <c r="CE52" s="555"/>
      <c r="CF52" s="54"/>
      <c r="CG52" s="54"/>
      <c r="CH52" s="54"/>
      <c r="CI52" s="684"/>
      <c r="CJ52" s="54"/>
      <c r="CK52" s="54"/>
      <c r="CL52" s="555"/>
      <c r="CM52" s="54"/>
      <c r="CN52" s="54"/>
      <c r="CO52" s="54"/>
      <c r="CP52" s="684"/>
      <c r="CQ52" s="54"/>
      <c r="CR52" s="54"/>
      <c r="CS52" s="555"/>
      <c r="CT52" s="54"/>
      <c r="CU52" s="54"/>
      <c r="CV52" s="54"/>
      <c r="CW52" s="684"/>
      <c r="CX52" s="54"/>
      <c r="CY52" s="54"/>
      <c r="CZ52" s="555"/>
      <c r="DA52" s="54"/>
      <c r="DB52" s="54"/>
      <c r="DC52" s="54"/>
      <c r="DD52" s="684"/>
      <c r="DE52" s="54"/>
      <c r="DF52" s="54"/>
      <c r="DG52" s="555"/>
      <c r="DH52" s="54"/>
      <c r="DI52" s="54"/>
      <c r="DJ52" s="54"/>
      <c r="DK52" s="684"/>
      <c r="DL52" s="54"/>
      <c r="DM52" s="54"/>
      <c r="DN52" s="555"/>
      <c r="DO52" s="54"/>
      <c r="DP52" s="54"/>
      <c r="DQ52" s="54"/>
      <c r="DR52" s="684"/>
      <c r="DS52" s="54"/>
      <c r="DT52" s="54"/>
      <c r="DU52" s="555"/>
      <c r="DV52" s="54"/>
      <c r="DW52" s="54"/>
      <c r="DX52" s="54"/>
      <c r="DY52" s="684"/>
      <c r="DZ52" s="54"/>
      <c r="EA52" s="54"/>
      <c r="EB52" s="555"/>
      <c r="EC52" s="54"/>
      <c r="ED52" s="54"/>
      <c r="EE52" s="54"/>
      <c r="EF52" s="684"/>
      <c r="EG52" s="54"/>
      <c r="EH52" s="54"/>
      <c r="EI52" s="555"/>
      <c r="EJ52" s="47"/>
      <c r="EK52" s="47"/>
      <c r="EL52" s="47"/>
      <c r="EM52" s="108"/>
      <c r="EN52" s="108"/>
      <c r="EO52" s="108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</row>
    <row r="53" spans="1:187" ht="10.5" customHeight="1">
      <c r="A53" s="108" t="s">
        <v>355</v>
      </c>
      <c r="B53" s="918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67"/>
      <c r="P53" s="176"/>
      <c r="Q53" s="1263"/>
      <c r="R53" s="176"/>
      <c r="S53" s="167"/>
      <c r="T53" s="352">
        <f t="shared" ref="T53:DA53" si="762">T34*T54</f>
        <v>243.31608000000003</v>
      </c>
      <c r="U53" s="176"/>
      <c r="V53" s="167"/>
      <c r="W53" s="176"/>
      <c r="X53" s="1263"/>
      <c r="Y53" s="176"/>
      <c r="Z53" s="167"/>
      <c r="AA53" s="352">
        <f t="shared" si="762"/>
        <v>264.09151999999995</v>
      </c>
      <c r="AB53" s="176"/>
      <c r="AC53" s="167"/>
      <c r="AD53" s="176"/>
      <c r="AE53" s="1263"/>
      <c r="AF53" s="176"/>
      <c r="AG53" s="167"/>
      <c r="AH53" s="352">
        <f t="shared" si="762"/>
        <v>330.88536000000005</v>
      </c>
      <c r="AI53" s="176"/>
      <c r="AJ53" s="167"/>
      <c r="AK53" s="176"/>
      <c r="AL53" s="1263"/>
      <c r="AM53" s="176"/>
      <c r="AN53" s="167"/>
      <c r="AO53" s="352">
        <f t="shared" si="762"/>
        <v>253.86692799999994</v>
      </c>
      <c r="AP53" s="176"/>
      <c r="AQ53" s="167"/>
      <c r="AR53" s="176"/>
      <c r="AS53" s="1263"/>
      <c r="AT53" s="176"/>
      <c r="AU53" s="167"/>
      <c r="AV53" s="352">
        <f t="shared" si="762"/>
        <v>170.27999999999997</v>
      </c>
      <c r="AW53" s="176"/>
      <c r="AX53" s="167"/>
      <c r="AY53" s="176"/>
      <c r="AZ53" s="1263"/>
      <c r="BA53" s="176"/>
      <c r="BB53" s="167"/>
      <c r="BC53" s="352">
        <f t="shared" si="762"/>
        <v>218.96459999999999</v>
      </c>
      <c r="BD53" s="176"/>
      <c r="BE53" s="167"/>
      <c r="BF53" s="176"/>
      <c r="BG53" s="1263"/>
      <c r="BH53" s="176"/>
      <c r="BI53" s="167"/>
      <c r="BJ53" s="352">
        <f t="shared" si="762"/>
        <v>219.55585000000002</v>
      </c>
      <c r="BK53" s="176"/>
      <c r="BL53" s="167"/>
      <c r="BM53" s="176"/>
      <c r="BN53" s="1263"/>
      <c r="BO53" s="176"/>
      <c r="BP53" s="167"/>
      <c r="BQ53" s="352">
        <f t="shared" si="762"/>
        <v>241.91370000000001</v>
      </c>
      <c r="BR53" s="176"/>
      <c r="BS53" s="167"/>
      <c r="BT53" s="176"/>
      <c r="BU53" s="1263"/>
      <c r="BV53" s="176"/>
      <c r="BW53" s="167"/>
      <c r="BX53" s="352">
        <f t="shared" si="762"/>
        <v>257.75639999999993</v>
      </c>
      <c r="BY53" s="176"/>
      <c r="BZ53" s="167"/>
      <c r="CA53" s="176"/>
      <c r="CB53" s="1263"/>
      <c r="CC53" s="176"/>
      <c r="CD53" s="167"/>
      <c r="CE53" s="352">
        <f t="shared" si="762"/>
        <v>317.16000000000003</v>
      </c>
      <c r="CF53" s="176">
        <f t="shared" si="762"/>
        <v>86.132199999999997</v>
      </c>
      <c r="CG53" s="167">
        <f>CJ53-CF53</f>
        <v>68.617100000000008</v>
      </c>
      <c r="CH53" s="176">
        <f t="shared" ref="CH53" si="763">CH34*CH54</f>
        <v>85.584400000000002</v>
      </c>
      <c r="CI53" s="1263">
        <f>CK53-CH53</f>
        <v>104.50529999999999</v>
      </c>
      <c r="CJ53" s="176">
        <f>CJ34*CJ54</f>
        <v>154.74930000000001</v>
      </c>
      <c r="CK53" s="167">
        <f>CL53-CJ53</f>
        <v>190.08969999999999</v>
      </c>
      <c r="CL53" s="352">
        <f t="shared" si="762"/>
        <v>344.839</v>
      </c>
      <c r="CM53" s="176">
        <f>CM34*CM54</f>
        <v>67.790400000000005</v>
      </c>
      <c r="CN53" s="167">
        <f>CQ53-CM53</f>
        <v>70.0608</v>
      </c>
      <c r="CO53" s="176">
        <f>CO34*CO54</f>
        <v>109.1232</v>
      </c>
      <c r="CP53" s="1263">
        <f>CR53-CO53</f>
        <v>118.3116</v>
      </c>
      <c r="CQ53" s="176">
        <f>CQ34*CQ54</f>
        <v>137.85120000000001</v>
      </c>
      <c r="CR53" s="167">
        <f>CS53-CQ53</f>
        <v>227.4348</v>
      </c>
      <c r="CS53" s="352">
        <f t="shared" si="762"/>
        <v>365.286</v>
      </c>
      <c r="CT53" s="176">
        <f t="shared" si="762"/>
        <v>66.080000000000013</v>
      </c>
      <c r="CU53" s="167">
        <f>CX53-CT53</f>
        <v>81.639999999999986</v>
      </c>
      <c r="CV53" s="176">
        <f>CV34*CV54</f>
        <v>115.18919999999999</v>
      </c>
      <c r="CW53" s="1263">
        <f>CY53-CV53</f>
        <v>122.88680000000006</v>
      </c>
      <c r="CX53" s="176">
        <f>CX34*CX54</f>
        <v>147.72</v>
      </c>
      <c r="CY53" s="167">
        <f>CZ53-CX53</f>
        <v>238.07600000000005</v>
      </c>
      <c r="CZ53" s="352">
        <f t="shared" ref="CZ53" si="764">CZ34*CZ54</f>
        <v>385.79600000000005</v>
      </c>
      <c r="DA53" s="176">
        <f t="shared" si="762"/>
        <v>56.781599999999997</v>
      </c>
      <c r="DB53" s="167">
        <f>DE53-DA53</f>
        <v>79.746400000000023</v>
      </c>
      <c r="DC53" s="324">
        <f>DC34*DC54</f>
        <v>125.9881875</v>
      </c>
      <c r="DD53" s="992">
        <f>DF53-DC53</f>
        <v>142.56961250000006</v>
      </c>
      <c r="DE53" s="176">
        <f>DE34*DE54</f>
        <v>136.52800000000002</v>
      </c>
      <c r="DF53" s="986">
        <f>DG53-DE53</f>
        <v>268.55780000000004</v>
      </c>
      <c r="DG53" s="389">
        <f>DG34*DG54</f>
        <v>405.08580000000006</v>
      </c>
      <c r="DH53" s="324">
        <f>DH34*DH54</f>
        <v>104.33619</v>
      </c>
      <c r="DI53" s="986">
        <f>DL53-DH53</f>
        <v>110.69541</v>
      </c>
      <c r="DJ53" s="324">
        <f>DJ34*DJ54</f>
        <v>111.12158137499999</v>
      </c>
      <c r="DK53" s="992">
        <f>DM53-DJ53</f>
        <v>120.45391312500003</v>
      </c>
      <c r="DL53" s="324">
        <f>DL34*DL54</f>
        <v>215.0316</v>
      </c>
      <c r="DM53" s="986">
        <f>DN53-DL53</f>
        <v>231.57549450000002</v>
      </c>
      <c r="DN53" s="389">
        <f>DN34*DN54</f>
        <v>446.60709450000002</v>
      </c>
      <c r="DO53" s="324">
        <f>DO34*DO54</f>
        <v>114.76980900000001</v>
      </c>
      <c r="DP53" s="986">
        <f>DS53-DO53</f>
        <v>121.76495100000002</v>
      </c>
      <c r="DQ53" s="324">
        <f>DQ34*DQ54</f>
        <v>122.23373951250001</v>
      </c>
      <c r="DR53" s="992">
        <f>DT53-DQ53</f>
        <v>132.49930443749997</v>
      </c>
      <c r="DS53" s="324">
        <f>DS34*DS54</f>
        <v>236.53476000000003</v>
      </c>
      <c r="DT53" s="986">
        <f>DU53-DS53</f>
        <v>254.73304395</v>
      </c>
      <c r="DU53" s="389">
        <f>DU34*DU54</f>
        <v>491.26780395000003</v>
      </c>
      <c r="DV53" s="324">
        <f>DV34*DV54</f>
        <v>120.50829945000001</v>
      </c>
      <c r="DW53" s="986">
        <f>DZ53-DV53</f>
        <v>127.85319855000003</v>
      </c>
      <c r="DX53" s="324">
        <f>DX34*DX54</f>
        <v>128.34542648812501</v>
      </c>
      <c r="DY53" s="992">
        <f>EA53-DX53</f>
        <v>139.12426965937507</v>
      </c>
      <c r="DZ53" s="324">
        <f>DZ34*DZ54</f>
        <v>248.36149800000004</v>
      </c>
      <c r="EA53" s="986">
        <f>EB53-DZ53</f>
        <v>267.46969614750009</v>
      </c>
      <c r="EB53" s="389">
        <f>EB34*EB54</f>
        <v>515.83119414750013</v>
      </c>
      <c r="EC53" s="324">
        <f>EC34*EC54</f>
        <v>126.53371442250003</v>
      </c>
      <c r="ED53" s="986">
        <f>EG53-EC53</f>
        <v>134.24585847750004</v>
      </c>
      <c r="EE53" s="324">
        <f>EE34*EE54</f>
        <v>134.76269781253126</v>
      </c>
      <c r="EF53" s="992">
        <f>EH53-EE53</f>
        <v>146.08048314234378</v>
      </c>
      <c r="EG53" s="324">
        <f>EG34*EG54</f>
        <v>260.77957290000006</v>
      </c>
      <c r="EH53" s="986">
        <f>EI53-EG53</f>
        <v>280.84318095487504</v>
      </c>
      <c r="EI53" s="389">
        <f>EI34*EI54</f>
        <v>541.6227538548751</v>
      </c>
      <c r="EJ53" s="176"/>
      <c r="EK53" s="176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</row>
    <row r="54" spans="1:187" ht="10.5" customHeight="1">
      <c r="A54" s="108" t="s">
        <v>354</v>
      </c>
      <c r="B54" s="918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919"/>
      <c r="N54" s="1216"/>
      <c r="O54" s="937"/>
      <c r="P54" s="1216"/>
      <c r="Q54" s="966"/>
      <c r="R54" s="1216"/>
      <c r="S54" s="937"/>
      <c r="T54" s="1281">
        <v>9.1999999999999998E-2</v>
      </c>
      <c r="U54" s="1216"/>
      <c r="V54" s="937"/>
      <c r="W54" s="1216"/>
      <c r="X54" s="966"/>
      <c r="Y54" s="1216"/>
      <c r="Z54" s="937"/>
      <c r="AA54" s="1281">
        <f>T54</f>
        <v>9.1999999999999998E-2</v>
      </c>
      <c r="AB54" s="1216"/>
      <c r="AC54" s="937"/>
      <c r="AD54" s="1216"/>
      <c r="AE54" s="966"/>
      <c r="AF54" s="1216"/>
      <c r="AG54" s="937"/>
      <c r="AH54" s="1281">
        <f>AA54</f>
        <v>9.1999999999999998E-2</v>
      </c>
      <c r="AI54" s="1216"/>
      <c r="AJ54" s="937"/>
      <c r="AK54" s="1216"/>
      <c r="AL54" s="966"/>
      <c r="AM54" s="1216"/>
      <c r="AN54" s="937"/>
      <c r="AO54" s="1281">
        <v>8.1199999999999994E-2</v>
      </c>
      <c r="AP54" s="1216"/>
      <c r="AQ54" s="937"/>
      <c r="AR54" s="1216"/>
      <c r="AS54" s="966"/>
      <c r="AT54" s="1216"/>
      <c r="AU54" s="937"/>
      <c r="AV54" s="1281">
        <v>0.06</v>
      </c>
      <c r="AW54" s="1216"/>
      <c r="AX54" s="937"/>
      <c r="AY54" s="1216"/>
      <c r="AZ54" s="966"/>
      <c r="BA54" s="1216"/>
      <c r="BB54" s="937"/>
      <c r="BC54" s="1281">
        <v>0.09</v>
      </c>
      <c r="BD54" s="1216"/>
      <c r="BE54" s="937"/>
      <c r="BF54" s="1216"/>
      <c r="BG54" s="966"/>
      <c r="BH54" s="1216"/>
      <c r="BI54" s="937"/>
      <c r="BJ54" s="1281">
        <v>8.5000000000000006E-2</v>
      </c>
      <c r="BK54" s="1216"/>
      <c r="BL54" s="937"/>
      <c r="BM54" s="1216"/>
      <c r="BN54" s="966"/>
      <c r="BO54" s="1216"/>
      <c r="BP54" s="937"/>
      <c r="BQ54" s="1281">
        <v>0.09</v>
      </c>
      <c r="BR54" s="1216"/>
      <c r="BS54" s="937"/>
      <c r="BT54" s="1216"/>
      <c r="BU54" s="966"/>
      <c r="BV54" s="1216"/>
      <c r="BW54" s="937"/>
      <c r="BX54" s="1281">
        <v>0.09</v>
      </c>
      <c r="BY54" s="1216"/>
      <c r="BZ54" s="937"/>
      <c r="CA54" s="1216"/>
      <c r="CB54" s="966"/>
      <c r="CC54" s="1216"/>
      <c r="CD54" s="937"/>
      <c r="CE54" s="1281">
        <v>0.1</v>
      </c>
      <c r="CF54" s="1216">
        <v>0.11</v>
      </c>
      <c r="CG54" s="937">
        <f>CG53/CG34</f>
        <v>8.1115353697749193E-2</v>
      </c>
      <c r="CH54" s="1216">
        <v>0.11</v>
      </c>
      <c r="CI54" s="966">
        <f>CI53/CI34</f>
        <v>0.10034981419421746</v>
      </c>
      <c r="CJ54" s="1216">
        <v>9.5000000000000001E-2</v>
      </c>
      <c r="CK54" s="937">
        <f>CK53/CK34</f>
        <v>0.10447646266728958</v>
      </c>
      <c r="CL54" s="1281">
        <v>0.1</v>
      </c>
      <c r="CM54" s="1216">
        <v>0.08</v>
      </c>
      <c r="CN54" s="937">
        <f>CN53/CN34</f>
        <v>8.0000000000000016E-2</v>
      </c>
      <c r="CO54" s="1216">
        <v>0.12</v>
      </c>
      <c r="CP54" s="966">
        <f>CP53/CP34</f>
        <v>0.11595084087968954</v>
      </c>
      <c r="CQ54" s="1216">
        <v>0.08</v>
      </c>
      <c r="CR54" s="937">
        <f>CR53/CR34</f>
        <v>0.11785896399477645</v>
      </c>
      <c r="CS54" s="1281">
        <v>0.1</v>
      </c>
      <c r="CT54" s="1216">
        <v>7.0000000000000007E-2</v>
      </c>
      <c r="CU54" s="937">
        <f>CU53/CU34</f>
        <v>9.0459833795013836E-2</v>
      </c>
      <c r="CV54" s="1216">
        <v>0.12</v>
      </c>
      <c r="CW54" s="966">
        <f>CW53/CW34</f>
        <v>0.11686253625600308</v>
      </c>
      <c r="CX54" s="1824">
        <v>0.08</v>
      </c>
      <c r="CY54" s="937">
        <f>CY53/CY34</f>
        <v>0.11835979835542344</v>
      </c>
      <c r="CZ54" s="1281">
        <v>0.1</v>
      </c>
      <c r="DA54" s="1216">
        <v>0.06</v>
      </c>
      <c r="DB54" s="937">
        <f>DB53/DB34</f>
        <v>7.9425520895581872E-2</v>
      </c>
      <c r="DC54" s="1974">
        <v>0.125</v>
      </c>
      <c r="DD54" s="540">
        <f>DD53/DD34</f>
        <v>0.13049223035048663</v>
      </c>
      <c r="DE54" s="1216">
        <v>7.0000000000000007E-2</v>
      </c>
      <c r="DF54" s="539">
        <f>DF53/DF34</f>
        <v>0.12785678171141723</v>
      </c>
      <c r="DG54" s="541">
        <v>0.1</v>
      </c>
      <c r="DH54" s="989">
        <f>DN54</f>
        <v>0.105</v>
      </c>
      <c r="DI54" s="539">
        <f>DI53/DI34</f>
        <v>0.105</v>
      </c>
      <c r="DJ54" s="989">
        <f>DN54</f>
        <v>0.105</v>
      </c>
      <c r="DK54" s="540">
        <f>DK53/DK34</f>
        <v>0.10499999999999997</v>
      </c>
      <c r="DL54" s="989">
        <f>DN54</f>
        <v>0.105</v>
      </c>
      <c r="DM54" s="539">
        <f>DM53/DM34</f>
        <v>0.10499999999999998</v>
      </c>
      <c r="DN54" s="541">
        <v>0.105</v>
      </c>
      <c r="DO54" s="989">
        <f>DU54</f>
        <v>0.11</v>
      </c>
      <c r="DP54" s="539">
        <f>DP53/DP34</f>
        <v>0.11</v>
      </c>
      <c r="DQ54" s="989">
        <f>DU54</f>
        <v>0.11</v>
      </c>
      <c r="DR54" s="540">
        <f>DR53/DR34</f>
        <v>0.10999999999999997</v>
      </c>
      <c r="DS54" s="989">
        <f>DU54</f>
        <v>0.11</v>
      </c>
      <c r="DT54" s="539">
        <f>DT53/DT34</f>
        <v>0.10999999999999999</v>
      </c>
      <c r="DU54" s="541">
        <v>0.11</v>
      </c>
      <c r="DV54" s="989">
        <f>EB54</f>
        <v>0.11</v>
      </c>
      <c r="DW54" s="539">
        <f>DW53/DW34</f>
        <v>0.11</v>
      </c>
      <c r="DX54" s="989">
        <f>EB54</f>
        <v>0.11</v>
      </c>
      <c r="DY54" s="540">
        <f>DY53/DY34</f>
        <v>0.11000000000000001</v>
      </c>
      <c r="DZ54" s="989">
        <f>EB54</f>
        <v>0.11</v>
      </c>
      <c r="EA54" s="539">
        <f>EA53/EA34</f>
        <v>0.11000000000000001</v>
      </c>
      <c r="EB54" s="1008">
        <f>+DU54</f>
        <v>0.11</v>
      </c>
      <c r="EC54" s="989">
        <f>EI54</f>
        <v>0.11</v>
      </c>
      <c r="ED54" s="539">
        <f>ED53/ED34</f>
        <v>0.11</v>
      </c>
      <c r="EE54" s="989">
        <f>EI54</f>
        <v>0.11</v>
      </c>
      <c r="EF54" s="540">
        <f>EF53/EF34</f>
        <v>0.10999999999999996</v>
      </c>
      <c r="EG54" s="989">
        <f>EI54</f>
        <v>0.11</v>
      </c>
      <c r="EH54" s="539">
        <f>EH53/EH34</f>
        <v>0.10999999999999999</v>
      </c>
      <c r="EI54" s="1008">
        <f>+EB54</f>
        <v>0.11</v>
      </c>
      <c r="EJ54" s="128"/>
      <c r="EK54" s="128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</row>
    <row r="55" spans="1:187" ht="10.5" customHeight="1">
      <c r="A55" s="43"/>
      <c r="B55" s="78"/>
      <c r="C55" s="78"/>
      <c r="D55" s="245"/>
      <c r="E55" s="108"/>
      <c r="F55" s="108"/>
      <c r="G55" s="108"/>
      <c r="H55" s="108"/>
      <c r="I55" s="108"/>
      <c r="J55" s="108"/>
      <c r="K55" s="108"/>
      <c r="L55" s="108"/>
      <c r="M55" s="108"/>
      <c r="N55" s="43"/>
      <c r="O55" s="108"/>
      <c r="P55" s="43"/>
      <c r="Q55" s="700"/>
      <c r="R55" s="108"/>
      <c r="S55" s="108"/>
      <c r="T55" s="353"/>
      <c r="U55" s="43"/>
      <c r="V55" s="108"/>
      <c r="W55" s="43"/>
      <c r="X55" s="700"/>
      <c r="Y55" s="108"/>
      <c r="Z55" s="108"/>
      <c r="AA55" s="353"/>
      <c r="AB55" s="43"/>
      <c r="AC55" s="108"/>
      <c r="AD55" s="43"/>
      <c r="AE55" s="700"/>
      <c r="AF55" s="108"/>
      <c r="AG55" s="108"/>
      <c r="AH55" s="353"/>
      <c r="AI55" s="43"/>
      <c r="AJ55" s="108"/>
      <c r="AK55" s="43"/>
      <c r="AL55" s="700"/>
      <c r="AM55" s="108"/>
      <c r="AN55" s="108"/>
      <c r="AO55" s="353"/>
      <c r="AP55" s="43"/>
      <c r="AQ55" s="108"/>
      <c r="AR55" s="43"/>
      <c r="AS55" s="700"/>
      <c r="AT55" s="108"/>
      <c r="AU55" s="108"/>
      <c r="AV55" s="353"/>
      <c r="AW55" s="43"/>
      <c r="AX55" s="108"/>
      <c r="AY55" s="43"/>
      <c r="AZ55" s="700"/>
      <c r="BA55" s="108"/>
      <c r="BB55" s="108"/>
      <c r="BC55" s="353"/>
      <c r="BD55" s="43"/>
      <c r="BE55" s="108"/>
      <c r="BF55" s="43"/>
      <c r="BG55" s="700"/>
      <c r="BH55" s="108"/>
      <c r="BI55" s="108"/>
      <c r="BJ55" s="353"/>
      <c r="BK55" s="43"/>
      <c r="BL55" s="108"/>
      <c r="BM55" s="43"/>
      <c r="BN55" s="700"/>
      <c r="BO55" s="108"/>
      <c r="BP55" s="108"/>
      <c r="BQ55" s="353"/>
      <c r="BR55" s="43"/>
      <c r="BS55" s="108"/>
      <c r="BT55" s="43"/>
      <c r="BU55" s="700"/>
      <c r="BV55" s="108"/>
      <c r="BW55" s="108"/>
      <c r="BX55" s="353"/>
      <c r="BY55" s="43"/>
      <c r="BZ55" s="108"/>
      <c r="CA55" s="43"/>
      <c r="CB55" s="700"/>
      <c r="CC55" s="108"/>
      <c r="CD55" s="108"/>
      <c r="CE55" s="353"/>
      <c r="CF55" s="43"/>
      <c r="CG55" s="108"/>
      <c r="CH55" s="43"/>
      <c r="CI55" s="700"/>
      <c r="CJ55" s="108"/>
      <c r="CK55" s="108"/>
      <c r="CL55" s="353"/>
      <c r="CM55" s="43"/>
      <c r="CN55" s="108"/>
      <c r="CO55" s="43"/>
      <c r="CP55" s="700"/>
      <c r="CQ55" s="43"/>
      <c r="CR55" s="108"/>
      <c r="CS55" s="353"/>
      <c r="CT55" s="43"/>
      <c r="CU55" s="108"/>
      <c r="CV55" s="43"/>
      <c r="CW55" s="700"/>
      <c r="CX55" s="43"/>
      <c r="CY55" s="108"/>
      <c r="CZ55" s="353"/>
      <c r="DA55" s="43"/>
      <c r="DB55" s="108"/>
      <c r="DC55" s="43"/>
      <c r="DD55" s="700"/>
      <c r="DE55" s="43"/>
      <c r="DF55" s="108"/>
      <c r="DG55" s="353"/>
      <c r="DH55" s="43"/>
      <c r="DI55" s="108"/>
      <c r="DJ55" s="43"/>
      <c r="DK55" s="700"/>
      <c r="DL55" s="43"/>
      <c r="DM55" s="108"/>
      <c r="DN55" s="353"/>
      <c r="DO55" s="43"/>
      <c r="DP55" s="108"/>
      <c r="DQ55" s="43"/>
      <c r="DR55" s="700"/>
      <c r="DS55" s="43"/>
      <c r="DT55" s="108"/>
      <c r="DU55" s="353"/>
      <c r="DV55" s="43"/>
      <c r="DW55" s="108"/>
      <c r="DX55" s="43"/>
      <c r="DY55" s="700"/>
      <c r="DZ55" s="43"/>
      <c r="EA55" s="108"/>
      <c r="EB55" s="353"/>
      <c r="EC55" s="43"/>
      <c r="ED55" s="108"/>
      <c r="EE55" s="43"/>
      <c r="EF55" s="700"/>
      <c r="EG55" s="43"/>
      <c r="EH55" s="108"/>
      <c r="EI55" s="353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</row>
    <row r="56" spans="1:187" s="230" customFormat="1" ht="10.5" customHeight="1">
      <c r="A56" s="48" t="s">
        <v>769</v>
      </c>
      <c r="B56" s="2062"/>
      <c r="C56" s="2063"/>
      <c r="D56" s="206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691"/>
      <c r="R56" s="120"/>
      <c r="S56" s="120"/>
      <c r="T56" s="1299">
        <f t="shared" ref="T56:CF56" si="765">T7</f>
        <v>397</v>
      </c>
      <c r="U56" s="120"/>
      <c r="V56" s="120"/>
      <c r="W56" s="120"/>
      <c r="X56" s="691"/>
      <c r="Y56" s="120"/>
      <c r="Z56" s="120"/>
      <c r="AA56" s="1299">
        <f t="shared" si="765"/>
        <v>413</v>
      </c>
      <c r="AB56" s="120"/>
      <c r="AC56" s="120"/>
      <c r="AD56" s="120"/>
      <c r="AE56" s="691"/>
      <c r="AF56" s="120"/>
      <c r="AG56" s="120"/>
      <c r="AH56" s="1299">
        <f t="shared" si="765"/>
        <v>427</v>
      </c>
      <c r="AI56" s="120"/>
      <c r="AJ56" s="120"/>
      <c r="AK56" s="120"/>
      <c r="AL56" s="691"/>
      <c r="AM56" s="120"/>
      <c r="AN56" s="120"/>
      <c r="AO56" s="1299">
        <f t="shared" si="765"/>
        <v>350</v>
      </c>
      <c r="AP56" s="120"/>
      <c r="AQ56" s="120"/>
      <c r="AR56" s="120"/>
      <c r="AS56" s="691"/>
      <c r="AT56" s="120"/>
      <c r="AU56" s="120"/>
      <c r="AV56" s="1299">
        <f t="shared" si="765"/>
        <v>337</v>
      </c>
      <c r="AW56" s="120"/>
      <c r="AX56" s="120"/>
      <c r="AY56" s="120"/>
      <c r="AZ56" s="691"/>
      <c r="BA56" s="120"/>
      <c r="BB56" s="120"/>
      <c r="BC56" s="1299">
        <f t="shared" si="765"/>
        <v>380</v>
      </c>
      <c r="BD56" s="120"/>
      <c r="BE56" s="120"/>
      <c r="BF56" s="120"/>
      <c r="BG56" s="691"/>
      <c r="BH56" s="120"/>
      <c r="BI56" s="120"/>
      <c r="BJ56" s="1299">
        <f t="shared" si="765"/>
        <v>422</v>
      </c>
      <c r="BK56" s="120"/>
      <c r="BL56" s="120"/>
      <c r="BM56" s="120"/>
      <c r="BN56" s="691"/>
      <c r="BO56" s="120"/>
      <c r="BP56" s="120"/>
      <c r="BQ56" s="1299">
        <f t="shared" si="765"/>
        <v>471</v>
      </c>
      <c r="BR56" s="120"/>
      <c r="BS56" s="120"/>
      <c r="BT56" s="120"/>
      <c r="BU56" s="691"/>
      <c r="BV56" s="120"/>
      <c r="BW56" s="120"/>
      <c r="BX56" s="1299">
        <f t="shared" si="765"/>
        <v>535</v>
      </c>
      <c r="BY56" s="120"/>
      <c r="BZ56" s="120"/>
      <c r="CA56" s="120"/>
      <c r="CB56" s="691"/>
      <c r="CC56" s="120"/>
      <c r="CD56" s="120"/>
      <c r="CE56" s="1299">
        <f t="shared" si="765"/>
        <v>639</v>
      </c>
      <c r="CF56" s="120">
        <f t="shared" si="765"/>
        <v>156</v>
      </c>
      <c r="CG56" s="120">
        <f t="shared" ref="CG56:DK56" si="766">CG53+CG50</f>
        <v>118</v>
      </c>
      <c r="CH56" s="120">
        <f t="shared" ref="CH56" si="767">CH7</f>
        <v>143</v>
      </c>
      <c r="CI56" s="691">
        <f t="shared" si="766"/>
        <v>318</v>
      </c>
      <c r="CJ56" s="120">
        <f t="shared" ref="CJ56" si="768">CJ7</f>
        <v>274</v>
      </c>
      <c r="CK56" s="120">
        <f t="shared" si="766"/>
        <v>461</v>
      </c>
      <c r="CL56" s="1299">
        <f t="shared" ref="CL56:CM56" si="769">CL7</f>
        <v>735</v>
      </c>
      <c r="CM56" s="120">
        <f t="shared" si="769"/>
        <v>71</v>
      </c>
      <c r="CN56" s="120">
        <f t="shared" ref="CN56" si="770">CN53+CN50</f>
        <v>159</v>
      </c>
      <c r="CO56" s="120">
        <f t="shared" ref="CO56" si="771">CO7</f>
        <v>190</v>
      </c>
      <c r="CP56" s="691">
        <f t="shared" ref="CP56" si="772">CP53+CP50</f>
        <v>398</v>
      </c>
      <c r="CQ56" s="120">
        <f t="shared" ref="CQ56" si="773">CQ7</f>
        <v>230</v>
      </c>
      <c r="CR56" s="120">
        <f t="shared" ref="CR56" si="774">CR53+CR50</f>
        <v>588</v>
      </c>
      <c r="CS56" s="1299">
        <f t="shared" ref="CS56:CT56" si="775">CS7</f>
        <v>818</v>
      </c>
      <c r="CT56" s="120">
        <f t="shared" si="775"/>
        <v>78</v>
      </c>
      <c r="CU56" s="120">
        <f t="shared" ref="CU56" si="776">CU53+CU50</f>
        <v>171</v>
      </c>
      <c r="CV56" s="120">
        <f t="shared" ref="CV56" si="777">CV7</f>
        <v>246</v>
      </c>
      <c r="CW56" s="691">
        <f t="shared" ref="CW56" si="778">CW53+CW50</f>
        <v>430</v>
      </c>
      <c r="CX56" s="120">
        <f t="shared" ref="CX56" si="779">CX7</f>
        <v>249</v>
      </c>
      <c r="CY56" s="120">
        <f t="shared" ref="CY56" si="780">CY53+CY50</f>
        <v>676</v>
      </c>
      <c r="CZ56" s="1299">
        <f t="shared" ref="CZ56:DA56" si="781">CZ7</f>
        <v>925</v>
      </c>
      <c r="DA56" s="120">
        <f t="shared" si="781"/>
        <v>65</v>
      </c>
      <c r="DB56" s="120">
        <f t="shared" ref="DB56" si="782">DB53+DB50</f>
        <v>175</v>
      </c>
      <c r="DC56" s="446">
        <f t="shared" si="766"/>
        <v>260.24090624999997</v>
      </c>
      <c r="DD56" s="447">
        <f t="shared" si="766"/>
        <v>463.51285143000007</v>
      </c>
      <c r="DE56" s="120">
        <f t="shared" ref="DE56" si="783">DE7</f>
        <v>240</v>
      </c>
      <c r="DF56" s="446">
        <f t="shared" si="766"/>
        <v>723.75375768000004</v>
      </c>
      <c r="DG56" s="2064">
        <f t="shared" si="766"/>
        <v>963.75375768000004</v>
      </c>
      <c r="DH56" s="446">
        <f t="shared" si="766"/>
        <v>179.59914215999999</v>
      </c>
      <c r="DI56" s="446">
        <f t="shared" si="766"/>
        <v>233.37480023999996</v>
      </c>
      <c r="DJ56" s="446">
        <f t="shared" si="766"/>
        <v>234.036926532</v>
      </c>
      <c r="DK56" s="447">
        <f t="shared" si="766"/>
        <v>408.51237555590416</v>
      </c>
      <c r="DL56" s="446">
        <f t="shared" ref="DL56:EI56" si="784">DL53+DL50</f>
        <v>412.97394239999994</v>
      </c>
      <c r="DM56" s="446">
        <f t="shared" si="784"/>
        <v>642.54930208790415</v>
      </c>
      <c r="DN56" s="2064">
        <f t="shared" si="784"/>
        <v>1055.5232444879041</v>
      </c>
      <c r="DO56" s="446">
        <f t="shared" si="784"/>
        <v>196.63263785577601</v>
      </c>
      <c r="DP56" s="446">
        <f t="shared" si="784"/>
        <v>255.20220849686402</v>
      </c>
      <c r="DQ56" s="446">
        <f t="shared" si="784"/>
        <v>255.92764302754023</v>
      </c>
      <c r="DR56" s="447">
        <f t="shared" si="784"/>
        <v>445.81787531029966</v>
      </c>
      <c r="DS56" s="446">
        <f t="shared" si="784"/>
        <v>451.83484635264006</v>
      </c>
      <c r="DT56" s="446">
        <f t="shared" si="784"/>
        <v>701.74551833783983</v>
      </c>
      <c r="DU56" s="2064">
        <f t="shared" si="784"/>
        <v>1153.5803646904799</v>
      </c>
      <c r="DV56" s="446">
        <f t="shared" si="784"/>
        <v>209.38143385857325</v>
      </c>
      <c r="DW56" s="446">
        <f t="shared" si="784"/>
        <v>272.71732658450844</v>
      </c>
      <c r="DX56" s="446">
        <f t="shared" si="784"/>
        <v>273.48817836678359</v>
      </c>
      <c r="DY56" s="447">
        <f t="shared" si="784"/>
        <v>479.27380823613396</v>
      </c>
      <c r="DZ56" s="446">
        <f t="shared" si="784"/>
        <v>482.09876044308174</v>
      </c>
      <c r="EA56" s="446">
        <f t="shared" si="784"/>
        <v>752.76198660291766</v>
      </c>
      <c r="EB56" s="2064">
        <f t="shared" si="784"/>
        <v>1234.8607470459992</v>
      </c>
      <c r="EC56" s="446">
        <f t="shared" si="784"/>
        <v>218.99732346117963</v>
      </c>
      <c r="ED56" s="446">
        <f t="shared" si="784"/>
        <v>284.96249728460259</v>
      </c>
      <c r="EE56" s="446">
        <f t="shared" si="784"/>
        <v>285.76921686708766</v>
      </c>
      <c r="EF56" s="447">
        <f t="shared" si="784"/>
        <v>499.97206307760376</v>
      </c>
      <c r="EG56" s="446">
        <f t="shared" si="784"/>
        <v>503.95982074578228</v>
      </c>
      <c r="EH56" s="446">
        <f t="shared" si="784"/>
        <v>785.74127994469143</v>
      </c>
      <c r="EI56" s="2064">
        <f t="shared" si="784"/>
        <v>1289.7011006904736</v>
      </c>
      <c r="EJ56" s="2065"/>
      <c r="EK56" s="2065"/>
      <c r="EL56" s="163"/>
      <c r="EM56" s="163"/>
      <c r="EN56" s="163"/>
      <c r="EO56" s="163"/>
      <c r="EP56" s="163"/>
      <c r="EQ56" s="163"/>
      <c r="ER56" s="163"/>
      <c r="ES56" s="163"/>
      <c r="ET56" s="163"/>
      <c r="EU56" s="163"/>
      <c r="EV56" s="163"/>
      <c r="EW56" s="163"/>
      <c r="EX56" s="163"/>
      <c r="EY56" s="163"/>
      <c r="EZ56" s="163"/>
      <c r="FA56" s="163"/>
      <c r="FB56" s="163"/>
      <c r="FC56" s="163"/>
      <c r="FD56" s="163"/>
      <c r="FE56" s="163"/>
      <c r="FF56" s="163"/>
      <c r="FG56" s="163"/>
      <c r="FH56" s="163"/>
      <c r="FI56" s="163"/>
      <c r="FJ56" s="163"/>
      <c r="FK56" s="163"/>
      <c r="FL56" s="163"/>
      <c r="FM56" s="163"/>
      <c r="FN56" s="163"/>
      <c r="FO56" s="163"/>
      <c r="FP56" s="163"/>
      <c r="FQ56" s="163"/>
      <c r="FR56" s="163"/>
      <c r="FS56" s="163"/>
      <c r="FT56" s="163"/>
      <c r="FU56" s="163"/>
      <c r="FV56" s="163"/>
      <c r="FW56" s="163"/>
      <c r="FX56" s="163"/>
      <c r="FY56" s="163"/>
      <c r="FZ56" s="163"/>
      <c r="GA56" s="163"/>
      <c r="GB56" s="163"/>
      <c r="GC56" s="163"/>
      <c r="GD56" s="163"/>
      <c r="GE56" s="163"/>
    </row>
    <row r="57" spans="1:187" ht="10.5" customHeight="1">
      <c r="A57" s="51" t="s">
        <v>31</v>
      </c>
      <c r="B57" s="183"/>
      <c r="C57" s="184"/>
      <c r="D57" s="184"/>
      <c r="E57" s="185"/>
      <c r="F57" s="185"/>
      <c r="G57" s="185"/>
      <c r="H57" s="185"/>
      <c r="I57" s="185"/>
      <c r="J57" s="185"/>
      <c r="K57" s="185"/>
      <c r="L57" s="185"/>
      <c r="M57" s="185"/>
      <c r="N57" s="115"/>
      <c r="O57" s="115"/>
      <c r="P57" s="115"/>
      <c r="Q57" s="683"/>
      <c r="R57" s="115"/>
      <c r="S57" s="115"/>
      <c r="T57" s="341">
        <f t="shared" ref="T57:CT57" si="785">T56/T24</f>
        <v>6.3045894870573285E-2</v>
      </c>
      <c r="U57" s="115"/>
      <c r="V57" s="115"/>
      <c r="W57" s="115"/>
      <c r="X57" s="683"/>
      <c r="Y57" s="115"/>
      <c r="Z57" s="115"/>
      <c r="AA57" s="341">
        <f t="shared" si="785"/>
        <v>6.3304721030042921E-2</v>
      </c>
      <c r="AB57" s="115"/>
      <c r="AC57" s="115"/>
      <c r="AD57" s="115"/>
      <c r="AE57" s="683"/>
      <c r="AF57" s="115"/>
      <c r="AG57" s="115"/>
      <c r="AH57" s="341">
        <f t="shared" si="785"/>
        <v>6.292366637194223E-2</v>
      </c>
      <c r="AI57" s="115"/>
      <c r="AJ57" s="115"/>
      <c r="AK57" s="115"/>
      <c r="AL57" s="683"/>
      <c r="AM57" s="115"/>
      <c r="AN57" s="115"/>
      <c r="AO57" s="341">
        <f t="shared" si="785"/>
        <v>5.2615754660252555E-2</v>
      </c>
      <c r="AP57" s="115"/>
      <c r="AQ57" s="115"/>
      <c r="AR57" s="115"/>
      <c r="AS57" s="683"/>
      <c r="AT57" s="115"/>
      <c r="AU57" s="115"/>
      <c r="AV57" s="341">
        <f t="shared" si="785"/>
        <v>5.2248062015503874E-2</v>
      </c>
      <c r="AW57" s="115"/>
      <c r="AX57" s="115"/>
      <c r="AY57" s="115"/>
      <c r="AZ57" s="683"/>
      <c r="BA57" s="115"/>
      <c r="BB57" s="115"/>
      <c r="BC57" s="341">
        <f t="shared" si="785"/>
        <v>6.4037748567576672E-2</v>
      </c>
      <c r="BD57" s="115"/>
      <c r="BE57" s="115"/>
      <c r="BF57" s="115"/>
      <c r="BG57" s="683"/>
      <c r="BH57" s="115"/>
      <c r="BI57" s="115"/>
      <c r="BJ57" s="341">
        <f t="shared" si="785"/>
        <v>7.0251373397702682E-2</v>
      </c>
      <c r="BK57" s="115"/>
      <c r="BL57" s="115"/>
      <c r="BM57" s="115"/>
      <c r="BN57" s="683"/>
      <c r="BO57" s="115"/>
      <c r="BP57" s="115"/>
      <c r="BQ57" s="341">
        <f t="shared" si="785"/>
        <v>7.5347944328907374E-2</v>
      </c>
      <c r="BR57" s="115"/>
      <c r="BS57" s="115"/>
      <c r="BT57" s="115"/>
      <c r="BU57" s="683"/>
      <c r="BV57" s="115"/>
      <c r="BW57" s="115"/>
      <c r="BX57" s="341">
        <f t="shared" si="785"/>
        <v>8.219388538946075E-2</v>
      </c>
      <c r="BY57" s="115"/>
      <c r="BZ57" s="115"/>
      <c r="CA57" s="115"/>
      <c r="CB57" s="683"/>
      <c r="CC57" s="115"/>
      <c r="CD57" s="115"/>
      <c r="CE57" s="341">
        <f t="shared" si="785"/>
        <v>9.0664018161180471E-2</v>
      </c>
      <c r="CF57" s="115">
        <f t="shared" si="785"/>
        <v>9.7622027534418024E-2</v>
      </c>
      <c r="CG57" s="115">
        <f>CG56/CG24</f>
        <v>7.3934837092731825E-2</v>
      </c>
      <c r="CH57" s="115">
        <f t="shared" ref="CH57" si="786">CH56/CH24</f>
        <v>9.7411444141689368E-2</v>
      </c>
      <c r="CI57" s="683">
        <f>CI56/CI24</f>
        <v>0.11887850467289719</v>
      </c>
      <c r="CJ57" s="115">
        <f t="shared" ref="CJ57" si="787">CJ56/CJ24</f>
        <v>8.5785848465873518E-2</v>
      </c>
      <c r="CK57" s="115">
        <f>CK56/CK24</f>
        <v>0.11127202510258268</v>
      </c>
      <c r="CL57" s="341">
        <f t="shared" ref="CL57:CM57" si="788">CL56/CL24</f>
        <v>0.10017718413520513</v>
      </c>
      <c r="CM57" s="115">
        <f t="shared" si="788"/>
        <v>4.8596851471594801E-2</v>
      </c>
      <c r="CN57" s="115">
        <f>CN56/CN24</f>
        <v>9.1907514450867048E-2</v>
      </c>
      <c r="CO57" s="115">
        <f t="shared" ref="CO57" si="789">CO56/CO24</f>
        <v>0.11282660332541568</v>
      </c>
      <c r="CP57" s="683">
        <f>CP56/CP24</f>
        <v>0.12981082844096542</v>
      </c>
      <c r="CQ57" s="115">
        <f t="shared" si="785"/>
        <v>7.2077718583516137E-2</v>
      </c>
      <c r="CR57" s="115">
        <f>CR56/CR24</f>
        <v>0.12378947368421053</v>
      </c>
      <c r="CS57" s="341">
        <f t="shared" si="785"/>
        <v>0.10300969651177433</v>
      </c>
      <c r="CT57" s="115">
        <f t="shared" si="785"/>
        <v>4.8750000000000002E-2</v>
      </c>
      <c r="CU57" s="115">
        <f>CU56/CU24</f>
        <v>8.1700907787864305E-2</v>
      </c>
      <c r="CV57" s="115">
        <f t="shared" ref="CV57" si="790">CV56/CV24</f>
        <v>0.12557427258805512</v>
      </c>
      <c r="CW57" s="683">
        <f>CW56/CW24</f>
        <v>0.12951807228915663</v>
      </c>
      <c r="CX57" s="115">
        <f t="shared" ref="CX57:DA57" si="791">CX56/CX24</f>
        <v>6.7424857839155153E-2</v>
      </c>
      <c r="CY57" s="115">
        <f>CY56/CY24</f>
        <v>0.12805455578708089</v>
      </c>
      <c r="CZ57" s="341">
        <f t="shared" si="791"/>
        <v>0.10309852875613018</v>
      </c>
      <c r="DA57" s="115">
        <f t="shared" si="791"/>
        <v>4.0523690773067333E-2</v>
      </c>
      <c r="DB57" s="115">
        <f>DB56/DB24</f>
        <v>8.4296724470134879E-2</v>
      </c>
      <c r="DC57" s="403">
        <f t="shared" ref="DC57:DF57" si="792">DC56/DC24</f>
        <v>0.125</v>
      </c>
      <c r="DD57" s="432">
        <f t="shared" si="792"/>
        <v>0.12841192399665705</v>
      </c>
      <c r="DE57" s="115">
        <f t="shared" si="792"/>
        <v>6.5217391304347824E-2</v>
      </c>
      <c r="DF57" s="403">
        <f t="shared" si="792"/>
        <v>0.12716385740021433</v>
      </c>
      <c r="DG57" s="402">
        <f t="shared" ref="DG57:EI57" si="793">DG56/DG24</f>
        <v>0.10283873673084876</v>
      </c>
      <c r="DH57" s="403">
        <f t="shared" si="793"/>
        <v>0.10703890010553846</v>
      </c>
      <c r="DI57" s="403">
        <f t="shared" si="793"/>
        <v>0.10757032141699382</v>
      </c>
      <c r="DJ57" s="403">
        <f t="shared" si="793"/>
        <v>0.10756792193363679</v>
      </c>
      <c r="DK57" s="432">
        <f t="shared" si="793"/>
        <v>0.10847688184832793</v>
      </c>
      <c r="DL57" s="403">
        <f t="shared" si="793"/>
        <v>0.10733856342683988</v>
      </c>
      <c r="DM57" s="403">
        <f t="shared" si="793"/>
        <v>0.10814403652582308</v>
      </c>
      <c r="DN57" s="402">
        <f t="shared" si="793"/>
        <v>0.10782745943585686</v>
      </c>
      <c r="DO57" s="403">
        <f t="shared" si="793"/>
        <v>0.11202781899896624</v>
      </c>
      <c r="DP57" s="403">
        <f t="shared" si="793"/>
        <v>0.11255884796261427</v>
      </c>
      <c r="DQ57" s="403">
        <f t="shared" si="793"/>
        <v>0.1125564479204141</v>
      </c>
      <c r="DR57" s="432">
        <f t="shared" si="793"/>
        <v>0.11346713631981485</v>
      </c>
      <c r="DS57" s="403">
        <f t="shared" si="793"/>
        <v>0.11232713363479145</v>
      </c>
      <c r="DT57" s="403">
        <f t="shared" si="793"/>
        <v>0.11313330471662808</v>
      </c>
      <c r="DU57" s="402">
        <f t="shared" si="793"/>
        <v>0.11281616856537247</v>
      </c>
      <c r="DV57" s="403">
        <f t="shared" si="793"/>
        <v>0.11403351419767278</v>
      </c>
      <c r="DW57" s="403">
        <f t="shared" si="793"/>
        <v>0.11509474405472483</v>
      </c>
      <c r="DX57" s="403">
        <f t="shared" si="793"/>
        <v>0.11508994305478623</v>
      </c>
      <c r="DY57" s="432">
        <f t="shared" si="793"/>
        <v>0.11691471220374307</v>
      </c>
      <c r="DZ57" s="403">
        <f t="shared" si="793"/>
        <v>0.11463142219900606</v>
      </c>
      <c r="EA57" s="403">
        <f t="shared" si="793"/>
        <v>0.11624509581682166</v>
      </c>
      <c r="EB57" s="402">
        <f t="shared" si="793"/>
        <v>0.11560972914395035</v>
      </c>
      <c r="EC57" s="403">
        <f t="shared" si="793"/>
        <v>0.11401142964126988</v>
      </c>
      <c r="ED57" s="403">
        <f t="shared" si="793"/>
        <v>0.11507178818928665</v>
      </c>
      <c r="EE57" s="403">
        <f t="shared" si="793"/>
        <v>0.11506698647611187</v>
      </c>
      <c r="EF57" s="432">
        <f t="shared" si="793"/>
        <v>0.11689508284737565</v>
      </c>
      <c r="EG57" s="403">
        <f t="shared" si="793"/>
        <v>0.11460859259081518</v>
      </c>
      <c r="EH57" s="403">
        <f t="shared" si="793"/>
        <v>0.1162235329380551</v>
      </c>
      <c r="EI57" s="402">
        <f t="shared" si="793"/>
        <v>0.1155870958208112</v>
      </c>
      <c r="EJ57" s="115"/>
      <c r="EK57" s="115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</row>
    <row r="58" spans="1:187" ht="10.5" customHeight="1">
      <c r="A58" s="51"/>
      <c r="B58" s="166"/>
      <c r="C58" s="166"/>
      <c r="D58" s="166"/>
      <c r="E58" s="770"/>
      <c r="F58" s="770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684"/>
      <c r="R58" s="54"/>
      <c r="S58" s="54"/>
      <c r="T58" s="555"/>
      <c r="U58" s="54"/>
      <c r="V58" s="54"/>
      <c r="W58" s="54"/>
      <c r="X58" s="684"/>
      <c r="Y58" s="54"/>
      <c r="Z58" s="54"/>
      <c r="AA58" s="555"/>
      <c r="AB58" s="54"/>
      <c r="AC58" s="54"/>
      <c r="AD58" s="54"/>
      <c r="AE58" s="684"/>
      <c r="AF58" s="54"/>
      <c r="AG58" s="54"/>
      <c r="AH58" s="555"/>
      <c r="AI58" s="54"/>
      <c r="AJ58" s="54"/>
      <c r="AK58" s="54"/>
      <c r="AL58" s="684"/>
      <c r="AM58" s="54"/>
      <c r="AN58" s="54"/>
      <c r="AO58" s="555"/>
      <c r="AP58" s="54"/>
      <c r="AQ58" s="54"/>
      <c r="AR58" s="54"/>
      <c r="AS58" s="684"/>
      <c r="AT58" s="54"/>
      <c r="AU58" s="54"/>
      <c r="AV58" s="555"/>
      <c r="AW58" s="54"/>
      <c r="AX58" s="54"/>
      <c r="AY58" s="54"/>
      <c r="AZ58" s="684"/>
      <c r="BA58" s="54"/>
      <c r="BB58" s="54"/>
      <c r="BC58" s="555"/>
      <c r="BD58" s="54"/>
      <c r="BE58" s="54"/>
      <c r="BF58" s="54"/>
      <c r="BG58" s="684"/>
      <c r="BH58" s="54"/>
      <c r="BI58" s="54"/>
      <c r="BJ58" s="555"/>
      <c r="BK58" s="54"/>
      <c r="BL58" s="54"/>
      <c r="BM58" s="54"/>
      <c r="BN58" s="684"/>
      <c r="BO58" s="54"/>
      <c r="BP58" s="54"/>
      <c r="BQ58" s="555"/>
      <c r="BR58" s="54"/>
      <c r="BS58" s="54"/>
      <c r="BT58" s="54"/>
      <c r="BU58" s="684"/>
      <c r="BV58" s="54"/>
      <c r="BW58" s="54"/>
      <c r="BX58" s="555"/>
      <c r="BY58" s="54"/>
      <c r="BZ58" s="54"/>
      <c r="CA58" s="54"/>
      <c r="CB58" s="684"/>
      <c r="CC58" s="54"/>
      <c r="CD58" s="54"/>
      <c r="CE58" s="555"/>
      <c r="CF58" s="54"/>
      <c r="CG58" s="54"/>
      <c r="CH58" s="54"/>
      <c r="CI58" s="684"/>
      <c r="CJ58" s="54"/>
      <c r="CK58" s="54"/>
      <c r="CL58" s="555"/>
      <c r="CM58" s="54"/>
      <c r="CN58" s="54"/>
      <c r="CO58" s="54"/>
      <c r="CP58" s="684"/>
      <c r="CQ58" s="54"/>
      <c r="CR58" s="54"/>
      <c r="CS58" s="555"/>
      <c r="CT58" s="54"/>
      <c r="CU58" s="54"/>
      <c r="CV58" s="54"/>
      <c r="CW58" s="684"/>
      <c r="CX58" s="54"/>
      <c r="CY58" s="54"/>
      <c r="CZ58" s="555"/>
      <c r="DA58" s="54"/>
      <c r="DB58" s="54"/>
      <c r="DC58" s="54"/>
      <c r="DD58" s="684"/>
      <c r="DE58" s="54"/>
      <c r="DF58" s="54"/>
      <c r="DG58" s="555"/>
      <c r="DH58" s="54"/>
      <c r="DI58" s="54"/>
      <c r="DJ58" s="54"/>
      <c r="DK58" s="684"/>
      <c r="DL58" s="54"/>
      <c r="DM58" s="54"/>
      <c r="DN58" s="555"/>
      <c r="DO58" s="54"/>
      <c r="DP58" s="54"/>
      <c r="DQ58" s="54"/>
      <c r="DR58" s="684"/>
      <c r="DS58" s="54"/>
      <c r="DT58" s="54"/>
      <c r="DU58" s="555"/>
      <c r="DV58" s="54"/>
      <c r="DW58" s="54"/>
      <c r="DX58" s="54"/>
      <c r="DY58" s="684"/>
      <c r="DZ58" s="54"/>
      <c r="EA58" s="54"/>
      <c r="EB58" s="555"/>
      <c r="EC58" s="54"/>
      <c r="ED58" s="54"/>
      <c r="EE58" s="54"/>
      <c r="EF58" s="684"/>
      <c r="EG58" s="54"/>
      <c r="EH58" s="54"/>
      <c r="EI58" s="555"/>
      <c r="EJ58" s="47"/>
      <c r="EK58" s="47"/>
      <c r="EL58" s="47"/>
      <c r="EM58" s="108"/>
      <c r="EN58" s="108"/>
      <c r="EO58" s="108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</row>
    <row r="59" spans="1:187" ht="10.5" customHeight="1">
      <c r="A59" s="178" t="s">
        <v>765</v>
      </c>
      <c r="B59" s="179"/>
      <c r="C59" s="179"/>
      <c r="D59" s="179"/>
      <c r="E59" s="180"/>
      <c r="F59" s="180"/>
      <c r="G59" s="181"/>
      <c r="H59" s="181"/>
      <c r="I59" s="181"/>
      <c r="J59" s="182"/>
      <c r="K59" s="181"/>
      <c r="L59" s="181"/>
      <c r="M59" s="181"/>
      <c r="N59" s="181"/>
      <c r="O59" s="181"/>
      <c r="P59" s="181"/>
      <c r="Q59" s="960"/>
      <c r="R59" s="181"/>
      <c r="S59" s="181"/>
      <c r="T59" s="947"/>
      <c r="U59" s="181"/>
      <c r="V59" s="181"/>
      <c r="W59" s="181"/>
      <c r="X59" s="960"/>
      <c r="Y59" s="181"/>
      <c r="Z59" s="181"/>
      <c r="AA59" s="947"/>
      <c r="AB59" s="181"/>
      <c r="AC59" s="181"/>
      <c r="AD59" s="181"/>
      <c r="AE59" s="960"/>
      <c r="AF59" s="181"/>
      <c r="AG59" s="181"/>
      <c r="AH59" s="947"/>
      <c r="AI59" s="181"/>
      <c r="AJ59" s="181"/>
      <c r="AK59" s="181"/>
      <c r="AL59" s="960"/>
      <c r="AM59" s="181"/>
      <c r="AN59" s="181"/>
      <c r="AO59" s="947"/>
      <c r="AP59" s="181"/>
      <c r="AQ59" s="181"/>
      <c r="AR59" s="181"/>
      <c r="AS59" s="960"/>
      <c r="AT59" s="181"/>
      <c r="AU59" s="181"/>
      <c r="AV59" s="947"/>
      <c r="AW59" s="181"/>
      <c r="AX59" s="181"/>
      <c r="AY59" s="181"/>
      <c r="AZ59" s="960"/>
      <c r="BA59" s="181"/>
      <c r="BB59" s="181"/>
      <c r="BC59" s="947"/>
      <c r="BD59" s="181"/>
      <c r="BE59" s="181"/>
      <c r="BF59" s="181"/>
      <c r="BG59" s="960"/>
      <c r="BH59" s="181"/>
      <c r="BI59" s="181"/>
      <c r="BJ59" s="947"/>
      <c r="BK59" s="181"/>
      <c r="BL59" s="181"/>
      <c r="BM59" s="181"/>
      <c r="BN59" s="960"/>
      <c r="BO59" s="181"/>
      <c r="BP59" s="181"/>
      <c r="BQ59" s="947"/>
      <c r="BR59" s="181"/>
      <c r="BS59" s="181"/>
      <c r="BT59" s="181"/>
      <c r="BU59" s="960"/>
      <c r="BV59" s="181"/>
      <c r="BW59" s="181"/>
      <c r="BX59" s="947"/>
      <c r="BY59" s="181"/>
      <c r="BZ59" s="181"/>
      <c r="CA59" s="181"/>
      <c r="CB59" s="960"/>
      <c r="CC59" s="181"/>
      <c r="CD59" s="181"/>
      <c r="CE59" s="947"/>
      <c r="CF59" s="181"/>
      <c r="CG59" s="181"/>
      <c r="CH59" s="181"/>
      <c r="CI59" s="960"/>
      <c r="CJ59" s="181"/>
      <c r="CK59" s="181"/>
      <c r="CL59" s="947"/>
      <c r="CM59" s="181"/>
      <c r="CN59" s="181"/>
      <c r="CO59" s="181"/>
      <c r="CP59" s="960"/>
      <c r="CQ59" s="181"/>
      <c r="CR59" s="181"/>
      <c r="CS59" s="947"/>
      <c r="CT59" s="181"/>
      <c r="CU59" s="181"/>
      <c r="CV59" s="181"/>
      <c r="CW59" s="960"/>
      <c r="CX59" s="181"/>
      <c r="CY59" s="181"/>
      <c r="CZ59" s="947"/>
      <c r="DA59" s="181"/>
      <c r="DB59" s="181"/>
      <c r="DC59" s="181"/>
      <c r="DD59" s="960"/>
      <c r="DE59" s="181"/>
      <c r="DF59" s="181"/>
      <c r="DG59" s="947"/>
      <c r="DH59" s="181"/>
      <c r="DI59" s="181"/>
      <c r="DJ59" s="181"/>
      <c r="DK59" s="960"/>
      <c r="DL59" s="181"/>
      <c r="DM59" s="181"/>
      <c r="DN59" s="947"/>
      <c r="DO59" s="181"/>
      <c r="DP59" s="181"/>
      <c r="DQ59" s="181"/>
      <c r="DR59" s="960"/>
      <c r="DS59" s="181"/>
      <c r="DT59" s="181"/>
      <c r="DU59" s="947"/>
      <c r="DV59" s="181"/>
      <c r="DW59" s="181"/>
      <c r="DX59" s="181"/>
      <c r="DY59" s="960"/>
      <c r="DZ59" s="181"/>
      <c r="EA59" s="181"/>
      <c r="EB59" s="947"/>
      <c r="EC59" s="181"/>
      <c r="ED59" s="181"/>
      <c r="EE59" s="181"/>
      <c r="EF59" s="960"/>
      <c r="EG59" s="181"/>
      <c r="EH59" s="181"/>
      <c r="EI59" s="947"/>
      <c r="EJ59" s="56"/>
      <c r="EK59" s="56"/>
      <c r="EL59" s="47"/>
      <c r="EM59" s="48"/>
      <c r="EN59" s="108"/>
      <c r="EO59" s="108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</row>
    <row r="60" spans="1:187" ht="10.5" customHeight="1">
      <c r="A60" s="51"/>
      <c r="B60" s="166"/>
      <c r="C60" s="166"/>
      <c r="D60" s="166"/>
      <c r="E60" s="770"/>
      <c r="F60" s="770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684"/>
      <c r="R60" s="54"/>
      <c r="S60" s="54"/>
      <c r="T60" s="555"/>
      <c r="U60" s="54"/>
      <c r="V60" s="54"/>
      <c r="W60" s="54"/>
      <c r="X60" s="684"/>
      <c r="Y60" s="54"/>
      <c r="Z60" s="54"/>
      <c r="AA60" s="555"/>
      <c r="AB60" s="54"/>
      <c r="AC60" s="54"/>
      <c r="AD60" s="54"/>
      <c r="AE60" s="684"/>
      <c r="AF60" s="54"/>
      <c r="AG60" s="54"/>
      <c r="AH60" s="555"/>
      <c r="AI60" s="54"/>
      <c r="AJ60" s="54"/>
      <c r="AK60" s="54"/>
      <c r="AL60" s="684"/>
      <c r="AM60" s="54"/>
      <c r="AN60" s="54"/>
      <c r="AO60" s="555"/>
      <c r="AP60" s="54"/>
      <c r="AQ60" s="54"/>
      <c r="AR60" s="54"/>
      <c r="AS60" s="684"/>
      <c r="AT60" s="54"/>
      <c r="AU60" s="54"/>
      <c r="AV60" s="555"/>
      <c r="AW60" s="54"/>
      <c r="AX60" s="54"/>
      <c r="AY60" s="54"/>
      <c r="AZ60" s="684"/>
      <c r="BA60" s="54"/>
      <c r="BB60" s="54"/>
      <c r="BC60" s="555"/>
      <c r="BD60" s="54"/>
      <c r="BE60" s="54"/>
      <c r="BF60" s="54"/>
      <c r="BG60" s="684"/>
      <c r="BH60" s="54"/>
      <c r="BI60" s="54"/>
      <c r="BJ60" s="555"/>
      <c r="BK60" s="54"/>
      <c r="BL60" s="54"/>
      <c r="BM60" s="54"/>
      <c r="BN60" s="684"/>
      <c r="BO60" s="54"/>
      <c r="BP60" s="54"/>
      <c r="BQ60" s="555"/>
      <c r="BR60" s="54"/>
      <c r="BS60" s="54"/>
      <c r="BT60" s="54"/>
      <c r="BU60" s="684"/>
      <c r="BV60" s="54"/>
      <c r="BW60" s="54"/>
      <c r="BX60" s="555"/>
      <c r="BY60" s="54"/>
      <c r="BZ60" s="54"/>
      <c r="CA60" s="54"/>
      <c r="CB60" s="684"/>
      <c r="CC60" s="54"/>
      <c r="CD60" s="54"/>
      <c r="CE60" s="555"/>
      <c r="CF60" s="54"/>
      <c r="CG60" s="54"/>
      <c r="CH60" s="54"/>
      <c r="CI60" s="684"/>
      <c r="CJ60" s="54"/>
      <c r="CK60" s="54"/>
      <c r="CL60" s="555"/>
      <c r="CM60" s="54"/>
      <c r="CN60" s="54"/>
      <c r="CO60" s="54"/>
      <c r="CP60" s="684"/>
      <c r="CQ60" s="54"/>
      <c r="CR60" s="54"/>
      <c r="CS60" s="555"/>
      <c r="CT60" s="54"/>
      <c r="CU60" s="54"/>
      <c r="CV60" s="54"/>
      <c r="CW60" s="684"/>
      <c r="CX60" s="54"/>
      <c r="CY60" s="54"/>
      <c r="CZ60" s="1898"/>
      <c r="DA60" s="54"/>
      <c r="DB60" s="54"/>
      <c r="DC60" s="54"/>
      <c r="DD60" s="684"/>
      <c r="DE60" s="54"/>
      <c r="DF60" s="54"/>
      <c r="DG60" s="555"/>
      <c r="DH60" s="54"/>
      <c r="DI60" s="54"/>
      <c r="DJ60" s="54"/>
      <c r="DK60" s="684"/>
      <c r="DL60" s="54"/>
      <c r="DM60" s="54"/>
      <c r="DN60" s="555"/>
      <c r="DO60" s="54"/>
      <c r="DP60" s="54"/>
      <c r="DQ60" s="54"/>
      <c r="DR60" s="684"/>
      <c r="DS60" s="54"/>
      <c r="DT60" s="54"/>
      <c r="DU60" s="555"/>
      <c r="DV60" s="54"/>
      <c r="DW60" s="54"/>
      <c r="DX60" s="54"/>
      <c r="DY60" s="684"/>
      <c r="DZ60" s="54"/>
      <c r="EA60" s="54"/>
      <c r="EB60" s="555"/>
      <c r="EC60" s="54"/>
      <c r="ED60" s="54"/>
      <c r="EE60" s="54"/>
      <c r="EF60" s="684"/>
      <c r="EG60" s="54"/>
      <c r="EH60" s="54"/>
      <c r="EI60" s="555"/>
      <c r="EJ60" s="47"/>
      <c r="EK60" s="47"/>
      <c r="EL60" s="47"/>
      <c r="EM60" s="108"/>
      <c r="EN60" s="108"/>
      <c r="EO60" s="108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</row>
    <row r="61" spans="1:187" ht="10.5" customHeight="1">
      <c r="A61" s="43" t="s">
        <v>297</v>
      </c>
      <c r="B61" s="166"/>
      <c r="C61" s="166"/>
      <c r="D61" s="166"/>
      <c r="E61" s="139">
        <v>9117</v>
      </c>
      <c r="F61" s="139">
        <v>9960</v>
      </c>
      <c r="G61" s="139">
        <v>11042</v>
      </c>
      <c r="H61" s="139">
        <v>13455</v>
      </c>
      <c r="I61" s="139">
        <v>13824</v>
      </c>
      <c r="J61" s="139">
        <v>15064</v>
      </c>
      <c r="K61" s="139">
        <v>14550</v>
      </c>
      <c r="L61" s="139">
        <v>13814</v>
      </c>
      <c r="M61" s="139">
        <v>12942</v>
      </c>
      <c r="N61" s="139">
        <v>12708</v>
      </c>
      <c r="O61" s="139">
        <f>R61</f>
        <v>12806</v>
      </c>
      <c r="P61" s="139">
        <v>12986</v>
      </c>
      <c r="Q61" s="723">
        <f>S61</f>
        <v>12420</v>
      </c>
      <c r="R61" s="139">
        <v>12806</v>
      </c>
      <c r="S61" s="139">
        <f>T61</f>
        <v>12420</v>
      </c>
      <c r="T61" s="1315">
        <v>12420</v>
      </c>
      <c r="U61" s="139">
        <v>12439</v>
      </c>
      <c r="V61" s="139">
        <f>Y61</f>
        <v>11802</v>
      </c>
      <c r="W61" s="139">
        <v>11440</v>
      </c>
      <c r="X61" s="723">
        <f>Z61</f>
        <v>12227</v>
      </c>
      <c r="Y61" s="139">
        <v>11802</v>
      </c>
      <c r="Z61" s="139">
        <f>AA61</f>
        <v>12227</v>
      </c>
      <c r="AA61" s="1315">
        <v>12227</v>
      </c>
      <c r="AB61" s="139">
        <v>12371</v>
      </c>
      <c r="AC61" s="139">
        <f>AF61</f>
        <v>12004</v>
      </c>
      <c r="AD61" s="139">
        <v>11818</v>
      </c>
      <c r="AE61" s="723">
        <f>AG61</f>
        <v>11769</v>
      </c>
      <c r="AF61" s="139">
        <v>12004</v>
      </c>
      <c r="AG61" s="139">
        <f>AH61</f>
        <v>11769</v>
      </c>
      <c r="AH61" s="1315">
        <v>11769</v>
      </c>
      <c r="AI61" s="139">
        <v>11615</v>
      </c>
      <c r="AJ61" s="139">
        <f>AM61</f>
        <v>11421</v>
      </c>
      <c r="AK61" s="139">
        <v>11075</v>
      </c>
      <c r="AL61" s="723">
        <f>AN61</f>
        <v>11269</v>
      </c>
      <c r="AM61" s="139">
        <v>11421</v>
      </c>
      <c r="AN61" s="139">
        <f>AO61</f>
        <v>11269</v>
      </c>
      <c r="AO61" s="1315">
        <v>11269</v>
      </c>
      <c r="AP61" s="139">
        <v>11392</v>
      </c>
      <c r="AQ61" s="139">
        <f>AT61</f>
        <v>11996</v>
      </c>
      <c r="AR61" s="139">
        <v>11636</v>
      </c>
      <c r="AS61" s="723">
        <f>AU61</f>
        <v>11201</v>
      </c>
      <c r="AT61" s="139">
        <v>11996</v>
      </c>
      <c r="AU61" s="139">
        <f>AV61</f>
        <v>11201</v>
      </c>
      <c r="AV61" s="1315">
        <v>11201</v>
      </c>
      <c r="AW61" s="139">
        <v>13176</v>
      </c>
      <c r="AX61" s="139">
        <f>BA61</f>
        <v>12537</v>
      </c>
      <c r="AY61" s="139">
        <v>12594</v>
      </c>
      <c r="AZ61" s="723">
        <f>BB61</f>
        <v>14943</v>
      </c>
      <c r="BA61" s="139">
        <v>12537</v>
      </c>
      <c r="BB61" s="139">
        <f>BC61</f>
        <v>14943</v>
      </c>
      <c r="BC61" s="1315">
        <v>14943</v>
      </c>
      <c r="BD61" s="139"/>
      <c r="BE61" s="139"/>
      <c r="BF61" s="139"/>
      <c r="BG61" s="723"/>
      <c r="BH61" s="139"/>
      <c r="BI61" s="139"/>
      <c r="BJ61" s="1315">
        <v>16627</v>
      </c>
      <c r="BK61" s="139"/>
      <c r="BL61" s="139"/>
      <c r="BM61" s="139"/>
      <c r="BN61" s="723"/>
      <c r="BO61" s="139"/>
      <c r="BP61" s="139"/>
      <c r="BQ61" s="1315">
        <v>15782</v>
      </c>
      <c r="BR61" s="139"/>
      <c r="BS61" s="139"/>
      <c r="BT61" s="139"/>
      <c r="BU61" s="723"/>
      <c r="BV61" s="139"/>
      <c r="BW61" s="139"/>
      <c r="BX61" s="1315">
        <v>17985</v>
      </c>
      <c r="BY61" s="139"/>
      <c r="BZ61" s="139"/>
      <c r="CA61" s="139"/>
      <c r="CB61" s="723"/>
      <c r="CC61" s="139"/>
      <c r="CD61" s="139"/>
      <c r="CE61" s="1315">
        <v>20774</v>
      </c>
      <c r="CF61" s="139"/>
      <c r="CG61" s="139"/>
      <c r="CH61" s="139"/>
      <c r="CI61" s="723"/>
      <c r="CJ61" s="139"/>
      <c r="CK61" s="139"/>
      <c r="CL61" s="1315">
        <v>21525</v>
      </c>
      <c r="CM61" s="139"/>
      <c r="CN61" s="139"/>
      <c r="CO61" s="139"/>
      <c r="CP61" s="723"/>
      <c r="CQ61" s="139"/>
      <c r="CR61" s="139"/>
      <c r="CS61" s="2109">
        <v>24064</v>
      </c>
      <c r="CT61" s="139"/>
      <c r="CU61" s="139"/>
      <c r="CV61" s="139"/>
      <c r="CW61" s="723"/>
      <c r="CX61" s="139"/>
      <c r="CY61" s="139"/>
      <c r="CZ61" s="1897">
        <v>29028</v>
      </c>
      <c r="DA61" s="139"/>
      <c r="DB61" s="139"/>
      <c r="DC61" s="139"/>
      <c r="DD61" s="723"/>
      <c r="DE61" s="139"/>
      <c r="DF61" s="139"/>
      <c r="DG61" s="555"/>
      <c r="DH61" s="139"/>
      <c r="DI61" s="139"/>
      <c r="DJ61" s="139"/>
      <c r="DK61" s="723"/>
      <c r="DL61" s="139"/>
      <c r="DM61" s="139"/>
      <c r="DN61" s="555"/>
      <c r="DO61" s="139"/>
      <c r="DP61" s="139"/>
      <c r="DQ61" s="139"/>
      <c r="DR61" s="723"/>
      <c r="DS61" s="139"/>
      <c r="DT61" s="139"/>
      <c r="DU61" s="555"/>
      <c r="DV61" s="139"/>
      <c r="DW61" s="139"/>
      <c r="DX61" s="139"/>
      <c r="DY61" s="723"/>
      <c r="DZ61" s="139"/>
      <c r="EA61" s="139"/>
      <c r="EB61" s="555"/>
      <c r="EC61" s="139"/>
      <c r="ED61" s="139"/>
      <c r="EE61" s="139"/>
      <c r="EF61" s="723"/>
      <c r="EG61" s="139"/>
      <c r="EH61" s="139"/>
      <c r="EI61" s="555"/>
      <c r="EJ61" s="138"/>
      <c r="EK61" s="138"/>
      <c r="EL61" s="47"/>
      <c r="EM61" s="108"/>
      <c r="EN61" s="108"/>
      <c r="EO61" s="108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</row>
    <row r="62" spans="1:187" ht="10.5" customHeight="1">
      <c r="A62" s="51" t="s">
        <v>358</v>
      </c>
      <c r="B62" s="166"/>
      <c r="C62" s="166"/>
      <c r="D62" s="166"/>
      <c r="E62" s="770"/>
      <c r="F62" s="770"/>
      <c r="G62" s="162"/>
      <c r="H62" s="162"/>
      <c r="I62" s="162"/>
      <c r="J62" s="162"/>
      <c r="K62" s="162"/>
      <c r="L62" s="162"/>
      <c r="M62" s="139"/>
      <c r="N62" s="57"/>
      <c r="O62" s="57"/>
      <c r="P62" s="57"/>
      <c r="Q62" s="959"/>
      <c r="R62" s="57"/>
      <c r="S62" s="57"/>
      <c r="T62" s="946">
        <f t="shared" ref="T62" si="794">T61/M61-1</f>
        <v>-4.0333796940194677E-2</v>
      </c>
      <c r="U62" s="57">
        <f t="shared" ref="U62:BC62" si="795">U61/N61-1</f>
        <v>-2.1167768334907189E-2</v>
      </c>
      <c r="V62" s="57">
        <f t="shared" si="795"/>
        <v>-7.8400749648602219E-2</v>
      </c>
      <c r="W62" s="57">
        <f t="shared" si="795"/>
        <v>-0.11905128600030801</v>
      </c>
      <c r="X62" s="959">
        <f t="shared" si="795"/>
        <v>-1.5539452495974215E-2</v>
      </c>
      <c r="Y62" s="57">
        <f t="shared" si="795"/>
        <v>-7.8400749648602219E-2</v>
      </c>
      <c r="Z62" s="57">
        <f t="shared" si="795"/>
        <v>-1.5539452495974215E-2</v>
      </c>
      <c r="AA62" s="946">
        <f t="shared" si="795"/>
        <v>-1.5539452495974215E-2</v>
      </c>
      <c r="AB62" s="57">
        <f t="shared" si="795"/>
        <v>-5.4666773856418827E-3</v>
      </c>
      <c r="AC62" s="57">
        <f t="shared" si="795"/>
        <v>1.7115743094390679E-2</v>
      </c>
      <c r="AD62" s="57">
        <f t="shared" si="795"/>
        <v>3.3041958041958086E-2</v>
      </c>
      <c r="AE62" s="959">
        <f t="shared" si="795"/>
        <v>-3.7458084566941996E-2</v>
      </c>
      <c r="AF62" s="57">
        <f t="shared" si="795"/>
        <v>1.7115743094390679E-2</v>
      </c>
      <c r="AG62" s="57">
        <f t="shared" si="795"/>
        <v>-3.7458084566941996E-2</v>
      </c>
      <c r="AH62" s="946">
        <f t="shared" si="795"/>
        <v>-3.7458084566941996E-2</v>
      </c>
      <c r="AI62" s="57">
        <f t="shared" si="795"/>
        <v>-6.111066203217197E-2</v>
      </c>
      <c r="AJ62" s="57">
        <f t="shared" si="795"/>
        <v>-4.8567144285238228E-2</v>
      </c>
      <c r="AK62" s="57">
        <f t="shared" si="795"/>
        <v>-6.2870198003046163E-2</v>
      </c>
      <c r="AL62" s="959">
        <f t="shared" si="795"/>
        <v>-4.2484493159996584E-2</v>
      </c>
      <c r="AM62" s="57">
        <f t="shared" si="795"/>
        <v>-4.8567144285238228E-2</v>
      </c>
      <c r="AN62" s="57">
        <f t="shared" si="795"/>
        <v>-4.2484493159996584E-2</v>
      </c>
      <c r="AO62" s="946">
        <f t="shared" si="795"/>
        <v>-4.2484493159996584E-2</v>
      </c>
      <c r="AP62" s="57">
        <f t="shared" si="795"/>
        <v>-1.9199311235471361E-2</v>
      </c>
      <c r="AQ62" s="57">
        <f t="shared" si="795"/>
        <v>5.0345854128360124E-2</v>
      </c>
      <c r="AR62" s="57">
        <f t="shared" si="795"/>
        <v>5.065462753950345E-2</v>
      </c>
      <c r="AS62" s="959">
        <f t="shared" si="795"/>
        <v>-6.0342532611589172E-3</v>
      </c>
      <c r="AT62" s="57">
        <f t="shared" si="795"/>
        <v>5.0345854128360124E-2</v>
      </c>
      <c r="AU62" s="57">
        <f t="shared" si="795"/>
        <v>-6.0342532611589172E-3</v>
      </c>
      <c r="AV62" s="946">
        <f t="shared" si="795"/>
        <v>-6.0342532611589172E-3</v>
      </c>
      <c r="AW62" s="57">
        <f t="shared" si="795"/>
        <v>0.1566011235955056</v>
      </c>
      <c r="AX62" s="57">
        <f t="shared" si="795"/>
        <v>4.5098366122040767E-2</v>
      </c>
      <c r="AY62" s="57">
        <f t="shared" si="795"/>
        <v>8.2330697834307243E-2</v>
      </c>
      <c r="AZ62" s="959">
        <f t="shared" si="795"/>
        <v>0.33407731452548872</v>
      </c>
      <c r="BA62" s="57">
        <f t="shared" si="795"/>
        <v>4.5098366122040767E-2</v>
      </c>
      <c r="BB62" s="57">
        <f t="shared" si="795"/>
        <v>0.33407731452548872</v>
      </c>
      <c r="BC62" s="946">
        <f t="shared" si="795"/>
        <v>0.33407731452548872</v>
      </c>
      <c r="BD62" s="57"/>
      <c r="BE62" s="57"/>
      <c r="BF62" s="57"/>
      <c r="BG62" s="959"/>
      <c r="BH62" s="57"/>
      <c r="BI62" s="57"/>
      <c r="BJ62" s="946">
        <f>BJ61/BC61-1</f>
        <v>0.11269490731446163</v>
      </c>
      <c r="BK62" s="57"/>
      <c r="BL62" s="57"/>
      <c r="BM62" s="57"/>
      <c r="BN62" s="959"/>
      <c r="BO62" s="57"/>
      <c r="BP62" s="57"/>
      <c r="BQ62" s="946">
        <f>BQ61/BJ61-1</f>
        <v>-5.0820953870211127E-2</v>
      </c>
      <c r="BR62" s="57"/>
      <c r="BS62" s="57"/>
      <c r="BT62" s="57"/>
      <c r="BU62" s="959"/>
      <c r="BV62" s="57"/>
      <c r="BW62" s="57"/>
      <c r="BX62" s="946">
        <f>BX61/BQ61-1</f>
        <v>0.13958940565200861</v>
      </c>
      <c r="BY62" s="57"/>
      <c r="BZ62" s="57"/>
      <c r="CA62" s="57"/>
      <c r="CB62" s="959"/>
      <c r="CC62" s="57"/>
      <c r="CD62" s="57"/>
      <c r="CE62" s="946">
        <f>CE61/BX61-1</f>
        <v>0.15507367250486515</v>
      </c>
      <c r="CF62" s="57"/>
      <c r="CG62" s="57"/>
      <c r="CH62" s="57"/>
      <c r="CI62" s="959"/>
      <c r="CJ62" s="57"/>
      <c r="CK62" s="57"/>
      <c r="CL62" s="946">
        <f>CL61/CE61-1</f>
        <v>3.615095792817935E-2</v>
      </c>
      <c r="CM62" s="57"/>
      <c r="CN62" s="57"/>
      <c r="CO62" s="57"/>
      <c r="CP62" s="959"/>
      <c r="CQ62" s="57"/>
      <c r="CR62" s="57"/>
      <c r="CS62" s="946">
        <f>CS61/CL61-1</f>
        <v>0.11795586527293844</v>
      </c>
      <c r="CT62" s="57"/>
      <c r="CU62" s="57"/>
      <c r="CV62" s="57"/>
      <c r="CW62" s="959"/>
      <c r="CX62" s="57"/>
      <c r="CY62" s="57"/>
      <c r="CZ62" s="1864">
        <f>CZ61/CS61-1</f>
        <v>0.20628324468085113</v>
      </c>
      <c r="DA62" s="57"/>
      <c r="DB62" s="57"/>
      <c r="DC62" s="57"/>
      <c r="DD62" s="959"/>
      <c r="DE62" s="57"/>
      <c r="DF62" s="57"/>
      <c r="DG62" s="555"/>
      <c r="DH62" s="57"/>
      <c r="DI62" s="57"/>
      <c r="DJ62" s="57"/>
      <c r="DK62" s="959"/>
      <c r="DL62" s="57"/>
      <c r="DM62" s="57"/>
      <c r="DN62" s="555"/>
      <c r="DO62" s="57"/>
      <c r="DP62" s="57"/>
      <c r="DQ62" s="57"/>
      <c r="DR62" s="959"/>
      <c r="DS62" s="57"/>
      <c r="DT62" s="57"/>
      <c r="DU62" s="555"/>
      <c r="DV62" s="57"/>
      <c r="DW62" s="57"/>
      <c r="DX62" s="57"/>
      <c r="DY62" s="959"/>
      <c r="DZ62" s="57"/>
      <c r="EA62" s="57"/>
      <c r="EB62" s="555"/>
      <c r="EC62" s="57"/>
      <c r="ED62" s="57"/>
      <c r="EE62" s="57"/>
      <c r="EF62" s="959"/>
      <c r="EG62" s="57"/>
      <c r="EH62" s="57"/>
      <c r="EI62" s="555"/>
      <c r="EJ62" s="138"/>
      <c r="EK62" s="57"/>
      <c r="EL62" s="47"/>
      <c r="EM62" s="108"/>
      <c r="EN62" s="108"/>
      <c r="EO62" s="108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  <c r="FP62" s="47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7"/>
      <c r="GB62" s="47"/>
      <c r="GC62" s="47"/>
      <c r="GD62" s="47"/>
      <c r="GE62" s="47"/>
    </row>
    <row r="63" spans="1:187" ht="10.5" customHeight="1">
      <c r="A63" s="108" t="s">
        <v>348</v>
      </c>
      <c r="B63" s="166"/>
      <c r="C63" s="166"/>
      <c r="D63" s="166"/>
      <c r="E63" s="139"/>
      <c r="F63" s="139"/>
      <c r="G63" s="139"/>
      <c r="H63" s="139"/>
      <c r="I63" s="139"/>
      <c r="J63" s="139"/>
      <c r="K63" s="139"/>
      <c r="L63" s="139"/>
      <c r="M63" s="139">
        <v>1070</v>
      </c>
      <c r="N63" s="139">
        <v>1063</v>
      </c>
      <c r="O63" s="139">
        <f>R63</f>
        <v>1047</v>
      </c>
      <c r="P63" s="139">
        <v>1034</v>
      </c>
      <c r="Q63" s="723">
        <f>S63</f>
        <v>995</v>
      </c>
      <c r="R63" s="139">
        <v>1047</v>
      </c>
      <c r="S63" s="139">
        <f>T63</f>
        <v>995</v>
      </c>
      <c r="T63" s="1315">
        <v>995</v>
      </c>
      <c r="U63" s="139">
        <v>999</v>
      </c>
      <c r="V63" s="139">
        <f>Y63</f>
        <v>943</v>
      </c>
      <c r="W63" s="139">
        <v>908</v>
      </c>
      <c r="X63" s="723">
        <f>Z63</f>
        <v>893</v>
      </c>
      <c r="Y63" s="139">
        <v>943</v>
      </c>
      <c r="Z63" s="139">
        <f>AA63</f>
        <v>893</v>
      </c>
      <c r="AA63" s="1315">
        <v>893</v>
      </c>
      <c r="AB63" s="139">
        <v>917</v>
      </c>
      <c r="AC63" s="139">
        <f>AF63</f>
        <v>876</v>
      </c>
      <c r="AD63" s="139">
        <v>837</v>
      </c>
      <c r="AE63" s="723">
        <f>AG63</f>
        <v>831</v>
      </c>
      <c r="AF63" s="139">
        <v>876</v>
      </c>
      <c r="AG63" s="139">
        <f>AH63</f>
        <v>831</v>
      </c>
      <c r="AH63" s="1315">
        <v>831</v>
      </c>
      <c r="AI63" s="139">
        <v>826</v>
      </c>
      <c r="AJ63" s="139">
        <f>AM63</f>
        <v>795</v>
      </c>
      <c r="AK63" s="139">
        <v>784</v>
      </c>
      <c r="AL63" s="723">
        <f>AN63</f>
        <v>766</v>
      </c>
      <c r="AM63" s="139">
        <v>795</v>
      </c>
      <c r="AN63" s="139">
        <f>AO63</f>
        <v>766</v>
      </c>
      <c r="AO63" s="1315">
        <v>766</v>
      </c>
      <c r="AP63" s="139">
        <v>748</v>
      </c>
      <c r="AQ63" s="139">
        <f>AT63</f>
        <v>727</v>
      </c>
      <c r="AR63" s="139">
        <v>710</v>
      </c>
      <c r="AS63" s="723">
        <f>AU63</f>
        <v>692</v>
      </c>
      <c r="AT63" s="139">
        <v>727</v>
      </c>
      <c r="AU63" s="139">
        <f>AV63</f>
        <v>692</v>
      </c>
      <c r="AV63" s="1315">
        <v>692</v>
      </c>
      <c r="AW63" s="139">
        <v>744</v>
      </c>
      <c r="AX63" s="139">
        <f>BA63</f>
        <v>694</v>
      </c>
      <c r="AY63" s="139">
        <v>704</v>
      </c>
      <c r="AZ63" s="723">
        <f>BB63</f>
        <v>717</v>
      </c>
      <c r="BA63" s="139">
        <v>694</v>
      </c>
      <c r="BB63" s="139">
        <f>BC63</f>
        <v>717</v>
      </c>
      <c r="BC63" s="1315">
        <v>717</v>
      </c>
      <c r="BD63" s="139">
        <v>737</v>
      </c>
      <c r="BE63" s="139">
        <f>BH63</f>
        <v>697</v>
      </c>
      <c r="BF63" s="139">
        <v>681</v>
      </c>
      <c r="BG63" s="723">
        <f>BI63</f>
        <v>695</v>
      </c>
      <c r="BH63" s="139">
        <v>697</v>
      </c>
      <c r="BI63" s="139">
        <f>BJ63</f>
        <v>695</v>
      </c>
      <c r="BJ63" s="1315">
        <v>695</v>
      </c>
      <c r="BK63" s="139">
        <v>702</v>
      </c>
      <c r="BL63" s="139">
        <f>BO63</f>
        <v>666</v>
      </c>
      <c r="BM63" s="139">
        <v>669</v>
      </c>
      <c r="BN63" s="723">
        <f>BP63</f>
        <v>663</v>
      </c>
      <c r="BO63" s="139">
        <v>666</v>
      </c>
      <c r="BP63" s="139">
        <f>BQ63</f>
        <v>663</v>
      </c>
      <c r="BQ63" s="1315">
        <v>663</v>
      </c>
      <c r="BR63" s="139">
        <v>664</v>
      </c>
      <c r="BS63" s="139">
        <f>BV63</f>
        <v>671</v>
      </c>
      <c r="BT63" s="139">
        <v>654</v>
      </c>
      <c r="BU63" s="723">
        <f>BW63</f>
        <v>739</v>
      </c>
      <c r="BV63" s="139">
        <v>671</v>
      </c>
      <c r="BW63" s="139">
        <f>BX63</f>
        <v>739</v>
      </c>
      <c r="BX63" s="1315">
        <v>739</v>
      </c>
      <c r="BY63" s="139">
        <v>756</v>
      </c>
      <c r="BZ63" s="139">
        <f>CC63</f>
        <v>787</v>
      </c>
      <c r="CA63" s="139">
        <v>792</v>
      </c>
      <c r="CB63" s="723">
        <f>CD63</f>
        <v>757</v>
      </c>
      <c r="CC63" s="139">
        <v>787</v>
      </c>
      <c r="CD63" s="139">
        <f>CE63</f>
        <v>757</v>
      </c>
      <c r="CE63" s="1315">
        <v>757</v>
      </c>
      <c r="CF63" s="139">
        <v>725</v>
      </c>
      <c r="CG63" s="139">
        <f>CJ63</f>
        <v>743</v>
      </c>
      <c r="CH63" s="139">
        <v>751</v>
      </c>
      <c r="CI63" s="723">
        <f>CK63</f>
        <v>804</v>
      </c>
      <c r="CJ63" s="139">
        <v>743</v>
      </c>
      <c r="CK63" s="139">
        <f>CL63</f>
        <v>804</v>
      </c>
      <c r="CL63" s="1315">
        <v>804</v>
      </c>
      <c r="CM63" s="139">
        <v>817</v>
      </c>
      <c r="CN63" s="139">
        <f>CQ63</f>
        <v>913</v>
      </c>
      <c r="CO63" s="139">
        <v>922</v>
      </c>
      <c r="CP63" s="723">
        <f>CR63</f>
        <v>893</v>
      </c>
      <c r="CQ63" s="139">
        <v>913</v>
      </c>
      <c r="CR63" s="139">
        <f>CS63</f>
        <v>893</v>
      </c>
      <c r="CS63" s="1315">
        <v>893</v>
      </c>
      <c r="CT63" s="139">
        <v>942</v>
      </c>
      <c r="CU63" s="139">
        <f>CX63</f>
        <v>926</v>
      </c>
      <c r="CV63" s="139">
        <v>981</v>
      </c>
      <c r="CW63" s="723">
        <f>CY63</f>
        <v>1037</v>
      </c>
      <c r="CX63" s="2108">
        <v>926</v>
      </c>
      <c r="CY63" s="139">
        <f>CZ63</f>
        <v>1037</v>
      </c>
      <c r="CZ63" s="1896">
        <v>1037</v>
      </c>
      <c r="DA63" s="139">
        <v>1060</v>
      </c>
      <c r="DB63" s="139">
        <f>DE63</f>
        <v>1108</v>
      </c>
      <c r="DC63" s="139"/>
      <c r="DD63" s="723"/>
      <c r="DE63" s="139">
        <v>1108</v>
      </c>
      <c r="DF63" s="139"/>
      <c r="DG63" s="555"/>
      <c r="DH63" s="139"/>
      <c r="DI63" s="139"/>
      <c r="DJ63" s="139"/>
      <c r="DK63" s="723"/>
      <c r="DL63" s="139"/>
      <c r="DM63" s="139"/>
      <c r="DN63" s="555"/>
      <c r="DO63" s="139"/>
      <c r="DP63" s="139"/>
      <c r="DQ63" s="139"/>
      <c r="DR63" s="723"/>
      <c r="DS63" s="139"/>
      <c r="DT63" s="139"/>
      <c r="DU63" s="555"/>
      <c r="DV63" s="139"/>
      <c r="DW63" s="139"/>
      <c r="DX63" s="139"/>
      <c r="DY63" s="723"/>
      <c r="DZ63" s="139"/>
      <c r="EA63" s="139"/>
      <c r="EB63" s="555"/>
      <c r="EC63" s="139"/>
      <c r="ED63" s="139"/>
      <c r="EE63" s="139"/>
      <c r="EF63" s="723"/>
      <c r="EG63" s="139"/>
      <c r="EH63" s="139"/>
      <c r="EI63" s="555"/>
      <c r="EJ63" s="138"/>
      <c r="EK63" s="138"/>
      <c r="EL63" s="47"/>
      <c r="EM63" s="108"/>
      <c r="EN63" s="108"/>
      <c r="EO63" s="108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</row>
    <row r="64" spans="1:187" ht="10.5" customHeight="1">
      <c r="A64" s="51" t="s">
        <v>343</v>
      </c>
      <c r="B64" s="166"/>
      <c r="C64" s="166"/>
      <c r="D64" s="166"/>
      <c r="E64" s="139"/>
      <c r="F64" s="139"/>
      <c r="G64" s="139"/>
      <c r="H64" s="139"/>
      <c r="I64" s="139"/>
      <c r="J64" s="139"/>
      <c r="K64" s="139"/>
      <c r="L64" s="139"/>
      <c r="M64" s="161">
        <f t="shared" ref="M64:CE64" si="796">M61/M63</f>
        <v>12.095327102803738</v>
      </c>
      <c r="N64" s="161">
        <f t="shared" ref="N64:Q64" si="797">N61/N63</f>
        <v>11.954844778927564</v>
      </c>
      <c r="O64" s="161">
        <f t="shared" si="797"/>
        <v>12.231136580706782</v>
      </c>
      <c r="P64" s="161">
        <f t="shared" si="797"/>
        <v>12.558994197292069</v>
      </c>
      <c r="Q64" s="962">
        <f t="shared" si="797"/>
        <v>12.482412060301508</v>
      </c>
      <c r="R64" s="161">
        <f t="shared" ref="R64:S64" si="798">R61/R63</f>
        <v>12.231136580706782</v>
      </c>
      <c r="S64" s="161">
        <f t="shared" si="798"/>
        <v>12.482412060301508</v>
      </c>
      <c r="T64" s="1343">
        <f t="shared" si="796"/>
        <v>12.482412060301508</v>
      </c>
      <c r="U64" s="161">
        <f t="shared" si="796"/>
        <v>12.451451451451451</v>
      </c>
      <c r="V64" s="161">
        <f t="shared" si="796"/>
        <v>12.515376458112407</v>
      </c>
      <c r="W64" s="161">
        <f t="shared" si="796"/>
        <v>12.599118942731277</v>
      </c>
      <c r="X64" s="962">
        <f t="shared" si="796"/>
        <v>13.692049272116462</v>
      </c>
      <c r="Y64" s="161">
        <f t="shared" ref="Y64:Z64" si="799">Y61/Y63</f>
        <v>12.515376458112407</v>
      </c>
      <c r="Z64" s="161">
        <f t="shared" si="799"/>
        <v>13.692049272116462</v>
      </c>
      <c r="AA64" s="1343">
        <f t="shared" si="796"/>
        <v>13.692049272116462</v>
      </c>
      <c r="AB64" s="161">
        <f t="shared" ref="AB64:AE64" si="800">AB61/AB63</f>
        <v>13.490730643402399</v>
      </c>
      <c r="AC64" s="161">
        <f t="shared" si="800"/>
        <v>13.703196347031964</v>
      </c>
      <c r="AD64" s="161">
        <f t="shared" si="800"/>
        <v>14.1194743130227</v>
      </c>
      <c r="AE64" s="962">
        <f t="shared" si="800"/>
        <v>14.16245487364621</v>
      </c>
      <c r="AF64" s="161">
        <f t="shared" ref="AF64:AG64" si="801">AF61/AF63</f>
        <v>13.703196347031964</v>
      </c>
      <c r="AG64" s="161">
        <f t="shared" si="801"/>
        <v>14.16245487364621</v>
      </c>
      <c r="AH64" s="1343">
        <f t="shared" si="796"/>
        <v>14.16245487364621</v>
      </c>
      <c r="AI64" s="161">
        <f t="shared" si="796"/>
        <v>14.061743341404359</v>
      </c>
      <c r="AJ64" s="161">
        <f t="shared" si="796"/>
        <v>14.366037735849057</v>
      </c>
      <c r="AK64" s="161">
        <f t="shared" si="796"/>
        <v>14.126275510204081</v>
      </c>
      <c r="AL64" s="962">
        <f t="shared" si="796"/>
        <v>14.711488250652742</v>
      </c>
      <c r="AM64" s="161">
        <f t="shared" ref="AM64:AN64" si="802">AM61/AM63</f>
        <v>14.366037735849057</v>
      </c>
      <c r="AN64" s="161">
        <f t="shared" si="802"/>
        <v>14.711488250652742</v>
      </c>
      <c r="AO64" s="1343">
        <f t="shared" si="796"/>
        <v>14.711488250652742</v>
      </c>
      <c r="AP64" s="161">
        <f t="shared" ref="AP64:AS64" si="803">AP61/AP63</f>
        <v>15.229946524064172</v>
      </c>
      <c r="AQ64" s="161">
        <f t="shared" si="803"/>
        <v>16.500687757909215</v>
      </c>
      <c r="AR64" s="161">
        <f t="shared" si="803"/>
        <v>16.388732394366198</v>
      </c>
      <c r="AS64" s="962">
        <f t="shared" si="803"/>
        <v>16.186416184971097</v>
      </c>
      <c r="AT64" s="161">
        <f t="shared" ref="AT64:AU64" si="804">AT61/AT63</f>
        <v>16.500687757909215</v>
      </c>
      <c r="AU64" s="161">
        <f t="shared" si="804"/>
        <v>16.186416184971097</v>
      </c>
      <c r="AV64" s="1343">
        <f t="shared" si="796"/>
        <v>16.186416184971097</v>
      </c>
      <c r="AW64" s="161">
        <f t="shared" si="796"/>
        <v>17.70967741935484</v>
      </c>
      <c r="AX64" s="161">
        <f t="shared" si="796"/>
        <v>18.064841498559076</v>
      </c>
      <c r="AY64" s="161">
        <f t="shared" si="796"/>
        <v>17.889204545454547</v>
      </c>
      <c r="AZ64" s="962">
        <f t="shared" si="796"/>
        <v>20.84100418410042</v>
      </c>
      <c r="BA64" s="161">
        <f t="shared" si="796"/>
        <v>18.064841498559076</v>
      </c>
      <c r="BB64" s="161">
        <f t="shared" si="796"/>
        <v>20.84100418410042</v>
      </c>
      <c r="BC64" s="1343">
        <f t="shared" si="796"/>
        <v>20.84100418410042</v>
      </c>
      <c r="BD64" s="161"/>
      <c r="BE64" s="161"/>
      <c r="BF64" s="161"/>
      <c r="BG64" s="962"/>
      <c r="BH64" s="161"/>
      <c r="BI64" s="161"/>
      <c r="BJ64" s="1343">
        <f t="shared" si="796"/>
        <v>23.923741007194245</v>
      </c>
      <c r="BK64" s="161"/>
      <c r="BL64" s="161"/>
      <c r="BM64" s="161"/>
      <c r="BN64" s="962"/>
      <c r="BO64" s="161"/>
      <c r="BP64" s="161"/>
      <c r="BQ64" s="1343">
        <f t="shared" si="796"/>
        <v>23.803921568627452</v>
      </c>
      <c r="BR64" s="161"/>
      <c r="BS64" s="161"/>
      <c r="BT64" s="161"/>
      <c r="BU64" s="962"/>
      <c r="BV64" s="161"/>
      <c r="BW64" s="161"/>
      <c r="BX64" s="1343">
        <f t="shared" si="796"/>
        <v>24.336941813261163</v>
      </c>
      <c r="BY64" s="161"/>
      <c r="BZ64" s="161"/>
      <c r="CA64" s="161"/>
      <c r="CB64" s="962"/>
      <c r="CC64" s="161"/>
      <c r="CD64" s="161"/>
      <c r="CE64" s="1343">
        <f t="shared" si="796"/>
        <v>27.442536327608984</v>
      </c>
      <c r="CF64" s="161"/>
      <c r="CG64" s="161"/>
      <c r="CH64" s="161"/>
      <c r="CI64" s="962"/>
      <c r="CJ64" s="161"/>
      <c r="CK64" s="161"/>
      <c r="CL64" s="1343">
        <f t="shared" ref="CL64" si="805">CL61/CL63</f>
        <v>26.772388059701491</v>
      </c>
      <c r="CM64" s="161"/>
      <c r="CN64" s="161"/>
      <c r="CO64" s="161"/>
      <c r="CP64" s="962"/>
      <c r="CQ64" s="161"/>
      <c r="CR64" s="161"/>
      <c r="CS64" s="1343">
        <f t="shared" ref="CS64" si="806">CS61/CS63</f>
        <v>26.94736842105263</v>
      </c>
      <c r="CT64" s="161"/>
      <c r="CU64" s="161"/>
      <c r="CV64" s="161"/>
      <c r="CW64" s="962"/>
      <c r="CX64" s="161"/>
      <c r="CY64" s="161"/>
      <c r="CZ64" s="1895">
        <f t="shared" ref="CZ64" si="807">CZ61/CZ63</f>
        <v>27.99228543876567</v>
      </c>
      <c r="DA64" s="161"/>
      <c r="DB64" s="161"/>
      <c r="DC64" s="161"/>
      <c r="DD64" s="962"/>
      <c r="DE64" s="161"/>
      <c r="DF64" s="161"/>
      <c r="DG64" s="555"/>
      <c r="DH64" s="161"/>
      <c r="DI64" s="161"/>
      <c r="DJ64" s="161"/>
      <c r="DK64" s="962"/>
      <c r="DL64" s="161"/>
      <c r="DM64" s="161"/>
      <c r="DN64" s="555"/>
      <c r="DO64" s="161"/>
      <c r="DP64" s="161"/>
      <c r="DQ64" s="161"/>
      <c r="DR64" s="962"/>
      <c r="DS64" s="161"/>
      <c r="DT64" s="161"/>
      <c r="DU64" s="555"/>
      <c r="DV64" s="161"/>
      <c r="DW64" s="161"/>
      <c r="DX64" s="161"/>
      <c r="DY64" s="962"/>
      <c r="DZ64" s="161"/>
      <c r="EA64" s="161"/>
      <c r="EB64" s="555"/>
      <c r="EC64" s="161"/>
      <c r="ED64" s="161"/>
      <c r="EE64" s="161"/>
      <c r="EF64" s="962"/>
      <c r="EG64" s="161"/>
      <c r="EH64" s="161"/>
      <c r="EI64" s="555"/>
      <c r="EJ64" s="161"/>
      <c r="EK64" s="161"/>
      <c r="EL64" s="47"/>
      <c r="EM64" s="108"/>
      <c r="EN64" s="108"/>
      <c r="EO64" s="108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</row>
    <row r="65" spans="1:187" ht="10.5" customHeight="1">
      <c r="A65" s="43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718"/>
      <c r="R65" s="224"/>
      <c r="S65" s="224"/>
      <c r="T65" s="954"/>
      <c r="U65" s="224"/>
      <c r="V65" s="224"/>
      <c r="W65" s="224"/>
      <c r="X65" s="718"/>
      <c r="Y65" s="224"/>
      <c r="Z65" s="224"/>
      <c r="AA65" s="954"/>
      <c r="AB65" s="224"/>
      <c r="AC65" s="224"/>
      <c r="AD65" s="224"/>
      <c r="AE65" s="718"/>
      <c r="AF65" s="224"/>
      <c r="AG65" s="224"/>
      <c r="AH65" s="954"/>
      <c r="AI65" s="224"/>
      <c r="AJ65" s="224"/>
      <c r="AK65" s="224"/>
      <c r="AL65" s="718"/>
      <c r="AM65" s="224"/>
      <c r="AN65" s="224"/>
      <c r="AO65" s="954"/>
      <c r="AP65" s="224"/>
      <c r="AQ65" s="224"/>
      <c r="AR65" s="224"/>
      <c r="AS65" s="718"/>
      <c r="AT65" s="224"/>
      <c r="AU65" s="224"/>
      <c r="AV65" s="954"/>
      <c r="AW65" s="224"/>
      <c r="AX65" s="224"/>
      <c r="AY65" s="224"/>
      <c r="AZ65" s="718"/>
      <c r="BA65" s="224"/>
      <c r="BB65" s="224"/>
      <c r="BC65" s="954"/>
      <c r="BD65" s="224"/>
      <c r="BE65" s="224"/>
      <c r="BF65" s="224"/>
      <c r="BG65" s="718"/>
      <c r="BH65" s="224"/>
      <c r="BI65" s="224"/>
      <c r="BJ65" s="954"/>
      <c r="BK65" s="224"/>
      <c r="BL65" s="224"/>
      <c r="BM65" s="224"/>
      <c r="BN65" s="718"/>
      <c r="BO65" s="224"/>
      <c r="BP65" s="224"/>
      <c r="BQ65" s="954"/>
      <c r="BR65" s="224"/>
      <c r="BS65" s="224"/>
      <c r="BT65" s="224"/>
      <c r="BU65" s="718"/>
      <c r="BV65" s="224"/>
      <c r="BW65" s="224"/>
      <c r="BX65" s="954"/>
      <c r="BY65" s="224"/>
      <c r="BZ65" s="224"/>
      <c r="CA65" s="224"/>
      <c r="CB65" s="718"/>
      <c r="CC65" s="224"/>
      <c r="CD65" s="224"/>
      <c r="CE65" s="954"/>
      <c r="CF65" s="224"/>
      <c r="CG65" s="224"/>
      <c r="CH65" s="224"/>
      <c r="CI65" s="718"/>
      <c r="CJ65" s="224"/>
      <c r="CK65" s="224"/>
      <c r="CL65" s="954"/>
      <c r="CM65" s="224"/>
      <c r="CN65" s="224"/>
      <c r="CO65" s="224"/>
      <c r="CP65" s="718"/>
      <c r="CQ65" s="224"/>
      <c r="CR65" s="224"/>
      <c r="CS65" s="954"/>
      <c r="CT65" s="224"/>
      <c r="CU65" s="224"/>
      <c r="CV65" s="224"/>
      <c r="CW65" s="718"/>
      <c r="CX65" s="224"/>
      <c r="CY65" s="224"/>
      <c r="CZ65" s="1894"/>
      <c r="DA65" s="224"/>
      <c r="DB65" s="224"/>
      <c r="DC65" s="224"/>
      <c r="DD65" s="718"/>
      <c r="DE65" s="224"/>
      <c r="DF65" s="224"/>
      <c r="DG65" s="954"/>
      <c r="DH65" s="224"/>
      <c r="DI65" s="224"/>
      <c r="DJ65" s="224"/>
      <c r="DK65" s="718"/>
      <c r="DL65" s="224"/>
      <c r="DM65" s="224"/>
      <c r="DN65" s="954"/>
      <c r="DO65" s="224"/>
      <c r="DP65" s="224"/>
      <c r="DQ65" s="224"/>
      <c r="DR65" s="718"/>
      <c r="DS65" s="224"/>
      <c r="DT65" s="224"/>
      <c r="DU65" s="954"/>
      <c r="DV65" s="224"/>
      <c r="DW65" s="224"/>
      <c r="DX65" s="224"/>
      <c r="DY65" s="718"/>
      <c r="DZ65" s="224"/>
      <c r="EA65" s="224"/>
      <c r="EB65" s="954"/>
      <c r="EC65" s="224"/>
      <c r="ED65" s="224"/>
      <c r="EE65" s="224"/>
      <c r="EF65" s="718"/>
      <c r="EG65" s="224"/>
      <c r="EH65" s="224"/>
      <c r="EI65" s="954"/>
      <c r="EJ65" s="47"/>
      <c r="EK65" s="47"/>
      <c r="EL65" s="47"/>
      <c r="EM65" s="108"/>
      <c r="EN65" s="108"/>
      <c r="EO65" s="108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</row>
    <row r="66" spans="1:187" ht="10.5" customHeight="1">
      <c r="A66" s="108" t="s">
        <v>364</v>
      </c>
      <c r="B66" s="166"/>
      <c r="C66" s="166"/>
      <c r="D66" s="166"/>
      <c r="E66" s="770"/>
      <c r="F66" s="770"/>
      <c r="G66" s="162"/>
      <c r="H66" s="162"/>
      <c r="I66" s="162"/>
      <c r="J66" s="162"/>
      <c r="K66" s="162"/>
      <c r="L66" s="162"/>
      <c r="M66" s="139">
        <v>5392</v>
      </c>
      <c r="N66" s="139">
        <v>804</v>
      </c>
      <c r="O66" s="139">
        <f>R66-N66</f>
        <v>1644</v>
      </c>
      <c r="P66" s="139">
        <f>4177-N66-O66</f>
        <v>1729</v>
      </c>
      <c r="Q66" s="723">
        <f>S66-P66</f>
        <v>1598</v>
      </c>
      <c r="R66" s="139">
        <v>2448</v>
      </c>
      <c r="S66" s="139">
        <f>T66-R66</f>
        <v>3327</v>
      </c>
      <c r="T66" s="1315">
        <v>5775</v>
      </c>
      <c r="U66" s="139">
        <v>1202</v>
      </c>
      <c r="V66" s="139">
        <f>Y66-U66</f>
        <v>981</v>
      </c>
      <c r="W66" s="139">
        <f>3281-U66-V66</f>
        <v>1098</v>
      </c>
      <c r="X66" s="723">
        <f>Z66-W66</f>
        <v>2188</v>
      </c>
      <c r="Y66" s="139">
        <v>2183</v>
      </c>
      <c r="Z66" s="139">
        <f>AA66-Y66</f>
        <v>3286</v>
      </c>
      <c r="AA66" s="1315">
        <v>5469</v>
      </c>
      <c r="AB66" s="139">
        <v>1428</v>
      </c>
      <c r="AC66" s="139">
        <f>AF66-AB66</f>
        <v>1298</v>
      </c>
      <c r="AD66" s="139">
        <f>4013-AB66-AC66</f>
        <v>1287</v>
      </c>
      <c r="AE66" s="723">
        <f>AG66-AD66</f>
        <v>2155</v>
      </c>
      <c r="AF66" s="139">
        <v>2726</v>
      </c>
      <c r="AG66" s="139">
        <f>AH66-AF66</f>
        <v>3442</v>
      </c>
      <c r="AH66" s="1315">
        <v>6168</v>
      </c>
      <c r="AI66" s="139">
        <v>1004</v>
      </c>
      <c r="AJ66" s="139">
        <f>AM66-AI66</f>
        <v>1334</v>
      </c>
      <c r="AK66" s="139">
        <f>3588-AI66-AJ66</f>
        <v>1250</v>
      </c>
      <c r="AL66" s="723">
        <f>AN66-AK66</f>
        <v>2469</v>
      </c>
      <c r="AM66" s="139">
        <v>2338</v>
      </c>
      <c r="AN66" s="139">
        <f>AO66-AM66</f>
        <v>3719</v>
      </c>
      <c r="AO66" s="1315">
        <v>6057</v>
      </c>
      <c r="AP66" s="139">
        <v>1417</v>
      </c>
      <c r="AQ66" s="139">
        <f>AT66-AP66</f>
        <v>2213</v>
      </c>
      <c r="AR66" s="139">
        <f>4729-AP66-AQ66</f>
        <v>1099</v>
      </c>
      <c r="AS66" s="723">
        <f>AU66-AR66</f>
        <v>1815</v>
      </c>
      <c r="AT66" s="139">
        <v>3630</v>
      </c>
      <c r="AU66" s="139">
        <f>AV66-AT66</f>
        <v>2914</v>
      </c>
      <c r="AV66" s="1315">
        <v>6544</v>
      </c>
      <c r="AW66" s="139">
        <v>1288</v>
      </c>
      <c r="AX66" s="139">
        <f>BA66-AW66</f>
        <v>780</v>
      </c>
      <c r="AY66" s="139">
        <f>3523-AW66-AX66</f>
        <v>1455</v>
      </c>
      <c r="AZ66" s="723">
        <f>BB66-AY66</f>
        <v>2816</v>
      </c>
      <c r="BA66" s="139">
        <v>2068</v>
      </c>
      <c r="BB66" s="139">
        <f>BC66-BA66</f>
        <v>4271</v>
      </c>
      <c r="BC66" s="1315">
        <v>6339</v>
      </c>
      <c r="BD66" s="139"/>
      <c r="BE66" s="139"/>
      <c r="BF66" s="139"/>
      <c r="BG66" s="723"/>
      <c r="BH66" s="139"/>
      <c r="BI66" s="139"/>
      <c r="BJ66" s="1315">
        <v>7179</v>
      </c>
      <c r="BK66" s="139"/>
      <c r="BL66" s="139"/>
      <c r="BM66" s="139"/>
      <c r="BN66" s="723"/>
      <c r="BO66" s="139"/>
      <c r="BP66" s="139"/>
      <c r="BQ66" s="1315">
        <v>5519</v>
      </c>
      <c r="BR66" s="139"/>
      <c r="BS66" s="139"/>
      <c r="BT66" s="139"/>
      <c r="BU66" s="723"/>
      <c r="BV66" s="139"/>
      <c r="BW66" s="139"/>
      <c r="BX66" s="1315">
        <v>8552</v>
      </c>
      <c r="BY66" s="139"/>
      <c r="BZ66" s="139"/>
      <c r="CA66" s="139"/>
      <c r="CB66" s="723"/>
      <c r="CC66" s="139"/>
      <c r="CD66" s="139"/>
      <c r="CE66" s="1315">
        <v>9338</v>
      </c>
      <c r="CF66" s="139"/>
      <c r="CG66" s="139"/>
      <c r="CH66" s="139"/>
      <c r="CI66" s="723"/>
      <c r="CJ66" s="139"/>
      <c r="CK66" s="139"/>
      <c r="CL66" s="1315">
        <v>8597</v>
      </c>
      <c r="CM66" s="139"/>
      <c r="CN66" s="139"/>
      <c r="CO66" s="139"/>
      <c r="CP66" s="723"/>
      <c r="CQ66" s="139"/>
      <c r="CR66" s="139"/>
      <c r="CS66" s="955"/>
      <c r="CT66" s="139"/>
      <c r="CU66" s="139"/>
      <c r="CV66" s="139"/>
      <c r="CW66" s="723"/>
      <c r="CX66" s="139"/>
      <c r="CY66" s="139"/>
      <c r="CZ66" s="955"/>
      <c r="DA66" s="139"/>
      <c r="DB66" s="139"/>
      <c r="DC66" s="139"/>
      <c r="DD66" s="723"/>
      <c r="DE66" s="139"/>
      <c r="DF66" s="139"/>
      <c r="DG66" s="955"/>
      <c r="DH66" s="139"/>
      <c r="DI66" s="139"/>
      <c r="DJ66" s="139"/>
      <c r="DK66" s="723"/>
      <c r="DL66" s="139"/>
      <c r="DM66" s="139"/>
      <c r="DN66" s="955"/>
      <c r="DO66" s="139"/>
      <c r="DP66" s="139"/>
      <c r="DQ66" s="139"/>
      <c r="DR66" s="723"/>
      <c r="DS66" s="139"/>
      <c r="DT66" s="139"/>
      <c r="DU66" s="955"/>
      <c r="DV66" s="139"/>
      <c r="DW66" s="139"/>
      <c r="DX66" s="139"/>
      <c r="DY66" s="723"/>
      <c r="DZ66" s="139"/>
      <c r="EA66" s="139"/>
      <c r="EB66" s="955"/>
      <c r="EC66" s="139"/>
      <c r="ED66" s="139"/>
      <c r="EE66" s="139"/>
      <c r="EF66" s="723"/>
      <c r="EG66" s="139"/>
      <c r="EH66" s="139"/>
      <c r="EI66" s="955"/>
      <c r="EJ66" s="138"/>
      <c r="EK66" s="138"/>
      <c r="EL66" s="47"/>
      <c r="EM66" s="48"/>
      <c r="EN66" s="108"/>
      <c r="EO66" s="108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</row>
    <row r="67" spans="1:187" ht="10.5" customHeight="1">
      <c r="A67" s="51" t="s">
        <v>347</v>
      </c>
      <c r="B67" s="166"/>
      <c r="C67" s="166"/>
      <c r="D67" s="166"/>
      <c r="E67" s="770"/>
      <c r="F67" s="770"/>
      <c r="G67" s="162"/>
      <c r="H67" s="162"/>
      <c r="I67" s="162"/>
      <c r="J67" s="162"/>
      <c r="K67" s="162"/>
      <c r="L67" s="162"/>
      <c r="M67" s="139"/>
      <c r="N67" s="57"/>
      <c r="O67" s="57"/>
      <c r="P67" s="57"/>
      <c r="Q67" s="959"/>
      <c r="R67" s="57"/>
      <c r="S67" s="57"/>
      <c r="T67" s="946">
        <f t="shared" ref="T67" si="808">T66/M66-1</f>
        <v>7.1031157270029732E-2</v>
      </c>
      <c r="U67" s="57">
        <f>U66/N66-1</f>
        <v>0.49502487562189046</v>
      </c>
      <c r="V67" s="57">
        <f>V66/O66-1</f>
        <v>-0.40328467153284675</v>
      </c>
      <c r="W67" s="57">
        <f t="shared" ref="W67" si="809">W66/P66-1</f>
        <v>-0.36495083863504918</v>
      </c>
      <c r="X67" s="959">
        <f t="shared" ref="X67" si="810">X66/Q66-1</f>
        <v>0.36921151439299127</v>
      </c>
      <c r="Y67" s="57">
        <f>Y66/R66-1</f>
        <v>-0.10825163398692805</v>
      </c>
      <c r="Z67" s="57">
        <f>Z66/S66-1</f>
        <v>-1.2323414487526274E-2</v>
      </c>
      <c r="AA67" s="946">
        <f>AA66/T66-1</f>
        <v>-5.2987012987013027E-2</v>
      </c>
      <c r="AB67" s="57">
        <f>AB66/U66-1</f>
        <v>0.18801996672212984</v>
      </c>
      <c r="AC67" s="57">
        <f>AC66/V66-1</f>
        <v>0.32313965341488271</v>
      </c>
      <c r="AD67" s="57">
        <f t="shared" ref="AD67" si="811">AD66/W66-1</f>
        <v>0.17213114754098369</v>
      </c>
      <c r="AE67" s="959">
        <f t="shared" ref="AE67" si="812">AE66/X66-1</f>
        <v>-1.5082266910420472E-2</v>
      </c>
      <c r="AF67" s="57">
        <f>AF66/Y66-1</f>
        <v>0.24874026568941821</v>
      </c>
      <c r="AG67" s="57">
        <f>AG66/Z66-1</f>
        <v>4.7474132684114378E-2</v>
      </c>
      <c r="AH67" s="946">
        <f>AH66/AA66-1</f>
        <v>0.12781130005485464</v>
      </c>
      <c r="AI67" s="57">
        <f>AI66/AB66-1</f>
        <v>-0.29691876750700286</v>
      </c>
      <c r="AJ67" s="57">
        <f>AJ66/AC66-1</f>
        <v>2.7734976887519247E-2</v>
      </c>
      <c r="AK67" s="57">
        <f t="shared" ref="AK67" si="813">AK66/AD66-1</f>
        <v>-2.8749028749028738E-2</v>
      </c>
      <c r="AL67" s="959">
        <f t="shared" ref="AL67" si="814">AL66/AE66-1</f>
        <v>0.14570765661252905</v>
      </c>
      <c r="AM67" s="57">
        <f>AM66/AF66-1</f>
        <v>-0.14233308877476158</v>
      </c>
      <c r="AN67" s="57">
        <f>AN66/AG66-1</f>
        <v>8.047646717024981E-2</v>
      </c>
      <c r="AO67" s="946">
        <f>AO66/AH66-1</f>
        <v>-1.7996108949416389E-2</v>
      </c>
      <c r="AP67" s="57">
        <f>AP66/AI66-1</f>
        <v>0.41135458167330685</v>
      </c>
      <c r="AQ67" s="57">
        <f>AQ66/AJ66-1</f>
        <v>0.65892053973013498</v>
      </c>
      <c r="AR67" s="57">
        <f t="shared" ref="AR67" si="815">AR66/AK66-1</f>
        <v>-0.12080000000000002</v>
      </c>
      <c r="AS67" s="959">
        <f t="shared" ref="AS67" si="816">AS66/AL66-1</f>
        <v>-0.26488456865127585</v>
      </c>
      <c r="AT67" s="57">
        <f>AT66/AM66-1</f>
        <v>0.55260906757912753</v>
      </c>
      <c r="AU67" s="57">
        <f>AU66/AN66-1</f>
        <v>-0.21645603656897017</v>
      </c>
      <c r="AV67" s="946">
        <f>AV66/AO66-1</f>
        <v>8.0402839689615258E-2</v>
      </c>
      <c r="AW67" s="57">
        <f>AW66/AP66-1</f>
        <v>-9.1037402964008418E-2</v>
      </c>
      <c r="AX67" s="57">
        <f>AX66/AQ66-1</f>
        <v>-0.64753727971079988</v>
      </c>
      <c r="AY67" s="57">
        <f t="shared" ref="AY67:AZ67" si="817">AY66/AR66-1</f>
        <v>0.32393084622383994</v>
      </c>
      <c r="AZ67" s="959">
        <f t="shared" si="817"/>
        <v>0.55151515151515151</v>
      </c>
      <c r="BA67" s="57">
        <f>BA66/AT66-1</f>
        <v>-0.4303030303030303</v>
      </c>
      <c r="BB67" s="57">
        <f>BB66/AU66-1</f>
        <v>0.46568291008922436</v>
      </c>
      <c r="BC67" s="946">
        <f>BC66/AV66-1</f>
        <v>-3.1326405867970641E-2</v>
      </c>
      <c r="BD67" s="57"/>
      <c r="BE67" s="57"/>
      <c r="BF67" s="57"/>
      <c r="BG67" s="959"/>
      <c r="BH67" s="57"/>
      <c r="BI67" s="57"/>
      <c r="BJ67" s="946">
        <f>BJ66/BC66-1</f>
        <v>0.13251301467108378</v>
      </c>
      <c r="BK67" s="57"/>
      <c r="BL67" s="57"/>
      <c r="BM67" s="57"/>
      <c r="BN67" s="959"/>
      <c r="BO67" s="57"/>
      <c r="BP67" s="57"/>
      <c r="BQ67" s="946">
        <f>BQ66/BJ66-1</f>
        <v>-0.23122997631982167</v>
      </c>
      <c r="BR67" s="57"/>
      <c r="BS67" s="57"/>
      <c r="BT67" s="57"/>
      <c r="BU67" s="959"/>
      <c r="BV67" s="57"/>
      <c r="BW67" s="57"/>
      <c r="BX67" s="946">
        <f>BX66/BQ66-1</f>
        <v>0.54955607899981884</v>
      </c>
      <c r="BY67" s="57"/>
      <c r="BZ67" s="57"/>
      <c r="CA67" s="57"/>
      <c r="CB67" s="959"/>
      <c r="CC67" s="57"/>
      <c r="CD67" s="57"/>
      <c r="CE67" s="946">
        <f>CE66/BX66-1</f>
        <v>9.190832553788586E-2</v>
      </c>
      <c r="CF67" s="57"/>
      <c r="CG67" s="57"/>
      <c r="CH67" s="57"/>
      <c r="CI67" s="959"/>
      <c r="CJ67" s="57"/>
      <c r="CK67" s="57"/>
      <c r="CL67" s="946">
        <f>CL66/CE66-1</f>
        <v>-7.9353180552580893E-2</v>
      </c>
      <c r="CM67" s="57"/>
      <c r="CN67" s="57"/>
      <c r="CO67" s="57"/>
      <c r="CP67" s="959"/>
      <c r="CQ67" s="57"/>
      <c r="CR67" s="57"/>
      <c r="CS67" s="955"/>
      <c r="CT67" s="57"/>
      <c r="CU67" s="57"/>
      <c r="CV67" s="57"/>
      <c r="CW67" s="959"/>
      <c r="CX67" s="57"/>
      <c r="CY67" s="57"/>
      <c r="CZ67" s="955"/>
      <c r="DA67" s="57"/>
      <c r="DB67" s="57"/>
      <c r="DC67" s="57"/>
      <c r="DD67" s="959"/>
      <c r="DE67" s="57"/>
      <c r="DF67" s="57"/>
      <c r="DG67" s="955"/>
      <c r="DH67" s="57"/>
      <c r="DI67" s="57"/>
      <c r="DJ67" s="57"/>
      <c r="DK67" s="959"/>
      <c r="DL67" s="57"/>
      <c r="DM67" s="57"/>
      <c r="DN67" s="955"/>
      <c r="DO67" s="57"/>
      <c r="DP67" s="57"/>
      <c r="DQ67" s="57"/>
      <c r="DR67" s="959"/>
      <c r="DS67" s="57"/>
      <c r="DT67" s="57"/>
      <c r="DU67" s="955"/>
      <c r="DV67" s="57"/>
      <c r="DW67" s="57"/>
      <c r="DX67" s="57"/>
      <c r="DY67" s="959"/>
      <c r="DZ67" s="57"/>
      <c r="EA67" s="57"/>
      <c r="EB67" s="955"/>
      <c r="EC67" s="57"/>
      <c r="ED67" s="57"/>
      <c r="EE67" s="57"/>
      <c r="EF67" s="959"/>
      <c r="EG67" s="57"/>
      <c r="EH67" s="57"/>
      <c r="EI67" s="955"/>
      <c r="EJ67" s="47"/>
      <c r="EK67" s="57"/>
      <c r="EL67" s="47"/>
      <c r="EM67" s="108"/>
      <c r="EN67" s="108"/>
      <c r="EO67" s="108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</row>
    <row r="68" spans="1:187" ht="10.5" customHeight="1">
      <c r="A68" s="51" t="s">
        <v>345</v>
      </c>
      <c r="B68" s="169"/>
      <c r="C68" s="169"/>
      <c r="D68" s="169"/>
      <c r="E68" s="170"/>
      <c r="F68" s="170"/>
      <c r="G68" s="171"/>
      <c r="H68" s="171"/>
      <c r="I68" s="171"/>
      <c r="J68" s="171"/>
      <c r="K68" s="171"/>
      <c r="L68" s="171"/>
      <c r="M68" s="175">
        <f t="shared" ref="M68:CE68" si="818">M66/M24</f>
        <v>0.8607918263090677</v>
      </c>
      <c r="N68" s="175">
        <f t="shared" si="818"/>
        <v>0.77456647398843925</v>
      </c>
      <c r="O68" s="175">
        <f t="shared" si="818"/>
        <v>1.0633893919793014</v>
      </c>
      <c r="P68" s="175">
        <f t="shared" si="818"/>
        <v>1.1169250645994833</v>
      </c>
      <c r="Q68" s="967">
        <f t="shared" si="818"/>
        <v>0.73810623556581989</v>
      </c>
      <c r="R68" s="175">
        <f t="shared" ref="R68:S68" si="819">R66/R24</f>
        <v>0.94736842105263153</v>
      </c>
      <c r="S68" s="175">
        <f t="shared" si="819"/>
        <v>0.89604093724750877</v>
      </c>
      <c r="T68" s="1344">
        <f t="shared" si="818"/>
        <v>0.91710338256312529</v>
      </c>
      <c r="U68" s="175">
        <f t="shared" ref="U68:X68" si="820">U66/U24</f>
        <v>1.0169204737732656</v>
      </c>
      <c r="V68" s="175">
        <f t="shared" si="820"/>
        <v>0.60592958616429893</v>
      </c>
      <c r="W68" s="175">
        <f t="shared" si="820"/>
        <v>0.75257025359835505</v>
      </c>
      <c r="X68" s="967">
        <f t="shared" si="820"/>
        <v>0.96643109540636041</v>
      </c>
      <c r="Y68" s="175">
        <f t="shared" ref="Y68:Z68" si="821">Y66/Y24</f>
        <v>0.77936451267404494</v>
      </c>
      <c r="Z68" s="175">
        <f t="shared" si="821"/>
        <v>0.88262154176739194</v>
      </c>
      <c r="AA68" s="1344">
        <f t="shared" si="818"/>
        <v>0.83828939301042305</v>
      </c>
      <c r="AB68" s="175">
        <f t="shared" si="818"/>
        <v>1.1112840466926071</v>
      </c>
      <c r="AC68" s="175">
        <f t="shared" si="818"/>
        <v>0.77957957957957957</v>
      </c>
      <c r="AD68" s="175">
        <f t="shared" si="818"/>
        <v>0.87372708757637474</v>
      </c>
      <c r="AE68" s="967">
        <f t="shared" si="818"/>
        <v>0.91197630131189167</v>
      </c>
      <c r="AF68" s="175">
        <f t="shared" ref="AF68:AG68" si="822">AF66/AF24</f>
        <v>0.92406779661016947</v>
      </c>
      <c r="AG68" s="175">
        <f t="shared" si="822"/>
        <v>0.89728884254431696</v>
      </c>
      <c r="AH68" s="1344">
        <f t="shared" si="818"/>
        <v>0.90893015030946067</v>
      </c>
      <c r="AI68" s="175">
        <f t="shared" ref="AI68:AL68" si="823">AI66/AI24</f>
        <v>0.86701208981001732</v>
      </c>
      <c r="AJ68" s="175">
        <f t="shared" si="823"/>
        <v>0.87246566383257029</v>
      </c>
      <c r="AK68" s="175">
        <f t="shared" si="823"/>
        <v>0.78369905956112851</v>
      </c>
      <c r="AL68" s="967">
        <f t="shared" si="823"/>
        <v>1.0417721518987342</v>
      </c>
      <c r="AM68" s="175">
        <f t="shared" ref="AM68:AN68" si="824">AM66/AM24</f>
        <v>0.87011537030145147</v>
      </c>
      <c r="AN68" s="175">
        <f t="shared" si="824"/>
        <v>0.9379571248423707</v>
      </c>
      <c r="AO68" s="1344">
        <f t="shared" si="818"/>
        <v>0.91055321707757064</v>
      </c>
      <c r="AP68" s="175">
        <f t="shared" si="818"/>
        <v>1.0975987606506583</v>
      </c>
      <c r="AQ68" s="175">
        <f t="shared" si="818"/>
        <v>1.3576687116564417</v>
      </c>
      <c r="AR68" s="175">
        <f t="shared" si="818"/>
        <v>0.74914792092706206</v>
      </c>
      <c r="AS68" s="967">
        <f t="shared" si="818"/>
        <v>0.88021338506304558</v>
      </c>
      <c r="AT68" s="175">
        <f t="shared" ref="AT68:AU68" si="825">AT66/AT24</f>
        <v>1.2427250941458405</v>
      </c>
      <c r="AU68" s="175">
        <f t="shared" si="825"/>
        <v>0.82572966846132045</v>
      </c>
      <c r="AV68" s="1344">
        <f t="shared" si="818"/>
        <v>1.0145736434108528</v>
      </c>
      <c r="AW68" s="175">
        <f t="shared" ref="AW68:AX68" si="826">AW66/AW24</f>
        <v>1.3402705515088449</v>
      </c>
      <c r="AX68" s="175">
        <f t="shared" si="826"/>
        <v>0.54660126138752629</v>
      </c>
      <c r="AY68" s="175">
        <f t="shared" ref="AY68:AZ68" si="827">AY66/AY24</f>
        <v>1.0643745427944404</v>
      </c>
      <c r="AZ68" s="967">
        <f t="shared" si="827"/>
        <v>1.2923359339146396</v>
      </c>
      <c r="BA68" s="175">
        <f t="shared" si="818"/>
        <v>0.86599664991624792</v>
      </c>
      <c r="BB68" s="175">
        <f t="shared" ref="BB68" si="828">BB66/BB24</f>
        <v>1.2044557247602934</v>
      </c>
      <c r="BC68" s="1344">
        <f t="shared" si="818"/>
        <v>1.0682507583417593</v>
      </c>
      <c r="BD68" s="175"/>
      <c r="BE68" s="175"/>
      <c r="BF68" s="175"/>
      <c r="BG68" s="967"/>
      <c r="BH68" s="175"/>
      <c r="BI68" s="175"/>
      <c r="BJ68" s="1344">
        <f t="shared" si="818"/>
        <v>1.1951057100049942</v>
      </c>
      <c r="BK68" s="175"/>
      <c r="BL68" s="175"/>
      <c r="BM68" s="175"/>
      <c r="BN68" s="967"/>
      <c r="BO68" s="175"/>
      <c r="BP68" s="175"/>
      <c r="BQ68" s="1344">
        <f t="shared" si="818"/>
        <v>0.8828987362022076</v>
      </c>
      <c r="BR68" s="175"/>
      <c r="BS68" s="175"/>
      <c r="BT68" s="175"/>
      <c r="BU68" s="967"/>
      <c r="BV68" s="175"/>
      <c r="BW68" s="175"/>
      <c r="BX68" s="1344">
        <f t="shared" si="818"/>
        <v>1.3138730987862959</v>
      </c>
      <c r="BY68" s="175"/>
      <c r="BZ68" s="175"/>
      <c r="CA68" s="175"/>
      <c r="CB68" s="967"/>
      <c r="CC68" s="175"/>
      <c r="CD68" s="175"/>
      <c r="CE68" s="1344">
        <f t="shared" si="818"/>
        <v>1.3249148694665154</v>
      </c>
      <c r="CF68" s="175"/>
      <c r="CG68" s="175"/>
      <c r="CH68" s="175"/>
      <c r="CI68" s="967"/>
      <c r="CJ68" s="175"/>
      <c r="CK68" s="175"/>
      <c r="CL68" s="1344">
        <f t="shared" ref="CL68" si="829">CL66/CL24</f>
        <v>1.1717323156603516</v>
      </c>
      <c r="CM68" s="175"/>
      <c r="CN68" s="175"/>
      <c r="CO68" s="175"/>
      <c r="CP68" s="967"/>
      <c r="CQ68" s="175"/>
      <c r="CR68" s="175"/>
      <c r="CS68" s="955"/>
      <c r="CT68" s="175"/>
      <c r="CU68" s="175"/>
      <c r="CV68" s="175"/>
      <c r="CW68" s="967"/>
      <c r="CX68" s="175"/>
      <c r="CY68" s="175"/>
      <c r="CZ68" s="955"/>
      <c r="DA68" s="175"/>
      <c r="DB68" s="175"/>
      <c r="DC68" s="175"/>
      <c r="DD68" s="967"/>
      <c r="DE68" s="175"/>
      <c r="DF68" s="175"/>
      <c r="DG68" s="955"/>
      <c r="DH68" s="175"/>
      <c r="DI68" s="175"/>
      <c r="DJ68" s="175"/>
      <c r="DK68" s="967"/>
      <c r="DL68" s="175"/>
      <c r="DM68" s="175"/>
      <c r="DN68" s="955"/>
      <c r="DO68" s="175"/>
      <c r="DP68" s="175"/>
      <c r="DQ68" s="175"/>
      <c r="DR68" s="967"/>
      <c r="DS68" s="175"/>
      <c r="DT68" s="175"/>
      <c r="DU68" s="955"/>
      <c r="DV68" s="175"/>
      <c r="DW68" s="175"/>
      <c r="DX68" s="175"/>
      <c r="DY68" s="967"/>
      <c r="DZ68" s="175"/>
      <c r="EA68" s="175"/>
      <c r="EB68" s="955"/>
      <c r="EC68" s="175"/>
      <c r="ED68" s="175"/>
      <c r="EE68" s="175"/>
      <c r="EF68" s="967"/>
      <c r="EG68" s="175"/>
      <c r="EH68" s="175"/>
      <c r="EI68" s="955"/>
      <c r="EJ68" s="175"/>
      <c r="EK68" s="175"/>
      <c r="EL68" s="47"/>
      <c r="EM68" s="108"/>
      <c r="EN68" s="108"/>
      <c r="EO68" s="108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</row>
    <row r="69" spans="1:187" ht="10.5" customHeight="1">
      <c r="A69" s="43"/>
      <c r="B69" s="231"/>
      <c r="C69" s="921"/>
      <c r="D69" s="922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961"/>
      <c r="R69" s="135"/>
      <c r="S69" s="135"/>
      <c r="T69" s="342"/>
      <c r="U69" s="135"/>
      <c r="V69" s="135"/>
      <c r="W69" s="135"/>
      <c r="X69" s="961"/>
      <c r="Y69" s="135"/>
      <c r="Z69" s="135"/>
      <c r="AA69" s="342"/>
      <c r="AB69" s="135"/>
      <c r="AC69" s="135"/>
      <c r="AD69" s="135"/>
      <c r="AE69" s="961"/>
      <c r="AF69" s="135"/>
      <c r="AG69" s="135"/>
      <c r="AH69" s="342"/>
      <c r="AI69" s="135"/>
      <c r="AJ69" s="135"/>
      <c r="AK69" s="135"/>
      <c r="AL69" s="961"/>
      <c r="AM69" s="135"/>
      <c r="AN69" s="135"/>
      <c r="AO69" s="342"/>
      <c r="AP69" s="135"/>
      <c r="AQ69" s="135"/>
      <c r="AR69" s="135"/>
      <c r="AS69" s="961"/>
      <c r="AT69" s="135"/>
      <c r="AU69" s="135"/>
      <c r="AV69" s="342"/>
      <c r="AW69" s="135"/>
      <c r="AX69" s="135"/>
      <c r="AY69" s="135"/>
      <c r="AZ69" s="961"/>
      <c r="BA69" s="135"/>
      <c r="BB69" s="135"/>
      <c r="BC69" s="342"/>
      <c r="BD69" s="135"/>
      <c r="BE69" s="135"/>
      <c r="BF69" s="135"/>
      <c r="BG69" s="961"/>
      <c r="BH69" s="135"/>
      <c r="BI69" s="135"/>
      <c r="BJ69" s="342"/>
      <c r="BK69" s="135"/>
      <c r="BL69" s="135"/>
      <c r="BM69" s="135"/>
      <c r="BN69" s="961"/>
      <c r="BO69" s="135"/>
      <c r="BP69" s="135"/>
      <c r="BQ69" s="342"/>
      <c r="BR69" s="135"/>
      <c r="BS69" s="135"/>
      <c r="BT69" s="135"/>
      <c r="BU69" s="961"/>
      <c r="BV69" s="135"/>
      <c r="BW69" s="135"/>
      <c r="BX69" s="342"/>
      <c r="BY69" s="135"/>
      <c r="BZ69" s="135"/>
      <c r="CA69" s="135"/>
      <c r="CB69" s="961"/>
      <c r="CC69" s="135"/>
      <c r="CD69" s="135"/>
      <c r="CE69" s="342"/>
      <c r="CF69" s="135"/>
      <c r="CG69" s="135"/>
      <c r="CH69" s="135"/>
      <c r="CI69" s="961"/>
      <c r="CJ69" s="135"/>
      <c r="CK69" s="135"/>
      <c r="CL69" s="342"/>
      <c r="CM69" s="135"/>
      <c r="CN69" s="135"/>
      <c r="CO69" s="135"/>
      <c r="CP69" s="961"/>
      <c r="CQ69" s="135"/>
      <c r="CR69" s="135"/>
      <c r="CS69" s="342"/>
      <c r="CT69" s="135"/>
      <c r="CU69" s="135"/>
      <c r="CV69" s="135"/>
      <c r="CW69" s="961"/>
      <c r="CX69" s="135"/>
      <c r="CY69" s="135"/>
      <c r="CZ69" s="342"/>
      <c r="DA69" s="135"/>
      <c r="DB69" s="135"/>
      <c r="DC69" s="135"/>
      <c r="DD69" s="961"/>
      <c r="DE69" s="135"/>
      <c r="DF69" s="135"/>
      <c r="DG69" s="342"/>
      <c r="DH69" s="135"/>
      <c r="DI69" s="135"/>
      <c r="DJ69" s="135"/>
      <c r="DK69" s="961"/>
      <c r="DL69" s="135"/>
      <c r="DM69" s="135"/>
      <c r="DN69" s="342"/>
      <c r="DO69" s="135"/>
      <c r="DP69" s="135"/>
      <c r="DQ69" s="135"/>
      <c r="DR69" s="961"/>
      <c r="DS69" s="135"/>
      <c r="DT69" s="135"/>
      <c r="DU69" s="342"/>
      <c r="DV69" s="135"/>
      <c r="DW69" s="135"/>
      <c r="DX69" s="135"/>
      <c r="DY69" s="961"/>
      <c r="DZ69" s="135"/>
      <c r="EA69" s="135"/>
      <c r="EB69" s="342"/>
      <c r="EC69" s="135"/>
      <c r="ED69" s="135"/>
      <c r="EE69" s="135"/>
      <c r="EF69" s="961"/>
      <c r="EG69" s="135"/>
      <c r="EH69" s="135"/>
      <c r="EI69" s="342"/>
      <c r="EJ69" s="47"/>
      <c r="EK69" s="47"/>
      <c r="EL69" s="47"/>
      <c r="EM69" s="108"/>
      <c r="EN69" s="108"/>
      <c r="EO69" s="108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</row>
    <row r="70" spans="1:187" ht="10.5" customHeight="1">
      <c r="A70" s="108" t="s">
        <v>340</v>
      </c>
      <c r="B70" s="231"/>
      <c r="C70" s="921"/>
      <c r="D70" s="922"/>
      <c r="E70" s="223"/>
      <c r="F70" s="223"/>
      <c r="G70" s="223"/>
      <c r="H70" s="223"/>
      <c r="I70" s="223"/>
      <c r="J70" s="223"/>
      <c r="K70" s="135"/>
      <c r="L70" s="135"/>
      <c r="M70" s="139">
        <v>469</v>
      </c>
      <c r="N70" s="139">
        <v>51</v>
      </c>
      <c r="O70" s="139">
        <f>R70-N70</f>
        <v>116</v>
      </c>
      <c r="P70" s="139">
        <f>276-N70-O70</f>
        <v>109</v>
      </c>
      <c r="Q70" s="723">
        <f>S70-P70</f>
        <v>146</v>
      </c>
      <c r="R70" s="139">
        <v>167</v>
      </c>
      <c r="S70" s="139">
        <f>T70-R70</f>
        <v>255</v>
      </c>
      <c r="T70" s="342">
        <v>422</v>
      </c>
      <c r="U70" s="139">
        <v>78</v>
      </c>
      <c r="V70" s="139">
        <f>Y70-U70</f>
        <v>70</v>
      </c>
      <c r="W70" s="139">
        <f>208-U70-V70</f>
        <v>60</v>
      </c>
      <c r="X70" s="723">
        <f>Z70-W70</f>
        <v>161</v>
      </c>
      <c r="Y70" s="139">
        <v>148</v>
      </c>
      <c r="Z70" s="139">
        <f>AA70-Y70</f>
        <v>221</v>
      </c>
      <c r="AA70" s="342">
        <v>369</v>
      </c>
      <c r="AB70" s="139">
        <v>86</v>
      </c>
      <c r="AC70" s="139">
        <f>AF70-AB70</f>
        <v>49</v>
      </c>
      <c r="AD70" s="139">
        <f>181-AB70-AC70</f>
        <v>46</v>
      </c>
      <c r="AE70" s="723">
        <f>AG70-AD70</f>
        <v>152</v>
      </c>
      <c r="AF70" s="139">
        <v>135</v>
      </c>
      <c r="AG70" s="139">
        <f>AH70-AF70</f>
        <v>198</v>
      </c>
      <c r="AH70" s="342">
        <v>333</v>
      </c>
      <c r="AI70" s="139">
        <v>51</v>
      </c>
      <c r="AJ70" s="139">
        <f>AM70-AI70</f>
        <v>76</v>
      </c>
      <c r="AK70" s="139">
        <f>211-AI70-AJ70</f>
        <v>84</v>
      </c>
      <c r="AL70" s="723">
        <f>AN70-AK70</f>
        <v>142</v>
      </c>
      <c r="AM70" s="139">
        <v>127</v>
      </c>
      <c r="AN70" s="139">
        <f>AO70-AM70</f>
        <v>226</v>
      </c>
      <c r="AO70" s="342">
        <v>353</v>
      </c>
      <c r="AP70" s="139">
        <v>60</v>
      </c>
      <c r="AQ70" s="139">
        <f>AT70-AP70</f>
        <v>91</v>
      </c>
      <c r="AR70" s="139">
        <f>210-AP70-AQ70</f>
        <v>59</v>
      </c>
      <c r="AS70" s="723">
        <f>AU70-AR70</f>
        <v>125</v>
      </c>
      <c r="AT70" s="139">
        <v>151</v>
      </c>
      <c r="AU70" s="139">
        <f>AV70-AT70</f>
        <v>184</v>
      </c>
      <c r="AV70" s="342">
        <v>335</v>
      </c>
      <c r="AW70" s="139">
        <v>104</v>
      </c>
      <c r="AX70" s="139">
        <f>BA70-AW70</f>
        <v>39</v>
      </c>
      <c r="AY70" s="139">
        <f>230-AW70-AX70</f>
        <v>87</v>
      </c>
      <c r="AZ70" s="723">
        <f>BB70-AY70</f>
        <v>151</v>
      </c>
      <c r="BA70" s="139">
        <v>143</v>
      </c>
      <c r="BB70" s="139">
        <f>BC70-BA70</f>
        <v>238</v>
      </c>
      <c r="BC70" s="342">
        <v>381</v>
      </c>
      <c r="BD70" s="139">
        <v>66</v>
      </c>
      <c r="BE70" s="139">
        <f>BH70-BD70</f>
        <v>57</v>
      </c>
      <c r="BF70" s="139">
        <f>173-BD70-BE70</f>
        <v>50</v>
      </c>
      <c r="BG70" s="723">
        <f>BI70-BF70</f>
        <v>137</v>
      </c>
      <c r="BH70" s="139">
        <v>123</v>
      </c>
      <c r="BI70" s="139">
        <f>BJ70-BH70</f>
        <v>187</v>
      </c>
      <c r="BJ70" s="342">
        <v>310</v>
      </c>
      <c r="BK70" s="139">
        <v>54</v>
      </c>
      <c r="BL70" s="139">
        <f>BO70-BK70</f>
        <v>21</v>
      </c>
      <c r="BM70" s="139">
        <f>143-BK70-BL70</f>
        <v>68</v>
      </c>
      <c r="BN70" s="723">
        <f>BP70-BM70</f>
        <v>125</v>
      </c>
      <c r="BO70" s="139">
        <v>75</v>
      </c>
      <c r="BP70" s="139">
        <f>BQ70-BO70</f>
        <v>193</v>
      </c>
      <c r="BQ70" s="342">
        <v>268</v>
      </c>
      <c r="BR70" s="139">
        <v>40</v>
      </c>
      <c r="BS70" s="139">
        <f>BV70-BR70</f>
        <v>83</v>
      </c>
      <c r="BT70" s="139">
        <f>185-BR70-BS70</f>
        <v>62</v>
      </c>
      <c r="BU70" s="723">
        <f>BW70-BT70</f>
        <v>229</v>
      </c>
      <c r="BV70" s="139">
        <v>123</v>
      </c>
      <c r="BW70" s="139">
        <f>BX70-BV70</f>
        <v>291</v>
      </c>
      <c r="BX70" s="342">
        <v>414</v>
      </c>
      <c r="BY70" s="139">
        <v>56</v>
      </c>
      <c r="BZ70" s="139">
        <f>CC70-BY70</f>
        <v>107</v>
      </c>
      <c r="CA70" s="139">
        <f>246-BY70-BZ70</f>
        <v>83</v>
      </c>
      <c r="CB70" s="723">
        <f>CD70-CA70</f>
        <v>116</v>
      </c>
      <c r="CC70" s="139">
        <v>163</v>
      </c>
      <c r="CD70" s="139">
        <f>CE70-CC70</f>
        <v>199</v>
      </c>
      <c r="CE70" s="342">
        <v>362</v>
      </c>
      <c r="CF70" s="139">
        <v>39</v>
      </c>
      <c r="CG70" s="139">
        <f>CJ70-CF70</f>
        <v>92</v>
      </c>
      <c r="CH70" s="139">
        <f>191-CF70-CG70</f>
        <v>60</v>
      </c>
      <c r="CI70" s="723">
        <f>CK70-CH70</f>
        <v>202</v>
      </c>
      <c r="CJ70" s="139">
        <v>131</v>
      </c>
      <c r="CK70" s="139">
        <f>CL70-CJ70</f>
        <v>262</v>
      </c>
      <c r="CL70" s="342">
        <v>393</v>
      </c>
      <c r="CM70" s="139">
        <v>63</v>
      </c>
      <c r="CN70" s="139">
        <f>CQ70-CM70</f>
        <v>170</v>
      </c>
      <c r="CO70" s="139">
        <f>308-CM70-CN70</f>
        <v>75</v>
      </c>
      <c r="CP70" s="723">
        <f>CR70-CO70</f>
        <v>142</v>
      </c>
      <c r="CQ70" s="139">
        <v>233</v>
      </c>
      <c r="CR70" s="139">
        <f>CS70-CQ70</f>
        <v>217</v>
      </c>
      <c r="CS70" s="342">
        <v>450</v>
      </c>
      <c r="CT70" s="139">
        <v>100</v>
      </c>
      <c r="CU70" s="139">
        <f>CX70-CT70</f>
        <v>71</v>
      </c>
      <c r="CV70" s="139">
        <f>306-CT70-CU70</f>
        <v>135</v>
      </c>
      <c r="CW70" s="723">
        <f>CY70-CV70</f>
        <v>230</v>
      </c>
      <c r="CX70" s="2108">
        <v>171</v>
      </c>
      <c r="CY70" s="139">
        <f>CZ70-CX70</f>
        <v>365</v>
      </c>
      <c r="CZ70" s="342">
        <v>536</v>
      </c>
      <c r="DA70" s="139">
        <v>79</v>
      </c>
      <c r="DB70" s="139">
        <f>DE70-DA70</f>
        <v>136</v>
      </c>
      <c r="DC70" s="139"/>
      <c r="DD70" s="723"/>
      <c r="DE70" s="139">
        <v>215</v>
      </c>
      <c r="DF70" s="139"/>
      <c r="DG70" s="342"/>
      <c r="DH70" s="139"/>
      <c r="DI70" s="139"/>
      <c r="DJ70" s="139"/>
      <c r="DK70" s="723"/>
      <c r="DL70" s="139"/>
      <c r="DM70" s="139"/>
      <c r="DN70" s="342"/>
      <c r="DO70" s="139"/>
      <c r="DP70" s="139"/>
      <c r="DQ70" s="139"/>
      <c r="DR70" s="723"/>
      <c r="DS70" s="139"/>
      <c r="DT70" s="139"/>
      <c r="DU70" s="342"/>
      <c r="DV70" s="139"/>
      <c r="DW70" s="139"/>
      <c r="DX70" s="139"/>
      <c r="DY70" s="723"/>
      <c r="DZ70" s="139"/>
      <c r="EA70" s="139"/>
      <c r="EB70" s="342"/>
      <c r="EC70" s="139"/>
      <c r="ED70" s="139"/>
      <c r="EE70" s="139"/>
      <c r="EF70" s="723"/>
      <c r="EG70" s="139"/>
      <c r="EH70" s="139"/>
      <c r="EI70" s="342"/>
      <c r="EJ70" s="138"/>
      <c r="EK70" s="138"/>
      <c r="EL70" s="47"/>
      <c r="EM70" s="108"/>
      <c r="EN70" s="108"/>
      <c r="EO70" s="108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</row>
    <row r="71" spans="1:187" ht="10.5" customHeight="1">
      <c r="A71" s="51" t="s">
        <v>341</v>
      </c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700"/>
      <c r="R71" s="108"/>
      <c r="S71" s="108"/>
      <c r="T71" s="353">
        <v>33</v>
      </c>
      <c r="U71" s="108"/>
      <c r="V71" s="108"/>
      <c r="W71" s="108"/>
      <c r="X71" s="700"/>
      <c r="Y71" s="108"/>
      <c r="Z71" s="108"/>
      <c r="AA71" s="353">
        <v>32</v>
      </c>
      <c r="AB71" s="108"/>
      <c r="AC71" s="108"/>
      <c r="AD71" s="108"/>
      <c r="AE71" s="700"/>
      <c r="AF71" s="108"/>
      <c r="AG71" s="108"/>
      <c r="AH71" s="353"/>
      <c r="AI71" s="108"/>
      <c r="AJ71" s="108"/>
      <c r="AK71" s="108"/>
      <c r="AL71" s="700"/>
      <c r="AM71" s="108"/>
      <c r="AN71" s="108"/>
      <c r="AO71" s="353"/>
      <c r="AP71" s="108"/>
      <c r="AQ71" s="108"/>
      <c r="AR71" s="108"/>
      <c r="AS71" s="700"/>
      <c r="AT71" s="108"/>
      <c r="AU71" s="108"/>
      <c r="AV71" s="353">
        <v>54</v>
      </c>
      <c r="AW71" s="108"/>
      <c r="AX71" s="108"/>
      <c r="AY71" s="108"/>
      <c r="AZ71" s="700"/>
      <c r="BA71" s="108"/>
      <c r="BB71" s="108"/>
      <c r="BC71" s="353"/>
      <c r="BD71" s="108"/>
      <c r="BE71" s="108"/>
      <c r="BF71" s="108"/>
      <c r="BG71" s="700"/>
      <c r="BH71" s="108"/>
      <c r="BI71" s="108"/>
      <c r="BJ71" s="353"/>
      <c r="BK71" s="108"/>
      <c r="BL71" s="108"/>
      <c r="BM71" s="108"/>
      <c r="BN71" s="700"/>
      <c r="BO71" s="108"/>
      <c r="BP71" s="108"/>
      <c r="BQ71" s="353"/>
      <c r="BR71" s="108"/>
      <c r="BS71" s="108"/>
      <c r="BT71" s="108"/>
      <c r="BU71" s="700"/>
      <c r="BV71" s="108"/>
      <c r="BW71" s="108"/>
      <c r="BX71" s="353"/>
      <c r="BY71" s="108"/>
      <c r="BZ71" s="108"/>
      <c r="CA71" s="108"/>
      <c r="CB71" s="700"/>
      <c r="CC71" s="108"/>
      <c r="CD71" s="108"/>
      <c r="CE71" s="353"/>
      <c r="CF71" s="108"/>
      <c r="CG71" s="108"/>
      <c r="CH71" s="108"/>
      <c r="CI71" s="700"/>
      <c r="CJ71" s="108"/>
      <c r="CK71" s="108"/>
      <c r="CL71" s="353"/>
      <c r="CM71" s="108"/>
      <c r="CN71" s="108"/>
      <c r="CO71" s="108"/>
      <c r="CP71" s="700"/>
      <c r="CQ71" s="108"/>
      <c r="CR71" s="108"/>
      <c r="CS71" s="1825">
        <v>58</v>
      </c>
      <c r="CT71" s="108"/>
      <c r="CU71" s="108"/>
      <c r="CV71" s="108"/>
      <c r="CW71" s="700"/>
      <c r="CX71" s="108"/>
      <c r="CY71" s="108"/>
      <c r="CZ71" s="353"/>
      <c r="DA71" s="108"/>
      <c r="DB71" s="108"/>
      <c r="DC71" s="108"/>
      <c r="DD71" s="700"/>
      <c r="DE71" s="108"/>
      <c r="DF71" s="108"/>
      <c r="DG71" s="353"/>
      <c r="DH71" s="108"/>
      <c r="DI71" s="108"/>
      <c r="DJ71" s="108"/>
      <c r="DK71" s="700"/>
      <c r="DL71" s="108"/>
      <c r="DM71" s="108"/>
      <c r="DN71" s="353"/>
      <c r="DO71" s="108"/>
      <c r="DP71" s="108"/>
      <c r="DQ71" s="108"/>
      <c r="DR71" s="700"/>
      <c r="DS71" s="108"/>
      <c r="DT71" s="108"/>
      <c r="DU71" s="353"/>
      <c r="DV71" s="108"/>
      <c r="DW71" s="108"/>
      <c r="DX71" s="108"/>
      <c r="DY71" s="700"/>
      <c r="DZ71" s="108"/>
      <c r="EA71" s="108"/>
      <c r="EB71" s="353"/>
      <c r="EC71" s="108"/>
      <c r="ED71" s="108"/>
      <c r="EE71" s="108"/>
      <c r="EF71" s="700"/>
      <c r="EG71" s="108"/>
      <c r="EH71" s="108"/>
      <c r="EI71" s="353"/>
      <c r="EJ71" s="47"/>
      <c r="EK71" s="47"/>
      <c r="EL71" s="47"/>
      <c r="EM71" s="108"/>
      <c r="EN71" s="108"/>
      <c r="EO71" s="108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</row>
    <row r="72" spans="1:187" ht="10.5" customHeight="1">
      <c r="A72" s="51" t="s">
        <v>342</v>
      </c>
      <c r="B72" s="78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724"/>
      <c r="R72" s="245"/>
      <c r="S72" s="245"/>
      <c r="T72" s="956">
        <v>34</v>
      </c>
      <c r="U72" s="245"/>
      <c r="V72" s="245"/>
      <c r="W72" s="245"/>
      <c r="X72" s="724"/>
      <c r="Y72" s="245"/>
      <c r="Z72" s="245"/>
      <c r="AA72" s="956"/>
      <c r="AB72" s="245"/>
      <c r="AC72" s="245"/>
      <c r="AD72" s="245"/>
      <c r="AE72" s="724"/>
      <c r="AF72" s="245"/>
      <c r="AG72" s="245"/>
      <c r="AH72" s="956"/>
      <c r="AI72" s="245"/>
      <c r="AJ72" s="245"/>
      <c r="AK72" s="245"/>
      <c r="AL72" s="724"/>
      <c r="AM72" s="245"/>
      <c r="AN72" s="245"/>
      <c r="AO72" s="956"/>
      <c r="AP72" s="245"/>
      <c r="AQ72" s="245"/>
      <c r="AR72" s="245"/>
      <c r="AS72" s="724"/>
      <c r="AT72" s="245"/>
      <c r="AU72" s="245"/>
      <c r="AV72" s="956"/>
      <c r="AW72" s="245"/>
      <c r="AX72" s="245"/>
      <c r="AY72" s="245"/>
      <c r="AZ72" s="724"/>
      <c r="BA72" s="245"/>
      <c r="BB72" s="245"/>
      <c r="BC72" s="956"/>
      <c r="BD72" s="245"/>
      <c r="BE72" s="245"/>
      <c r="BF72" s="245"/>
      <c r="BG72" s="724"/>
      <c r="BH72" s="245"/>
      <c r="BI72" s="245"/>
      <c r="BJ72" s="956"/>
      <c r="BK72" s="245"/>
      <c r="BL72" s="245"/>
      <c r="BM72" s="245"/>
      <c r="BN72" s="724"/>
      <c r="BO72" s="245"/>
      <c r="BP72" s="245"/>
      <c r="BQ72" s="956"/>
      <c r="BR72" s="245"/>
      <c r="BS72" s="245"/>
      <c r="BT72" s="245"/>
      <c r="BU72" s="724"/>
      <c r="BV72" s="245"/>
      <c r="BW72" s="245"/>
      <c r="BX72" s="956"/>
      <c r="BY72" s="245"/>
      <c r="BZ72" s="245"/>
      <c r="CA72" s="245"/>
      <c r="CB72" s="724"/>
      <c r="CC72" s="245"/>
      <c r="CD72" s="245"/>
      <c r="CE72" s="956"/>
      <c r="CF72" s="245"/>
      <c r="CG72" s="245"/>
      <c r="CH72" s="245"/>
      <c r="CI72" s="724"/>
      <c r="CJ72" s="245"/>
      <c r="CK72" s="245"/>
      <c r="CL72" s="956"/>
      <c r="CM72" s="245"/>
      <c r="CN72" s="245"/>
      <c r="CO72" s="245"/>
      <c r="CP72" s="724"/>
      <c r="CQ72" s="245"/>
      <c r="CR72" s="245"/>
      <c r="CS72" s="956"/>
      <c r="CT72" s="245"/>
      <c r="CU72" s="245"/>
      <c r="CV72" s="245"/>
      <c r="CW72" s="724"/>
      <c r="CX72" s="245"/>
      <c r="CY72" s="245"/>
      <c r="CZ72" s="956"/>
      <c r="DA72" s="245"/>
      <c r="DB72" s="245"/>
      <c r="DC72" s="245"/>
      <c r="DD72" s="724"/>
      <c r="DE72" s="245"/>
      <c r="DF72" s="245"/>
      <c r="DG72" s="956"/>
      <c r="DH72" s="245"/>
      <c r="DI72" s="245"/>
      <c r="DJ72" s="245"/>
      <c r="DK72" s="724"/>
      <c r="DL72" s="245"/>
      <c r="DM72" s="245"/>
      <c r="DN72" s="956"/>
      <c r="DO72" s="245"/>
      <c r="DP72" s="245"/>
      <c r="DQ72" s="245"/>
      <c r="DR72" s="724"/>
      <c r="DS72" s="245"/>
      <c r="DT72" s="245"/>
      <c r="DU72" s="956"/>
      <c r="DV72" s="245"/>
      <c r="DW72" s="245"/>
      <c r="DX72" s="245"/>
      <c r="DY72" s="724"/>
      <c r="DZ72" s="245"/>
      <c r="EA72" s="245"/>
      <c r="EB72" s="956"/>
      <c r="EC72" s="245"/>
      <c r="ED72" s="245"/>
      <c r="EE72" s="245"/>
      <c r="EF72" s="724"/>
      <c r="EG72" s="245"/>
      <c r="EH72" s="245"/>
      <c r="EI72" s="956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</row>
    <row r="73" spans="1:187" ht="10.5" customHeight="1">
      <c r="A73" s="51" t="s">
        <v>346</v>
      </c>
      <c r="B73" s="84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4">
        <f t="shared" ref="M73:CG73" si="830">M70/M29</f>
        <v>0.98736842105263156</v>
      </c>
      <c r="N73" s="174">
        <f t="shared" si="830"/>
        <v>0.87931034482758619</v>
      </c>
      <c r="O73" s="174">
        <f t="shared" si="830"/>
        <v>0.87878787878787878</v>
      </c>
      <c r="P73" s="174">
        <f t="shared" si="830"/>
        <v>0.89344262295081966</v>
      </c>
      <c r="Q73" s="968">
        <f t="shared" si="830"/>
        <v>0.78918918918918923</v>
      </c>
      <c r="R73" s="174">
        <f t="shared" ref="R73:S73" si="831">R70/R29</f>
        <v>0.87894736842105259</v>
      </c>
      <c r="S73" s="174">
        <f t="shared" si="831"/>
        <v>0.83061889250814336</v>
      </c>
      <c r="T73" s="1264">
        <f t="shared" si="830"/>
        <v>0.84909456740442657</v>
      </c>
      <c r="U73" s="174">
        <f t="shared" ref="U73:X73" si="832">U70/U29</f>
        <v>1.0540540540540539</v>
      </c>
      <c r="V73" s="174">
        <f t="shared" si="832"/>
        <v>0.55555555555555558</v>
      </c>
      <c r="W73" s="174">
        <f t="shared" si="832"/>
        <v>0.63157894736842102</v>
      </c>
      <c r="X73" s="968">
        <f t="shared" si="832"/>
        <v>0.91477272727272729</v>
      </c>
      <c r="Y73" s="174">
        <f t="shared" ref="Y73:Z73" si="833">Y70/Y29</f>
        <v>0.74</v>
      </c>
      <c r="Z73" s="174">
        <f t="shared" si="833"/>
        <v>0.81549815498154976</v>
      </c>
      <c r="AA73" s="1264">
        <f t="shared" si="830"/>
        <v>0.78343949044585992</v>
      </c>
      <c r="AB73" s="174">
        <f t="shared" si="830"/>
        <v>1.3870967741935485</v>
      </c>
      <c r="AC73" s="174">
        <f t="shared" si="830"/>
        <v>0.5444444444444444</v>
      </c>
      <c r="AD73" s="174">
        <f t="shared" si="830"/>
        <v>0.54117647058823526</v>
      </c>
      <c r="AE73" s="968">
        <f t="shared" si="830"/>
        <v>0.96202531645569622</v>
      </c>
      <c r="AF73" s="174">
        <f t="shared" ref="AF73:AG73" si="834">AF70/AF29</f>
        <v>0.88815789473684215</v>
      </c>
      <c r="AG73" s="174">
        <f t="shared" si="834"/>
        <v>0.81481481481481477</v>
      </c>
      <c r="AH73" s="1264">
        <f t="shared" si="830"/>
        <v>0.84303797468354436</v>
      </c>
      <c r="AI73" s="174">
        <f t="shared" ref="AI73:AL73" si="835">AI70/AI29</f>
        <v>0.9107142857142857</v>
      </c>
      <c r="AJ73" s="174">
        <f t="shared" si="835"/>
        <v>0.71028037383177567</v>
      </c>
      <c r="AK73" s="174">
        <f t="shared" si="835"/>
        <v>0.88421052631578945</v>
      </c>
      <c r="AL73" s="968">
        <f t="shared" si="835"/>
        <v>0.88749999999999996</v>
      </c>
      <c r="AM73" s="174">
        <f t="shared" ref="AM73:AN73" si="836">AM70/AM29</f>
        <v>0.77914110429447858</v>
      </c>
      <c r="AN73" s="174">
        <f t="shared" si="836"/>
        <v>0.88627450980392153</v>
      </c>
      <c r="AO73" s="1264">
        <f t="shared" si="830"/>
        <v>0.84449760765550241</v>
      </c>
      <c r="AP73" s="174">
        <f t="shared" si="830"/>
        <v>0.76923076923076927</v>
      </c>
      <c r="AQ73" s="174">
        <f t="shared" si="830"/>
        <v>0.8125</v>
      </c>
      <c r="AR73" s="174">
        <f t="shared" si="830"/>
        <v>0.77631578947368418</v>
      </c>
      <c r="AS73" s="968">
        <f t="shared" si="830"/>
        <v>0.87412587412587417</v>
      </c>
      <c r="AT73" s="174">
        <f t="shared" ref="AT73:AU73" si="837">AT70/AT29</f>
        <v>0.79473684210526319</v>
      </c>
      <c r="AU73" s="174">
        <f t="shared" si="837"/>
        <v>0.84018264840182644</v>
      </c>
      <c r="AV73" s="1264">
        <f t="shared" si="830"/>
        <v>0.81907090464547683</v>
      </c>
      <c r="AW73" s="174">
        <f t="shared" ref="AW73:AZ73" si="838">AW70/AW29</f>
        <v>2</v>
      </c>
      <c r="AX73" s="174">
        <f t="shared" si="838"/>
        <v>0.43820224719101125</v>
      </c>
      <c r="AY73" s="174">
        <f t="shared" si="838"/>
        <v>1.1298701298701299</v>
      </c>
      <c r="AZ73" s="968">
        <f t="shared" si="838"/>
        <v>1.0942028985507246</v>
      </c>
      <c r="BA73" s="174">
        <f t="shared" ref="BA73:BB73" si="839">BA70/BA29</f>
        <v>1.0141843971631206</v>
      </c>
      <c r="BB73" s="174">
        <f t="shared" si="839"/>
        <v>1.1069767441860465</v>
      </c>
      <c r="BC73" s="1264">
        <f t="shared" si="830"/>
        <v>1.0702247191011236</v>
      </c>
      <c r="BD73" s="174">
        <f t="shared" si="830"/>
        <v>1.4347826086956521</v>
      </c>
      <c r="BE73" s="174">
        <f t="shared" si="830"/>
        <v>0.58762886597938147</v>
      </c>
      <c r="BF73" s="174">
        <f t="shared" si="830"/>
        <v>0.75757575757575757</v>
      </c>
      <c r="BG73" s="968">
        <f t="shared" si="830"/>
        <v>1.1138211382113821</v>
      </c>
      <c r="BH73" s="174">
        <f t="shared" ref="BH73:BI73" si="840">BH70/BH29</f>
        <v>0.8601398601398601</v>
      </c>
      <c r="BI73" s="174">
        <f t="shared" si="840"/>
        <v>0.98941798941798942</v>
      </c>
      <c r="BJ73" s="1264">
        <f t="shared" si="830"/>
        <v>0.9337349397590361</v>
      </c>
      <c r="BK73" s="174">
        <f t="shared" ref="BK73:BN73" si="841">BK70/BK29</f>
        <v>1.1489361702127661</v>
      </c>
      <c r="BL73" s="174">
        <f t="shared" si="841"/>
        <v>0.36842105263157893</v>
      </c>
      <c r="BM73" s="174">
        <f t="shared" si="841"/>
        <v>1.0461538461538462</v>
      </c>
      <c r="BN73" s="968">
        <f t="shared" si="841"/>
        <v>0.95419847328244278</v>
      </c>
      <c r="BO73" s="174">
        <f t="shared" ref="BO73:BP73" si="842">BO70/BO29</f>
        <v>0.72115384615384615</v>
      </c>
      <c r="BP73" s="174">
        <f t="shared" si="842"/>
        <v>0.98469387755102045</v>
      </c>
      <c r="BQ73" s="1264">
        <f t="shared" si="830"/>
        <v>0.89333333333333331</v>
      </c>
      <c r="BR73" s="174">
        <f t="shared" si="830"/>
        <v>1.0256410256410255</v>
      </c>
      <c r="BS73" s="174">
        <f t="shared" si="830"/>
        <v>1.0921052631578947</v>
      </c>
      <c r="BT73" s="174">
        <f t="shared" si="830"/>
        <v>0.78481012658227844</v>
      </c>
      <c r="BU73" s="968">
        <f t="shared" si="830"/>
        <v>1.5902777777777777</v>
      </c>
      <c r="BV73" s="174">
        <f t="shared" ref="BV73:BW73" si="843">BV70/BV29</f>
        <v>1.0695652173913044</v>
      </c>
      <c r="BW73" s="174">
        <f t="shared" si="843"/>
        <v>1.304932735426009</v>
      </c>
      <c r="BX73" s="1264">
        <f t="shared" si="830"/>
        <v>1.2248520710059172</v>
      </c>
      <c r="BY73" s="174">
        <f t="shared" ref="BY73:CB73" si="844">BY70/BY29</f>
        <v>1.4358974358974359</v>
      </c>
      <c r="BZ73" s="174">
        <f t="shared" si="844"/>
        <v>1.4078947368421053</v>
      </c>
      <c r="CA73" s="174">
        <f t="shared" si="844"/>
        <v>1.0641025641025641</v>
      </c>
      <c r="CB73" s="968">
        <f t="shared" si="844"/>
        <v>0.76821192052980136</v>
      </c>
      <c r="CC73" s="174">
        <f t="shared" ref="CC73:CD73" si="845">CC70/CC29</f>
        <v>1.4173913043478261</v>
      </c>
      <c r="CD73" s="174">
        <f t="shared" si="845"/>
        <v>0.86899563318777295</v>
      </c>
      <c r="CE73" s="1264">
        <f t="shared" si="830"/>
        <v>1.0523255813953489</v>
      </c>
      <c r="CF73" s="174">
        <f t="shared" si="830"/>
        <v>0.54929577464788737</v>
      </c>
      <c r="CG73" s="174">
        <f t="shared" si="830"/>
        <v>1.2432432432432432</v>
      </c>
      <c r="CH73" s="174">
        <f t="shared" ref="CH73:CN73" si="846">CH70/CH29</f>
        <v>1.1538461538461537</v>
      </c>
      <c r="CI73" s="968">
        <f t="shared" si="846"/>
        <v>1.3557046979865772</v>
      </c>
      <c r="CJ73" s="174">
        <f t="shared" ref="CJ73" si="847">CJ70/CJ29</f>
        <v>0.90344827586206899</v>
      </c>
      <c r="CK73" s="174">
        <f t="shared" si="846"/>
        <v>1.3034825870646767</v>
      </c>
      <c r="CL73" s="1264">
        <f t="shared" si="846"/>
        <v>1.1358381502890174</v>
      </c>
      <c r="CM73" s="174">
        <f t="shared" si="846"/>
        <v>1.26</v>
      </c>
      <c r="CN73" s="174">
        <f t="shared" si="846"/>
        <v>2.2972972972972974</v>
      </c>
      <c r="CO73" s="174">
        <f t="shared" ref="CO73:CU73" si="848">CO70/CO29</f>
        <v>1.1363636363636365</v>
      </c>
      <c r="CP73" s="968">
        <f t="shared" si="848"/>
        <v>0.83040935672514615</v>
      </c>
      <c r="CQ73" s="174">
        <f t="shared" ref="CQ73" si="849">CQ70/CQ29</f>
        <v>1.8790322580645162</v>
      </c>
      <c r="CR73" s="174">
        <f t="shared" si="848"/>
        <v>0.91561181434599159</v>
      </c>
      <c r="CS73" s="1264">
        <f t="shared" si="848"/>
        <v>1.2465373961218837</v>
      </c>
      <c r="CT73" s="174">
        <f t="shared" si="848"/>
        <v>1.9607843137254901</v>
      </c>
      <c r="CU73" s="174">
        <f t="shared" si="848"/>
        <v>0.81609195402298851</v>
      </c>
      <c r="CV73" s="174">
        <f t="shared" ref="CV73:CW73" si="850">CV70/CV29</f>
        <v>1.6875</v>
      </c>
      <c r="CW73" s="968">
        <f t="shared" si="850"/>
        <v>1.3218390804597702</v>
      </c>
      <c r="CX73" s="174">
        <f t="shared" ref="CX73:CY73" si="851">CX70/CX29</f>
        <v>1.2391304347826086</v>
      </c>
      <c r="CY73" s="174">
        <f t="shared" si="851"/>
        <v>1.4370078740157479</v>
      </c>
      <c r="CZ73" s="1264">
        <f t="shared" ref="CZ73:DB73" si="852">CZ70/CZ29</f>
        <v>1.3673469387755102</v>
      </c>
      <c r="DA73" s="174">
        <f t="shared" si="852"/>
        <v>1.4107142857142858</v>
      </c>
      <c r="DB73" s="174">
        <f t="shared" si="852"/>
        <v>1.5454545454545454</v>
      </c>
      <c r="DC73" s="174"/>
      <c r="DD73" s="968"/>
      <c r="DE73" s="174">
        <f t="shared" ref="DE73" si="853">DE70/DE29</f>
        <v>1.4930555555555556</v>
      </c>
      <c r="DF73" s="174"/>
      <c r="DG73" s="957"/>
      <c r="DH73" s="174"/>
      <c r="DI73" s="174"/>
      <c r="DJ73" s="174"/>
      <c r="DK73" s="968"/>
      <c r="DL73" s="174"/>
      <c r="DM73" s="174"/>
      <c r="DN73" s="957"/>
      <c r="DO73" s="174"/>
      <c r="DP73" s="174"/>
      <c r="DQ73" s="174"/>
      <c r="DR73" s="968"/>
      <c r="DS73" s="174"/>
      <c r="DT73" s="174"/>
      <c r="DU73" s="957"/>
      <c r="DV73" s="174"/>
      <c r="DW73" s="174"/>
      <c r="DX73" s="174"/>
      <c r="DY73" s="968"/>
      <c r="DZ73" s="174"/>
      <c r="EA73" s="174"/>
      <c r="EB73" s="957"/>
      <c r="EC73" s="174"/>
      <c r="ED73" s="174"/>
      <c r="EE73" s="174"/>
      <c r="EF73" s="968"/>
      <c r="EG73" s="174"/>
      <c r="EH73" s="174"/>
      <c r="EI73" s="957"/>
      <c r="EJ73" s="174"/>
      <c r="EK73" s="174"/>
      <c r="EL73" s="173"/>
      <c r="EM73" s="47"/>
      <c r="EN73" s="173"/>
      <c r="EO73" s="173"/>
      <c r="EP73" s="173"/>
      <c r="EQ73" s="173"/>
      <c r="ER73" s="173"/>
      <c r="ES73" s="173"/>
      <c r="ET73" s="173"/>
      <c r="EU73" s="173"/>
      <c r="EV73" s="173"/>
      <c r="EW73" s="173"/>
      <c r="EX73" s="173"/>
      <c r="EY73" s="173"/>
      <c r="EZ73" s="173"/>
      <c r="FA73" s="173"/>
      <c r="FB73" s="173"/>
      <c r="FC73" s="173"/>
      <c r="FD73" s="173"/>
      <c r="FE73" s="173"/>
      <c r="FF73" s="173"/>
      <c r="FG73" s="173"/>
      <c r="FH73" s="173"/>
      <c r="FI73" s="173"/>
      <c r="FJ73" s="173"/>
      <c r="FK73" s="173"/>
      <c r="FL73" s="173"/>
      <c r="FM73" s="173"/>
      <c r="FN73" s="173"/>
      <c r="FO73" s="173"/>
      <c r="FP73" s="173"/>
      <c r="FQ73" s="173"/>
      <c r="FR73" s="173"/>
      <c r="FS73" s="173"/>
      <c r="FT73" s="173"/>
      <c r="FU73" s="173"/>
      <c r="FV73" s="173"/>
      <c r="FW73" s="173"/>
      <c r="FX73" s="173"/>
      <c r="FY73" s="173"/>
      <c r="FZ73" s="173"/>
      <c r="GA73" s="173"/>
      <c r="GB73" s="173"/>
      <c r="GC73" s="173"/>
      <c r="GD73" s="173"/>
      <c r="GE73" s="173"/>
    </row>
    <row r="74" spans="1:187" ht="10.5" customHeight="1">
      <c r="A74" s="43"/>
      <c r="B74" s="923"/>
      <c r="C74" s="9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77"/>
      <c r="U74" s="223"/>
      <c r="V74" s="223"/>
      <c r="W74" s="223"/>
      <c r="X74" s="223"/>
      <c r="Y74" s="223"/>
      <c r="Z74" s="223"/>
      <c r="AA74" s="77"/>
      <c r="AB74" s="223"/>
      <c r="AC74" s="223"/>
      <c r="AD74" s="223"/>
      <c r="AE74" s="223"/>
      <c r="AF74" s="223"/>
      <c r="AG74" s="223"/>
      <c r="AH74" s="77"/>
      <c r="AI74" s="223"/>
      <c r="AJ74" s="223"/>
      <c r="AK74" s="223"/>
      <c r="AL74" s="223"/>
      <c r="AM74" s="223"/>
      <c r="AN74" s="223"/>
      <c r="AO74" s="77"/>
      <c r="AP74" s="223"/>
      <c r="AQ74" s="223"/>
      <c r="AR74" s="223"/>
      <c r="AS74" s="223"/>
      <c r="AT74" s="223"/>
      <c r="AU74" s="223"/>
      <c r="AV74" s="77"/>
      <c r="AW74" s="223"/>
      <c r="AX74" s="223"/>
      <c r="AY74" s="223"/>
      <c r="AZ74" s="223"/>
      <c r="BA74" s="223"/>
      <c r="BB74" s="223"/>
      <c r="BC74" s="77"/>
      <c r="BD74" s="223"/>
      <c r="BE74" s="223"/>
      <c r="BF74" s="223"/>
      <c r="BG74" s="223"/>
      <c r="BH74" s="223"/>
      <c r="BI74" s="223"/>
      <c r="BJ74" s="77"/>
      <c r="BK74" s="223"/>
      <c r="BL74" s="223"/>
      <c r="BM74" s="223"/>
      <c r="BN74" s="223"/>
      <c r="BO74" s="223"/>
      <c r="BP74" s="223"/>
      <c r="BQ74" s="77"/>
      <c r="BR74" s="223"/>
      <c r="BS74" s="223"/>
      <c r="BT74" s="223"/>
      <c r="BU74" s="223"/>
      <c r="BV74" s="223"/>
      <c r="BW74" s="223"/>
      <c r="BX74" s="77"/>
      <c r="BY74" s="223"/>
      <c r="BZ74" s="223"/>
      <c r="CA74" s="223"/>
      <c r="CB74" s="223"/>
      <c r="CC74" s="223"/>
      <c r="CD74" s="223"/>
      <c r="CE74" s="77"/>
      <c r="CF74" s="223"/>
      <c r="CG74" s="223"/>
      <c r="CH74" s="223"/>
      <c r="CI74" s="223"/>
      <c r="CJ74" s="223"/>
      <c r="CK74" s="223"/>
      <c r="CL74" s="77"/>
      <c r="CM74" s="223"/>
      <c r="CN74" s="223"/>
      <c r="CO74" s="223"/>
      <c r="CP74" s="223"/>
      <c r="CQ74" s="223"/>
      <c r="CR74" s="223"/>
      <c r="CS74" s="77"/>
      <c r="CT74" s="223"/>
      <c r="CU74" s="223"/>
      <c r="CV74" s="223"/>
      <c r="CW74" s="223"/>
      <c r="CX74" s="223"/>
      <c r="CY74" s="223"/>
      <c r="CZ74" s="77"/>
      <c r="DA74" s="223"/>
      <c r="DB74" s="223"/>
      <c r="DC74" s="223"/>
      <c r="DD74" s="223"/>
      <c r="DE74" s="223"/>
      <c r="DF74" s="223"/>
      <c r="DG74" s="77"/>
      <c r="DH74" s="223"/>
      <c r="DI74" s="223"/>
      <c r="DJ74" s="223"/>
      <c r="DK74" s="223"/>
      <c r="DL74" s="223"/>
      <c r="DM74" s="223"/>
      <c r="DN74" s="77"/>
      <c r="DO74" s="223"/>
      <c r="DP74" s="223"/>
      <c r="DQ74" s="223"/>
      <c r="DR74" s="223"/>
      <c r="DS74" s="223"/>
      <c r="DT74" s="223"/>
      <c r="DU74" s="77"/>
      <c r="DV74" s="223"/>
      <c r="DW74" s="223"/>
      <c r="DX74" s="223"/>
      <c r="DY74" s="223"/>
      <c r="DZ74" s="223"/>
      <c r="EA74" s="223"/>
      <c r="EB74" s="77"/>
      <c r="EC74" s="223"/>
      <c r="ED74" s="223"/>
      <c r="EE74" s="223"/>
      <c r="EF74" s="223"/>
      <c r="EG74" s="223"/>
      <c r="EH74" s="223"/>
      <c r="EI74" s="7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</row>
    <row r="75" spans="1:187" ht="10.5" customHeight="1">
      <c r="A75" s="47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47"/>
      <c r="U75" s="299"/>
      <c r="V75" s="299"/>
      <c r="W75" s="299"/>
      <c r="X75" s="299"/>
      <c r="Y75" s="299"/>
      <c r="Z75" s="299"/>
      <c r="AA75" s="47"/>
      <c r="AB75" s="299"/>
      <c r="AC75" s="299"/>
      <c r="AD75" s="299"/>
      <c r="AE75" s="299"/>
      <c r="AF75" s="299"/>
      <c r="AG75" s="299"/>
      <c r="AH75" s="47"/>
      <c r="AI75" s="299"/>
      <c r="AJ75" s="299"/>
      <c r="AK75" s="299"/>
      <c r="AL75" s="299"/>
      <c r="AM75" s="299"/>
      <c r="AN75" s="299"/>
      <c r="AO75" s="47"/>
      <c r="AP75" s="299"/>
      <c r="AQ75" s="299"/>
      <c r="AR75" s="299"/>
      <c r="AS75" s="299"/>
      <c r="AT75" s="299"/>
      <c r="AU75" s="299"/>
      <c r="AV75" s="47"/>
      <c r="AW75" s="299"/>
      <c r="AX75" s="299"/>
      <c r="AY75" s="299"/>
      <c r="AZ75" s="299"/>
      <c r="BA75" s="299"/>
      <c r="BB75" s="299"/>
      <c r="BC75" s="47"/>
      <c r="BD75" s="299"/>
      <c r="BE75" s="299"/>
      <c r="BF75" s="299"/>
      <c r="BG75" s="299"/>
      <c r="BH75" s="299"/>
      <c r="BI75" s="299"/>
      <c r="BJ75" s="47"/>
      <c r="BK75" s="299"/>
      <c r="BL75" s="299"/>
      <c r="BM75" s="299"/>
      <c r="BN75" s="299"/>
      <c r="BO75" s="299"/>
      <c r="BP75" s="299"/>
      <c r="BQ75" s="47"/>
      <c r="BR75" s="299"/>
      <c r="BS75" s="299"/>
      <c r="BT75" s="299"/>
      <c r="BU75" s="299"/>
      <c r="BV75" s="299"/>
      <c r="BW75" s="299"/>
      <c r="BX75" s="47"/>
      <c r="BY75" s="299"/>
      <c r="BZ75" s="299"/>
      <c r="CA75" s="299"/>
      <c r="CB75" s="299"/>
      <c r="CC75" s="299"/>
      <c r="CD75" s="299"/>
      <c r="CE75" s="47"/>
      <c r="CF75" s="299"/>
      <c r="CG75" s="299"/>
      <c r="CH75" s="299"/>
      <c r="CI75" s="299"/>
      <c r="CJ75" s="299"/>
      <c r="CK75" s="299"/>
      <c r="CL75" s="47"/>
      <c r="CM75" s="299"/>
      <c r="CN75" s="299"/>
      <c r="CO75" s="299"/>
      <c r="CP75" s="299"/>
      <c r="CQ75" s="299"/>
      <c r="CR75" s="299"/>
      <c r="CS75" s="47"/>
      <c r="CT75" s="299"/>
      <c r="CU75" s="299"/>
      <c r="CV75" s="299"/>
      <c r="CW75" s="299"/>
      <c r="CX75" s="299"/>
      <c r="CY75" s="299"/>
      <c r="CZ75" s="47"/>
      <c r="DA75" s="299"/>
      <c r="DB75" s="299"/>
      <c r="DC75" s="299"/>
      <c r="DD75" s="299"/>
      <c r="DE75" s="299"/>
      <c r="DF75" s="299"/>
      <c r="DG75" s="47"/>
      <c r="DH75" s="299"/>
      <c r="DI75" s="299"/>
      <c r="DJ75" s="299"/>
      <c r="DK75" s="299"/>
      <c r="DL75" s="299"/>
      <c r="DM75" s="299"/>
      <c r="DN75" s="47"/>
      <c r="DO75" s="299"/>
      <c r="DP75" s="299"/>
      <c r="DQ75" s="299"/>
      <c r="DR75" s="299"/>
      <c r="DS75" s="299"/>
      <c r="DT75" s="299"/>
      <c r="DU75" s="47"/>
      <c r="DV75" s="299"/>
      <c r="DW75" s="299"/>
      <c r="DX75" s="299"/>
      <c r="DY75" s="299"/>
      <c r="DZ75" s="299"/>
      <c r="EA75" s="299"/>
      <c r="EB75" s="47"/>
      <c r="EC75" s="299"/>
      <c r="ED75" s="299"/>
      <c r="EE75" s="299"/>
      <c r="EF75" s="299"/>
      <c r="EG75" s="299"/>
      <c r="EH75" s="299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</row>
    <row r="76" spans="1:187" ht="10.5" customHeight="1">
      <c r="A76" s="178" t="s">
        <v>767</v>
      </c>
      <c r="B76" s="924"/>
      <c r="C76" s="924"/>
      <c r="D76" s="924"/>
      <c r="E76" s="924"/>
      <c r="F76" s="924"/>
      <c r="G76" s="924"/>
      <c r="H76" s="924"/>
      <c r="I76" s="924"/>
      <c r="J76" s="924"/>
      <c r="K76" s="924"/>
      <c r="L76" s="924"/>
      <c r="M76" s="924"/>
      <c r="N76" s="924"/>
      <c r="O76" s="924"/>
      <c r="P76" s="924"/>
      <c r="Q76" s="924"/>
      <c r="R76" s="924"/>
      <c r="S76" s="924"/>
      <c r="T76" s="769"/>
      <c r="U76" s="924"/>
      <c r="V76" s="924"/>
      <c r="W76" s="924"/>
      <c r="X76" s="924"/>
      <c r="Y76" s="924"/>
      <c r="Z76" s="924"/>
      <c r="AA76" s="769"/>
      <c r="AB76" s="924"/>
      <c r="AC76" s="924"/>
      <c r="AD76" s="924"/>
      <c r="AE76" s="924"/>
      <c r="AF76" s="924"/>
      <c r="AG76" s="924"/>
      <c r="AH76" s="769"/>
      <c r="AI76" s="924"/>
      <c r="AJ76" s="924"/>
      <c r="AK76" s="924"/>
      <c r="AL76" s="924"/>
      <c r="AM76" s="924"/>
      <c r="AN76" s="924"/>
      <c r="AO76" s="769"/>
      <c r="AP76" s="924"/>
      <c r="AQ76" s="924"/>
      <c r="AR76" s="924"/>
      <c r="AS76" s="924"/>
      <c r="AT76" s="924"/>
      <c r="AU76" s="924"/>
      <c r="AV76" s="769"/>
      <c r="AW76" s="924"/>
      <c r="AX76" s="924"/>
      <c r="AY76" s="924"/>
      <c r="AZ76" s="924"/>
      <c r="BA76" s="924"/>
      <c r="BB76" s="924"/>
      <c r="BC76" s="769"/>
      <c r="BD76" s="924"/>
      <c r="BE76" s="924"/>
      <c r="BF76" s="924"/>
      <c r="BG76" s="924"/>
      <c r="BH76" s="924"/>
      <c r="BI76" s="924"/>
      <c r="BJ76" s="769"/>
      <c r="BK76" s="924"/>
      <c r="BL76" s="924"/>
      <c r="BM76" s="924"/>
      <c r="BN76" s="924"/>
      <c r="BO76" s="924"/>
      <c r="BP76" s="924"/>
      <c r="BQ76" s="769"/>
      <c r="BR76" s="924"/>
      <c r="BS76" s="924"/>
      <c r="BT76" s="924"/>
      <c r="BU76" s="924"/>
      <c r="BV76" s="924"/>
      <c r="BW76" s="924"/>
      <c r="BX76" s="769"/>
      <c r="BY76" s="924"/>
      <c r="BZ76" s="924"/>
      <c r="CA76" s="924"/>
      <c r="CB76" s="924"/>
      <c r="CC76" s="924"/>
      <c r="CD76" s="924"/>
      <c r="CE76" s="769"/>
      <c r="CF76" s="924"/>
      <c r="CG76" s="924"/>
      <c r="CH76" s="924"/>
      <c r="CI76" s="924"/>
      <c r="CJ76" s="924"/>
      <c r="CK76" s="924"/>
      <c r="CL76" s="769"/>
      <c r="CM76" s="924"/>
      <c r="CN76" s="924"/>
      <c r="CO76" s="924"/>
      <c r="CP76" s="924"/>
      <c r="CQ76" s="924"/>
      <c r="CR76" s="924"/>
      <c r="CS76" s="769"/>
      <c r="CT76" s="924"/>
      <c r="CU76" s="924"/>
      <c r="CV76" s="924"/>
      <c r="CW76" s="924"/>
      <c r="CX76" s="924"/>
      <c r="CY76" s="924"/>
      <c r="CZ76" s="769"/>
      <c r="DA76" s="924"/>
      <c r="DB76" s="924"/>
      <c r="DC76" s="924"/>
      <c r="DD76" s="924"/>
      <c r="DE76" s="924"/>
      <c r="DF76" s="924"/>
      <c r="DG76" s="769"/>
      <c r="DH76" s="924"/>
      <c r="DI76" s="924"/>
      <c r="DJ76" s="924"/>
      <c r="DK76" s="924"/>
      <c r="DL76" s="924"/>
      <c r="DM76" s="924"/>
      <c r="DN76" s="769"/>
      <c r="DO76" s="924"/>
      <c r="DP76" s="924"/>
      <c r="DQ76" s="924"/>
      <c r="DR76" s="924"/>
      <c r="DS76" s="924"/>
      <c r="DT76" s="924"/>
      <c r="DU76" s="769"/>
      <c r="DV76" s="924"/>
      <c r="DW76" s="924"/>
      <c r="DX76" s="924"/>
      <c r="DY76" s="924"/>
      <c r="DZ76" s="924"/>
      <c r="EA76" s="924"/>
      <c r="EB76" s="769"/>
      <c r="EC76" s="924"/>
      <c r="ED76" s="924"/>
      <c r="EE76" s="924"/>
      <c r="EF76" s="924"/>
      <c r="EG76" s="924"/>
      <c r="EH76" s="924"/>
      <c r="EI76" s="769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</row>
    <row r="77" spans="1:187" ht="10.5" customHeight="1" outlineLevel="1">
      <c r="A77" s="78" t="s">
        <v>505</v>
      </c>
      <c r="B77" s="238">
        <v>100</v>
      </c>
      <c r="C77" s="238">
        <v>57</v>
      </c>
      <c r="D77" s="238">
        <v>41</v>
      </c>
      <c r="E77" s="238">
        <v>32</v>
      </c>
      <c r="F77" s="238">
        <v>30</v>
      </c>
      <c r="G77" s="238">
        <v>52</v>
      </c>
      <c r="H77" s="238">
        <v>69</v>
      </c>
      <c r="I77" s="238">
        <v>59</v>
      </c>
      <c r="J77" s="238">
        <v>43</v>
      </c>
      <c r="K77" s="238">
        <v>37</v>
      </c>
      <c r="L77" s="238">
        <v>8</v>
      </c>
      <c r="M77" s="238">
        <v>11</v>
      </c>
      <c r="N77" s="925"/>
      <c r="O77" s="925"/>
      <c r="P77" s="925"/>
      <c r="Q77" s="925"/>
      <c r="R77" s="925"/>
      <c r="S77" s="925"/>
      <c r="T77" s="238">
        <v>11</v>
      </c>
      <c r="U77" s="925"/>
      <c r="V77" s="925"/>
      <c r="W77" s="925"/>
      <c r="X77" s="925"/>
      <c r="Y77" s="925"/>
      <c r="Z77" s="925"/>
      <c r="AA77" s="238">
        <v>7</v>
      </c>
      <c r="AB77" s="925"/>
      <c r="AC77" s="925"/>
      <c r="AD77" s="925"/>
      <c r="AE77" s="925"/>
      <c r="AF77" s="925"/>
      <c r="AG77" s="925"/>
      <c r="AH77" s="238">
        <v>2</v>
      </c>
      <c r="AI77" s="925"/>
      <c r="AJ77" s="925"/>
      <c r="AK77" s="925"/>
      <c r="AL77" s="925"/>
      <c r="AM77" s="925"/>
      <c r="AN77" s="925"/>
      <c r="AO77" s="85"/>
      <c r="AP77" s="925"/>
      <c r="AQ77" s="925"/>
      <c r="AR77" s="925"/>
      <c r="AS77" s="925"/>
      <c r="AT77" s="925"/>
      <c r="AU77" s="925"/>
      <c r="AV77" s="85"/>
      <c r="AW77" s="925"/>
      <c r="AX77" s="925"/>
      <c r="AY77" s="925"/>
      <c r="AZ77" s="925"/>
      <c r="BA77" s="925"/>
      <c r="BB77" s="925"/>
      <c r="BC77" s="85"/>
      <c r="BD77" s="925"/>
      <c r="BE77" s="925"/>
      <c r="BF77" s="925"/>
      <c r="BG77" s="925"/>
      <c r="BH77" s="925"/>
      <c r="BI77" s="925"/>
      <c r="BJ77" s="85"/>
      <c r="BK77" s="925"/>
      <c r="BL77" s="925"/>
      <c r="BM77" s="925"/>
      <c r="BN77" s="925"/>
      <c r="BO77" s="925"/>
      <c r="BP77" s="925"/>
      <c r="BQ77" s="85"/>
      <c r="BR77" s="925"/>
      <c r="BS77" s="925"/>
      <c r="BT77" s="925"/>
      <c r="BU77" s="925"/>
      <c r="BV77" s="925"/>
      <c r="BW77" s="925"/>
      <c r="BX77" s="85"/>
      <c r="BY77" s="925"/>
      <c r="BZ77" s="925"/>
      <c r="CA77" s="925"/>
      <c r="CB77" s="925"/>
      <c r="CC77" s="925"/>
      <c r="CD77" s="925"/>
      <c r="CE77" s="85"/>
      <c r="CF77" s="925"/>
      <c r="CG77" s="925"/>
      <c r="CH77" s="925"/>
      <c r="CI77" s="925"/>
      <c r="CJ77" s="925"/>
      <c r="CK77" s="925"/>
      <c r="CL77" s="85"/>
      <c r="CM77" s="925"/>
      <c r="CN77" s="925"/>
      <c r="CO77" s="925"/>
      <c r="CP77" s="925"/>
      <c r="CQ77" s="925"/>
      <c r="CR77" s="925"/>
      <c r="CS77" s="85"/>
      <c r="CT77" s="925"/>
      <c r="CU77" s="925"/>
      <c r="CV77" s="925"/>
      <c r="CW77" s="925"/>
      <c r="CX77" s="925"/>
      <c r="CY77" s="925"/>
      <c r="CZ77" s="85"/>
      <c r="DA77" s="925"/>
      <c r="DB77" s="925"/>
      <c r="DC77" s="925"/>
      <c r="DD77" s="925"/>
      <c r="DE77" s="925"/>
      <c r="DF77" s="925"/>
      <c r="DG77" s="85"/>
      <c r="DH77" s="925"/>
      <c r="DI77" s="925"/>
      <c r="DJ77" s="925"/>
      <c r="DK77" s="925"/>
      <c r="DL77" s="925"/>
      <c r="DM77" s="925"/>
      <c r="DN77" s="85"/>
      <c r="DO77" s="925"/>
      <c r="DP77" s="925"/>
      <c r="DQ77" s="925"/>
      <c r="DR77" s="925"/>
      <c r="DS77" s="925"/>
      <c r="DT77" s="925"/>
      <c r="DU77" s="85"/>
      <c r="DV77" s="925"/>
      <c r="DW77" s="925"/>
      <c r="DX77" s="925"/>
      <c r="DY77" s="925"/>
      <c r="DZ77" s="925"/>
      <c r="EA77" s="925"/>
      <c r="EB77" s="85"/>
      <c r="EC77" s="925"/>
      <c r="ED77" s="925"/>
      <c r="EE77" s="925"/>
      <c r="EF77" s="925"/>
      <c r="EG77" s="925"/>
      <c r="EH77" s="925"/>
      <c r="EI77" s="85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</row>
    <row r="78" spans="1:187" ht="10.5" customHeight="1" outlineLevel="1">
      <c r="A78" s="78" t="s">
        <v>506</v>
      </c>
      <c r="B78" s="238">
        <v>125</v>
      </c>
      <c r="C78" s="238">
        <v>173</v>
      </c>
      <c r="D78" s="238">
        <v>129</v>
      </c>
      <c r="E78" s="238">
        <v>125</v>
      </c>
      <c r="F78" s="238">
        <v>153</v>
      </c>
      <c r="G78" s="238">
        <v>165</v>
      </c>
      <c r="H78" s="238">
        <v>206</v>
      </c>
      <c r="I78" s="238">
        <v>243</v>
      </c>
      <c r="J78" s="238">
        <v>241</v>
      </c>
      <c r="K78" s="238">
        <v>223</v>
      </c>
      <c r="L78" s="238">
        <v>229</v>
      </c>
      <c r="M78" s="238">
        <v>216</v>
      </c>
      <c r="N78" s="925"/>
      <c r="O78" s="925"/>
      <c r="P78" s="925"/>
      <c r="Q78" s="925"/>
      <c r="R78" s="925"/>
      <c r="S78" s="925"/>
      <c r="T78" s="238">
        <v>258</v>
      </c>
      <c r="U78" s="925"/>
      <c r="V78" s="925"/>
      <c r="W78" s="925"/>
      <c r="X78" s="925"/>
      <c r="Y78" s="925"/>
      <c r="Z78" s="925"/>
      <c r="AA78" s="238">
        <v>219</v>
      </c>
      <c r="AB78" s="925"/>
      <c r="AC78" s="925"/>
      <c r="AD78" s="925"/>
      <c r="AE78" s="925"/>
      <c r="AF78" s="925"/>
      <c r="AG78" s="925"/>
      <c r="AH78" s="238">
        <v>176</v>
      </c>
      <c r="AI78" s="925"/>
      <c r="AJ78" s="925"/>
      <c r="AK78" s="925"/>
      <c r="AL78" s="925"/>
      <c r="AM78" s="925"/>
      <c r="AN78" s="925"/>
      <c r="AO78" s="85"/>
      <c r="AP78" s="925"/>
      <c r="AQ78" s="925"/>
      <c r="AR78" s="925"/>
      <c r="AS78" s="925"/>
      <c r="AT78" s="925"/>
      <c r="AU78" s="925"/>
      <c r="AV78" s="85"/>
      <c r="AW78" s="925"/>
      <c r="AX78" s="925"/>
      <c r="AY78" s="925"/>
      <c r="AZ78" s="925"/>
      <c r="BA78" s="925"/>
      <c r="BB78" s="925"/>
      <c r="BC78" s="85"/>
      <c r="BD78" s="925"/>
      <c r="BE78" s="925"/>
      <c r="BF78" s="925"/>
      <c r="BG78" s="925"/>
      <c r="BH78" s="925"/>
      <c r="BI78" s="925"/>
      <c r="BJ78" s="85"/>
      <c r="BK78" s="925"/>
      <c r="BL78" s="925"/>
      <c r="BM78" s="925"/>
      <c r="BN78" s="925"/>
      <c r="BO78" s="925"/>
      <c r="BP78" s="925"/>
      <c r="BQ78" s="85"/>
      <c r="BR78" s="925"/>
      <c r="BS78" s="925"/>
      <c r="BT78" s="925"/>
      <c r="BU78" s="925"/>
      <c r="BV78" s="925"/>
      <c r="BW78" s="925"/>
      <c r="BX78" s="85"/>
      <c r="BY78" s="925"/>
      <c r="BZ78" s="925"/>
      <c r="CA78" s="925"/>
      <c r="CB78" s="925"/>
      <c r="CC78" s="925"/>
      <c r="CD78" s="925"/>
      <c r="CE78" s="85"/>
      <c r="CF78" s="925"/>
      <c r="CG78" s="925"/>
      <c r="CH78" s="925"/>
      <c r="CI78" s="925"/>
      <c r="CJ78" s="925"/>
      <c r="CK78" s="925"/>
      <c r="CL78" s="85"/>
      <c r="CM78" s="925"/>
      <c r="CN78" s="925"/>
      <c r="CO78" s="925"/>
      <c r="CP78" s="925"/>
      <c r="CQ78" s="925"/>
      <c r="CR78" s="925"/>
      <c r="CS78" s="85"/>
      <c r="CT78" s="925"/>
      <c r="CU78" s="925"/>
      <c r="CV78" s="925"/>
      <c r="CW78" s="925"/>
      <c r="CX78" s="925"/>
      <c r="CY78" s="925"/>
      <c r="CZ78" s="85"/>
      <c r="DA78" s="925"/>
      <c r="DB78" s="925"/>
      <c r="DC78" s="925"/>
      <c r="DD78" s="925"/>
      <c r="DE78" s="925"/>
      <c r="DF78" s="925"/>
      <c r="DG78" s="85"/>
      <c r="DH78" s="925"/>
      <c r="DI78" s="925"/>
      <c r="DJ78" s="925"/>
      <c r="DK78" s="925"/>
      <c r="DL78" s="925"/>
      <c r="DM78" s="925"/>
      <c r="DN78" s="85"/>
      <c r="DO78" s="925"/>
      <c r="DP78" s="925"/>
      <c r="DQ78" s="925"/>
      <c r="DR78" s="925"/>
      <c r="DS78" s="925"/>
      <c r="DT78" s="925"/>
      <c r="DU78" s="85"/>
      <c r="DV78" s="925"/>
      <c r="DW78" s="925"/>
      <c r="DX78" s="925"/>
      <c r="DY78" s="925"/>
      <c r="DZ78" s="925"/>
      <c r="EA78" s="925"/>
      <c r="EB78" s="85"/>
      <c r="EC78" s="925"/>
      <c r="ED78" s="925"/>
      <c r="EE78" s="925"/>
      <c r="EF78" s="925"/>
      <c r="EG78" s="925"/>
      <c r="EH78" s="925"/>
      <c r="EI78" s="85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</row>
    <row r="79" spans="1:187" ht="10.5" customHeight="1" outlineLevel="1">
      <c r="A79" s="240" t="s">
        <v>474</v>
      </c>
      <c r="B79" s="241">
        <f>B77+B78</f>
        <v>225</v>
      </c>
      <c r="C79" s="241">
        <f t="shared" ref="C79:AH79" si="854">C77+C78</f>
        <v>230</v>
      </c>
      <c r="D79" s="241">
        <f t="shared" si="854"/>
        <v>170</v>
      </c>
      <c r="E79" s="241">
        <f t="shared" si="854"/>
        <v>157</v>
      </c>
      <c r="F79" s="241">
        <f t="shared" si="854"/>
        <v>183</v>
      </c>
      <c r="G79" s="241">
        <f t="shared" si="854"/>
        <v>217</v>
      </c>
      <c r="H79" s="241">
        <f t="shared" si="854"/>
        <v>275</v>
      </c>
      <c r="I79" s="241">
        <f t="shared" si="854"/>
        <v>302</v>
      </c>
      <c r="J79" s="241">
        <f t="shared" si="854"/>
        <v>284</v>
      </c>
      <c r="K79" s="241">
        <f t="shared" si="854"/>
        <v>260</v>
      </c>
      <c r="L79" s="241">
        <f t="shared" si="854"/>
        <v>237</v>
      </c>
      <c r="M79" s="241">
        <f t="shared" si="854"/>
        <v>227</v>
      </c>
      <c r="N79" s="158"/>
      <c r="O79" s="158"/>
      <c r="P79" s="158"/>
      <c r="Q79" s="158"/>
      <c r="R79" s="158"/>
      <c r="S79" s="158"/>
      <c r="T79" s="241">
        <f t="shared" si="854"/>
        <v>269</v>
      </c>
      <c r="U79" s="158"/>
      <c r="V79" s="158"/>
      <c r="W79" s="158"/>
      <c r="X79" s="158"/>
      <c r="Y79" s="158"/>
      <c r="Z79" s="158"/>
      <c r="AA79" s="241">
        <f t="shared" si="854"/>
        <v>226</v>
      </c>
      <c r="AB79" s="158"/>
      <c r="AC79" s="158"/>
      <c r="AD79" s="158"/>
      <c r="AE79" s="158"/>
      <c r="AF79" s="158"/>
      <c r="AG79" s="158"/>
      <c r="AH79" s="241">
        <f t="shared" si="854"/>
        <v>178</v>
      </c>
      <c r="AI79" s="158"/>
      <c r="AJ79" s="158"/>
      <c r="AK79" s="158"/>
      <c r="AL79" s="158"/>
      <c r="AM79" s="158"/>
      <c r="AN79" s="158"/>
      <c r="AO79" s="86"/>
      <c r="AP79" s="158"/>
      <c r="AQ79" s="158"/>
      <c r="AR79" s="158"/>
      <c r="AS79" s="158"/>
      <c r="AT79" s="158"/>
      <c r="AU79" s="158"/>
      <c r="AV79" s="86"/>
      <c r="AW79" s="158"/>
      <c r="AX79" s="158"/>
      <c r="AY79" s="158"/>
      <c r="AZ79" s="158"/>
      <c r="BA79" s="158"/>
      <c r="BB79" s="158"/>
      <c r="BC79" s="86"/>
      <c r="BD79" s="158"/>
      <c r="BE79" s="158"/>
      <c r="BF79" s="158"/>
      <c r="BG79" s="158"/>
      <c r="BH79" s="158"/>
      <c r="BI79" s="158"/>
      <c r="BJ79" s="86"/>
      <c r="BK79" s="158"/>
      <c r="BL79" s="158"/>
      <c r="BM79" s="158"/>
      <c r="BN79" s="158"/>
      <c r="BO79" s="158"/>
      <c r="BP79" s="158"/>
      <c r="BQ79" s="86"/>
      <c r="BR79" s="158"/>
      <c r="BS79" s="158"/>
      <c r="BT79" s="158"/>
      <c r="BU79" s="158"/>
      <c r="BV79" s="158"/>
      <c r="BW79" s="158"/>
      <c r="BX79" s="86"/>
      <c r="BY79" s="158"/>
      <c r="BZ79" s="158"/>
      <c r="CA79" s="158"/>
      <c r="CB79" s="158"/>
      <c r="CC79" s="158"/>
      <c r="CD79" s="158"/>
      <c r="CE79" s="86"/>
      <c r="CF79" s="158"/>
      <c r="CG79" s="158"/>
      <c r="CH79" s="158"/>
      <c r="CI79" s="158"/>
      <c r="CJ79" s="158"/>
      <c r="CK79" s="158"/>
      <c r="CL79" s="86"/>
      <c r="CM79" s="158"/>
      <c r="CN79" s="158"/>
      <c r="CO79" s="158"/>
      <c r="CP79" s="158"/>
      <c r="CQ79" s="158"/>
      <c r="CR79" s="158"/>
      <c r="CS79" s="86"/>
      <c r="CT79" s="158"/>
      <c r="CU79" s="158"/>
      <c r="CV79" s="158"/>
      <c r="CW79" s="158"/>
      <c r="CX79" s="158"/>
      <c r="CY79" s="158"/>
      <c r="CZ79" s="86"/>
      <c r="DA79" s="158"/>
      <c r="DB79" s="158"/>
      <c r="DC79" s="158"/>
      <c r="DD79" s="158"/>
      <c r="DE79" s="158"/>
      <c r="DF79" s="158"/>
      <c r="DG79" s="86"/>
      <c r="DH79" s="158"/>
      <c r="DI79" s="158"/>
      <c r="DJ79" s="158"/>
      <c r="DK79" s="158"/>
      <c r="DL79" s="158"/>
      <c r="DM79" s="158"/>
      <c r="DN79" s="86"/>
      <c r="DO79" s="158"/>
      <c r="DP79" s="158"/>
      <c r="DQ79" s="158"/>
      <c r="DR79" s="158"/>
      <c r="DS79" s="158"/>
      <c r="DT79" s="158"/>
      <c r="DU79" s="86"/>
      <c r="DV79" s="158"/>
      <c r="DW79" s="158"/>
      <c r="DX79" s="158"/>
      <c r="DY79" s="158"/>
      <c r="DZ79" s="158"/>
      <c r="EA79" s="158"/>
      <c r="EB79" s="86"/>
      <c r="EC79" s="158"/>
      <c r="ED79" s="158"/>
      <c r="EE79" s="158"/>
      <c r="EF79" s="158"/>
      <c r="EG79" s="158"/>
      <c r="EH79" s="158"/>
      <c r="EI79" s="86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</row>
    <row r="80" spans="1:187" ht="10.5" customHeight="1" outlineLevel="1">
      <c r="A80" s="78" t="s">
        <v>507</v>
      </c>
      <c r="B80" s="238">
        <v>48</v>
      </c>
      <c r="C80" s="238">
        <v>62</v>
      </c>
      <c r="D80" s="238">
        <v>55</v>
      </c>
      <c r="E80" s="238">
        <v>55</v>
      </c>
      <c r="F80" s="238">
        <v>76</v>
      </c>
      <c r="G80" s="238">
        <v>75</v>
      </c>
      <c r="H80" s="238">
        <v>104</v>
      </c>
      <c r="I80" s="238">
        <v>446</v>
      </c>
      <c r="J80" s="238">
        <v>105</v>
      </c>
      <c r="K80" s="238">
        <v>87</v>
      </c>
      <c r="L80" s="238">
        <v>76</v>
      </c>
      <c r="M80" s="238">
        <v>67</v>
      </c>
      <c r="N80" s="158"/>
      <c r="O80" s="158"/>
      <c r="P80" s="158"/>
      <c r="Q80" s="158"/>
      <c r="R80" s="158"/>
      <c r="S80" s="158"/>
      <c r="T80" s="238">
        <v>53</v>
      </c>
      <c r="U80" s="158"/>
      <c r="V80" s="158"/>
      <c r="W80" s="158"/>
      <c r="X80" s="158"/>
      <c r="Y80" s="158"/>
      <c r="Z80" s="158"/>
      <c r="AA80" s="238">
        <v>42</v>
      </c>
      <c r="AB80" s="158"/>
      <c r="AC80" s="158"/>
      <c r="AD80" s="158"/>
      <c r="AE80" s="158"/>
      <c r="AF80" s="158"/>
      <c r="AG80" s="158"/>
      <c r="AH80" s="238">
        <v>35</v>
      </c>
      <c r="AI80" s="158"/>
      <c r="AJ80" s="158"/>
      <c r="AK80" s="158"/>
      <c r="AL80" s="158"/>
      <c r="AM80" s="158"/>
      <c r="AN80" s="158"/>
      <c r="AO80" s="86"/>
      <c r="AP80" s="158"/>
      <c r="AQ80" s="158"/>
      <c r="AR80" s="158"/>
      <c r="AS80" s="158"/>
      <c r="AT80" s="158"/>
      <c r="AU80" s="158"/>
      <c r="AV80" s="86"/>
      <c r="AW80" s="158"/>
      <c r="AX80" s="158"/>
      <c r="AY80" s="158"/>
      <c r="AZ80" s="158"/>
      <c r="BA80" s="158"/>
      <c r="BB80" s="158"/>
      <c r="BC80" s="86"/>
      <c r="BD80" s="158"/>
      <c r="BE80" s="158"/>
      <c r="BF80" s="158"/>
      <c r="BG80" s="158"/>
      <c r="BH80" s="158"/>
      <c r="BI80" s="158"/>
      <c r="BJ80" s="86"/>
      <c r="BK80" s="158"/>
      <c r="BL80" s="158"/>
      <c r="BM80" s="158"/>
      <c r="BN80" s="158"/>
      <c r="BO80" s="158"/>
      <c r="BP80" s="158"/>
      <c r="BQ80" s="86"/>
      <c r="BR80" s="158"/>
      <c r="BS80" s="158"/>
      <c r="BT80" s="158"/>
      <c r="BU80" s="158"/>
      <c r="BV80" s="158"/>
      <c r="BW80" s="158"/>
      <c r="BX80" s="86"/>
      <c r="BY80" s="158"/>
      <c r="BZ80" s="158"/>
      <c r="CA80" s="158"/>
      <c r="CB80" s="158"/>
      <c r="CC80" s="158"/>
      <c r="CD80" s="158"/>
      <c r="CE80" s="86"/>
      <c r="CF80" s="158"/>
      <c r="CG80" s="158"/>
      <c r="CH80" s="158"/>
      <c r="CI80" s="158"/>
      <c r="CJ80" s="158"/>
      <c r="CK80" s="158"/>
      <c r="CL80" s="86"/>
      <c r="CM80" s="158"/>
      <c r="CN80" s="158"/>
      <c r="CO80" s="158"/>
      <c r="CP80" s="158"/>
      <c r="CQ80" s="158"/>
      <c r="CR80" s="158"/>
      <c r="CS80" s="86"/>
      <c r="CT80" s="158"/>
      <c r="CU80" s="158"/>
      <c r="CV80" s="158"/>
      <c r="CW80" s="158"/>
      <c r="CX80" s="158"/>
      <c r="CY80" s="158"/>
      <c r="CZ80" s="86"/>
      <c r="DA80" s="158"/>
      <c r="DB80" s="158"/>
      <c r="DC80" s="158"/>
      <c r="DD80" s="158"/>
      <c r="DE80" s="158"/>
      <c r="DF80" s="158"/>
      <c r="DG80" s="86"/>
      <c r="DH80" s="158"/>
      <c r="DI80" s="158"/>
      <c r="DJ80" s="158"/>
      <c r="DK80" s="158"/>
      <c r="DL80" s="158"/>
      <c r="DM80" s="158"/>
      <c r="DN80" s="86"/>
      <c r="DO80" s="158"/>
      <c r="DP80" s="158"/>
      <c r="DQ80" s="158"/>
      <c r="DR80" s="158"/>
      <c r="DS80" s="158"/>
      <c r="DT80" s="158"/>
      <c r="DU80" s="86"/>
      <c r="DV80" s="158"/>
      <c r="DW80" s="158"/>
      <c r="DX80" s="158"/>
      <c r="DY80" s="158"/>
      <c r="DZ80" s="158"/>
      <c r="EA80" s="158"/>
      <c r="EB80" s="86"/>
      <c r="EC80" s="158"/>
      <c r="ED80" s="158"/>
      <c r="EE80" s="158"/>
      <c r="EF80" s="158"/>
      <c r="EG80" s="158"/>
      <c r="EH80" s="158"/>
      <c r="EI80" s="86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</row>
    <row r="81" spans="1:187" ht="10.5" customHeight="1" outlineLevel="1">
      <c r="A81" s="78" t="s">
        <v>508</v>
      </c>
      <c r="B81" s="238">
        <v>5</v>
      </c>
      <c r="C81" s="238">
        <v>20</v>
      </c>
      <c r="D81" s="238">
        <v>30</v>
      </c>
      <c r="E81" s="238">
        <v>22</v>
      </c>
      <c r="F81" s="238">
        <v>17</v>
      </c>
      <c r="G81" s="238">
        <v>25</v>
      </c>
      <c r="H81" s="238">
        <v>34</v>
      </c>
      <c r="I81" s="238">
        <v>78</v>
      </c>
      <c r="J81" s="238">
        <v>81</v>
      </c>
      <c r="K81" s="238">
        <v>79</v>
      </c>
      <c r="L81" s="238">
        <v>87</v>
      </c>
      <c r="M81" s="238">
        <v>81</v>
      </c>
      <c r="N81" s="158"/>
      <c r="O81" s="158"/>
      <c r="P81" s="158"/>
      <c r="Q81" s="158"/>
      <c r="R81" s="158"/>
      <c r="S81" s="158"/>
      <c r="T81" s="238">
        <v>65</v>
      </c>
      <c r="U81" s="158"/>
      <c r="V81" s="158"/>
      <c r="W81" s="158"/>
      <c r="X81" s="158"/>
      <c r="Y81" s="158"/>
      <c r="Z81" s="158"/>
      <c r="AA81" s="238">
        <v>74</v>
      </c>
      <c r="AB81" s="158"/>
      <c r="AC81" s="158"/>
      <c r="AD81" s="158"/>
      <c r="AE81" s="158"/>
      <c r="AF81" s="158"/>
      <c r="AG81" s="158"/>
      <c r="AH81" s="238">
        <v>68</v>
      </c>
      <c r="AI81" s="158"/>
      <c r="AJ81" s="158"/>
      <c r="AK81" s="158"/>
      <c r="AL81" s="158"/>
      <c r="AM81" s="158"/>
      <c r="AN81" s="158"/>
      <c r="AO81" s="86"/>
      <c r="AP81" s="158"/>
      <c r="AQ81" s="158"/>
      <c r="AR81" s="158"/>
      <c r="AS81" s="158"/>
      <c r="AT81" s="158"/>
      <c r="AU81" s="158"/>
      <c r="AV81" s="86"/>
      <c r="AW81" s="158"/>
      <c r="AX81" s="158"/>
      <c r="AY81" s="158"/>
      <c r="AZ81" s="158"/>
      <c r="BA81" s="158"/>
      <c r="BB81" s="158"/>
      <c r="BC81" s="86"/>
      <c r="BD81" s="158"/>
      <c r="BE81" s="158"/>
      <c r="BF81" s="158"/>
      <c r="BG81" s="158"/>
      <c r="BH81" s="158"/>
      <c r="BI81" s="158"/>
      <c r="BJ81" s="86"/>
      <c r="BK81" s="158"/>
      <c r="BL81" s="158"/>
      <c r="BM81" s="158"/>
      <c r="BN81" s="158"/>
      <c r="BO81" s="158"/>
      <c r="BP81" s="158"/>
      <c r="BQ81" s="86"/>
      <c r="BR81" s="158"/>
      <c r="BS81" s="158"/>
      <c r="BT81" s="158"/>
      <c r="BU81" s="158"/>
      <c r="BV81" s="158"/>
      <c r="BW81" s="158"/>
      <c r="BX81" s="86"/>
      <c r="BY81" s="158"/>
      <c r="BZ81" s="158"/>
      <c r="CA81" s="158"/>
      <c r="CB81" s="158"/>
      <c r="CC81" s="158"/>
      <c r="CD81" s="158"/>
      <c r="CE81" s="86"/>
      <c r="CF81" s="158"/>
      <c r="CG81" s="158"/>
      <c r="CH81" s="158"/>
      <c r="CI81" s="158"/>
      <c r="CJ81" s="158"/>
      <c r="CK81" s="158"/>
      <c r="CL81" s="86"/>
      <c r="CM81" s="158"/>
      <c r="CN81" s="158"/>
      <c r="CO81" s="158"/>
      <c r="CP81" s="158"/>
      <c r="CQ81" s="158"/>
      <c r="CR81" s="158"/>
      <c r="CS81" s="86"/>
      <c r="CT81" s="158"/>
      <c r="CU81" s="158"/>
      <c r="CV81" s="158"/>
      <c r="CW81" s="158"/>
      <c r="CX81" s="158"/>
      <c r="CY81" s="158"/>
      <c r="CZ81" s="86"/>
      <c r="DA81" s="158"/>
      <c r="DB81" s="158"/>
      <c r="DC81" s="158"/>
      <c r="DD81" s="158"/>
      <c r="DE81" s="158"/>
      <c r="DF81" s="158"/>
      <c r="DG81" s="86"/>
      <c r="DH81" s="158"/>
      <c r="DI81" s="158"/>
      <c r="DJ81" s="158"/>
      <c r="DK81" s="158"/>
      <c r="DL81" s="158"/>
      <c r="DM81" s="158"/>
      <c r="DN81" s="86"/>
      <c r="DO81" s="158"/>
      <c r="DP81" s="158"/>
      <c r="DQ81" s="158"/>
      <c r="DR81" s="158"/>
      <c r="DS81" s="158"/>
      <c r="DT81" s="158"/>
      <c r="DU81" s="86"/>
      <c r="DV81" s="158"/>
      <c r="DW81" s="158"/>
      <c r="DX81" s="158"/>
      <c r="DY81" s="158"/>
      <c r="DZ81" s="158"/>
      <c r="EA81" s="158"/>
      <c r="EB81" s="86"/>
      <c r="EC81" s="158"/>
      <c r="ED81" s="158"/>
      <c r="EE81" s="158"/>
      <c r="EF81" s="158"/>
      <c r="EG81" s="158"/>
      <c r="EH81" s="158"/>
      <c r="EI81" s="86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</row>
    <row r="82" spans="1:187" ht="10.5" customHeight="1" outlineLevel="1">
      <c r="A82" s="78" t="s">
        <v>509</v>
      </c>
      <c r="B82" s="238">
        <v>34</v>
      </c>
      <c r="C82" s="238">
        <v>28</v>
      </c>
      <c r="D82" s="238">
        <v>23</v>
      </c>
      <c r="E82" s="238">
        <v>25</v>
      </c>
      <c r="F82" s="238">
        <v>28</v>
      </c>
      <c r="G82" s="238">
        <v>34</v>
      </c>
      <c r="H82" s="238">
        <v>34</v>
      </c>
      <c r="I82" s="238">
        <v>35</v>
      </c>
      <c r="J82" s="238">
        <v>33</v>
      </c>
      <c r="K82" s="238">
        <v>31</v>
      </c>
      <c r="L82" s="238">
        <v>26</v>
      </c>
      <c r="M82" s="238">
        <v>20</v>
      </c>
      <c r="N82" s="158"/>
      <c r="O82" s="158"/>
      <c r="P82" s="158"/>
      <c r="Q82" s="158"/>
      <c r="R82" s="158"/>
      <c r="S82" s="158"/>
      <c r="T82" s="238">
        <v>18</v>
      </c>
      <c r="U82" s="158"/>
      <c r="V82" s="158"/>
      <c r="W82" s="158"/>
      <c r="X82" s="158"/>
      <c r="Y82" s="158"/>
      <c r="Z82" s="158"/>
      <c r="AA82" s="238">
        <v>13</v>
      </c>
      <c r="AB82" s="158"/>
      <c r="AC82" s="158"/>
      <c r="AD82" s="158"/>
      <c r="AE82" s="158"/>
      <c r="AF82" s="158"/>
      <c r="AG82" s="158"/>
      <c r="AH82" s="238">
        <v>17</v>
      </c>
      <c r="AI82" s="158"/>
      <c r="AJ82" s="158"/>
      <c r="AK82" s="158"/>
      <c r="AL82" s="158"/>
      <c r="AM82" s="158"/>
      <c r="AN82" s="158"/>
      <c r="AO82" s="86"/>
      <c r="AP82" s="158"/>
      <c r="AQ82" s="158"/>
      <c r="AR82" s="158"/>
      <c r="AS82" s="158"/>
      <c r="AT82" s="158"/>
      <c r="AU82" s="158"/>
      <c r="AV82" s="86"/>
      <c r="AW82" s="158"/>
      <c r="AX82" s="158"/>
      <c r="AY82" s="158"/>
      <c r="AZ82" s="158"/>
      <c r="BA82" s="158"/>
      <c r="BB82" s="158"/>
      <c r="BC82" s="86"/>
      <c r="BD82" s="158"/>
      <c r="BE82" s="158"/>
      <c r="BF82" s="158"/>
      <c r="BG82" s="158"/>
      <c r="BH82" s="158"/>
      <c r="BI82" s="158"/>
      <c r="BJ82" s="86"/>
      <c r="BK82" s="158"/>
      <c r="BL82" s="158"/>
      <c r="BM82" s="158"/>
      <c r="BN82" s="158"/>
      <c r="BO82" s="158"/>
      <c r="BP82" s="158"/>
      <c r="BQ82" s="86"/>
      <c r="BR82" s="158"/>
      <c r="BS82" s="158"/>
      <c r="BT82" s="158"/>
      <c r="BU82" s="158"/>
      <c r="BV82" s="158"/>
      <c r="BW82" s="158"/>
      <c r="BX82" s="86"/>
      <c r="BY82" s="158"/>
      <c r="BZ82" s="158"/>
      <c r="CA82" s="158"/>
      <c r="CB82" s="158"/>
      <c r="CC82" s="158"/>
      <c r="CD82" s="158"/>
      <c r="CE82" s="86"/>
      <c r="CF82" s="158"/>
      <c r="CG82" s="158"/>
      <c r="CH82" s="158"/>
      <c r="CI82" s="158"/>
      <c r="CJ82" s="158"/>
      <c r="CK82" s="158"/>
      <c r="CL82" s="86"/>
      <c r="CM82" s="158"/>
      <c r="CN82" s="158"/>
      <c r="CO82" s="158"/>
      <c r="CP82" s="158"/>
      <c r="CQ82" s="158"/>
      <c r="CR82" s="158"/>
      <c r="CS82" s="86"/>
      <c r="CT82" s="158"/>
      <c r="CU82" s="158"/>
      <c r="CV82" s="158"/>
      <c r="CW82" s="158"/>
      <c r="CX82" s="158"/>
      <c r="CY82" s="158"/>
      <c r="CZ82" s="86"/>
      <c r="DA82" s="158"/>
      <c r="DB82" s="158"/>
      <c r="DC82" s="158"/>
      <c r="DD82" s="158"/>
      <c r="DE82" s="158"/>
      <c r="DF82" s="158"/>
      <c r="DG82" s="86"/>
      <c r="DH82" s="158"/>
      <c r="DI82" s="158"/>
      <c r="DJ82" s="158"/>
      <c r="DK82" s="158"/>
      <c r="DL82" s="158"/>
      <c r="DM82" s="158"/>
      <c r="DN82" s="86"/>
      <c r="DO82" s="158"/>
      <c r="DP82" s="158"/>
      <c r="DQ82" s="158"/>
      <c r="DR82" s="158"/>
      <c r="DS82" s="158"/>
      <c r="DT82" s="158"/>
      <c r="DU82" s="86"/>
      <c r="DV82" s="158"/>
      <c r="DW82" s="158"/>
      <c r="DX82" s="158"/>
      <c r="DY82" s="158"/>
      <c r="DZ82" s="158"/>
      <c r="EA82" s="158"/>
      <c r="EB82" s="86"/>
      <c r="EC82" s="158"/>
      <c r="ED82" s="158"/>
      <c r="EE82" s="158"/>
      <c r="EF82" s="158"/>
      <c r="EG82" s="158"/>
      <c r="EH82" s="158"/>
      <c r="EI82" s="86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</row>
    <row r="83" spans="1:187" ht="10.5" customHeight="1" outlineLevel="1">
      <c r="A83" s="78" t="s">
        <v>510</v>
      </c>
      <c r="B83" s="238">
        <v>0</v>
      </c>
      <c r="C83" s="238">
        <v>0</v>
      </c>
      <c r="D83" s="238">
        <v>0</v>
      </c>
      <c r="E83" s="238">
        <v>0</v>
      </c>
      <c r="F83" s="238">
        <v>0</v>
      </c>
      <c r="G83" s="238">
        <v>0</v>
      </c>
      <c r="H83" s="238">
        <v>0</v>
      </c>
      <c r="I83" s="238">
        <v>0</v>
      </c>
      <c r="J83" s="238">
        <v>0</v>
      </c>
      <c r="K83" s="238">
        <v>0</v>
      </c>
      <c r="L83" s="238">
        <v>0</v>
      </c>
      <c r="M83" s="238">
        <v>0</v>
      </c>
      <c r="N83" s="158"/>
      <c r="O83" s="158"/>
      <c r="P83" s="158"/>
      <c r="Q83" s="158"/>
      <c r="R83" s="158"/>
      <c r="S83" s="158"/>
      <c r="T83" s="238">
        <v>0</v>
      </c>
      <c r="U83" s="158"/>
      <c r="V83" s="158"/>
      <c r="W83" s="158"/>
      <c r="X83" s="158"/>
      <c r="Y83" s="158"/>
      <c r="Z83" s="158"/>
      <c r="AA83" s="238">
        <v>3</v>
      </c>
      <c r="AB83" s="158"/>
      <c r="AC83" s="158"/>
      <c r="AD83" s="158"/>
      <c r="AE83" s="158"/>
      <c r="AF83" s="158"/>
      <c r="AG83" s="158"/>
      <c r="AH83" s="238">
        <v>4</v>
      </c>
      <c r="AI83" s="158"/>
      <c r="AJ83" s="158"/>
      <c r="AK83" s="158"/>
      <c r="AL83" s="158"/>
      <c r="AM83" s="158"/>
      <c r="AN83" s="158"/>
      <c r="AO83" s="86"/>
      <c r="AP83" s="158"/>
      <c r="AQ83" s="158"/>
      <c r="AR83" s="158"/>
      <c r="AS83" s="158"/>
      <c r="AT83" s="158"/>
      <c r="AU83" s="158"/>
      <c r="AV83" s="86"/>
      <c r="AW83" s="158"/>
      <c r="AX83" s="158"/>
      <c r="AY83" s="158"/>
      <c r="AZ83" s="158"/>
      <c r="BA83" s="158"/>
      <c r="BB83" s="158"/>
      <c r="BC83" s="86"/>
      <c r="BD83" s="158"/>
      <c r="BE83" s="158"/>
      <c r="BF83" s="158"/>
      <c r="BG83" s="158"/>
      <c r="BH83" s="158"/>
      <c r="BI83" s="158"/>
      <c r="BJ83" s="86"/>
      <c r="BK83" s="158"/>
      <c r="BL83" s="158"/>
      <c r="BM83" s="158"/>
      <c r="BN83" s="158"/>
      <c r="BO83" s="158"/>
      <c r="BP83" s="158"/>
      <c r="BQ83" s="86"/>
      <c r="BR83" s="158"/>
      <c r="BS83" s="158"/>
      <c r="BT83" s="158"/>
      <c r="BU83" s="158"/>
      <c r="BV83" s="158"/>
      <c r="BW83" s="158"/>
      <c r="BX83" s="86"/>
      <c r="BY83" s="158"/>
      <c r="BZ83" s="158"/>
      <c r="CA83" s="158"/>
      <c r="CB83" s="158"/>
      <c r="CC83" s="158"/>
      <c r="CD83" s="158"/>
      <c r="CE83" s="86"/>
      <c r="CF83" s="158"/>
      <c r="CG83" s="158"/>
      <c r="CH83" s="158"/>
      <c r="CI83" s="158"/>
      <c r="CJ83" s="158"/>
      <c r="CK83" s="158"/>
      <c r="CL83" s="86"/>
      <c r="CM83" s="158"/>
      <c r="CN83" s="158"/>
      <c r="CO83" s="158"/>
      <c r="CP83" s="158"/>
      <c r="CQ83" s="158"/>
      <c r="CR83" s="158"/>
      <c r="CS83" s="86"/>
      <c r="CT83" s="158"/>
      <c r="CU83" s="158"/>
      <c r="CV83" s="158"/>
      <c r="CW83" s="158"/>
      <c r="CX83" s="158"/>
      <c r="CY83" s="158"/>
      <c r="CZ83" s="86"/>
      <c r="DA83" s="158"/>
      <c r="DB83" s="158"/>
      <c r="DC83" s="158"/>
      <c r="DD83" s="158"/>
      <c r="DE83" s="158"/>
      <c r="DF83" s="158"/>
      <c r="DG83" s="86"/>
      <c r="DH83" s="158"/>
      <c r="DI83" s="158"/>
      <c r="DJ83" s="158"/>
      <c r="DK83" s="158"/>
      <c r="DL83" s="158"/>
      <c r="DM83" s="158"/>
      <c r="DN83" s="86"/>
      <c r="DO83" s="158"/>
      <c r="DP83" s="158"/>
      <c r="DQ83" s="158"/>
      <c r="DR83" s="158"/>
      <c r="DS83" s="158"/>
      <c r="DT83" s="158"/>
      <c r="DU83" s="86"/>
      <c r="DV83" s="158"/>
      <c r="DW83" s="158"/>
      <c r="DX83" s="158"/>
      <c r="DY83" s="158"/>
      <c r="DZ83" s="158"/>
      <c r="EA83" s="158"/>
      <c r="EB83" s="86"/>
      <c r="EC83" s="158"/>
      <c r="ED83" s="158"/>
      <c r="EE83" s="158"/>
      <c r="EF83" s="158"/>
      <c r="EG83" s="158"/>
      <c r="EH83" s="158"/>
      <c r="EI83" s="86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</row>
    <row r="84" spans="1:187" ht="10.5" customHeight="1" outlineLevel="1">
      <c r="A84" s="240" t="s">
        <v>475</v>
      </c>
      <c r="B84" s="241">
        <f>B82+B83+B80+B81</f>
        <v>87</v>
      </c>
      <c r="C84" s="241">
        <f t="shared" ref="C84:AH84" si="855">C82+C83+C80+C81</f>
        <v>110</v>
      </c>
      <c r="D84" s="241">
        <f t="shared" si="855"/>
        <v>108</v>
      </c>
      <c r="E84" s="241">
        <f t="shared" si="855"/>
        <v>102</v>
      </c>
      <c r="F84" s="241">
        <f t="shared" si="855"/>
        <v>121</v>
      </c>
      <c r="G84" s="241">
        <f t="shared" si="855"/>
        <v>134</v>
      </c>
      <c r="H84" s="241">
        <f t="shared" si="855"/>
        <v>172</v>
      </c>
      <c r="I84" s="241">
        <f t="shared" si="855"/>
        <v>559</v>
      </c>
      <c r="J84" s="241">
        <f t="shared" si="855"/>
        <v>219</v>
      </c>
      <c r="K84" s="241">
        <f t="shared" si="855"/>
        <v>197</v>
      </c>
      <c r="L84" s="241">
        <f t="shared" si="855"/>
        <v>189</v>
      </c>
      <c r="M84" s="241">
        <f t="shared" si="855"/>
        <v>168</v>
      </c>
      <c r="N84" s="158"/>
      <c r="O84" s="158"/>
      <c r="P84" s="158"/>
      <c r="Q84" s="158"/>
      <c r="R84" s="158"/>
      <c r="S84" s="158"/>
      <c r="T84" s="241">
        <f t="shared" si="855"/>
        <v>136</v>
      </c>
      <c r="U84" s="158"/>
      <c r="V84" s="158"/>
      <c r="W84" s="158"/>
      <c r="X84" s="158"/>
      <c r="Y84" s="158"/>
      <c r="Z84" s="158"/>
      <c r="AA84" s="241">
        <f t="shared" si="855"/>
        <v>132</v>
      </c>
      <c r="AB84" s="158"/>
      <c r="AC84" s="158"/>
      <c r="AD84" s="158"/>
      <c r="AE84" s="158"/>
      <c r="AF84" s="158"/>
      <c r="AG84" s="158"/>
      <c r="AH84" s="241">
        <f t="shared" si="855"/>
        <v>124</v>
      </c>
      <c r="AI84" s="158"/>
      <c r="AJ84" s="158"/>
      <c r="AK84" s="158"/>
      <c r="AL84" s="158"/>
      <c r="AM84" s="158"/>
      <c r="AN84" s="158"/>
      <c r="AO84" s="86"/>
      <c r="AP84" s="158"/>
      <c r="AQ84" s="158"/>
      <c r="AR84" s="158"/>
      <c r="AS84" s="158"/>
      <c r="AT84" s="158"/>
      <c r="AU84" s="158"/>
      <c r="AV84" s="86"/>
      <c r="AW84" s="158"/>
      <c r="AX84" s="158"/>
      <c r="AY84" s="158"/>
      <c r="AZ84" s="158"/>
      <c r="BA84" s="158"/>
      <c r="BB84" s="158"/>
      <c r="BC84" s="86"/>
      <c r="BD84" s="158"/>
      <c r="BE84" s="158"/>
      <c r="BF84" s="158"/>
      <c r="BG84" s="158"/>
      <c r="BH84" s="158"/>
      <c r="BI84" s="158"/>
      <c r="BJ84" s="86"/>
      <c r="BK84" s="158"/>
      <c r="BL84" s="158"/>
      <c r="BM84" s="158"/>
      <c r="BN84" s="158"/>
      <c r="BO84" s="158"/>
      <c r="BP84" s="158"/>
      <c r="BQ84" s="86"/>
      <c r="BR84" s="158"/>
      <c r="BS84" s="158"/>
      <c r="BT84" s="158"/>
      <c r="BU84" s="158"/>
      <c r="BV84" s="158"/>
      <c r="BW84" s="158"/>
      <c r="BX84" s="86"/>
      <c r="BY84" s="158"/>
      <c r="BZ84" s="158"/>
      <c r="CA84" s="158"/>
      <c r="CB84" s="158"/>
      <c r="CC84" s="158"/>
      <c r="CD84" s="158"/>
      <c r="CE84" s="86"/>
      <c r="CF84" s="158"/>
      <c r="CG84" s="158"/>
      <c r="CH84" s="158"/>
      <c r="CI84" s="158"/>
      <c r="CJ84" s="158"/>
      <c r="CK84" s="158"/>
      <c r="CL84" s="86"/>
      <c r="CM84" s="158"/>
      <c r="CN84" s="158"/>
      <c r="CO84" s="158"/>
      <c r="CP84" s="158"/>
      <c r="CQ84" s="158"/>
      <c r="CR84" s="158"/>
      <c r="CS84" s="86"/>
      <c r="CT84" s="158"/>
      <c r="CU84" s="158"/>
      <c r="CV84" s="158"/>
      <c r="CW84" s="158"/>
      <c r="CX84" s="158"/>
      <c r="CY84" s="158"/>
      <c r="CZ84" s="86"/>
      <c r="DA84" s="158"/>
      <c r="DB84" s="158"/>
      <c r="DC84" s="158"/>
      <c r="DD84" s="158"/>
      <c r="DE84" s="158"/>
      <c r="DF84" s="158"/>
      <c r="DG84" s="86"/>
      <c r="DH84" s="158"/>
      <c r="DI84" s="158"/>
      <c r="DJ84" s="158"/>
      <c r="DK84" s="158"/>
      <c r="DL84" s="158"/>
      <c r="DM84" s="158"/>
      <c r="DN84" s="86"/>
      <c r="DO84" s="158"/>
      <c r="DP84" s="158"/>
      <c r="DQ84" s="158"/>
      <c r="DR84" s="158"/>
      <c r="DS84" s="158"/>
      <c r="DT84" s="158"/>
      <c r="DU84" s="86"/>
      <c r="DV84" s="158"/>
      <c r="DW84" s="158"/>
      <c r="DX84" s="158"/>
      <c r="DY84" s="158"/>
      <c r="DZ84" s="158"/>
      <c r="EA84" s="158"/>
      <c r="EB84" s="86"/>
      <c r="EC84" s="158"/>
      <c r="ED84" s="158"/>
      <c r="EE84" s="158"/>
      <c r="EF84" s="158"/>
      <c r="EG84" s="158"/>
      <c r="EH84" s="158"/>
      <c r="EI84" s="86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</row>
    <row r="85" spans="1:187" ht="10.5" customHeight="1" outlineLevel="1">
      <c r="A85" s="78" t="s">
        <v>511</v>
      </c>
      <c r="B85" s="238">
        <v>23</v>
      </c>
      <c r="C85" s="238">
        <v>27</v>
      </c>
      <c r="D85" s="238">
        <v>19</v>
      </c>
      <c r="E85" s="238">
        <v>18</v>
      </c>
      <c r="F85" s="238">
        <v>18</v>
      </c>
      <c r="G85" s="238">
        <v>18</v>
      </c>
      <c r="H85" s="238">
        <v>23</v>
      </c>
      <c r="I85" s="238">
        <v>28</v>
      </c>
      <c r="J85" s="238">
        <v>33</v>
      </c>
      <c r="K85" s="238">
        <v>27</v>
      </c>
      <c r="L85" s="238">
        <v>29</v>
      </c>
      <c r="M85" s="238">
        <v>35</v>
      </c>
      <c r="N85" s="158"/>
      <c r="O85" s="158"/>
      <c r="P85" s="158"/>
      <c r="Q85" s="158"/>
      <c r="R85" s="158"/>
      <c r="S85" s="158"/>
      <c r="T85" s="238">
        <v>37</v>
      </c>
      <c r="U85" s="158"/>
      <c r="V85" s="158"/>
      <c r="W85" s="158"/>
      <c r="X85" s="158"/>
      <c r="Y85" s="158"/>
      <c r="Z85" s="158"/>
      <c r="AA85" s="238">
        <v>48</v>
      </c>
      <c r="AB85" s="158"/>
      <c r="AC85" s="158"/>
      <c r="AD85" s="158"/>
      <c r="AE85" s="158"/>
      <c r="AF85" s="158"/>
      <c r="AG85" s="158"/>
      <c r="AH85" s="238">
        <v>42</v>
      </c>
      <c r="AI85" s="158"/>
      <c r="AJ85" s="158"/>
      <c r="AK85" s="158"/>
      <c r="AL85" s="158"/>
      <c r="AM85" s="158"/>
      <c r="AN85" s="158"/>
      <c r="AO85" s="86"/>
      <c r="AP85" s="158"/>
      <c r="AQ85" s="158"/>
      <c r="AR85" s="158"/>
      <c r="AS85" s="158"/>
      <c r="AT85" s="158"/>
      <c r="AU85" s="158"/>
      <c r="AV85" s="86"/>
      <c r="AW85" s="158"/>
      <c r="AX85" s="158"/>
      <c r="AY85" s="158"/>
      <c r="AZ85" s="158"/>
      <c r="BA85" s="158"/>
      <c r="BB85" s="158"/>
      <c r="BC85" s="86"/>
      <c r="BD85" s="158"/>
      <c r="BE85" s="158"/>
      <c r="BF85" s="158"/>
      <c r="BG85" s="158"/>
      <c r="BH85" s="158"/>
      <c r="BI85" s="158"/>
      <c r="BJ85" s="86"/>
      <c r="BK85" s="158"/>
      <c r="BL85" s="158"/>
      <c r="BM85" s="158"/>
      <c r="BN85" s="158"/>
      <c r="BO85" s="158"/>
      <c r="BP85" s="158"/>
      <c r="BQ85" s="86"/>
      <c r="BR85" s="158"/>
      <c r="BS85" s="158"/>
      <c r="BT85" s="158"/>
      <c r="BU85" s="158"/>
      <c r="BV85" s="158"/>
      <c r="BW85" s="158"/>
      <c r="BX85" s="86"/>
      <c r="BY85" s="158"/>
      <c r="BZ85" s="158"/>
      <c r="CA85" s="158"/>
      <c r="CB85" s="158"/>
      <c r="CC85" s="158"/>
      <c r="CD85" s="158"/>
      <c r="CE85" s="86"/>
      <c r="CF85" s="158"/>
      <c r="CG85" s="158"/>
      <c r="CH85" s="158"/>
      <c r="CI85" s="158"/>
      <c r="CJ85" s="158"/>
      <c r="CK85" s="158"/>
      <c r="CL85" s="86"/>
      <c r="CM85" s="158"/>
      <c r="CN85" s="158"/>
      <c r="CO85" s="158"/>
      <c r="CP85" s="158"/>
      <c r="CQ85" s="158"/>
      <c r="CR85" s="158"/>
      <c r="CS85" s="86"/>
      <c r="CT85" s="158"/>
      <c r="CU85" s="158"/>
      <c r="CV85" s="158"/>
      <c r="CW85" s="158"/>
      <c r="CX85" s="158"/>
      <c r="CY85" s="158"/>
      <c r="CZ85" s="86"/>
      <c r="DA85" s="158"/>
      <c r="DB85" s="158"/>
      <c r="DC85" s="158"/>
      <c r="DD85" s="158"/>
      <c r="DE85" s="158"/>
      <c r="DF85" s="158"/>
      <c r="DG85" s="86"/>
      <c r="DH85" s="158"/>
      <c r="DI85" s="158"/>
      <c r="DJ85" s="158"/>
      <c r="DK85" s="158"/>
      <c r="DL85" s="158"/>
      <c r="DM85" s="158"/>
      <c r="DN85" s="86"/>
      <c r="DO85" s="158"/>
      <c r="DP85" s="158"/>
      <c r="DQ85" s="158"/>
      <c r="DR85" s="158"/>
      <c r="DS85" s="158"/>
      <c r="DT85" s="158"/>
      <c r="DU85" s="86"/>
      <c r="DV85" s="158"/>
      <c r="DW85" s="158"/>
      <c r="DX85" s="158"/>
      <c r="DY85" s="158"/>
      <c r="DZ85" s="158"/>
      <c r="EA85" s="158"/>
      <c r="EB85" s="86"/>
      <c r="EC85" s="158"/>
      <c r="ED85" s="158"/>
      <c r="EE85" s="158"/>
      <c r="EF85" s="158"/>
      <c r="EG85" s="158"/>
      <c r="EH85" s="158"/>
      <c r="EI85" s="86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</row>
    <row r="86" spans="1:187" ht="10.5" customHeight="1" outlineLevel="1">
      <c r="A86" s="78" t="s">
        <v>512</v>
      </c>
      <c r="B86" s="238">
        <v>0</v>
      </c>
      <c r="C86" s="238">
        <v>0</v>
      </c>
      <c r="D86" s="238">
        <v>0</v>
      </c>
      <c r="E86" s="238">
        <v>0</v>
      </c>
      <c r="F86" s="238">
        <v>0</v>
      </c>
      <c r="G86" s="238">
        <v>3</v>
      </c>
      <c r="H86" s="238">
        <v>8</v>
      </c>
      <c r="I86" s="238">
        <v>14</v>
      </c>
      <c r="J86" s="238">
        <v>15</v>
      </c>
      <c r="K86" s="238">
        <v>28</v>
      </c>
      <c r="L86" s="238">
        <v>32</v>
      </c>
      <c r="M86" s="238">
        <v>35</v>
      </c>
      <c r="N86" s="158"/>
      <c r="O86" s="158"/>
      <c r="P86" s="158"/>
      <c r="Q86" s="158"/>
      <c r="R86" s="158"/>
      <c r="S86" s="158"/>
      <c r="T86" s="238">
        <v>44</v>
      </c>
      <c r="U86" s="158"/>
      <c r="V86" s="158"/>
      <c r="W86" s="158"/>
      <c r="X86" s="158"/>
      <c r="Y86" s="158"/>
      <c r="Z86" s="158"/>
      <c r="AA86" s="238">
        <v>53</v>
      </c>
      <c r="AB86" s="158"/>
      <c r="AC86" s="158"/>
      <c r="AD86" s="158"/>
      <c r="AE86" s="158"/>
      <c r="AF86" s="158"/>
      <c r="AG86" s="158"/>
      <c r="AH86" s="238">
        <v>35</v>
      </c>
      <c r="AI86" s="158"/>
      <c r="AJ86" s="158"/>
      <c r="AK86" s="158"/>
      <c r="AL86" s="158"/>
      <c r="AM86" s="158"/>
      <c r="AN86" s="158"/>
      <c r="AO86" s="86"/>
      <c r="AP86" s="158"/>
      <c r="AQ86" s="158"/>
      <c r="AR86" s="158"/>
      <c r="AS86" s="158"/>
      <c r="AT86" s="158"/>
      <c r="AU86" s="158"/>
      <c r="AV86" s="86"/>
      <c r="AW86" s="158"/>
      <c r="AX86" s="158"/>
      <c r="AY86" s="158"/>
      <c r="AZ86" s="158"/>
      <c r="BA86" s="158"/>
      <c r="BB86" s="158"/>
      <c r="BC86" s="86"/>
      <c r="BD86" s="158"/>
      <c r="BE86" s="158"/>
      <c r="BF86" s="158"/>
      <c r="BG86" s="158"/>
      <c r="BH86" s="158"/>
      <c r="BI86" s="158"/>
      <c r="BJ86" s="86"/>
      <c r="BK86" s="158"/>
      <c r="BL86" s="158"/>
      <c r="BM86" s="158"/>
      <c r="BN86" s="158"/>
      <c r="BO86" s="158"/>
      <c r="BP86" s="158"/>
      <c r="BQ86" s="86"/>
      <c r="BR86" s="158"/>
      <c r="BS86" s="158"/>
      <c r="BT86" s="158"/>
      <c r="BU86" s="158"/>
      <c r="BV86" s="158"/>
      <c r="BW86" s="158"/>
      <c r="BX86" s="86"/>
      <c r="BY86" s="158"/>
      <c r="BZ86" s="158"/>
      <c r="CA86" s="158"/>
      <c r="CB86" s="158"/>
      <c r="CC86" s="158"/>
      <c r="CD86" s="158"/>
      <c r="CE86" s="86"/>
      <c r="CF86" s="158"/>
      <c r="CG86" s="158"/>
      <c r="CH86" s="158"/>
      <c r="CI86" s="158"/>
      <c r="CJ86" s="158"/>
      <c r="CK86" s="158"/>
      <c r="CL86" s="86"/>
      <c r="CM86" s="158"/>
      <c r="CN86" s="158"/>
      <c r="CO86" s="158"/>
      <c r="CP86" s="158"/>
      <c r="CQ86" s="158"/>
      <c r="CR86" s="158"/>
      <c r="CS86" s="86"/>
      <c r="CT86" s="158"/>
      <c r="CU86" s="158"/>
      <c r="CV86" s="158"/>
      <c r="CW86" s="158"/>
      <c r="CX86" s="158"/>
      <c r="CY86" s="158"/>
      <c r="CZ86" s="86"/>
      <c r="DA86" s="158"/>
      <c r="DB86" s="158"/>
      <c r="DC86" s="158"/>
      <c r="DD86" s="158"/>
      <c r="DE86" s="158"/>
      <c r="DF86" s="158"/>
      <c r="DG86" s="86"/>
      <c r="DH86" s="158"/>
      <c r="DI86" s="158"/>
      <c r="DJ86" s="158"/>
      <c r="DK86" s="158"/>
      <c r="DL86" s="158"/>
      <c r="DM86" s="158"/>
      <c r="DN86" s="86"/>
      <c r="DO86" s="158"/>
      <c r="DP86" s="158"/>
      <c r="DQ86" s="158"/>
      <c r="DR86" s="158"/>
      <c r="DS86" s="158"/>
      <c r="DT86" s="158"/>
      <c r="DU86" s="86"/>
      <c r="DV86" s="158"/>
      <c r="DW86" s="158"/>
      <c r="DX86" s="158"/>
      <c r="DY86" s="158"/>
      <c r="DZ86" s="158"/>
      <c r="EA86" s="158"/>
      <c r="EB86" s="86"/>
      <c r="EC86" s="158"/>
      <c r="ED86" s="158"/>
      <c r="EE86" s="158"/>
      <c r="EF86" s="158"/>
      <c r="EG86" s="158"/>
      <c r="EH86" s="158"/>
      <c r="EI86" s="86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</row>
    <row r="87" spans="1:187" ht="10.5" customHeight="1" outlineLevel="1">
      <c r="A87" s="240" t="s">
        <v>476</v>
      </c>
      <c r="B87" s="241">
        <f>B85+B86</f>
        <v>23</v>
      </c>
      <c r="C87" s="241">
        <f t="shared" ref="C87:AH87" si="856">C85+C86</f>
        <v>27</v>
      </c>
      <c r="D87" s="241">
        <f t="shared" si="856"/>
        <v>19</v>
      </c>
      <c r="E87" s="241">
        <f t="shared" si="856"/>
        <v>18</v>
      </c>
      <c r="F87" s="241">
        <f t="shared" si="856"/>
        <v>18</v>
      </c>
      <c r="G87" s="241">
        <f t="shared" si="856"/>
        <v>21</v>
      </c>
      <c r="H87" s="241">
        <f t="shared" si="856"/>
        <v>31</v>
      </c>
      <c r="I87" s="241">
        <f t="shared" si="856"/>
        <v>42</v>
      </c>
      <c r="J87" s="241">
        <f t="shared" si="856"/>
        <v>48</v>
      </c>
      <c r="K87" s="241">
        <f t="shared" si="856"/>
        <v>55</v>
      </c>
      <c r="L87" s="241">
        <f t="shared" si="856"/>
        <v>61</v>
      </c>
      <c r="M87" s="241">
        <f t="shared" si="856"/>
        <v>70</v>
      </c>
      <c r="N87" s="158"/>
      <c r="O87" s="158"/>
      <c r="P87" s="158"/>
      <c r="Q87" s="158"/>
      <c r="R87" s="158"/>
      <c r="S87" s="158"/>
      <c r="T87" s="241">
        <f t="shared" si="856"/>
        <v>81</v>
      </c>
      <c r="U87" s="158"/>
      <c r="V87" s="158"/>
      <c r="W87" s="158"/>
      <c r="X87" s="158"/>
      <c r="Y87" s="158"/>
      <c r="Z87" s="158"/>
      <c r="AA87" s="241">
        <f t="shared" si="856"/>
        <v>101</v>
      </c>
      <c r="AB87" s="158"/>
      <c r="AC87" s="158"/>
      <c r="AD87" s="158"/>
      <c r="AE87" s="158"/>
      <c r="AF87" s="158"/>
      <c r="AG87" s="158"/>
      <c r="AH87" s="241">
        <f t="shared" si="856"/>
        <v>77</v>
      </c>
      <c r="AI87" s="158"/>
      <c r="AJ87" s="158"/>
      <c r="AK87" s="158"/>
      <c r="AL87" s="158"/>
      <c r="AM87" s="158"/>
      <c r="AN87" s="158"/>
      <c r="AO87" s="86"/>
      <c r="AP87" s="158"/>
      <c r="AQ87" s="158"/>
      <c r="AR87" s="158"/>
      <c r="AS87" s="158"/>
      <c r="AT87" s="158"/>
      <c r="AU87" s="158"/>
      <c r="AV87" s="86"/>
      <c r="AW87" s="158"/>
      <c r="AX87" s="158"/>
      <c r="AY87" s="158"/>
      <c r="AZ87" s="158"/>
      <c r="BA87" s="158"/>
      <c r="BB87" s="158"/>
      <c r="BC87" s="86"/>
      <c r="BD87" s="158"/>
      <c r="BE87" s="158"/>
      <c r="BF87" s="158"/>
      <c r="BG87" s="158"/>
      <c r="BH87" s="158"/>
      <c r="BI87" s="158"/>
      <c r="BJ87" s="86"/>
      <c r="BK87" s="158"/>
      <c r="BL87" s="158"/>
      <c r="BM87" s="158"/>
      <c r="BN87" s="158"/>
      <c r="BO87" s="158"/>
      <c r="BP87" s="158"/>
      <c r="BQ87" s="86"/>
      <c r="BR87" s="158"/>
      <c r="BS87" s="158"/>
      <c r="BT87" s="158"/>
      <c r="BU87" s="158"/>
      <c r="BV87" s="158"/>
      <c r="BW87" s="158"/>
      <c r="BX87" s="86"/>
      <c r="BY87" s="158"/>
      <c r="BZ87" s="158"/>
      <c r="CA87" s="158"/>
      <c r="CB87" s="158"/>
      <c r="CC87" s="158"/>
      <c r="CD87" s="158"/>
      <c r="CE87" s="86"/>
      <c r="CF87" s="158"/>
      <c r="CG87" s="158"/>
      <c r="CH87" s="158"/>
      <c r="CI87" s="158"/>
      <c r="CJ87" s="158"/>
      <c r="CK87" s="158"/>
      <c r="CL87" s="86"/>
      <c r="CM87" s="158"/>
      <c r="CN87" s="158"/>
      <c r="CO87" s="158"/>
      <c r="CP87" s="158"/>
      <c r="CQ87" s="158"/>
      <c r="CR87" s="158"/>
      <c r="CS87" s="86"/>
      <c r="CT87" s="158"/>
      <c r="CU87" s="158"/>
      <c r="CV87" s="158"/>
      <c r="CW87" s="158"/>
      <c r="CX87" s="158"/>
      <c r="CY87" s="158"/>
      <c r="CZ87" s="86"/>
      <c r="DA87" s="158"/>
      <c r="DB87" s="158"/>
      <c r="DC87" s="158"/>
      <c r="DD87" s="158"/>
      <c r="DE87" s="158"/>
      <c r="DF87" s="158"/>
      <c r="DG87" s="86"/>
      <c r="DH87" s="158"/>
      <c r="DI87" s="158"/>
      <c r="DJ87" s="158"/>
      <c r="DK87" s="158"/>
      <c r="DL87" s="158"/>
      <c r="DM87" s="158"/>
      <c r="DN87" s="86"/>
      <c r="DO87" s="158"/>
      <c r="DP87" s="158"/>
      <c r="DQ87" s="158"/>
      <c r="DR87" s="158"/>
      <c r="DS87" s="158"/>
      <c r="DT87" s="158"/>
      <c r="DU87" s="86"/>
      <c r="DV87" s="158"/>
      <c r="DW87" s="158"/>
      <c r="DX87" s="158"/>
      <c r="DY87" s="158"/>
      <c r="DZ87" s="158"/>
      <c r="EA87" s="158"/>
      <c r="EB87" s="86"/>
      <c r="EC87" s="158"/>
      <c r="ED87" s="158"/>
      <c r="EE87" s="158"/>
      <c r="EF87" s="158"/>
      <c r="EG87" s="158"/>
      <c r="EH87" s="158"/>
      <c r="EI87" s="86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</row>
    <row r="88" spans="1:187" ht="10.5" customHeight="1" outlineLevel="1">
      <c r="A88" s="231" t="s">
        <v>473</v>
      </c>
      <c r="B88" s="239">
        <v>0</v>
      </c>
      <c r="C88" s="239">
        <v>0</v>
      </c>
      <c r="D88" s="239">
        <v>0</v>
      </c>
      <c r="E88" s="239">
        <v>2</v>
      </c>
      <c r="F88" s="239">
        <v>12</v>
      </c>
      <c r="G88" s="239">
        <v>9</v>
      </c>
      <c r="H88" s="239">
        <v>10</v>
      </c>
      <c r="I88" s="239">
        <v>15</v>
      </c>
      <c r="J88" s="239">
        <v>7</v>
      </c>
      <c r="K88" s="239">
        <v>15</v>
      </c>
      <c r="L88" s="239">
        <v>16</v>
      </c>
      <c r="M88" s="239">
        <v>10</v>
      </c>
      <c r="N88" s="925"/>
      <c r="O88" s="925"/>
      <c r="P88" s="925"/>
      <c r="Q88" s="925"/>
      <c r="R88" s="925"/>
      <c r="S88" s="925"/>
      <c r="T88" s="239">
        <v>11</v>
      </c>
      <c r="U88" s="925"/>
      <c r="V88" s="925"/>
      <c r="W88" s="925"/>
      <c r="X88" s="925"/>
      <c r="Y88" s="925"/>
      <c r="Z88" s="925"/>
      <c r="AA88" s="239">
        <v>12</v>
      </c>
      <c r="AB88" s="925"/>
      <c r="AC88" s="925"/>
      <c r="AD88" s="925"/>
      <c r="AE88" s="925"/>
      <c r="AF88" s="925"/>
      <c r="AG88" s="925"/>
      <c r="AH88" s="239">
        <v>16</v>
      </c>
      <c r="AI88" s="925"/>
      <c r="AJ88" s="925"/>
      <c r="AK88" s="925"/>
      <c r="AL88" s="925"/>
      <c r="AM88" s="925"/>
      <c r="AN88" s="925"/>
      <c r="AO88" s="85"/>
      <c r="AP88" s="925"/>
      <c r="AQ88" s="925"/>
      <c r="AR88" s="925"/>
      <c r="AS88" s="925"/>
      <c r="AT88" s="925"/>
      <c r="AU88" s="925"/>
      <c r="AV88" s="85"/>
      <c r="AW88" s="925"/>
      <c r="AX88" s="925"/>
      <c r="AY88" s="925"/>
      <c r="AZ88" s="925"/>
      <c r="BA88" s="925"/>
      <c r="BB88" s="925"/>
      <c r="BC88" s="85"/>
      <c r="BD88" s="925"/>
      <c r="BE88" s="925"/>
      <c r="BF88" s="925"/>
      <c r="BG88" s="925"/>
      <c r="BH88" s="925"/>
      <c r="BI88" s="925"/>
      <c r="BJ88" s="85"/>
      <c r="BK88" s="925"/>
      <c r="BL88" s="925"/>
      <c r="BM88" s="925"/>
      <c r="BN88" s="925"/>
      <c r="BO88" s="925"/>
      <c r="BP88" s="925"/>
      <c r="BQ88" s="85"/>
      <c r="BR88" s="925"/>
      <c r="BS88" s="925"/>
      <c r="BT88" s="925"/>
      <c r="BU88" s="925"/>
      <c r="BV88" s="925"/>
      <c r="BW88" s="925"/>
      <c r="BX88" s="85"/>
      <c r="BY88" s="925"/>
      <c r="BZ88" s="925"/>
      <c r="CA88" s="925"/>
      <c r="CB88" s="925"/>
      <c r="CC88" s="925"/>
      <c r="CD88" s="925"/>
      <c r="CE88" s="85"/>
      <c r="CF88" s="925"/>
      <c r="CG88" s="925"/>
      <c r="CH88" s="925"/>
      <c r="CI88" s="925"/>
      <c r="CJ88" s="925"/>
      <c r="CK88" s="925"/>
      <c r="CL88" s="85"/>
      <c r="CM88" s="925"/>
      <c r="CN88" s="925"/>
      <c r="CO88" s="925"/>
      <c r="CP88" s="925"/>
      <c r="CQ88" s="925"/>
      <c r="CR88" s="925"/>
      <c r="CS88" s="85"/>
      <c r="CT88" s="925"/>
      <c r="CU88" s="925"/>
      <c r="CV88" s="925"/>
      <c r="CW88" s="925"/>
      <c r="CX88" s="925"/>
      <c r="CY88" s="925"/>
      <c r="CZ88" s="85"/>
      <c r="DA88" s="925"/>
      <c r="DB88" s="925"/>
      <c r="DC88" s="925"/>
      <c r="DD88" s="925"/>
      <c r="DE88" s="925"/>
      <c r="DF88" s="925"/>
      <c r="DG88" s="85"/>
      <c r="DH88" s="925"/>
      <c r="DI88" s="925"/>
      <c r="DJ88" s="925"/>
      <c r="DK88" s="925"/>
      <c r="DL88" s="925"/>
      <c r="DM88" s="925"/>
      <c r="DN88" s="85"/>
      <c r="DO88" s="925"/>
      <c r="DP88" s="925"/>
      <c r="DQ88" s="925"/>
      <c r="DR88" s="925"/>
      <c r="DS88" s="925"/>
      <c r="DT88" s="925"/>
      <c r="DU88" s="85"/>
      <c r="DV88" s="925"/>
      <c r="DW88" s="925"/>
      <c r="DX88" s="925"/>
      <c r="DY88" s="925"/>
      <c r="DZ88" s="925"/>
      <c r="EA88" s="925"/>
      <c r="EB88" s="85"/>
      <c r="EC88" s="925"/>
      <c r="ED88" s="925"/>
      <c r="EE88" s="925"/>
      <c r="EF88" s="925"/>
      <c r="EG88" s="925"/>
      <c r="EH88" s="925"/>
      <c r="EI88" s="85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</row>
    <row r="89" spans="1:187" ht="10.5" customHeight="1" outlineLevel="1">
      <c r="A89" s="48" t="s">
        <v>477</v>
      </c>
      <c r="B89" s="241">
        <f>B79+B84+B87+B88</f>
        <v>335</v>
      </c>
      <c r="C89" s="241">
        <f t="shared" ref="C89:AH89" si="857">C79+C84+C87+C88</f>
        <v>367</v>
      </c>
      <c r="D89" s="241">
        <f t="shared" si="857"/>
        <v>297</v>
      </c>
      <c r="E89" s="241">
        <f t="shared" si="857"/>
        <v>279</v>
      </c>
      <c r="F89" s="241">
        <f t="shared" si="857"/>
        <v>334</v>
      </c>
      <c r="G89" s="241">
        <f t="shared" si="857"/>
        <v>381</v>
      </c>
      <c r="H89" s="241">
        <f t="shared" si="857"/>
        <v>488</v>
      </c>
      <c r="I89" s="241">
        <f t="shared" si="857"/>
        <v>918</v>
      </c>
      <c r="J89" s="241">
        <f t="shared" si="857"/>
        <v>558</v>
      </c>
      <c r="K89" s="241">
        <f t="shared" si="857"/>
        <v>527</v>
      </c>
      <c r="L89" s="241">
        <f t="shared" si="857"/>
        <v>503</v>
      </c>
      <c r="M89" s="241">
        <f t="shared" si="857"/>
        <v>475</v>
      </c>
      <c r="N89" s="119"/>
      <c r="O89" s="119"/>
      <c r="P89" s="119"/>
      <c r="Q89" s="119"/>
      <c r="R89" s="119"/>
      <c r="S89" s="119"/>
      <c r="T89" s="241">
        <f t="shared" si="857"/>
        <v>497</v>
      </c>
      <c r="U89" s="119"/>
      <c r="V89" s="119"/>
      <c r="W89" s="119"/>
      <c r="X89" s="119"/>
      <c r="Y89" s="119"/>
      <c r="Z89" s="119"/>
      <c r="AA89" s="241">
        <f t="shared" si="857"/>
        <v>471</v>
      </c>
      <c r="AB89" s="119"/>
      <c r="AC89" s="119"/>
      <c r="AD89" s="119"/>
      <c r="AE89" s="119"/>
      <c r="AF89" s="119"/>
      <c r="AG89" s="119"/>
      <c r="AH89" s="241">
        <f t="shared" si="857"/>
        <v>395</v>
      </c>
      <c r="AI89" s="119"/>
      <c r="AJ89" s="119"/>
      <c r="AK89" s="119"/>
      <c r="AL89" s="119"/>
      <c r="AM89" s="119"/>
      <c r="AN89" s="119"/>
      <c r="AO89" s="768">
        <v>418</v>
      </c>
      <c r="AP89" s="119"/>
      <c r="AQ89" s="119"/>
      <c r="AR89" s="119"/>
      <c r="AS89" s="119"/>
      <c r="AT89" s="119"/>
      <c r="AU89" s="119"/>
      <c r="AV89" s="768"/>
      <c r="AW89" s="119"/>
      <c r="AX89" s="119"/>
      <c r="AY89" s="119"/>
      <c r="AZ89" s="119"/>
      <c r="BA89" s="119"/>
      <c r="BB89" s="119"/>
      <c r="BC89" s="768"/>
      <c r="BD89" s="119"/>
      <c r="BE89" s="119"/>
      <c r="BF89" s="119"/>
      <c r="BG89" s="119"/>
      <c r="BH89" s="119"/>
      <c r="BI89" s="119"/>
      <c r="BJ89" s="768"/>
      <c r="BK89" s="119"/>
      <c r="BL89" s="119"/>
      <c r="BM89" s="119"/>
      <c r="BN89" s="119"/>
      <c r="BO89" s="119"/>
      <c r="BP89" s="119"/>
      <c r="BQ89" s="768"/>
      <c r="BR89" s="119"/>
      <c r="BS89" s="119"/>
      <c r="BT89" s="119"/>
      <c r="BU89" s="119"/>
      <c r="BV89" s="119"/>
      <c r="BW89" s="119"/>
      <c r="BX89" s="768"/>
      <c r="BY89" s="119"/>
      <c r="BZ89" s="119"/>
      <c r="CA89" s="119"/>
      <c r="CB89" s="119"/>
      <c r="CC89" s="119"/>
      <c r="CD89" s="119"/>
      <c r="CE89" s="768"/>
      <c r="CF89" s="119"/>
      <c r="CG89" s="119"/>
      <c r="CH89" s="119"/>
      <c r="CI89" s="119"/>
      <c r="CJ89" s="119"/>
      <c r="CK89" s="119"/>
      <c r="CL89" s="768"/>
      <c r="CM89" s="119"/>
      <c r="CN89" s="119"/>
      <c r="CO89" s="119"/>
      <c r="CP89" s="119"/>
      <c r="CQ89" s="119"/>
      <c r="CR89" s="119"/>
      <c r="CS89" s="768"/>
      <c r="CT89" s="119"/>
      <c r="CU89" s="119"/>
      <c r="CV89" s="119"/>
      <c r="CW89" s="119"/>
      <c r="CX89" s="119"/>
      <c r="CY89" s="119"/>
      <c r="CZ89" s="768"/>
      <c r="DA89" s="119"/>
      <c r="DB89" s="119"/>
      <c r="DC89" s="119"/>
      <c r="DD89" s="119"/>
      <c r="DE89" s="119"/>
      <c r="DF89" s="119"/>
      <c r="DG89" s="768"/>
      <c r="DH89" s="119"/>
      <c r="DI89" s="119"/>
      <c r="DJ89" s="119"/>
      <c r="DK89" s="119"/>
      <c r="DL89" s="119"/>
      <c r="DM89" s="119"/>
      <c r="DN89" s="768"/>
      <c r="DO89" s="119"/>
      <c r="DP89" s="119"/>
      <c r="DQ89" s="119"/>
      <c r="DR89" s="119"/>
      <c r="DS89" s="119"/>
      <c r="DT89" s="119"/>
      <c r="DU89" s="768"/>
      <c r="DV89" s="119"/>
      <c r="DW89" s="119"/>
      <c r="DX89" s="119"/>
      <c r="DY89" s="119"/>
      <c r="DZ89" s="119"/>
      <c r="EA89" s="119"/>
      <c r="EB89" s="768"/>
      <c r="EC89" s="119"/>
      <c r="ED89" s="119"/>
      <c r="EE89" s="119"/>
      <c r="EF89" s="119"/>
      <c r="EG89" s="119"/>
      <c r="EH89" s="119"/>
      <c r="EI89" s="768"/>
      <c r="EJ89" s="163"/>
      <c r="EK89" s="163"/>
      <c r="EL89" s="163"/>
      <c r="EM89" s="163"/>
      <c r="EN89" s="163"/>
      <c r="EO89" s="163"/>
      <c r="EP89" s="163"/>
      <c r="EQ89" s="163"/>
      <c r="ER89" s="163"/>
      <c r="ES89" s="163"/>
      <c r="ET89" s="163"/>
      <c r="EU89" s="163"/>
      <c r="EV89" s="163"/>
      <c r="EW89" s="163"/>
      <c r="EX89" s="163"/>
      <c r="EY89" s="163"/>
      <c r="EZ89" s="163"/>
      <c r="FA89" s="163"/>
      <c r="FB89" s="163"/>
      <c r="FC89" s="163"/>
      <c r="FD89" s="163"/>
      <c r="FE89" s="163"/>
      <c r="FF89" s="163"/>
      <c r="FG89" s="163"/>
      <c r="FH89" s="163"/>
      <c r="FI89" s="163"/>
      <c r="FJ89" s="163"/>
      <c r="FK89" s="163"/>
      <c r="FL89" s="163"/>
      <c r="FM89" s="163"/>
      <c r="FN89" s="163"/>
      <c r="FO89" s="163"/>
      <c r="FP89" s="163"/>
      <c r="FQ89" s="163"/>
      <c r="FR89" s="163"/>
      <c r="FS89" s="163"/>
      <c r="FT89" s="163"/>
      <c r="FU89" s="163"/>
      <c r="FV89" s="163"/>
      <c r="FW89" s="163"/>
      <c r="FX89" s="163"/>
      <c r="FY89" s="163"/>
      <c r="FZ89" s="163"/>
      <c r="GA89" s="163"/>
      <c r="GB89" s="163"/>
      <c r="GC89" s="163"/>
      <c r="GD89" s="163"/>
      <c r="GE89" s="163"/>
    </row>
    <row r="90" spans="1:187" ht="10.5" customHeight="1" outlineLevel="1">
      <c r="A90" s="108" t="s">
        <v>532</v>
      </c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158"/>
      <c r="O90" s="158"/>
      <c r="P90" s="158"/>
      <c r="Q90" s="158"/>
      <c r="R90" s="158"/>
      <c r="S90" s="158"/>
      <c r="T90" s="239"/>
      <c r="U90" s="158"/>
      <c r="V90" s="158"/>
      <c r="W90" s="158"/>
      <c r="X90" s="158"/>
      <c r="Y90" s="158"/>
      <c r="Z90" s="158"/>
      <c r="AA90" s="239"/>
      <c r="AB90" s="158"/>
      <c r="AC90" s="158"/>
      <c r="AD90" s="158"/>
      <c r="AE90" s="158"/>
      <c r="AF90" s="158"/>
      <c r="AG90" s="158"/>
      <c r="AH90" s="239">
        <v>65</v>
      </c>
      <c r="AI90" s="158"/>
      <c r="AJ90" s="158"/>
      <c r="AK90" s="158"/>
      <c r="AL90" s="158"/>
      <c r="AM90" s="158"/>
      <c r="AN90" s="158"/>
      <c r="AO90" s="87">
        <v>56</v>
      </c>
      <c r="AP90" s="158"/>
      <c r="AQ90" s="158"/>
      <c r="AR90" s="158"/>
      <c r="AS90" s="158"/>
      <c r="AT90" s="158"/>
      <c r="AU90" s="158"/>
      <c r="AV90" s="87"/>
      <c r="AW90" s="158"/>
      <c r="AX90" s="158"/>
      <c r="AY90" s="158"/>
      <c r="AZ90" s="158"/>
      <c r="BA90" s="158"/>
      <c r="BB90" s="158"/>
      <c r="BC90" s="87"/>
      <c r="BD90" s="158"/>
      <c r="BE90" s="158"/>
      <c r="BF90" s="158"/>
      <c r="BG90" s="158"/>
      <c r="BH90" s="158"/>
      <c r="BI90" s="158"/>
      <c r="BJ90" s="87"/>
      <c r="BK90" s="158"/>
      <c r="BL90" s="158"/>
      <c r="BM90" s="158"/>
      <c r="BN90" s="158"/>
      <c r="BO90" s="158"/>
      <c r="BP90" s="158"/>
      <c r="BQ90" s="87"/>
      <c r="BR90" s="158"/>
      <c r="BS90" s="158"/>
      <c r="BT90" s="158"/>
      <c r="BU90" s="158"/>
      <c r="BV90" s="158"/>
      <c r="BW90" s="158"/>
      <c r="BX90" s="87"/>
      <c r="BY90" s="158"/>
      <c r="BZ90" s="158"/>
      <c r="CA90" s="158"/>
      <c r="CB90" s="158"/>
      <c r="CC90" s="158"/>
      <c r="CD90" s="158"/>
      <c r="CE90" s="87"/>
      <c r="CF90" s="158"/>
      <c r="CG90" s="158"/>
      <c r="CH90" s="158"/>
      <c r="CI90" s="158"/>
      <c r="CJ90" s="158"/>
      <c r="CK90" s="158"/>
      <c r="CL90" s="87"/>
      <c r="CM90" s="158"/>
      <c r="CN90" s="158"/>
      <c r="CO90" s="158"/>
      <c r="CP90" s="158"/>
      <c r="CQ90" s="158"/>
      <c r="CR90" s="158"/>
      <c r="CS90" s="87"/>
      <c r="CT90" s="158"/>
      <c r="CU90" s="158"/>
      <c r="CV90" s="158"/>
      <c r="CW90" s="158"/>
      <c r="CX90" s="158"/>
      <c r="CY90" s="158"/>
      <c r="CZ90" s="87"/>
      <c r="DA90" s="158"/>
      <c r="DB90" s="158"/>
      <c r="DC90" s="158"/>
      <c r="DD90" s="158"/>
      <c r="DE90" s="158"/>
      <c r="DF90" s="158"/>
      <c r="DG90" s="87"/>
      <c r="DH90" s="158"/>
      <c r="DI90" s="158"/>
      <c r="DJ90" s="158"/>
      <c r="DK90" s="158"/>
      <c r="DL90" s="158"/>
      <c r="DM90" s="158"/>
      <c r="DN90" s="87"/>
      <c r="DO90" s="158"/>
      <c r="DP90" s="158"/>
      <c r="DQ90" s="158"/>
      <c r="DR90" s="158"/>
      <c r="DS90" s="158"/>
      <c r="DT90" s="158"/>
      <c r="DU90" s="87"/>
      <c r="DV90" s="158"/>
      <c r="DW90" s="158"/>
      <c r="DX90" s="158"/>
      <c r="DY90" s="158"/>
      <c r="DZ90" s="158"/>
      <c r="EA90" s="158"/>
      <c r="EB90" s="87"/>
      <c r="EC90" s="158"/>
      <c r="ED90" s="158"/>
      <c r="EE90" s="158"/>
      <c r="EF90" s="158"/>
      <c r="EG90" s="158"/>
      <c r="EH90" s="158"/>
      <c r="EI90" s="8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</row>
    <row r="91" spans="1:187" ht="10.5" customHeight="1" outlineLevel="1">
      <c r="A91" s="108" t="s">
        <v>533</v>
      </c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158"/>
      <c r="O91" s="158"/>
      <c r="P91" s="158"/>
      <c r="Q91" s="158"/>
      <c r="R91" s="158"/>
      <c r="S91" s="158"/>
      <c r="T91" s="239"/>
      <c r="U91" s="158"/>
      <c r="V91" s="158"/>
      <c r="W91" s="158"/>
      <c r="X91" s="158"/>
      <c r="Y91" s="158"/>
      <c r="Z91" s="158"/>
      <c r="AA91" s="239"/>
      <c r="AB91" s="158"/>
      <c r="AC91" s="158"/>
      <c r="AD91" s="158"/>
      <c r="AE91" s="158"/>
      <c r="AF91" s="158"/>
      <c r="AG91" s="158"/>
      <c r="AH91" s="239">
        <f>AH92-AH90</f>
        <v>87</v>
      </c>
      <c r="AI91" s="158"/>
      <c r="AJ91" s="158"/>
      <c r="AK91" s="158"/>
      <c r="AL91" s="158"/>
      <c r="AM91" s="158"/>
      <c r="AN91" s="158"/>
      <c r="AO91" s="87">
        <f>AO92-AO90</f>
        <v>107</v>
      </c>
      <c r="AP91" s="158"/>
      <c r="AQ91" s="158"/>
      <c r="AR91" s="158"/>
      <c r="AS91" s="158"/>
      <c r="AT91" s="158"/>
      <c r="AU91" s="158"/>
      <c r="AV91" s="87"/>
      <c r="AW91" s="158"/>
      <c r="AX91" s="158"/>
      <c r="AY91" s="158"/>
      <c r="AZ91" s="158"/>
      <c r="BA91" s="158"/>
      <c r="BB91" s="158"/>
      <c r="BC91" s="87"/>
      <c r="BD91" s="158"/>
      <c r="BE91" s="158"/>
      <c r="BF91" s="158"/>
      <c r="BG91" s="158"/>
      <c r="BH91" s="158"/>
      <c r="BI91" s="158"/>
      <c r="BJ91" s="87"/>
      <c r="BK91" s="158"/>
      <c r="BL91" s="158"/>
      <c r="BM91" s="158"/>
      <c r="BN91" s="158"/>
      <c r="BO91" s="158"/>
      <c r="BP91" s="158"/>
      <c r="BQ91" s="87"/>
      <c r="BR91" s="158"/>
      <c r="BS91" s="158"/>
      <c r="BT91" s="158"/>
      <c r="BU91" s="158"/>
      <c r="BV91" s="158"/>
      <c r="BW91" s="158"/>
      <c r="BX91" s="87"/>
      <c r="BY91" s="158"/>
      <c r="BZ91" s="158"/>
      <c r="CA91" s="158"/>
      <c r="CB91" s="158"/>
      <c r="CC91" s="158"/>
      <c r="CD91" s="158"/>
      <c r="CE91" s="87"/>
      <c r="CF91" s="158"/>
      <c r="CG91" s="158"/>
      <c r="CH91" s="158"/>
      <c r="CI91" s="158"/>
      <c r="CJ91" s="158"/>
      <c r="CK91" s="158"/>
      <c r="CL91" s="87"/>
      <c r="CM91" s="158"/>
      <c r="CN91" s="158"/>
      <c r="CO91" s="158"/>
      <c r="CP91" s="158"/>
      <c r="CQ91" s="158"/>
      <c r="CR91" s="158"/>
      <c r="CS91" s="87"/>
      <c r="CT91" s="158"/>
      <c r="CU91" s="158"/>
      <c r="CV91" s="158"/>
      <c r="CW91" s="158"/>
      <c r="CX91" s="158"/>
      <c r="CY91" s="158"/>
      <c r="CZ91" s="87"/>
      <c r="DA91" s="158"/>
      <c r="DB91" s="158"/>
      <c r="DC91" s="158"/>
      <c r="DD91" s="158"/>
      <c r="DE91" s="158"/>
      <c r="DF91" s="158"/>
      <c r="DG91" s="87"/>
      <c r="DH91" s="158"/>
      <c r="DI91" s="158"/>
      <c r="DJ91" s="158"/>
      <c r="DK91" s="158"/>
      <c r="DL91" s="158"/>
      <c r="DM91" s="158"/>
      <c r="DN91" s="87"/>
      <c r="DO91" s="158"/>
      <c r="DP91" s="158"/>
      <c r="DQ91" s="158"/>
      <c r="DR91" s="158"/>
      <c r="DS91" s="158"/>
      <c r="DT91" s="158"/>
      <c r="DU91" s="87"/>
      <c r="DV91" s="158"/>
      <c r="DW91" s="158"/>
      <c r="DX91" s="158"/>
      <c r="DY91" s="158"/>
      <c r="DZ91" s="158"/>
      <c r="EA91" s="158"/>
      <c r="EB91" s="87"/>
      <c r="EC91" s="158"/>
      <c r="ED91" s="158"/>
      <c r="EE91" s="158"/>
      <c r="EF91" s="158"/>
      <c r="EG91" s="158"/>
      <c r="EH91" s="158"/>
      <c r="EI91" s="8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</row>
    <row r="92" spans="1:187" ht="10.5" customHeight="1" outlineLevel="1">
      <c r="A92" s="108" t="s">
        <v>520</v>
      </c>
      <c r="B92" s="918"/>
      <c r="C92" s="158"/>
      <c r="D92" s="15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239"/>
      <c r="U92" s="108"/>
      <c r="V92" s="108"/>
      <c r="W92" s="108"/>
      <c r="X92" s="108"/>
      <c r="Y92" s="108"/>
      <c r="Z92" s="108"/>
      <c r="AA92" s="239"/>
      <c r="AB92" s="108"/>
      <c r="AC92" s="108"/>
      <c r="AD92" s="108"/>
      <c r="AE92" s="108"/>
      <c r="AF92" s="108"/>
      <c r="AG92" s="108"/>
      <c r="AH92" s="239">
        <v>152</v>
      </c>
      <c r="AI92" s="108"/>
      <c r="AJ92" s="108"/>
      <c r="AK92" s="108"/>
      <c r="AL92" s="108"/>
      <c r="AM92" s="108"/>
      <c r="AN92" s="108"/>
      <c r="AO92" s="43">
        <v>163</v>
      </c>
      <c r="AP92" s="108"/>
      <c r="AQ92" s="108"/>
      <c r="AR92" s="108"/>
      <c r="AS92" s="108"/>
      <c r="AT92" s="108"/>
      <c r="AU92" s="108"/>
      <c r="AV92" s="43"/>
      <c r="AW92" s="108"/>
      <c r="AX92" s="108"/>
      <c r="AY92" s="108"/>
      <c r="AZ92" s="108"/>
      <c r="BA92" s="108"/>
      <c r="BB92" s="108"/>
      <c r="BC92" s="43"/>
      <c r="BD92" s="108"/>
      <c r="BE92" s="108"/>
      <c r="BF92" s="108"/>
      <c r="BG92" s="108"/>
      <c r="BH92" s="108"/>
      <c r="BI92" s="108"/>
      <c r="BJ92" s="43"/>
      <c r="BK92" s="108"/>
      <c r="BL92" s="108"/>
      <c r="BM92" s="108"/>
      <c r="BN92" s="108"/>
      <c r="BO92" s="108"/>
      <c r="BP92" s="108"/>
      <c r="BQ92" s="43"/>
      <c r="BR92" s="108"/>
      <c r="BS92" s="108"/>
      <c r="BT92" s="108"/>
      <c r="BU92" s="108"/>
      <c r="BV92" s="108"/>
      <c r="BW92" s="108"/>
      <c r="BX92" s="43"/>
      <c r="BY92" s="108"/>
      <c r="BZ92" s="108"/>
      <c r="CA92" s="108"/>
      <c r="CB92" s="108"/>
      <c r="CC92" s="108"/>
      <c r="CD92" s="108"/>
      <c r="CE92" s="43"/>
      <c r="CF92" s="108"/>
      <c r="CG92" s="108"/>
      <c r="CH92" s="108"/>
      <c r="CI92" s="108"/>
      <c r="CJ92" s="108"/>
      <c r="CK92" s="108"/>
      <c r="CL92" s="43"/>
      <c r="CM92" s="108"/>
      <c r="CN92" s="108"/>
      <c r="CO92" s="108"/>
      <c r="CP92" s="108"/>
      <c r="CQ92" s="108"/>
      <c r="CR92" s="108"/>
      <c r="CS92" s="43"/>
      <c r="CT92" s="108"/>
      <c r="CU92" s="108"/>
      <c r="CV92" s="108"/>
      <c r="CW92" s="108"/>
      <c r="CX92" s="108"/>
      <c r="CY92" s="108"/>
      <c r="CZ92" s="43"/>
      <c r="DA92" s="108"/>
      <c r="DB92" s="108"/>
      <c r="DC92" s="108"/>
      <c r="DD92" s="108"/>
      <c r="DE92" s="108"/>
      <c r="DF92" s="108"/>
      <c r="DG92" s="43"/>
      <c r="DH92" s="108"/>
      <c r="DI92" s="108"/>
      <c r="DJ92" s="108"/>
      <c r="DK92" s="108"/>
      <c r="DL92" s="108"/>
      <c r="DM92" s="108"/>
      <c r="DN92" s="43"/>
      <c r="DO92" s="108"/>
      <c r="DP92" s="108"/>
      <c r="DQ92" s="108"/>
      <c r="DR92" s="108"/>
      <c r="DS92" s="108"/>
      <c r="DT92" s="108"/>
      <c r="DU92" s="43"/>
      <c r="DV92" s="108"/>
      <c r="DW92" s="108"/>
      <c r="DX92" s="108"/>
      <c r="DY92" s="108"/>
      <c r="DZ92" s="108"/>
      <c r="EA92" s="108"/>
      <c r="EB92" s="43"/>
      <c r="EC92" s="108"/>
      <c r="ED92" s="108"/>
      <c r="EE92" s="108"/>
      <c r="EF92" s="108"/>
      <c r="EG92" s="108"/>
      <c r="EH92" s="108"/>
      <c r="EI92" s="43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</row>
    <row r="93" spans="1:187" ht="10.5" customHeight="1" outlineLevel="1">
      <c r="A93" s="108" t="s">
        <v>534</v>
      </c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39"/>
      <c r="U93" s="299"/>
      <c r="V93" s="299"/>
      <c r="W93" s="299"/>
      <c r="X93" s="299"/>
      <c r="Y93" s="299"/>
      <c r="Z93" s="299"/>
      <c r="AA93" s="239"/>
      <c r="AB93" s="299"/>
      <c r="AC93" s="299"/>
      <c r="AD93" s="299"/>
      <c r="AE93" s="299"/>
      <c r="AF93" s="299"/>
      <c r="AG93" s="299"/>
      <c r="AH93" s="239">
        <f>AH94-AH92</f>
        <v>85</v>
      </c>
      <c r="AI93" s="299"/>
      <c r="AJ93" s="299"/>
      <c r="AK93" s="299"/>
      <c r="AL93" s="299"/>
      <c r="AM93" s="299"/>
      <c r="AN93" s="299"/>
      <c r="AO93" s="47">
        <f>AO94-AO92</f>
        <v>95</v>
      </c>
      <c r="AP93" s="299"/>
      <c r="AQ93" s="299"/>
      <c r="AR93" s="299"/>
      <c r="AS93" s="299"/>
      <c r="AT93" s="299"/>
      <c r="AU93" s="299"/>
      <c r="AV93" s="47"/>
      <c r="AW93" s="299"/>
      <c r="AX93" s="299"/>
      <c r="AY93" s="299"/>
      <c r="AZ93" s="299"/>
      <c r="BA93" s="299"/>
      <c r="BB93" s="299"/>
      <c r="BC93" s="47"/>
      <c r="BD93" s="299"/>
      <c r="BE93" s="299"/>
      <c r="BF93" s="299"/>
      <c r="BG93" s="299"/>
      <c r="BH93" s="299"/>
      <c r="BI93" s="299"/>
      <c r="BJ93" s="47"/>
      <c r="BK93" s="299"/>
      <c r="BL93" s="299"/>
      <c r="BM93" s="299"/>
      <c r="BN93" s="299"/>
      <c r="BO93" s="299"/>
      <c r="BP93" s="299"/>
      <c r="BQ93" s="47"/>
      <c r="BR93" s="299"/>
      <c r="BS93" s="299"/>
      <c r="BT93" s="299"/>
      <c r="BU93" s="299"/>
      <c r="BV93" s="299"/>
      <c r="BW93" s="299"/>
      <c r="BX93" s="47"/>
      <c r="BY93" s="299"/>
      <c r="BZ93" s="299"/>
      <c r="CA93" s="299"/>
      <c r="CB93" s="299"/>
      <c r="CC93" s="299"/>
      <c r="CD93" s="299"/>
      <c r="CE93" s="47"/>
      <c r="CF93" s="299"/>
      <c r="CG93" s="299"/>
      <c r="CH93" s="299"/>
      <c r="CI93" s="299"/>
      <c r="CJ93" s="299"/>
      <c r="CK93" s="299"/>
      <c r="CL93" s="47"/>
      <c r="CM93" s="299"/>
      <c r="CN93" s="299"/>
      <c r="CO93" s="299"/>
      <c r="CP93" s="299"/>
      <c r="CQ93" s="299"/>
      <c r="CR93" s="299"/>
      <c r="CS93" s="47"/>
      <c r="CT93" s="299"/>
      <c r="CU93" s="299"/>
      <c r="CV93" s="299"/>
      <c r="CW93" s="299"/>
      <c r="CX93" s="299"/>
      <c r="CY93" s="299"/>
      <c r="CZ93" s="47"/>
      <c r="DA93" s="299"/>
      <c r="DB93" s="299"/>
      <c r="DC93" s="299"/>
      <c r="DD93" s="299"/>
      <c r="DE93" s="299"/>
      <c r="DF93" s="299"/>
      <c r="DG93" s="47"/>
      <c r="DH93" s="299"/>
      <c r="DI93" s="299"/>
      <c r="DJ93" s="299"/>
      <c r="DK93" s="299"/>
      <c r="DL93" s="299"/>
      <c r="DM93" s="299"/>
      <c r="DN93" s="47"/>
      <c r="DO93" s="299"/>
      <c r="DP93" s="299"/>
      <c r="DQ93" s="299"/>
      <c r="DR93" s="299"/>
      <c r="DS93" s="299"/>
      <c r="DT93" s="299"/>
      <c r="DU93" s="47"/>
      <c r="DV93" s="299"/>
      <c r="DW93" s="299"/>
      <c r="DX93" s="299"/>
      <c r="DY93" s="299"/>
      <c r="DZ93" s="299"/>
      <c r="EA93" s="299"/>
      <c r="EB93" s="47"/>
      <c r="EC93" s="299"/>
      <c r="ED93" s="299"/>
      <c r="EE93" s="299"/>
      <c r="EF93" s="299"/>
      <c r="EG93" s="299"/>
      <c r="EH93" s="299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</row>
    <row r="94" spans="1:187" ht="10.5" customHeight="1" outlineLevel="1">
      <c r="A94" s="108" t="s">
        <v>531</v>
      </c>
      <c r="B94" s="918"/>
      <c r="C94" s="245"/>
      <c r="D94" s="245"/>
      <c r="E94" s="837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39"/>
      <c r="U94" s="245"/>
      <c r="V94" s="245"/>
      <c r="W94" s="245"/>
      <c r="X94" s="245"/>
      <c r="Y94" s="245"/>
      <c r="Z94" s="245"/>
      <c r="AA94" s="239"/>
      <c r="AB94" s="245"/>
      <c r="AC94" s="245"/>
      <c r="AD94" s="245"/>
      <c r="AE94" s="245"/>
      <c r="AF94" s="245"/>
      <c r="AG94" s="245"/>
      <c r="AH94" s="239">
        <v>237</v>
      </c>
      <c r="AI94" s="245"/>
      <c r="AJ94" s="245"/>
      <c r="AK94" s="245"/>
      <c r="AL94" s="245"/>
      <c r="AM94" s="245"/>
      <c r="AN94" s="245"/>
      <c r="AO94" s="79">
        <v>258</v>
      </c>
      <c r="AP94" s="245"/>
      <c r="AQ94" s="245"/>
      <c r="AR94" s="245"/>
      <c r="AS94" s="245"/>
      <c r="AT94" s="245"/>
      <c r="AU94" s="245"/>
      <c r="AV94" s="79"/>
      <c r="AW94" s="245"/>
      <c r="AX94" s="245"/>
      <c r="AY94" s="245"/>
      <c r="AZ94" s="245"/>
      <c r="BA94" s="245"/>
      <c r="BB94" s="245"/>
      <c r="BC94" s="79"/>
      <c r="BD94" s="245"/>
      <c r="BE94" s="245"/>
      <c r="BF94" s="245"/>
      <c r="BG94" s="245"/>
      <c r="BH94" s="245"/>
      <c r="BI94" s="245"/>
      <c r="BJ94" s="79"/>
      <c r="BK94" s="245"/>
      <c r="BL94" s="245"/>
      <c r="BM94" s="245"/>
      <c r="BN94" s="245"/>
      <c r="BO94" s="245"/>
      <c r="BP94" s="245"/>
      <c r="BQ94" s="79"/>
      <c r="BR94" s="245"/>
      <c r="BS94" s="245"/>
      <c r="BT94" s="245"/>
      <c r="BU94" s="245"/>
      <c r="BV94" s="245"/>
      <c r="BW94" s="245"/>
      <c r="BX94" s="79"/>
      <c r="BY94" s="245"/>
      <c r="BZ94" s="245"/>
      <c r="CA94" s="245"/>
      <c r="CB94" s="245"/>
      <c r="CC94" s="245"/>
      <c r="CD94" s="245"/>
      <c r="CE94" s="79"/>
      <c r="CF94" s="245"/>
      <c r="CG94" s="245"/>
      <c r="CH94" s="245"/>
      <c r="CI94" s="245"/>
      <c r="CJ94" s="245"/>
      <c r="CK94" s="245"/>
      <c r="CL94" s="79"/>
      <c r="CM94" s="245"/>
      <c r="CN94" s="245"/>
      <c r="CO94" s="245"/>
      <c r="CP94" s="245"/>
      <c r="CQ94" s="245"/>
      <c r="CR94" s="245"/>
      <c r="CS94" s="79"/>
      <c r="CT94" s="245"/>
      <c r="CU94" s="245"/>
      <c r="CV94" s="245"/>
      <c r="CW94" s="245"/>
      <c r="CX94" s="245"/>
      <c r="CY94" s="245"/>
      <c r="CZ94" s="79"/>
      <c r="DA94" s="245"/>
      <c r="DB94" s="245"/>
      <c r="DC94" s="245"/>
      <c r="DD94" s="245"/>
      <c r="DE94" s="245"/>
      <c r="DF94" s="245"/>
      <c r="DG94" s="79"/>
      <c r="DH94" s="245"/>
      <c r="DI94" s="245"/>
      <c r="DJ94" s="245"/>
      <c r="DK94" s="245"/>
      <c r="DL94" s="245"/>
      <c r="DM94" s="245"/>
      <c r="DN94" s="79"/>
      <c r="DO94" s="245"/>
      <c r="DP94" s="245"/>
      <c r="DQ94" s="245"/>
      <c r="DR94" s="245"/>
      <c r="DS94" s="245"/>
      <c r="DT94" s="245"/>
      <c r="DU94" s="79"/>
      <c r="DV94" s="245"/>
      <c r="DW94" s="245"/>
      <c r="DX94" s="245"/>
      <c r="DY94" s="245"/>
      <c r="DZ94" s="245"/>
      <c r="EA94" s="245"/>
      <c r="EB94" s="79"/>
      <c r="EC94" s="245"/>
      <c r="ED94" s="245"/>
      <c r="EE94" s="245"/>
      <c r="EF94" s="245"/>
      <c r="EG94" s="245"/>
      <c r="EH94" s="245"/>
      <c r="EI94" s="79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</row>
    <row r="95" spans="1:187" ht="10.5" customHeight="1" outlineLevel="1">
      <c r="A95" s="248" t="s">
        <v>535</v>
      </c>
      <c r="B95" s="918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39"/>
      <c r="U95" s="245"/>
      <c r="V95" s="245"/>
      <c r="W95" s="245"/>
      <c r="X95" s="245"/>
      <c r="Y95" s="245"/>
      <c r="Z95" s="245"/>
      <c r="AA95" s="239"/>
      <c r="AB95" s="245"/>
      <c r="AC95" s="245"/>
      <c r="AD95" s="245"/>
      <c r="AE95" s="245"/>
      <c r="AF95" s="245"/>
      <c r="AG95" s="245"/>
      <c r="AH95" s="239">
        <f>AH89-AH94</f>
        <v>158</v>
      </c>
      <c r="AI95" s="245"/>
      <c r="AJ95" s="245"/>
      <c r="AK95" s="245"/>
      <c r="AL95" s="245"/>
      <c r="AM95" s="245"/>
      <c r="AN95" s="245"/>
      <c r="AO95" s="79">
        <f>AO89-AO94</f>
        <v>160</v>
      </c>
      <c r="AP95" s="245"/>
      <c r="AQ95" s="245"/>
      <c r="AR95" s="245"/>
      <c r="AS95" s="245"/>
      <c r="AT95" s="245"/>
      <c r="AU95" s="245"/>
      <c r="AV95" s="79"/>
      <c r="AW95" s="245"/>
      <c r="AX95" s="245"/>
      <c r="AY95" s="245"/>
      <c r="AZ95" s="245"/>
      <c r="BA95" s="245"/>
      <c r="BB95" s="245"/>
      <c r="BC95" s="79"/>
      <c r="BD95" s="245"/>
      <c r="BE95" s="245"/>
      <c r="BF95" s="245"/>
      <c r="BG95" s="245"/>
      <c r="BH95" s="245"/>
      <c r="BI95" s="245"/>
      <c r="BJ95" s="79"/>
      <c r="BK95" s="245"/>
      <c r="BL95" s="245"/>
      <c r="BM95" s="245"/>
      <c r="BN95" s="245"/>
      <c r="BO95" s="245"/>
      <c r="BP95" s="245"/>
      <c r="BQ95" s="79"/>
      <c r="BR95" s="245"/>
      <c r="BS95" s="245"/>
      <c r="BT95" s="245"/>
      <c r="BU95" s="245"/>
      <c r="BV95" s="245"/>
      <c r="BW95" s="245"/>
      <c r="BX95" s="79"/>
      <c r="BY95" s="245"/>
      <c r="BZ95" s="245"/>
      <c r="CA95" s="245"/>
      <c r="CB95" s="245"/>
      <c r="CC95" s="245"/>
      <c r="CD95" s="245"/>
      <c r="CE95" s="79"/>
      <c r="CF95" s="245"/>
      <c r="CG95" s="245"/>
      <c r="CH95" s="245"/>
      <c r="CI95" s="245"/>
      <c r="CJ95" s="245"/>
      <c r="CK95" s="245"/>
      <c r="CL95" s="79"/>
      <c r="CM95" s="245"/>
      <c r="CN95" s="245"/>
      <c r="CO95" s="245"/>
      <c r="CP95" s="245"/>
      <c r="CQ95" s="245"/>
      <c r="CR95" s="245"/>
      <c r="CS95" s="79"/>
      <c r="CT95" s="245"/>
      <c r="CU95" s="245"/>
      <c r="CV95" s="245"/>
      <c r="CW95" s="245"/>
      <c r="CX95" s="245"/>
      <c r="CY95" s="245"/>
      <c r="CZ95" s="79"/>
      <c r="DA95" s="245"/>
      <c r="DB95" s="245"/>
      <c r="DC95" s="245"/>
      <c r="DD95" s="245"/>
      <c r="DE95" s="245"/>
      <c r="DF95" s="245"/>
      <c r="DG95" s="79"/>
      <c r="DH95" s="245"/>
      <c r="DI95" s="245"/>
      <c r="DJ95" s="245"/>
      <c r="DK95" s="245"/>
      <c r="DL95" s="245"/>
      <c r="DM95" s="245"/>
      <c r="DN95" s="79"/>
      <c r="DO95" s="245"/>
      <c r="DP95" s="245"/>
      <c r="DQ95" s="245"/>
      <c r="DR95" s="245"/>
      <c r="DS95" s="245"/>
      <c r="DT95" s="245"/>
      <c r="DU95" s="79"/>
      <c r="DV95" s="245"/>
      <c r="DW95" s="245"/>
      <c r="DX95" s="245"/>
      <c r="DY95" s="245"/>
      <c r="DZ95" s="245"/>
      <c r="EA95" s="245"/>
      <c r="EB95" s="79"/>
      <c r="EC95" s="245"/>
      <c r="ED95" s="245"/>
      <c r="EE95" s="245"/>
      <c r="EF95" s="245"/>
      <c r="EG95" s="245"/>
      <c r="EH95" s="245"/>
      <c r="EI95" s="79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</row>
    <row r="96" spans="1:187" ht="10.5" customHeight="1" outlineLevel="1">
      <c r="A96" s="108" t="s">
        <v>521</v>
      </c>
      <c r="B96" s="918"/>
      <c r="C96" s="920"/>
      <c r="D96" s="920"/>
      <c r="E96" s="920"/>
      <c r="F96" s="920"/>
      <c r="G96" s="920"/>
      <c r="H96" s="920"/>
      <c r="I96" s="920"/>
      <c r="J96" s="920"/>
      <c r="K96" s="920"/>
      <c r="L96" s="920"/>
      <c r="M96" s="920"/>
      <c r="N96" s="920"/>
      <c r="O96" s="920"/>
      <c r="P96" s="920"/>
      <c r="Q96" s="920"/>
      <c r="R96" s="920"/>
      <c r="S96" s="920"/>
      <c r="T96" s="239"/>
      <c r="U96" s="920"/>
      <c r="V96" s="920"/>
      <c r="W96" s="920"/>
      <c r="X96" s="920"/>
      <c r="Y96" s="920"/>
      <c r="Z96" s="920"/>
      <c r="AA96" s="239"/>
      <c r="AB96" s="920"/>
      <c r="AC96" s="920"/>
      <c r="AD96" s="920"/>
      <c r="AE96" s="920"/>
      <c r="AF96" s="920"/>
      <c r="AG96" s="920"/>
      <c r="AH96" s="239">
        <f>AH89-AH92</f>
        <v>243</v>
      </c>
      <c r="AI96" s="920"/>
      <c r="AJ96" s="920"/>
      <c r="AK96" s="920"/>
      <c r="AL96" s="920"/>
      <c r="AM96" s="920"/>
      <c r="AN96" s="920"/>
      <c r="AO96" s="83">
        <f>AO89-AO92</f>
        <v>255</v>
      </c>
      <c r="AP96" s="920"/>
      <c r="AQ96" s="920"/>
      <c r="AR96" s="920"/>
      <c r="AS96" s="920"/>
      <c r="AT96" s="920"/>
      <c r="AU96" s="920"/>
      <c r="AV96" s="83"/>
      <c r="AW96" s="920"/>
      <c r="AX96" s="920"/>
      <c r="AY96" s="920"/>
      <c r="AZ96" s="920"/>
      <c r="BA96" s="920"/>
      <c r="BB96" s="920"/>
      <c r="BC96" s="83"/>
      <c r="BD96" s="920"/>
      <c r="BE96" s="920"/>
      <c r="BF96" s="920"/>
      <c r="BG96" s="920"/>
      <c r="BH96" s="920"/>
      <c r="BI96" s="920"/>
      <c r="BJ96" s="83"/>
      <c r="BK96" s="920"/>
      <c r="BL96" s="920"/>
      <c r="BM96" s="920"/>
      <c r="BN96" s="920"/>
      <c r="BO96" s="920"/>
      <c r="BP96" s="920"/>
      <c r="BQ96" s="83"/>
      <c r="BR96" s="920"/>
      <c r="BS96" s="920"/>
      <c r="BT96" s="920"/>
      <c r="BU96" s="920"/>
      <c r="BV96" s="920"/>
      <c r="BW96" s="920"/>
      <c r="BX96" s="83"/>
      <c r="BY96" s="920"/>
      <c r="BZ96" s="920"/>
      <c r="CA96" s="920"/>
      <c r="CB96" s="920"/>
      <c r="CC96" s="920"/>
      <c r="CD96" s="920"/>
      <c r="CE96" s="83"/>
      <c r="CF96" s="920"/>
      <c r="CG96" s="920"/>
      <c r="CH96" s="920"/>
      <c r="CI96" s="920"/>
      <c r="CJ96" s="920"/>
      <c r="CK96" s="920"/>
      <c r="CL96" s="83"/>
      <c r="CM96" s="920"/>
      <c r="CN96" s="920"/>
      <c r="CO96" s="920"/>
      <c r="CP96" s="920"/>
      <c r="CQ96" s="920"/>
      <c r="CR96" s="920"/>
      <c r="CS96" s="83"/>
      <c r="CT96" s="920"/>
      <c r="CU96" s="920"/>
      <c r="CV96" s="920"/>
      <c r="CW96" s="920"/>
      <c r="CX96" s="920"/>
      <c r="CY96" s="920"/>
      <c r="CZ96" s="83"/>
      <c r="DA96" s="920"/>
      <c r="DB96" s="920"/>
      <c r="DC96" s="920"/>
      <c r="DD96" s="920"/>
      <c r="DE96" s="920"/>
      <c r="DF96" s="920"/>
      <c r="DG96" s="83"/>
      <c r="DH96" s="920"/>
      <c r="DI96" s="920"/>
      <c r="DJ96" s="920"/>
      <c r="DK96" s="920"/>
      <c r="DL96" s="920"/>
      <c r="DM96" s="920"/>
      <c r="DN96" s="83"/>
      <c r="DO96" s="920"/>
      <c r="DP96" s="920"/>
      <c r="DQ96" s="920"/>
      <c r="DR96" s="920"/>
      <c r="DS96" s="920"/>
      <c r="DT96" s="920"/>
      <c r="DU96" s="83"/>
      <c r="DV96" s="920"/>
      <c r="DW96" s="920"/>
      <c r="DX96" s="920"/>
      <c r="DY96" s="920"/>
      <c r="DZ96" s="920"/>
      <c r="EA96" s="920"/>
      <c r="EB96" s="83"/>
      <c r="EC96" s="920"/>
      <c r="ED96" s="920"/>
      <c r="EE96" s="920"/>
      <c r="EF96" s="920"/>
      <c r="EG96" s="920"/>
      <c r="EH96" s="920"/>
      <c r="EI96" s="83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</row>
    <row r="97" spans="1:187" ht="10.5" customHeight="1" outlineLevel="1">
      <c r="A97" s="47"/>
      <c r="B97" s="918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81"/>
      <c r="U97" s="245"/>
      <c r="V97" s="245"/>
      <c r="W97" s="245"/>
      <c r="X97" s="245"/>
      <c r="Y97" s="245"/>
      <c r="Z97" s="245"/>
      <c r="AA97" s="81"/>
      <c r="AB97" s="245"/>
      <c r="AC97" s="245"/>
      <c r="AD97" s="245"/>
      <c r="AE97" s="245"/>
      <c r="AF97" s="245"/>
      <c r="AG97" s="245"/>
      <c r="AH97" s="81"/>
      <c r="AI97" s="245"/>
      <c r="AJ97" s="245"/>
      <c r="AK97" s="245"/>
      <c r="AL97" s="245"/>
      <c r="AM97" s="245"/>
      <c r="AN97" s="245"/>
      <c r="AO97" s="81"/>
      <c r="AP97" s="245"/>
      <c r="AQ97" s="245"/>
      <c r="AR97" s="245"/>
      <c r="AS97" s="245"/>
      <c r="AT97" s="245"/>
      <c r="AU97" s="245"/>
      <c r="AV97" s="81"/>
      <c r="AW97" s="245"/>
      <c r="AX97" s="245"/>
      <c r="AY97" s="245"/>
      <c r="AZ97" s="245"/>
      <c r="BA97" s="245"/>
      <c r="BB97" s="245"/>
      <c r="BC97" s="81"/>
      <c r="BD97" s="245"/>
      <c r="BE97" s="245"/>
      <c r="BF97" s="245"/>
      <c r="BG97" s="245"/>
      <c r="BH97" s="245"/>
      <c r="BI97" s="245"/>
      <c r="BJ97" s="81"/>
      <c r="BK97" s="245"/>
      <c r="BL97" s="245"/>
      <c r="BM97" s="245"/>
      <c r="BN97" s="245"/>
      <c r="BO97" s="245"/>
      <c r="BP97" s="245"/>
      <c r="BQ97" s="81"/>
      <c r="BR97" s="245"/>
      <c r="BS97" s="245"/>
      <c r="BT97" s="245"/>
      <c r="BU97" s="245"/>
      <c r="BV97" s="245"/>
      <c r="BW97" s="245"/>
      <c r="BX97" s="81"/>
      <c r="BY97" s="245"/>
      <c r="BZ97" s="245"/>
      <c r="CA97" s="245"/>
      <c r="CB97" s="245"/>
      <c r="CC97" s="245"/>
      <c r="CD97" s="245"/>
      <c r="CE97" s="81"/>
      <c r="CF97" s="245"/>
      <c r="CG97" s="245"/>
      <c r="CH97" s="245"/>
      <c r="CI97" s="245"/>
      <c r="CJ97" s="245"/>
      <c r="CK97" s="245"/>
      <c r="CL97" s="81"/>
      <c r="CM97" s="245"/>
      <c r="CN97" s="245"/>
      <c r="CO97" s="245"/>
      <c r="CP97" s="245"/>
      <c r="CQ97" s="245"/>
      <c r="CR97" s="245"/>
      <c r="CS97" s="81"/>
      <c r="CT97" s="245"/>
      <c r="CU97" s="245"/>
      <c r="CV97" s="245"/>
      <c r="CW97" s="245"/>
      <c r="CX97" s="245"/>
      <c r="CY97" s="245"/>
      <c r="CZ97" s="81"/>
      <c r="DA97" s="245"/>
      <c r="DB97" s="245"/>
      <c r="DC97" s="245"/>
      <c r="DD97" s="245"/>
      <c r="DE97" s="245"/>
      <c r="DF97" s="245"/>
      <c r="DG97" s="81"/>
      <c r="DH97" s="245"/>
      <c r="DI97" s="245"/>
      <c r="DJ97" s="245"/>
      <c r="DK97" s="245"/>
      <c r="DL97" s="245"/>
      <c r="DM97" s="245"/>
      <c r="DN97" s="81"/>
      <c r="DO97" s="245"/>
      <c r="DP97" s="245"/>
      <c r="DQ97" s="245"/>
      <c r="DR97" s="245"/>
      <c r="DS97" s="245"/>
      <c r="DT97" s="245"/>
      <c r="DU97" s="81"/>
      <c r="DV97" s="245"/>
      <c r="DW97" s="245"/>
      <c r="DX97" s="245"/>
      <c r="DY97" s="245"/>
      <c r="DZ97" s="245"/>
      <c r="EA97" s="245"/>
      <c r="EB97" s="81"/>
      <c r="EC97" s="245"/>
      <c r="ED97" s="245"/>
      <c r="EE97" s="245"/>
      <c r="EF97" s="245"/>
      <c r="EG97" s="245"/>
      <c r="EH97" s="245"/>
      <c r="EI97" s="81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</row>
    <row r="98" spans="1:187" ht="10.5" customHeight="1" outlineLevel="1">
      <c r="A98" s="47"/>
      <c r="B98" s="918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81"/>
      <c r="U98" s="245"/>
      <c r="V98" s="245"/>
      <c r="W98" s="245"/>
      <c r="X98" s="245"/>
      <c r="Y98" s="245"/>
      <c r="Z98" s="245"/>
      <c r="AA98" s="81"/>
      <c r="AB98" s="245"/>
      <c r="AC98" s="245"/>
      <c r="AD98" s="245"/>
      <c r="AE98" s="245"/>
      <c r="AF98" s="245"/>
      <c r="AG98" s="245"/>
      <c r="AH98" s="81"/>
      <c r="AI98" s="245"/>
      <c r="AJ98" s="245"/>
      <c r="AK98" s="245"/>
      <c r="AL98" s="245"/>
      <c r="AM98" s="245"/>
      <c r="AN98" s="245"/>
      <c r="AO98" s="81"/>
      <c r="AP98" s="245"/>
      <c r="AQ98" s="245"/>
      <c r="AR98" s="245"/>
      <c r="AS98" s="245"/>
      <c r="AT98" s="245"/>
      <c r="AU98" s="245"/>
      <c r="AV98" s="81"/>
      <c r="AW98" s="245"/>
      <c r="AX98" s="245"/>
      <c r="AY98" s="245"/>
      <c r="AZ98" s="245"/>
      <c r="BA98" s="245"/>
      <c r="BB98" s="245"/>
      <c r="BC98" s="81"/>
      <c r="BD98" s="245"/>
      <c r="BE98" s="245"/>
      <c r="BF98" s="245"/>
      <c r="BG98" s="245"/>
      <c r="BH98" s="245"/>
      <c r="BI98" s="245"/>
      <c r="BJ98" s="81"/>
      <c r="BK98" s="245"/>
      <c r="BL98" s="245"/>
      <c r="BM98" s="245"/>
      <c r="BN98" s="245"/>
      <c r="BO98" s="245"/>
      <c r="BP98" s="245"/>
      <c r="BQ98" s="81"/>
      <c r="BR98" s="245"/>
      <c r="BS98" s="245"/>
      <c r="BT98" s="245"/>
      <c r="BU98" s="245"/>
      <c r="BV98" s="245"/>
      <c r="BW98" s="245"/>
      <c r="BX98" s="81"/>
      <c r="BY98" s="245"/>
      <c r="BZ98" s="245"/>
      <c r="CA98" s="245"/>
      <c r="CB98" s="245"/>
      <c r="CC98" s="245"/>
      <c r="CD98" s="245"/>
      <c r="CE98" s="81"/>
      <c r="CF98" s="245"/>
      <c r="CG98" s="245"/>
      <c r="CH98" s="245"/>
      <c r="CI98" s="245"/>
      <c r="CJ98" s="245"/>
      <c r="CK98" s="245"/>
      <c r="CL98" s="81"/>
      <c r="CM98" s="245"/>
      <c r="CN98" s="245"/>
      <c r="CO98" s="245"/>
      <c r="CP98" s="245"/>
      <c r="CQ98" s="245"/>
      <c r="CR98" s="245"/>
      <c r="CS98" s="81"/>
      <c r="CT98" s="245"/>
      <c r="CU98" s="245"/>
      <c r="CV98" s="245"/>
      <c r="CW98" s="245"/>
      <c r="CX98" s="245"/>
      <c r="CY98" s="245"/>
      <c r="CZ98" s="81"/>
      <c r="DA98" s="245"/>
      <c r="DB98" s="245"/>
      <c r="DC98" s="245"/>
      <c r="DD98" s="245"/>
      <c r="DE98" s="245"/>
      <c r="DF98" s="245"/>
      <c r="DG98" s="81"/>
      <c r="DH98" s="245"/>
      <c r="DI98" s="245"/>
      <c r="DJ98" s="245"/>
      <c r="DK98" s="245"/>
      <c r="DL98" s="245"/>
      <c r="DM98" s="245"/>
      <c r="DN98" s="81"/>
      <c r="DO98" s="245"/>
      <c r="DP98" s="245"/>
      <c r="DQ98" s="245"/>
      <c r="DR98" s="245"/>
      <c r="DS98" s="245"/>
      <c r="DT98" s="245"/>
      <c r="DU98" s="81"/>
      <c r="DV98" s="245"/>
      <c r="DW98" s="245"/>
      <c r="DX98" s="245"/>
      <c r="DY98" s="245"/>
      <c r="DZ98" s="245"/>
      <c r="EA98" s="245"/>
      <c r="EB98" s="81"/>
      <c r="EC98" s="245"/>
      <c r="ED98" s="245"/>
      <c r="EE98" s="245"/>
      <c r="EF98" s="245"/>
      <c r="EG98" s="245"/>
      <c r="EH98" s="245"/>
      <c r="EI98" s="81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</row>
    <row r="99" spans="1:187" ht="10.5" customHeight="1" outlineLevel="1">
      <c r="A99" s="48" t="s">
        <v>320</v>
      </c>
      <c r="B99" s="166"/>
      <c r="C99" s="166"/>
      <c r="D99" s="166"/>
      <c r="E99" s="770"/>
      <c r="F99" s="770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</row>
    <row r="100" spans="1:187" ht="10.5" customHeight="1" outlineLevel="1">
      <c r="A100" s="43" t="s">
        <v>274</v>
      </c>
      <c r="B100" s="197">
        <v>500</v>
      </c>
      <c r="C100" s="197">
        <f t="shared" ref="C100:I102" si="858">B100*(1+C107)</f>
        <v>575</v>
      </c>
      <c r="D100" s="197">
        <f t="shared" si="858"/>
        <v>661.25</v>
      </c>
      <c r="E100" s="197">
        <f t="shared" si="858"/>
        <v>760.43749999999989</v>
      </c>
      <c r="F100" s="197">
        <f t="shared" si="858"/>
        <v>912.52499999999986</v>
      </c>
      <c r="G100" s="197">
        <f t="shared" si="858"/>
        <v>1095.0299999999997</v>
      </c>
      <c r="H100" s="197">
        <f t="shared" si="858"/>
        <v>1204.5329999999999</v>
      </c>
      <c r="I100" s="197">
        <f t="shared" si="858"/>
        <v>1324.9863</v>
      </c>
      <c r="J100" s="139">
        <f>J104*0.3</f>
        <v>1371</v>
      </c>
      <c r="K100" s="139">
        <f>K104-K103-K102-K101</f>
        <v>1484.7419999999997</v>
      </c>
      <c r="L100" s="139">
        <f>L104-SUM(L101:L103)</f>
        <v>1297.9755000000005</v>
      </c>
      <c r="M100" s="139"/>
      <c r="N100" s="139"/>
      <c r="O100" s="139"/>
      <c r="P100" s="139"/>
      <c r="Q100" s="139"/>
      <c r="R100" s="139"/>
      <c r="S100" s="139"/>
      <c r="T100" s="68"/>
      <c r="U100" s="139"/>
      <c r="V100" s="139"/>
      <c r="W100" s="139"/>
      <c r="X100" s="139"/>
      <c r="Y100" s="139"/>
      <c r="Z100" s="139"/>
      <c r="AA100" s="68"/>
      <c r="AB100" s="139"/>
      <c r="AC100" s="139"/>
      <c r="AD100" s="139"/>
      <c r="AE100" s="139"/>
      <c r="AF100" s="139"/>
      <c r="AG100" s="139"/>
      <c r="AH100" s="68"/>
      <c r="AI100" s="139"/>
      <c r="AJ100" s="139"/>
      <c r="AK100" s="139"/>
      <c r="AL100" s="139"/>
      <c r="AM100" s="139"/>
      <c r="AN100" s="139"/>
      <c r="AO100" s="68"/>
      <c r="AP100" s="139"/>
      <c r="AQ100" s="139"/>
      <c r="AR100" s="139"/>
      <c r="AS100" s="139"/>
      <c r="AT100" s="139"/>
      <c r="AU100" s="139"/>
      <c r="AV100" s="68"/>
      <c r="AW100" s="139"/>
      <c r="AX100" s="139"/>
      <c r="AY100" s="139"/>
      <c r="AZ100" s="139"/>
      <c r="BA100" s="139"/>
      <c r="BB100" s="139"/>
      <c r="BC100" s="68"/>
      <c r="BD100" s="139"/>
      <c r="BE100" s="139"/>
      <c r="BF100" s="139"/>
      <c r="BG100" s="139"/>
      <c r="BH100" s="139"/>
      <c r="BI100" s="139"/>
      <c r="BJ100" s="68"/>
      <c r="BK100" s="139"/>
      <c r="BL100" s="139"/>
      <c r="BM100" s="139"/>
      <c r="BN100" s="139"/>
      <c r="BO100" s="139"/>
      <c r="BP100" s="139"/>
      <c r="BQ100" s="68"/>
      <c r="BR100" s="139"/>
      <c r="BS100" s="139"/>
      <c r="BT100" s="139"/>
      <c r="BU100" s="139"/>
      <c r="BV100" s="139"/>
      <c r="BW100" s="139"/>
      <c r="BX100" s="68"/>
      <c r="BY100" s="139"/>
      <c r="BZ100" s="139"/>
      <c r="CA100" s="139"/>
      <c r="CB100" s="139"/>
      <c r="CC100" s="139"/>
      <c r="CD100" s="139"/>
      <c r="CE100" s="68"/>
      <c r="CF100" s="139"/>
      <c r="CG100" s="139"/>
      <c r="CH100" s="139"/>
      <c r="CI100" s="139"/>
      <c r="CJ100" s="139"/>
      <c r="CK100" s="139"/>
      <c r="CL100" s="68"/>
      <c r="CM100" s="139"/>
      <c r="CN100" s="139"/>
      <c r="CO100" s="139"/>
      <c r="CP100" s="139"/>
      <c r="CQ100" s="139"/>
      <c r="CR100" s="139"/>
      <c r="CS100" s="68"/>
      <c r="CT100" s="139"/>
      <c r="CU100" s="139"/>
      <c r="CV100" s="139"/>
      <c r="CW100" s="139"/>
      <c r="CX100" s="139"/>
      <c r="CY100" s="139"/>
      <c r="CZ100" s="68"/>
      <c r="DA100" s="139"/>
      <c r="DB100" s="139"/>
      <c r="DC100" s="139"/>
      <c r="DD100" s="139"/>
      <c r="DE100" s="139"/>
      <c r="DF100" s="139"/>
      <c r="DG100" s="68"/>
      <c r="DH100" s="139"/>
      <c r="DI100" s="139"/>
      <c r="DJ100" s="139"/>
      <c r="DK100" s="139"/>
      <c r="DL100" s="139"/>
      <c r="DM100" s="139"/>
      <c r="DN100" s="68"/>
      <c r="DO100" s="139"/>
      <c r="DP100" s="139"/>
      <c r="DQ100" s="139"/>
      <c r="DR100" s="139"/>
      <c r="DS100" s="139"/>
      <c r="DT100" s="139"/>
      <c r="DU100" s="68"/>
      <c r="DV100" s="139"/>
      <c r="DW100" s="139"/>
      <c r="DX100" s="139"/>
      <c r="DY100" s="139"/>
      <c r="DZ100" s="139"/>
      <c r="EA100" s="139"/>
      <c r="EB100" s="68"/>
      <c r="EC100" s="139"/>
      <c r="ED100" s="139"/>
      <c r="EE100" s="139"/>
      <c r="EF100" s="139"/>
      <c r="EG100" s="139"/>
      <c r="EH100" s="139"/>
      <c r="EI100" s="68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</row>
    <row r="101" spans="1:187" ht="10.5" customHeight="1" outlineLevel="1">
      <c r="A101" s="43" t="s">
        <v>275</v>
      </c>
      <c r="B101" s="197">
        <v>500</v>
      </c>
      <c r="C101" s="197">
        <f t="shared" si="858"/>
        <v>450</v>
      </c>
      <c r="D101" s="197">
        <f t="shared" si="858"/>
        <v>585</v>
      </c>
      <c r="E101" s="197">
        <f t="shared" si="858"/>
        <v>643.5</v>
      </c>
      <c r="F101" s="197">
        <f t="shared" si="858"/>
        <v>772.19999999999993</v>
      </c>
      <c r="G101" s="197">
        <f t="shared" si="858"/>
        <v>926.63999999999987</v>
      </c>
      <c r="H101" s="197">
        <f t="shared" si="858"/>
        <v>1111.9679999999998</v>
      </c>
      <c r="I101" s="197">
        <f t="shared" si="858"/>
        <v>1334.3615999999997</v>
      </c>
      <c r="J101" s="139">
        <f>J104*0.25</f>
        <v>1142.5</v>
      </c>
      <c r="K101" s="139">
        <f>K104*0.53*0.42</f>
        <v>1075.1579999999999</v>
      </c>
      <c r="L101" s="139">
        <f>L104*0.51*0.53</f>
        <v>1463.6745000000001</v>
      </c>
      <c r="M101" s="139"/>
      <c r="N101" s="139"/>
      <c r="O101" s="139"/>
      <c r="P101" s="139"/>
      <c r="Q101" s="139"/>
      <c r="R101" s="139"/>
      <c r="S101" s="139"/>
      <c r="T101" s="68"/>
      <c r="U101" s="139"/>
      <c r="V101" s="139"/>
      <c r="W101" s="139"/>
      <c r="X101" s="139"/>
      <c r="Y101" s="139"/>
      <c r="Z101" s="139"/>
      <c r="AA101" s="68"/>
      <c r="AB101" s="139"/>
      <c r="AC101" s="139"/>
      <c r="AD101" s="139"/>
      <c r="AE101" s="139"/>
      <c r="AF101" s="139"/>
      <c r="AG101" s="139"/>
      <c r="AH101" s="68"/>
      <c r="AI101" s="139"/>
      <c r="AJ101" s="139"/>
      <c r="AK101" s="139"/>
      <c r="AL101" s="139"/>
      <c r="AM101" s="139"/>
      <c r="AN101" s="139"/>
      <c r="AO101" s="68"/>
      <c r="AP101" s="139"/>
      <c r="AQ101" s="139"/>
      <c r="AR101" s="139"/>
      <c r="AS101" s="139"/>
      <c r="AT101" s="139"/>
      <c r="AU101" s="139"/>
      <c r="AV101" s="68"/>
      <c r="AW101" s="139"/>
      <c r="AX101" s="139"/>
      <c r="AY101" s="139"/>
      <c r="AZ101" s="139"/>
      <c r="BA101" s="139"/>
      <c r="BB101" s="139"/>
      <c r="BC101" s="68"/>
      <c r="BD101" s="139"/>
      <c r="BE101" s="139"/>
      <c r="BF101" s="139"/>
      <c r="BG101" s="139"/>
      <c r="BH101" s="139"/>
      <c r="BI101" s="139"/>
      <c r="BJ101" s="68"/>
      <c r="BK101" s="139"/>
      <c r="BL101" s="139"/>
      <c r="BM101" s="139"/>
      <c r="BN101" s="139"/>
      <c r="BO101" s="139"/>
      <c r="BP101" s="139"/>
      <c r="BQ101" s="68"/>
      <c r="BR101" s="139"/>
      <c r="BS101" s="139"/>
      <c r="BT101" s="139"/>
      <c r="BU101" s="139"/>
      <c r="BV101" s="139"/>
      <c r="BW101" s="139"/>
      <c r="BX101" s="68"/>
      <c r="BY101" s="139"/>
      <c r="BZ101" s="139"/>
      <c r="CA101" s="139"/>
      <c r="CB101" s="139"/>
      <c r="CC101" s="139"/>
      <c r="CD101" s="139"/>
      <c r="CE101" s="68"/>
      <c r="CF101" s="139"/>
      <c r="CG101" s="139"/>
      <c r="CH101" s="139"/>
      <c r="CI101" s="139"/>
      <c r="CJ101" s="139"/>
      <c r="CK101" s="139"/>
      <c r="CL101" s="68"/>
      <c r="CM101" s="139"/>
      <c r="CN101" s="139"/>
      <c r="CO101" s="139"/>
      <c r="CP101" s="139"/>
      <c r="CQ101" s="139"/>
      <c r="CR101" s="139"/>
      <c r="CS101" s="68"/>
      <c r="CT101" s="139"/>
      <c r="CU101" s="139"/>
      <c r="CV101" s="139"/>
      <c r="CW101" s="139"/>
      <c r="CX101" s="139"/>
      <c r="CY101" s="139"/>
      <c r="CZ101" s="68"/>
      <c r="DA101" s="139"/>
      <c r="DB101" s="139"/>
      <c r="DC101" s="139"/>
      <c r="DD101" s="139"/>
      <c r="DE101" s="139"/>
      <c r="DF101" s="139"/>
      <c r="DG101" s="68"/>
      <c r="DH101" s="139"/>
      <c r="DI101" s="139"/>
      <c r="DJ101" s="139"/>
      <c r="DK101" s="139"/>
      <c r="DL101" s="139"/>
      <c r="DM101" s="139"/>
      <c r="DN101" s="68"/>
      <c r="DO101" s="139"/>
      <c r="DP101" s="139"/>
      <c r="DQ101" s="139"/>
      <c r="DR101" s="139"/>
      <c r="DS101" s="139"/>
      <c r="DT101" s="139"/>
      <c r="DU101" s="68"/>
      <c r="DV101" s="139"/>
      <c r="DW101" s="139"/>
      <c r="DX101" s="139"/>
      <c r="DY101" s="139"/>
      <c r="DZ101" s="139"/>
      <c r="EA101" s="139"/>
      <c r="EB101" s="68"/>
      <c r="EC101" s="139"/>
      <c r="ED101" s="139"/>
      <c r="EE101" s="139"/>
      <c r="EF101" s="139"/>
      <c r="EG101" s="139"/>
      <c r="EH101" s="139"/>
      <c r="EI101" s="68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47"/>
      <c r="FG101" s="47"/>
      <c r="FH101" s="47"/>
      <c r="FI101" s="47"/>
      <c r="FJ101" s="47"/>
      <c r="FK101" s="47"/>
      <c r="FL101" s="47"/>
      <c r="FM101" s="47"/>
      <c r="FN101" s="47"/>
      <c r="FO101" s="47"/>
      <c r="FP101" s="47"/>
      <c r="FQ101" s="47"/>
      <c r="FR101" s="47"/>
      <c r="FS101" s="47"/>
      <c r="FT101" s="47"/>
      <c r="FU101" s="47"/>
      <c r="FV101" s="47"/>
      <c r="FW101" s="47"/>
      <c r="FX101" s="47"/>
      <c r="FY101" s="47"/>
      <c r="FZ101" s="47"/>
      <c r="GA101" s="47"/>
      <c r="GB101" s="47"/>
      <c r="GC101" s="47"/>
      <c r="GD101" s="47"/>
      <c r="GE101" s="47"/>
    </row>
    <row r="102" spans="1:187" ht="10.5" customHeight="1" outlineLevel="1">
      <c r="A102" s="108" t="s">
        <v>301</v>
      </c>
      <c r="B102" s="197">
        <v>750</v>
      </c>
      <c r="C102" s="197">
        <f t="shared" si="858"/>
        <v>787.5</v>
      </c>
      <c r="D102" s="197">
        <f t="shared" si="858"/>
        <v>826.875</v>
      </c>
      <c r="E102" s="197">
        <f t="shared" si="858"/>
        <v>909.56250000000011</v>
      </c>
      <c r="F102" s="197">
        <f t="shared" si="858"/>
        <v>1000.5187500000002</v>
      </c>
      <c r="G102" s="197">
        <f t="shared" si="858"/>
        <v>1100.5706250000003</v>
      </c>
      <c r="H102" s="197">
        <f t="shared" si="858"/>
        <v>1210.6276875000003</v>
      </c>
      <c r="I102" s="197">
        <f t="shared" si="858"/>
        <v>1331.6904562500004</v>
      </c>
      <c r="J102" s="139">
        <f>J104*0.35</f>
        <v>1599.5</v>
      </c>
      <c r="K102" s="139">
        <f>K104*0.36</f>
        <v>1738.8</v>
      </c>
      <c r="L102" s="139">
        <f>L104*0.38</f>
        <v>2057.6999999999998</v>
      </c>
      <c r="M102" s="139"/>
      <c r="N102" s="139"/>
      <c r="O102" s="139"/>
      <c r="P102" s="139"/>
      <c r="Q102" s="139"/>
      <c r="R102" s="139"/>
      <c r="S102" s="139"/>
      <c r="T102" s="68"/>
      <c r="U102" s="139"/>
      <c r="V102" s="139"/>
      <c r="W102" s="139"/>
      <c r="X102" s="139"/>
      <c r="Y102" s="139"/>
      <c r="Z102" s="139"/>
      <c r="AA102" s="68"/>
      <c r="AB102" s="139"/>
      <c r="AC102" s="139"/>
      <c r="AD102" s="139"/>
      <c r="AE102" s="139"/>
      <c r="AF102" s="139"/>
      <c r="AG102" s="139"/>
      <c r="AH102" s="68"/>
      <c r="AI102" s="139"/>
      <c r="AJ102" s="139"/>
      <c r="AK102" s="139"/>
      <c r="AL102" s="139"/>
      <c r="AM102" s="139"/>
      <c r="AN102" s="139"/>
      <c r="AO102" s="68"/>
      <c r="AP102" s="139"/>
      <c r="AQ102" s="139"/>
      <c r="AR102" s="139"/>
      <c r="AS102" s="139"/>
      <c r="AT102" s="139"/>
      <c r="AU102" s="139"/>
      <c r="AV102" s="68"/>
      <c r="AW102" s="139"/>
      <c r="AX102" s="139"/>
      <c r="AY102" s="139"/>
      <c r="AZ102" s="139"/>
      <c r="BA102" s="139"/>
      <c r="BB102" s="139"/>
      <c r="BC102" s="68"/>
      <c r="BD102" s="139"/>
      <c r="BE102" s="139"/>
      <c r="BF102" s="139"/>
      <c r="BG102" s="139"/>
      <c r="BH102" s="139"/>
      <c r="BI102" s="139"/>
      <c r="BJ102" s="68"/>
      <c r="BK102" s="139"/>
      <c r="BL102" s="139"/>
      <c r="BM102" s="139"/>
      <c r="BN102" s="139"/>
      <c r="BO102" s="139"/>
      <c r="BP102" s="139"/>
      <c r="BQ102" s="68"/>
      <c r="BR102" s="139"/>
      <c r="BS102" s="139"/>
      <c r="BT102" s="139"/>
      <c r="BU102" s="139"/>
      <c r="BV102" s="139"/>
      <c r="BW102" s="139"/>
      <c r="BX102" s="68"/>
      <c r="BY102" s="139"/>
      <c r="BZ102" s="139"/>
      <c r="CA102" s="139"/>
      <c r="CB102" s="139"/>
      <c r="CC102" s="139"/>
      <c r="CD102" s="139"/>
      <c r="CE102" s="68"/>
      <c r="CF102" s="139"/>
      <c r="CG102" s="139"/>
      <c r="CH102" s="139"/>
      <c r="CI102" s="139"/>
      <c r="CJ102" s="139"/>
      <c r="CK102" s="139"/>
      <c r="CL102" s="68"/>
      <c r="CM102" s="139"/>
      <c r="CN102" s="139"/>
      <c r="CO102" s="139"/>
      <c r="CP102" s="139"/>
      <c r="CQ102" s="139"/>
      <c r="CR102" s="139"/>
      <c r="CS102" s="68"/>
      <c r="CT102" s="139"/>
      <c r="CU102" s="139"/>
      <c r="CV102" s="139"/>
      <c r="CW102" s="139"/>
      <c r="CX102" s="139"/>
      <c r="CY102" s="139"/>
      <c r="CZ102" s="68"/>
      <c r="DA102" s="139"/>
      <c r="DB102" s="139"/>
      <c r="DC102" s="139"/>
      <c r="DD102" s="139"/>
      <c r="DE102" s="139"/>
      <c r="DF102" s="139"/>
      <c r="DG102" s="68"/>
      <c r="DH102" s="139"/>
      <c r="DI102" s="139"/>
      <c r="DJ102" s="139"/>
      <c r="DK102" s="139"/>
      <c r="DL102" s="139"/>
      <c r="DM102" s="139"/>
      <c r="DN102" s="68"/>
      <c r="DO102" s="139"/>
      <c r="DP102" s="139"/>
      <c r="DQ102" s="139"/>
      <c r="DR102" s="139"/>
      <c r="DS102" s="139"/>
      <c r="DT102" s="139"/>
      <c r="DU102" s="68"/>
      <c r="DV102" s="139"/>
      <c r="DW102" s="139"/>
      <c r="DX102" s="139"/>
      <c r="DY102" s="139"/>
      <c r="DZ102" s="139"/>
      <c r="EA102" s="139"/>
      <c r="EB102" s="68"/>
      <c r="EC102" s="139"/>
      <c r="ED102" s="139"/>
      <c r="EE102" s="139"/>
      <c r="EF102" s="139"/>
      <c r="EG102" s="139"/>
      <c r="EH102" s="139"/>
      <c r="EI102" s="68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47"/>
      <c r="FG102" s="47"/>
      <c r="FH102" s="47"/>
      <c r="FI102" s="47"/>
      <c r="FJ102" s="47"/>
      <c r="FK102" s="47"/>
      <c r="FL102" s="47"/>
      <c r="FM102" s="47"/>
      <c r="FN102" s="47"/>
      <c r="FO102" s="47"/>
      <c r="FP102" s="47"/>
      <c r="FQ102" s="47"/>
      <c r="FR102" s="47"/>
      <c r="FS102" s="47"/>
      <c r="FT102" s="47"/>
      <c r="FU102" s="47"/>
      <c r="FV102" s="47"/>
      <c r="FW102" s="47"/>
      <c r="FX102" s="47"/>
      <c r="FY102" s="47"/>
      <c r="FZ102" s="47"/>
      <c r="GA102" s="47"/>
      <c r="GB102" s="47"/>
      <c r="GC102" s="47"/>
      <c r="GD102" s="47"/>
      <c r="GE102" s="47"/>
    </row>
    <row r="103" spans="1:187" ht="10.5" customHeight="1" outlineLevel="1">
      <c r="A103" s="43" t="s">
        <v>277</v>
      </c>
      <c r="B103" s="926">
        <f t="shared" ref="B103:I103" si="859">B104-B102-B101-B100</f>
        <v>1035.75</v>
      </c>
      <c r="C103" s="926">
        <f t="shared" si="859"/>
        <v>871.29999999999973</v>
      </c>
      <c r="D103" s="926">
        <f t="shared" si="859"/>
        <v>512.875</v>
      </c>
      <c r="E103" s="926">
        <f t="shared" si="859"/>
        <v>472.50000000000011</v>
      </c>
      <c r="F103" s="926">
        <f t="shared" si="859"/>
        <v>525.75625000000014</v>
      </c>
      <c r="G103" s="926">
        <f t="shared" si="859"/>
        <v>680.75937500000009</v>
      </c>
      <c r="H103" s="926">
        <f t="shared" si="859"/>
        <v>644.87131249999993</v>
      </c>
      <c r="I103" s="926">
        <f t="shared" si="859"/>
        <v>494.96164374999989</v>
      </c>
      <c r="J103" s="140">
        <f>J104-J102-J101-J100</f>
        <v>457</v>
      </c>
      <c r="K103" s="140">
        <f>K104*0.11</f>
        <v>531.29999999999995</v>
      </c>
      <c r="L103" s="140">
        <f>L104*0.11</f>
        <v>595.65</v>
      </c>
      <c r="M103" s="140"/>
      <c r="N103" s="139"/>
      <c r="O103" s="139"/>
      <c r="P103" s="139"/>
      <c r="Q103" s="139"/>
      <c r="R103" s="139"/>
      <c r="S103" s="139"/>
      <c r="T103" s="68"/>
      <c r="U103" s="139"/>
      <c r="V103" s="139"/>
      <c r="W103" s="139"/>
      <c r="X103" s="139"/>
      <c r="Y103" s="139"/>
      <c r="Z103" s="139"/>
      <c r="AA103" s="68"/>
      <c r="AB103" s="139"/>
      <c r="AC103" s="139"/>
      <c r="AD103" s="139"/>
      <c r="AE103" s="139"/>
      <c r="AF103" s="139"/>
      <c r="AG103" s="139"/>
      <c r="AH103" s="68"/>
      <c r="AI103" s="139"/>
      <c r="AJ103" s="139"/>
      <c r="AK103" s="139"/>
      <c r="AL103" s="139"/>
      <c r="AM103" s="139"/>
      <c r="AN103" s="139"/>
      <c r="AO103" s="68"/>
      <c r="AP103" s="139"/>
      <c r="AQ103" s="139"/>
      <c r="AR103" s="139"/>
      <c r="AS103" s="139"/>
      <c r="AT103" s="139"/>
      <c r="AU103" s="139"/>
      <c r="AV103" s="68"/>
      <c r="AW103" s="139"/>
      <c r="AX103" s="139"/>
      <c r="AY103" s="139"/>
      <c r="AZ103" s="139"/>
      <c r="BA103" s="139"/>
      <c r="BB103" s="139"/>
      <c r="BC103" s="68"/>
      <c r="BD103" s="139"/>
      <c r="BE103" s="139"/>
      <c r="BF103" s="139"/>
      <c r="BG103" s="139"/>
      <c r="BH103" s="139"/>
      <c r="BI103" s="139"/>
      <c r="BJ103" s="68"/>
      <c r="BK103" s="139"/>
      <c r="BL103" s="139"/>
      <c r="BM103" s="139"/>
      <c r="BN103" s="139"/>
      <c r="BO103" s="139"/>
      <c r="BP103" s="139"/>
      <c r="BQ103" s="68"/>
      <c r="BR103" s="139"/>
      <c r="BS103" s="139"/>
      <c r="BT103" s="139"/>
      <c r="BU103" s="139"/>
      <c r="BV103" s="139"/>
      <c r="BW103" s="139"/>
      <c r="BX103" s="68"/>
      <c r="BY103" s="139"/>
      <c r="BZ103" s="139"/>
      <c r="CA103" s="139"/>
      <c r="CB103" s="139"/>
      <c r="CC103" s="139"/>
      <c r="CD103" s="139"/>
      <c r="CE103" s="68"/>
      <c r="CF103" s="139"/>
      <c r="CG103" s="139"/>
      <c r="CH103" s="139"/>
      <c r="CI103" s="139"/>
      <c r="CJ103" s="139"/>
      <c r="CK103" s="139"/>
      <c r="CL103" s="68"/>
      <c r="CM103" s="139"/>
      <c r="CN103" s="139"/>
      <c r="CO103" s="139"/>
      <c r="CP103" s="139"/>
      <c r="CQ103" s="139"/>
      <c r="CR103" s="139"/>
      <c r="CS103" s="68"/>
      <c r="CT103" s="139"/>
      <c r="CU103" s="139"/>
      <c r="CV103" s="139"/>
      <c r="CW103" s="139"/>
      <c r="CX103" s="139"/>
      <c r="CY103" s="139"/>
      <c r="CZ103" s="68"/>
      <c r="DA103" s="139"/>
      <c r="DB103" s="139"/>
      <c r="DC103" s="139"/>
      <c r="DD103" s="139"/>
      <c r="DE103" s="139"/>
      <c r="DF103" s="139"/>
      <c r="DG103" s="68"/>
      <c r="DH103" s="139"/>
      <c r="DI103" s="139"/>
      <c r="DJ103" s="139"/>
      <c r="DK103" s="139"/>
      <c r="DL103" s="139"/>
      <c r="DM103" s="139"/>
      <c r="DN103" s="68"/>
      <c r="DO103" s="139"/>
      <c r="DP103" s="139"/>
      <c r="DQ103" s="139"/>
      <c r="DR103" s="139"/>
      <c r="DS103" s="139"/>
      <c r="DT103" s="139"/>
      <c r="DU103" s="68"/>
      <c r="DV103" s="139"/>
      <c r="DW103" s="139"/>
      <c r="DX103" s="139"/>
      <c r="DY103" s="139"/>
      <c r="DZ103" s="139"/>
      <c r="EA103" s="139"/>
      <c r="EB103" s="68"/>
      <c r="EC103" s="139"/>
      <c r="ED103" s="139"/>
      <c r="EE103" s="139"/>
      <c r="EF103" s="139"/>
      <c r="EG103" s="139"/>
      <c r="EH103" s="139"/>
      <c r="EI103" s="68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47"/>
      <c r="FG103" s="47"/>
      <c r="FH103" s="47"/>
      <c r="FI103" s="47"/>
      <c r="FJ103" s="47"/>
      <c r="FK103" s="47"/>
      <c r="FL103" s="47"/>
      <c r="FM103" s="47"/>
      <c r="FN103" s="47"/>
      <c r="FO103" s="47"/>
      <c r="FP103" s="47"/>
      <c r="FQ103" s="47"/>
      <c r="FR103" s="47"/>
      <c r="FS103" s="47"/>
      <c r="FT103" s="47"/>
      <c r="FU103" s="47"/>
      <c r="FV103" s="47"/>
      <c r="FW103" s="47"/>
      <c r="FX103" s="47"/>
      <c r="FY103" s="47"/>
      <c r="FZ103" s="47"/>
      <c r="GA103" s="47"/>
      <c r="GB103" s="47"/>
      <c r="GC103" s="47"/>
      <c r="GD103" s="47"/>
      <c r="GE103" s="47"/>
    </row>
    <row r="104" spans="1:187" ht="10.5" customHeight="1" outlineLevel="1">
      <c r="A104" s="48" t="s">
        <v>298</v>
      </c>
      <c r="B104" s="58">
        <f t="shared" ref="B104:L104" si="860">B4</f>
        <v>2785.75</v>
      </c>
      <c r="C104" s="58">
        <f t="shared" si="860"/>
        <v>2683.7999999999997</v>
      </c>
      <c r="D104" s="58">
        <f t="shared" si="860"/>
        <v>2586</v>
      </c>
      <c r="E104" s="58">
        <f t="shared" si="860"/>
        <v>2786</v>
      </c>
      <c r="F104" s="58">
        <f t="shared" si="860"/>
        <v>3211</v>
      </c>
      <c r="G104" s="58">
        <f t="shared" si="860"/>
        <v>3803</v>
      </c>
      <c r="H104" s="58">
        <f t="shared" si="860"/>
        <v>4172</v>
      </c>
      <c r="I104" s="58">
        <f t="shared" si="860"/>
        <v>4486</v>
      </c>
      <c r="J104" s="58">
        <f t="shared" si="860"/>
        <v>4570</v>
      </c>
      <c r="K104" s="58">
        <f t="shared" si="860"/>
        <v>4830</v>
      </c>
      <c r="L104" s="55">
        <f t="shared" si="860"/>
        <v>5415</v>
      </c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  <c r="DV104" s="55"/>
      <c r="DW104" s="55"/>
      <c r="DX104" s="55"/>
      <c r="DY104" s="55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47"/>
      <c r="FG104" s="47"/>
      <c r="FH104" s="47"/>
      <c r="FI104" s="47"/>
      <c r="FJ104" s="47"/>
      <c r="FK104" s="47"/>
      <c r="FL104" s="47"/>
      <c r="FM104" s="47"/>
      <c r="FN104" s="47"/>
      <c r="FO104" s="47"/>
      <c r="FP104" s="47"/>
      <c r="FQ104" s="47"/>
      <c r="FR104" s="47"/>
      <c r="FS104" s="47"/>
      <c r="FT104" s="47"/>
      <c r="FU104" s="47"/>
      <c r="FV104" s="47"/>
      <c r="FW104" s="47"/>
      <c r="FX104" s="47"/>
      <c r="FY104" s="47"/>
      <c r="FZ104" s="47"/>
      <c r="GA104" s="47"/>
      <c r="GB104" s="47"/>
      <c r="GC104" s="47"/>
      <c r="GD104" s="47"/>
      <c r="GE104" s="47"/>
    </row>
    <row r="105" spans="1:187" ht="10.5" customHeight="1" outlineLevel="1">
      <c r="A105" s="51"/>
      <c r="B105" s="166"/>
      <c r="C105" s="166"/>
      <c r="D105" s="166"/>
      <c r="E105" s="770"/>
      <c r="F105" s="770"/>
      <c r="G105" s="54"/>
      <c r="H105" s="54"/>
      <c r="I105" s="54"/>
      <c r="J105" s="54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9"/>
      <c r="DM105" s="69"/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69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47"/>
      <c r="FG105" s="47"/>
      <c r="FH105" s="47"/>
      <c r="FI105" s="47"/>
      <c r="FJ105" s="47"/>
      <c r="FK105" s="47"/>
      <c r="FL105" s="47"/>
      <c r="FM105" s="47"/>
      <c r="FN105" s="47"/>
      <c r="FO105" s="47"/>
      <c r="FP105" s="47"/>
      <c r="FQ105" s="47"/>
      <c r="FR105" s="47"/>
      <c r="FS105" s="47"/>
      <c r="FT105" s="47"/>
      <c r="FU105" s="47"/>
      <c r="FV105" s="47"/>
      <c r="FW105" s="47"/>
      <c r="FX105" s="47"/>
      <c r="FY105" s="47"/>
      <c r="FZ105" s="47"/>
      <c r="GA105" s="47"/>
      <c r="GB105" s="47"/>
      <c r="GC105" s="47"/>
      <c r="GD105" s="47"/>
      <c r="GE105" s="47"/>
    </row>
    <row r="106" spans="1:187" ht="10.5" customHeight="1" outlineLevel="1">
      <c r="A106" s="48" t="s">
        <v>278</v>
      </c>
      <c r="B106" s="166"/>
      <c r="C106" s="166"/>
      <c r="D106" s="166"/>
      <c r="E106" s="770"/>
      <c r="F106" s="770"/>
      <c r="G106" s="54"/>
      <c r="H106" s="54"/>
      <c r="I106" s="54"/>
      <c r="J106" s="59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4"/>
      <c r="DW106" s="54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4"/>
      <c r="EI106" s="54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47"/>
      <c r="FG106" s="47"/>
      <c r="FH106" s="47"/>
      <c r="FI106" s="47"/>
      <c r="FJ106" s="47"/>
      <c r="FK106" s="47"/>
      <c r="FL106" s="47"/>
      <c r="FM106" s="47"/>
      <c r="FN106" s="47"/>
      <c r="FO106" s="47"/>
      <c r="FP106" s="47"/>
      <c r="FQ106" s="47"/>
      <c r="FR106" s="47"/>
      <c r="FS106" s="47"/>
      <c r="FT106" s="47"/>
      <c r="FU106" s="47"/>
      <c r="FV106" s="47"/>
      <c r="FW106" s="47"/>
      <c r="FX106" s="47"/>
      <c r="FY106" s="47"/>
      <c r="FZ106" s="47"/>
      <c r="GA106" s="47"/>
      <c r="GB106" s="47"/>
      <c r="GC106" s="47"/>
      <c r="GD106" s="47"/>
      <c r="GE106" s="47"/>
    </row>
    <row r="107" spans="1:187" ht="10.5" customHeight="1" outlineLevel="1">
      <c r="A107" s="43" t="s">
        <v>274</v>
      </c>
      <c r="B107" s="166"/>
      <c r="C107" s="142">
        <v>0.15</v>
      </c>
      <c r="D107" s="142">
        <v>0.15</v>
      </c>
      <c r="E107" s="142">
        <v>0.15</v>
      </c>
      <c r="F107" s="142">
        <v>0.2</v>
      </c>
      <c r="G107" s="142">
        <v>0.2</v>
      </c>
      <c r="H107" s="142">
        <v>0.1</v>
      </c>
      <c r="I107" s="142">
        <v>0.1</v>
      </c>
      <c r="J107" s="264">
        <f t="shared" ref="J107:L111" si="861">J100/I100-1</f>
        <v>3.4727679825821589E-2</v>
      </c>
      <c r="K107" s="264">
        <f t="shared" si="861"/>
        <v>8.2962800875273413E-2</v>
      </c>
      <c r="L107" s="264">
        <f t="shared" si="861"/>
        <v>-0.12579054138698798</v>
      </c>
      <c r="M107" s="264"/>
      <c r="N107" s="142"/>
      <c r="O107" s="142"/>
      <c r="P107" s="142"/>
      <c r="Q107" s="142"/>
      <c r="R107" s="142"/>
      <c r="S107" s="142"/>
      <c r="T107" s="177"/>
      <c r="U107" s="142"/>
      <c r="V107" s="142"/>
      <c r="W107" s="142"/>
      <c r="X107" s="142"/>
      <c r="Y107" s="142"/>
      <c r="Z107" s="142"/>
      <c r="AA107" s="177"/>
      <c r="AB107" s="142"/>
      <c r="AC107" s="142"/>
      <c r="AD107" s="142"/>
      <c r="AE107" s="142"/>
      <c r="AF107" s="142"/>
      <c r="AG107" s="142"/>
      <c r="AH107" s="177"/>
      <c r="AI107" s="142"/>
      <c r="AJ107" s="142"/>
      <c r="AK107" s="142"/>
      <c r="AL107" s="142"/>
      <c r="AM107" s="142"/>
      <c r="AN107" s="142"/>
      <c r="AO107" s="177"/>
      <c r="AP107" s="142"/>
      <c r="AQ107" s="142"/>
      <c r="AR107" s="142"/>
      <c r="AS107" s="142"/>
      <c r="AT107" s="142"/>
      <c r="AU107" s="142"/>
      <c r="AV107" s="177"/>
      <c r="AW107" s="142"/>
      <c r="AX107" s="142"/>
      <c r="AY107" s="142"/>
      <c r="AZ107" s="142"/>
      <c r="BA107" s="142"/>
      <c r="BB107" s="142"/>
      <c r="BC107" s="177"/>
      <c r="BD107" s="142"/>
      <c r="BE107" s="142"/>
      <c r="BF107" s="142"/>
      <c r="BG107" s="142"/>
      <c r="BH107" s="142"/>
      <c r="BI107" s="142"/>
      <c r="BJ107" s="177"/>
      <c r="BK107" s="142"/>
      <c r="BL107" s="142"/>
      <c r="BM107" s="142"/>
      <c r="BN107" s="142"/>
      <c r="BO107" s="142"/>
      <c r="BP107" s="142"/>
      <c r="BQ107" s="177"/>
      <c r="BR107" s="142"/>
      <c r="BS107" s="142"/>
      <c r="BT107" s="142"/>
      <c r="BU107" s="142"/>
      <c r="BV107" s="142"/>
      <c r="BW107" s="142"/>
      <c r="BX107" s="177"/>
      <c r="BY107" s="142"/>
      <c r="BZ107" s="142"/>
      <c r="CA107" s="142"/>
      <c r="CB107" s="142"/>
      <c r="CC107" s="142"/>
      <c r="CD107" s="142"/>
      <c r="CE107" s="177"/>
      <c r="CF107" s="142"/>
      <c r="CG107" s="142"/>
      <c r="CH107" s="142"/>
      <c r="CI107" s="142"/>
      <c r="CJ107" s="142"/>
      <c r="CK107" s="142"/>
      <c r="CL107" s="177"/>
      <c r="CM107" s="142"/>
      <c r="CN107" s="142"/>
      <c r="CO107" s="142"/>
      <c r="CP107" s="142"/>
      <c r="CQ107" s="142"/>
      <c r="CR107" s="142"/>
      <c r="CS107" s="177"/>
      <c r="CT107" s="142"/>
      <c r="CU107" s="142"/>
      <c r="CV107" s="142"/>
      <c r="CW107" s="142"/>
      <c r="CX107" s="142"/>
      <c r="CY107" s="142"/>
      <c r="CZ107" s="177"/>
      <c r="DA107" s="142"/>
      <c r="DB107" s="142"/>
      <c r="DC107" s="142"/>
      <c r="DD107" s="142"/>
      <c r="DE107" s="142"/>
      <c r="DF107" s="142"/>
      <c r="DG107" s="177"/>
      <c r="DH107" s="142"/>
      <c r="DI107" s="142"/>
      <c r="DJ107" s="142"/>
      <c r="DK107" s="142"/>
      <c r="DL107" s="142"/>
      <c r="DM107" s="142"/>
      <c r="DN107" s="177"/>
      <c r="DO107" s="142"/>
      <c r="DP107" s="142"/>
      <c r="DQ107" s="142"/>
      <c r="DR107" s="142"/>
      <c r="DS107" s="142"/>
      <c r="DT107" s="142"/>
      <c r="DU107" s="177"/>
      <c r="DV107" s="142"/>
      <c r="DW107" s="142"/>
      <c r="DX107" s="142"/>
      <c r="DY107" s="142"/>
      <c r="DZ107" s="142"/>
      <c r="EA107" s="142"/>
      <c r="EB107" s="177"/>
      <c r="EC107" s="142"/>
      <c r="ED107" s="142"/>
      <c r="EE107" s="142"/>
      <c r="EF107" s="142"/>
      <c r="EG107" s="142"/>
      <c r="EH107" s="142"/>
      <c r="EI107" s="177"/>
      <c r="EJ107" s="47"/>
      <c r="EK107" s="47"/>
      <c r="EL107" s="47"/>
      <c r="EM107" s="47"/>
      <c r="EN107" s="47"/>
      <c r="EO107" s="47"/>
      <c r="EP107" s="47"/>
      <c r="EQ107" s="47"/>
      <c r="ER107" s="47"/>
      <c r="ES107" s="47"/>
      <c r="ET107" s="47"/>
      <c r="EU107" s="47"/>
      <c r="EV107" s="47"/>
      <c r="EW107" s="47"/>
      <c r="EX107" s="47"/>
      <c r="EY107" s="47"/>
      <c r="EZ107" s="47"/>
      <c r="FA107" s="47"/>
      <c r="FB107" s="47"/>
      <c r="FC107" s="47"/>
      <c r="FD107" s="47"/>
      <c r="FE107" s="47"/>
      <c r="FF107" s="47"/>
      <c r="FG107" s="47"/>
      <c r="FH107" s="47"/>
      <c r="FI107" s="47"/>
      <c r="FJ107" s="47"/>
      <c r="FK107" s="47"/>
      <c r="FL107" s="47"/>
      <c r="FM107" s="47"/>
      <c r="FN107" s="47"/>
      <c r="FO107" s="47"/>
      <c r="FP107" s="47"/>
      <c r="FQ107" s="47"/>
      <c r="FR107" s="47"/>
      <c r="FS107" s="47"/>
      <c r="FT107" s="47"/>
      <c r="FU107" s="47"/>
      <c r="FV107" s="47"/>
      <c r="FW107" s="47"/>
      <c r="FX107" s="47"/>
      <c r="FY107" s="47"/>
      <c r="FZ107" s="47"/>
      <c r="GA107" s="47"/>
      <c r="GB107" s="47"/>
      <c r="GC107" s="47"/>
      <c r="GD107" s="47"/>
      <c r="GE107" s="47"/>
    </row>
    <row r="108" spans="1:187" ht="10.5" customHeight="1" outlineLevel="1">
      <c r="A108" s="43" t="s">
        <v>275</v>
      </c>
      <c r="B108" s="166"/>
      <c r="C108" s="142">
        <v>-0.1</v>
      </c>
      <c r="D108" s="142">
        <v>0.3</v>
      </c>
      <c r="E108" s="142">
        <v>0.1</v>
      </c>
      <c r="F108" s="142">
        <v>0.2</v>
      </c>
      <c r="G108" s="142">
        <v>0.2</v>
      </c>
      <c r="H108" s="142">
        <v>0.2</v>
      </c>
      <c r="I108" s="142">
        <v>0.2</v>
      </c>
      <c r="J108" s="264">
        <f t="shared" si="861"/>
        <v>-0.14378531276679407</v>
      </c>
      <c r="K108" s="264">
        <f t="shared" si="861"/>
        <v>-5.8942669584245211E-2</v>
      </c>
      <c r="L108" s="264">
        <f t="shared" si="861"/>
        <v>0.3613575865128662</v>
      </c>
      <c r="M108" s="264"/>
      <c r="N108" s="142"/>
      <c r="O108" s="142"/>
      <c r="P108" s="142"/>
      <c r="Q108" s="142"/>
      <c r="R108" s="142"/>
      <c r="S108" s="142"/>
      <c r="T108" s="177"/>
      <c r="U108" s="142"/>
      <c r="V108" s="142"/>
      <c r="W108" s="142"/>
      <c r="X108" s="142"/>
      <c r="Y108" s="142"/>
      <c r="Z108" s="142"/>
      <c r="AA108" s="177"/>
      <c r="AB108" s="142"/>
      <c r="AC108" s="142"/>
      <c r="AD108" s="142"/>
      <c r="AE108" s="142"/>
      <c r="AF108" s="142"/>
      <c r="AG108" s="142"/>
      <c r="AH108" s="177"/>
      <c r="AI108" s="142"/>
      <c r="AJ108" s="142"/>
      <c r="AK108" s="142"/>
      <c r="AL108" s="142"/>
      <c r="AM108" s="142"/>
      <c r="AN108" s="142"/>
      <c r="AO108" s="177"/>
      <c r="AP108" s="142"/>
      <c r="AQ108" s="142"/>
      <c r="AR108" s="142"/>
      <c r="AS108" s="142"/>
      <c r="AT108" s="142"/>
      <c r="AU108" s="142"/>
      <c r="AV108" s="177"/>
      <c r="AW108" s="142"/>
      <c r="AX108" s="142"/>
      <c r="AY108" s="142"/>
      <c r="AZ108" s="142"/>
      <c r="BA108" s="142"/>
      <c r="BB108" s="142"/>
      <c r="BC108" s="177"/>
      <c r="BD108" s="142"/>
      <c r="BE108" s="142"/>
      <c r="BF108" s="142"/>
      <c r="BG108" s="142"/>
      <c r="BH108" s="142"/>
      <c r="BI108" s="142"/>
      <c r="BJ108" s="177"/>
      <c r="BK108" s="142"/>
      <c r="BL108" s="142"/>
      <c r="BM108" s="142"/>
      <c r="BN108" s="142"/>
      <c r="BO108" s="142"/>
      <c r="BP108" s="142"/>
      <c r="BQ108" s="177"/>
      <c r="BR108" s="142"/>
      <c r="BS108" s="142"/>
      <c r="BT108" s="142"/>
      <c r="BU108" s="142"/>
      <c r="BV108" s="142"/>
      <c r="BW108" s="142"/>
      <c r="BX108" s="177"/>
      <c r="BY108" s="142"/>
      <c r="BZ108" s="142"/>
      <c r="CA108" s="142"/>
      <c r="CB108" s="142"/>
      <c r="CC108" s="142"/>
      <c r="CD108" s="142"/>
      <c r="CE108" s="177"/>
      <c r="CF108" s="142"/>
      <c r="CG108" s="142"/>
      <c r="CH108" s="142"/>
      <c r="CI108" s="142"/>
      <c r="CJ108" s="142"/>
      <c r="CK108" s="142"/>
      <c r="CL108" s="177"/>
      <c r="CM108" s="142"/>
      <c r="CN108" s="142"/>
      <c r="CO108" s="142"/>
      <c r="CP108" s="142"/>
      <c r="CQ108" s="142"/>
      <c r="CR108" s="142"/>
      <c r="CS108" s="177"/>
      <c r="CT108" s="142"/>
      <c r="CU108" s="142"/>
      <c r="CV108" s="142"/>
      <c r="CW108" s="142"/>
      <c r="CX108" s="142"/>
      <c r="CY108" s="142"/>
      <c r="CZ108" s="177"/>
      <c r="DA108" s="142"/>
      <c r="DB108" s="142"/>
      <c r="DC108" s="142"/>
      <c r="DD108" s="142"/>
      <c r="DE108" s="142"/>
      <c r="DF108" s="142"/>
      <c r="DG108" s="177"/>
      <c r="DH108" s="142"/>
      <c r="DI108" s="142"/>
      <c r="DJ108" s="142"/>
      <c r="DK108" s="142"/>
      <c r="DL108" s="142"/>
      <c r="DM108" s="142"/>
      <c r="DN108" s="177"/>
      <c r="DO108" s="142"/>
      <c r="DP108" s="142"/>
      <c r="DQ108" s="142"/>
      <c r="DR108" s="142"/>
      <c r="DS108" s="142"/>
      <c r="DT108" s="142"/>
      <c r="DU108" s="177"/>
      <c r="DV108" s="142"/>
      <c r="DW108" s="142"/>
      <c r="DX108" s="142"/>
      <c r="DY108" s="142"/>
      <c r="DZ108" s="142"/>
      <c r="EA108" s="142"/>
      <c r="EB108" s="177"/>
      <c r="EC108" s="142"/>
      <c r="ED108" s="142"/>
      <c r="EE108" s="142"/>
      <c r="EF108" s="142"/>
      <c r="EG108" s="142"/>
      <c r="EH108" s="142"/>
      <c r="EI108" s="177"/>
      <c r="EJ108" s="47"/>
      <c r="EK108" s="47"/>
      <c r="EL108" s="47"/>
      <c r="EM108" s="47"/>
      <c r="EN108" s="47"/>
      <c r="EO108" s="47"/>
      <c r="EP108" s="47"/>
      <c r="EQ108" s="47"/>
      <c r="ER108" s="47"/>
      <c r="ES108" s="47"/>
      <c r="ET108" s="47"/>
      <c r="EU108" s="47"/>
      <c r="EV108" s="47"/>
      <c r="EW108" s="47"/>
      <c r="EX108" s="47"/>
      <c r="EY108" s="47"/>
      <c r="EZ108" s="47"/>
      <c r="FA108" s="47"/>
      <c r="FB108" s="47"/>
      <c r="FC108" s="47"/>
      <c r="FD108" s="47"/>
      <c r="FE108" s="47"/>
      <c r="FF108" s="47"/>
      <c r="FG108" s="47"/>
      <c r="FH108" s="47"/>
      <c r="FI108" s="47"/>
      <c r="FJ108" s="47"/>
      <c r="FK108" s="47"/>
      <c r="FL108" s="47"/>
      <c r="FM108" s="47"/>
      <c r="FN108" s="47"/>
      <c r="FO108" s="47"/>
      <c r="FP108" s="47"/>
      <c r="FQ108" s="47"/>
      <c r="FR108" s="47"/>
      <c r="FS108" s="47"/>
      <c r="FT108" s="47"/>
      <c r="FU108" s="47"/>
      <c r="FV108" s="47"/>
      <c r="FW108" s="47"/>
      <c r="FX108" s="47"/>
      <c r="FY108" s="47"/>
      <c r="FZ108" s="47"/>
      <c r="GA108" s="47"/>
      <c r="GB108" s="47"/>
      <c r="GC108" s="47"/>
      <c r="GD108" s="47"/>
      <c r="GE108" s="47"/>
    </row>
    <row r="109" spans="1:187" ht="10.5" customHeight="1" outlineLevel="1">
      <c r="A109" s="108" t="s">
        <v>301</v>
      </c>
      <c r="B109" s="166"/>
      <c r="C109" s="142">
        <v>0.05</v>
      </c>
      <c r="D109" s="142">
        <v>0.05</v>
      </c>
      <c r="E109" s="142">
        <v>0.1</v>
      </c>
      <c r="F109" s="142">
        <v>0.1</v>
      </c>
      <c r="G109" s="142">
        <v>0.1</v>
      </c>
      <c r="H109" s="142">
        <v>0.1</v>
      </c>
      <c r="I109" s="142">
        <v>0.1</v>
      </c>
      <c r="J109" s="264">
        <f t="shared" si="861"/>
        <v>0.20110495084882052</v>
      </c>
      <c r="K109" s="264">
        <f t="shared" si="861"/>
        <v>8.7089715536105006E-2</v>
      </c>
      <c r="L109" s="264">
        <f t="shared" si="861"/>
        <v>0.18340234644582454</v>
      </c>
      <c r="M109" s="264"/>
      <c r="N109" s="142"/>
      <c r="O109" s="142"/>
      <c r="P109" s="142"/>
      <c r="Q109" s="142"/>
      <c r="R109" s="142"/>
      <c r="S109" s="142"/>
      <c r="T109" s="177"/>
      <c r="U109" s="142"/>
      <c r="V109" s="142"/>
      <c r="W109" s="142"/>
      <c r="X109" s="142"/>
      <c r="Y109" s="142"/>
      <c r="Z109" s="142"/>
      <c r="AA109" s="177"/>
      <c r="AB109" s="142"/>
      <c r="AC109" s="142"/>
      <c r="AD109" s="142"/>
      <c r="AE109" s="142"/>
      <c r="AF109" s="142"/>
      <c r="AG109" s="142"/>
      <c r="AH109" s="177"/>
      <c r="AI109" s="142"/>
      <c r="AJ109" s="142"/>
      <c r="AK109" s="142"/>
      <c r="AL109" s="142"/>
      <c r="AM109" s="142"/>
      <c r="AN109" s="142"/>
      <c r="AO109" s="177"/>
      <c r="AP109" s="142"/>
      <c r="AQ109" s="142"/>
      <c r="AR109" s="142"/>
      <c r="AS109" s="142"/>
      <c r="AT109" s="142"/>
      <c r="AU109" s="142"/>
      <c r="AV109" s="177"/>
      <c r="AW109" s="142"/>
      <c r="AX109" s="142"/>
      <c r="AY109" s="142"/>
      <c r="AZ109" s="142"/>
      <c r="BA109" s="142"/>
      <c r="BB109" s="142"/>
      <c r="BC109" s="177"/>
      <c r="BD109" s="142"/>
      <c r="BE109" s="142"/>
      <c r="BF109" s="142"/>
      <c r="BG109" s="142"/>
      <c r="BH109" s="142"/>
      <c r="BI109" s="142"/>
      <c r="BJ109" s="177"/>
      <c r="BK109" s="142"/>
      <c r="BL109" s="142"/>
      <c r="BM109" s="142"/>
      <c r="BN109" s="142"/>
      <c r="BO109" s="142"/>
      <c r="BP109" s="142"/>
      <c r="BQ109" s="177"/>
      <c r="BR109" s="142"/>
      <c r="BS109" s="142"/>
      <c r="BT109" s="142"/>
      <c r="BU109" s="142"/>
      <c r="BV109" s="142"/>
      <c r="BW109" s="142"/>
      <c r="BX109" s="177"/>
      <c r="BY109" s="142"/>
      <c r="BZ109" s="142"/>
      <c r="CA109" s="142"/>
      <c r="CB109" s="142"/>
      <c r="CC109" s="142"/>
      <c r="CD109" s="142"/>
      <c r="CE109" s="177"/>
      <c r="CF109" s="142"/>
      <c r="CG109" s="142"/>
      <c r="CH109" s="142"/>
      <c r="CI109" s="142"/>
      <c r="CJ109" s="142"/>
      <c r="CK109" s="142"/>
      <c r="CL109" s="177"/>
      <c r="CM109" s="142"/>
      <c r="CN109" s="142"/>
      <c r="CO109" s="142"/>
      <c r="CP109" s="142"/>
      <c r="CQ109" s="142"/>
      <c r="CR109" s="142"/>
      <c r="CS109" s="177"/>
      <c r="CT109" s="142"/>
      <c r="CU109" s="142"/>
      <c r="CV109" s="142"/>
      <c r="CW109" s="142"/>
      <c r="CX109" s="142"/>
      <c r="CY109" s="142"/>
      <c r="CZ109" s="177"/>
      <c r="DA109" s="142"/>
      <c r="DB109" s="142"/>
      <c r="DC109" s="142"/>
      <c r="DD109" s="142"/>
      <c r="DE109" s="142"/>
      <c r="DF109" s="142"/>
      <c r="DG109" s="177"/>
      <c r="DH109" s="142"/>
      <c r="DI109" s="142"/>
      <c r="DJ109" s="142"/>
      <c r="DK109" s="142"/>
      <c r="DL109" s="142"/>
      <c r="DM109" s="142"/>
      <c r="DN109" s="177"/>
      <c r="DO109" s="142"/>
      <c r="DP109" s="142"/>
      <c r="DQ109" s="142"/>
      <c r="DR109" s="142"/>
      <c r="DS109" s="142"/>
      <c r="DT109" s="142"/>
      <c r="DU109" s="177"/>
      <c r="DV109" s="142"/>
      <c r="DW109" s="142"/>
      <c r="DX109" s="142"/>
      <c r="DY109" s="142"/>
      <c r="DZ109" s="142"/>
      <c r="EA109" s="142"/>
      <c r="EB109" s="177"/>
      <c r="EC109" s="142"/>
      <c r="ED109" s="142"/>
      <c r="EE109" s="142"/>
      <c r="EF109" s="142"/>
      <c r="EG109" s="142"/>
      <c r="EH109" s="142"/>
      <c r="EI109" s="177"/>
      <c r="EJ109" s="47"/>
      <c r="EK109" s="47"/>
      <c r="EL109" s="47"/>
      <c r="EM109" s="47"/>
      <c r="EN109" s="47"/>
      <c r="EO109" s="47"/>
      <c r="EP109" s="47"/>
      <c r="EQ109" s="47"/>
      <c r="ER109" s="47"/>
      <c r="ES109" s="47"/>
      <c r="ET109" s="47"/>
      <c r="EU109" s="47"/>
      <c r="EV109" s="47"/>
      <c r="EW109" s="47"/>
      <c r="EX109" s="47"/>
      <c r="EY109" s="47"/>
      <c r="EZ109" s="47"/>
      <c r="FA109" s="47"/>
      <c r="FB109" s="47"/>
      <c r="FC109" s="47"/>
      <c r="FD109" s="47"/>
      <c r="FE109" s="47"/>
      <c r="FF109" s="47"/>
      <c r="FG109" s="47"/>
      <c r="FH109" s="47"/>
      <c r="FI109" s="47"/>
      <c r="FJ109" s="47"/>
      <c r="FK109" s="47"/>
      <c r="FL109" s="47"/>
      <c r="FM109" s="47"/>
      <c r="FN109" s="47"/>
      <c r="FO109" s="47"/>
      <c r="FP109" s="47"/>
      <c r="FQ109" s="47"/>
      <c r="FR109" s="47"/>
      <c r="FS109" s="47"/>
      <c r="FT109" s="47"/>
      <c r="FU109" s="47"/>
      <c r="FV109" s="47"/>
      <c r="FW109" s="47"/>
      <c r="FX109" s="47"/>
      <c r="FY109" s="47"/>
      <c r="FZ109" s="47"/>
      <c r="GA109" s="47"/>
      <c r="GB109" s="47"/>
      <c r="GC109" s="47"/>
      <c r="GD109" s="47"/>
      <c r="GE109" s="47"/>
    </row>
    <row r="110" spans="1:187" ht="10.5" customHeight="1" outlineLevel="1">
      <c r="A110" s="43" t="s">
        <v>277</v>
      </c>
      <c r="B110" s="927"/>
      <c r="C110" s="143">
        <f t="shared" ref="C110:I111" si="862">C103/B103-1</f>
        <v>-0.15877383538498702</v>
      </c>
      <c r="D110" s="143">
        <f t="shared" si="862"/>
        <v>-0.41136807069895542</v>
      </c>
      <c r="E110" s="143">
        <f t="shared" si="862"/>
        <v>-7.8722885693394806E-2</v>
      </c>
      <c r="F110" s="143">
        <f t="shared" si="862"/>
        <v>0.11271164021164015</v>
      </c>
      <c r="G110" s="143">
        <f t="shared" si="862"/>
        <v>0.2948193673399031</v>
      </c>
      <c r="H110" s="143">
        <f t="shared" si="862"/>
        <v>-5.2717691181263793E-2</v>
      </c>
      <c r="I110" s="143">
        <f t="shared" si="862"/>
        <v>-0.23246447135140635</v>
      </c>
      <c r="J110" s="928">
        <f t="shared" si="861"/>
        <v>-7.6696132375812853E-2</v>
      </c>
      <c r="K110" s="928">
        <f t="shared" si="861"/>
        <v>0.16258205689277894</v>
      </c>
      <c r="L110" s="928">
        <f t="shared" si="861"/>
        <v>0.12111801242236031</v>
      </c>
      <c r="M110" s="928"/>
      <c r="N110" s="142"/>
      <c r="O110" s="142"/>
      <c r="P110" s="142"/>
      <c r="Q110" s="142"/>
      <c r="R110" s="142"/>
      <c r="S110" s="142"/>
      <c r="T110" s="70"/>
      <c r="U110" s="142"/>
      <c r="V110" s="142"/>
      <c r="W110" s="142"/>
      <c r="X110" s="142"/>
      <c r="Y110" s="142"/>
      <c r="Z110" s="142"/>
      <c r="AA110" s="70"/>
      <c r="AB110" s="142"/>
      <c r="AC110" s="142"/>
      <c r="AD110" s="142"/>
      <c r="AE110" s="142"/>
      <c r="AF110" s="142"/>
      <c r="AG110" s="142"/>
      <c r="AH110" s="70"/>
      <c r="AI110" s="142"/>
      <c r="AJ110" s="142"/>
      <c r="AK110" s="142"/>
      <c r="AL110" s="142"/>
      <c r="AM110" s="142"/>
      <c r="AN110" s="142"/>
      <c r="AO110" s="70"/>
      <c r="AP110" s="142"/>
      <c r="AQ110" s="142"/>
      <c r="AR110" s="142"/>
      <c r="AS110" s="142"/>
      <c r="AT110" s="142"/>
      <c r="AU110" s="142"/>
      <c r="AV110" s="70"/>
      <c r="AW110" s="142"/>
      <c r="AX110" s="142"/>
      <c r="AY110" s="142"/>
      <c r="AZ110" s="142"/>
      <c r="BA110" s="142"/>
      <c r="BB110" s="142"/>
      <c r="BC110" s="70"/>
      <c r="BD110" s="142"/>
      <c r="BE110" s="142"/>
      <c r="BF110" s="142"/>
      <c r="BG110" s="142"/>
      <c r="BH110" s="142"/>
      <c r="BI110" s="142"/>
      <c r="BJ110" s="70"/>
      <c r="BK110" s="142"/>
      <c r="BL110" s="142"/>
      <c r="BM110" s="142"/>
      <c r="BN110" s="142"/>
      <c r="BO110" s="142"/>
      <c r="BP110" s="142"/>
      <c r="BQ110" s="70"/>
      <c r="BR110" s="142"/>
      <c r="BS110" s="142"/>
      <c r="BT110" s="142"/>
      <c r="BU110" s="142"/>
      <c r="BV110" s="142"/>
      <c r="BW110" s="142"/>
      <c r="BX110" s="70"/>
      <c r="BY110" s="142"/>
      <c r="BZ110" s="142"/>
      <c r="CA110" s="142"/>
      <c r="CB110" s="142"/>
      <c r="CC110" s="142"/>
      <c r="CD110" s="142"/>
      <c r="CE110" s="70"/>
      <c r="CF110" s="142"/>
      <c r="CG110" s="142"/>
      <c r="CH110" s="142"/>
      <c r="CI110" s="142"/>
      <c r="CJ110" s="142"/>
      <c r="CK110" s="142"/>
      <c r="CL110" s="70"/>
      <c r="CM110" s="142"/>
      <c r="CN110" s="142"/>
      <c r="CO110" s="142"/>
      <c r="CP110" s="142"/>
      <c r="CQ110" s="142"/>
      <c r="CR110" s="142"/>
      <c r="CS110" s="70"/>
      <c r="CT110" s="142"/>
      <c r="CU110" s="142"/>
      <c r="CV110" s="142"/>
      <c r="CW110" s="142"/>
      <c r="CX110" s="142"/>
      <c r="CY110" s="142"/>
      <c r="CZ110" s="70"/>
      <c r="DA110" s="142"/>
      <c r="DB110" s="142"/>
      <c r="DC110" s="142"/>
      <c r="DD110" s="142"/>
      <c r="DE110" s="142"/>
      <c r="DF110" s="142"/>
      <c r="DG110" s="70"/>
      <c r="DH110" s="142"/>
      <c r="DI110" s="142"/>
      <c r="DJ110" s="142"/>
      <c r="DK110" s="142"/>
      <c r="DL110" s="142"/>
      <c r="DM110" s="142"/>
      <c r="DN110" s="70"/>
      <c r="DO110" s="142"/>
      <c r="DP110" s="142"/>
      <c r="DQ110" s="142"/>
      <c r="DR110" s="142"/>
      <c r="DS110" s="142"/>
      <c r="DT110" s="142"/>
      <c r="DU110" s="70"/>
      <c r="DV110" s="142"/>
      <c r="DW110" s="142"/>
      <c r="DX110" s="142"/>
      <c r="DY110" s="142"/>
      <c r="DZ110" s="142"/>
      <c r="EA110" s="142"/>
      <c r="EB110" s="70"/>
      <c r="EC110" s="142"/>
      <c r="ED110" s="142"/>
      <c r="EE110" s="142"/>
      <c r="EF110" s="142"/>
      <c r="EG110" s="142"/>
      <c r="EH110" s="142"/>
      <c r="EI110" s="70"/>
      <c r="EJ110" s="47"/>
      <c r="EK110" s="47"/>
      <c r="EL110" s="47"/>
      <c r="EM110" s="47"/>
      <c r="EN110" s="47"/>
      <c r="EO110" s="47"/>
      <c r="EP110" s="47"/>
      <c r="EQ110" s="47"/>
      <c r="ER110" s="47"/>
      <c r="ES110" s="47"/>
      <c r="ET110" s="47"/>
      <c r="EU110" s="47"/>
      <c r="EV110" s="47"/>
      <c r="EW110" s="47"/>
      <c r="EX110" s="47"/>
      <c r="EY110" s="47"/>
      <c r="EZ110" s="47"/>
      <c r="FA110" s="47"/>
      <c r="FB110" s="47"/>
      <c r="FC110" s="47"/>
      <c r="FD110" s="47"/>
      <c r="FE110" s="47"/>
      <c r="FF110" s="47"/>
      <c r="FG110" s="47"/>
      <c r="FH110" s="47"/>
      <c r="FI110" s="47"/>
      <c r="FJ110" s="47"/>
      <c r="FK110" s="47"/>
      <c r="FL110" s="47"/>
      <c r="FM110" s="47"/>
      <c r="FN110" s="47"/>
      <c r="FO110" s="47"/>
      <c r="FP110" s="47"/>
      <c r="FQ110" s="47"/>
      <c r="FR110" s="47"/>
      <c r="FS110" s="47"/>
      <c r="FT110" s="47"/>
      <c r="FU110" s="47"/>
      <c r="FV110" s="47"/>
      <c r="FW110" s="47"/>
      <c r="FX110" s="47"/>
      <c r="FY110" s="47"/>
      <c r="FZ110" s="47"/>
      <c r="GA110" s="47"/>
      <c r="GB110" s="47"/>
      <c r="GC110" s="47"/>
      <c r="GD110" s="47"/>
      <c r="GE110" s="47"/>
    </row>
    <row r="111" spans="1:187" ht="10.5" customHeight="1" outlineLevel="1">
      <c r="A111" s="48" t="s">
        <v>146</v>
      </c>
      <c r="B111" s="69"/>
      <c r="C111" s="69">
        <f t="shared" si="862"/>
        <v>-3.6596966705555123E-2</v>
      </c>
      <c r="D111" s="69">
        <f t="shared" si="862"/>
        <v>-3.6440867426782875E-2</v>
      </c>
      <c r="E111" s="69">
        <f t="shared" si="862"/>
        <v>7.7339520494972946E-2</v>
      </c>
      <c r="F111" s="69">
        <f t="shared" si="862"/>
        <v>0.15254845656855709</v>
      </c>
      <c r="G111" s="69">
        <f t="shared" si="862"/>
        <v>0.18436624104640309</v>
      </c>
      <c r="H111" s="69">
        <f t="shared" si="862"/>
        <v>9.7028661582960751E-2</v>
      </c>
      <c r="I111" s="69">
        <f t="shared" si="862"/>
        <v>7.5263662511984686E-2</v>
      </c>
      <c r="J111" s="69">
        <f t="shared" si="861"/>
        <v>1.8724921979491826E-2</v>
      </c>
      <c r="K111" s="69">
        <f t="shared" si="861"/>
        <v>5.6892778993435478E-2</v>
      </c>
      <c r="L111" s="69">
        <f t="shared" si="861"/>
        <v>0.12111801242236031</v>
      </c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69"/>
      <c r="DK111" s="69"/>
      <c r="DL111" s="69"/>
      <c r="DM111" s="69"/>
      <c r="DN111" s="69"/>
      <c r="DO111" s="69"/>
      <c r="DP111" s="69"/>
      <c r="DQ111" s="69"/>
      <c r="DR111" s="69"/>
      <c r="DS111" s="69"/>
      <c r="DT111" s="69"/>
      <c r="DU111" s="69"/>
      <c r="DV111" s="69"/>
      <c r="DW111" s="69"/>
      <c r="DX111" s="69"/>
      <c r="DY111" s="69"/>
      <c r="DZ111" s="69"/>
      <c r="EA111" s="69"/>
      <c r="EB111" s="69"/>
      <c r="EC111" s="69"/>
      <c r="ED111" s="69"/>
      <c r="EE111" s="69"/>
      <c r="EF111" s="69"/>
      <c r="EG111" s="69"/>
      <c r="EH111" s="69"/>
      <c r="EI111" s="69"/>
      <c r="EJ111" s="47"/>
      <c r="EK111" s="47"/>
      <c r="EL111" s="47"/>
      <c r="EM111" s="47"/>
      <c r="EN111" s="47"/>
      <c r="EO111" s="47"/>
      <c r="EP111" s="47"/>
      <c r="EQ111" s="47"/>
      <c r="ER111" s="47"/>
      <c r="ES111" s="47"/>
      <c r="ET111" s="47"/>
      <c r="EU111" s="47"/>
      <c r="EV111" s="47"/>
      <c r="EW111" s="47"/>
      <c r="EX111" s="47"/>
      <c r="EY111" s="47"/>
      <c r="EZ111" s="47"/>
      <c r="FA111" s="47"/>
      <c r="FB111" s="47"/>
      <c r="FC111" s="47"/>
      <c r="FD111" s="47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7"/>
      <c r="FP111" s="47"/>
      <c r="FQ111" s="47"/>
      <c r="FR111" s="47"/>
      <c r="FS111" s="47"/>
      <c r="FT111" s="47"/>
      <c r="FU111" s="47"/>
      <c r="FV111" s="47"/>
      <c r="FW111" s="47"/>
      <c r="FX111" s="47"/>
      <c r="FY111" s="47"/>
      <c r="FZ111" s="47"/>
      <c r="GA111" s="47"/>
      <c r="GB111" s="47"/>
      <c r="GC111" s="47"/>
      <c r="GD111" s="47"/>
      <c r="GE111" s="47"/>
    </row>
    <row r="112" spans="1:187" ht="10.5" customHeight="1" outlineLevel="1">
      <c r="A112" s="51"/>
      <c r="B112" s="166"/>
      <c r="C112" s="166"/>
      <c r="D112" s="166"/>
      <c r="E112" s="770"/>
      <c r="F112" s="770"/>
      <c r="G112" s="54"/>
      <c r="H112" s="54"/>
      <c r="I112" s="54"/>
      <c r="J112" s="59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47"/>
      <c r="EK112" s="47"/>
      <c r="EL112" s="47"/>
      <c r="EM112" s="47"/>
      <c r="EN112" s="47"/>
      <c r="EO112" s="47"/>
      <c r="EP112" s="47"/>
      <c r="EQ112" s="47"/>
      <c r="ER112" s="47"/>
      <c r="ES112" s="47"/>
      <c r="ET112" s="47"/>
      <c r="EU112" s="47"/>
      <c r="EV112" s="47"/>
      <c r="EW112" s="47"/>
      <c r="EX112" s="47"/>
      <c r="EY112" s="47"/>
      <c r="EZ112" s="47"/>
      <c r="FA112" s="47"/>
      <c r="FB112" s="47"/>
      <c r="FC112" s="47"/>
      <c r="FD112" s="47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7"/>
      <c r="FP112" s="47"/>
      <c r="FQ112" s="47"/>
      <c r="FR112" s="47"/>
      <c r="FS112" s="47"/>
      <c r="FT112" s="47"/>
      <c r="FU112" s="47"/>
      <c r="FV112" s="47"/>
      <c r="FW112" s="47"/>
      <c r="FX112" s="47"/>
      <c r="FY112" s="47"/>
      <c r="FZ112" s="47"/>
      <c r="GA112" s="47"/>
      <c r="GB112" s="47"/>
      <c r="GC112" s="47"/>
      <c r="GD112" s="47"/>
      <c r="GE112" s="47"/>
    </row>
    <row r="113" spans="1:187" ht="10.5" customHeight="1" outlineLevel="1">
      <c r="A113" s="48" t="s">
        <v>300</v>
      </c>
      <c r="B113" s="166"/>
      <c r="C113" s="166"/>
      <c r="D113" s="166"/>
      <c r="E113" s="770"/>
      <c r="F113" s="770"/>
      <c r="G113" s="54"/>
      <c r="H113" s="54"/>
      <c r="I113" s="54"/>
      <c r="J113" s="59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  <c r="EA113" s="54"/>
      <c r="EB113" s="54"/>
      <c r="EC113" s="54"/>
      <c r="ED113" s="54"/>
      <c r="EE113" s="54"/>
      <c r="EF113" s="54"/>
      <c r="EG113" s="54"/>
      <c r="EH113" s="54"/>
      <c r="EI113" s="54"/>
      <c r="EJ113" s="47"/>
      <c r="EK113" s="47"/>
      <c r="EL113" s="47"/>
      <c r="EM113" s="47"/>
      <c r="EN113" s="163"/>
      <c r="EO113" s="163"/>
      <c r="EP113" s="47"/>
      <c r="EQ113" s="47"/>
      <c r="ER113" s="47"/>
      <c r="ES113" s="47"/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7"/>
      <c r="GB113" s="47"/>
      <c r="GC113" s="47"/>
      <c r="GD113" s="47"/>
      <c r="GE113" s="47"/>
    </row>
    <row r="114" spans="1:187" ht="10.5" customHeight="1" outlineLevel="1">
      <c r="A114" s="43" t="s">
        <v>274</v>
      </c>
      <c r="B114" s="166"/>
      <c r="C114" s="166"/>
      <c r="D114" s="929">
        <f t="shared" ref="D114:L114" si="863">D122*D100</f>
        <v>26.45</v>
      </c>
      <c r="E114" s="929">
        <f t="shared" si="863"/>
        <v>30.417499999999997</v>
      </c>
      <c r="F114" s="929">
        <f t="shared" si="863"/>
        <v>36.500999999999998</v>
      </c>
      <c r="G114" s="929">
        <f t="shared" si="863"/>
        <v>32.850899999999989</v>
      </c>
      <c r="H114" s="929">
        <f t="shared" si="863"/>
        <v>36.135989999999993</v>
      </c>
      <c r="I114" s="929">
        <f t="shared" si="863"/>
        <v>39.749589</v>
      </c>
      <c r="J114" s="929">
        <f t="shared" si="863"/>
        <v>27.42</v>
      </c>
      <c r="K114" s="929">
        <f t="shared" si="863"/>
        <v>14.847419999999998</v>
      </c>
      <c r="L114" s="929">
        <f t="shared" si="863"/>
        <v>12.979755000000004</v>
      </c>
      <c r="M114" s="929"/>
      <c r="N114" s="929"/>
      <c r="O114" s="929"/>
      <c r="P114" s="929"/>
      <c r="Q114" s="929"/>
      <c r="R114" s="929"/>
      <c r="S114" s="929"/>
      <c r="T114" s="65"/>
      <c r="U114" s="929"/>
      <c r="V114" s="929"/>
      <c r="W114" s="929"/>
      <c r="X114" s="929"/>
      <c r="Y114" s="929"/>
      <c r="Z114" s="929"/>
      <c r="AA114" s="65"/>
      <c r="AB114" s="929"/>
      <c r="AC114" s="929"/>
      <c r="AD114" s="929"/>
      <c r="AE114" s="929"/>
      <c r="AF114" s="929"/>
      <c r="AG114" s="929"/>
      <c r="AH114" s="65"/>
      <c r="AI114" s="929"/>
      <c r="AJ114" s="929"/>
      <c r="AK114" s="929"/>
      <c r="AL114" s="929"/>
      <c r="AM114" s="929"/>
      <c r="AN114" s="929"/>
      <c r="AO114" s="65"/>
      <c r="AP114" s="929"/>
      <c r="AQ114" s="929"/>
      <c r="AR114" s="929"/>
      <c r="AS114" s="929"/>
      <c r="AT114" s="929"/>
      <c r="AU114" s="929"/>
      <c r="AV114" s="65"/>
      <c r="AW114" s="929"/>
      <c r="AX114" s="929"/>
      <c r="AY114" s="929"/>
      <c r="AZ114" s="929"/>
      <c r="BA114" s="929"/>
      <c r="BB114" s="929"/>
      <c r="BC114" s="65"/>
      <c r="BD114" s="929"/>
      <c r="BE114" s="929"/>
      <c r="BF114" s="929"/>
      <c r="BG114" s="929"/>
      <c r="BH114" s="929"/>
      <c r="BI114" s="929"/>
      <c r="BJ114" s="65"/>
      <c r="BK114" s="929"/>
      <c r="BL114" s="929"/>
      <c r="BM114" s="929"/>
      <c r="BN114" s="929"/>
      <c r="BO114" s="929"/>
      <c r="BP114" s="929"/>
      <c r="BQ114" s="65"/>
      <c r="BR114" s="929"/>
      <c r="BS114" s="929"/>
      <c r="BT114" s="929"/>
      <c r="BU114" s="929"/>
      <c r="BV114" s="929"/>
      <c r="BW114" s="929"/>
      <c r="BX114" s="65"/>
      <c r="BY114" s="929"/>
      <c r="BZ114" s="929"/>
      <c r="CA114" s="929"/>
      <c r="CB114" s="929"/>
      <c r="CC114" s="929"/>
      <c r="CD114" s="929"/>
      <c r="CE114" s="65"/>
      <c r="CF114" s="929"/>
      <c r="CG114" s="929"/>
      <c r="CH114" s="929"/>
      <c r="CI114" s="929"/>
      <c r="CJ114" s="929"/>
      <c r="CK114" s="929"/>
      <c r="CL114" s="65"/>
      <c r="CM114" s="929"/>
      <c r="CN114" s="929"/>
      <c r="CO114" s="929"/>
      <c r="CP114" s="929"/>
      <c r="CQ114" s="929"/>
      <c r="CR114" s="929"/>
      <c r="CS114" s="65"/>
      <c r="CT114" s="929"/>
      <c r="CU114" s="929"/>
      <c r="CV114" s="929"/>
      <c r="CW114" s="929"/>
      <c r="CX114" s="929"/>
      <c r="CY114" s="929"/>
      <c r="CZ114" s="65"/>
      <c r="DA114" s="929"/>
      <c r="DB114" s="929"/>
      <c r="DC114" s="929"/>
      <c r="DD114" s="929"/>
      <c r="DE114" s="929"/>
      <c r="DF114" s="929"/>
      <c r="DG114" s="65"/>
      <c r="DH114" s="929"/>
      <c r="DI114" s="929"/>
      <c r="DJ114" s="929"/>
      <c r="DK114" s="929"/>
      <c r="DL114" s="929"/>
      <c r="DM114" s="929"/>
      <c r="DN114" s="65"/>
      <c r="DO114" s="929"/>
      <c r="DP114" s="929"/>
      <c r="DQ114" s="929"/>
      <c r="DR114" s="929"/>
      <c r="DS114" s="929"/>
      <c r="DT114" s="929"/>
      <c r="DU114" s="65"/>
      <c r="DV114" s="929"/>
      <c r="DW114" s="929"/>
      <c r="DX114" s="929"/>
      <c r="DY114" s="929"/>
      <c r="DZ114" s="929"/>
      <c r="EA114" s="929"/>
      <c r="EB114" s="65"/>
      <c r="EC114" s="929"/>
      <c r="ED114" s="929"/>
      <c r="EE114" s="929"/>
      <c r="EF114" s="929"/>
      <c r="EG114" s="929"/>
      <c r="EH114" s="929"/>
      <c r="EI114" s="65"/>
      <c r="EJ114" s="47"/>
      <c r="EK114" s="47"/>
      <c r="EL114" s="47"/>
      <c r="EM114" s="47"/>
      <c r="EN114" s="47"/>
      <c r="EO114" s="47"/>
      <c r="EP114" s="47"/>
      <c r="EQ114" s="47"/>
      <c r="ER114" s="47"/>
      <c r="ES114" s="47"/>
      <c r="ET114" s="47"/>
      <c r="EU114" s="47"/>
      <c r="EV114" s="47"/>
      <c r="EW114" s="47"/>
      <c r="EX114" s="47"/>
      <c r="EY114" s="47"/>
      <c r="EZ114" s="47"/>
      <c r="FA114" s="47"/>
      <c r="FB114" s="47"/>
      <c r="FC114" s="47"/>
      <c r="FD114" s="47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7"/>
      <c r="FP114" s="47"/>
      <c r="FQ114" s="47"/>
      <c r="FR114" s="47"/>
      <c r="FS114" s="47"/>
      <c r="FT114" s="47"/>
      <c r="FU114" s="47"/>
      <c r="FV114" s="47"/>
      <c r="FW114" s="47"/>
      <c r="FX114" s="47"/>
      <c r="FY114" s="47"/>
      <c r="FZ114" s="47"/>
      <c r="GA114" s="47"/>
      <c r="GB114" s="47"/>
      <c r="GC114" s="47"/>
      <c r="GD114" s="47"/>
      <c r="GE114" s="47"/>
    </row>
    <row r="115" spans="1:187" ht="10.5" customHeight="1" outlineLevel="1">
      <c r="A115" s="43" t="s">
        <v>275</v>
      </c>
      <c r="B115" s="166"/>
      <c r="C115" s="166"/>
      <c r="D115" s="929">
        <f t="shared" ref="D115:L115" si="864">D123*D101</f>
        <v>17.55</v>
      </c>
      <c r="E115" s="929">
        <f t="shared" si="864"/>
        <v>19.305</v>
      </c>
      <c r="F115" s="929">
        <f t="shared" si="864"/>
        <v>30.887999999999998</v>
      </c>
      <c r="G115" s="929">
        <f t="shared" si="864"/>
        <v>46.331999999999994</v>
      </c>
      <c r="H115" s="929">
        <f t="shared" si="864"/>
        <v>55.598399999999998</v>
      </c>
      <c r="I115" s="929">
        <f t="shared" si="864"/>
        <v>80.061695999999984</v>
      </c>
      <c r="J115" s="929">
        <f t="shared" si="864"/>
        <v>34.274999999999999</v>
      </c>
      <c r="K115" s="929">
        <f t="shared" si="864"/>
        <v>32.254739999999998</v>
      </c>
      <c r="L115" s="929">
        <f t="shared" si="864"/>
        <v>43.910235</v>
      </c>
      <c r="M115" s="929"/>
      <c r="N115" s="929"/>
      <c r="O115" s="929"/>
      <c r="P115" s="929"/>
      <c r="Q115" s="929"/>
      <c r="R115" s="929"/>
      <c r="S115" s="929"/>
      <c r="T115" s="65"/>
      <c r="U115" s="929"/>
      <c r="V115" s="929"/>
      <c r="W115" s="929"/>
      <c r="X115" s="929"/>
      <c r="Y115" s="929"/>
      <c r="Z115" s="929"/>
      <c r="AA115" s="65"/>
      <c r="AB115" s="929"/>
      <c r="AC115" s="929"/>
      <c r="AD115" s="929"/>
      <c r="AE115" s="929"/>
      <c r="AF115" s="929"/>
      <c r="AG115" s="929"/>
      <c r="AH115" s="65"/>
      <c r="AI115" s="929"/>
      <c r="AJ115" s="929"/>
      <c r="AK115" s="929"/>
      <c r="AL115" s="929"/>
      <c r="AM115" s="929"/>
      <c r="AN115" s="929"/>
      <c r="AO115" s="65"/>
      <c r="AP115" s="929"/>
      <c r="AQ115" s="929"/>
      <c r="AR115" s="929"/>
      <c r="AS115" s="929"/>
      <c r="AT115" s="929"/>
      <c r="AU115" s="929"/>
      <c r="AV115" s="65"/>
      <c r="AW115" s="929"/>
      <c r="AX115" s="929"/>
      <c r="AY115" s="929"/>
      <c r="AZ115" s="929"/>
      <c r="BA115" s="929"/>
      <c r="BB115" s="929"/>
      <c r="BC115" s="65"/>
      <c r="BD115" s="929"/>
      <c r="BE115" s="929"/>
      <c r="BF115" s="929"/>
      <c r="BG115" s="929"/>
      <c r="BH115" s="929"/>
      <c r="BI115" s="929"/>
      <c r="BJ115" s="65"/>
      <c r="BK115" s="929"/>
      <c r="BL115" s="929"/>
      <c r="BM115" s="929"/>
      <c r="BN115" s="929"/>
      <c r="BO115" s="929"/>
      <c r="BP115" s="929"/>
      <c r="BQ115" s="65"/>
      <c r="BR115" s="929"/>
      <c r="BS115" s="929"/>
      <c r="BT115" s="929"/>
      <c r="BU115" s="929"/>
      <c r="BV115" s="929"/>
      <c r="BW115" s="929"/>
      <c r="BX115" s="65"/>
      <c r="BY115" s="929"/>
      <c r="BZ115" s="929"/>
      <c r="CA115" s="929"/>
      <c r="CB115" s="929"/>
      <c r="CC115" s="929"/>
      <c r="CD115" s="929"/>
      <c r="CE115" s="65"/>
      <c r="CF115" s="929"/>
      <c r="CG115" s="929"/>
      <c r="CH115" s="929"/>
      <c r="CI115" s="929"/>
      <c r="CJ115" s="929"/>
      <c r="CK115" s="929"/>
      <c r="CL115" s="65"/>
      <c r="CM115" s="929"/>
      <c r="CN115" s="929"/>
      <c r="CO115" s="929"/>
      <c r="CP115" s="929"/>
      <c r="CQ115" s="929"/>
      <c r="CR115" s="929"/>
      <c r="CS115" s="65"/>
      <c r="CT115" s="929"/>
      <c r="CU115" s="929"/>
      <c r="CV115" s="929"/>
      <c r="CW115" s="929"/>
      <c r="CX115" s="929"/>
      <c r="CY115" s="929"/>
      <c r="CZ115" s="65"/>
      <c r="DA115" s="929"/>
      <c r="DB115" s="929"/>
      <c r="DC115" s="929"/>
      <c r="DD115" s="929"/>
      <c r="DE115" s="929"/>
      <c r="DF115" s="929"/>
      <c r="DG115" s="65"/>
      <c r="DH115" s="929"/>
      <c r="DI115" s="929"/>
      <c r="DJ115" s="929"/>
      <c r="DK115" s="929"/>
      <c r="DL115" s="929"/>
      <c r="DM115" s="929"/>
      <c r="DN115" s="65"/>
      <c r="DO115" s="929"/>
      <c r="DP115" s="929"/>
      <c r="DQ115" s="929"/>
      <c r="DR115" s="929"/>
      <c r="DS115" s="929"/>
      <c r="DT115" s="929"/>
      <c r="DU115" s="65"/>
      <c r="DV115" s="929"/>
      <c r="DW115" s="929"/>
      <c r="DX115" s="929"/>
      <c r="DY115" s="929"/>
      <c r="DZ115" s="929"/>
      <c r="EA115" s="929"/>
      <c r="EB115" s="65"/>
      <c r="EC115" s="929"/>
      <c r="ED115" s="929"/>
      <c r="EE115" s="929"/>
      <c r="EF115" s="929"/>
      <c r="EG115" s="929"/>
      <c r="EH115" s="929"/>
      <c r="EI115" s="65"/>
      <c r="EJ115" s="47"/>
      <c r="EK115" s="47"/>
      <c r="EL115" s="47"/>
      <c r="EM115" s="47"/>
      <c r="EN115" s="47"/>
      <c r="EO115" s="47"/>
      <c r="EP115" s="47"/>
      <c r="EQ115" s="47"/>
      <c r="ER115" s="47"/>
      <c r="ES115" s="47"/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47"/>
      <c r="FO115" s="47"/>
      <c r="FP115" s="47"/>
      <c r="FQ115" s="47"/>
      <c r="FR115" s="47"/>
      <c r="FS115" s="47"/>
      <c r="FT115" s="47"/>
      <c r="FU115" s="47"/>
      <c r="FV115" s="47"/>
      <c r="FW115" s="47"/>
      <c r="FX115" s="47"/>
      <c r="FY115" s="47"/>
      <c r="FZ115" s="47"/>
      <c r="GA115" s="47"/>
      <c r="GB115" s="47"/>
      <c r="GC115" s="47"/>
      <c r="GD115" s="47"/>
      <c r="GE115" s="47"/>
    </row>
    <row r="116" spans="1:187" ht="10.5" customHeight="1" outlineLevel="1">
      <c r="A116" s="43" t="s">
        <v>276</v>
      </c>
      <c r="B116" s="166"/>
      <c r="C116" s="166"/>
      <c r="D116" s="929">
        <f t="shared" ref="D116:L116" si="865">D124*D102</f>
        <v>57.881250000000009</v>
      </c>
      <c r="E116" s="929">
        <f t="shared" si="865"/>
        <v>63.669375000000016</v>
      </c>
      <c r="F116" s="929">
        <f t="shared" si="865"/>
        <v>70.036312500000022</v>
      </c>
      <c r="G116" s="929">
        <f t="shared" si="865"/>
        <v>77.039943750000035</v>
      </c>
      <c r="H116" s="929">
        <f t="shared" si="865"/>
        <v>84.743938125000028</v>
      </c>
      <c r="I116" s="929">
        <f t="shared" si="865"/>
        <v>93.218331937500039</v>
      </c>
      <c r="J116" s="929">
        <f t="shared" si="865"/>
        <v>111.96500000000002</v>
      </c>
      <c r="K116" s="929">
        <f t="shared" si="865"/>
        <v>121.71600000000001</v>
      </c>
      <c r="L116" s="929">
        <f t="shared" si="865"/>
        <v>144.03899999999999</v>
      </c>
      <c r="M116" s="929"/>
      <c r="N116" s="929"/>
      <c r="O116" s="929"/>
      <c r="P116" s="929"/>
      <c r="Q116" s="929"/>
      <c r="R116" s="929"/>
      <c r="S116" s="929"/>
      <c r="T116" s="65"/>
      <c r="U116" s="929"/>
      <c r="V116" s="929"/>
      <c r="W116" s="929"/>
      <c r="X116" s="929"/>
      <c r="Y116" s="929"/>
      <c r="Z116" s="929"/>
      <c r="AA116" s="65"/>
      <c r="AB116" s="929"/>
      <c r="AC116" s="929"/>
      <c r="AD116" s="929"/>
      <c r="AE116" s="929"/>
      <c r="AF116" s="929"/>
      <c r="AG116" s="929"/>
      <c r="AH116" s="65"/>
      <c r="AI116" s="929"/>
      <c r="AJ116" s="929"/>
      <c r="AK116" s="929"/>
      <c r="AL116" s="929"/>
      <c r="AM116" s="929"/>
      <c r="AN116" s="929"/>
      <c r="AO116" s="65"/>
      <c r="AP116" s="929"/>
      <c r="AQ116" s="929"/>
      <c r="AR116" s="929"/>
      <c r="AS116" s="929"/>
      <c r="AT116" s="929"/>
      <c r="AU116" s="929"/>
      <c r="AV116" s="65"/>
      <c r="AW116" s="929"/>
      <c r="AX116" s="929"/>
      <c r="AY116" s="929"/>
      <c r="AZ116" s="929"/>
      <c r="BA116" s="929"/>
      <c r="BB116" s="929"/>
      <c r="BC116" s="65"/>
      <c r="BD116" s="929"/>
      <c r="BE116" s="929"/>
      <c r="BF116" s="929"/>
      <c r="BG116" s="929"/>
      <c r="BH116" s="929"/>
      <c r="BI116" s="929"/>
      <c r="BJ116" s="65"/>
      <c r="BK116" s="929"/>
      <c r="BL116" s="929"/>
      <c r="BM116" s="929"/>
      <c r="BN116" s="929"/>
      <c r="BO116" s="929"/>
      <c r="BP116" s="929"/>
      <c r="BQ116" s="65"/>
      <c r="BR116" s="929"/>
      <c r="BS116" s="929"/>
      <c r="BT116" s="929"/>
      <c r="BU116" s="929"/>
      <c r="BV116" s="929"/>
      <c r="BW116" s="929"/>
      <c r="BX116" s="65"/>
      <c r="BY116" s="929"/>
      <c r="BZ116" s="929"/>
      <c r="CA116" s="929"/>
      <c r="CB116" s="929"/>
      <c r="CC116" s="929"/>
      <c r="CD116" s="929"/>
      <c r="CE116" s="65"/>
      <c r="CF116" s="929"/>
      <c r="CG116" s="929"/>
      <c r="CH116" s="929"/>
      <c r="CI116" s="929"/>
      <c r="CJ116" s="929"/>
      <c r="CK116" s="929"/>
      <c r="CL116" s="65"/>
      <c r="CM116" s="929"/>
      <c r="CN116" s="929"/>
      <c r="CO116" s="929"/>
      <c r="CP116" s="929"/>
      <c r="CQ116" s="929"/>
      <c r="CR116" s="929"/>
      <c r="CS116" s="65"/>
      <c r="CT116" s="929"/>
      <c r="CU116" s="929"/>
      <c r="CV116" s="929"/>
      <c r="CW116" s="929"/>
      <c r="CX116" s="929"/>
      <c r="CY116" s="929"/>
      <c r="CZ116" s="65"/>
      <c r="DA116" s="929"/>
      <c r="DB116" s="929"/>
      <c r="DC116" s="929"/>
      <c r="DD116" s="929"/>
      <c r="DE116" s="929"/>
      <c r="DF116" s="929"/>
      <c r="DG116" s="65"/>
      <c r="DH116" s="929"/>
      <c r="DI116" s="929"/>
      <c r="DJ116" s="929"/>
      <c r="DK116" s="929"/>
      <c r="DL116" s="929"/>
      <c r="DM116" s="929"/>
      <c r="DN116" s="65"/>
      <c r="DO116" s="929"/>
      <c r="DP116" s="929"/>
      <c r="DQ116" s="929"/>
      <c r="DR116" s="929"/>
      <c r="DS116" s="929"/>
      <c r="DT116" s="929"/>
      <c r="DU116" s="65"/>
      <c r="DV116" s="929"/>
      <c r="DW116" s="929"/>
      <c r="DX116" s="929"/>
      <c r="DY116" s="929"/>
      <c r="DZ116" s="929"/>
      <c r="EA116" s="929"/>
      <c r="EB116" s="65"/>
      <c r="EC116" s="929"/>
      <c r="ED116" s="929"/>
      <c r="EE116" s="929"/>
      <c r="EF116" s="929"/>
      <c r="EG116" s="929"/>
      <c r="EH116" s="929"/>
      <c r="EI116" s="65"/>
      <c r="EJ116" s="47"/>
      <c r="EK116" s="47"/>
      <c r="EL116" s="47"/>
      <c r="EM116" s="47"/>
      <c r="EN116" s="47"/>
      <c r="EO116" s="47"/>
      <c r="EP116" s="47"/>
      <c r="EQ116" s="47"/>
      <c r="ER116" s="47"/>
      <c r="ES116" s="47"/>
      <c r="ET116" s="47"/>
      <c r="EU116" s="47"/>
      <c r="EV116" s="47"/>
      <c r="EW116" s="47"/>
      <c r="EX116" s="47"/>
      <c r="EY116" s="47"/>
      <c r="EZ116" s="47"/>
      <c r="FA116" s="47"/>
      <c r="FB116" s="47"/>
      <c r="FC116" s="47"/>
      <c r="FD116" s="47"/>
      <c r="FE116" s="47"/>
      <c r="FF116" s="47"/>
      <c r="FG116" s="47"/>
      <c r="FH116" s="47"/>
      <c r="FI116" s="47"/>
      <c r="FJ116" s="47"/>
      <c r="FK116" s="47"/>
      <c r="FL116" s="47"/>
      <c r="FM116" s="47"/>
      <c r="FN116" s="47"/>
      <c r="FO116" s="47"/>
      <c r="FP116" s="47"/>
      <c r="FQ116" s="47"/>
      <c r="FR116" s="47"/>
      <c r="FS116" s="47"/>
      <c r="FT116" s="47"/>
      <c r="FU116" s="47"/>
      <c r="FV116" s="47"/>
      <c r="FW116" s="47"/>
      <c r="FX116" s="47"/>
      <c r="FY116" s="47"/>
      <c r="FZ116" s="47"/>
      <c r="GA116" s="47"/>
      <c r="GB116" s="47"/>
      <c r="GC116" s="47"/>
      <c r="GD116" s="47"/>
      <c r="GE116" s="47"/>
    </row>
    <row r="117" spans="1:187" ht="10.5" customHeight="1" outlineLevel="1">
      <c r="A117" s="43" t="s">
        <v>277</v>
      </c>
      <c r="B117" s="927"/>
      <c r="C117" s="927"/>
      <c r="D117" s="141">
        <f>D118-D116-D115-D114</f>
        <v>50.018749999999969</v>
      </c>
      <c r="E117" s="141">
        <f t="shared" ref="E117:L117" si="866">E118-E116-E115-E114</f>
        <v>87.608125000000001</v>
      </c>
      <c r="F117" s="141">
        <f t="shared" si="866"/>
        <v>74.574687499999982</v>
      </c>
      <c r="G117" s="141">
        <f t="shared" si="866"/>
        <v>100.77715624999999</v>
      </c>
      <c r="H117" s="141">
        <f t="shared" si="866"/>
        <v>34.521671874999981</v>
      </c>
      <c r="I117" s="141">
        <f t="shared" si="866"/>
        <v>79.970383062499977</v>
      </c>
      <c r="J117" s="141">
        <f t="shared" si="866"/>
        <v>89.339999999999961</v>
      </c>
      <c r="K117" s="141">
        <f t="shared" si="866"/>
        <v>14.181839999999996</v>
      </c>
      <c r="L117" s="141">
        <f t="shared" si="866"/>
        <v>58.071010000000008</v>
      </c>
      <c r="M117" s="141"/>
      <c r="N117" s="929"/>
      <c r="O117" s="929"/>
      <c r="P117" s="929"/>
      <c r="Q117" s="929"/>
      <c r="R117" s="929"/>
      <c r="S117" s="929"/>
      <c r="T117" s="214"/>
      <c r="U117" s="929"/>
      <c r="V117" s="929"/>
      <c r="W117" s="929"/>
      <c r="X117" s="929"/>
      <c r="Y117" s="929"/>
      <c r="Z117" s="929"/>
      <c r="AA117" s="214"/>
      <c r="AB117" s="929"/>
      <c r="AC117" s="929"/>
      <c r="AD117" s="929"/>
      <c r="AE117" s="929"/>
      <c r="AF117" s="929"/>
      <c r="AG117" s="929"/>
      <c r="AH117" s="214"/>
      <c r="AI117" s="929"/>
      <c r="AJ117" s="929"/>
      <c r="AK117" s="929"/>
      <c r="AL117" s="929"/>
      <c r="AM117" s="929"/>
      <c r="AN117" s="929"/>
      <c r="AO117" s="214"/>
      <c r="AP117" s="929"/>
      <c r="AQ117" s="929"/>
      <c r="AR117" s="929"/>
      <c r="AS117" s="929"/>
      <c r="AT117" s="929"/>
      <c r="AU117" s="929"/>
      <c r="AV117" s="214"/>
      <c r="AW117" s="929"/>
      <c r="AX117" s="929"/>
      <c r="AY117" s="929"/>
      <c r="AZ117" s="929"/>
      <c r="BA117" s="929"/>
      <c r="BB117" s="929"/>
      <c r="BC117" s="214"/>
      <c r="BD117" s="929"/>
      <c r="BE117" s="929"/>
      <c r="BF117" s="929"/>
      <c r="BG117" s="929"/>
      <c r="BH117" s="929"/>
      <c r="BI117" s="929"/>
      <c r="BJ117" s="214"/>
      <c r="BK117" s="929"/>
      <c r="BL117" s="929"/>
      <c r="BM117" s="929"/>
      <c r="BN117" s="929"/>
      <c r="BO117" s="929"/>
      <c r="BP117" s="929"/>
      <c r="BQ117" s="214"/>
      <c r="BR117" s="929"/>
      <c r="BS117" s="929"/>
      <c r="BT117" s="929"/>
      <c r="BU117" s="929"/>
      <c r="BV117" s="929"/>
      <c r="BW117" s="929"/>
      <c r="BX117" s="214"/>
      <c r="BY117" s="929"/>
      <c r="BZ117" s="929"/>
      <c r="CA117" s="929"/>
      <c r="CB117" s="929"/>
      <c r="CC117" s="929"/>
      <c r="CD117" s="929"/>
      <c r="CE117" s="214"/>
      <c r="CF117" s="929"/>
      <c r="CG117" s="929"/>
      <c r="CH117" s="929"/>
      <c r="CI117" s="929"/>
      <c r="CJ117" s="929"/>
      <c r="CK117" s="929"/>
      <c r="CL117" s="214"/>
      <c r="CM117" s="929"/>
      <c r="CN117" s="929"/>
      <c r="CO117" s="929"/>
      <c r="CP117" s="929"/>
      <c r="CQ117" s="929"/>
      <c r="CR117" s="929"/>
      <c r="CS117" s="214"/>
      <c r="CT117" s="929"/>
      <c r="CU117" s="929"/>
      <c r="CV117" s="929"/>
      <c r="CW117" s="929"/>
      <c r="CX117" s="929"/>
      <c r="CY117" s="929"/>
      <c r="CZ117" s="214"/>
      <c r="DA117" s="929"/>
      <c r="DB117" s="929"/>
      <c r="DC117" s="929"/>
      <c r="DD117" s="929"/>
      <c r="DE117" s="929"/>
      <c r="DF117" s="929"/>
      <c r="DG117" s="214"/>
      <c r="DH117" s="929"/>
      <c r="DI117" s="929"/>
      <c r="DJ117" s="929"/>
      <c r="DK117" s="929"/>
      <c r="DL117" s="929"/>
      <c r="DM117" s="929"/>
      <c r="DN117" s="214"/>
      <c r="DO117" s="929"/>
      <c r="DP117" s="929"/>
      <c r="DQ117" s="929"/>
      <c r="DR117" s="929"/>
      <c r="DS117" s="929"/>
      <c r="DT117" s="929"/>
      <c r="DU117" s="214"/>
      <c r="DV117" s="929"/>
      <c r="DW117" s="929"/>
      <c r="DX117" s="929"/>
      <c r="DY117" s="929"/>
      <c r="DZ117" s="929"/>
      <c r="EA117" s="929"/>
      <c r="EB117" s="214"/>
      <c r="EC117" s="929"/>
      <c r="ED117" s="929"/>
      <c r="EE117" s="929"/>
      <c r="EF117" s="929"/>
      <c r="EG117" s="929"/>
      <c r="EH117" s="929"/>
      <c r="EI117" s="214"/>
      <c r="EJ117" s="47"/>
      <c r="EK117" s="47"/>
      <c r="EL117" s="47"/>
      <c r="EM117" s="47"/>
      <c r="EN117" s="47"/>
      <c r="EO117" s="47"/>
      <c r="EP117" s="47"/>
      <c r="EQ117" s="47"/>
      <c r="ER117" s="47"/>
      <c r="ES117" s="47"/>
      <c r="ET117" s="47"/>
      <c r="EU117" s="47"/>
      <c r="EV117" s="47"/>
      <c r="EW117" s="47"/>
      <c r="EX117" s="47"/>
      <c r="EY117" s="47"/>
      <c r="EZ117" s="47"/>
      <c r="FA117" s="47"/>
      <c r="FB117" s="47"/>
      <c r="FC117" s="47"/>
      <c r="FD117" s="47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7"/>
      <c r="FP117" s="47"/>
      <c r="FQ117" s="47"/>
      <c r="FR117" s="47"/>
      <c r="FS117" s="47"/>
      <c r="FT117" s="47"/>
      <c r="FU117" s="47"/>
      <c r="FV117" s="47"/>
      <c r="FW117" s="47"/>
      <c r="FX117" s="47"/>
      <c r="FY117" s="47"/>
      <c r="FZ117" s="47"/>
      <c r="GA117" s="47"/>
      <c r="GB117" s="47"/>
      <c r="GC117" s="47"/>
      <c r="GD117" s="47"/>
      <c r="GE117" s="47"/>
    </row>
    <row r="118" spans="1:187" ht="10.5" customHeight="1" outlineLevel="1">
      <c r="A118" s="48" t="s">
        <v>280</v>
      </c>
      <c r="B118" s="56">
        <f t="shared" ref="B118:L118" si="867">B11</f>
        <v>87</v>
      </c>
      <c r="C118" s="56">
        <f t="shared" si="867"/>
        <v>148</v>
      </c>
      <c r="D118" s="56">
        <f t="shared" si="867"/>
        <v>151.89999999999998</v>
      </c>
      <c r="E118" s="56">
        <f t="shared" si="867"/>
        <v>201</v>
      </c>
      <c r="F118" s="56">
        <f t="shared" si="867"/>
        <v>212</v>
      </c>
      <c r="G118" s="56">
        <f t="shared" si="867"/>
        <v>257</v>
      </c>
      <c r="H118" s="56">
        <f t="shared" si="867"/>
        <v>211</v>
      </c>
      <c r="I118" s="56">
        <f t="shared" si="867"/>
        <v>293</v>
      </c>
      <c r="J118" s="56">
        <f t="shared" si="867"/>
        <v>263</v>
      </c>
      <c r="K118" s="56">
        <f t="shared" si="867"/>
        <v>183</v>
      </c>
      <c r="L118" s="56">
        <f t="shared" si="867"/>
        <v>259</v>
      </c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47"/>
      <c r="EK118" s="47"/>
      <c r="EL118" s="47"/>
      <c r="EM118" s="47"/>
      <c r="EN118" s="47"/>
      <c r="EO118" s="47"/>
      <c r="EP118" s="47"/>
      <c r="EQ118" s="47"/>
      <c r="ER118" s="47"/>
      <c r="ES118" s="47"/>
      <c r="ET118" s="47"/>
      <c r="EU118" s="47"/>
      <c r="EV118" s="47"/>
      <c r="EW118" s="47"/>
      <c r="EX118" s="47"/>
      <c r="EY118" s="47"/>
      <c r="EZ118" s="47"/>
      <c r="FA118" s="47"/>
      <c r="FB118" s="47"/>
      <c r="FC118" s="47"/>
      <c r="FD118" s="47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7"/>
      <c r="FP118" s="47"/>
      <c r="FQ118" s="47"/>
      <c r="FR118" s="47"/>
      <c r="FS118" s="47"/>
      <c r="FT118" s="47"/>
      <c r="FU118" s="47"/>
      <c r="FV118" s="47"/>
      <c r="FW118" s="47"/>
      <c r="FX118" s="47"/>
      <c r="FY118" s="47"/>
      <c r="FZ118" s="47"/>
      <c r="GA118" s="47"/>
      <c r="GB118" s="47"/>
      <c r="GC118" s="47"/>
      <c r="GD118" s="47"/>
      <c r="GE118" s="47"/>
    </row>
    <row r="119" spans="1:187" ht="10.5" customHeight="1" outlineLevel="1">
      <c r="A119" s="48"/>
      <c r="B119" s="71"/>
      <c r="C119" s="71"/>
      <c r="D119" s="71"/>
      <c r="E119" s="72"/>
      <c r="F119" s="72"/>
      <c r="G119" s="54"/>
      <c r="H119" s="54"/>
      <c r="I119" s="54"/>
      <c r="J119" s="59"/>
      <c r="K119" s="59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4"/>
      <c r="DW119" s="54"/>
      <c r="DX119" s="54"/>
      <c r="DY119" s="54"/>
      <c r="DZ119" s="54"/>
      <c r="EA119" s="54"/>
      <c r="EB119" s="54"/>
      <c r="EC119" s="54"/>
      <c r="ED119" s="54"/>
      <c r="EE119" s="54"/>
      <c r="EF119" s="54"/>
      <c r="EG119" s="54"/>
      <c r="EH119" s="54"/>
      <c r="EI119" s="54"/>
      <c r="EJ119" s="47"/>
      <c r="EK119" s="47"/>
      <c r="EL119" s="47"/>
      <c r="EM119" s="47"/>
      <c r="EN119" s="47"/>
      <c r="EO119" s="47"/>
      <c r="EP119" s="47"/>
      <c r="EQ119" s="47"/>
      <c r="ER119" s="47"/>
      <c r="ES119" s="47"/>
      <c r="ET119" s="47"/>
      <c r="EU119" s="47"/>
      <c r="EV119" s="47"/>
      <c r="EW119" s="47"/>
      <c r="EX119" s="47"/>
      <c r="EY119" s="47"/>
      <c r="EZ119" s="47"/>
      <c r="FA119" s="47"/>
      <c r="FB119" s="47"/>
      <c r="FC119" s="47"/>
      <c r="FD119" s="47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7"/>
      <c r="FP119" s="47"/>
      <c r="FQ119" s="47"/>
      <c r="FR119" s="47"/>
      <c r="FS119" s="47"/>
      <c r="FT119" s="47"/>
      <c r="FU119" s="47"/>
      <c r="FV119" s="47"/>
      <c r="FW119" s="47"/>
      <c r="FX119" s="47"/>
      <c r="FY119" s="47"/>
      <c r="FZ119" s="47"/>
      <c r="GA119" s="47"/>
      <c r="GB119" s="47"/>
      <c r="GC119" s="47"/>
      <c r="GD119" s="47"/>
      <c r="GE119" s="47"/>
    </row>
    <row r="120" spans="1:187" ht="10.5" customHeight="1" outlineLevel="1">
      <c r="A120" s="51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53"/>
      <c r="U120" s="166"/>
      <c r="V120" s="166"/>
      <c r="W120" s="166"/>
      <c r="X120" s="166"/>
      <c r="Y120" s="166"/>
      <c r="Z120" s="166"/>
      <c r="AA120" s="53"/>
      <c r="AB120" s="166"/>
      <c r="AC120" s="166"/>
      <c r="AD120" s="166"/>
      <c r="AE120" s="166"/>
      <c r="AF120" s="166"/>
      <c r="AG120" s="166"/>
      <c r="AH120" s="53"/>
      <c r="AI120" s="166"/>
      <c r="AJ120" s="166"/>
      <c r="AK120" s="166"/>
      <c r="AL120" s="166"/>
      <c r="AM120" s="166"/>
      <c r="AN120" s="166"/>
      <c r="AO120" s="53"/>
      <c r="AP120" s="166"/>
      <c r="AQ120" s="166"/>
      <c r="AR120" s="166"/>
      <c r="AS120" s="166"/>
      <c r="AT120" s="166"/>
      <c r="AU120" s="166"/>
      <c r="AV120" s="53"/>
      <c r="AW120" s="166"/>
      <c r="AX120" s="166"/>
      <c r="AY120" s="166"/>
      <c r="AZ120" s="166"/>
      <c r="BA120" s="166"/>
      <c r="BB120" s="166"/>
      <c r="BC120" s="53"/>
      <c r="BD120" s="166"/>
      <c r="BE120" s="166"/>
      <c r="BF120" s="166"/>
      <c r="BG120" s="166"/>
      <c r="BH120" s="166"/>
      <c r="BI120" s="166"/>
      <c r="BJ120" s="53"/>
      <c r="BK120" s="166"/>
      <c r="BL120" s="166"/>
      <c r="BM120" s="166"/>
      <c r="BN120" s="166"/>
      <c r="BO120" s="166"/>
      <c r="BP120" s="166"/>
      <c r="BQ120" s="53"/>
      <c r="BR120" s="166"/>
      <c r="BS120" s="166"/>
      <c r="BT120" s="166"/>
      <c r="BU120" s="166"/>
      <c r="BV120" s="166"/>
      <c r="BW120" s="166"/>
      <c r="BX120" s="53"/>
      <c r="BY120" s="166"/>
      <c r="BZ120" s="166"/>
      <c r="CA120" s="166"/>
      <c r="CB120" s="166"/>
      <c r="CC120" s="166"/>
      <c r="CD120" s="166"/>
      <c r="CE120" s="53"/>
      <c r="CF120" s="166"/>
      <c r="CG120" s="166"/>
      <c r="CH120" s="166"/>
      <c r="CI120" s="166"/>
      <c r="CJ120" s="166"/>
      <c r="CK120" s="166"/>
      <c r="CL120" s="53"/>
      <c r="CM120" s="166"/>
      <c r="CN120" s="166"/>
      <c r="CO120" s="166"/>
      <c r="CP120" s="166"/>
      <c r="CQ120" s="166"/>
      <c r="CR120" s="166"/>
      <c r="CS120" s="53"/>
      <c r="CT120" s="166"/>
      <c r="CU120" s="166"/>
      <c r="CV120" s="166"/>
      <c r="CW120" s="166"/>
      <c r="CX120" s="166"/>
      <c r="CY120" s="166"/>
      <c r="CZ120" s="53"/>
      <c r="DA120" s="166"/>
      <c r="DB120" s="166"/>
      <c r="DC120" s="166"/>
      <c r="DD120" s="166"/>
      <c r="DE120" s="166"/>
      <c r="DF120" s="166"/>
      <c r="DG120" s="53"/>
      <c r="DH120" s="166"/>
      <c r="DI120" s="166"/>
      <c r="DJ120" s="166"/>
      <c r="DK120" s="166"/>
      <c r="DL120" s="166"/>
      <c r="DM120" s="166"/>
      <c r="DN120" s="53"/>
      <c r="DO120" s="166"/>
      <c r="DP120" s="166"/>
      <c r="DQ120" s="166"/>
      <c r="DR120" s="166"/>
      <c r="DS120" s="166"/>
      <c r="DT120" s="166"/>
      <c r="DU120" s="53"/>
      <c r="DV120" s="166"/>
      <c r="DW120" s="166"/>
      <c r="DX120" s="166"/>
      <c r="DY120" s="166"/>
      <c r="DZ120" s="166"/>
      <c r="EA120" s="166"/>
      <c r="EB120" s="53"/>
      <c r="EC120" s="166"/>
      <c r="ED120" s="166"/>
      <c r="EE120" s="166"/>
      <c r="EF120" s="166"/>
      <c r="EG120" s="166"/>
      <c r="EH120" s="166"/>
      <c r="EI120" s="53"/>
      <c r="EJ120" s="47"/>
      <c r="EK120" s="47"/>
      <c r="EL120" s="47"/>
      <c r="EM120" s="47"/>
      <c r="EN120" s="47"/>
      <c r="EO120" s="47"/>
      <c r="EP120" s="47"/>
      <c r="EQ120" s="47"/>
      <c r="ER120" s="47"/>
      <c r="ES120" s="47"/>
      <c r="ET120" s="47"/>
      <c r="EU120" s="47"/>
      <c r="EV120" s="47"/>
      <c r="EW120" s="47"/>
      <c r="EX120" s="47"/>
      <c r="EY120" s="47"/>
      <c r="EZ120" s="47"/>
      <c r="FA120" s="47"/>
      <c r="FB120" s="47"/>
      <c r="FC120" s="47"/>
      <c r="FD120" s="47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7"/>
      <c r="FP120" s="47"/>
      <c r="FQ120" s="47"/>
      <c r="FR120" s="47"/>
      <c r="FS120" s="47"/>
      <c r="FT120" s="47"/>
      <c r="FU120" s="47"/>
      <c r="FV120" s="47"/>
      <c r="FW120" s="47"/>
      <c r="FX120" s="47"/>
      <c r="FY120" s="47"/>
      <c r="FZ120" s="47"/>
      <c r="GA120" s="47"/>
      <c r="GB120" s="47"/>
      <c r="GC120" s="47"/>
      <c r="GD120" s="47"/>
      <c r="GE120" s="47"/>
    </row>
    <row r="121" spans="1:187" ht="10.5" customHeight="1" outlineLevel="1">
      <c r="A121" s="48" t="s">
        <v>279</v>
      </c>
      <c r="B121" s="166"/>
      <c r="C121" s="166"/>
      <c r="D121" s="166"/>
      <c r="E121" s="770"/>
      <c r="F121" s="770"/>
      <c r="G121" s="54"/>
      <c r="H121" s="54"/>
      <c r="I121" s="54"/>
      <c r="J121" s="59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  <c r="EA121" s="54"/>
      <c r="EB121" s="54"/>
      <c r="EC121" s="54"/>
      <c r="ED121" s="54"/>
      <c r="EE121" s="54"/>
      <c r="EF121" s="54"/>
      <c r="EG121" s="54"/>
      <c r="EH121" s="54"/>
      <c r="EI121" s="54"/>
      <c r="EJ121" s="47"/>
      <c r="EK121" s="47"/>
      <c r="EL121" s="47"/>
      <c r="EM121" s="47"/>
      <c r="EN121" s="47"/>
      <c r="EO121" s="47"/>
      <c r="EP121" s="47"/>
      <c r="EQ121" s="47"/>
      <c r="ER121" s="47"/>
      <c r="ES121" s="47"/>
      <c r="ET121" s="47"/>
      <c r="EU121" s="47"/>
      <c r="EV121" s="47"/>
      <c r="EW121" s="47"/>
      <c r="EX121" s="47"/>
      <c r="EY121" s="47"/>
      <c r="EZ121" s="47"/>
      <c r="FA121" s="47"/>
      <c r="FB121" s="47"/>
      <c r="FC121" s="47"/>
      <c r="FD121" s="47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7"/>
      <c r="FP121" s="47"/>
      <c r="FQ121" s="47"/>
      <c r="FR121" s="47"/>
      <c r="FS121" s="47"/>
      <c r="FT121" s="47"/>
      <c r="FU121" s="47"/>
      <c r="FV121" s="47"/>
      <c r="FW121" s="47"/>
      <c r="FX121" s="47"/>
      <c r="FY121" s="47"/>
      <c r="FZ121" s="47"/>
      <c r="GA121" s="47"/>
      <c r="GB121" s="47"/>
      <c r="GC121" s="47"/>
      <c r="GD121" s="47"/>
      <c r="GE121" s="47"/>
    </row>
    <row r="122" spans="1:187" ht="10.5" customHeight="1" outlineLevel="1">
      <c r="A122" s="43" t="s">
        <v>274</v>
      </c>
      <c r="B122" s="251">
        <v>0.08</v>
      </c>
      <c r="C122" s="251">
        <v>0.05</v>
      </c>
      <c r="D122" s="251">
        <v>0.04</v>
      </c>
      <c r="E122" s="251">
        <v>0.04</v>
      </c>
      <c r="F122" s="251">
        <v>0.04</v>
      </c>
      <c r="G122" s="251">
        <v>0.03</v>
      </c>
      <c r="H122" s="251">
        <v>0.03</v>
      </c>
      <c r="I122" s="251">
        <v>0.03</v>
      </c>
      <c r="J122" s="264">
        <v>0.02</v>
      </c>
      <c r="K122" s="142">
        <v>0.01</v>
      </c>
      <c r="L122" s="142">
        <v>0.01</v>
      </c>
      <c r="M122" s="142"/>
      <c r="N122" s="142"/>
      <c r="O122" s="142"/>
      <c r="P122" s="142"/>
      <c r="Q122" s="142"/>
      <c r="R122" s="142"/>
      <c r="S122" s="142"/>
      <c r="T122" s="177"/>
      <c r="U122" s="142"/>
      <c r="V122" s="142"/>
      <c r="W122" s="142"/>
      <c r="X122" s="142"/>
      <c r="Y122" s="142"/>
      <c r="Z122" s="142"/>
      <c r="AA122" s="177"/>
      <c r="AB122" s="142"/>
      <c r="AC122" s="142"/>
      <c r="AD122" s="142"/>
      <c r="AE122" s="142"/>
      <c r="AF122" s="142"/>
      <c r="AG122" s="142"/>
      <c r="AH122" s="177"/>
      <c r="AI122" s="142"/>
      <c r="AJ122" s="142"/>
      <c r="AK122" s="142"/>
      <c r="AL122" s="142"/>
      <c r="AM122" s="142"/>
      <c r="AN122" s="142"/>
      <c r="AO122" s="177"/>
      <c r="AP122" s="142"/>
      <c r="AQ122" s="142"/>
      <c r="AR122" s="142"/>
      <c r="AS122" s="142"/>
      <c r="AT122" s="142"/>
      <c r="AU122" s="142"/>
      <c r="AV122" s="177"/>
      <c r="AW122" s="142"/>
      <c r="AX122" s="142"/>
      <c r="AY122" s="142"/>
      <c r="AZ122" s="142"/>
      <c r="BA122" s="142"/>
      <c r="BB122" s="142"/>
      <c r="BC122" s="177"/>
      <c r="BD122" s="142"/>
      <c r="BE122" s="142"/>
      <c r="BF122" s="142"/>
      <c r="BG122" s="142"/>
      <c r="BH122" s="142"/>
      <c r="BI122" s="142"/>
      <c r="BJ122" s="177"/>
      <c r="BK122" s="142"/>
      <c r="BL122" s="142"/>
      <c r="BM122" s="142"/>
      <c r="BN122" s="142"/>
      <c r="BO122" s="142"/>
      <c r="BP122" s="142"/>
      <c r="BQ122" s="177"/>
      <c r="BR122" s="142"/>
      <c r="BS122" s="142"/>
      <c r="BT122" s="142"/>
      <c r="BU122" s="142"/>
      <c r="BV122" s="142"/>
      <c r="BW122" s="142"/>
      <c r="BX122" s="177"/>
      <c r="BY122" s="142"/>
      <c r="BZ122" s="142"/>
      <c r="CA122" s="142"/>
      <c r="CB122" s="142"/>
      <c r="CC122" s="142"/>
      <c r="CD122" s="142"/>
      <c r="CE122" s="177"/>
      <c r="CF122" s="142"/>
      <c r="CG122" s="142"/>
      <c r="CH122" s="142"/>
      <c r="CI122" s="142"/>
      <c r="CJ122" s="142"/>
      <c r="CK122" s="142"/>
      <c r="CL122" s="177"/>
      <c r="CM122" s="142"/>
      <c r="CN122" s="142"/>
      <c r="CO122" s="142"/>
      <c r="CP122" s="142"/>
      <c r="CQ122" s="142"/>
      <c r="CR122" s="142"/>
      <c r="CS122" s="177"/>
      <c r="CT122" s="142"/>
      <c r="CU122" s="142"/>
      <c r="CV122" s="142"/>
      <c r="CW122" s="142"/>
      <c r="CX122" s="142"/>
      <c r="CY122" s="142"/>
      <c r="CZ122" s="177"/>
      <c r="DA122" s="142"/>
      <c r="DB122" s="142"/>
      <c r="DC122" s="142"/>
      <c r="DD122" s="142"/>
      <c r="DE122" s="142"/>
      <c r="DF122" s="142"/>
      <c r="DG122" s="177"/>
      <c r="DH122" s="142"/>
      <c r="DI122" s="142"/>
      <c r="DJ122" s="142"/>
      <c r="DK122" s="142"/>
      <c r="DL122" s="142"/>
      <c r="DM122" s="142"/>
      <c r="DN122" s="177"/>
      <c r="DO122" s="142"/>
      <c r="DP122" s="142"/>
      <c r="DQ122" s="142"/>
      <c r="DR122" s="142"/>
      <c r="DS122" s="142"/>
      <c r="DT122" s="142"/>
      <c r="DU122" s="177"/>
      <c r="DV122" s="142"/>
      <c r="DW122" s="142"/>
      <c r="DX122" s="142"/>
      <c r="DY122" s="142"/>
      <c r="DZ122" s="142"/>
      <c r="EA122" s="142"/>
      <c r="EB122" s="177"/>
      <c r="EC122" s="142"/>
      <c r="ED122" s="142"/>
      <c r="EE122" s="142"/>
      <c r="EF122" s="142"/>
      <c r="EG122" s="142"/>
      <c r="EH122" s="142"/>
      <c r="EI122" s="177"/>
      <c r="EJ122" s="47"/>
      <c r="EK122" s="47"/>
      <c r="EL122" s="47"/>
      <c r="EM122" s="47"/>
      <c r="EN122" s="47"/>
      <c r="EO122" s="47"/>
      <c r="EP122" s="47"/>
      <c r="EQ122" s="47"/>
      <c r="ER122" s="47"/>
      <c r="ES122" s="47"/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  <c r="FX122" s="47"/>
      <c r="FY122" s="47"/>
      <c r="FZ122" s="47"/>
      <c r="GA122" s="47"/>
      <c r="GB122" s="47"/>
      <c r="GC122" s="47"/>
      <c r="GD122" s="47"/>
      <c r="GE122" s="47"/>
    </row>
    <row r="123" spans="1:187" ht="10.5" customHeight="1" outlineLevel="1">
      <c r="A123" s="43" t="s">
        <v>275</v>
      </c>
      <c r="B123" s="251">
        <v>0.03</v>
      </c>
      <c r="C123" s="251">
        <v>0.03</v>
      </c>
      <c r="D123" s="251">
        <v>0.03</v>
      </c>
      <c r="E123" s="251">
        <v>0.03</v>
      </c>
      <c r="F123" s="251">
        <v>0.04</v>
      </c>
      <c r="G123" s="251">
        <v>0.05</v>
      </c>
      <c r="H123" s="251">
        <v>0.05</v>
      </c>
      <c r="I123" s="251">
        <v>0.06</v>
      </c>
      <c r="J123" s="264">
        <v>0.03</v>
      </c>
      <c r="K123" s="142">
        <v>0.03</v>
      </c>
      <c r="L123" s="142">
        <v>0.03</v>
      </c>
      <c r="M123" s="142"/>
      <c r="N123" s="142"/>
      <c r="O123" s="142"/>
      <c r="P123" s="142"/>
      <c r="Q123" s="142"/>
      <c r="R123" s="142"/>
      <c r="S123" s="142"/>
      <c r="T123" s="177"/>
      <c r="U123" s="142"/>
      <c r="V123" s="142"/>
      <c r="W123" s="142"/>
      <c r="X123" s="142"/>
      <c r="Y123" s="142"/>
      <c r="Z123" s="142"/>
      <c r="AA123" s="177"/>
      <c r="AB123" s="142"/>
      <c r="AC123" s="142"/>
      <c r="AD123" s="142"/>
      <c r="AE123" s="142"/>
      <c r="AF123" s="142"/>
      <c r="AG123" s="142"/>
      <c r="AH123" s="177"/>
      <c r="AI123" s="142"/>
      <c r="AJ123" s="142"/>
      <c r="AK123" s="142"/>
      <c r="AL123" s="142"/>
      <c r="AM123" s="142"/>
      <c r="AN123" s="142"/>
      <c r="AO123" s="177"/>
      <c r="AP123" s="142"/>
      <c r="AQ123" s="142"/>
      <c r="AR123" s="142"/>
      <c r="AS123" s="142"/>
      <c r="AT123" s="142"/>
      <c r="AU123" s="142"/>
      <c r="AV123" s="177"/>
      <c r="AW123" s="142"/>
      <c r="AX123" s="142"/>
      <c r="AY123" s="142"/>
      <c r="AZ123" s="142"/>
      <c r="BA123" s="142"/>
      <c r="BB123" s="142"/>
      <c r="BC123" s="177"/>
      <c r="BD123" s="142"/>
      <c r="BE123" s="142"/>
      <c r="BF123" s="142"/>
      <c r="BG123" s="142"/>
      <c r="BH123" s="142"/>
      <c r="BI123" s="142"/>
      <c r="BJ123" s="177"/>
      <c r="BK123" s="142"/>
      <c r="BL123" s="142"/>
      <c r="BM123" s="142"/>
      <c r="BN123" s="142"/>
      <c r="BO123" s="142"/>
      <c r="BP123" s="142"/>
      <c r="BQ123" s="177"/>
      <c r="BR123" s="142"/>
      <c r="BS123" s="142"/>
      <c r="BT123" s="142"/>
      <c r="BU123" s="142"/>
      <c r="BV123" s="142"/>
      <c r="BW123" s="142"/>
      <c r="BX123" s="177"/>
      <c r="BY123" s="142"/>
      <c r="BZ123" s="142"/>
      <c r="CA123" s="142"/>
      <c r="CB123" s="142"/>
      <c r="CC123" s="142"/>
      <c r="CD123" s="142"/>
      <c r="CE123" s="177"/>
      <c r="CF123" s="142"/>
      <c r="CG123" s="142"/>
      <c r="CH123" s="142"/>
      <c r="CI123" s="142"/>
      <c r="CJ123" s="142"/>
      <c r="CK123" s="142"/>
      <c r="CL123" s="177"/>
      <c r="CM123" s="142"/>
      <c r="CN123" s="142"/>
      <c r="CO123" s="142"/>
      <c r="CP123" s="142"/>
      <c r="CQ123" s="142"/>
      <c r="CR123" s="142"/>
      <c r="CS123" s="177"/>
      <c r="CT123" s="142"/>
      <c r="CU123" s="142"/>
      <c r="CV123" s="142"/>
      <c r="CW123" s="142"/>
      <c r="CX123" s="142"/>
      <c r="CY123" s="142"/>
      <c r="CZ123" s="177"/>
      <c r="DA123" s="142"/>
      <c r="DB123" s="142"/>
      <c r="DC123" s="142"/>
      <c r="DD123" s="142"/>
      <c r="DE123" s="142"/>
      <c r="DF123" s="142"/>
      <c r="DG123" s="177"/>
      <c r="DH123" s="142"/>
      <c r="DI123" s="142"/>
      <c r="DJ123" s="142"/>
      <c r="DK123" s="142"/>
      <c r="DL123" s="142"/>
      <c r="DM123" s="142"/>
      <c r="DN123" s="177"/>
      <c r="DO123" s="142"/>
      <c r="DP123" s="142"/>
      <c r="DQ123" s="142"/>
      <c r="DR123" s="142"/>
      <c r="DS123" s="142"/>
      <c r="DT123" s="142"/>
      <c r="DU123" s="177"/>
      <c r="DV123" s="142"/>
      <c r="DW123" s="142"/>
      <c r="DX123" s="142"/>
      <c r="DY123" s="142"/>
      <c r="DZ123" s="142"/>
      <c r="EA123" s="142"/>
      <c r="EB123" s="177"/>
      <c r="EC123" s="142"/>
      <c r="ED123" s="142"/>
      <c r="EE123" s="142"/>
      <c r="EF123" s="142"/>
      <c r="EG123" s="142"/>
      <c r="EH123" s="142"/>
      <c r="EI123" s="177"/>
      <c r="EJ123" s="47"/>
      <c r="EK123" s="47"/>
      <c r="EL123" s="47"/>
      <c r="EM123" s="47"/>
      <c r="EN123" s="47"/>
      <c r="EO123" s="47"/>
      <c r="EP123" s="47"/>
      <c r="EQ123" s="47"/>
      <c r="ER123" s="47"/>
      <c r="ES123" s="47"/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  <c r="FX123" s="47"/>
      <c r="FY123" s="47"/>
      <c r="FZ123" s="47"/>
      <c r="GA123" s="47"/>
      <c r="GB123" s="47"/>
      <c r="GC123" s="47"/>
      <c r="GD123" s="47"/>
      <c r="GE123" s="47"/>
    </row>
    <row r="124" spans="1:187" ht="10.5" customHeight="1" outlineLevel="1">
      <c r="A124" s="43" t="s">
        <v>276</v>
      </c>
      <c r="B124" s="251">
        <v>0.08</v>
      </c>
      <c r="C124" s="251">
        <v>0.05</v>
      </c>
      <c r="D124" s="251">
        <v>7.0000000000000007E-2</v>
      </c>
      <c r="E124" s="251">
        <f t="shared" ref="E124:K124" si="868">D124</f>
        <v>7.0000000000000007E-2</v>
      </c>
      <c r="F124" s="251">
        <f t="shared" si="868"/>
        <v>7.0000000000000007E-2</v>
      </c>
      <c r="G124" s="251">
        <f t="shared" si="868"/>
        <v>7.0000000000000007E-2</v>
      </c>
      <c r="H124" s="251">
        <f t="shared" si="868"/>
        <v>7.0000000000000007E-2</v>
      </c>
      <c r="I124" s="251">
        <f t="shared" si="868"/>
        <v>7.0000000000000007E-2</v>
      </c>
      <c r="J124" s="251">
        <f t="shared" si="868"/>
        <v>7.0000000000000007E-2</v>
      </c>
      <c r="K124" s="251">
        <f t="shared" si="868"/>
        <v>7.0000000000000007E-2</v>
      </c>
      <c r="L124" s="142">
        <f>K124</f>
        <v>7.0000000000000007E-2</v>
      </c>
      <c r="M124" s="142"/>
      <c r="N124" s="142"/>
      <c r="O124" s="142"/>
      <c r="P124" s="142"/>
      <c r="Q124" s="142"/>
      <c r="R124" s="142"/>
      <c r="S124" s="142"/>
      <c r="T124" s="177"/>
      <c r="U124" s="142"/>
      <c r="V124" s="142"/>
      <c r="W124" s="142"/>
      <c r="X124" s="142"/>
      <c r="Y124" s="142"/>
      <c r="Z124" s="142"/>
      <c r="AA124" s="177"/>
      <c r="AB124" s="142"/>
      <c r="AC124" s="142"/>
      <c r="AD124" s="142"/>
      <c r="AE124" s="142"/>
      <c r="AF124" s="142"/>
      <c r="AG124" s="142"/>
      <c r="AH124" s="177"/>
      <c r="AI124" s="142"/>
      <c r="AJ124" s="142"/>
      <c r="AK124" s="142"/>
      <c r="AL124" s="142"/>
      <c r="AM124" s="142"/>
      <c r="AN124" s="142"/>
      <c r="AO124" s="177"/>
      <c r="AP124" s="142"/>
      <c r="AQ124" s="142"/>
      <c r="AR124" s="142"/>
      <c r="AS124" s="142"/>
      <c r="AT124" s="142"/>
      <c r="AU124" s="142"/>
      <c r="AV124" s="177"/>
      <c r="AW124" s="142"/>
      <c r="AX124" s="142"/>
      <c r="AY124" s="142"/>
      <c r="AZ124" s="142"/>
      <c r="BA124" s="142"/>
      <c r="BB124" s="142"/>
      <c r="BC124" s="177"/>
      <c r="BD124" s="142"/>
      <c r="BE124" s="142"/>
      <c r="BF124" s="142"/>
      <c r="BG124" s="142"/>
      <c r="BH124" s="142"/>
      <c r="BI124" s="142"/>
      <c r="BJ124" s="177"/>
      <c r="BK124" s="142"/>
      <c r="BL124" s="142"/>
      <c r="BM124" s="142"/>
      <c r="BN124" s="142"/>
      <c r="BO124" s="142"/>
      <c r="BP124" s="142"/>
      <c r="BQ124" s="177"/>
      <c r="BR124" s="142"/>
      <c r="BS124" s="142"/>
      <c r="BT124" s="142"/>
      <c r="BU124" s="142"/>
      <c r="BV124" s="142"/>
      <c r="BW124" s="142"/>
      <c r="BX124" s="177"/>
      <c r="BY124" s="142"/>
      <c r="BZ124" s="142"/>
      <c r="CA124" s="142"/>
      <c r="CB124" s="142"/>
      <c r="CC124" s="142"/>
      <c r="CD124" s="142"/>
      <c r="CE124" s="177"/>
      <c r="CF124" s="142"/>
      <c r="CG124" s="142"/>
      <c r="CH124" s="142"/>
      <c r="CI124" s="142"/>
      <c r="CJ124" s="142"/>
      <c r="CK124" s="142"/>
      <c r="CL124" s="177"/>
      <c r="CM124" s="142"/>
      <c r="CN124" s="142"/>
      <c r="CO124" s="142"/>
      <c r="CP124" s="142"/>
      <c r="CQ124" s="142"/>
      <c r="CR124" s="142"/>
      <c r="CS124" s="177"/>
      <c r="CT124" s="142"/>
      <c r="CU124" s="142"/>
      <c r="CV124" s="142"/>
      <c r="CW124" s="142"/>
      <c r="CX124" s="142"/>
      <c r="CY124" s="142"/>
      <c r="CZ124" s="177"/>
      <c r="DA124" s="142"/>
      <c r="DB124" s="142"/>
      <c r="DC124" s="142"/>
      <c r="DD124" s="142"/>
      <c r="DE124" s="142"/>
      <c r="DF124" s="142"/>
      <c r="DG124" s="177"/>
      <c r="DH124" s="142"/>
      <c r="DI124" s="142"/>
      <c r="DJ124" s="142"/>
      <c r="DK124" s="142"/>
      <c r="DL124" s="142"/>
      <c r="DM124" s="142"/>
      <c r="DN124" s="177"/>
      <c r="DO124" s="142"/>
      <c r="DP124" s="142"/>
      <c r="DQ124" s="142"/>
      <c r="DR124" s="142"/>
      <c r="DS124" s="142"/>
      <c r="DT124" s="142"/>
      <c r="DU124" s="177"/>
      <c r="DV124" s="142"/>
      <c r="DW124" s="142"/>
      <c r="DX124" s="142"/>
      <c r="DY124" s="142"/>
      <c r="DZ124" s="142"/>
      <c r="EA124" s="142"/>
      <c r="EB124" s="177"/>
      <c r="EC124" s="142"/>
      <c r="ED124" s="142"/>
      <c r="EE124" s="142"/>
      <c r="EF124" s="142"/>
      <c r="EG124" s="142"/>
      <c r="EH124" s="142"/>
      <c r="EI124" s="177"/>
      <c r="EJ124" s="47"/>
      <c r="EK124" s="47"/>
      <c r="EL124" s="47"/>
      <c r="EM124" s="47"/>
      <c r="EN124" s="47"/>
      <c r="EO124" s="47"/>
      <c r="EP124" s="47"/>
      <c r="EQ124" s="47"/>
      <c r="ER124" s="47"/>
      <c r="ES124" s="47"/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  <c r="FX124" s="47"/>
      <c r="FY124" s="47"/>
      <c r="FZ124" s="47"/>
      <c r="GA124" s="47"/>
      <c r="GB124" s="47"/>
      <c r="GC124" s="47"/>
      <c r="GD124" s="47"/>
      <c r="GE124" s="47"/>
    </row>
    <row r="125" spans="1:187" ht="10.5" customHeight="1" outlineLevel="1">
      <c r="A125" s="43" t="s">
        <v>277</v>
      </c>
      <c r="B125" s="825"/>
      <c r="C125" s="825"/>
      <c r="D125" s="825">
        <f t="shared" ref="D125:L125" si="869">D117/D103</f>
        <v>9.752620034121369E-2</v>
      </c>
      <c r="E125" s="825">
        <f t="shared" si="869"/>
        <v>0.18541402116402111</v>
      </c>
      <c r="F125" s="825">
        <f t="shared" si="869"/>
        <v>0.1418427027733859</v>
      </c>
      <c r="G125" s="825">
        <f t="shared" si="869"/>
        <v>0.14803638400132202</v>
      </c>
      <c r="H125" s="825">
        <f t="shared" si="869"/>
        <v>5.3532652493360811E-2</v>
      </c>
      <c r="I125" s="825">
        <f t="shared" si="869"/>
        <v>0.16156884896497598</v>
      </c>
      <c r="J125" s="825">
        <f t="shared" si="869"/>
        <v>0.19549234135667387</v>
      </c>
      <c r="K125" s="825">
        <f t="shared" si="869"/>
        <v>2.6692715979672495E-2</v>
      </c>
      <c r="L125" s="825">
        <f t="shared" si="869"/>
        <v>9.7491832451943275E-2</v>
      </c>
      <c r="M125" s="143"/>
      <c r="N125" s="142"/>
      <c r="O125" s="142"/>
      <c r="P125" s="142"/>
      <c r="Q125" s="142"/>
      <c r="R125" s="142"/>
      <c r="S125" s="142"/>
      <c r="T125" s="70"/>
      <c r="U125" s="142"/>
      <c r="V125" s="142"/>
      <c r="W125" s="142"/>
      <c r="X125" s="142"/>
      <c r="Y125" s="142"/>
      <c r="Z125" s="142"/>
      <c r="AA125" s="70"/>
      <c r="AB125" s="142"/>
      <c r="AC125" s="142"/>
      <c r="AD125" s="142"/>
      <c r="AE125" s="142"/>
      <c r="AF125" s="142"/>
      <c r="AG125" s="142"/>
      <c r="AH125" s="70"/>
      <c r="AI125" s="142"/>
      <c r="AJ125" s="142"/>
      <c r="AK125" s="142"/>
      <c r="AL125" s="142"/>
      <c r="AM125" s="142"/>
      <c r="AN125" s="142"/>
      <c r="AO125" s="70"/>
      <c r="AP125" s="142"/>
      <c r="AQ125" s="142"/>
      <c r="AR125" s="142"/>
      <c r="AS125" s="142"/>
      <c r="AT125" s="142"/>
      <c r="AU125" s="142"/>
      <c r="AV125" s="70"/>
      <c r="AW125" s="142"/>
      <c r="AX125" s="142"/>
      <c r="AY125" s="142"/>
      <c r="AZ125" s="142"/>
      <c r="BA125" s="142"/>
      <c r="BB125" s="142"/>
      <c r="BC125" s="70"/>
      <c r="BD125" s="142"/>
      <c r="BE125" s="142"/>
      <c r="BF125" s="142"/>
      <c r="BG125" s="142"/>
      <c r="BH125" s="142"/>
      <c r="BI125" s="142"/>
      <c r="BJ125" s="70"/>
      <c r="BK125" s="142"/>
      <c r="BL125" s="142"/>
      <c r="BM125" s="142"/>
      <c r="BN125" s="142"/>
      <c r="BO125" s="142"/>
      <c r="BP125" s="142"/>
      <c r="BQ125" s="70"/>
      <c r="BR125" s="142"/>
      <c r="BS125" s="142"/>
      <c r="BT125" s="142"/>
      <c r="BU125" s="142"/>
      <c r="BV125" s="142"/>
      <c r="BW125" s="142"/>
      <c r="BX125" s="70"/>
      <c r="BY125" s="142"/>
      <c r="BZ125" s="142"/>
      <c r="CA125" s="142"/>
      <c r="CB125" s="142"/>
      <c r="CC125" s="142"/>
      <c r="CD125" s="142"/>
      <c r="CE125" s="70"/>
      <c r="CF125" s="142"/>
      <c r="CG125" s="142"/>
      <c r="CH125" s="142"/>
      <c r="CI125" s="142"/>
      <c r="CJ125" s="142"/>
      <c r="CK125" s="142"/>
      <c r="CL125" s="70"/>
      <c r="CM125" s="142"/>
      <c r="CN125" s="142"/>
      <c r="CO125" s="142"/>
      <c r="CP125" s="142"/>
      <c r="CQ125" s="142"/>
      <c r="CR125" s="142"/>
      <c r="CS125" s="70"/>
      <c r="CT125" s="142"/>
      <c r="CU125" s="142"/>
      <c r="CV125" s="142"/>
      <c r="CW125" s="142"/>
      <c r="CX125" s="142"/>
      <c r="CY125" s="142"/>
      <c r="CZ125" s="70"/>
      <c r="DA125" s="142"/>
      <c r="DB125" s="142"/>
      <c r="DC125" s="142"/>
      <c r="DD125" s="142"/>
      <c r="DE125" s="142"/>
      <c r="DF125" s="142"/>
      <c r="DG125" s="70"/>
      <c r="DH125" s="142"/>
      <c r="DI125" s="142"/>
      <c r="DJ125" s="142"/>
      <c r="DK125" s="142"/>
      <c r="DL125" s="142"/>
      <c r="DM125" s="142"/>
      <c r="DN125" s="70"/>
      <c r="DO125" s="142"/>
      <c r="DP125" s="142"/>
      <c r="DQ125" s="142"/>
      <c r="DR125" s="142"/>
      <c r="DS125" s="142"/>
      <c r="DT125" s="142"/>
      <c r="DU125" s="70"/>
      <c r="DV125" s="142"/>
      <c r="DW125" s="142"/>
      <c r="DX125" s="142"/>
      <c r="DY125" s="142"/>
      <c r="DZ125" s="142"/>
      <c r="EA125" s="142"/>
      <c r="EB125" s="70"/>
      <c r="EC125" s="142"/>
      <c r="ED125" s="142"/>
      <c r="EE125" s="142"/>
      <c r="EF125" s="142"/>
      <c r="EG125" s="142"/>
      <c r="EH125" s="142"/>
      <c r="EI125" s="70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47"/>
      <c r="FD125" s="47"/>
      <c r="FE125" s="47"/>
      <c r="FF125" s="47"/>
      <c r="FG125" s="47"/>
      <c r="FH125" s="47"/>
      <c r="FI125" s="47"/>
      <c r="FJ125" s="47"/>
      <c r="FK125" s="47"/>
      <c r="FL125" s="47"/>
      <c r="FM125" s="47"/>
      <c r="FN125" s="47"/>
      <c r="FO125" s="47"/>
      <c r="FP125" s="47"/>
      <c r="FQ125" s="47"/>
      <c r="FR125" s="47"/>
      <c r="FS125" s="47"/>
      <c r="FT125" s="47"/>
      <c r="FU125" s="47"/>
      <c r="FV125" s="47"/>
      <c r="FW125" s="47"/>
      <c r="FX125" s="47"/>
      <c r="FY125" s="47"/>
      <c r="FZ125" s="47"/>
      <c r="GA125" s="47"/>
      <c r="GB125" s="47"/>
      <c r="GC125" s="47"/>
      <c r="GD125" s="47"/>
      <c r="GE125" s="47"/>
    </row>
    <row r="126" spans="1:187" ht="10.5" customHeight="1" outlineLevel="1">
      <c r="A126" s="48" t="s">
        <v>167</v>
      </c>
      <c r="B126" s="69">
        <f>B118/B104</f>
        <v>3.1230368841425112E-2</v>
      </c>
      <c r="C126" s="69">
        <f>C118/C104</f>
        <v>5.5145688948505855E-2</v>
      </c>
      <c r="D126" s="69">
        <f t="shared" ref="D126:L126" si="870">D118/D104</f>
        <v>5.8739365815931935E-2</v>
      </c>
      <c r="E126" s="69">
        <f t="shared" si="870"/>
        <v>7.2146446518305818E-2</v>
      </c>
      <c r="F126" s="69">
        <f t="shared" si="870"/>
        <v>6.6023045780130796E-2</v>
      </c>
      <c r="G126" s="69">
        <f t="shared" si="870"/>
        <v>6.7578227714961872E-2</v>
      </c>
      <c r="H126" s="69">
        <f t="shared" si="870"/>
        <v>5.0575263662511985E-2</v>
      </c>
      <c r="I126" s="69">
        <f t="shared" si="870"/>
        <v>6.5314311190370039E-2</v>
      </c>
      <c r="J126" s="69">
        <f t="shared" si="870"/>
        <v>5.7549234135667399E-2</v>
      </c>
      <c r="K126" s="69">
        <f t="shared" si="870"/>
        <v>3.7888198757763975E-2</v>
      </c>
      <c r="L126" s="69">
        <f t="shared" si="870"/>
        <v>4.7830101569713755E-2</v>
      </c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  <c r="CS126" s="69"/>
      <c r="CT126" s="69"/>
      <c r="CU126" s="69"/>
      <c r="CV126" s="69"/>
      <c r="CW126" s="69"/>
      <c r="CX126" s="69"/>
      <c r="CY126" s="69"/>
      <c r="CZ126" s="69"/>
      <c r="DA126" s="69"/>
      <c r="DB126" s="69"/>
      <c r="DC126" s="69"/>
      <c r="DD126" s="69"/>
      <c r="DE126" s="69"/>
      <c r="DF126" s="69"/>
      <c r="DG126" s="69"/>
      <c r="DH126" s="69"/>
      <c r="DI126" s="69"/>
      <c r="DJ126" s="69"/>
      <c r="DK126" s="69"/>
      <c r="DL126" s="69"/>
      <c r="DM126" s="69"/>
      <c r="DN126" s="69"/>
      <c r="DO126" s="69"/>
      <c r="DP126" s="69"/>
      <c r="DQ126" s="69"/>
      <c r="DR126" s="69"/>
      <c r="DS126" s="69"/>
      <c r="DT126" s="69"/>
      <c r="DU126" s="69"/>
      <c r="DV126" s="69"/>
      <c r="DW126" s="69"/>
      <c r="DX126" s="69"/>
      <c r="DY126" s="69"/>
      <c r="DZ126" s="69"/>
      <c r="EA126" s="69"/>
      <c r="EB126" s="69"/>
      <c r="EC126" s="69"/>
      <c r="ED126" s="69"/>
      <c r="EE126" s="69"/>
      <c r="EF126" s="69"/>
      <c r="EG126" s="69"/>
      <c r="EH126" s="69"/>
      <c r="EI126" s="69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47"/>
      <c r="FD126" s="47"/>
      <c r="FE126" s="47"/>
      <c r="FF126" s="47"/>
      <c r="FG126" s="47"/>
      <c r="FH126" s="47"/>
      <c r="FI126" s="47"/>
      <c r="FJ126" s="47"/>
      <c r="FK126" s="47"/>
      <c r="FL126" s="47"/>
      <c r="FM126" s="47"/>
      <c r="FN126" s="47"/>
      <c r="FO126" s="47"/>
      <c r="FP126" s="47"/>
      <c r="FQ126" s="47"/>
      <c r="FR126" s="47"/>
      <c r="FS126" s="47"/>
      <c r="FT126" s="47"/>
      <c r="FU126" s="47"/>
      <c r="FV126" s="47"/>
      <c r="FW126" s="47"/>
      <c r="FX126" s="47"/>
      <c r="FY126" s="47"/>
      <c r="FZ126" s="47"/>
      <c r="GA126" s="47"/>
      <c r="GB126" s="47"/>
      <c r="GC126" s="47"/>
      <c r="GD126" s="47"/>
      <c r="GE126" s="47"/>
    </row>
    <row r="127" spans="1:187" ht="10.5" customHeight="1" outlineLevel="1">
      <c r="A127" s="47"/>
      <c r="B127" s="918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81"/>
      <c r="U127" s="245"/>
      <c r="V127" s="245"/>
      <c r="W127" s="245"/>
      <c r="X127" s="245"/>
      <c r="Y127" s="245"/>
      <c r="Z127" s="245"/>
      <c r="AA127" s="81"/>
      <c r="AB127" s="245"/>
      <c r="AC127" s="245"/>
      <c r="AD127" s="245"/>
      <c r="AE127" s="245"/>
      <c r="AF127" s="245"/>
      <c r="AG127" s="245"/>
      <c r="AH127" s="81"/>
      <c r="AI127" s="245"/>
      <c r="AJ127" s="245"/>
      <c r="AK127" s="245"/>
      <c r="AL127" s="245"/>
      <c r="AM127" s="245"/>
      <c r="AN127" s="245"/>
      <c r="AO127" s="81"/>
      <c r="AP127" s="245"/>
      <c r="AQ127" s="245"/>
      <c r="AR127" s="245"/>
      <c r="AS127" s="245"/>
      <c r="AT127" s="245"/>
      <c r="AU127" s="245"/>
      <c r="AV127" s="81"/>
      <c r="AW127" s="245"/>
      <c r="AX127" s="245"/>
      <c r="AY127" s="245"/>
      <c r="AZ127" s="245"/>
      <c r="BA127" s="245"/>
      <c r="BB127" s="245"/>
      <c r="BC127" s="81"/>
      <c r="BD127" s="245"/>
      <c r="BE127" s="245"/>
      <c r="BF127" s="245"/>
      <c r="BG127" s="245"/>
      <c r="BH127" s="245"/>
      <c r="BI127" s="245"/>
      <c r="BJ127" s="81"/>
      <c r="BK127" s="245"/>
      <c r="BL127" s="245"/>
      <c r="BM127" s="245"/>
      <c r="BN127" s="245"/>
      <c r="BO127" s="245"/>
      <c r="BP127" s="245"/>
      <c r="BQ127" s="81"/>
      <c r="BR127" s="245"/>
      <c r="BS127" s="245"/>
      <c r="BT127" s="245"/>
      <c r="BU127" s="245"/>
      <c r="BV127" s="245"/>
      <c r="BW127" s="245"/>
      <c r="BX127" s="81"/>
      <c r="BY127" s="245"/>
      <c r="BZ127" s="245"/>
      <c r="CA127" s="245"/>
      <c r="CB127" s="245"/>
      <c r="CC127" s="245"/>
      <c r="CD127" s="245"/>
      <c r="CE127" s="81"/>
      <c r="CF127" s="245"/>
      <c r="CG127" s="245"/>
      <c r="CH127" s="245"/>
      <c r="CI127" s="245"/>
      <c r="CJ127" s="245"/>
      <c r="CK127" s="245"/>
      <c r="CL127" s="81"/>
      <c r="CM127" s="245"/>
      <c r="CN127" s="245"/>
      <c r="CO127" s="245"/>
      <c r="CP127" s="245"/>
      <c r="CQ127" s="245"/>
      <c r="CR127" s="245"/>
      <c r="CS127" s="81"/>
      <c r="CT127" s="245"/>
      <c r="CU127" s="245"/>
      <c r="CV127" s="245"/>
      <c r="CW127" s="245"/>
      <c r="CX127" s="245"/>
      <c r="CY127" s="245"/>
      <c r="CZ127" s="81"/>
      <c r="DA127" s="245"/>
      <c r="DB127" s="245"/>
      <c r="DC127" s="245"/>
      <c r="DD127" s="245"/>
      <c r="DE127" s="245"/>
      <c r="DF127" s="245"/>
      <c r="DG127" s="81"/>
      <c r="DH127" s="245"/>
      <c r="DI127" s="245"/>
      <c r="DJ127" s="245"/>
      <c r="DK127" s="245"/>
      <c r="DL127" s="245"/>
      <c r="DM127" s="245"/>
      <c r="DN127" s="81"/>
      <c r="DO127" s="245"/>
      <c r="DP127" s="245"/>
      <c r="DQ127" s="245"/>
      <c r="DR127" s="245"/>
      <c r="DS127" s="245"/>
      <c r="DT127" s="245"/>
      <c r="DU127" s="81"/>
      <c r="DV127" s="245"/>
      <c r="DW127" s="245"/>
      <c r="DX127" s="245"/>
      <c r="DY127" s="245"/>
      <c r="DZ127" s="245"/>
      <c r="EA127" s="245"/>
      <c r="EB127" s="81"/>
      <c r="EC127" s="245"/>
      <c r="ED127" s="245"/>
      <c r="EE127" s="245"/>
      <c r="EF127" s="245"/>
      <c r="EG127" s="245"/>
      <c r="EH127" s="245"/>
      <c r="EI127" s="81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47"/>
      <c r="FD127" s="47"/>
      <c r="FE127" s="47"/>
      <c r="FF127" s="47"/>
      <c r="FG127" s="47"/>
      <c r="FH127" s="47"/>
      <c r="FI127" s="47"/>
      <c r="FJ127" s="47"/>
      <c r="FK127" s="47"/>
      <c r="FL127" s="47"/>
      <c r="FM127" s="47"/>
      <c r="FN127" s="47"/>
      <c r="FO127" s="47"/>
      <c r="FP127" s="47"/>
      <c r="FQ127" s="47"/>
      <c r="FR127" s="47"/>
      <c r="FS127" s="47"/>
      <c r="FT127" s="47"/>
      <c r="FU127" s="47"/>
      <c r="FV127" s="47"/>
      <c r="FW127" s="47"/>
      <c r="FX127" s="47"/>
      <c r="FY127" s="47"/>
      <c r="FZ127" s="47"/>
      <c r="GA127" s="47"/>
      <c r="GB127" s="47"/>
      <c r="GC127" s="47"/>
      <c r="GD127" s="47"/>
      <c r="GE127" s="47"/>
    </row>
    <row r="128" spans="1:187" ht="10.5" customHeight="1" outlineLevel="1">
      <c r="A128" s="47"/>
      <c r="B128" s="918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81"/>
      <c r="U128" s="245"/>
      <c r="V128" s="245"/>
      <c r="W128" s="245"/>
      <c r="X128" s="245"/>
      <c r="Y128" s="245"/>
      <c r="Z128" s="245"/>
      <c r="AA128" s="81"/>
      <c r="AB128" s="245"/>
      <c r="AC128" s="245"/>
      <c r="AD128" s="245"/>
      <c r="AE128" s="245"/>
      <c r="AF128" s="245"/>
      <c r="AG128" s="245"/>
      <c r="AH128" s="81"/>
      <c r="AI128" s="245"/>
      <c r="AJ128" s="245"/>
      <c r="AK128" s="245"/>
      <c r="AL128" s="245"/>
      <c r="AM128" s="245"/>
      <c r="AN128" s="245"/>
      <c r="AO128" s="81"/>
      <c r="AP128" s="245"/>
      <c r="AQ128" s="245"/>
      <c r="AR128" s="245"/>
      <c r="AS128" s="245"/>
      <c r="AT128" s="245"/>
      <c r="AU128" s="245"/>
      <c r="AV128" s="81"/>
      <c r="AW128" s="245"/>
      <c r="AX128" s="245"/>
      <c r="AY128" s="245"/>
      <c r="AZ128" s="245"/>
      <c r="BA128" s="245"/>
      <c r="BB128" s="245"/>
      <c r="BC128" s="81"/>
      <c r="BD128" s="245"/>
      <c r="BE128" s="245"/>
      <c r="BF128" s="245"/>
      <c r="BG128" s="245"/>
      <c r="BH128" s="245"/>
      <c r="BI128" s="245"/>
      <c r="BJ128" s="81"/>
      <c r="BK128" s="245"/>
      <c r="BL128" s="245"/>
      <c r="BM128" s="245"/>
      <c r="BN128" s="245"/>
      <c r="BO128" s="245"/>
      <c r="BP128" s="245"/>
      <c r="BQ128" s="81"/>
      <c r="BR128" s="245"/>
      <c r="BS128" s="245"/>
      <c r="BT128" s="245"/>
      <c r="BU128" s="245"/>
      <c r="BV128" s="245"/>
      <c r="BW128" s="245"/>
      <c r="BX128" s="81"/>
      <c r="BY128" s="245"/>
      <c r="BZ128" s="245"/>
      <c r="CA128" s="245"/>
      <c r="CB128" s="245"/>
      <c r="CC128" s="245"/>
      <c r="CD128" s="245"/>
      <c r="CE128" s="81"/>
      <c r="CF128" s="245"/>
      <c r="CG128" s="245"/>
      <c r="CH128" s="245"/>
      <c r="CI128" s="245"/>
      <c r="CJ128" s="245"/>
      <c r="CK128" s="245"/>
      <c r="CL128" s="81"/>
      <c r="CM128" s="245"/>
      <c r="CN128" s="245"/>
      <c r="CO128" s="245"/>
      <c r="CP128" s="245"/>
      <c r="CQ128" s="245"/>
      <c r="CR128" s="245"/>
      <c r="CS128" s="81"/>
      <c r="CT128" s="245"/>
      <c r="CU128" s="245"/>
      <c r="CV128" s="245"/>
      <c r="CW128" s="245"/>
      <c r="CX128" s="245"/>
      <c r="CY128" s="245"/>
      <c r="CZ128" s="81"/>
      <c r="DA128" s="245"/>
      <c r="DB128" s="245"/>
      <c r="DC128" s="245"/>
      <c r="DD128" s="245"/>
      <c r="DE128" s="245"/>
      <c r="DF128" s="245"/>
      <c r="DG128" s="81"/>
      <c r="DH128" s="245"/>
      <c r="DI128" s="245"/>
      <c r="DJ128" s="245"/>
      <c r="DK128" s="245"/>
      <c r="DL128" s="245"/>
      <c r="DM128" s="245"/>
      <c r="DN128" s="81"/>
      <c r="DO128" s="245"/>
      <c r="DP128" s="245"/>
      <c r="DQ128" s="245"/>
      <c r="DR128" s="245"/>
      <c r="DS128" s="245"/>
      <c r="DT128" s="245"/>
      <c r="DU128" s="81"/>
      <c r="DV128" s="245"/>
      <c r="DW128" s="245"/>
      <c r="DX128" s="245"/>
      <c r="DY128" s="245"/>
      <c r="DZ128" s="245"/>
      <c r="EA128" s="245"/>
      <c r="EB128" s="81"/>
      <c r="EC128" s="245"/>
      <c r="ED128" s="245"/>
      <c r="EE128" s="245"/>
      <c r="EF128" s="245"/>
      <c r="EG128" s="245"/>
      <c r="EH128" s="245"/>
      <c r="EI128" s="81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47"/>
      <c r="FD128" s="47"/>
      <c r="FE128" s="47"/>
      <c r="FF128" s="47"/>
      <c r="FG128" s="47"/>
      <c r="FH128" s="47"/>
      <c r="FI128" s="47"/>
      <c r="FJ128" s="47"/>
      <c r="FK128" s="47"/>
      <c r="FL128" s="47"/>
      <c r="FM128" s="47"/>
      <c r="FN128" s="47"/>
      <c r="FO128" s="47"/>
      <c r="FP128" s="47"/>
      <c r="FQ128" s="47"/>
      <c r="FR128" s="47"/>
      <c r="FS128" s="47"/>
      <c r="FT128" s="47"/>
      <c r="FU128" s="47"/>
      <c r="FV128" s="47"/>
      <c r="FW128" s="47"/>
      <c r="FX128" s="47"/>
      <c r="FY128" s="47"/>
      <c r="FZ128" s="47"/>
      <c r="GA128" s="47"/>
      <c r="GB128" s="47"/>
      <c r="GC128" s="47"/>
      <c r="GD128" s="47"/>
      <c r="GE128" s="47"/>
    </row>
    <row r="129" spans="1:187" ht="10.5" customHeight="1" outlineLevel="1">
      <c r="A129" s="48" t="s">
        <v>29</v>
      </c>
      <c r="B129" s="84"/>
      <c r="C129" s="84"/>
      <c r="D129" s="201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80"/>
      <c r="U129" s="108"/>
      <c r="V129" s="108"/>
      <c r="W129" s="108"/>
      <c r="X129" s="108"/>
      <c r="Y129" s="108"/>
      <c r="Z129" s="108"/>
      <c r="AA129" s="80"/>
      <c r="AB129" s="108"/>
      <c r="AC129" s="108"/>
      <c r="AD129" s="108"/>
      <c r="AE129" s="108"/>
      <c r="AF129" s="108"/>
      <c r="AG129" s="108"/>
      <c r="AH129" s="80">
        <f>AH4</f>
        <v>6786</v>
      </c>
      <c r="AI129" s="108"/>
      <c r="AJ129" s="108"/>
      <c r="AK129" s="108"/>
      <c r="AL129" s="108"/>
      <c r="AM129" s="108"/>
      <c r="AN129" s="108"/>
      <c r="AO129" s="43">
        <f>AO4</f>
        <v>6652</v>
      </c>
      <c r="AP129" s="108"/>
      <c r="AQ129" s="108"/>
      <c r="AR129" s="108"/>
      <c r="AS129" s="108"/>
      <c r="AT129" s="108"/>
      <c r="AU129" s="108"/>
      <c r="AV129" s="43">
        <f t="shared" ref="AV129:AV136" si="871">AO129/AH129-1</f>
        <v>-1.9746536987916286E-2</v>
      </c>
      <c r="AW129" s="108"/>
      <c r="AX129" s="108"/>
      <c r="AY129" s="108"/>
      <c r="AZ129" s="108"/>
      <c r="BA129" s="108"/>
      <c r="BB129" s="108"/>
      <c r="BC129" s="43"/>
      <c r="BD129" s="108"/>
      <c r="BE129" s="108"/>
      <c r="BF129" s="108"/>
      <c r="BG129" s="108"/>
      <c r="BH129" s="108"/>
      <c r="BI129" s="108"/>
      <c r="BJ129" s="43"/>
      <c r="BK129" s="108"/>
      <c r="BL129" s="108"/>
      <c r="BM129" s="108"/>
      <c r="BN129" s="108"/>
      <c r="BO129" s="108"/>
      <c r="BP129" s="108"/>
      <c r="BQ129" s="43"/>
      <c r="BR129" s="108"/>
      <c r="BS129" s="108"/>
      <c r="BT129" s="108"/>
      <c r="BU129" s="108"/>
      <c r="BV129" s="108"/>
      <c r="BW129" s="108"/>
      <c r="BX129" s="43"/>
      <c r="BY129" s="108"/>
      <c r="BZ129" s="108"/>
      <c r="CA129" s="108"/>
      <c r="CB129" s="108"/>
      <c r="CC129" s="108"/>
      <c r="CD129" s="108"/>
      <c r="CE129" s="43"/>
      <c r="CF129" s="108"/>
      <c r="CG129" s="108"/>
      <c r="CH129" s="108"/>
      <c r="CI129" s="108"/>
      <c r="CJ129" s="108"/>
      <c r="CK129" s="108"/>
      <c r="CL129" s="43"/>
      <c r="CM129" s="108"/>
      <c r="CN129" s="108"/>
      <c r="CO129" s="108"/>
      <c r="CP129" s="108"/>
      <c r="CQ129" s="108"/>
      <c r="CR129" s="108"/>
      <c r="CS129" s="43"/>
      <c r="CT129" s="108"/>
      <c r="CU129" s="108"/>
      <c r="CV129" s="108"/>
      <c r="CW129" s="108"/>
      <c r="CX129" s="108"/>
      <c r="CY129" s="108"/>
      <c r="CZ129" s="43"/>
      <c r="DA129" s="108"/>
      <c r="DB129" s="108"/>
      <c r="DC129" s="108"/>
      <c r="DD129" s="108"/>
      <c r="DE129" s="108"/>
      <c r="DF129" s="108"/>
      <c r="DG129" s="43"/>
      <c r="DH129" s="108"/>
      <c r="DI129" s="108"/>
      <c r="DJ129" s="108"/>
      <c r="DK129" s="108"/>
      <c r="DL129" s="108"/>
      <c r="DM129" s="108"/>
      <c r="DN129" s="43"/>
      <c r="DO129" s="108"/>
      <c r="DP129" s="108"/>
      <c r="DQ129" s="108"/>
      <c r="DR129" s="108"/>
      <c r="DS129" s="108"/>
      <c r="DT129" s="108"/>
      <c r="DU129" s="43"/>
      <c r="DV129" s="108"/>
      <c r="DW129" s="108"/>
      <c r="DX129" s="108"/>
      <c r="DY129" s="108"/>
      <c r="DZ129" s="108"/>
      <c r="EA129" s="108"/>
      <c r="EB129" s="43"/>
      <c r="EC129" s="108"/>
      <c r="ED129" s="108"/>
      <c r="EE129" s="108"/>
      <c r="EF129" s="108"/>
      <c r="EG129" s="108"/>
      <c r="EH129" s="108"/>
      <c r="EI129" s="43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47"/>
      <c r="FD129" s="47"/>
      <c r="FE129" s="47"/>
      <c r="FF129" s="47"/>
      <c r="FG129" s="47"/>
      <c r="FH129" s="47"/>
      <c r="FI129" s="47"/>
      <c r="FJ129" s="47"/>
      <c r="FK129" s="47"/>
      <c r="FL129" s="47"/>
      <c r="FM129" s="47"/>
      <c r="FN129" s="47"/>
      <c r="FO129" s="47"/>
      <c r="FP129" s="47"/>
      <c r="FQ129" s="47"/>
      <c r="FR129" s="47"/>
      <c r="FS129" s="47"/>
      <c r="FT129" s="47"/>
      <c r="FU129" s="47"/>
      <c r="FV129" s="47"/>
      <c r="FW129" s="47"/>
      <c r="FX129" s="47"/>
      <c r="FY129" s="47"/>
      <c r="FZ129" s="47"/>
      <c r="GA129" s="47"/>
      <c r="GB129" s="47"/>
      <c r="GC129" s="47"/>
      <c r="GD129" s="47"/>
      <c r="GE129" s="47"/>
    </row>
    <row r="130" spans="1:187" ht="10.5" customHeight="1" outlineLevel="1">
      <c r="A130" s="108" t="s">
        <v>532</v>
      </c>
      <c r="B130" s="84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80"/>
      <c r="U130" s="176"/>
      <c r="V130" s="176"/>
      <c r="W130" s="176"/>
      <c r="X130" s="176"/>
      <c r="Y130" s="176"/>
      <c r="Z130" s="176"/>
      <c r="AA130" s="80"/>
      <c r="AB130" s="176"/>
      <c r="AC130" s="176"/>
      <c r="AD130" s="176"/>
      <c r="AE130" s="176"/>
      <c r="AF130" s="176"/>
      <c r="AG130" s="176"/>
      <c r="AH130" s="80">
        <f>Divisional!AB5</f>
        <v>1285</v>
      </c>
      <c r="AI130" s="176"/>
      <c r="AJ130" s="176"/>
      <c r="AK130" s="176"/>
      <c r="AL130" s="176"/>
      <c r="AM130" s="176"/>
      <c r="AN130" s="176"/>
      <c r="AO130" s="80">
        <f>Divisional!AI5</f>
        <v>1158</v>
      </c>
      <c r="AP130" s="176"/>
      <c r="AQ130" s="176"/>
      <c r="AR130" s="176"/>
      <c r="AS130" s="176"/>
      <c r="AT130" s="176"/>
      <c r="AU130" s="176"/>
      <c r="AV130" s="80">
        <f t="shared" si="871"/>
        <v>-9.8832684824902706E-2</v>
      </c>
      <c r="AW130" s="176"/>
      <c r="AX130" s="176"/>
      <c r="AY130" s="176"/>
      <c r="AZ130" s="176"/>
      <c r="BA130" s="176"/>
      <c r="BB130" s="176"/>
      <c r="BC130" s="80"/>
      <c r="BD130" s="176"/>
      <c r="BE130" s="176"/>
      <c r="BF130" s="176"/>
      <c r="BG130" s="176"/>
      <c r="BH130" s="176"/>
      <c r="BI130" s="176"/>
      <c r="BJ130" s="80"/>
      <c r="BK130" s="176"/>
      <c r="BL130" s="176"/>
      <c r="BM130" s="176"/>
      <c r="BN130" s="176"/>
      <c r="BO130" s="176"/>
      <c r="BP130" s="176"/>
      <c r="BQ130" s="80"/>
      <c r="BR130" s="176"/>
      <c r="BS130" s="176"/>
      <c r="BT130" s="176"/>
      <c r="BU130" s="176"/>
      <c r="BV130" s="176"/>
      <c r="BW130" s="176"/>
      <c r="BX130" s="80"/>
      <c r="BY130" s="176"/>
      <c r="BZ130" s="176"/>
      <c r="CA130" s="176"/>
      <c r="CB130" s="176"/>
      <c r="CC130" s="176"/>
      <c r="CD130" s="176"/>
      <c r="CE130" s="80"/>
      <c r="CF130" s="176"/>
      <c r="CG130" s="176"/>
      <c r="CH130" s="176"/>
      <c r="CI130" s="176"/>
      <c r="CJ130" s="176"/>
      <c r="CK130" s="176"/>
      <c r="CL130" s="80"/>
      <c r="CM130" s="176"/>
      <c r="CN130" s="176"/>
      <c r="CO130" s="176"/>
      <c r="CP130" s="176"/>
      <c r="CQ130" s="176"/>
      <c r="CR130" s="176"/>
      <c r="CS130" s="80"/>
      <c r="CT130" s="176"/>
      <c r="CU130" s="176"/>
      <c r="CV130" s="176"/>
      <c r="CW130" s="176"/>
      <c r="CX130" s="176"/>
      <c r="CY130" s="176"/>
      <c r="CZ130" s="80"/>
      <c r="DA130" s="176"/>
      <c r="DB130" s="176"/>
      <c r="DC130" s="176"/>
      <c r="DD130" s="176"/>
      <c r="DE130" s="176"/>
      <c r="DF130" s="176"/>
      <c r="DG130" s="80"/>
      <c r="DH130" s="176"/>
      <c r="DI130" s="176"/>
      <c r="DJ130" s="176"/>
      <c r="DK130" s="176"/>
      <c r="DL130" s="176"/>
      <c r="DM130" s="176"/>
      <c r="DN130" s="80"/>
      <c r="DO130" s="176"/>
      <c r="DP130" s="176"/>
      <c r="DQ130" s="176"/>
      <c r="DR130" s="176"/>
      <c r="DS130" s="176"/>
      <c r="DT130" s="176"/>
      <c r="DU130" s="80"/>
      <c r="DV130" s="176"/>
      <c r="DW130" s="176"/>
      <c r="DX130" s="176"/>
      <c r="DY130" s="176"/>
      <c r="DZ130" s="176"/>
      <c r="EA130" s="176"/>
      <c r="EB130" s="80"/>
      <c r="EC130" s="176"/>
      <c r="ED130" s="176"/>
      <c r="EE130" s="176"/>
      <c r="EF130" s="176"/>
      <c r="EG130" s="176"/>
      <c r="EH130" s="176"/>
      <c r="EI130" s="80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47"/>
      <c r="FD130" s="47"/>
      <c r="FE130" s="47"/>
      <c r="FF130" s="47"/>
      <c r="FG130" s="47"/>
      <c r="FH130" s="47"/>
      <c r="FI130" s="47"/>
      <c r="FJ130" s="47"/>
      <c r="FK130" s="47"/>
      <c r="FL130" s="47"/>
      <c r="FM130" s="47"/>
      <c r="FN130" s="47"/>
      <c r="FO130" s="47"/>
      <c r="FP130" s="47"/>
      <c r="FQ130" s="47"/>
      <c r="FR130" s="47"/>
      <c r="FS130" s="47"/>
      <c r="FT130" s="47"/>
      <c r="FU130" s="47"/>
      <c r="FV130" s="47"/>
      <c r="FW130" s="47"/>
      <c r="FX130" s="47"/>
      <c r="FY130" s="47"/>
      <c r="FZ130" s="47"/>
      <c r="GA130" s="47"/>
      <c r="GB130" s="47"/>
      <c r="GC130" s="47"/>
      <c r="GD130" s="47"/>
      <c r="GE130" s="47"/>
    </row>
    <row r="131" spans="1:187" ht="10.5" customHeight="1" outlineLevel="1">
      <c r="A131" s="108" t="s">
        <v>533</v>
      </c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80"/>
      <c r="U131" s="176"/>
      <c r="V131" s="176"/>
      <c r="W131" s="176"/>
      <c r="X131" s="176"/>
      <c r="Y131" s="176"/>
      <c r="Z131" s="176"/>
      <c r="AA131" s="80"/>
      <c r="AB131" s="176"/>
      <c r="AC131" s="176"/>
      <c r="AD131" s="176"/>
      <c r="AE131" s="176"/>
      <c r="AF131" s="176"/>
      <c r="AG131" s="176"/>
      <c r="AH131" s="80">
        <f>AH132-AH130</f>
        <v>1665</v>
      </c>
      <c r="AI131" s="176"/>
      <c r="AJ131" s="176"/>
      <c r="AK131" s="176"/>
      <c r="AL131" s="176"/>
      <c r="AM131" s="176"/>
      <c r="AN131" s="176"/>
      <c r="AO131" s="80">
        <f>AO132-AO130</f>
        <v>1529</v>
      </c>
      <c r="AP131" s="176"/>
      <c r="AQ131" s="176"/>
      <c r="AR131" s="176"/>
      <c r="AS131" s="176"/>
      <c r="AT131" s="176"/>
      <c r="AU131" s="176"/>
      <c r="AV131" s="80">
        <f t="shared" si="871"/>
        <v>-8.1681681681681662E-2</v>
      </c>
      <c r="AW131" s="176"/>
      <c r="AX131" s="176"/>
      <c r="AY131" s="176"/>
      <c r="AZ131" s="176"/>
      <c r="BA131" s="176"/>
      <c r="BB131" s="176"/>
      <c r="BC131" s="80"/>
      <c r="BD131" s="176"/>
      <c r="BE131" s="176"/>
      <c r="BF131" s="176"/>
      <c r="BG131" s="176"/>
      <c r="BH131" s="176"/>
      <c r="BI131" s="176"/>
      <c r="BJ131" s="80"/>
      <c r="BK131" s="176"/>
      <c r="BL131" s="176"/>
      <c r="BM131" s="176"/>
      <c r="BN131" s="176"/>
      <c r="BO131" s="176"/>
      <c r="BP131" s="176"/>
      <c r="BQ131" s="80"/>
      <c r="BR131" s="176"/>
      <c r="BS131" s="176"/>
      <c r="BT131" s="176"/>
      <c r="BU131" s="176"/>
      <c r="BV131" s="176"/>
      <c r="BW131" s="176"/>
      <c r="BX131" s="80"/>
      <c r="BY131" s="176"/>
      <c r="BZ131" s="176"/>
      <c r="CA131" s="176"/>
      <c r="CB131" s="176"/>
      <c r="CC131" s="176"/>
      <c r="CD131" s="176"/>
      <c r="CE131" s="80"/>
      <c r="CF131" s="176"/>
      <c r="CG131" s="176"/>
      <c r="CH131" s="176"/>
      <c r="CI131" s="176"/>
      <c r="CJ131" s="176"/>
      <c r="CK131" s="176"/>
      <c r="CL131" s="80"/>
      <c r="CM131" s="176"/>
      <c r="CN131" s="176"/>
      <c r="CO131" s="176"/>
      <c r="CP131" s="176"/>
      <c r="CQ131" s="176"/>
      <c r="CR131" s="176"/>
      <c r="CS131" s="80"/>
      <c r="CT131" s="176"/>
      <c r="CU131" s="176"/>
      <c r="CV131" s="176"/>
      <c r="CW131" s="176"/>
      <c r="CX131" s="176"/>
      <c r="CY131" s="176"/>
      <c r="CZ131" s="80"/>
      <c r="DA131" s="176"/>
      <c r="DB131" s="176"/>
      <c r="DC131" s="176"/>
      <c r="DD131" s="176"/>
      <c r="DE131" s="176"/>
      <c r="DF131" s="176"/>
      <c r="DG131" s="80"/>
      <c r="DH131" s="176"/>
      <c r="DI131" s="176"/>
      <c r="DJ131" s="176"/>
      <c r="DK131" s="176"/>
      <c r="DL131" s="176"/>
      <c r="DM131" s="176"/>
      <c r="DN131" s="80"/>
      <c r="DO131" s="176"/>
      <c r="DP131" s="176"/>
      <c r="DQ131" s="176"/>
      <c r="DR131" s="176"/>
      <c r="DS131" s="176"/>
      <c r="DT131" s="176"/>
      <c r="DU131" s="80"/>
      <c r="DV131" s="176"/>
      <c r="DW131" s="176"/>
      <c r="DX131" s="176"/>
      <c r="DY131" s="176"/>
      <c r="DZ131" s="176"/>
      <c r="EA131" s="176"/>
      <c r="EB131" s="80"/>
      <c r="EC131" s="176"/>
      <c r="ED131" s="176"/>
      <c r="EE131" s="176"/>
      <c r="EF131" s="176"/>
      <c r="EG131" s="176"/>
      <c r="EH131" s="176"/>
      <c r="EI131" s="80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47"/>
      <c r="FD131" s="47"/>
      <c r="FE131" s="47"/>
      <c r="FF131" s="47"/>
      <c r="FG131" s="47"/>
      <c r="FH131" s="47"/>
      <c r="FI131" s="47"/>
      <c r="FJ131" s="47"/>
      <c r="FK131" s="47"/>
      <c r="FL131" s="47"/>
      <c r="FM131" s="47"/>
      <c r="FN131" s="47"/>
      <c r="FO131" s="47"/>
      <c r="FP131" s="47"/>
      <c r="FQ131" s="47"/>
      <c r="FR131" s="47"/>
      <c r="FS131" s="47"/>
      <c r="FT131" s="47"/>
      <c r="FU131" s="47"/>
      <c r="FV131" s="47"/>
      <c r="FW131" s="47"/>
      <c r="FX131" s="47"/>
      <c r="FY131" s="47"/>
      <c r="FZ131" s="47"/>
      <c r="GA131" s="47"/>
      <c r="GB131" s="47"/>
      <c r="GC131" s="47"/>
      <c r="GD131" s="47"/>
      <c r="GE131" s="47"/>
    </row>
    <row r="132" spans="1:187" ht="10.5" customHeight="1" outlineLevel="1">
      <c r="A132" s="108" t="s">
        <v>520</v>
      </c>
      <c r="B132" s="84"/>
      <c r="C132" s="176"/>
      <c r="D132" s="176"/>
      <c r="E132" s="176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80"/>
      <c r="U132" s="135"/>
      <c r="V132" s="135"/>
      <c r="W132" s="135"/>
      <c r="X132" s="135"/>
      <c r="Y132" s="135"/>
      <c r="Z132" s="135"/>
      <c r="AA132" s="80"/>
      <c r="AB132" s="135"/>
      <c r="AC132" s="135"/>
      <c r="AD132" s="135"/>
      <c r="AE132" s="135"/>
      <c r="AF132" s="135"/>
      <c r="AG132" s="135"/>
      <c r="AH132" s="80">
        <f>Divisional!AF5</f>
        <v>2950</v>
      </c>
      <c r="AI132" s="135"/>
      <c r="AJ132" s="135"/>
      <c r="AK132" s="135"/>
      <c r="AL132" s="135"/>
      <c r="AM132" s="135"/>
      <c r="AN132" s="135"/>
      <c r="AO132" s="62">
        <f>Divisional!AM5</f>
        <v>2687</v>
      </c>
      <c r="AP132" s="135"/>
      <c r="AQ132" s="135"/>
      <c r="AR132" s="135"/>
      <c r="AS132" s="135"/>
      <c r="AT132" s="135"/>
      <c r="AU132" s="135"/>
      <c r="AV132" s="62">
        <f t="shared" si="871"/>
        <v>-8.9152542372881394E-2</v>
      </c>
      <c r="AW132" s="135"/>
      <c r="AX132" s="135"/>
      <c r="AY132" s="135"/>
      <c r="AZ132" s="135"/>
      <c r="BA132" s="135"/>
      <c r="BB132" s="135"/>
      <c r="BC132" s="62"/>
      <c r="BD132" s="135"/>
      <c r="BE132" s="135"/>
      <c r="BF132" s="135"/>
      <c r="BG132" s="135"/>
      <c r="BH132" s="135"/>
      <c r="BI132" s="135"/>
      <c r="BJ132" s="62"/>
      <c r="BK132" s="135"/>
      <c r="BL132" s="135"/>
      <c r="BM132" s="135"/>
      <c r="BN132" s="135"/>
      <c r="BO132" s="135"/>
      <c r="BP132" s="135"/>
      <c r="BQ132" s="62"/>
      <c r="BR132" s="135"/>
      <c r="BS132" s="135"/>
      <c r="BT132" s="135"/>
      <c r="BU132" s="135"/>
      <c r="BV132" s="135"/>
      <c r="BW132" s="135"/>
      <c r="BX132" s="62"/>
      <c r="BY132" s="135"/>
      <c r="BZ132" s="135"/>
      <c r="CA132" s="135"/>
      <c r="CB132" s="135"/>
      <c r="CC132" s="135"/>
      <c r="CD132" s="135"/>
      <c r="CE132" s="62"/>
      <c r="CF132" s="135"/>
      <c r="CG132" s="135"/>
      <c r="CH132" s="135"/>
      <c r="CI132" s="135"/>
      <c r="CJ132" s="135"/>
      <c r="CK132" s="135"/>
      <c r="CL132" s="62"/>
      <c r="CM132" s="135"/>
      <c r="CN132" s="135"/>
      <c r="CO132" s="135"/>
      <c r="CP132" s="135"/>
      <c r="CQ132" s="135"/>
      <c r="CR132" s="135"/>
      <c r="CS132" s="62"/>
      <c r="CT132" s="135"/>
      <c r="CU132" s="135"/>
      <c r="CV132" s="135"/>
      <c r="CW132" s="135"/>
      <c r="CX132" s="135"/>
      <c r="CY132" s="135"/>
      <c r="CZ132" s="62"/>
      <c r="DA132" s="135"/>
      <c r="DB132" s="135"/>
      <c r="DC132" s="135"/>
      <c r="DD132" s="135"/>
      <c r="DE132" s="135"/>
      <c r="DF132" s="135"/>
      <c r="DG132" s="62"/>
      <c r="DH132" s="135"/>
      <c r="DI132" s="135"/>
      <c r="DJ132" s="135"/>
      <c r="DK132" s="135"/>
      <c r="DL132" s="135"/>
      <c r="DM132" s="135"/>
      <c r="DN132" s="62"/>
      <c r="DO132" s="135"/>
      <c r="DP132" s="135"/>
      <c r="DQ132" s="135"/>
      <c r="DR132" s="135"/>
      <c r="DS132" s="135"/>
      <c r="DT132" s="135"/>
      <c r="DU132" s="62"/>
      <c r="DV132" s="135"/>
      <c r="DW132" s="135"/>
      <c r="DX132" s="135"/>
      <c r="DY132" s="135"/>
      <c r="DZ132" s="135"/>
      <c r="EA132" s="135"/>
      <c r="EB132" s="62"/>
      <c r="EC132" s="135"/>
      <c r="ED132" s="135"/>
      <c r="EE132" s="135"/>
      <c r="EF132" s="135"/>
      <c r="EG132" s="135"/>
      <c r="EH132" s="135"/>
      <c r="EI132" s="62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47"/>
      <c r="FD132" s="47"/>
      <c r="FE132" s="47"/>
      <c r="FF132" s="47"/>
      <c r="FG132" s="47"/>
      <c r="FH132" s="47"/>
      <c r="FI132" s="47"/>
      <c r="FJ132" s="47"/>
      <c r="FK132" s="47"/>
      <c r="FL132" s="47"/>
      <c r="FM132" s="47"/>
      <c r="FN132" s="47"/>
      <c r="FO132" s="47"/>
      <c r="FP132" s="47"/>
      <c r="FQ132" s="47"/>
      <c r="FR132" s="47"/>
      <c r="FS132" s="47"/>
      <c r="FT132" s="47"/>
      <c r="FU132" s="47"/>
      <c r="FV132" s="47"/>
      <c r="FW132" s="47"/>
      <c r="FX132" s="47"/>
      <c r="FY132" s="47"/>
      <c r="FZ132" s="47"/>
      <c r="GA132" s="47"/>
      <c r="GB132" s="47"/>
      <c r="GC132" s="47"/>
      <c r="GD132" s="47"/>
      <c r="GE132" s="47"/>
    </row>
    <row r="133" spans="1:187" ht="10.5" customHeight="1" outlineLevel="1">
      <c r="A133" s="108" t="s">
        <v>534</v>
      </c>
      <c r="B133" s="231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80"/>
      <c r="U133" s="176"/>
      <c r="V133" s="176"/>
      <c r="W133" s="176"/>
      <c r="X133" s="176"/>
      <c r="Y133" s="176"/>
      <c r="Z133" s="176"/>
      <c r="AA133" s="80"/>
      <c r="AB133" s="176"/>
      <c r="AC133" s="176"/>
      <c r="AD133" s="176"/>
      <c r="AE133" s="176"/>
      <c r="AF133" s="176"/>
      <c r="AG133" s="176"/>
      <c r="AH133" s="80">
        <f>AH134-AH132</f>
        <v>1473</v>
      </c>
      <c r="AI133" s="176"/>
      <c r="AJ133" s="176"/>
      <c r="AK133" s="176"/>
      <c r="AL133" s="176"/>
      <c r="AM133" s="176"/>
      <c r="AN133" s="176"/>
      <c r="AO133" s="80">
        <f>AO134-AO132</f>
        <v>1595</v>
      </c>
      <c r="AP133" s="176"/>
      <c r="AQ133" s="176"/>
      <c r="AR133" s="176"/>
      <c r="AS133" s="176"/>
      <c r="AT133" s="176"/>
      <c r="AU133" s="176"/>
      <c r="AV133" s="80">
        <f t="shared" si="871"/>
        <v>8.2824168363883288E-2</v>
      </c>
      <c r="AW133" s="176"/>
      <c r="AX133" s="176"/>
      <c r="AY133" s="176"/>
      <c r="AZ133" s="176"/>
      <c r="BA133" s="176"/>
      <c r="BB133" s="176"/>
      <c r="BC133" s="80"/>
      <c r="BD133" s="176"/>
      <c r="BE133" s="176"/>
      <c r="BF133" s="176"/>
      <c r="BG133" s="176"/>
      <c r="BH133" s="176"/>
      <c r="BI133" s="176"/>
      <c r="BJ133" s="80"/>
      <c r="BK133" s="176"/>
      <c r="BL133" s="176"/>
      <c r="BM133" s="176"/>
      <c r="BN133" s="176"/>
      <c r="BO133" s="176"/>
      <c r="BP133" s="176"/>
      <c r="BQ133" s="80"/>
      <c r="BR133" s="176"/>
      <c r="BS133" s="176"/>
      <c r="BT133" s="176"/>
      <c r="BU133" s="176"/>
      <c r="BV133" s="176"/>
      <c r="BW133" s="176"/>
      <c r="BX133" s="80"/>
      <c r="BY133" s="176"/>
      <c r="BZ133" s="176"/>
      <c r="CA133" s="176"/>
      <c r="CB133" s="176"/>
      <c r="CC133" s="176"/>
      <c r="CD133" s="176"/>
      <c r="CE133" s="80"/>
      <c r="CF133" s="176"/>
      <c r="CG133" s="176"/>
      <c r="CH133" s="176"/>
      <c r="CI133" s="176"/>
      <c r="CJ133" s="176"/>
      <c r="CK133" s="176"/>
      <c r="CL133" s="80"/>
      <c r="CM133" s="176"/>
      <c r="CN133" s="176"/>
      <c r="CO133" s="176"/>
      <c r="CP133" s="176"/>
      <c r="CQ133" s="176"/>
      <c r="CR133" s="176"/>
      <c r="CS133" s="80"/>
      <c r="CT133" s="176"/>
      <c r="CU133" s="176"/>
      <c r="CV133" s="176"/>
      <c r="CW133" s="176"/>
      <c r="CX133" s="176"/>
      <c r="CY133" s="176"/>
      <c r="CZ133" s="80"/>
      <c r="DA133" s="176"/>
      <c r="DB133" s="176"/>
      <c r="DC133" s="176"/>
      <c r="DD133" s="176"/>
      <c r="DE133" s="176"/>
      <c r="DF133" s="176"/>
      <c r="DG133" s="80"/>
      <c r="DH133" s="176"/>
      <c r="DI133" s="176"/>
      <c r="DJ133" s="176"/>
      <c r="DK133" s="176"/>
      <c r="DL133" s="176"/>
      <c r="DM133" s="176"/>
      <c r="DN133" s="80"/>
      <c r="DO133" s="176"/>
      <c r="DP133" s="176"/>
      <c r="DQ133" s="176"/>
      <c r="DR133" s="176"/>
      <c r="DS133" s="176"/>
      <c r="DT133" s="176"/>
      <c r="DU133" s="80"/>
      <c r="DV133" s="176"/>
      <c r="DW133" s="176"/>
      <c r="DX133" s="176"/>
      <c r="DY133" s="176"/>
      <c r="DZ133" s="176"/>
      <c r="EA133" s="176"/>
      <c r="EB133" s="80"/>
      <c r="EC133" s="176"/>
      <c r="ED133" s="176"/>
      <c r="EE133" s="176"/>
      <c r="EF133" s="176"/>
      <c r="EG133" s="176"/>
      <c r="EH133" s="176"/>
      <c r="EI133" s="80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47"/>
      <c r="FD133" s="47"/>
      <c r="FE133" s="47"/>
      <c r="FF133" s="47"/>
      <c r="FG133" s="47"/>
      <c r="FH133" s="47"/>
      <c r="FI133" s="47"/>
      <c r="FJ133" s="47"/>
      <c r="FK133" s="47"/>
      <c r="FL133" s="47"/>
      <c r="FM133" s="47"/>
      <c r="FN133" s="47"/>
      <c r="FO133" s="4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47"/>
      <c r="GE133" s="47"/>
    </row>
    <row r="134" spans="1:187" ht="10.5" customHeight="1" outlineLevel="1">
      <c r="A134" s="108" t="s">
        <v>531</v>
      </c>
      <c r="B134" s="78"/>
      <c r="C134" s="78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80"/>
      <c r="U134" s="201"/>
      <c r="V134" s="201"/>
      <c r="W134" s="201"/>
      <c r="X134" s="201"/>
      <c r="Y134" s="201"/>
      <c r="Z134" s="201"/>
      <c r="AA134" s="80"/>
      <c r="AB134" s="201"/>
      <c r="AC134" s="201"/>
      <c r="AD134" s="201"/>
      <c r="AE134" s="201"/>
      <c r="AF134" s="201"/>
      <c r="AG134" s="201"/>
      <c r="AH134" s="80">
        <f>Divisional!AB5+Divisional!AC5+Divisional!AD5</f>
        <v>4423</v>
      </c>
      <c r="AI134" s="201"/>
      <c r="AJ134" s="201"/>
      <c r="AK134" s="201"/>
      <c r="AL134" s="201"/>
      <c r="AM134" s="201"/>
      <c r="AN134" s="201"/>
      <c r="AO134" s="88">
        <f>Divisional!AI5+Divisional!AJ5+Divisional!AK5</f>
        <v>4282</v>
      </c>
      <c r="AP134" s="201"/>
      <c r="AQ134" s="201"/>
      <c r="AR134" s="201"/>
      <c r="AS134" s="201"/>
      <c r="AT134" s="201"/>
      <c r="AU134" s="201"/>
      <c r="AV134" s="88">
        <f t="shared" si="871"/>
        <v>-3.1878815283744033E-2</v>
      </c>
      <c r="AW134" s="201"/>
      <c r="AX134" s="201"/>
      <c r="AY134" s="201"/>
      <c r="AZ134" s="201"/>
      <c r="BA134" s="201"/>
      <c r="BB134" s="201"/>
      <c r="BC134" s="88"/>
      <c r="BD134" s="201"/>
      <c r="BE134" s="201"/>
      <c r="BF134" s="201"/>
      <c r="BG134" s="201"/>
      <c r="BH134" s="201"/>
      <c r="BI134" s="201"/>
      <c r="BJ134" s="88"/>
      <c r="BK134" s="201"/>
      <c r="BL134" s="201"/>
      <c r="BM134" s="201"/>
      <c r="BN134" s="201"/>
      <c r="BO134" s="201"/>
      <c r="BP134" s="201"/>
      <c r="BQ134" s="88"/>
      <c r="BR134" s="201"/>
      <c r="BS134" s="201"/>
      <c r="BT134" s="201"/>
      <c r="BU134" s="201"/>
      <c r="BV134" s="201"/>
      <c r="BW134" s="201"/>
      <c r="BX134" s="88"/>
      <c r="BY134" s="201"/>
      <c r="BZ134" s="201"/>
      <c r="CA134" s="201"/>
      <c r="CB134" s="201"/>
      <c r="CC134" s="201"/>
      <c r="CD134" s="201"/>
      <c r="CE134" s="88"/>
      <c r="CF134" s="201"/>
      <c r="CG134" s="201"/>
      <c r="CH134" s="201"/>
      <c r="CI134" s="201"/>
      <c r="CJ134" s="201"/>
      <c r="CK134" s="201"/>
      <c r="CL134" s="88"/>
      <c r="CM134" s="201"/>
      <c r="CN134" s="201"/>
      <c r="CO134" s="201"/>
      <c r="CP134" s="201"/>
      <c r="CQ134" s="201"/>
      <c r="CR134" s="201"/>
      <c r="CS134" s="88"/>
      <c r="CT134" s="201"/>
      <c r="CU134" s="201"/>
      <c r="CV134" s="201"/>
      <c r="CW134" s="201"/>
      <c r="CX134" s="201"/>
      <c r="CY134" s="201"/>
      <c r="CZ134" s="88"/>
      <c r="DA134" s="201"/>
      <c r="DB134" s="201"/>
      <c r="DC134" s="201"/>
      <c r="DD134" s="201"/>
      <c r="DE134" s="201"/>
      <c r="DF134" s="201"/>
      <c r="DG134" s="88"/>
      <c r="DH134" s="201"/>
      <c r="DI134" s="201"/>
      <c r="DJ134" s="201"/>
      <c r="DK134" s="201"/>
      <c r="DL134" s="201"/>
      <c r="DM134" s="201"/>
      <c r="DN134" s="88"/>
      <c r="DO134" s="201"/>
      <c r="DP134" s="201"/>
      <c r="DQ134" s="201"/>
      <c r="DR134" s="201"/>
      <c r="DS134" s="201"/>
      <c r="DT134" s="201"/>
      <c r="DU134" s="88"/>
      <c r="DV134" s="201"/>
      <c r="DW134" s="201"/>
      <c r="DX134" s="201"/>
      <c r="DY134" s="201"/>
      <c r="DZ134" s="201"/>
      <c r="EA134" s="201"/>
      <c r="EB134" s="88"/>
      <c r="EC134" s="201"/>
      <c r="ED134" s="201"/>
      <c r="EE134" s="201"/>
      <c r="EF134" s="201"/>
      <c r="EG134" s="201"/>
      <c r="EH134" s="201"/>
      <c r="EI134" s="88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47"/>
      <c r="FD134" s="47"/>
      <c r="FE134" s="47"/>
      <c r="FF134" s="47"/>
      <c r="FG134" s="47"/>
      <c r="FH134" s="47"/>
      <c r="FI134" s="47"/>
      <c r="FJ134" s="47"/>
      <c r="FK134" s="47"/>
      <c r="FL134" s="47"/>
      <c r="FM134" s="47"/>
      <c r="FN134" s="47"/>
      <c r="FO134" s="47"/>
      <c r="FP134" s="47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7"/>
      <c r="GB134" s="47"/>
      <c r="GC134" s="47"/>
      <c r="GD134" s="47"/>
      <c r="GE134" s="47"/>
    </row>
    <row r="135" spans="1:187" ht="10.5" customHeight="1" outlineLevel="1">
      <c r="A135" s="248" t="s">
        <v>535</v>
      </c>
      <c r="B135" s="918"/>
      <c r="C135" s="91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80"/>
      <c r="U135" s="108"/>
      <c r="V135" s="108"/>
      <c r="W135" s="108"/>
      <c r="X135" s="108"/>
      <c r="Y135" s="108"/>
      <c r="Z135" s="108"/>
      <c r="AA135" s="80"/>
      <c r="AB135" s="108"/>
      <c r="AC135" s="108"/>
      <c r="AD135" s="108"/>
      <c r="AE135" s="108"/>
      <c r="AF135" s="108"/>
      <c r="AG135" s="108"/>
      <c r="AH135" s="80">
        <f>AH129-AH134</f>
        <v>2363</v>
      </c>
      <c r="AI135" s="108"/>
      <c r="AJ135" s="108"/>
      <c r="AK135" s="108"/>
      <c r="AL135" s="108"/>
      <c r="AM135" s="108"/>
      <c r="AN135" s="108"/>
      <c r="AO135" s="43">
        <f>AO129-AO134</f>
        <v>2370</v>
      </c>
      <c r="AP135" s="108"/>
      <c r="AQ135" s="108"/>
      <c r="AR135" s="108"/>
      <c r="AS135" s="108"/>
      <c r="AT135" s="108"/>
      <c r="AU135" s="108"/>
      <c r="AV135" s="43">
        <f t="shared" si="871"/>
        <v>2.9623360135420107E-3</v>
      </c>
      <c r="AW135" s="108"/>
      <c r="AX135" s="108"/>
      <c r="AY135" s="108"/>
      <c r="AZ135" s="108"/>
      <c r="BA135" s="108"/>
      <c r="BB135" s="108"/>
      <c r="BC135" s="43"/>
      <c r="BD135" s="108"/>
      <c r="BE135" s="108"/>
      <c r="BF135" s="108"/>
      <c r="BG135" s="108"/>
      <c r="BH135" s="108"/>
      <c r="BI135" s="108"/>
      <c r="BJ135" s="43"/>
      <c r="BK135" s="108"/>
      <c r="BL135" s="108"/>
      <c r="BM135" s="108"/>
      <c r="BN135" s="108"/>
      <c r="BO135" s="108"/>
      <c r="BP135" s="108"/>
      <c r="BQ135" s="43"/>
      <c r="BR135" s="108"/>
      <c r="BS135" s="108"/>
      <c r="BT135" s="108"/>
      <c r="BU135" s="108"/>
      <c r="BV135" s="108"/>
      <c r="BW135" s="108"/>
      <c r="BX135" s="43"/>
      <c r="BY135" s="108"/>
      <c r="BZ135" s="108"/>
      <c r="CA135" s="108"/>
      <c r="CB135" s="108"/>
      <c r="CC135" s="108"/>
      <c r="CD135" s="108"/>
      <c r="CE135" s="43"/>
      <c r="CF135" s="108"/>
      <c r="CG135" s="108"/>
      <c r="CH135" s="108"/>
      <c r="CI135" s="108"/>
      <c r="CJ135" s="108"/>
      <c r="CK135" s="108"/>
      <c r="CL135" s="43"/>
      <c r="CM135" s="108"/>
      <c r="CN135" s="108"/>
      <c r="CO135" s="108"/>
      <c r="CP135" s="108"/>
      <c r="CQ135" s="108"/>
      <c r="CR135" s="108"/>
      <c r="CS135" s="43"/>
      <c r="CT135" s="108"/>
      <c r="CU135" s="108"/>
      <c r="CV135" s="108"/>
      <c r="CW135" s="108"/>
      <c r="CX135" s="108"/>
      <c r="CY135" s="108"/>
      <c r="CZ135" s="43"/>
      <c r="DA135" s="108"/>
      <c r="DB135" s="108"/>
      <c r="DC135" s="108"/>
      <c r="DD135" s="108"/>
      <c r="DE135" s="108"/>
      <c r="DF135" s="108"/>
      <c r="DG135" s="43"/>
      <c r="DH135" s="108"/>
      <c r="DI135" s="108"/>
      <c r="DJ135" s="108"/>
      <c r="DK135" s="108"/>
      <c r="DL135" s="108"/>
      <c r="DM135" s="108"/>
      <c r="DN135" s="43"/>
      <c r="DO135" s="108"/>
      <c r="DP135" s="108"/>
      <c r="DQ135" s="108"/>
      <c r="DR135" s="108"/>
      <c r="DS135" s="108"/>
      <c r="DT135" s="108"/>
      <c r="DU135" s="43"/>
      <c r="DV135" s="108"/>
      <c r="DW135" s="108"/>
      <c r="DX135" s="108"/>
      <c r="DY135" s="108"/>
      <c r="DZ135" s="108"/>
      <c r="EA135" s="108"/>
      <c r="EB135" s="43"/>
      <c r="EC135" s="108"/>
      <c r="ED135" s="108"/>
      <c r="EE135" s="108"/>
      <c r="EF135" s="108"/>
      <c r="EG135" s="108"/>
      <c r="EH135" s="108"/>
      <c r="EI135" s="43"/>
      <c r="EJ135" s="47"/>
      <c r="EK135" s="47"/>
      <c r="EL135" s="47"/>
      <c r="EM135" s="47"/>
      <c r="EN135" s="47"/>
      <c r="EO135" s="47"/>
      <c r="EP135" s="47"/>
      <c r="EQ135" s="47"/>
      <c r="ER135" s="47"/>
      <c r="ES135" s="47"/>
      <c r="ET135" s="47"/>
      <c r="EU135" s="47"/>
      <c r="EV135" s="47"/>
      <c r="EW135" s="47"/>
      <c r="EX135" s="47"/>
      <c r="EY135" s="47"/>
      <c r="EZ135" s="47"/>
      <c r="FA135" s="47"/>
      <c r="FB135" s="47"/>
      <c r="FC135" s="47"/>
      <c r="FD135" s="47"/>
      <c r="FE135" s="47"/>
      <c r="FF135" s="47"/>
      <c r="FG135" s="47"/>
      <c r="FH135" s="47"/>
      <c r="FI135" s="47"/>
      <c r="FJ135" s="47"/>
      <c r="FK135" s="47"/>
      <c r="FL135" s="47"/>
      <c r="FM135" s="47"/>
      <c r="FN135" s="47"/>
      <c r="FO135" s="47"/>
      <c r="FP135" s="47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7"/>
      <c r="GB135" s="47"/>
      <c r="GC135" s="47"/>
      <c r="GD135" s="47"/>
      <c r="GE135" s="47"/>
    </row>
    <row r="136" spans="1:187" ht="10.5" customHeight="1" outlineLevel="1">
      <c r="A136" s="108" t="s">
        <v>521</v>
      </c>
      <c r="B136" s="231"/>
      <c r="C136" s="158"/>
      <c r="D136" s="922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80"/>
      <c r="U136" s="158"/>
      <c r="V136" s="158"/>
      <c r="W136" s="158"/>
      <c r="X136" s="158"/>
      <c r="Y136" s="158"/>
      <c r="Z136" s="158"/>
      <c r="AA136" s="80"/>
      <c r="AB136" s="158"/>
      <c r="AC136" s="158"/>
      <c r="AD136" s="158"/>
      <c r="AE136" s="158"/>
      <c r="AF136" s="158"/>
      <c r="AG136" s="158"/>
      <c r="AH136" s="80">
        <f>AH129-AH132</f>
        <v>3836</v>
      </c>
      <c r="AI136" s="158"/>
      <c r="AJ136" s="158"/>
      <c r="AK136" s="158"/>
      <c r="AL136" s="158"/>
      <c r="AM136" s="158"/>
      <c r="AN136" s="158"/>
      <c r="AO136" s="86">
        <f>AO129-AO132</f>
        <v>3965</v>
      </c>
      <c r="AP136" s="158"/>
      <c r="AQ136" s="158"/>
      <c r="AR136" s="158"/>
      <c r="AS136" s="158"/>
      <c r="AT136" s="158"/>
      <c r="AU136" s="158"/>
      <c r="AV136" s="86">
        <f t="shared" si="871"/>
        <v>3.362877997914504E-2</v>
      </c>
      <c r="AW136" s="158"/>
      <c r="AX136" s="158"/>
      <c r="AY136" s="158"/>
      <c r="AZ136" s="158"/>
      <c r="BA136" s="158"/>
      <c r="BB136" s="158"/>
      <c r="BC136" s="86"/>
      <c r="BD136" s="158"/>
      <c r="BE136" s="158"/>
      <c r="BF136" s="158"/>
      <c r="BG136" s="158"/>
      <c r="BH136" s="158"/>
      <c r="BI136" s="158"/>
      <c r="BJ136" s="86"/>
      <c r="BK136" s="158"/>
      <c r="BL136" s="158"/>
      <c r="BM136" s="158"/>
      <c r="BN136" s="158"/>
      <c r="BO136" s="158"/>
      <c r="BP136" s="158"/>
      <c r="BQ136" s="86"/>
      <c r="BR136" s="158"/>
      <c r="BS136" s="158"/>
      <c r="BT136" s="158"/>
      <c r="BU136" s="158"/>
      <c r="BV136" s="158"/>
      <c r="BW136" s="158"/>
      <c r="BX136" s="86"/>
      <c r="BY136" s="158"/>
      <c r="BZ136" s="158"/>
      <c r="CA136" s="158"/>
      <c r="CB136" s="158"/>
      <c r="CC136" s="158"/>
      <c r="CD136" s="158"/>
      <c r="CE136" s="86"/>
      <c r="CF136" s="158"/>
      <c r="CG136" s="158"/>
      <c r="CH136" s="158"/>
      <c r="CI136" s="158"/>
      <c r="CJ136" s="158"/>
      <c r="CK136" s="158"/>
      <c r="CL136" s="86"/>
      <c r="CM136" s="158"/>
      <c r="CN136" s="158"/>
      <c r="CO136" s="158"/>
      <c r="CP136" s="158"/>
      <c r="CQ136" s="158"/>
      <c r="CR136" s="158"/>
      <c r="CS136" s="86"/>
      <c r="CT136" s="158"/>
      <c r="CU136" s="158"/>
      <c r="CV136" s="158"/>
      <c r="CW136" s="158"/>
      <c r="CX136" s="158"/>
      <c r="CY136" s="158"/>
      <c r="CZ136" s="86"/>
      <c r="DA136" s="158"/>
      <c r="DB136" s="158"/>
      <c r="DC136" s="158"/>
      <c r="DD136" s="158"/>
      <c r="DE136" s="158"/>
      <c r="DF136" s="158"/>
      <c r="DG136" s="86"/>
      <c r="DH136" s="158"/>
      <c r="DI136" s="158"/>
      <c r="DJ136" s="158"/>
      <c r="DK136" s="158"/>
      <c r="DL136" s="158"/>
      <c r="DM136" s="158"/>
      <c r="DN136" s="86"/>
      <c r="DO136" s="158"/>
      <c r="DP136" s="158"/>
      <c r="DQ136" s="158"/>
      <c r="DR136" s="158"/>
      <c r="DS136" s="158"/>
      <c r="DT136" s="158"/>
      <c r="DU136" s="86"/>
      <c r="DV136" s="158"/>
      <c r="DW136" s="158"/>
      <c r="DX136" s="158"/>
      <c r="DY136" s="158"/>
      <c r="DZ136" s="158"/>
      <c r="EA136" s="158"/>
      <c r="EB136" s="86"/>
      <c r="EC136" s="158"/>
      <c r="ED136" s="158"/>
      <c r="EE136" s="158"/>
      <c r="EF136" s="158"/>
      <c r="EG136" s="158"/>
      <c r="EH136" s="158"/>
      <c r="EI136" s="86"/>
      <c r="EJ136" s="47"/>
      <c r="EK136" s="47"/>
      <c r="EL136" s="47"/>
      <c r="EM136" s="47"/>
      <c r="EN136" s="47"/>
      <c r="EO136" s="47"/>
      <c r="EP136" s="47"/>
      <c r="EQ136" s="47"/>
      <c r="ER136" s="47"/>
      <c r="ES136" s="47"/>
      <c r="ET136" s="47"/>
      <c r="EU136" s="47"/>
      <c r="EV136" s="47"/>
      <c r="EW136" s="47"/>
      <c r="EX136" s="47"/>
      <c r="EY136" s="47"/>
      <c r="EZ136" s="47"/>
      <c r="FA136" s="47"/>
      <c r="FB136" s="47"/>
      <c r="FC136" s="47"/>
      <c r="FD136" s="47"/>
      <c r="FE136" s="47"/>
      <c r="FF136" s="47"/>
      <c r="FG136" s="47"/>
      <c r="FH136" s="47"/>
      <c r="FI136" s="47"/>
      <c r="FJ136" s="47"/>
      <c r="FK136" s="47"/>
      <c r="FL136" s="47"/>
      <c r="FM136" s="47"/>
      <c r="FN136" s="47"/>
      <c r="FO136" s="47"/>
      <c r="FP136" s="47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7"/>
      <c r="GB136" s="47"/>
      <c r="GC136" s="47"/>
      <c r="GD136" s="47"/>
      <c r="GE136" s="47"/>
    </row>
    <row r="137" spans="1:187" ht="10.5" customHeight="1" outlineLevel="1">
      <c r="A137" s="43"/>
      <c r="B137" s="78"/>
      <c r="C137" s="78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77"/>
      <c r="U137" s="223"/>
      <c r="V137" s="223"/>
      <c r="W137" s="223"/>
      <c r="X137" s="223"/>
      <c r="Y137" s="223"/>
      <c r="Z137" s="223"/>
      <c r="AA137" s="77"/>
      <c r="AB137" s="223"/>
      <c r="AC137" s="223"/>
      <c r="AD137" s="223"/>
      <c r="AE137" s="223"/>
      <c r="AF137" s="223"/>
      <c r="AG137" s="223"/>
      <c r="AH137" s="77"/>
      <c r="AI137" s="223"/>
      <c r="AJ137" s="223"/>
      <c r="AK137" s="223"/>
      <c r="AL137" s="223"/>
      <c r="AM137" s="223"/>
      <c r="AN137" s="223"/>
      <c r="AO137" s="77"/>
      <c r="AP137" s="223"/>
      <c r="AQ137" s="223"/>
      <c r="AR137" s="223"/>
      <c r="AS137" s="223"/>
      <c r="AT137" s="223"/>
      <c r="AU137" s="223"/>
      <c r="AV137" s="77"/>
      <c r="AW137" s="223"/>
      <c r="AX137" s="223"/>
      <c r="AY137" s="223"/>
      <c r="AZ137" s="223"/>
      <c r="BA137" s="223"/>
      <c r="BB137" s="223"/>
      <c r="BC137" s="77"/>
      <c r="BD137" s="223"/>
      <c r="BE137" s="223"/>
      <c r="BF137" s="223"/>
      <c r="BG137" s="223"/>
      <c r="BH137" s="223"/>
      <c r="BI137" s="223"/>
      <c r="BJ137" s="77"/>
      <c r="BK137" s="223"/>
      <c r="BL137" s="223"/>
      <c r="BM137" s="223"/>
      <c r="BN137" s="223"/>
      <c r="BO137" s="223"/>
      <c r="BP137" s="223"/>
      <c r="BQ137" s="77"/>
      <c r="BR137" s="223"/>
      <c r="BS137" s="223"/>
      <c r="BT137" s="223"/>
      <c r="BU137" s="223"/>
      <c r="BV137" s="223"/>
      <c r="BW137" s="223"/>
      <c r="BX137" s="77"/>
      <c r="BY137" s="223"/>
      <c r="BZ137" s="223"/>
      <c r="CA137" s="223"/>
      <c r="CB137" s="223"/>
      <c r="CC137" s="223"/>
      <c r="CD137" s="223"/>
      <c r="CE137" s="77"/>
      <c r="CF137" s="223"/>
      <c r="CG137" s="223"/>
      <c r="CH137" s="223"/>
      <c r="CI137" s="223"/>
      <c r="CJ137" s="223"/>
      <c r="CK137" s="223"/>
      <c r="CL137" s="77"/>
      <c r="CM137" s="223"/>
      <c r="CN137" s="223"/>
      <c r="CO137" s="223"/>
      <c r="CP137" s="223"/>
      <c r="CQ137" s="223"/>
      <c r="CR137" s="223"/>
      <c r="CS137" s="77"/>
      <c r="CT137" s="223"/>
      <c r="CU137" s="223"/>
      <c r="CV137" s="223"/>
      <c r="CW137" s="223"/>
      <c r="CX137" s="223"/>
      <c r="CY137" s="223"/>
      <c r="CZ137" s="77"/>
      <c r="DA137" s="223"/>
      <c r="DB137" s="223"/>
      <c r="DC137" s="223"/>
      <c r="DD137" s="223"/>
      <c r="DE137" s="223"/>
      <c r="DF137" s="223"/>
      <c r="DG137" s="77"/>
      <c r="DH137" s="223"/>
      <c r="DI137" s="223"/>
      <c r="DJ137" s="223"/>
      <c r="DK137" s="223"/>
      <c r="DL137" s="223"/>
      <c r="DM137" s="223"/>
      <c r="DN137" s="77"/>
      <c r="DO137" s="223"/>
      <c r="DP137" s="223"/>
      <c r="DQ137" s="223"/>
      <c r="DR137" s="223"/>
      <c r="DS137" s="223"/>
      <c r="DT137" s="223"/>
      <c r="DU137" s="77"/>
      <c r="DV137" s="223"/>
      <c r="DW137" s="223"/>
      <c r="DX137" s="223"/>
      <c r="DY137" s="223"/>
      <c r="DZ137" s="223"/>
      <c r="EA137" s="223"/>
      <c r="EB137" s="77"/>
      <c r="EC137" s="223"/>
      <c r="ED137" s="223"/>
      <c r="EE137" s="223"/>
      <c r="EF137" s="223"/>
      <c r="EG137" s="223"/>
      <c r="EH137" s="223"/>
      <c r="EI137" s="77"/>
      <c r="EJ137" s="47"/>
      <c r="EK137" s="47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47"/>
      <c r="FA137" s="47"/>
      <c r="FB137" s="47"/>
      <c r="FC137" s="47"/>
      <c r="FD137" s="47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7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47"/>
      <c r="GE137" s="47"/>
    </row>
    <row r="138" spans="1:187" ht="10.5" customHeight="1" outlineLevel="1">
      <c r="A138" s="48" t="s">
        <v>536</v>
      </c>
      <c r="B138" s="84"/>
      <c r="C138" s="84"/>
      <c r="D138" s="201"/>
      <c r="E138" s="108"/>
      <c r="F138" s="108"/>
      <c r="G138" s="108"/>
      <c r="H138" s="108"/>
      <c r="I138" s="108"/>
      <c r="J138" s="108"/>
      <c r="K138" s="108"/>
      <c r="L138" s="108"/>
      <c r="M138" s="108"/>
      <c r="N138" s="135"/>
      <c r="O138" s="135"/>
      <c r="P138" s="135"/>
      <c r="Q138" s="135"/>
      <c r="R138" s="135"/>
      <c r="S138" s="135"/>
      <c r="T138" s="80"/>
      <c r="U138" s="135"/>
      <c r="V138" s="135"/>
      <c r="W138" s="135"/>
      <c r="X138" s="135"/>
      <c r="Y138" s="135"/>
      <c r="Z138" s="135"/>
      <c r="AA138" s="80"/>
      <c r="AB138" s="135"/>
      <c r="AC138" s="135"/>
      <c r="AD138" s="135"/>
      <c r="AE138" s="135"/>
      <c r="AF138" s="135"/>
      <c r="AG138" s="135"/>
      <c r="AH138" s="80">
        <f>AH27</f>
        <v>3189.4199999999996</v>
      </c>
      <c r="AI138" s="135"/>
      <c r="AJ138" s="135"/>
      <c r="AK138" s="135"/>
      <c r="AL138" s="135"/>
      <c r="AM138" s="135"/>
      <c r="AN138" s="135"/>
      <c r="AO138" s="44">
        <f>AO27</f>
        <v>3525.5600000000004</v>
      </c>
      <c r="AP138" s="135"/>
      <c r="AQ138" s="135"/>
      <c r="AR138" s="135"/>
      <c r="AS138" s="135"/>
      <c r="AT138" s="135"/>
      <c r="AU138" s="135"/>
      <c r="AV138" s="44">
        <f t="shared" ref="AV138:AV145" si="872">AO138/AH138-1</f>
        <v>0.10539220297107343</v>
      </c>
      <c r="AW138" s="135"/>
      <c r="AX138" s="135"/>
      <c r="AY138" s="135"/>
      <c r="AZ138" s="135"/>
      <c r="BA138" s="135"/>
      <c r="BB138" s="135"/>
      <c r="BC138" s="44"/>
      <c r="BD138" s="135"/>
      <c r="BE138" s="135"/>
      <c r="BF138" s="135"/>
      <c r="BG138" s="135"/>
      <c r="BH138" s="135"/>
      <c r="BI138" s="135"/>
      <c r="BJ138" s="44"/>
      <c r="BK138" s="135"/>
      <c r="BL138" s="135"/>
      <c r="BM138" s="135"/>
      <c r="BN138" s="135"/>
      <c r="BO138" s="135"/>
      <c r="BP138" s="135"/>
      <c r="BQ138" s="44"/>
      <c r="BR138" s="135"/>
      <c r="BS138" s="135"/>
      <c r="BT138" s="135"/>
      <c r="BU138" s="135"/>
      <c r="BV138" s="135"/>
      <c r="BW138" s="135"/>
      <c r="BX138" s="44"/>
      <c r="BY138" s="135"/>
      <c r="BZ138" s="135"/>
      <c r="CA138" s="135"/>
      <c r="CB138" s="135"/>
      <c r="CC138" s="135"/>
      <c r="CD138" s="135"/>
      <c r="CE138" s="44"/>
      <c r="CF138" s="135"/>
      <c r="CG138" s="135"/>
      <c r="CH138" s="135"/>
      <c r="CI138" s="135"/>
      <c r="CJ138" s="135"/>
      <c r="CK138" s="135"/>
      <c r="CL138" s="44"/>
      <c r="CM138" s="135"/>
      <c r="CN138" s="135"/>
      <c r="CO138" s="135"/>
      <c r="CP138" s="135"/>
      <c r="CQ138" s="135"/>
      <c r="CR138" s="135"/>
      <c r="CS138" s="44"/>
      <c r="CT138" s="135"/>
      <c r="CU138" s="135"/>
      <c r="CV138" s="135"/>
      <c r="CW138" s="135"/>
      <c r="CX138" s="135"/>
      <c r="CY138" s="135"/>
      <c r="CZ138" s="44"/>
      <c r="DA138" s="135"/>
      <c r="DB138" s="135"/>
      <c r="DC138" s="135"/>
      <c r="DD138" s="135"/>
      <c r="DE138" s="135"/>
      <c r="DF138" s="135"/>
      <c r="DG138" s="44"/>
      <c r="DH138" s="135"/>
      <c r="DI138" s="135"/>
      <c r="DJ138" s="135"/>
      <c r="DK138" s="135"/>
      <c r="DL138" s="135"/>
      <c r="DM138" s="135"/>
      <c r="DN138" s="44"/>
      <c r="DO138" s="135"/>
      <c r="DP138" s="135"/>
      <c r="DQ138" s="135"/>
      <c r="DR138" s="135"/>
      <c r="DS138" s="135"/>
      <c r="DT138" s="135"/>
      <c r="DU138" s="44"/>
      <c r="DV138" s="135"/>
      <c r="DW138" s="135"/>
      <c r="DX138" s="135"/>
      <c r="DY138" s="135"/>
      <c r="DZ138" s="135"/>
      <c r="EA138" s="135"/>
      <c r="EB138" s="44"/>
      <c r="EC138" s="135"/>
      <c r="ED138" s="135"/>
      <c r="EE138" s="135"/>
      <c r="EF138" s="135"/>
      <c r="EG138" s="135"/>
      <c r="EH138" s="135"/>
      <c r="EI138" s="44"/>
      <c r="EJ138" s="47"/>
      <c r="EK138" s="47"/>
      <c r="EL138" s="47"/>
      <c r="EM138" s="47"/>
      <c r="EN138" s="47"/>
      <c r="EO138" s="47"/>
      <c r="EP138" s="47"/>
      <c r="EQ138" s="47"/>
      <c r="ER138" s="47"/>
      <c r="ES138" s="47"/>
      <c r="ET138" s="47"/>
      <c r="EU138" s="47"/>
      <c r="EV138" s="47"/>
      <c r="EW138" s="47"/>
      <c r="EX138" s="47"/>
      <c r="EY138" s="47"/>
      <c r="EZ138" s="47"/>
      <c r="FA138" s="47"/>
      <c r="FB138" s="47"/>
      <c r="FC138" s="47"/>
      <c r="FD138" s="47"/>
      <c r="FE138" s="47"/>
      <c r="FF138" s="47"/>
      <c r="FG138" s="47"/>
      <c r="FH138" s="47"/>
      <c r="FI138" s="47"/>
      <c r="FJ138" s="47"/>
      <c r="FK138" s="47"/>
      <c r="FL138" s="47"/>
      <c r="FM138" s="47"/>
      <c r="FN138" s="47"/>
      <c r="FO138" s="47"/>
      <c r="FP138" s="47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7"/>
      <c r="GB138" s="47"/>
      <c r="GC138" s="47"/>
      <c r="GD138" s="47"/>
      <c r="GE138" s="47"/>
    </row>
    <row r="139" spans="1:187" ht="10.5" customHeight="1" outlineLevel="1">
      <c r="A139" s="108" t="s">
        <v>532</v>
      </c>
      <c r="B139" s="84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35"/>
      <c r="O139" s="135"/>
      <c r="P139" s="135"/>
      <c r="Q139" s="135"/>
      <c r="R139" s="135"/>
      <c r="S139" s="135"/>
      <c r="T139" s="80"/>
      <c r="U139" s="135"/>
      <c r="V139" s="135"/>
      <c r="W139" s="135"/>
      <c r="X139" s="135"/>
      <c r="Y139" s="135"/>
      <c r="Z139" s="135"/>
      <c r="AA139" s="80"/>
      <c r="AB139" s="135"/>
      <c r="AC139" s="135"/>
      <c r="AD139" s="135"/>
      <c r="AE139" s="135"/>
      <c r="AF139" s="135"/>
      <c r="AG139" s="135"/>
      <c r="AH139" s="80">
        <f>AH130*0.47</f>
        <v>603.94999999999993</v>
      </c>
      <c r="AI139" s="135"/>
      <c r="AJ139" s="135"/>
      <c r="AK139" s="135"/>
      <c r="AL139" s="135"/>
      <c r="AM139" s="135"/>
      <c r="AN139" s="135"/>
      <c r="AO139" s="44">
        <f>AO130*0.37</f>
        <v>428.46</v>
      </c>
      <c r="AP139" s="135"/>
      <c r="AQ139" s="135"/>
      <c r="AR139" s="135"/>
      <c r="AS139" s="135"/>
      <c r="AT139" s="135"/>
      <c r="AU139" s="135"/>
      <c r="AV139" s="44">
        <f t="shared" si="872"/>
        <v>-0.29057041145790208</v>
      </c>
      <c r="AW139" s="135"/>
      <c r="AX139" s="135"/>
      <c r="AY139" s="135"/>
      <c r="AZ139" s="135"/>
      <c r="BA139" s="135"/>
      <c r="BB139" s="135"/>
      <c r="BC139" s="44"/>
      <c r="BD139" s="135"/>
      <c r="BE139" s="135"/>
      <c r="BF139" s="135"/>
      <c r="BG139" s="135"/>
      <c r="BH139" s="135"/>
      <c r="BI139" s="135"/>
      <c r="BJ139" s="44"/>
      <c r="BK139" s="135"/>
      <c r="BL139" s="135"/>
      <c r="BM139" s="135"/>
      <c r="BN139" s="135"/>
      <c r="BO139" s="135"/>
      <c r="BP139" s="135"/>
      <c r="BQ139" s="44"/>
      <c r="BR139" s="135"/>
      <c r="BS139" s="135"/>
      <c r="BT139" s="135"/>
      <c r="BU139" s="135"/>
      <c r="BV139" s="135"/>
      <c r="BW139" s="135"/>
      <c r="BX139" s="44"/>
      <c r="BY139" s="135"/>
      <c r="BZ139" s="135"/>
      <c r="CA139" s="135"/>
      <c r="CB139" s="135"/>
      <c r="CC139" s="135"/>
      <c r="CD139" s="135"/>
      <c r="CE139" s="44"/>
      <c r="CF139" s="135"/>
      <c r="CG139" s="135"/>
      <c r="CH139" s="135"/>
      <c r="CI139" s="135"/>
      <c r="CJ139" s="135"/>
      <c r="CK139" s="135"/>
      <c r="CL139" s="44"/>
      <c r="CM139" s="135"/>
      <c r="CN139" s="135"/>
      <c r="CO139" s="135"/>
      <c r="CP139" s="135"/>
      <c r="CQ139" s="135"/>
      <c r="CR139" s="135"/>
      <c r="CS139" s="44"/>
      <c r="CT139" s="135"/>
      <c r="CU139" s="135"/>
      <c r="CV139" s="135"/>
      <c r="CW139" s="135"/>
      <c r="CX139" s="135"/>
      <c r="CY139" s="135"/>
      <c r="CZ139" s="44"/>
      <c r="DA139" s="135"/>
      <c r="DB139" s="135"/>
      <c r="DC139" s="135"/>
      <c r="DD139" s="135"/>
      <c r="DE139" s="135"/>
      <c r="DF139" s="135"/>
      <c r="DG139" s="44"/>
      <c r="DH139" s="135"/>
      <c r="DI139" s="135"/>
      <c r="DJ139" s="135"/>
      <c r="DK139" s="135"/>
      <c r="DL139" s="135"/>
      <c r="DM139" s="135"/>
      <c r="DN139" s="44"/>
      <c r="DO139" s="135"/>
      <c r="DP139" s="135"/>
      <c r="DQ139" s="135"/>
      <c r="DR139" s="135"/>
      <c r="DS139" s="135"/>
      <c r="DT139" s="135"/>
      <c r="DU139" s="44"/>
      <c r="DV139" s="135"/>
      <c r="DW139" s="135"/>
      <c r="DX139" s="135"/>
      <c r="DY139" s="135"/>
      <c r="DZ139" s="135"/>
      <c r="EA139" s="135"/>
      <c r="EB139" s="44"/>
      <c r="EC139" s="135"/>
      <c r="ED139" s="135"/>
      <c r="EE139" s="135"/>
      <c r="EF139" s="135"/>
      <c r="EG139" s="135"/>
      <c r="EH139" s="135"/>
      <c r="EI139" s="44"/>
      <c r="EJ139" s="47"/>
      <c r="EK139" s="47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7"/>
      <c r="EY139" s="47"/>
      <c r="EZ139" s="47"/>
      <c r="FA139" s="47"/>
      <c r="FB139" s="47"/>
      <c r="FC139" s="47"/>
      <c r="FD139" s="47"/>
      <c r="FE139" s="47"/>
      <c r="FF139" s="47"/>
      <c r="FG139" s="47"/>
      <c r="FH139" s="47"/>
      <c r="FI139" s="47"/>
      <c r="FJ139" s="47"/>
      <c r="FK139" s="47"/>
      <c r="FL139" s="47"/>
      <c r="FM139" s="47"/>
      <c r="FN139" s="47"/>
      <c r="FO139" s="47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7"/>
      <c r="GC139" s="47"/>
      <c r="GD139" s="47"/>
      <c r="GE139" s="47"/>
    </row>
    <row r="140" spans="1:187" ht="10.5" customHeight="1" outlineLevel="1">
      <c r="A140" s="108" t="s">
        <v>533</v>
      </c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35"/>
      <c r="O140" s="135"/>
      <c r="P140" s="135"/>
      <c r="Q140" s="135"/>
      <c r="R140" s="135"/>
      <c r="S140" s="135"/>
      <c r="T140" s="80"/>
      <c r="U140" s="135"/>
      <c r="V140" s="135"/>
      <c r="W140" s="135"/>
      <c r="X140" s="135"/>
      <c r="Y140" s="135"/>
      <c r="Z140" s="135"/>
      <c r="AA140" s="80"/>
      <c r="AB140" s="135"/>
      <c r="AC140" s="135"/>
      <c r="AD140" s="135"/>
      <c r="AE140" s="135"/>
      <c r="AF140" s="135"/>
      <c r="AG140" s="135"/>
      <c r="AH140" s="80">
        <f>AH141-AH139</f>
        <v>930.05000000000007</v>
      </c>
      <c r="AI140" s="135"/>
      <c r="AJ140" s="135"/>
      <c r="AK140" s="135"/>
      <c r="AL140" s="135"/>
      <c r="AM140" s="135"/>
      <c r="AN140" s="135"/>
      <c r="AO140" s="62">
        <f>AO141-AO139</f>
        <v>726.95</v>
      </c>
      <c r="AP140" s="135"/>
      <c r="AQ140" s="135"/>
      <c r="AR140" s="135"/>
      <c r="AS140" s="135"/>
      <c r="AT140" s="135"/>
      <c r="AU140" s="135"/>
      <c r="AV140" s="62">
        <f t="shared" si="872"/>
        <v>-0.21837535616364712</v>
      </c>
      <c r="AW140" s="135"/>
      <c r="AX140" s="135"/>
      <c r="AY140" s="135"/>
      <c r="AZ140" s="135"/>
      <c r="BA140" s="135"/>
      <c r="BB140" s="135"/>
      <c r="BC140" s="62"/>
      <c r="BD140" s="135"/>
      <c r="BE140" s="135"/>
      <c r="BF140" s="135"/>
      <c r="BG140" s="135"/>
      <c r="BH140" s="135"/>
      <c r="BI140" s="135"/>
      <c r="BJ140" s="62"/>
      <c r="BK140" s="135"/>
      <c r="BL140" s="135"/>
      <c r="BM140" s="135"/>
      <c r="BN140" s="135"/>
      <c r="BO140" s="135"/>
      <c r="BP140" s="135"/>
      <c r="BQ140" s="62"/>
      <c r="BR140" s="135"/>
      <c r="BS140" s="135"/>
      <c r="BT140" s="135"/>
      <c r="BU140" s="135"/>
      <c r="BV140" s="135"/>
      <c r="BW140" s="135"/>
      <c r="BX140" s="62"/>
      <c r="BY140" s="135"/>
      <c r="BZ140" s="135"/>
      <c r="CA140" s="135"/>
      <c r="CB140" s="135"/>
      <c r="CC140" s="135"/>
      <c r="CD140" s="135"/>
      <c r="CE140" s="62"/>
      <c r="CF140" s="135"/>
      <c r="CG140" s="135"/>
      <c r="CH140" s="135"/>
      <c r="CI140" s="135"/>
      <c r="CJ140" s="135"/>
      <c r="CK140" s="135"/>
      <c r="CL140" s="62"/>
      <c r="CM140" s="135"/>
      <c r="CN140" s="135"/>
      <c r="CO140" s="135"/>
      <c r="CP140" s="135"/>
      <c r="CQ140" s="135"/>
      <c r="CR140" s="135"/>
      <c r="CS140" s="62"/>
      <c r="CT140" s="135"/>
      <c r="CU140" s="135"/>
      <c r="CV140" s="135"/>
      <c r="CW140" s="135"/>
      <c r="CX140" s="135"/>
      <c r="CY140" s="135"/>
      <c r="CZ140" s="62"/>
      <c r="DA140" s="135"/>
      <c r="DB140" s="135"/>
      <c r="DC140" s="135"/>
      <c r="DD140" s="135"/>
      <c r="DE140" s="135"/>
      <c r="DF140" s="135"/>
      <c r="DG140" s="62"/>
      <c r="DH140" s="135"/>
      <c r="DI140" s="135"/>
      <c r="DJ140" s="135"/>
      <c r="DK140" s="135"/>
      <c r="DL140" s="135"/>
      <c r="DM140" s="135"/>
      <c r="DN140" s="62"/>
      <c r="DO140" s="135"/>
      <c r="DP140" s="135"/>
      <c r="DQ140" s="135"/>
      <c r="DR140" s="135"/>
      <c r="DS140" s="135"/>
      <c r="DT140" s="135"/>
      <c r="DU140" s="62"/>
      <c r="DV140" s="135"/>
      <c r="DW140" s="135"/>
      <c r="DX140" s="135"/>
      <c r="DY140" s="135"/>
      <c r="DZ140" s="135"/>
      <c r="EA140" s="135"/>
      <c r="EB140" s="62"/>
      <c r="EC140" s="135"/>
      <c r="ED140" s="135"/>
      <c r="EE140" s="135"/>
      <c r="EF140" s="135"/>
      <c r="EG140" s="135"/>
      <c r="EH140" s="135"/>
      <c r="EI140" s="62"/>
      <c r="EJ140" s="47"/>
      <c r="EK140" s="47"/>
      <c r="EL140" s="47"/>
      <c r="EM140" s="47"/>
      <c r="EN140" s="47"/>
      <c r="EO140" s="47"/>
      <c r="EP140" s="47"/>
      <c r="EQ140" s="47"/>
      <c r="ER140" s="47"/>
      <c r="ES140" s="47"/>
      <c r="ET140" s="47"/>
      <c r="EU140" s="47"/>
      <c r="EV140" s="47"/>
      <c r="EW140" s="47"/>
      <c r="EX140" s="47"/>
      <c r="EY140" s="47"/>
      <c r="EZ140" s="47"/>
      <c r="FA140" s="47"/>
      <c r="FB140" s="47"/>
      <c r="FC140" s="47"/>
      <c r="FD140" s="47"/>
      <c r="FE140" s="47"/>
      <c r="FF140" s="47"/>
      <c r="FG140" s="47"/>
      <c r="FH140" s="47"/>
      <c r="FI140" s="47"/>
      <c r="FJ140" s="47"/>
      <c r="FK140" s="47"/>
      <c r="FL140" s="47"/>
      <c r="FM140" s="47"/>
      <c r="FN140" s="47"/>
      <c r="FO140" s="47"/>
      <c r="FP140" s="47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7"/>
      <c r="GB140" s="47"/>
      <c r="GC140" s="47"/>
      <c r="GD140" s="47"/>
      <c r="GE140" s="47"/>
    </row>
    <row r="141" spans="1:187" ht="10.5" customHeight="1" outlineLevel="1">
      <c r="A141" s="108" t="s">
        <v>520</v>
      </c>
      <c r="B141" s="84"/>
      <c r="C141" s="176"/>
      <c r="D141" s="176"/>
      <c r="E141" s="176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80"/>
      <c r="U141" s="135"/>
      <c r="V141" s="135"/>
      <c r="W141" s="135"/>
      <c r="X141" s="135"/>
      <c r="Y141" s="135"/>
      <c r="Z141" s="135"/>
      <c r="AA141" s="80"/>
      <c r="AB141" s="135"/>
      <c r="AC141" s="135"/>
      <c r="AD141" s="135"/>
      <c r="AE141" s="135"/>
      <c r="AF141" s="135"/>
      <c r="AG141" s="135"/>
      <c r="AH141" s="80">
        <f>AH132*0.52</f>
        <v>1534</v>
      </c>
      <c r="AI141" s="135"/>
      <c r="AJ141" s="135"/>
      <c r="AK141" s="135"/>
      <c r="AL141" s="135"/>
      <c r="AM141" s="135"/>
      <c r="AN141" s="135"/>
      <c r="AO141" s="62">
        <f>AO132*0.43</f>
        <v>1155.4100000000001</v>
      </c>
      <c r="AP141" s="135"/>
      <c r="AQ141" s="135"/>
      <c r="AR141" s="135"/>
      <c r="AS141" s="135"/>
      <c r="AT141" s="135"/>
      <c r="AU141" s="135"/>
      <c r="AV141" s="62">
        <f t="shared" si="872"/>
        <v>-0.24679921773142111</v>
      </c>
      <c r="AW141" s="135"/>
      <c r="AX141" s="135"/>
      <c r="AY141" s="135"/>
      <c r="AZ141" s="135"/>
      <c r="BA141" s="135"/>
      <c r="BB141" s="135"/>
      <c r="BC141" s="62"/>
      <c r="BD141" s="135"/>
      <c r="BE141" s="135"/>
      <c r="BF141" s="135"/>
      <c r="BG141" s="135"/>
      <c r="BH141" s="135"/>
      <c r="BI141" s="135"/>
      <c r="BJ141" s="62"/>
      <c r="BK141" s="135"/>
      <c r="BL141" s="135"/>
      <c r="BM141" s="135"/>
      <c r="BN141" s="135"/>
      <c r="BO141" s="135"/>
      <c r="BP141" s="135"/>
      <c r="BQ141" s="62"/>
      <c r="BR141" s="135"/>
      <c r="BS141" s="135"/>
      <c r="BT141" s="135"/>
      <c r="BU141" s="135"/>
      <c r="BV141" s="135"/>
      <c r="BW141" s="135"/>
      <c r="BX141" s="62"/>
      <c r="BY141" s="135"/>
      <c r="BZ141" s="135"/>
      <c r="CA141" s="135"/>
      <c r="CB141" s="135"/>
      <c r="CC141" s="135"/>
      <c r="CD141" s="135"/>
      <c r="CE141" s="62"/>
      <c r="CF141" s="135"/>
      <c r="CG141" s="135"/>
      <c r="CH141" s="135"/>
      <c r="CI141" s="135"/>
      <c r="CJ141" s="135"/>
      <c r="CK141" s="135"/>
      <c r="CL141" s="62"/>
      <c r="CM141" s="135"/>
      <c r="CN141" s="135"/>
      <c r="CO141" s="135"/>
      <c r="CP141" s="135"/>
      <c r="CQ141" s="135"/>
      <c r="CR141" s="135"/>
      <c r="CS141" s="62"/>
      <c r="CT141" s="135"/>
      <c r="CU141" s="135"/>
      <c r="CV141" s="135"/>
      <c r="CW141" s="135"/>
      <c r="CX141" s="135"/>
      <c r="CY141" s="135"/>
      <c r="CZ141" s="62"/>
      <c r="DA141" s="135"/>
      <c r="DB141" s="135"/>
      <c r="DC141" s="135"/>
      <c r="DD141" s="135"/>
      <c r="DE141" s="135"/>
      <c r="DF141" s="135"/>
      <c r="DG141" s="62"/>
      <c r="DH141" s="135"/>
      <c r="DI141" s="135"/>
      <c r="DJ141" s="135"/>
      <c r="DK141" s="135"/>
      <c r="DL141" s="135"/>
      <c r="DM141" s="135"/>
      <c r="DN141" s="62"/>
      <c r="DO141" s="135"/>
      <c r="DP141" s="135"/>
      <c r="DQ141" s="135"/>
      <c r="DR141" s="135"/>
      <c r="DS141" s="135"/>
      <c r="DT141" s="135"/>
      <c r="DU141" s="62"/>
      <c r="DV141" s="135"/>
      <c r="DW141" s="135"/>
      <c r="DX141" s="135"/>
      <c r="DY141" s="135"/>
      <c r="DZ141" s="135"/>
      <c r="EA141" s="135"/>
      <c r="EB141" s="62"/>
      <c r="EC141" s="135"/>
      <c r="ED141" s="135"/>
      <c r="EE141" s="135"/>
      <c r="EF141" s="135"/>
      <c r="EG141" s="135"/>
      <c r="EH141" s="135"/>
      <c r="EI141" s="62"/>
      <c r="EJ141" s="47"/>
      <c r="EK141" s="47"/>
      <c r="EL141" s="47"/>
      <c r="EM141" s="47"/>
      <c r="EN141" s="47"/>
      <c r="EO141" s="47"/>
      <c r="EP141" s="47"/>
      <c r="EQ141" s="47"/>
      <c r="ER141" s="47"/>
      <c r="ES141" s="47"/>
      <c r="ET141" s="47"/>
      <c r="EU141" s="47"/>
      <c r="EV141" s="47"/>
      <c r="EW141" s="47"/>
      <c r="EX141" s="47"/>
      <c r="EY141" s="47"/>
      <c r="EZ141" s="47"/>
      <c r="FA141" s="47"/>
      <c r="FB141" s="47"/>
      <c r="FC141" s="47"/>
      <c r="FD141" s="47"/>
      <c r="FE141" s="47"/>
      <c r="FF141" s="47"/>
      <c r="FG141" s="47"/>
      <c r="FH141" s="47"/>
      <c r="FI141" s="47"/>
      <c r="FJ141" s="47"/>
      <c r="FK141" s="47"/>
      <c r="FL141" s="47"/>
      <c r="FM141" s="47"/>
      <c r="FN141" s="47"/>
      <c r="FO141" s="47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47"/>
      <c r="GE141" s="47"/>
    </row>
    <row r="142" spans="1:187" ht="10.5" customHeight="1" outlineLevel="1">
      <c r="A142" s="108" t="s">
        <v>534</v>
      </c>
      <c r="B142" s="231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30"/>
      <c r="O142" s="130"/>
      <c r="P142" s="130"/>
      <c r="Q142" s="130"/>
      <c r="R142" s="130"/>
      <c r="S142" s="130"/>
      <c r="T142" s="80"/>
      <c r="U142" s="130"/>
      <c r="V142" s="130"/>
      <c r="W142" s="130"/>
      <c r="X142" s="130"/>
      <c r="Y142" s="130"/>
      <c r="Z142" s="130"/>
      <c r="AA142" s="80"/>
      <c r="AB142" s="130"/>
      <c r="AC142" s="130"/>
      <c r="AD142" s="130"/>
      <c r="AE142" s="130"/>
      <c r="AF142" s="130"/>
      <c r="AG142" s="130"/>
      <c r="AH142" s="80">
        <f>AH143-AH141</f>
        <v>633.27</v>
      </c>
      <c r="AI142" s="130"/>
      <c r="AJ142" s="130"/>
      <c r="AK142" s="130"/>
      <c r="AL142" s="130"/>
      <c r="AM142" s="130"/>
      <c r="AN142" s="130"/>
      <c r="AO142" s="89">
        <f>AO143-AO141</f>
        <v>942.76999999999975</v>
      </c>
      <c r="AP142" s="130"/>
      <c r="AQ142" s="130"/>
      <c r="AR142" s="130"/>
      <c r="AS142" s="130"/>
      <c r="AT142" s="130"/>
      <c r="AU142" s="130"/>
      <c r="AV142" s="89">
        <f t="shared" si="872"/>
        <v>0.48873308383469882</v>
      </c>
      <c r="AW142" s="130"/>
      <c r="AX142" s="130"/>
      <c r="AY142" s="130"/>
      <c r="AZ142" s="130"/>
      <c r="BA142" s="130"/>
      <c r="BB142" s="130"/>
      <c r="BC142" s="89"/>
      <c r="BD142" s="130"/>
      <c r="BE142" s="130"/>
      <c r="BF142" s="130"/>
      <c r="BG142" s="130"/>
      <c r="BH142" s="130"/>
      <c r="BI142" s="130"/>
      <c r="BJ142" s="89"/>
      <c r="BK142" s="130"/>
      <c r="BL142" s="130"/>
      <c r="BM142" s="130"/>
      <c r="BN142" s="130"/>
      <c r="BO142" s="130"/>
      <c r="BP142" s="130"/>
      <c r="BQ142" s="89"/>
      <c r="BR142" s="130"/>
      <c r="BS142" s="130"/>
      <c r="BT142" s="130"/>
      <c r="BU142" s="130"/>
      <c r="BV142" s="130"/>
      <c r="BW142" s="130"/>
      <c r="BX142" s="89"/>
      <c r="BY142" s="130"/>
      <c r="BZ142" s="130"/>
      <c r="CA142" s="130"/>
      <c r="CB142" s="130"/>
      <c r="CC142" s="130"/>
      <c r="CD142" s="130"/>
      <c r="CE142" s="89"/>
      <c r="CF142" s="130"/>
      <c r="CG142" s="130"/>
      <c r="CH142" s="130"/>
      <c r="CI142" s="130"/>
      <c r="CJ142" s="130"/>
      <c r="CK142" s="130"/>
      <c r="CL142" s="89"/>
      <c r="CM142" s="130"/>
      <c r="CN142" s="130"/>
      <c r="CO142" s="130"/>
      <c r="CP142" s="130"/>
      <c r="CQ142" s="130"/>
      <c r="CR142" s="130"/>
      <c r="CS142" s="89"/>
      <c r="CT142" s="130"/>
      <c r="CU142" s="130"/>
      <c r="CV142" s="130"/>
      <c r="CW142" s="130"/>
      <c r="CX142" s="130"/>
      <c r="CY142" s="130"/>
      <c r="CZ142" s="89"/>
      <c r="DA142" s="130"/>
      <c r="DB142" s="130"/>
      <c r="DC142" s="130"/>
      <c r="DD142" s="130"/>
      <c r="DE142" s="130"/>
      <c r="DF142" s="130"/>
      <c r="DG142" s="89"/>
      <c r="DH142" s="130"/>
      <c r="DI142" s="130"/>
      <c r="DJ142" s="130"/>
      <c r="DK142" s="130"/>
      <c r="DL142" s="130"/>
      <c r="DM142" s="130"/>
      <c r="DN142" s="89"/>
      <c r="DO142" s="130"/>
      <c r="DP142" s="130"/>
      <c r="DQ142" s="130"/>
      <c r="DR142" s="130"/>
      <c r="DS142" s="130"/>
      <c r="DT142" s="130"/>
      <c r="DU142" s="89"/>
      <c r="DV142" s="130"/>
      <c r="DW142" s="130"/>
      <c r="DX142" s="130"/>
      <c r="DY142" s="130"/>
      <c r="DZ142" s="130"/>
      <c r="EA142" s="130"/>
      <c r="EB142" s="89"/>
      <c r="EC142" s="130"/>
      <c r="ED142" s="130"/>
      <c r="EE142" s="130"/>
      <c r="EF142" s="130"/>
      <c r="EG142" s="130"/>
      <c r="EH142" s="130"/>
      <c r="EI142" s="89"/>
      <c r="EJ142" s="47"/>
      <c r="EK142" s="47"/>
      <c r="EL142" s="47"/>
      <c r="EM142" s="47"/>
      <c r="EN142" s="47"/>
      <c r="EO142" s="47"/>
      <c r="EP142" s="47"/>
      <c r="EQ142" s="47"/>
      <c r="ER142" s="47"/>
      <c r="ES142" s="47"/>
      <c r="ET142" s="47"/>
      <c r="EU142" s="47"/>
      <c r="EV142" s="47"/>
      <c r="EW142" s="47"/>
      <c r="EX142" s="47"/>
      <c r="EY142" s="47"/>
      <c r="EZ142" s="47"/>
      <c r="FA142" s="47"/>
      <c r="FB142" s="47"/>
      <c r="FC142" s="47"/>
      <c r="FD142" s="47"/>
      <c r="FE142" s="47"/>
      <c r="FF142" s="47"/>
      <c r="FG142" s="47"/>
      <c r="FH142" s="47"/>
      <c r="FI142" s="47"/>
      <c r="FJ142" s="47"/>
      <c r="FK142" s="47"/>
      <c r="FL142" s="47"/>
      <c r="FM142" s="47"/>
      <c r="FN142" s="47"/>
      <c r="FO142" s="47"/>
      <c r="FP142" s="47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7"/>
      <c r="GB142" s="47"/>
      <c r="GC142" s="47"/>
      <c r="GD142" s="47"/>
      <c r="GE142" s="47"/>
    </row>
    <row r="143" spans="1:187" ht="10.5" customHeight="1" outlineLevel="1">
      <c r="A143" s="108" t="s">
        <v>531</v>
      </c>
      <c r="B143" s="78"/>
      <c r="C143" s="78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197"/>
      <c r="O143" s="197"/>
      <c r="P143" s="197"/>
      <c r="Q143" s="197"/>
      <c r="R143" s="197"/>
      <c r="S143" s="197"/>
      <c r="T143" s="80"/>
      <c r="U143" s="197"/>
      <c r="V143" s="197"/>
      <c r="W143" s="197"/>
      <c r="X143" s="197"/>
      <c r="Y143" s="197"/>
      <c r="Z143" s="197"/>
      <c r="AA143" s="80"/>
      <c r="AB143" s="197"/>
      <c r="AC143" s="197"/>
      <c r="AD143" s="197"/>
      <c r="AE143" s="197"/>
      <c r="AF143" s="197"/>
      <c r="AG143" s="197"/>
      <c r="AH143" s="80">
        <f>AH134*0.49</f>
        <v>2167.27</v>
      </c>
      <c r="AI143" s="197"/>
      <c r="AJ143" s="197"/>
      <c r="AK143" s="197"/>
      <c r="AL143" s="197"/>
      <c r="AM143" s="197"/>
      <c r="AN143" s="197"/>
      <c r="AO143" s="67">
        <f>AO134*0.49</f>
        <v>2098.1799999999998</v>
      </c>
      <c r="AP143" s="197"/>
      <c r="AQ143" s="197"/>
      <c r="AR143" s="197"/>
      <c r="AS143" s="197"/>
      <c r="AT143" s="197"/>
      <c r="AU143" s="197"/>
      <c r="AV143" s="67">
        <f t="shared" si="872"/>
        <v>-3.1878815283744144E-2</v>
      </c>
      <c r="AW143" s="197"/>
      <c r="AX143" s="197"/>
      <c r="AY143" s="197"/>
      <c r="AZ143" s="197"/>
      <c r="BA143" s="197"/>
      <c r="BB143" s="197"/>
      <c r="BC143" s="67"/>
      <c r="BD143" s="197"/>
      <c r="BE143" s="197"/>
      <c r="BF143" s="197"/>
      <c r="BG143" s="197"/>
      <c r="BH143" s="197"/>
      <c r="BI143" s="197"/>
      <c r="BJ143" s="67"/>
      <c r="BK143" s="197"/>
      <c r="BL143" s="197"/>
      <c r="BM143" s="197"/>
      <c r="BN143" s="197"/>
      <c r="BO143" s="197"/>
      <c r="BP143" s="197"/>
      <c r="BQ143" s="67"/>
      <c r="BR143" s="197"/>
      <c r="BS143" s="197"/>
      <c r="BT143" s="197"/>
      <c r="BU143" s="197"/>
      <c r="BV143" s="197"/>
      <c r="BW143" s="197"/>
      <c r="BX143" s="67"/>
      <c r="BY143" s="197"/>
      <c r="BZ143" s="197"/>
      <c r="CA143" s="197"/>
      <c r="CB143" s="197"/>
      <c r="CC143" s="197"/>
      <c r="CD143" s="197"/>
      <c r="CE143" s="67"/>
      <c r="CF143" s="197"/>
      <c r="CG143" s="197"/>
      <c r="CH143" s="197"/>
      <c r="CI143" s="197"/>
      <c r="CJ143" s="197"/>
      <c r="CK143" s="197"/>
      <c r="CL143" s="67"/>
      <c r="CM143" s="197"/>
      <c r="CN143" s="197"/>
      <c r="CO143" s="197"/>
      <c r="CP143" s="197"/>
      <c r="CQ143" s="197"/>
      <c r="CR143" s="197"/>
      <c r="CS143" s="67"/>
      <c r="CT143" s="197"/>
      <c r="CU143" s="197"/>
      <c r="CV143" s="197"/>
      <c r="CW143" s="197"/>
      <c r="CX143" s="197"/>
      <c r="CY143" s="197"/>
      <c r="CZ143" s="67"/>
      <c r="DA143" s="197"/>
      <c r="DB143" s="197"/>
      <c r="DC143" s="197"/>
      <c r="DD143" s="197"/>
      <c r="DE143" s="197"/>
      <c r="DF143" s="197"/>
      <c r="DG143" s="67"/>
      <c r="DH143" s="197"/>
      <c r="DI143" s="197"/>
      <c r="DJ143" s="197"/>
      <c r="DK143" s="197"/>
      <c r="DL143" s="197"/>
      <c r="DM143" s="197"/>
      <c r="DN143" s="67"/>
      <c r="DO143" s="197"/>
      <c r="DP143" s="197"/>
      <c r="DQ143" s="197"/>
      <c r="DR143" s="197"/>
      <c r="DS143" s="197"/>
      <c r="DT143" s="197"/>
      <c r="DU143" s="67"/>
      <c r="DV143" s="197"/>
      <c r="DW143" s="197"/>
      <c r="DX143" s="197"/>
      <c r="DY143" s="197"/>
      <c r="DZ143" s="197"/>
      <c r="EA143" s="197"/>
      <c r="EB143" s="67"/>
      <c r="EC143" s="197"/>
      <c r="ED143" s="197"/>
      <c r="EE143" s="197"/>
      <c r="EF143" s="197"/>
      <c r="EG143" s="197"/>
      <c r="EH143" s="197"/>
      <c r="EI143" s="67"/>
      <c r="EJ143" s="47"/>
      <c r="EK143" s="47"/>
      <c r="EL143" s="47"/>
      <c r="EM143" s="47"/>
      <c r="EN143" s="47"/>
      <c r="EO143" s="47"/>
      <c r="EP143" s="47"/>
      <c r="EQ143" s="47"/>
      <c r="ER143" s="47"/>
      <c r="ES143" s="47"/>
      <c r="ET143" s="47"/>
      <c r="EU143" s="47"/>
      <c r="EV143" s="47"/>
      <c r="EW143" s="47"/>
      <c r="EX143" s="47"/>
      <c r="EY143" s="47"/>
      <c r="EZ143" s="47"/>
      <c r="FA143" s="47"/>
      <c r="FB143" s="47"/>
      <c r="FC143" s="47"/>
      <c r="FD143" s="47"/>
      <c r="FE143" s="47"/>
      <c r="FF143" s="47"/>
      <c r="FG143" s="47"/>
      <c r="FH143" s="47"/>
      <c r="FI143" s="47"/>
      <c r="FJ143" s="47"/>
      <c r="FK143" s="47"/>
      <c r="FL143" s="47"/>
      <c r="FM143" s="47"/>
      <c r="FN143" s="47"/>
      <c r="FO143" s="47"/>
      <c r="FP143" s="47"/>
      <c r="FQ143" s="47"/>
      <c r="FR143" s="47"/>
      <c r="FS143" s="47"/>
      <c r="FT143" s="47"/>
      <c r="FU143" s="47"/>
      <c r="FV143" s="47"/>
      <c r="FW143" s="47"/>
      <c r="FX143" s="47"/>
      <c r="FY143" s="47"/>
      <c r="FZ143" s="47"/>
      <c r="GA143" s="47"/>
      <c r="GB143" s="47"/>
      <c r="GC143" s="47"/>
      <c r="GD143" s="47"/>
      <c r="GE143" s="47"/>
    </row>
    <row r="144" spans="1:187" ht="10.5" customHeight="1" outlineLevel="1">
      <c r="A144" s="248" t="s">
        <v>535</v>
      </c>
      <c r="B144" s="918"/>
      <c r="C144" s="91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223"/>
      <c r="O144" s="223"/>
      <c r="P144" s="223"/>
      <c r="Q144" s="223"/>
      <c r="R144" s="223"/>
      <c r="S144" s="223"/>
      <c r="T144" s="80"/>
      <c r="U144" s="223"/>
      <c r="V144" s="223"/>
      <c r="W144" s="223"/>
      <c r="X144" s="223"/>
      <c r="Y144" s="223"/>
      <c r="Z144" s="223"/>
      <c r="AA144" s="80"/>
      <c r="AB144" s="223"/>
      <c r="AC144" s="223"/>
      <c r="AD144" s="223"/>
      <c r="AE144" s="223"/>
      <c r="AF144" s="223"/>
      <c r="AG144" s="223"/>
      <c r="AH144" s="80">
        <f>AH138-AH143</f>
        <v>1022.1499999999996</v>
      </c>
      <c r="AI144" s="223"/>
      <c r="AJ144" s="223"/>
      <c r="AK144" s="223"/>
      <c r="AL144" s="223"/>
      <c r="AM144" s="223"/>
      <c r="AN144" s="223"/>
      <c r="AO144" s="90">
        <f>AO138-AO143</f>
        <v>1427.3800000000006</v>
      </c>
      <c r="AP144" s="223"/>
      <c r="AQ144" s="223"/>
      <c r="AR144" s="223"/>
      <c r="AS144" s="223"/>
      <c r="AT144" s="223"/>
      <c r="AU144" s="223"/>
      <c r="AV144" s="90">
        <f t="shared" si="872"/>
        <v>0.39644866213373886</v>
      </c>
      <c r="AW144" s="223"/>
      <c r="AX144" s="223"/>
      <c r="AY144" s="223"/>
      <c r="AZ144" s="223"/>
      <c r="BA144" s="223"/>
      <c r="BB144" s="223"/>
      <c r="BC144" s="90"/>
      <c r="BD144" s="223"/>
      <c r="BE144" s="223"/>
      <c r="BF144" s="223"/>
      <c r="BG144" s="223"/>
      <c r="BH144" s="223"/>
      <c r="BI144" s="223"/>
      <c r="BJ144" s="90"/>
      <c r="BK144" s="223"/>
      <c r="BL144" s="223"/>
      <c r="BM144" s="223"/>
      <c r="BN144" s="223"/>
      <c r="BO144" s="223"/>
      <c r="BP144" s="223"/>
      <c r="BQ144" s="90"/>
      <c r="BR144" s="223"/>
      <c r="BS144" s="223"/>
      <c r="BT144" s="223"/>
      <c r="BU144" s="223"/>
      <c r="BV144" s="223"/>
      <c r="BW144" s="223"/>
      <c r="BX144" s="90"/>
      <c r="BY144" s="223"/>
      <c r="BZ144" s="223"/>
      <c r="CA144" s="223"/>
      <c r="CB144" s="223"/>
      <c r="CC144" s="223"/>
      <c r="CD144" s="223"/>
      <c r="CE144" s="90"/>
      <c r="CF144" s="223"/>
      <c r="CG144" s="223"/>
      <c r="CH144" s="223"/>
      <c r="CI144" s="223"/>
      <c r="CJ144" s="223"/>
      <c r="CK144" s="223"/>
      <c r="CL144" s="90"/>
      <c r="CM144" s="223"/>
      <c r="CN144" s="223"/>
      <c r="CO144" s="223"/>
      <c r="CP144" s="223"/>
      <c r="CQ144" s="223"/>
      <c r="CR144" s="223"/>
      <c r="CS144" s="90"/>
      <c r="CT144" s="223"/>
      <c r="CU144" s="223"/>
      <c r="CV144" s="223"/>
      <c r="CW144" s="223"/>
      <c r="CX144" s="223"/>
      <c r="CY144" s="223"/>
      <c r="CZ144" s="90"/>
      <c r="DA144" s="223"/>
      <c r="DB144" s="223"/>
      <c r="DC144" s="223"/>
      <c r="DD144" s="223"/>
      <c r="DE144" s="223"/>
      <c r="DF144" s="223"/>
      <c r="DG144" s="90"/>
      <c r="DH144" s="223"/>
      <c r="DI144" s="223"/>
      <c r="DJ144" s="223"/>
      <c r="DK144" s="223"/>
      <c r="DL144" s="223"/>
      <c r="DM144" s="223"/>
      <c r="DN144" s="90"/>
      <c r="DO144" s="223"/>
      <c r="DP144" s="223"/>
      <c r="DQ144" s="223"/>
      <c r="DR144" s="223"/>
      <c r="DS144" s="223"/>
      <c r="DT144" s="223"/>
      <c r="DU144" s="90"/>
      <c r="DV144" s="223"/>
      <c r="DW144" s="223"/>
      <c r="DX144" s="223"/>
      <c r="DY144" s="223"/>
      <c r="DZ144" s="223"/>
      <c r="EA144" s="223"/>
      <c r="EB144" s="90"/>
      <c r="EC144" s="223"/>
      <c r="ED144" s="223"/>
      <c r="EE144" s="223"/>
      <c r="EF144" s="223"/>
      <c r="EG144" s="223"/>
      <c r="EH144" s="223"/>
      <c r="EI144" s="90"/>
      <c r="EJ144" s="47"/>
      <c r="EK144" s="47"/>
      <c r="EL144" s="47"/>
      <c r="EM144" s="47"/>
      <c r="EN144" s="47"/>
      <c r="EO144" s="47"/>
      <c r="EP144" s="47"/>
      <c r="EQ144" s="47"/>
      <c r="ER144" s="47"/>
      <c r="ES144" s="47"/>
      <c r="ET144" s="47"/>
      <c r="EU144" s="47"/>
      <c r="EV144" s="47"/>
      <c r="EW144" s="47"/>
      <c r="EX144" s="47"/>
      <c r="EY144" s="47"/>
      <c r="EZ144" s="47"/>
      <c r="FA144" s="47"/>
      <c r="FB144" s="47"/>
      <c r="FC144" s="47"/>
      <c r="FD144" s="47"/>
      <c r="FE144" s="47"/>
      <c r="FF144" s="47"/>
      <c r="FG144" s="47"/>
      <c r="FH144" s="47"/>
      <c r="FI144" s="47"/>
      <c r="FJ144" s="47"/>
      <c r="FK144" s="47"/>
      <c r="FL144" s="47"/>
      <c r="FM144" s="47"/>
      <c r="FN144" s="47"/>
      <c r="FO144" s="47"/>
      <c r="FP144" s="47"/>
      <c r="FQ144" s="47"/>
      <c r="FR144" s="47"/>
      <c r="FS144" s="47"/>
      <c r="FT144" s="47"/>
      <c r="FU144" s="47"/>
      <c r="FV144" s="47"/>
      <c r="FW144" s="47"/>
      <c r="FX144" s="47"/>
      <c r="FY144" s="47"/>
      <c r="FZ144" s="47"/>
      <c r="GA144" s="47"/>
      <c r="GB144" s="47"/>
      <c r="GC144" s="47"/>
      <c r="GD144" s="47"/>
      <c r="GE144" s="47"/>
    </row>
    <row r="145" spans="1:187" ht="10.5" customHeight="1" outlineLevel="1">
      <c r="A145" s="108" t="s">
        <v>521</v>
      </c>
      <c r="B145" s="231"/>
      <c r="C145" s="158"/>
      <c r="D145" s="922"/>
      <c r="E145" s="158"/>
      <c r="F145" s="158"/>
      <c r="G145" s="158"/>
      <c r="H145" s="158"/>
      <c r="I145" s="158"/>
      <c r="J145" s="158"/>
      <c r="K145" s="158"/>
      <c r="L145" s="158"/>
      <c r="M145" s="158"/>
      <c r="N145" s="92"/>
      <c r="O145" s="92"/>
      <c r="P145" s="92"/>
      <c r="Q145" s="92"/>
      <c r="R145" s="92"/>
      <c r="S145" s="92"/>
      <c r="T145" s="80"/>
      <c r="U145" s="92"/>
      <c r="V145" s="92"/>
      <c r="W145" s="92"/>
      <c r="X145" s="92"/>
      <c r="Y145" s="92"/>
      <c r="Z145" s="92"/>
      <c r="AA145" s="80"/>
      <c r="AB145" s="92"/>
      <c r="AC145" s="92"/>
      <c r="AD145" s="92"/>
      <c r="AE145" s="92"/>
      <c r="AF145" s="92"/>
      <c r="AG145" s="92"/>
      <c r="AH145" s="80">
        <f>AH138-AH141</f>
        <v>1655.4199999999996</v>
      </c>
      <c r="AI145" s="92"/>
      <c r="AJ145" s="92"/>
      <c r="AK145" s="92"/>
      <c r="AL145" s="92"/>
      <c r="AM145" s="92"/>
      <c r="AN145" s="92"/>
      <c r="AO145" s="92">
        <f>AO138-AO141</f>
        <v>2370.1500000000005</v>
      </c>
      <c r="AP145" s="92"/>
      <c r="AQ145" s="92"/>
      <c r="AR145" s="92"/>
      <c r="AS145" s="92"/>
      <c r="AT145" s="92"/>
      <c r="AU145" s="92"/>
      <c r="AV145" s="92">
        <f t="shared" si="872"/>
        <v>0.4317514588442819</v>
      </c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  <c r="BM145" s="92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  <c r="CC145" s="92"/>
      <c r="CD145" s="92"/>
      <c r="CE145" s="92"/>
      <c r="CF145" s="92"/>
      <c r="CG145" s="92"/>
      <c r="CH145" s="92"/>
      <c r="CI145" s="92"/>
      <c r="CJ145" s="92"/>
      <c r="CK145" s="92"/>
      <c r="CL145" s="92"/>
      <c r="CM145" s="92"/>
      <c r="CN145" s="92"/>
      <c r="CO145" s="92"/>
      <c r="CP145" s="92"/>
      <c r="CQ145" s="92"/>
      <c r="CR145" s="92"/>
      <c r="CS145" s="92"/>
      <c r="CT145" s="92"/>
      <c r="CU145" s="92"/>
      <c r="CV145" s="92"/>
      <c r="CW145" s="92"/>
      <c r="CX145" s="92"/>
      <c r="CY145" s="92"/>
      <c r="CZ145" s="92"/>
      <c r="DA145" s="92"/>
      <c r="DB145" s="92"/>
      <c r="DC145" s="92"/>
      <c r="DD145" s="92"/>
      <c r="DE145" s="92"/>
      <c r="DF145" s="92"/>
      <c r="DG145" s="92"/>
      <c r="DH145" s="92"/>
      <c r="DI145" s="92"/>
      <c r="DJ145" s="92"/>
      <c r="DK145" s="92"/>
      <c r="DL145" s="92"/>
      <c r="DM145" s="92"/>
      <c r="DN145" s="92"/>
      <c r="DO145" s="92"/>
      <c r="DP145" s="92"/>
      <c r="DQ145" s="92"/>
      <c r="DR145" s="92"/>
      <c r="DS145" s="92"/>
      <c r="DT145" s="92"/>
      <c r="DU145" s="92"/>
      <c r="DV145" s="92"/>
      <c r="DW145" s="92"/>
      <c r="DX145" s="92"/>
      <c r="DY145" s="92"/>
      <c r="DZ145" s="92"/>
      <c r="EA145" s="92"/>
      <c r="EB145" s="92"/>
      <c r="EC145" s="92"/>
      <c r="ED145" s="92"/>
      <c r="EE145" s="92"/>
      <c r="EF145" s="92"/>
      <c r="EG145" s="92"/>
      <c r="EH145" s="92"/>
      <c r="EI145" s="92"/>
      <c r="EJ145" s="47"/>
      <c r="EK145" s="47"/>
      <c r="EL145" s="47"/>
      <c r="EM145" s="47"/>
      <c r="EN145" s="47"/>
      <c r="EO145" s="47"/>
      <c r="EP145" s="47"/>
      <c r="EQ145" s="47"/>
      <c r="ER145" s="47"/>
      <c r="ES145" s="47"/>
      <c r="ET145" s="47"/>
      <c r="EU145" s="47"/>
      <c r="EV145" s="47"/>
      <c r="EW145" s="47"/>
      <c r="EX145" s="47"/>
      <c r="EY145" s="47"/>
      <c r="EZ145" s="47"/>
      <c r="FA145" s="47"/>
      <c r="FB145" s="47"/>
      <c r="FC145" s="47"/>
      <c r="FD145" s="47"/>
      <c r="FE145" s="47"/>
      <c r="FF145" s="47"/>
      <c r="FG145" s="47"/>
      <c r="FH145" s="47"/>
      <c r="FI145" s="47"/>
      <c r="FJ145" s="47"/>
      <c r="FK145" s="47"/>
      <c r="FL145" s="47"/>
      <c r="FM145" s="47"/>
      <c r="FN145" s="47"/>
      <c r="FO145" s="47"/>
      <c r="FP145" s="47"/>
      <c r="FQ145" s="47"/>
      <c r="FR145" s="47"/>
      <c r="FS145" s="47"/>
      <c r="FT145" s="47"/>
      <c r="FU145" s="47"/>
      <c r="FV145" s="47"/>
      <c r="FW145" s="47"/>
      <c r="FX145" s="47"/>
      <c r="FY145" s="47"/>
      <c r="FZ145" s="47"/>
      <c r="GA145" s="47"/>
      <c r="GB145" s="47"/>
      <c r="GC145" s="47"/>
      <c r="GD145" s="47"/>
      <c r="GE145" s="47"/>
    </row>
    <row r="146" spans="1:187" ht="10.5" customHeight="1" outlineLevel="1">
      <c r="A146" s="43"/>
      <c r="B146" s="108"/>
      <c r="C146" s="108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77"/>
      <c r="U146" s="223"/>
      <c r="V146" s="223"/>
      <c r="W146" s="223"/>
      <c r="X146" s="223"/>
      <c r="Y146" s="223"/>
      <c r="Z146" s="223"/>
      <c r="AA146" s="77"/>
      <c r="AB146" s="223"/>
      <c r="AC146" s="223"/>
      <c r="AD146" s="223"/>
      <c r="AE146" s="223"/>
      <c r="AF146" s="223"/>
      <c r="AG146" s="223"/>
      <c r="AH146" s="77"/>
      <c r="AI146" s="223"/>
      <c r="AJ146" s="223"/>
      <c r="AK146" s="223"/>
      <c r="AL146" s="223"/>
      <c r="AM146" s="223"/>
      <c r="AN146" s="223"/>
      <c r="AO146" s="77"/>
      <c r="AP146" s="223"/>
      <c r="AQ146" s="223"/>
      <c r="AR146" s="223"/>
      <c r="AS146" s="223"/>
      <c r="AT146" s="223"/>
      <c r="AU146" s="223"/>
      <c r="AV146" s="77"/>
      <c r="AW146" s="223"/>
      <c r="AX146" s="223"/>
      <c r="AY146" s="223"/>
      <c r="AZ146" s="223"/>
      <c r="BA146" s="223"/>
      <c r="BB146" s="223"/>
      <c r="BC146" s="77"/>
      <c r="BD146" s="223"/>
      <c r="BE146" s="223"/>
      <c r="BF146" s="223"/>
      <c r="BG146" s="223"/>
      <c r="BH146" s="223"/>
      <c r="BI146" s="223"/>
      <c r="BJ146" s="77"/>
      <c r="BK146" s="223"/>
      <c r="BL146" s="223"/>
      <c r="BM146" s="223"/>
      <c r="BN146" s="223"/>
      <c r="BO146" s="223"/>
      <c r="BP146" s="223"/>
      <c r="BQ146" s="77"/>
      <c r="BR146" s="223"/>
      <c r="BS146" s="223"/>
      <c r="BT146" s="223"/>
      <c r="BU146" s="223"/>
      <c r="BV146" s="223"/>
      <c r="BW146" s="223"/>
      <c r="BX146" s="77"/>
      <c r="BY146" s="223"/>
      <c r="BZ146" s="223"/>
      <c r="CA146" s="223"/>
      <c r="CB146" s="223"/>
      <c r="CC146" s="223"/>
      <c r="CD146" s="223"/>
      <c r="CE146" s="77"/>
      <c r="CF146" s="223"/>
      <c r="CG146" s="223"/>
      <c r="CH146" s="223"/>
      <c r="CI146" s="223"/>
      <c r="CJ146" s="223"/>
      <c r="CK146" s="223"/>
      <c r="CL146" s="77"/>
      <c r="CM146" s="223"/>
      <c r="CN146" s="223"/>
      <c r="CO146" s="223"/>
      <c r="CP146" s="223"/>
      <c r="CQ146" s="223"/>
      <c r="CR146" s="223"/>
      <c r="CS146" s="77"/>
      <c r="CT146" s="223"/>
      <c r="CU146" s="223"/>
      <c r="CV146" s="223"/>
      <c r="CW146" s="223"/>
      <c r="CX146" s="223"/>
      <c r="CY146" s="223"/>
      <c r="CZ146" s="77"/>
      <c r="DA146" s="223"/>
      <c r="DB146" s="223"/>
      <c r="DC146" s="223"/>
      <c r="DD146" s="223"/>
      <c r="DE146" s="223"/>
      <c r="DF146" s="223"/>
      <c r="DG146" s="77"/>
      <c r="DH146" s="223"/>
      <c r="DI146" s="223"/>
      <c r="DJ146" s="223"/>
      <c r="DK146" s="223"/>
      <c r="DL146" s="223"/>
      <c r="DM146" s="223"/>
      <c r="DN146" s="77"/>
      <c r="DO146" s="223"/>
      <c r="DP146" s="223"/>
      <c r="DQ146" s="223"/>
      <c r="DR146" s="223"/>
      <c r="DS146" s="223"/>
      <c r="DT146" s="223"/>
      <c r="DU146" s="77"/>
      <c r="DV146" s="223"/>
      <c r="DW146" s="223"/>
      <c r="DX146" s="223"/>
      <c r="DY146" s="223"/>
      <c r="DZ146" s="223"/>
      <c r="EA146" s="223"/>
      <c r="EB146" s="77"/>
      <c r="EC146" s="223"/>
      <c r="ED146" s="223"/>
      <c r="EE146" s="223"/>
      <c r="EF146" s="223"/>
      <c r="EG146" s="223"/>
      <c r="EH146" s="223"/>
      <c r="EI146" s="77"/>
      <c r="EJ146" s="47"/>
      <c r="EK146" s="47"/>
      <c r="EL146" s="47"/>
      <c r="EM146" s="47"/>
      <c r="EN146" s="47"/>
      <c r="EO146" s="47"/>
      <c r="EP146" s="47"/>
      <c r="EQ146" s="47"/>
      <c r="ER146" s="47"/>
      <c r="ES146" s="47"/>
      <c r="ET146" s="47"/>
      <c r="EU146" s="47"/>
      <c r="EV146" s="47"/>
      <c r="EW146" s="47"/>
      <c r="EX146" s="47"/>
      <c r="EY146" s="47"/>
      <c r="EZ146" s="47"/>
      <c r="FA146" s="47"/>
      <c r="FB146" s="47"/>
      <c r="FC146" s="47"/>
      <c r="FD146" s="47"/>
      <c r="FE146" s="47"/>
      <c r="FF146" s="47"/>
      <c r="FG146" s="47"/>
      <c r="FH146" s="47"/>
      <c r="FI146" s="47"/>
      <c r="FJ146" s="47"/>
      <c r="FK146" s="47"/>
      <c r="FL146" s="47"/>
      <c r="FM146" s="47"/>
      <c r="FN146" s="47"/>
      <c r="FO146" s="47"/>
      <c r="FP146" s="47"/>
      <c r="FQ146" s="47"/>
      <c r="FR146" s="47"/>
      <c r="FS146" s="47"/>
      <c r="FT146" s="47"/>
      <c r="FU146" s="47"/>
      <c r="FV146" s="47"/>
      <c r="FW146" s="47"/>
      <c r="FX146" s="47"/>
      <c r="FY146" s="47"/>
      <c r="FZ146" s="47"/>
      <c r="GA146" s="47"/>
      <c r="GB146" s="47"/>
      <c r="GC146" s="47"/>
      <c r="GD146" s="47"/>
      <c r="GE146" s="47"/>
    </row>
    <row r="147" spans="1:187" ht="10.5" customHeight="1" outlineLevel="1">
      <c r="A147" s="48" t="s">
        <v>537</v>
      </c>
      <c r="B147" s="84"/>
      <c r="C147" s="84"/>
      <c r="D147" s="201"/>
      <c r="E147" s="108"/>
      <c r="F147" s="108"/>
      <c r="G147" s="108"/>
      <c r="H147" s="108"/>
      <c r="I147" s="108"/>
      <c r="J147" s="108"/>
      <c r="K147" s="108"/>
      <c r="L147" s="108"/>
      <c r="M147" s="108"/>
      <c r="N147" s="223"/>
      <c r="O147" s="223"/>
      <c r="P147" s="223"/>
      <c r="Q147" s="223"/>
      <c r="R147" s="223"/>
      <c r="S147" s="223"/>
      <c r="T147" s="77"/>
      <c r="U147" s="223"/>
      <c r="V147" s="223"/>
      <c r="W147" s="223"/>
      <c r="X147" s="223"/>
      <c r="Y147" s="223"/>
      <c r="Z147" s="223"/>
      <c r="AA147" s="77"/>
      <c r="AB147" s="223"/>
      <c r="AC147" s="223"/>
      <c r="AD147" s="223"/>
      <c r="AE147" s="223"/>
      <c r="AF147" s="223"/>
      <c r="AG147" s="223"/>
      <c r="AH147" s="77">
        <f t="shared" ref="AH147:AO154" si="873">AH138/AH89</f>
        <v>8.0744810126582269</v>
      </c>
      <c r="AI147" s="223"/>
      <c r="AJ147" s="223"/>
      <c r="AK147" s="223"/>
      <c r="AL147" s="223"/>
      <c r="AM147" s="223"/>
      <c r="AN147" s="223"/>
      <c r="AO147" s="77">
        <f t="shared" si="873"/>
        <v>8.4343540669856463</v>
      </c>
      <c r="AP147" s="223"/>
      <c r="AQ147" s="223"/>
      <c r="AR147" s="223"/>
      <c r="AS147" s="223"/>
      <c r="AT147" s="223"/>
      <c r="AU147" s="223"/>
      <c r="AV147" s="77">
        <f t="shared" ref="AV147:AV154" si="874">AO147/AH147-1</f>
        <v>4.4569187018119516E-2</v>
      </c>
      <c r="AW147" s="223"/>
      <c r="AX147" s="223"/>
      <c r="AY147" s="223"/>
      <c r="AZ147" s="223"/>
      <c r="BA147" s="223"/>
      <c r="BB147" s="223"/>
      <c r="BC147" s="77"/>
      <c r="BD147" s="223"/>
      <c r="BE147" s="223"/>
      <c r="BF147" s="223"/>
      <c r="BG147" s="223"/>
      <c r="BH147" s="223"/>
      <c r="BI147" s="223"/>
      <c r="BJ147" s="77"/>
      <c r="BK147" s="223"/>
      <c r="BL147" s="223"/>
      <c r="BM147" s="223"/>
      <c r="BN147" s="223"/>
      <c r="BO147" s="223"/>
      <c r="BP147" s="223"/>
      <c r="BQ147" s="77"/>
      <c r="BR147" s="223"/>
      <c r="BS147" s="223"/>
      <c r="BT147" s="223"/>
      <c r="BU147" s="223"/>
      <c r="BV147" s="223"/>
      <c r="BW147" s="223"/>
      <c r="BX147" s="77"/>
      <c r="BY147" s="223"/>
      <c r="BZ147" s="223"/>
      <c r="CA147" s="223"/>
      <c r="CB147" s="223"/>
      <c r="CC147" s="223"/>
      <c r="CD147" s="223"/>
      <c r="CE147" s="77"/>
      <c r="CF147" s="223"/>
      <c r="CG147" s="223"/>
      <c r="CH147" s="223"/>
      <c r="CI147" s="223"/>
      <c r="CJ147" s="223"/>
      <c r="CK147" s="223"/>
      <c r="CL147" s="77"/>
      <c r="CM147" s="223"/>
      <c r="CN147" s="223"/>
      <c r="CO147" s="223"/>
      <c r="CP147" s="223"/>
      <c r="CQ147" s="223"/>
      <c r="CR147" s="223"/>
      <c r="CS147" s="77"/>
      <c r="CT147" s="223"/>
      <c r="CU147" s="223"/>
      <c r="CV147" s="223"/>
      <c r="CW147" s="223"/>
      <c r="CX147" s="223"/>
      <c r="CY147" s="223"/>
      <c r="CZ147" s="77"/>
      <c r="DA147" s="223"/>
      <c r="DB147" s="223"/>
      <c r="DC147" s="223"/>
      <c r="DD147" s="223"/>
      <c r="DE147" s="223"/>
      <c r="DF147" s="223"/>
      <c r="DG147" s="77"/>
      <c r="DH147" s="223"/>
      <c r="DI147" s="223"/>
      <c r="DJ147" s="223"/>
      <c r="DK147" s="223"/>
      <c r="DL147" s="223"/>
      <c r="DM147" s="223"/>
      <c r="DN147" s="77"/>
      <c r="DO147" s="223"/>
      <c r="DP147" s="223"/>
      <c r="DQ147" s="223"/>
      <c r="DR147" s="223"/>
      <c r="DS147" s="223"/>
      <c r="DT147" s="223"/>
      <c r="DU147" s="77"/>
      <c r="DV147" s="223"/>
      <c r="DW147" s="223"/>
      <c r="DX147" s="223"/>
      <c r="DY147" s="223"/>
      <c r="DZ147" s="223"/>
      <c r="EA147" s="223"/>
      <c r="EB147" s="77"/>
      <c r="EC147" s="223"/>
      <c r="ED147" s="223"/>
      <c r="EE147" s="223"/>
      <c r="EF147" s="223"/>
      <c r="EG147" s="223"/>
      <c r="EH147" s="223"/>
      <c r="EI147" s="77"/>
      <c r="EJ147" s="47"/>
      <c r="EK147" s="47"/>
      <c r="EL147" s="47"/>
      <c r="EM147" s="47"/>
      <c r="EN147" s="47"/>
      <c r="EO147" s="47"/>
      <c r="EP147" s="47"/>
      <c r="EQ147" s="47"/>
      <c r="ER147" s="47"/>
      <c r="ES147" s="47"/>
      <c r="ET147" s="47"/>
      <c r="EU147" s="47"/>
      <c r="EV147" s="47"/>
      <c r="EW147" s="47"/>
      <c r="EX147" s="47"/>
      <c r="EY147" s="47"/>
      <c r="EZ147" s="47"/>
      <c r="FA147" s="47"/>
      <c r="FB147" s="47"/>
      <c r="FC147" s="47"/>
      <c r="FD147" s="47"/>
      <c r="FE147" s="47"/>
      <c r="FF147" s="47"/>
      <c r="FG147" s="47"/>
      <c r="FH147" s="47"/>
      <c r="FI147" s="47"/>
      <c r="FJ147" s="47"/>
      <c r="FK147" s="47"/>
      <c r="FL147" s="47"/>
      <c r="FM147" s="47"/>
      <c r="FN147" s="47"/>
      <c r="FO147" s="47"/>
      <c r="FP147" s="47"/>
      <c r="FQ147" s="47"/>
      <c r="FR147" s="47"/>
      <c r="FS147" s="47"/>
      <c r="FT147" s="47"/>
      <c r="FU147" s="47"/>
      <c r="FV147" s="47"/>
      <c r="FW147" s="47"/>
      <c r="FX147" s="47"/>
      <c r="FY147" s="47"/>
      <c r="FZ147" s="47"/>
      <c r="GA147" s="47"/>
      <c r="GB147" s="47"/>
      <c r="GC147" s="47"/>
      <c r="GD147" s="47"/>
      <c r="GE147" s="47"/>
    </row>
    <row r="148" spans="1:187" ht="10.5" customHeight="1" outlineLevel="1">
      <c r="A148" s="108" t="s">
        <v>532</v>
      </c>
      <c r="B148" s="84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223"/>
      <c r="O148" s="223"/>
      <c r="P148" s="223"/>
      <c r="Q148" s="223"/>
      <c r="R148" s="223"/>
      <c r="S148" s="223"/>
      <c r="T148" s="77"/>
      <c r="U148" s="223"/>
      <c r="V148" s="223"/>
      <c r="W148" s="223"/>
      <c r="X148" s="223"/>
      <c r="Y148" s="223"/>
      <c r="Z148" s="223"/>
      <c r="AA148" s="77"/>
      <c r="AB148" s="223"/>
      <c r="AC148" s="223"/>
      <c r="AD148" s="223"/>
      <c r="AE148" s="223"/>
      <c r="AF148" s="223"/>
      <c r="AG148" s="223"/>
      <c r="AH148" s="77">
        <f t="shared" si="873"/>
        <v>9.29153846153846</v>
      </c>
      <c r="AI148" s="223"/>
      <c r="AJ148" s="223"/>
      <c r="AK148" s="223"/>
      <c r="AL148" s="223"/>
      <c r="AM148" s="223"/>
      <c r="AN148" s="223"/>
      <c r="AO148" s="77">
        <f t="shared" si="873"/>
        <v>7.6510714285714281</v>
      </c>
      <c r="AP148" s="223"/>
      <c r="AQ148" s="223"/>
      <c r="AR148" s="223"/>
      <c r="AS148" s="223"/>
      <c r="AT148" s="223"/>
      <c r="AU148" s="223"/>
      <c r="AV148" s="77">
        <f t="shared" si="874"/>
        <v>-0.17655494187077914</v>
      </c>
      <c r="AW148" s="223"/>
      <c r="AX148" s="223"/>
      <c r="AY148" s="223"/>
      <c r="AZ148" s="223"/>
      <c r="BA148" s="223"/>
      <c r="BB148" s="223"/>
      <c r="BC148" s="77"/>
      <c r="BD148" s="223"/>
      <c r="BE148" s="223"/>
      <c r="BF148" s="223"/>
      <c r="BG148" s="223"/>
      <c r="BH148" s="223"/>
      <c r="BI148" s="223"/>
      <c r="BJ148" s="77"/>
      <c r="BK148" s="223"/>
      <c r="BL148" s="223"/>
      <c r="BM148" s="223"/>
      <c r="BN148" s="223"/>
      <c r="BO148" s="223"/>
      <c r="BP148" s="223"/>
      <c r="BQ148" s="77"/>
      <c r="BR148" s="223"/>
      <c r="BS148" s="223"/>
      <c r="BT148" s="223"/>
      <c r="BU148" s="223"/>
      <c r="BV148" s="223"/>
      <c r="BW148" s="223"/>
      <c r="BX148" s="77"/>
      <c r="BY148" s="223"/>
      <c r="BZ148" s="223"/>
      <c r="CA148" s="223"/>
      <c r="CB148" s="223"/>
      <c r="CC148" s="223"/>
      <c r="CD148" s="223"/>
      <c r="CE148" s="77"/>
      <c r="CF148" s="223"/>
      <c r="CG148" s="223"/>
      <c r="CH148" s="223"/>
      <c r="CI148" s="223"/>
      <c r="CJ148" s="223"/>
      <c r="CK148" s="223"/>
      <c r="CL148" s="77"/>
      <c r="CM148" s="223"/>
      <c r="CN148" s="223"/>
      <c r="CO148" s="223"/>
      <c r="CP148" s="223"/>
      <c r="CQ148" s="223"/>
      <c r="CR148" s="223"/>
      <c r="CS148" s="77"/>
      <c r="CT148" s="223"/>
      <c r="CU148" s="223"/>
      <c r="CV148" s="223"/>
      <c r="CW148" s="223"/>
      <c r="CX148" s="223"/>
      <c r="CY148" s="223"/>
      <c r="CZ148" s="77"/>
      <c r="DA148" s="223"/>
      <c r="DB148" s="223"/>
      <c r="DC148" s="223"/>
      <c r="DD148" s="223"/>
      <c r="DE148" s="223"/>
      <c r="DF148" s="223"/>
      <c r="DG148" s="77"/>
      <c r="DH148" s="223"/>
      <c r="DI148" s="223"/>
      <c r="DJ148" s="223"/>
      <c r="DK148" s="223"/>
      <c r="DL148" s="223"/>
      <c r="DM148" s="223"/>
      <c r="DN148" s="77"/>
      <c r="DO148" s="223"/>
      <c r="DP148" s="223"/>
      <c r="DQ148" s="223"/>
      <c r="DR148" s="223"/>
      <c r="DS148" s="223"/>
      <c r="DT148" s="223"/>
      <c r="DU148" s="77"/>
      <c r="DV148" s="223"/>
      <c r="DW148" s="223"/>
      <c r="DX148" s="223"/>
      <c r="DY148" s="223"/>
      <c r="DZ148" s="223"/>
      <c r="EA148" s="223"/>
      <c r="EB148" s="77"/>
      <c r="EC148" s="223"/>
      <c r="ED148" s="223"/>
      <c r="EE148" s="223"/>
      <c r="EF148" s="223"/>
      <c r="EG148" s="223"/>
      <c r="EH148" s="223"/>
      <c r="EI148" s="77"/>
      <c r="EJ148" s="47"/>
      <c r="EK148" s="47"/>
      <c r="EL148" s="47"/>
      <c r="EM148" s="47"/>
      <c r="EN148" s="47"/>
      <c r="EO148" s="47"/>
      <c r="EP148" s="47"/>
      <c r="EQ148" s="47"/>
      <c r="ER148" s="47"/>
      <c r="ES148" s="47"/>
      <c r="ET148" s="47"/>
      <c r="EU148" s="47"/>
      <c r="EV148" s="47"/>
      <c r="EW148" s="47"/>
      <c r="EX148" s="47"/>
      <c r="EY148" s="47"/>
      <c r="EZ148" s="47"/>
      <c r="FA148" s="47"/>
      <c r="FB148" s="47"/>
      <c r="FC148" s="47"/>
      <c r="FD148" s="47"/>
      <c r="FE148" s="47"/>
      <c r="FF148" s="47"/>
      <c r="FG148" s="47"/>
      <c r="FH148" s="47"/>
      <c r="FI148" s="47"/>
      <c r="FJ148" s="47"/>
      <c r="FK148" s="47"/>
      <c r="FL148" s="47"/>
      <c r="FM148" s="47"/>
      <c r="FN148" s="47"/>
      <c r="FO148" s="47"/>
      <c r="FP148" s="47"/>
      <c r="FQ148" s="47"/>
      <c r="FR148" s="47"/>
      <c r="FS148" s="47"/>
      <c r="FT148" s="47"/>
      <c r="FU148" s="47"/>
      <c r="FV148" s="47"/>
      <c r="FW148" s="47"/>
      <c r="FX148" s="47"/>
      <c r="FY148" s="47"/>
      <c r="FZ148" s="47"/>
      <c r="GA148" s="47"/>
      <c r="GB148" s="47"/>
      <c r="GC148" s="47"/>
      <c r="GD148" s="47"/>
      <c r="GE148" s="47"/>
    </row>
    <row r="149" spans="1:187" ht="10.5" customHeight="1" outlineLevel="1">
      <c r="A149" s="108" t="s">
        <v>533</v>
      </c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34"/>
      <c r="O149" s="134"/>
      <c r="P149" s="134"/>
      <c r="Q149" s="134"/>
      <c r="R149" s="134"/>
      <c r="S149" s="134"/>
      <c r="T149" s="45"/>
      <c r="U149" s="134"/>
      <c r="V149" s="134"/>
      <c r="W149" s="134"/>
      <c r="X149" s="134"/>
      <c r="Y149" s="134"/>
      <c r="Z149" s="134"/>
      <c r="AA149" s="45"/>
      <c r="AB149" s="134"/>
      <c r="AC149" s="134"/>
      <c r="AD149" s="134"/>
      <c r="AE149" s="134"/>
      <c r="AF149" s="134"/>
      <c r="AG149" s="134"/>
      <c r="AH149" s="45">
        <f t="shared" si="873"/>
        <v>10.690229885057471</v>
      </c>
      <c r="AI149" s="134"/>
      <c r="AJ149" s="134"/>
      <c r="AK149" s="134"/>
      <c r="AL149" s="134"/>
      <c r="AM149" s="134"/>
      <c r="AN149" s="134"/>
      <c r="AO149" s="45">
        <f t="shared" si="873"/>
        <v>6.7939252336448606</v>
      </c>
      <c r="AP149" s="134"/>
      <c r="AQ149" s="134"/>
      <c r="AR149" s="134"/>
      <c r="AS149" s="134"/>
      <c r="AT149" s="134"/>
      <c r="AU149" s="134"/>
      <c r="AV149" s="45">
        <f t="shared" si="874"/>
        <v>-0.36447342043212427</v>
      </c>
      <c r="AW149" s="134"/>
      <c r="AX149" s="134"/>
      <c r="AY149" s="134"/>
      <c r="AZ149" s="134"/>
      <c r="BA149" s="134"/>
      <c r="BB149" s="134"/>
      <c r="BC149" s="45"/>
      <c r="BD149" s="134"/>
      <c r="BE149" s="134"/>
      <c r="BF149" s="134"/>
      <c r="BG149" s="134"/>
      <c r="BH149" s="134"/>
      <c r="BI149" s="134"/>
      <c r="BJ149" s="45"/>
      <c r="BK149" s="134"/>
      <c r="BL149" s="134"/>
      <c r="BM149" s="134"/>
      <c r="BN149" s="134"/>
      <c r="BO149" s="134"/>
      <c r="BP149" s="134"/>
      <c r="BQ149" s="45"/>
      <c r="BR149" s="134"/>
      <c r="BS149" s="134"/>
      <c r="BT149" s="134"/>
      <c r="BU149" s="134"/>
      <c r="BV149" s="134"/>
      <c r="BW149" s="134"/>
      <c r="BX149" s="45"/>
      <c r="BY149" s="134"/>
      <c r="BZ149" s="134"/>
      <c r="CA149" s="134"/>
      <c r="CB149" s="134"/>
      <c r="CC149" s="134"/>
      <c r="CD149" s="134"/>
      <c r="CE149" s="45"/>
      <c r="CF149" s="134"/>
      <c r="CG149" s="134"/>
      <c r="CH149" s="134"/>
      <c r="CI149" s="134"/>
      <c r="CJ149" s="134"/>
      <c r="CK149" s="134"/>
      <c r="CL149" s="45"/>
      <c r="CM149" s="134"/>
      <c r="CN149" s="134"/>
      <c r="CO149" s="134"/>
      <c r="CP149" s="134"/>
      <c r="CQ149" s="134"/>
      <c r="CR149" s="134"/>
      <c r="CS149" s="45"/>
      <c r="CT149" s="134"/>
      <c r="CU149" s="134"/>
      <c r="CV149" s="134"/>
      <c r="CW149" s="134"/>
      <c r="CX149" s="134"/>
      <c r="CY149" s="134"/>
      <c r="CZ149" s="45"/>
      <c r="DA149" s="134"/>
      <c r="DB149" s="134"/>
      <c r="DC149" s="134"/>
      <c r="DD149" s="134"/>
      <c r="DE149" s="134"/>
      <c r="DF149" s="134"/>
      <c r="DG149" s="45"/>
      <c r="DH149" s="134"/>
      <c r="DI149" s="134"/>
      <c r="DJ149" s="134"/>
      <c r="DK149" s="134"/>
      <c r="DL149" s="134"/>
      <c r="DM149" s="134"/>
      <c r="DN149" s="45"/>
      <c r="DO149" s="134"/>
      <c r="DP149" s="134"/>
      <c r="DQ149" s="134"/>
      <c r="DR149" s="134"/>
      <c r="DS149" s="134"/>
      <c r="DT149" s="134"/>
      <c r="DU149" s="45"/>
      <c r="DV149" s="134"/>
      <c r="DW149" s="134"/>
      <c r="DX149" s="134"/>
      <c r="DY149" s="134"/>
      <c r="DZ149" s="134"/>
      <c r="EA149" s="134"/>
      <c r="EB149" s="45"/>
      <c r="EC149" s="134"/>
      <c r="ED149" s="134"/>
      <c r="EE149" s="134"/>
      <c r="EF149" s="134"/>
      <c r="EG149" s="134"/>
      <c r="EH149" s="134"/>
      <c r="EI149" s="45"/>
      <c r="EJ149" s="47"/>
      <c r="EK149" s="47"/>
      <c r="EL149" s="47"/>
      <c r="EM149" s="47"/>
      <c r="EN149" s="47"/>
      <c r="EO149" s="47"/>
      <c r="EP149" s="47"/>
      <c r="EQ149" s="47"/>
      <c r="ER149" s="47"/>
      <c r="ES149" s="47"/>
      <c r="ET149" s="47"/>
      <c r="EU149" s="47"/>
      <c r="EV149" s="47"/>
      <c r="EW149" s="47"/>
      <c r="EX149" s="47"/>
      <c r="EY149" s="47"/>
      <c r="EZ149" s="47"/>
      <c r="FA149" s="47"/>
      <c r="FB149" s="47"/>
      <c r="FC149" s="47"/>
      <c r="FD149" s="47"/>
      <c r="FE149" s="47"/>
      <c r="FF149" s="47"/>
      <c r="FG149" s="47"/>
      <c r="FH149" s="47"/>
      <c r="FI149" s="47"/>
      <c r="FJ149" s="47"/>
      <c r="FK149" s="47"/>
      <c r="FL149" s="47"/>
      <c r="FM149" s="47"/>
      <c r="FN149" s="47"/>
      <c r="FO149" s="47"/>
      <c r="FP149" s="47"/>
      <c r="FQ149" s="47"/>
      <c r="FR149" s="47"/>
      <c r="FS149" s="47"/>
      <c r="FT149" s="47"/>
      <c r="FU149" s="47"/>
      <c r="FV149" s="47"/>
      <c r="FW149" s="47"/>
      <c r="FX149" s="47"/>
      <c r="FY149" s="47"/>
      <c r="FZ149" s="47"/>
      <c r="GA149" s="47"/>
      <c r="GB149" s="47"/>
      <c r="GC149" s="47"/>
      <c r="GD149" s="47"/>
      <c r="GE149" s="47"/>
    </row>
    <row r="150" spans="1:187" ht="10.5" customHeight="1" outlineLevel="1">
      <c r="A150" s="108" t="s">
        <v>520</v>
      </c>
      <c r="B150" s="84"/>
      <c r="C150" s="176"/>
      <c r="D150" s="176"/>
      <c r="E150" s="176"/>
      <c r="F150" s="135"/>
      <c r="G150" s="135"/>
      <c r="H150" s="135"/>
      <c r="I150" s="135"/>
      <c r="J150" s="135"/>
      <c r="K150" s="135"/>
      <c r="L150" s="135"/>
      <c r="M150" s="135"/>
      <c r="N150" s="134"/>
      <c r="O150" s="134"/>
      <c r="P150" s="134"/>
      <c r="Q150" s="134"/>
      <c r="R150" s="134"/>
      <c r="S150" s="134"/>
      <c r="T150" s="45"/>
      <c r="U150" s="134"/>
      <c r="V150" s="134"/>
      <c r="W150" s="134"/>
      <c r="X150" s="134"/>
      <c r="Y150" s="134"/>
      <c r="Z150" s="134"/>
      <c r="AA150" s="45"/>
      <c r="AB150" s="134"/>
      <c r="AC150" s="134"/>
      <c r="AD150" s="134"/>
      <c r="AE150" s="134"/>
      <c r="AF150" s="134"/>
      <c r="AG150" s="134"/>
      <c r="AH150" s="45">
        <f t="shared" si="873"/>
        <v>10.092105263157896</v>
      </c>
      <c r="AI150" s="134"/>
      <c r="AJ150" s="134"/>
      <c r="AK150" s="134"/>
      <c r="AL150" s="134"/>
      <c r="AM150" s="134"/>
      <c r="AN150" s="134"/>
      <c r="AO150" s="45">
        <f t="shared" si="873"/>
        <v>7.0884049079754607</v>
      </c>
      <c r="AP150" s="134"/>
      <c r="AQ150" s="134"/>
      <c r="AR150" s="134"/>
      <c r="AS150" s="134"/>
      <c r="AT150" s="134"/>
      <c r="AU150" s="134"/>
      <c r="AV150" s="45">
        <f t="shared" si="874"/>
        <v>-0.29762871837531291</v>
      </c>
      <c r="AW150" s="134"/>
      <c r="AX150" s="134"/>
      <c r="AY150" s="134"/>
      <c r="AZ150" s="134"/>
      <c r="BA150" s="134"/>
      <c r="BB150" s="134"/>
      <c r="BC150" s="45"/>
      <c r="BD150" s="134"/>
      <c r="BE150" s="134"/>
      <c r="BF150" s="134"/>
      <c r="BG150" s="134"/>
      <c r="BH150" s="134"/>
      <c r="BI150" s="134"/>
      <c r="BJ150" s="45"/>
      <c r="BK150" s="134"/>
      <c r="BL150" s="134"/>
      <c r="BM150" s="134"/>
      <c r="BN150" s="134"/>
      <c r="BO150" s="134"/>
      <c r="BP150" s="134"/>
      <c r="BQ150" s="45"/>
      <c r="BR150" s="134"/>
      <c r="BS150" s="134"/>
      <c r="BT150" s="134"/>
      <c r="BU150" s="134"/>
      <c r="BV150" s="134"/>
      <c r="BW150" s="134"/>
      <c r="BX150" s="45"/>
      <c r="BY150" s="134"/>
      <c r="BZ150" s="134"/>
      <c r="CA150" s="134"/>
      <c r="CB150" s="134"/>
      <c r="CC150" s="134"/>
      <c r="CD150" s="134"/>
      <c r="CE150" s="45"/>
      <c r="CF150" s="134"/>
      <c r="CG150" s="134"/>
      <c r="CH150" s="134"/>
      <c r="CI150" s="134"/>
      <c r="CJ150" s="134"/>
      <c r="CK150" s="134"/>
      <c r="CL150" s="45"/>
      <c r="CM150" s="134"/>
      <c r="CN150" s="134"/>
      <c r="CO150" s="134"/>
      <c r="CP150" s="134"/>
      <c r="CQ150" s="134"/>
      <c r="CR150" s="134"/>
      <c r="CS150" s="45"/>
      <c r="CT150" s="134"/>
      <c r="CU150" s="134"/>
      <c r="CV150" s="134"/>
      <c r="CW150" s="134"/>
      <c r="CX150" s="134"/>
      <c r="CY150" s="134"/>
      <c r="CZ150" s="45"/>
      <c r="DA150" s="134"/>
      <c r="DB150" s="134"/>
      <c r="DC150" s="134"/>
      <c r="DD150" s="134"/>
      <c r="DE150" s="134"/>
      <c r="DF150" s="134"/>
      <c r="DG150" s="45"/>
      <c r="DH150" s="134"/>
      <c r="DI150" s="134"/>
      <c r="DJ150" s="134"/>
      <c r="DK150" s="134"/>
      <c r="DL150" s="134"/>
      <c r="DM150" s="134"/>
      <c r="DN150" s="45"/>
      <c r="DO150" s="134"/>
      <c r="DP150" s="134"/>
      <c r="DQ150" s="134"/>
      <c r="DR150" s="134"/>
      <c r="DS150" s="134"/>
      <c r="DT150" s="134"/>
      <c r="DU150" s="45"/>
      <c r="DV150" s="134"/>
      <c r="DW150" s="134"/>
      <c r="DX150" s="134"/>
      <c r="DY150" s="134"/>
      <c r="DZ150" s="134"/>
      <c r="EA150" s="134"/>
      <c r="EB150" s="45"/>
      <c r="EC150" s="134"/>
      <c r="ED150" s="134"/>
      <c r="EE150" s="134"/>
      <c r="EF150" s="134"/>
      <c r="EG150" s="134"/>
      <c r="EH150" s="134"/>
      <c r="EI150" s="45"/>
      <c r="EJ150" s="47"/>
      <c r="EK150" s="47"/>
      <c r="EL150" s="47"/>
      <c r="EM150" s="47"/>
      <c r="EN150" s="47"/>
      <c r="EO150" s="47"/>
      <c r="EP150" s="47"/>
      <c r="EQ150" s="47"/>
      <c r="ER150" s="47"/>
      <c r="ES150" s="47"/>
      <c r="ET150" s="47"/>
      <c r="EU150" s="47"/>
      <c r="EV150" s="47"/>
      <c r="EW150" s="47"/>
      <c r="EX150" s="47"/>
      <c r="EY150" s="47"/>
      <c r="EZ150" s="47"/>
      <c r="FA150" s="47"/>
      <c r="FB150" s="47"/>
      <c r="FC150" s="47"/>
      <c r="FD150" s="47"/>
      <c r="FE150" s="47"/>
      <c r="FF150" s="47"/>
      <c r="FG150" s="47"/>
      <c r="FH150" s="47"/>
      <c r="FI150" s="47"/>
      <c r="FJ150" s="47"/>
      <c r="FK150" s="47"/>
      <c r="FL150" s="47"/>
      <c r="FM150" s="47"/>
      <c r="FN150" s="47"/>
      <c r="FO150" s="47"/>
      <c r="FP150" s="47"/>
      <c r="FQ150" s="47"/>
      <c r="FR150" s="47"/>
      <c r="FS150" s="47"/>
      <c r="FT150" s="47"/>
      <c r="FU150" s="47"/>
      <c r="FV150" s="47"/>
      <c r="FW150" s="47"/>
      <c r="FX150" s="47"/>
      <c r="FY150" s="47"/>
      <c r="FZ150" s="47"/>
      <c r="GA150" s="47"/>
      <c r="GB150" s="47"/>
      <c r="GC150" s="47"/>
      <c r="GD150" s="47"/>
      <c r="GE150" s="47"/>
    </row>
    <row r="151" spans="1:187" ht="10.5" customHeight="1" outlineLevel="1">
      <c r="A151" s="108" t="s">
        <v>534</v>
      </c>
      <c r="B151" s="231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34"/>
      <c r="O151" s="134"/>
      <c r="P151" s="134"/>
      <c r="Q151" s="134"/>
      <c r="R151" s="134"/>
      <c r="S151" s="134"/>
      <c r="T151" s="45"/>
      <c r="U151" s="134"/>
      <c r="V151" s="134"/>
      <c r="W151" s="134"/>
      <c r="X151" s="134"/>
      <c r="Y151" s="134"/>
      <c r="Z151" s="134"/>
      <c r="AA151" s="45"/>
      <c r="AB151" s="134"/>
      <c r="AC151" s="134"/>
      <c r="AD151" s="134"/>
      <c r="AE151" s="134"/>
      <c r="AF151" s="134"/>
      <c r="AG151" s="134"/>
      <c r="AH151" s="45">
        <f t="shared" si="873"/>
        <v>7.4502352941176468</v>
      </c>
      <c r="AI151" s="134"/>
      <c r="AJ151" s="134"/>
      <c r="AK151" s="134"/>
      <c r="AL151" s="134"/>
      <c r="AM151" s="134"/>
      <c r="AN151" s="134"/>
      <c r="AO151" s="45">
        <f t="shared" si="873"/>
        <v>9.9238947368421027</v>
      </c>
      <c r="AP151" s="134"/>
      <c r="AQ151" s="134"/>
      <c r="AR151" s="134"/>
      <c r="AS151" s="134"/>
      <c r="AT151" s="134"/>
      <c r="AU151" s="134"/>
      <c r="AV151" s="45">
        <f t="shared" si="874"/>
        <v>0.33202433816788846</v>
      </c>
      <c r="AW151" s="134"/>
      <c r="AX151" s="134"/>
      <c r="AY151" s="134"/>
      <c r="AZ151" s="134"/>
      <c r="BA151" s="134"/>
      <c r="BB151" s="134"/>
      <c r="BC151" s="45"/>
      <c r="BD151" s="134"/>
      <c r="BE151" s="134"/>
      <c r="BF151" s="134"/>
      <c r="BG151" s="134"/>
      <c r="BH151" s="134"/>
      <c r="BI151" s="134"/>
      <c r="BJ151" s="45"/>
      <c r="BK151" s="134"/>
      <c r="BL151" s="134"/>
      <c r="BM151" s="134"/>
      <c r="BN151" s="134"/>
      <c r="BO151" s="134"/>
      <c r="BP151" s="134"/>
      <c r="BQ151" s="45"/>
      <c r="BR151" s="134"/>
      <c r="BS151" s="134"/>
      <c r="BT151" s="134"/>
      <c r="BU151" s="134"/>
      <c r="BV151" s="134"/>
      <c r="BW151" s="134"/>
      <c r="BX151" s="45"/>
      <c r="BY151" s="134"/>
      <c r="BZ151" s="134"/>
      <c r="CA151" s="134"/>
      <c r="CB151" s="134"/>
      <c r="CC151" s="134"/>
      <c r="CD151" s="134"/>
      <c r="CE151" s="45"/>
      <c r="CF151" s="134"/>
      <c r="CG151" s="134"/>
      <c r="CH151" s="134"/>
      <c r="CI151" s="134"/>
      <c r="CJ151" s="134"/>
      <c r="CK151" s="134"/>
      <c r="CL151" s="45"/>
      <c r="CM151" s="134"/>
      <c r="CN151" s="134"/>
      <c r="CO151" s="134"/>
      <c r="CP151" s="134"/>
      <c r="CQ151" s="134"/>
      <c r="CR151" s="134"/>
      <c r="CS151" s="45"/>
      <c r="CT151" s="134"/>
      <c r="CU151" s="134"/>
      <c r="CV151" s="134"/>
      <c r="CW151" s="134"/>
      <c r="CX151" s="134"/>
      <c r="CY151" s="134"/>
      <c r="CZ151" s="45"/>
      <c r="DA151" s="134"/>
      <c r="DB151" s="134"/>
      <c r="DC151" s="134"/>
      <c r="DD151" s="134"/>
      <c r="DE151" s="134"/>
      <c r="DF151" s="134"/>
      <c r="DG151" s="45"/>
      <c r="DH151" s="134"/>
      <c r="DI151" s="134"/>
      <c r="DJ151" s="134"/>
      <c r="DK151" s="134"/>
      <c r="DL151" s="134"/>
      <c r="DM151" s="134"/>
      <c r="DN151" s="45"/>
      <c r="DO151" s="134"/>
      <c r="DP151" s="134"/>
      <c r="DQ151" s="134"/>
      <c r="DR151" s="134"/>
      <c r="DS151" s="134"/>
      <c r="DT151" s="134"/>
      <c r="DU151" s="45"/>
      <c r="DV151" s="134"/>
      <c r="DW151" s="134"/>
      <c r="DX151" s="134"/>
      <c r="DY151" s="134"/>
      <c r="DZ151" s="134"/>
      <c r="EA151" s="134"/>
      <c r="EB151" s="45"/>
      <c r="EC151" s="134"/>
      <c r="ED151" s="134"/>
      <c r="EE151" s="134"/>
      <c r="EF151" s="134"/>
      <c r="EG151" s="134"/>
      <c r="EH151" s="134"/>
      <c r="EI151" s="45"/>
      <c r="EJ151" s="47"/>
      <c r="EK151" s="47"/>
      <c r="EL151" s="47"/>
      <c r="EM151" s="47"/>
      <c r="EN151" s="47"/>
      <c r="EO151" s="47"/>
      <c r="EP151" s="47"/>
      <c r="EQ151" s="47"/>
      <c r="ER151" s="47"/>
      <c r="ES151" s="47"/>
      <c r="ET151" s="47"/>
      <c r="EU151" s="47"/>
      <c r="EV151" s="47"/>
      <c r="EW151" s="47"/>
      <c r="EX151" s="47"/>
      <c r="EY151" s="47"/>
      <c r="EZ151" s="47"/>
      <c r="FA151" s="47"/>
      <c r="FB151" s="47"/>
      <c r="FC151" s="47"/>
      <c r="FD151" s="47"/>
      <c r="FE151" s="47"/>
      <c r="FF151" s="47"/>
      <c r="FG151" s="47"/>
      <c r="FH151" s="47"/>
      <c r="FI151" s="47"/>
      <c r="FJ151" s="47"/>
      <c r="FK151" s="47"/>
      <c r="FL151" s="47"/>
      <c r="FM151" s="47"/>
      <c r="FN151" s="47"/>
      <c r="FO151" s="47"/>
      <c r="FP151" s="47"/>
      <c r="FQ151" s="47"/>
      <c r="FR151" s="47"/>
      <c r="FS151" s="47"/>
      <c r="FT151" s="47"/>
      <c r="FU151" s="47"/>
      <c r="FV151" s="47"/>
      <c r="FW151" s="47"/>
      <c r="FX151" s="47"/>
      <c r="FY151" s="47"/>
      <c r="FZ151" s="47"/>
      <c r="GA151" s="47"/>
      <c r="GB151" s="47"/>
      <c r="GC151" s="47"/>
      <c r="GD151" s="47"/>
      <c r="GE151" s="47"/>
    </row>
    <row r="152" spans="1:187" ht="10.5" customHeight="1" outlineLevel="1">
      <c r="A152" s="108" t="s">
        <v>531</v>
      </c>
      <c r="B152" s="78"/>
      <c r="C152" s="78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134"/>
      <c r="O152" s="134"/>
      <c r="P152" s="134"/>
      <c r="Q152" s="134"/>
      <c r="R152" s="134"/>
      <c r="S152" s="134"/>
      <c r="T152" s="45"/>
      <c r="U152" s="134"/>
      <c r="V152" s="134"/>
      <c r="W152" s="134"/>
      <c r="X152" s="134"/>
      <c r="Y152" s="134"/>
      <c r="Z152" s="134"/>
      <c r="AA152" s="45"/>
      <c r="AB152" s="134"/>
      <c r="AC152" s="134"/>
      <c r="AD152" s="134"/>
      <c r="AE152" s="134"/>
      <c r="AF152" s="134"/>
      <c r="AG152" s="134"/>
      <c r="AH152" s="45">
        <f t="shared" si="873"/>
        <v>9.1445991561181437</v>
      </c>
      <c r="AI152" s="134"/>
      <c r="AJ152" s="134"/>
      <c r="AK152" s="134"/>
      <c r="AL152" s="134"/>
      <c r="AM152" s="134"/>
      <c r="AN152" s="134"/>
      <c r="AO152" s="45">
        <f t="shared" si="873"/>
        <v>8.1324806201550377</v>
      </c>
      <c r="AP152" s="134"/>
      <c r="AQ152" s="134"/>
      <c r="AR152" s="134"/>
      <c r="AS152" s="134"/>
      <c r="AT152" s="134"/>
      <c r="AU152" s="134"/>
      <c r="AV152" s="45">
        <f t="shared" si="874"/>
        <v>-0.11067937683041618</v>
      </c>
      <c r="AW152" s="134"/>
      <c r="AX152" s="134"/>
      <c r="AY152" s="134"/>
      <c r="AZ152" s="134"/>
      <c r="BA152" s="134"/>
      <c r="BB152" s="134"/>
      <c r="BC152" s="45"/>
      <c r="BD152" s="134"/>
      <c r="BE152" s="134"/>
      <c r="BF152" s="134"/>
      <c r="BG152" s="134"/>
      <c r="BH152" s="134"/>
      <c r="BI152" s="134"/>
      <c r="BJ152" s="45"/>
      <c r="BK152" s="134"/>
      <c r="BL152" s="134"/>
      <c r="BM152" s="134"/>
      <c r="BN152" s="134"/>
      <c r="BO152" s="134"/>
      <c r="BP152" s="134"/>
      <c r="BQ152" s="45"/>
      <c r="BR152" s="134"/>
      <c r="BS152" s="134"/>
      <c r="BT152" s="134"/>
      <c r="BU152" s="134"/>
      <c r="BV152" s="134"/>
      <c r="BW152" s="134"/>
      <c r="BX152" s="45"/>
      <c r="BY152" s="134"/>
      <c r="BZ152" s="134"/>
      <c r="CA152" s="134"/>
      <c r="CB152" s="134"/>
      <c r="CC152" s="134"/>
      <c r="CD152" s="134"/>
      <c r="CE152" s="45"/>
      <c r="CF152" s="134"/>
      <c r="CG152" s="134"/>
      <c r="CH152" s="134"/>
      <c r="CI152" s="134"/>
      <c r="CJ152" s="134"/>
      <c r="CK152" s="134"/>
      <c r="CL152" s="45"/>
      <c r="CM152" s="134"/>
      <c r="CN152" s="134"/>
      <c r="CO152" s="134"/>
      <c r="CP152" s="134"/>
      <c r="CQ152" s="134"/>
      <c r="CR152" s="134"/>
      <c r="CS152" s="45"/>
      <c r="CT152" s="134"/>
      <c r="CU152" s="134"/>
      <c r="CV152" s="134"/>
      <c r="CW152" s="134"/>
      <c r="CX152" s="134"/>
      <c r="CY152" s="134"/>
      <c r="CZ152" s="45"/>
      <c r="DA152" s="134"/>
      <c r="DB152" s="134"/>
      <c r="DC152" s="134"/>
      <c r="DD152" s="134"/>
      <c r="DE152" s="134"/>
      <c r="DF152" s="134"/>
      <c r="DG152" s="45"/>
      <c r="DH152" s="134"/>
      <c r="DI152" s="134"/>
      <c r="DJ152" s="134"/>
      <c r="DK152" s="134"/>
      <c r="DL152" s="134"/>
      <c r="DM152" s="134"/>
      <c r="DN152" s="45"/>
      <c r="DO152" s="134"/>
      <c r="DP152" s="134"/>
      <c r="DQ152" s="134"/>
      <c r="DR152" s="134"/>
      <c r="DS152" s="134"/>
      <c r="DT152" s="134"/>
      <c r="DU152" s="45"/>
      <c r="DV152" s="134"/>
      <c r="DW152" s="134"/>
      <c r="DX152" s="134"/>
      <c r="DY152" s="134"/>
      <c r="DZ152" s="134"/>
      <c r="EA152" s="134"/>
      <c r="EB152" s="45"/>
      <c r="EC152" s="134"/>
      <c r="ED152" s="134"/>
      <c r="EE152" s="134"/>
      <c r="EF152" s="134"/>
      <c r="EG152" s="134"/>
      <c r="EH152" s="134"/>
      <c r="EI152" s="45"/>
      <c r="EJ152" s="47"/>
      <c r="EK152" s="47"/>
      <c r="EL152" s="47"/>
      <c r="EM152" s="47"/>
      <c r="EN152" s="47"/>
      <c r="EO152" s="47"/>
      <c r="EP152" s="47"/>
      <c r="EQ152" s="47"/>
      <c r="ER152" s="47"/>
      <c r="ES152" s="47"/>
      <c r="ET152" s="47"/>
      <c r="EU152" s="47"/>
      <c r="EV152" s="47"/>
      <c r="EW152" s="47"/>
      <c r="EX152" s="47"/>
      <c r="EY152" s="47"/>
      <c r="EZ152" s="47"/>
      <c r="FA152" s="47"/>
      <c r="FB152" s="47"/>
      <c r="FC152" s="47"/>
      <c r="FD152" s="47"/>
      <c r="FE152" s="47"/>
      <c r="FF152" s="47"/>
      <c r="FG152" s="47"/>
      <c r="FH152" s="47"/>
      <c r="FI152" s="47"/>
      <c r="FJ152" s="47"/>
      <c r="FK152" s="47"/>
      <c r="FL152" s="47"/>
      <c r="FM152" s="47"/>
      <c r="FN152" s="47"/>
      <c r="FO152" s="47"/>
      <c r="FP152" s="47"/>
      <c r="FQ152" s="47"/>
      <c r="FR152" s="47"/>
      <c r="FS152" s="47"/>
      <c r="FT152" s="47"/>
      <c r="FU152" s="47"/>
      <c r="FV152" s="47"/>
      <c r="FW152" s="47"/>
      <c r="FX152" s="47"/>
      <c r="FY152" s="47"/>
      <c r="FZ152" s="47"/>
      <c r="GA152" s="47"/>
      <c r="GB152" s="47"/>
      <c r="GC152" s="47"/>
      <c r="GD152" s="47"/>
      <c r="GE152" s="47"/>
    </row>
    <row r="153" spans="1:187" ht="10.5" customHeight="1" outlineLevel="1">
      <c r="A153" s="248" t="s">
        <v>535</v>
      </c>
      <c r="B153" s="918"/>
      <c r="C153" s="91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34"/>
      <c r="O153" s="134"/>
      <c r="P153" s="134"/>
      <c r="Q153" s="134"/>
      <c r="R153" s="134"/>
      <c r="S153" s="134"/>
      <c r="T153" s="45"/>
      <c r="U153" s="134"/>
      <c r="V153" s="134"/>
      <c r="W153" s="134"/>
      <c r="X153" s="134"/>
      <c r="Y153" s="134"/>
      <c r="Z153" s="134"/>
      <c r="AA153" s="45"/>
      <c r="AB153" s="134"/>
      <c r="AC153" s="134"/>
      <c r="AD153" s="134"/>
      <c r="AE153" s="134"/>
      <c r="AF153" s="134"/>
      <c r="AG153" s="134"/>
      <c r="AH153" s="45">
        <f t="shared" si="873"/>
        <v>6.4693037974683518</v>
      </c>
      <c r="AI153" s="134"/>
      <c r="AJ153" s="134"/>
      <c r="AK153" s="134"/>
      <c r="AL153" s="134"/>
      <c r="AM153" s="134"/>
      <c r="AN153" s="134"/>
      <c r="AO153" s="45">
        <f t="shared" si="873"/>
        <v>8.9211250000000035</v>
      </c>
      <c r="AP153" s="134"/>
      <c r="AQ153" s="134"/>
      <c r="AR153" s="134"/>
      <c r="AS153" s="134"/>
      <c r="AT153" s="134"/>
      <c r="AU153" s="134"/>
      <c r="AV153" s="45">
        <f t="shared" si="874"/>
        <v>0.37899305385706716</v>
      </c>
      <c r="AW153" s="134"/>
      <c r="AX153" s="134"/>
      <c r="AY153" s="134"/>
      <c r="AZ153" s="134"/>
      <c r="BA153" s="134"/>
      <c r="BB153" s="134"/>
      <c r="BC153" s="45"/>
      <c r="BD153" s="134"/>
      <c r="BE153" s="134"/>
      <c r="BF153" s="134"/>
      <c r="BG153" s="134"/>
      <c r="BH153" s="134"/>
      <c r="BI153" s="134"/>
      <c r="BJ153" s="45"/>
      <c r="BK153" s="134"/>
      <c r="BL153" s="134"/>
      <c r="BM153" s="134"/>
      <c r="BN153" s="134"/>
      <c r="BO153" s="134"/>
      <c r="BP153" s="134"/>
      <c r="BQ153" s="45"/>
      <c r="BR153" s="134"/>
      <c r="BS153" s="134"/>
      <c r="BT153" s="134"/>
      <c r="BU153" s="134"/>
      <c r="BV153" s="134"/>
      <c r="BW153" s="134"/>
      <c r="BX153" s="45"/>
      <c r="BY153" s="134"/>
      <c r="BZ153" s="134"/>
      <c r="CA153" s="134"/>
      <c r="CB153" s="134"/>
      <c r="CC153" s="134"/>
      <c r="CD153" s="134"/>
      <c r="CE153" s="45"/>
      <c r="CF153" s="134"/>
      <c r="CG153" s="134"/>
      <c r="CH153" s="134"/>
      <c r="CI153" s="134"/>
      <c r="CJ153" s="134"/>
      <c r="CK153" s="134"/>
      <c r="CL153" s="45"/>
      <c r="CM153" s="134"/>
      <c r="CN153" s="134"/>
      <c r="CO153" s="134"/>
      <c r="CP153" s="134"/>
      <c r="CQ153" s="134"/>
      <c r="CR153" s="134"/>
      <c r="CS153" s="45"/>
      <c r="CT153" s="134"/>
      <c r="CU153" s="134"/>
      <c r="CV153" s="134"/>
      <c r="CW153" s="134"/>
      <c r="CX153" s="134"/>
      <c r="CY153" s="134"/>
      <c r="CZ153" s="45"/>
      <c r="DA153" s="134"/>
      <c r="DB153" s="134"/>
      <c r="DC153" s="134"/>
      <c r="DD153" s="134"/>
      <c r="DE153" s="134"/>
      <c r="DF153" s="134"/>
      <c r="DG153" s="45"/>
      <c r="DH153" s="134"/>
      <c r="DI153" s="134"/>
      <c r="DJ153" s="134"/>
      <c r="DK153" s="134"/>
      <c r="DL153" s="134"/>
      <c r="DM153" s="134"/>
      <c r="DN153" s="45"/>
      <c r="DO153" s="134"/>
      <c r="DP153" s="134"/>
      <c r="DQ153" s="134"/>
      <c r="DR153" s="134"/>
      <c r="DS153" s="134"/>
      <c r="DT153" s="134"/>
      <c r="DU153" s="45"/>
      <c r="DV153" s="134"/>
      <c r="DW153" s="134"/>
      <c r="DX153" s="134"/>
      <c r="DY153" s="134"/>
      <c r="DZ153" s="134"/>
      <c r="EA153" s="134"/>
      <c r="EB153" s="45"/>
      <c r="EC153" s="134"/>
      <c r="ED153" s="134"/>
      <c r="EE153" s="134"/>
      <c r="EF153" s="134"/>
      <c r="EG153" s="134"/>
      <c r="EH153" s="134"/>
      <c r="EI153" s="45"/>
      <c r="EJ153" s="47"/>
      <c r="EK153" s="47"/>
      <c r="EL153" s="47"/>
      <c r="EM153" s="47"/>
      <c r="EN153" s="47"/>
      <c r="EO153" s="47"/>
      <c r="EP153" s="47"/>
      <c r="EQ153" s="47"/>
      <c r="ER153" s="47"/>
      <c r="ES153" s="47"/>
      <c r="ET153" s="47"/>
      <c r="EU153" s="47"/>
      <c r="EV153" s="47"/>
      <c r="EW153" s="47"/>
      <c r="EX153" s="47"/>
      <c r="EY153" s="47"/>
      <c r="EZ153" s="47"/>
      <c r="FA153" s="47"/>
      <c r="FB153" s="47"/>
      <c r="FC153" s="47"/>
      <c r="FD153" s="47"/>
      <c r="FE153" s="47"/>
      <c r="FF153" s="47"/>
      <c r="FG153" s="47"/>
      <c r="FH153" s="47"/>
      <c r="FI153" s="47"/>
      <c r="FJ153" s="47"/>
      <c r="FK153" s="47"/>
      <c r="FL153" s="47"/>
      <c r="FM153" s="47"/>
      <c r="FN153" s="47"/>
      <c r="FO153" s="47"/>
      <c r="FP153" s="47"/>
      <c r="FQ153" s="47"/>
      <c r="FR153" s="47"/>
      <c r="FS153" s="47"/>
      <c r="FT153" s="47"/>
      <c r="FU153" s="47"/>
      <c r="FV153" s="47"/>
      <c r="FW153" s="47"/>
      <c r="FX153" s="47"/>
      <c r="FY153" s="47"/>
      <c r="FZ153" s="47"/>
      <c r="GA153" s="47"/>
      <c r="GB153" s="47"/>
      <c r="GC153" s="47"/>
      <c r="GD153" s="47"/>
      <c r="GE153" s="47"/>
    </row>
    <row r="154" spans="1:187" ht="10.5" customHeight="1" outlineLevel="1">
      <c r="A154" s="108" t="s">
        <v>521</v>
      </c>
      <c r="B154" s="231"/>
      <c r="C154" s="158"/>
      <c r="D154" s="922"/>
      <c r="E154" s="158"/>
      <c r="F154" s="158"/>
      <c r="G154" s="158"/>
      <c r="H154" s="158"/>
      <c r="I154" s="158"/>
      <c r="J154" s="158"/>
      <c r="K154" s="158"/>
      <c r="L154" s="158"/>
      <c r="M154" s="158"/>
      <c r="N154" s="134"/>
      <c r="O154" s="134"/>
      <c r="P154" s="134"/>
      <c r="Q154" s="134"/>
      <c r="R154" s="134"/>
      <c r="S154" s="134"/>
      <c r="T154" s="45"/>
      <c r="U154" s="134"/>
      <c r="V154" s="134"/>
      <c r="W154" s="134"/>
      <c r="X154" s="134"/>
      <c r="Y154" s="134"/>
      <c r="Z154" s="134"/>
      <c r="AA154" s="45"/>
      <c r="AB154" s="134"/>
      <c r="AC154" s="134"/>
      <c r="AD154" s="134"/>
      <c r="AE154" s="134"/>
      <c r="AF154" s="134"/>
      <c r="AG154" s="134"/>
      <c r="AH154" s="45">
        <f t="shared" si="873"/>
        <v>6.8124279835390933</v>
      </c>
      <c r="AI154" s="134"/>
      <c r="AJ154" s="134"/>
      <c r="AK154" s="134"/>
      <c r="AL154" s="134"/>
      <c r="AM154" s="134"/>
      <c r="AN154" s="134"/>
      <c r="AO154" s="45">
        <f t="shared" si="873"/>
        <v>9.2947058823529431</v>
      </c>
      <c r="AP154" s="134"/>
      <c r="AQ154" s="134"/>
      <c r="AR154" s="134"/>
      <c r="AS154" s="134"/>
      <c r="AT154" s="134"/>
      <c r="AU154" s="134"/>
      <c r="AV154" s="45">
        <f t="shared" si="874"/>
        <v>0.36437491960455093</v>
      </c>
      <c r="AW154" s="134"/>
      <c r="AX154" s="134"/>
      <c r="AY154" s="134"/>
      <c r="AZ154" s="134"/>
      <c r="BA154" s="134"/>
      <c r="BB154" s="134"/>
      <c r="BC154" s="45"/>
      <c r="BD154" s="134"/>
      <c r="BE154" s="134"/>
      <c r="BF154" s="134"/>
      <c r="BG154" s="134"/>
      <c r="BH154" s="134"/>
      <c r="BI154" s="134"/>
      <c r="BJ154" s="45"/>
      <c r="BK154" s="134"/>
      <c r="BL154" s="134"/>
      <c r="BM154" s="134"/>
      <c r="BN154" s="134"/>
      <c r="BO154" s="134"/>
      <c r="BP154" s="134"/>
      <c r="BQ154" s="45"/>
      <c r="BR154" s="134"/>
      <c r="BS154" s="134"/>
      <c r="BT154" s="134"/>
      <c r="BU154" s="134"/>
      <c r="BV154" s="134"/>
      <c r="BW154" s="134"/>
      <c r="BX154" s="45"/>
      <c r="BY154" s="134"/>
      <c r="BZ154" s="134"/>
      <c r="CA154" s="134"/>
      <c r="CB154" s="134"/>
      <c r="CC154" s="134"/>
      <c r="CD154" s="134"/>
      <c r="CE154" s="45"/>
      <c r="CF154" s="134"/>
      <c r="CG154" s="134"/>
      <c r="CH154" s="134"/>
      <c r="CI154" s="134"/>
      <c r="CJ154" s="134"/>
      <c r="CK154" s="134"/>
      <c r="CL154" s="45"/>
      <c r="CM154" s="134"/>
      <c r="CN154" s="134"/>
      <c r="CO154" s="134"/>
      <c r="CP154" s="134"/>
      <c r="CQ154" s="134"/>
      <c r="CR154" s="134"/>
      <c r="CS154" s="45"/>
      <c r="CT154" s="134"/>
      <c r="CU154" s="134"/>
      <c r="CV154" s="134"/>
      <c r="CW154" s="134"/>
      <c r="CX154" s="134"/>
      <c r="CY154" s="134"/>
      <c r="CZ154" s="45"/>
      <c r="DA154" s="134"/>
      <c r="DB154" s="134"/>
      <c r="DC154" s="134"/>
      <c r="DD154" s="134"/>
      <c r="DE154" s="134"/>
      <c r="DF154" s="134"/>
      <c r="DG154" s="45"/>
      <c r="DH154" s="134"/>
      <c r="DI154" s="134"/>
      <c r="DJ154" s="134"/>
      <c r="DK154" s="134"/>
      <c r="DL154" s="134"/>
      <c r="DM154" s="134"/>
      <c r="DN154" s="45"/>
      <c r="DO154" s="134"/>
      <c r="DP154" s="134"/>
      <c r="DQ154" s="134"/>
      <c r="DR154" s="134"/>
      <c r="DS154" s="134"/>
      <c r="DT154" s="134"/>
      <c r="DU154" s="45"/>
      <c r="DV154" s="134"/>
      <c r="DW154" s="134"/>
      <c r="DX154" s="134"/>
      <c r="DY154" s="134"/>
      <c r="DZ154" s="134"/>
      <c r="EA154" s="134"/>
      <c r="EB154" s="45"/>
      <c r="EC154" s="134"/>
      <c r="ED154" s="134"/>
      <c r="EE154" s="134"/>
      <c r="EF154" s="134"/>
      <c r="EG154" s="134"/>
      <c r="EH154" s="134"/>
      <c r="EI154" s="45"/>
      <c r="EJ154" s="47"/>
      <c r="EK154" s="47"/>
      <c r="EL154" s="47"/>
      <c r="EM154" s="47"/>
      <c r="EN154" s="47"/>
      <c r="EO154" s="47"/>
      <c r="EP154" s="47"/>
      <c r="EQ154" s="47"/>
      <c r="ER154" s="47"/>
      <c r="ES154" s="47"/>
      <c r="ET154" s="47"/>
      <c r="EU154" s="47"/>
      <c r="EV154" s="47"/>
      <c r="EW154" s="47"/>
      <c r="EX154" s="47"/>
      <c r="EY154" s="47"/>
      <c r="EZ154" s="47"/>
      <c r="FA154" s="47"/>
      <c r="FB154" s="47"/>
      <c r="FC154" s="47"/>
      <c r="FD154" s="47"/>
      <c r="FE154" s="47"/>
      <c r="FF154" s="47"/>
      <c r="FG154" s="47"/>
      <c r="FH154" s="47"/>
      <c r="FI154" s="47"/>
      <c r="FJ154" s="47"/>
      <c r="FK154" s="47"/>
      <c r="FL154" s="47"/>
      <c r="FM154" s="47"/>
      <c r="FN154" s="47"/>
      <c r="FO154" s="47"/>
      <c r="FP154" s="47"/>
      <c r="FQ154" s="47"/>
      <c r="FR154" s="47"/>
      <c r="FS154" s="47"/>
      <c r="FT154" s="47"/>
      <c r="FU154" s="47"/>
      <c r="FV154" s="47"/>
      <c r="FW154" s="47"/>
      <c r="FX154" s="47"/>
      <c r="FY154" s="47"/>
      <c r="FZ154" s="47"/>
      <c r="GA154" s="47"/>
      <c r="GB154" s="47"/>
      <c r="GC154" s="47"/>
      <c r="GD154" s="47"/>
      <c r="GE154" s="47"/>
    </row>
    <row r="155" spans="1:187" ht="10.5" customHeight="1" outlineLevel="1">
      <c r="A155" s="43"/>
      <c r="B155" s="108"/>
      <c r="C155" s="108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45"/>
      <c r="U155" s="134"/>
      <c r="V155" s="134"/>
      <c r="W155" s="134"/>
      <c r="X155" s="134"/>
      <c r="Y155" s="134"/>
      <c r="Z155" s="134"/>
      <c r="AA155" s="45"/>
      <c r="AB155" s="134"/>
      <c r="AC155" s="134"/>
      <c r="AD155" s="134"/>
      <c r="AE155" s="134"/>
      <c r="AF155" s="134"/>
      <c r="AG155" s="134"/>
      <c r="AH155" s="45"/>
      <c r="AI155" s="134"/>
      <c r="AJ155" s="134"/>
      <c r="AK155" s="134"/>
      <c r="AL155" s="134"/>
      <c r="AM155" s="134"/>
      <c r="AN155" s="134"/>
      <c r="AO155" s="45"/>
      <c r="AP155" s="134"/>
      <c r="AQ155" s="134"/>
      <c r="AR155" s="134"/>
      <c r="AS155" s="134"/>
      <c r="AT155" s="134"/>
      <c r="AU155" s="134"/>
      <c r="AV155" s="45"/>
      <c r="AW155" s="134"/>
      <c r="AX155" s="134"/>
      <c r="AY155" s="134"/>
      <c r="AZ155" s="134"/>
      <c r="BA155" s="134"/>
      <c r="BB155" s="134"/>
      <c r="BC155" s="45"/>
      <c r="BD155" s="134"/>
      <c r="BE155" s="134"/>
      <c r="BF155" s="134"/>
      <c r="BG155" s="134"/>
      <c r="BH155" s="134"/>
      <c r="BI155" s="134"/>
      <c r="BJ155" s="45"/>
      <c r="BK155" s="134"/>
      <c r="BL155" s="134"/>
      <c r="BM155" s="134"/>
      <c r="BN155" s="134"/>
      <c r="BO155" s="134"/>
      <c r="BP155" s="134"/>
      <c r="BQ155" s="45"/>
      <c r="BR155" s="134"/>
      <c r="BS155" s="134"/>
      <c r="BT155" s="134"/>
      <c r="BU155" s="134"/>
      <c r="BV155" s="134"/>
      <c r="BW155" s="134"/>
      <c r="BX155" s="45"/>
      <c r="BY155" s="134"/>
      <c r="BZ155" s="134"/>
      <c r="CA155" s="134"/>
      <c r="CB155" s="134"/>
      <c r="CC155" s="134"/>
      <c r="CD155" s="134"/>
      <c r="CE155" s="45"/>
      <c r="CF155" s="134"/>
      <c r="CG155" s="134"/>
      <c r="CH155" s="134"/>
      <c r="CI155" s="134"/>
      <c r="CJ155" s="134"/>
      <c r="CK155" s="134"/>
      <c r="CL155" s="45"/>
      <c r="CM155" s="134"/>
      <c r="CN155" s="134"/>
      <c r="CO155" s="134"/>
      <c r="CP155" s="134"/>
      <c r="CQ155" s="134"/>
      <c r="CR155" s="134"/>
      <c r="CS155" s="45"/>
      <c r="CT155" s="134"/>
      <c r="CU155" s="134"/>
      <c r="CV155" s="134"/>
      <c r="CW155" s="134"/>
      <c r="CX155" s="134"/>
      <c r="CY155" s="134"/>
      <c r="CZ155" s="45"/>
      <c r="DA155" s="134"/>
      <c r="DB155" s="134"/>
      <c r="DC155" s="134"/>
      <c r="DD155" s="134"/>
      <c r="DE155" s="134"/>
      <c r="DF155" s="134"/>
      <c r="DG155" s="45"/>
      <c r="DH155" s="134"/>
      <c r="DI155" s="134"/>
      <c r="DJ155" s="134"/>
      <c r="DK155" s="134"/>
      <c r="DL155" s="134"/>
      <c r="DM155" s="134"/>
      <c r="DN155" s="45"/>
      <c r="DO155" s="134"/>
      <c r="DP155" s="134"/>
      <c r="DQ155" s="134"/>
      <c r="DR155" s="134"/>
      <c r="DS155" s="134"/>
      <c r="DT155" s="134"/>
      <c r="DU155" s="45"/>
      <c r="DV155" s="134"/>
      <c r="DW155" s="134"/>
      <c r="DX155" s="134"/>
      <c r="DY155" s="134"/>
      <c r="DZ155" s="134"/>
      <c r="EA155" s="134"/>
      <c r="EB155" s="45"/>
      <c r="EC155" s="134"/>
      <c r="ED155" s="134"/>
      <c r="EE155" s="134"/>
      <c r="EF155" s="134"/>
      <c r="EG155" s="134"/>
      <c r="EH155" s="134"/>
      <c r="EI155" s="45"/>
      <c r="EJ155" s="47"/>
      <c r="EK155" s="47"/>
      <c r="EL155" s="47"/>
      <c r="EM155" s="47"/>
      <c r="EN155" s="47"/>
      <c r="EO155" s="47"/>
      <c r="EP155" s="47"/>
      <c r="EQ155" s="47"/>
      <c r="ER155" s="47"/>
      <c r="ES155" s="47"/>
      <c r="ET155" s="47"/>
      <c r="EU155" s="47"/>
      <c r="EV155" s="47"/>
      <c r="EW155" s="47"/>
      <c r="EX155" s="47"/>
      <c r="EY155" s="47"/>
      <c r="EZ155" s="47"/>
      <c r="FA155" s="47"/>
      <c r="FB155" s="47"/>
      <c r="FC155" s="47"/>
      <c r="FD155" s="47"/>
      <c r="FE155" s="47"/>
      <c r="FF155" s="47"/>
      <c r="FG155" s="47"/>
      <c r="FH155" s="47"/>
      <c r="FI155" s="47"/>
      <c r="FJ155" s="47"/>
      <c r="FK155" s="47"/>
      <c r="FL155" s="47"/>
      <c r="FM155" s="47"/>
      <c r="FN155" s="47"/>
      <c r="FO155" s="47"/>
      <c r="FP155" s="47"/>
      <c r="FQ155" s="47"/>
      <c r="FR155" s="47"/>
      <c r="FS155" s="47"/>
      <c r="FT155" s="47"/>
      <c r="FU155" s="47"/>
      <c r="FV155" s="47"/>
      <c r="FW155" s="47"/>
      <c r="FX155" s="47"/>
      <c r="FY155" s="47"/>
      <c r="FZ155" s="47"/>
      <c r="GA155" s="47"/>
      <c r="GB155" s="47"/>
      <c r="GC155" s="47"/>
      <c r="GD155" s="47"/>
      <c r="GE155" s="47"/>
    </row>
    <row r="156" spans="1:187" ht="10.5" customHeight="1" outlineLevel="1">
      <c r="A156" s="48" t="s">
        <v>352</v>
      </c>
      <c r="B156" s="108"/>
      <c r="C156" s="108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80"/>
      <c r="U156" s="134"/>
      <c r="V156" s="134"/>
      <c r="W156" s="134"/>
      <c r="X156" s="134"/>
      <c r="Y156" s="134"/>
      <c r="Z156" s="134"/>
      <c r="AA156" s="80"/>
      <c r="AB156" s="134"/>
      <c r="AC156" s="134"/>
      <c r="AD156" s="134"/>
      <c r="AE156" s="134"/>
      <c r="AF156" s="134"/>
      <c r="AG156" s="134"/>
      <c r="AH156" s="80">
        <f t="shared" ref="AH156:AO163" si="875">AH129-AH138</f>
        <v>3596.5800000000004</v>
      </c>
      <c r="AI156" s="134"/>
      <c r="AJ156" s="134"/>
      <c r="AK156" s="134"/>
      <c r="AL156" s="134"/>
      <c r="AM156" s="134"/>
      <c r="AN156" s="134"/>
      <c r="AO156" s="45">
        <f t="shared" si="875"/>
        <v>3126.4399999999996</v>
      </c>
      <c r="AP156" s="134"/>
      <c r="AQ156" s="134"/>
      <c r="AR156" s="134"/>
      <c r="AS156" s="134"/>
      <c r="AT156" s="134"/>
      <c r="AU156" s="134"/>
      <c r="AV156" s="45">
        <f t="shared" ref="AV156:AV163" si="876">AO156/AH156-1</f>
        <v>-0.13071862714022786</v>
      </c>
      <c r="AW156" s="134"/>
      <c r="AX156" s="134"/>
      <c r="AY156" s="134"/>
      <c r="AZ156" s="134"/>
      <c r="BA156" s="134"/>
      <c r="BB156" s="134"/>
      <c r="BC156" s="45"/>
      <c r="BD156" s="134"/>
      <c r="BE156" s="134"/>
      <c r="BF156" s="134"/>
      <c r="BG156" s="134"/>
      <c r="BH156" s="134"/>
      <c r="BI156" s="134"/>
      <c r="BJ156" s="45"/>
      <c r="BK156" s="134"/>
      <c r="BL156" s="134"/>
      <c r="BM156" s="134"/>
      <c r="BN156" s="134"/>
      <c r="BO156" s="134"/>
      <c r="BP156" s="134"/>
      <c r="BQ156" s="45"/>
      <c r="BR156" s="134"/>
      <c r="BS156" s="134"/>
      <c r="BT156" s="134"/>
      <c r="BU156" s="134"/>
      <c r="BV156" s="134"/>
      <c r="BW156" s="134"/>
      <c r="BX156" s="45"/>
      <c r="BY156" s="134"/>
      <c r="BZ156" s="134"/>
      <c r="CA156" s="134"/>
      <c r="CB156" s="134"/>
      <c r="CC156" s="134"/>
      <c r="CD156" s="134"/>
      <c r="CE156" s="45"/>
      <c r="CF156" s="134"/>
      <c r="CG156" s="134"/>
      <c r="CH156" s="134"/>
      <c r="CI156" s="134"/>
      <c r="CJ156" s="134"/>
      <c r="CK156" s="134"/>
      <c r="CL156" s="45"/>
      <c r="CM156" s="134"/>
      <c r="CN156" s="134"/>
      <c r="CO156" s="134"/>
      <c r="CP156" s="134"/>
      <c r="CQ156" s="134"/>
      <c r="CR156" s="134"/>
      <c r="CS156" s="45"/>
      <c r="CT156" s="134"/>
      <c r="CU156" s="134"/>
      <c r="CV156" s="134"/>
      <c r="CW156" s="134"/>
      <c r="CX156" s="134"/>
      <c r="CY156" s="134"/>
      <c r="CZ156" s="45"/>
      <c r="DA156" s="134"/>
      <c r="DB156" s="134"/>
      <c r="DC156" s="134"/>
      <c r="DD156" s="134"/>
      <c r="DE156" s="134"/>
      <c r="DF156" s="134"/>
      <c r="DG156" s="45"/>
      <c r="DH156" s="134"/>
      <c r="DI156" s="134"/>
      <c r="DJ156" s="134"/>
      <c r="DK156" s="134"/>
      <c r="DL156" s="134"/>
      <c r="DM156" s="134"/>
      <c r="DN156" s="45"/>
      <c r="DO156" s="134"/>
      <c r="DP156" s="134"/>
      <c r="DQ156" s="134"/>
      <c r="DR156" s="134"/>
      <c r="DS156" s="134"/>
      <c r="DT156" s="134"/>
      <c r="DU156" s="45"/>
      <c r="DV156" s="134"/>
      <c r="DW156" s="134"/>
      <c r="DX156" s="134"/>
      <c r="DY156" s="134"/>
      <c r="DZ156" s="134"/>
      <c r="EA156" s="134"/>
      <c r="EB156" s="45"/>
      <c r="EC156" s="134"/>
      <c r="ED156" s="134"/>
      <c r="EE156" s="134"/>
      <c r="EF156" s="134"/>
      <c r="EG156" s="134"/>
      <c r="EH156" s="134"/>
      <c r="EI156" s="45"/>
      <c r="EJ156" s="47"/>
      <c r="EK156" s="47"/>
      <c r="EL156" s="47"/>
      <c r="EM156" s="47"/>
      <c r="EN156" s="47"/>
      <c r="EO156" s="47"/>
      <c r="EP156" s="47"/>
      <c r="EQ156" s="47"/>
      <c r="ER156" s="47"/>
      <c r="ES156" s="47"/>
      <c r="ET156" s="47"/>
      <c r="EU156" s="47"/>
      <c r="EV156" s="47"/>
      <c r="EW156" s="47"/>
      <c r="EX156" s="47"/>
      <c r="EY156" s="47"/>
      <c r="EZ156" s="47"/>
      <c r="FA156" s="47"/>
      <c r="FB156" s="47"/>
      <c r="FC156" s="47"/>
      <c r="FD156" s="47"/>
      <c r="FE156" s="47"/>
      <c r="FF156" s="47"/>
      <c r="FG156" s="47"/>
      <c r="FH156" s="47"/>
      <c r="FI156" s="47"/>
      <c r="FJ156" s="47"/>
      <c r="FK156" s="47"/>
      <c r="FL156" s="47"/>
      <c r="FM156" s="47"/>
      <c r="FN156" s="47"/>
      <c r="FO156" s="47"/>
      <c r="FP156" s="47"/>
      <c r="FQ156" s="47"/>
      <c r="FR156" s="47"/>
      <c r="FS156" s="47"/>
      <c r="FT156" s="47"/>
      <c r="FU156" s="47"/>
      <c r="FV156" s="47"/>
      <c r="FW156" s="47"/>
      <c r="FX156" s="47"/>
      <c r="FY156" s="47"/>
      <c r="FZ156" s="47"/>
      <c r="GA156" s="47"/>
      <c r="GB156" s="47"/>
      <c r="GC156" s="47"/>
      <c r="GD156" s="47"/>
      <c r="GE156" s="47"/>
    </row>
    <row r="157" spans="1:187" ht="10.5" customHeight="1" outlineLevel="1">
      <c r="A157" s="108" t="s">
        <v>532</v>
      </c>
      <c r="B157" s="108"/>
      <c r="C157" s="108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80"/>
      <c r="U157" s="134"/>
      <c r="V157" s="134"/>
      <c r="W157" s="134"/>
      <c r="X157" s="134"/>
      <c r="Y157" s="134"/>
      <c r="Z157" s="134"/>
      <c r="AA157" s="80"/>
      <c r="AB157" s="134"/>
      <c r="AC157" s="134"/>
      <c r="AD157" s="134"/>
      <c r="AE157" s="134"/>
      <c r="AF157" s="134"/>
      <c r="AG157" s="134"/>
      <c r="AH157" s="80">
        <f t="shared" si="875"/>
        <v>681.05000000000007</v>
      </c>
      <c r="AI157" s="134"/>
      <c r="AJ157" s="134"/>
      <c r="AK157" s="134"/>
      <c r="AL157" s="134"/>
      <c r="AM157" s="134"/>
      <c r="AN157" s="134"/>
      <c r="AO157" s="45">
        <f t="shared" si="875"/>
        <v>729.54</v>
      </c>
      <c r="AP157" s="134"/>
      <c r="AQ157" s="134"/>
      <c r="AR157" s="134"/>
      <c r="AS157" s="134"/>
      <c r="AT157" s="134"/>
      <c r="AU157" s="134"/>
      <c r="AV157" s="45">
        <f t="shared" si="876"/>
        <v>7.1198884076058899E-2</v>
      </c>
      <c r="AW157" s="134"/>
      <c r="AX157" s="134"/>
      <c r="AY157" s="134"/>
      <c r="AZ157" s="134"/>
      <c r="BA157" s="134"/>
      <c r="BB157" s="134"/>
      <c r="BC157" s="45"/>
      <c r="BD157" s="134"/>
      <c r="BE157" s="134"/>
      <c r="BF157" s="134"/>
      <c r="BG157" s="134"/>
      <c r="BH157" s="134"/>
      <c r="BI157" s="134"/>
      <c r="BJ157" s="45"/>
      <c r="BK157" s="134"/>
      <c r="BL157" s="134"/>
      <c r="BM157" s="134"/>
      <c r="BN157" s="134"/>
      <c r="BO157" s="134"/>
      <c r="BP157" s="134"/>
      <c r="BQ157" s="45"/>
      <c r="BR157" s="134"/>
      <c r="BS157" s="134"/>
      <c r="BT157" s="134"/>
      <c r="BU157" s="134"/>
      <c r="BV157" s="134"/>
      <c r="BW157" s="134"/>
      <c r="BX157" s="45"/>
      <c r="BY157" s="134"/>
      <c r="BZ157" s="134"/>
      <c r="CA157" s="134"/>
      <c r="CB157" s="134"/>
      <c r="CC157" s="134"/>
      <c r="CD157" s="134"/>
      <c r="CE157" s="45"/>
      <c r="CF157" s="134"/>
      <c r="CG157" s="134"/>
      <c r="CH157" s="134"/>
      <c r="CI157" s="134"/>
      <c r="CJ157" s="134"/>
      <c r="CK157" s="134"/>
      <c r="CL157" s="45"/>
      <c r="CM157" s="134"/>
      <c r="CN157" s="134"/>
      <c r="CO157" s="134"/>
      <c r="CP157" s="134"/>
      <c r="CQ157" s="134"/>
      <c r="CR157" s="134"/>
      <c r="CS157" s="45"/>
      <c r="CT157" s="134"/>
      <c r="CU157" s="134"/>
      <c r="CV157" s="134"/>
      <c r="CW157" s="134"/>
      <c r="CX157" s="134"/>
      <c r="CY157" s="134"/>
      <c r="CZ157" s="45"/>
      <c r="DA157" s="134"/>
      <c r="DB157" s="134"/>
      <c r="DC157" s="134"/>
      <c r="DD157" s="134"/>
      <c r="DE157" s="134"/>
      <c r="DF157" s="134"/>
      <c r="DG157" s="45"/>
      <c r="DH157" s="134"/>
      <c r="DI157" s="134"/>
      <c r="DJ157" s="134"/>
      <c r="DK157" s="134"/>
      <c r="DL157" s="134"/>
      <c r="DM157" s="134"/>
      <c r="DN157" s="45"/>
      <c r="DO157" s="134"/>
      <c r="DP157" s="134"/>
      <c r="DQ157" s="134"/>
      <c r="DR157" s="134"/>
      <c r="DS157" s="134"/>
      <c r="DT157" s="134"/>
      <c r="DU157" s="45"/>
      <c r="DV157" s="134"/>
      <c r="DW157" s="134"/>
      <c r="DX157" s="134"/>
      <c r="DY157" s="134"/>
      <c r="DZ157" s="134"/>
      <c r="EA157" s="134"/>
      <c r="EB157" s="45"/>
      <c r="EC157" s="134"/>
      <c r="ED157" s="134"/>
      <c r="EE157" s="134"/>
      <c r="EF157" s="134"/>
      <c r="EG157" s="134"/>
      <c r="EH157" s="134"/>
      <c r="EI157" s="45"/>
      <c r="EJ157" s="47"/>
      <c r="EK157" s="47"/>
      <c r="EL157" s="47"/>
      <c r="EM157" s="47"/>
      <c r="EN157" s="47"/>
      <c r="EO157" s="47"/>
      <c r="EP157" s="47"/>
      <c r="EQ157" s="47"/>
      <c r="ER157" s="47"/>
      <c r="ES157" s="47"/>
      <c r="ET157" s="47"/>
      <c r="EU157" s="47"/>
      <c r="EV157" s="47"/>
      <c r="EW157" s="47"/>
      <c r="EX157" s="47"/>
      <c r="EY157" s="47"/>
      <c r="EZ157" s="47"/>
      <c r="FA157" s="47"/>
      <c r="FB157" s="47"/>
      <c r="FC157" s="47"/>
      <c r="FD157" s="47"/>
      <c r="FE157" s="47"/>
      <c r="FF157" s="47"/>
      <c r="FG157" s="47"/>
      <c r="FH157" s="47"/>
      <c r="FI157" s="47"/>
      <c r="FJ157" s="47"/>
      <c r="FK157" s="47"/>
      <c r="FL157" s="47"/>
      <c r="FM157" s="47"/>
      <c r="FN157" s="47"/>
      <c r="FO157" s="47"/>
      <c r="FP157" s="47"/>
      <c r="FQ157" s="47"/>
      <c r="FR157" s="47"/>
      <c r="FS157" s="47"/>
      <c r="FT157" s="47"/>
      <c r="FU157" s="47"/>
      <c r="FV157" s="47"/>
      <c r="FW157" s="47"/>
      <c r="FX157" s="47"/>
      <c r="FY157" s="47"/>
      <c r="FZ157" s="47"/>
      <c r="GA157" s="47"/>
      <c r="GB157" s="47"/>
      <c r="GC157" s="47"/>
      <c r="GD157" s="47"/>
      <c r="GE157" s="47"/>
    </row>
    <row r="158" spans="1:187" ht="10.5" customHeight="1" outlineLevel="1">
      <c r="A158" s="108" t="s">
        <v>533</v>
      </c>
      <c r="B158" s="108"/>
      <c r="C158" s="108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80"/>
      <c r="U158" s="134"/>
      <c r="V158" s="134"/>
      <c r="W158" s="134"/>
      <c r="X158" s="134"/>
      <c r="Y158" s="134"/>
      <c r="Z158" s="134"/>
      <c r="AA158" s="80"/>
      <c r="AB158" s="134"/>
      <c r="AC158" s="134"/>
      <c r="AD158" s="134"/>
      <c r="AE158" s="134"/>
      <c r="AF158" s="134"/>
      <c r="AG158" s="134"/>
      <c r="AH158" s="80">
        <f t="shared" si="875"/>
        <v>734.94999999999993</v>
      </c>
      <c r="AI158" s="134"/>
      <c r="AJ158" s="134"/>
      <c r="AK158" s="134"/>
      <c r="AL158" s="134"/>
      <c r="AM158" s="134"/>
      <c r="AN158" s="134"/>
      <c r="AO158" s="45">
        <f t="shared" si="875"/>
        <v>802.05</v>
      </c>
      <c r="AP158" s="134"/>
      <c r="AQ158" s="134"/>
      <c r="AR158" s="134"/>
      <c r="AS158" s="134"/>
      <c r="AT158" s="134"/>
      <c r="AU158" s="134"/>
      <c r="AV158" s="45">
        <f t="shared" si="876"/>
        <v>9.1298727804612678E-2</v>
      </c>
      <c r="AW158" s="134"/>
      <c r="AX158" s="134"/>
      <c r="AY158" s="134"/>
      <c r="AZ158" s="134"/>
      <c r="BA158" s="134"/>
      <c r="BB158" s="134"/>
      <c r="BC158" s="45"/>
      <c r="BD158" s="134"/>
      <c r="BE158" s="134"/>
      <c r="BF158" s="134"/>
      <c r="BG158" s="134"/>
      <c r="BH158" s="134"/>
      <c r="BI158" s="134"/>
      <c r="BJ158" s="45"/>
      <c r="BK158" s="134"/>
      <c r="BL158" s="134"/>
      <c r="BM158" s="134"/>
      <c r="BN158" s="134"/>
      <c r="BO158" s="134"/>
      <c r="BP158" s="134"/>
      <c r="BQ158" s="45"/>
      <c r="BR158" s="134"/>
      <c r="BS158" s="134"/>
      <c r="BT158" s="134"/>
      <c r="BU158" s="134"/>
      <c r="BV158" s="134"/>
      <c r="BW158" s="134"/>
      <c r="BX158" s="45"/>
      <c r="BY158" s="134"/>
      <c r="BZ158" s="134"/>
      <c r="CA158" s="134"/>
      <c r="CB158" s="134"/>
      <c r="CC158" s="134"/>
      <c r="CD158" s="134"/>
      <c r="CE158" s="45"/>
      <c r="CF158" s="134"/>
      <c r="CG158" s="134"/>
      <c r="CH158" s="134"/>
      <c r="CI158" s="134"/>
      <c r="CJ158" s="134"/>
      <c r="CK158" s="134"/>
      <c r="CL158" s="45"/>
      <c r="CM158" s="134"/>
      <c r="CN158" s="134"/>
      <c r="CO158" s="134"/>
      <c r="CP158" s="134"/>
      <c r="CQ158" s="134"/>
      <c r="CR158" s="134"/>
      <c r="CS158" s="45"/>
      <c r="CT158" s="134"/>
      <c r="CU158" s="134"/>
      <c r="CV158" s="134"/>
      <c r="CW158" s="134"/>
      <c r="CX158" s="134"/>
      <c r="CY158" s="134"/>
      <c r="CZ158" s="45"/>
      <c r="DA158" s="134"/>
      <c r="DB158" s="134"/>
      <c r="DC158" s="134"/>
      <c r="DD158" s="134"/>
      <c r="DE158" s="134"/>
      <c r="DF158" s="134"/>
      <c r="DG158" s="45"/>
      <c r="DH158" s="134"/>
      <c r="DI158" s="134"/>
      <c r="DJ158" s="134"/>
      <c r="DK158" s="134"/>
      <c r="DL158" s="134"/>
      <c r="DM158" s="134"/>
      <c r="DN158" s="45"/>
      <c r="DO158" s="134"/>
      <c r="DP158" s="134"/>
      <c r="DQ158" s="134"/>
      <c r="DR158" s="134"/>
      <c r="DS158" s="134"/>
      <c r="DT158" s="134"/>
      <c r="DU158" s="45"/>
      <c r="DV158" s="134"/>
      <c r="DW158" s="134"/>
      <c r="DX158" s="134"/>
      <c r="DY158" s="134"/>
      <c r="DZ158" s="134"/>
      <c r="EA158" s="134"/>
      <c r="EB158" s="45"/>
      <c r="EC158" s="134"/>
      <c r="ED158" s="134"/>
      <c r="EE158" s="134"/>
      <c r="EF158" s="134"/>
      <c r="EG158" s="134"/>
      <c r="EH158" s="134"/>
      <c r="EI158" s="45"/>
      <c r="EJ158" s="47"/>
      <c r="EK158" s="47"/>
      <c r="EL158" s="47"/>
      <c r="EM158" s="47"/>
      <c r="EN158" s="47"/>
      <c r="EO158" s="47"/>
      <c r="EP158" s="47"/>
      <c r="EQ158" s="47"/>
      <c r="ER158" s="47"/>
      <c r="ES158" s="47"/>
      <c r="ET158" s="47"/>
      <c r="EU158" s="47"/>
      <c r="EV158" s="47"/>
      <c r="EW158" s="47"/>
      <c r="EX158" s="47"/>
      <c r="EY158" s="47"/>
      <c r="EZ158" s="47"/>
      <c r="FA158" s="47"/>
      <c r="FB158" s="47"/>
      <c r="FC158" s="47"/>
      <c r="FD158" s="47"/>
      <c r="FE158" s="47"/>
      <c r="FF158" s="47"/>
      <c r="FG158" s="47"/>
      <c r="FH158" s="47"/>
      <c r="FI158" s="47"/>
      <c r="FJ158" s="47"/>
      <c r="FK158" s="47"/>
      <c r="FL158" s="47"/>
      <c r="FM158" s="47"/>
      <c r="FN158" s="47"/>
      <c r="FO158" s="47"/>
      <c r="FP158" s="47"/>
      <c r="FQ158" s="47"/>
      <c r="FR158" s="47"/>
      <c r="FS158" s="47"/>
      <c r="FT158" s="47"/>
      <c r="FU158" s="47"/>
      <c r="FV158" s="47"/>
      <c r="FW158" s="47"/>
      <c r="FX158" s="47"/>
      <c r="FY158" s="47"/>
      <c r="FZ158" s="47"/>
      <c r="GA158" s="47"/>
      <c r="GB158" s="47"/>
      <c r="GC158" s="47"/>
      <c r="GD158" s="47"/>
      <c r="GE158" s="47"/>
    </row>
    <row r="159" spans="1:187" ht="10.5" customHeight="1" outlineLevel="1">
      <c r="A159" s="108" t="s">
        <v>520</v>
      </c>
      <c r="B159" s="108"/>
      <c r="C159" s="108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80"/>
      <c r="U159" s="134"/>
      <c r="V159" s="134"/>
      <c r="W159" s="134"/>
      <c r="X159" s="134"/>
      <c r="Y159" s="134"/>
      <c r="Z159" s="134"/>
      <c r="AA159" s="80"/>
      <c r="AB159" s="134"/>
      <c r="AC159" s="134"/>
      <c r="AD159" s="134"/>
      <c r="AE159" s="134"/>
      <c r="AF159" s="134"/>
      <c r="AG159" s="134"/>
      <c r="AH159" s="80">
        <f t="shared" si="875"/>
        <v>1416</v>
      </c>
      <c r="AI159" s="134"/>
      <c r="AJ159" s="134"/>
      <c r="AK159" s="134"/>
      <c r="AL159" s="134"/>
      <c r="AM159" s="134"/>
      <c r="AN159" s="134"/>
      <c r="AO159" s="45">
        <f t="shared" si="875"/>
        <v>1531.59</v>
      </c>
      <c r="AP159" s="134"/>
      <c r="AQ159" s="134"/>
      <c r="AR159" s="134"/>
      <c r="AS159" s="134"/>
      <c r="AT159" s="134"/>
      <c r="AU159" s="134"/>
      <c r="AV159" s="45">
        <f t="shared" si="876"/>
        <v>8.1631355932203276E-2</v>
      </c>
      <c r="AW159" s="134"/>
      <c r="AX159" s="134"/>
      <c r="AY159" s="134"/>
      <c r="AZ159" s="134"/>
      <c r="BA159" s="134"/>
      <c r="BB159" s="134"/>
      <c r="BC159" s="45"/>
      <c r="BD159" s="134"/>
      <c r="BE159" s="134"/>
      <c r="BF159" s="134"/>
      <c r="BG159" s="134"/>
      <c r="BH159" s="134"/>
      <c r="BI159" s="134"/>
      <c r="BJ159" s="45"/>
      <c r="BK159" s="134"/>
      <c r="BL159" s="134"/>
      <c r="BM159" s="134"/>
      <c r="BN159" s="134"/>
      <c r="BO159" s="134"/>
      <c r="BP159" s="134"/>
      <c r="BQ159" s="45"/>
      <c r="BR159" s="134"/>
      <c r="BS159" s="134"/>
      <c r="BT159" s="134"/>
      <c r="BU159" s="134"/>
      <c r="BV159" s="134"/>
      <c r="BW159" s="134"/>
      <c r="BX159" s="45"/>
      <c r="BY159" s="134"/>
      <c r="BZ159" s="134"/>
      <c r="CA159" s="134"/>
      <c r="CB159" s="134"/>
      <c r="CC159" s="134"/>
      <c r="CD159" s="134"/>
      <c r="CE159" s="45"/>
      <c r="CF159" s="134"/>
      <c r="CG159" s="134"/>
      <c r="CH159" s="134"/>
      <c r="CI159" s="134"/>
      <c r="CJ159" s="134"/>
      <c r="CK159" s="134"/>
      <c r="CL159" s="45"/>
      <c r="CM159" s="134"/>
      <c r="CN159" s="134"/>
      <c r="CO159" s="134"/>
      <c r="CP159" s="134"/>
      <c r="CQ159" s="134"/>
      <c r="CR159" s="134"/>
      <c r="CS159" s="45"/>
      <c r="CT159" s="134"/>
      <c r="CU159" s="134"/>
      <c r="CV159" s="134"/>
      <c r="CW159" s="134"/>
      <c r="CX159" s="134"/>
      <c r="CY159" s="134"/>
      <c r="CZ159" s="45"/>
      <c r="DA159" s="134"/>
      <c r="DB159" s="134"/>
      <c r="DC159" s="134"/>
      <c r="DD159" s="134"/>
      <c r="DE159" s="134"/>
      <c r="DF159" s="134"/>
      <c r="DG159" s="45"/>
      <c r="DH159" s="134"/>
      <c r="DI159" s="134"/>
      <c r="DJ159" s="134"/>
      <c r="DK159" s="134"/>
      <c r="DL159" s="134"/>
      <c r="DM159" s="134"/>
      <c r="DN159" s="45"/>
      <c r="DO159" s="134"/>
      <c r="DP159" s="134"/>
      <c r="DQ159" s="134"/>
      <c r="DR159" s="134"/>
      <c r="DS159" s="134"/>
      <c r="DT159" s="134"/>
      <c r="DU159" s="45"/>
      <c r="DV159" s="134"/>
      <c r="DW159" s="134"/>
      <c r="DX159" s="134"/>
      <c r="DY159" s="134"/>
      <c r="DZ159" s="134"/>
      <c r="EA159" s="134"/>
      <c r="EB159" s="45"/>
      <c r="EC159" s="134"/>
      <c r="ED159" s="134"/>
      <c r="EE159" s="134"/>
      <c r="EF159" s="134"/>
      <c r="EG159" s="134"/>
      <c r="EH159" s="134"/>
      <c r="EI159" s="45"/>
      <c r="EJ159" s="47"/>
      <c r="EK159" s="47"/>
      <c r="EL159" s="47"/>
      <c r="EM159" s="47"/>
      <c r="EN159" s="47"/>
      <c r="EO159" s="47"/>
      <c r="EP159" s="47"/>
      <c r="EQ159" s="47"/>
      <c r="ER159" s="47"/>
      <c r="ES159" s="47"/>
      <c r="ET159" s="47"/>
      <c r="EU159" s="47"/>
      <c r="EV159" s="47"/>
      <c r="EW159" s="47"/>
      <c r="EX159" s="47"/>
      <c r="EY159" s="47"/>
      <c r="EZ159" s="47"/>
      <c r="FA159" s="47"/>
      <c r="FB159" s="47"/>
      <c r="FC159" s="47"/>
      <c r="FD159" s="47"/>
      <c r="FE159" s="47"/>
      <c r="FF159" s="47"/>
      <c r="FG159" s="47"/>
      <c r="FH159" s="47"/>
      <c r="FI159" s="47"/>
      <c r="FJ159" s="47"/>
      <c r="FK159" s="47"/>
      <c r="FL159" s="47"/>
      <c r="FM159" s="47"/>
      <c r="FN159" s="47"/>
      <c r="FO159" s="47"/>
      <c r="FP159" s="47"/>
      <c r="FQ159" s="47"/>
      <c r="FR159" s="47"/>
      <c r="FS159" s="47"/>
      <c r="FT159" s="47"/>
      <c r="FU159" s="47"/>
      <c r="FV159" s="47"/>
      <c r="FW159" s="47"/>
      <c r="FX159" s="47"/>
      <c r="FY159" s="47"/>
      <c r="FZ159" s="47"/>
      <c r="GA159" s="47"/>
      <c r="GB159" s="47"/>
      <c r="GC159" s="47"/>
      <c r="GD159" s="47"/>
      <c r="GE159" s="47"/>
    </row>
    <row r="160" spans="1:187" ht="10.5" customHeight="1" outlineLevel="1">
      <c r="A160" s="108" t="s">
        <v>534</v>
      </c>
      <c r="B160" s="108"/>
      <c r="C160" s="108"/>
      <c r="D160" s="134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80"/>
      <c r="U160" s="223"/>
      <c r="V160" s="223"/>
      <c r="W160" s="223"/>
      <c r="X160" s="223"/>
      <c r="Y160" s="223"/>
      <c r="Z160" s="223"/>
      <c r="AA160" s="80"/>
      <c r="AB160" s="223"/>
      <c r="AC160" s="223"/>
      <c r="AD160" s="223"/>
      <c r="AE160" s="223"/>
      <c r="AF160" s="223"/>
      <c r="AG160" s="223"/>
      <c r="AH160" s="80">
        <f t="shared" si="875"/>
        <v>839.73</v>
      </c>
      <c r="AI160" s="223"/>
      <c r="AJ160" s="223"/>
      <c r="AK160" s="223"/>
      <c r="AL160" s="223"/>
      <c r="AM160" s="223"/>
      <c r="AN160" s="223"/>
      <c r="AO160" s="77">
        <f t="shared" si="875"/>
        <v>652.23000000000025</v>
      </c>
      <c r="AP160" s="223"/>
      <c r="AQ160" s="223"/>
      <c r="AR160" s="223"/>
      <c r="AS160" s="223"/>
      <c r="AT160" s="223"/>
      <c r="AU160" s="223"/>
      <c r="AV160" s="77">
        <f t="shared" si="876"/>
        <v>-0.22328605623236009</v>
      </c>
      <c r="AW160" s="223"/>
      <c r="AX160" s="223"/>
      <c r="AY160" s="223"/>
      <c r="AZ160" s="223"/>
      <c r="BA160" s="223"/>
      <c r="BB160" s="223"/>
      <c r="BC160" s="77"/>
      <c r="BD160" s="223"/>
      <c r="BE160" s="223"/>
      <c r="BF160" s="223"/>
      <c r="BG160" s="223"/>
      <c r="BH160" s="223"/>
      <c r="BI160" s="223"/>
      <c r="BJ160" s="77"/>
      <c r="BK160" s="223"/>
      <c r="BL160" s="223"/>
      <c r="BM160" s="223"/>
      <c r="BN160" s="223"/>
      <c r="BO160" s="223"/>
      <c r="BP160" s="223"/>
      <c r="BQ160" s="77"/>
      <c r="BR160" s="223"/>
      <c r="BS160" s="223"/>
      <c r="BT160" s="223"/>
      <c r="BU160" s="223"/>
      <c r="BV160" s="223"/>
      <c r="BW160" s="223"/>
      <c r="BX160" s="77"/>
      <c r="BY160" s="223"/>
      <c r="BZ160" s="223"/>
      <c r="CA160" s="223"/>
      <c r="CB160" s="223"/>
      <c r="CC160" s="223"/>
      <c r="CD160" s="223"/>
      <c r="CE160" s="77"/>
      <c r="CF160" s="223"/>
      <c r="CG160" s="223"/>
      <c r="CH160" s="223"/>
      <c r="CI160" s="223"/>
      <c r="CJ160" s="223"/>
      <c r="CK160" s="223"/>
      <c r="CL160" s="77"/>
      <c r="CM160" s="223"/>
      <c r="CN160" s="223"/>
      <c r="CO160" s="223"/>
      <c r="CP160" s="223"/>
      <c r="CQ160" s="223"/>
      <c r="CR160" s="223"/>
      <c r="CS160" s="77"/>
      <c r="CT160" s="223"/>
      <c r="CU160" s="223"/>
      <c r="CV160" s="223"/>
      <c r="CW160" s="223"/>
      <c r="CX160" s="223"/>
      <c r="CY160" s="223"/>
      <c r="CZ160" s="77"/>
      <c r="DA160" s="223"/>
      <c r="DB160" s="223"/>
      <c r="DC160" s="223"/>
      <c r="DD160" s="223"/>
      <c r="DE160" s="223"/>
      <c r="DF160" s="223"/>
      <c r="DG160" s="77"/>
      <c r="DH160" s="223"/>
      <c r="DI160" s="223"/>
      <c r="DJ160" s="223"/>
      <c r="DK160" s="223"/>
      <c r="DL160" s="223"/>
      <c r="DM160" s="223"/>
      <c r="DN160" s="77"/>
      <c r="DO160" s="223"/>
      <c r="DP160" s="223"/>
      <c r="DQ160" s="223"/>
      <c r="DR160" s="223"/>
      <c r="DS160" s="223"/>
      <c r="DT160" s="223"/>
      <c r="DU160" s="77"/>
      <c r="DV160" s="223"/>
      <c r="DW160" s="223"/>
      <c r="DX160" s="223"/>
      <c r="DY160" s="223"/>
      <c r="DZ160" s="223"/>
      <c r="EA160" s="223"/>
      <c r="EB160" s="77"/>
      <c r="EC160" s="223"/>
      <c r="ED160" s="223"/>
      <c r="EE160" s="223"/>
      <c r="EF160" s="223"/>
      <c r="EG160" s="223"/>
      <c r="EH160" s="223"/>
      <c r="EI160" s="77"/>
      <c r="EJ160" s="47"/>
      <c r="EK160" s="47"/>
      <c r="EL160" s="47"/>
      <c r="EM160" s="47"/>
      <c r="EN160" s="47"/>
      <c r="EO160" s="47"/>
      <c r="EP160" s="47"/>
      <c r="EQ160" s="47"/>
      <c r="ER160" s="47"/>
      <c r="ES160" s="47"/>
      <c r="ET160" s="47"/>
      <c r="EU160" s="47"/>
      <c r="EV160" s="47"/>
      <c r="EW160" s="47"/>
      <c r="EX160" s="47"/>
      <c r="EY160" s="47"/>
      <c r="EZ160" s="47"/>
      <c r="FA160" s="47"/>
      <c r="FB160" s="47"/>
      <c r="FC160" s="47"/>
      <c r="FD160" s="47"/>
      <c r="FE160" s="47"/>
      <c r="FF160" s="47"/>
      <c r="FG160" s="47"/>
      <c r="FH160" s="47"/>
      <c r="FI160" s="47"/>
      <c r="FJ160" s="47"/>
      <c r="FK160" s="47"/>
      <c r="FL160" s="47"/>
      <c r="FM160" s="47"/>
      <c r="FN160" s="47"/>
      <c r="FO160" s="47"/>
      <c r="FP160" s="47"/>
      <c r="FQ160" s="47"/>
      <c r="FR160" s="47"/>
      <c r="FS160" s="47"/>
      <c r="FT160" s="47"/>
      <c r="FU160" s="47"/>
      <c r="FV160" s="47"/>
      <c r="FW160" s="47"/>
      <c r="FX160" s="47"/>
      <c r="FY160" s="47"/>
      <c r="FZ160" s="47"/>
      <c r="GA160" s="47"/>
      <c r="GB160" s="47"/>
      <c r="GC160" s="47"/>
      <c r="GD160" s="47"/>
      <c r="GE160" s="47"/>
    </row>
    <row r="161" spans="1:187" ht="10.5" customHeight="1" outlineLevel="1">
      <c r="A161" s="108" t="s">
        <v>531</v>
      </c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80"/>
      <c r="U161" s="108"/>
      <c r="V161" s="108"/>
      <c r="W161" s="108"/>
      <c r="X161" s="108"/>
      <c r="Y161" s="108"/>
      <c r="Z161" s="108"/>
      <c r="AA161" s="80"/>
      <c r="AB161" s="108"/>
      <c r="AC161" s="108"/>
      <c r="AD161" s="108"/>
      <c r="AE161" s="108"/>
      <c r="AF161" s="108"/>
      <c r="AG161" s="108"/>
      <c r="AH161" s="80">
        <f t="shared" si="875"/>
        <v>2255.73</v>
      </c>
      <c r="AI161" s="108"/>
      <c r="AJ161" s="108"/>
      <c r="AK161" s="108"/>
      <c r="AL161" s="108"/>
      <c r="AM161" s="108"/>
      <c r="AN161" s="108"/>
      <c r="AO161" s="43">
        <f t="shared" si="875"/>
        <v>2183.8200000000002</v>
      </c>
      <c r="AP161" s="108"/>
      <c r="AQ161" s="108"/>
      <c r="AR161" s="108"/>
      <c r="AS161" s="108"/>
      <c r="AT161" s="108"/>
      <c r="AU161" s="108"/>
      <c r="AV161" s="43">
        <f t="shared" si="876"/>
        <v>-3.1878815283744033E-2</v>
      </c>
      <c r="AW161" s="108"/>
      <c r="AX161" s="108"/>
      <c r="AY161" s="108"/>
      <c r="AZ161" s="108"/>
      <c r="BA161" s="108"/>
      <c r="BB161" s="108"/>
      <c r="BC161" s="43"/>
      <c r="BD161" s="108"/>
      <c r="BE161" s="108"/>
      <c r="BF161" s="108"/>
      <c r="BG161" s="108"/>
      <c r="BH161" s="108"/>
      <c r="BI161" s="108"/>
      <c r="BJ161" s="43"/>
      <c r="BK161" s="108"/>
      <c r="BL161" s="108"/>
      <c r="BM161" s="108"/>
      <c r="BN161" s="108"/>
      <c r="BO161" s="108"/>
      <c r="BP161" s="108"/>
      <c r="BQ161" s="43"/>
      <c r="BR161" s="108"/>
      <c r="BS161" s="108"/>
      <c r="BT161" s="108"/>
      <c r="BU161" s="108"/>
      <c r="BV161" s="108"/>
      <c r="BW161" s="108"/>
      <c r="BX161" s="43"/>
      <c r="BY161" s="108"/>
      <c r="BZ161" s="108"/>
      <c r="CA161" s="108"/>
      <c r="CB161" s="108"/>
      <c r="CC161" s="108"/>
      <c r="CD161" s="108"/>
      <c r="CE161" s="43"/>
      <c r="CF161" s="108"/>
      <c r="CG161" s="108"/>
      <c r="CH161" s="108"/>
      <c r="CI161" s="108"/>
      <c r="CJ161" s="108"/>
      <c r="CK161" s="108"/>
      <c r="CL161" s="43"/>
      <c r="CM161" s="108"/>
      <c r="CN161" s="108"/>
      <c r="CO161" s="108"/>
      <c r="CP161" s="108"/>
      <c r="CQ161" s="108"/>
      <c r="CR161" s="108"/>
      <c r="CS161" s="43"/>
      <c r="CT161" s="108"/>
      <c r="CU161" s="108"/>
      <c r="CV161" s="108"/>
      <c r="CW161" s="108"/>
      <c r="CX161" s="108"/>
      <c r="CY161" s="108"/>
      <c r="CZ161" s="43"/>
      <c r="DA161" s="108"/>
      <c r="DB161" s="108"/>
      <c r="DC161" s="108"/>
      <c r="DD161" s="108"/>
      <c r="DE161" s="108"/>
      <c r="DF161" s="108"/>
      <c r="DG161" s="43"/>
      <c r="DH161" s="108"/>
      <c r="DI161" s="108"/>
      <c r="DJ161" s="108"/>
      <c r="DK161" s="108"/>
      <c r="DL161" s="108"/>
      <c r="DM161" s="108"/>
      <c r="DN161" s="43"/>
      <c r="DO161" s="108"/>
      <c r="DP161" s="108"/>
      <c r="DQ161" s="108"/>
      <c r="DR161" s="108"/>
      <c r="DS161" s="108"/>
      <c r="DT161" s="108"/>
      <c r="DU161" s="43"/>
      <c r="DV161" s="108"/>
      <c r="DW161" s="108"/>
      <c r="DX161" s="108"/>
      <c r="DY161" s="108"/>
      <c r="DZ161" s="108"/>
      <c r="EA161" s="108"/>
      <c r="EB161" s="43"/>
      <c r="EC161" s="108"/>
      <c r="ED161" s="108"/>
      <c r="EE161" s="108"/>
      <c r="EF161" s="108"/>
      <c r="EG161" s="108"/>
      <c r="EH161" s="108"/>
      <c r="EI161" s="43"/>
      <c r="EJ161" s="47"/>
      <c r="EK161" s="47"/>
      <c r="EL161" s="47"/>
      <c r="EM161" s="47"/>
      <c r="EN161" s="47"/>
      <c r="EO161" s="47"/>
      <c r="EP161" s="47"/>
      <c r="EQ161" s="47"/>
      <c r="ER161" s="47"/>
      <c r="ES161" s="47"/>
      <c r="ET161" s="47"/>
      <c r="EU161" s="47"/>
      <c r="EV161" s="47"/>
      <c r="EW161" s="47"/>
      <c r="EX161" s="47"/>
      <c r="EY161" s="47"/>
      <c r="EZ161" s="47"/>
      <c r="FA161" s="47"/>
      <c r="FB161" s="47"/>
      <c r="FC161" s="47"/>
      <c r="FD161" s="47"/>
      <c r="FE161" s="47"/>
      <c r="FF161" s="47"/>
      <c r="FG161" s="47"/>
      <c r="FH161" s="47"/>
      <c r="FI161" s="47"/>
      <c r="FJ161" s="47"/>
      <c r="FK161" s="47"/>
      <c r="FL161" s="47"/>
      <c r="FM161" s="47"/>
      <c r="FN161" s="47"/>
      <c r="FO161" s="47"/>
      <c r="FP161" s="47"/>
      <c r="FQ161" s="47"/>
      <c r="FR161" s="47"/>
      <c r="FS161" s="47"/>
      <c r="FT161" s="47"/>
      <c r="FU161" s="47"/>
      <c r="FV161" s="47"/>
      <c r="FW161" s="47"/>
      <c r="FX161" s="47"/>
      <c r="FY161" s="47"/>
      <c r="FZ161" s="47"/>
      <c r="GA161" s="47"/>
      <c r="GB161" s="47"/>
      <c r="GC161" s="47"/>
      <c r="GD161" s="47"/>
      <c r="GE161" s="47"/>
    </row>
    <row r="162" spans="1:187" ht="10.5" customHeight="1" outlineLevel="1">
      <c r="A162" s="248" t="s">
        <v>535</v>
      </c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80"/>
      <c r="U162" s="108"/>
      <c r="V162" s="108"/>
      <c r="W162" s="108"/>
      <c r="X162" s="108"/>
      <c r="Y162" s="108"/>
      <c r="Z162" s="108"/>
      <c r="AA162" s="80"/>
      <c r="AB162" s="108"/>
      <c r="AC162" s="108"/>
      <c r="AD162" s="108"/>
      <c r="AE162" s="108"/>
      <c r="AF162" s="108"/>
      <c r="AG162" s="108"/>
      <c r="AH162" s="80">
        <f t="shared" si="875"/>
        <v>1340.8500000000004</v>
      </c>
      <c r="AI162" s="108"/>
      <c r="AJ162" s="108"/>
      <c r="AK162" s="108"/>
      <c r="AL162" s="108"/>
      <c r="AM162" s="108"/>
      <c r="AN162" s="108"/>
      <c r="AO162" s="43">
        <f t="shared" si="875"/>
        <v>942.61999999999944</v>
      </c>
      <c r="AP162" s="108"/>
      <c r="AQ162" s="108"/>
      <c r="AR162" s="108"/>
      <c r="AS162" s="108"/>
      <c r="AT162" s="108"/>
      <c r="AU162" s="108"/>
      <c r="AV162" s="43">
        <f t="shared" si="876"/>
        <v>-0.29699817280083596</v>
      </c>
      <c r="AW162" s="108"/>
      <c r="AX162" s="108"/>
      <c r="AY162" s="108"/>
      <c r="AZ162" s="108"/>
      <c r="BA162" s="108"/>
      <c r="BB162" s="108"/>
      <c r="BC162" s="43"/>
      <c r="BD162" s="108"/>
      <c r="BE162" s="108"/>
      <c r="BF162" s="108"/>
      <c r="BG162" s="108"/>
      <c r="BH162" s="108"/>
      <c r="BI162" s="108"/>
      <c r="BJ162" s="43"/>
      <c r="BK162" s="108"/>
      <c r="BL162" s="108"/>
      <c r="BM162" s="108"/>
      <c r="BN162" s="108"/>
      <c r="BO162" s="108"/>
      <c r="BP162" s="108"/>
      <c r="BQ162" s="43"/>
      <c r="BR162" s="108"/>
      <c r="BS162" s="108"/>
      <c r="BT162" s="108"/>
      <c r="BU162" s="108"/>
      <c r="BV162" s="108"/>
      <c r="BW162" s="108"/>
      <c r="BX162" s="43"/>
      <c r="BY162" s="108"/>
      <c r="BZ162" s="108"/>
      <c r="CA162" s="108"/>
      <c r="CB162" s="108"/>
      <c r="CC162" s="108"/>
      <c r="CD162" s="108"/>
      <c r="CE162" s="43"/>
      <c r="CF162" s="108"/>
      <c r="CG162" s="108"/>
      <c r="CH162" s="108"/>
      <c r="CI162" s="108"/>
      <c r="CJ162" s="108"/>
      <c r="CK162" s="108"/>
      <c r="CL162" s="43"/>
      <c r="CM162" s="108"/>
      <c r="CN162" s="108"/>
      <c r="CO162" s="108"/>
      <c r="CP162" s="108"/>
      <c r="CQ162" s="108"/>
      <c r="CR162" s="108"/>
      <c r="CS162" s="43"/>
      <c r="CT162" s="108"/>
      <c r="CU162" s="108"/>
      <c r="CV162" s="108"/>
      <c r="CW162" s="108"/>
      <c r="CX162" s="108"/>
      <c r="CY162" s="108"/>
      <c r="CZ162" s="43"/>
      <c r="DA162" s="108"/>
      <c r="DB162" s="108"/>
      <c r="DC162" s="108"/>
      <c r="DD162" s="108"/>
      <c r="DE162" s="108"/>
      <c r="DF162" s="108"/>
      <c r="DG162" s="43"/>
      <c r="DH162" s="108"/>
      <c r="DI162" s="108"/>
      <c r="DJ162" s="108"/>
      <c r="DK162" s="108"/>
      <c r="DL162" s="108"/>
      <c r="DM162" s="108"/>
      <c r="DN162" s="43"/>
      <c r="DO162" s="108"/>
      <c r="DP162" s="108"/>
      <c r="DQ162" s="108"/>
      <c r="DR162" s="108"/>
      <c r="DS162" s="108"/>
      <c r="DT162" s="108"/>
      <c r="DU162" s="43"/>
      <c r="DV162" s="108"/>
      <c r="DW162" s="108"/>
      <c r="DX162" s="108"/>
      <c r="DY162" s="108"/>
      <c r="DZ162" s="108"/>
      <c r="EA162" s="108"/>
      <c r="EB162" s="43"/>
      <c r="EC162" s="108"/>
      <c r="ED162" s="108"/>
      <c r="EE162" s="108"/>
      <c r="EF162" s="108"/>
      <c r="EG162" s="108"/>
      <c r="EH162" s="108"/>
      <c r="EI162" s="43"/>
      <c r="EJ162" s="47"/>
      <c r="EK162" s="47"/>
      <c r="EL162" s="47"/>
      <c r="EM162" s="47"/>
      <c r="EN162" s="47"/>
      <c r="EO162" s="47"/>
      <c r="EP162" s="47"/>
      <c r="EQ162" s="47"/>
      <c r="ER162" s="47"/>
      <c r="ES162" s="47"/>
      <c r="ET162" s="47"/>
      <c r="EU162" s="47"/>
      <c r="EV162" s="47"/>
      <c r="EW162" s="47"/>
      <c r="EX162" s="47"/>
      <c r="EY162" s="47"/>
      <c r="EZ162" s="47"/>
      <c r="FA162" s="47"/>
      <c r="FB162" s="47"/>
      <c r="FC162" s="47"/>
      <c r="FD162" s="47"/>
      <c r="FE162" s="47"/>
      <c r="FF162" s="47"/>
      <c r="FG162" s="47"/>
      <c r="FH162" s="47"/>
      <c r="FI162" s="47"/>
      <c r="FJ162" s="47"/>
      <c r="FK162" s="47"/>
      <c r="FL162" s="47"/>
      <c r="FM162" s="47"/>
      <c r="FN162" s="47"/>
      <c r="FO162" s="47"/>
      <c r="FP162" s="47"/>
      <c r="FQ162" s="47"/>
      <c r="FR162" s="47"/>
      <c r="FS162" s="47"/>
      <c r="FT162" s="47"/>
      <c r="FU162" s="47"/>
      <c r="FV162" s="47"/>
      <c r="FW162" s="47"/>
      <c r="FX162" s="47"/>
      <c r="FY162" s="47"/>
      <c r="FZ162" s="47"/>
      <c r="GA162" s="47"/>
      <c r="GB162" s="47"/>
      <c r="GC162" s="47"/>
      <c r="GD162" s="47"/>
      <c r="GE162" s="47"/>
    </row>
    <row r="163" spans="1:187" ht="10.5" customHeight="1" outlineLevel="1">
      <c r="A163" s="108" t="s">
        <v>521</v>
      </c>
      <c r="B163" s="108"/>
      <c r="C163" s="108"/>
      <c r="D163" s="134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80"/>
      <c r="U163" s="223"/>
      <c r="V163" s="223"/>
      <c r="W163" s="223"/>
      <c r="X163" s="223"/>
      <c r="Y163" s="223"/>
      <c r="Z163" s="223"/>
      <c r="AA163" s="80"/>
      <c r="AB163" s="223"/>
      <c r="AC163" s="223"/>
      <c r="AD163" s="223"/>
      <c r="AE163" s="223"/>
      <c r="AF163" s="223"/>
      <c r="AG163" s="223"/>
      <c r="AH163" s="80">
        <f t="shared" si="875"/>
        <v>2180.5800000000004</v>
      </c>
      <c r="AI163" s="223"/>
      <c r="AJ163" s="223"/>
      <c r="AK163" s="223"/>
      <c r="AL163" s="223"/>
      <c r="AM163" s="223"/>
      <c r="AN163" s="223"/>
      <c r="AO163" s="77">
        <f t="shared" si="875"/>
        <v>1594.8499999999995</v>
      </c>
      <c r="AP163" s="223"/>
      <c r="AQ163" s="223"/>
      <c r="AR163" s="223"/>
      <c r="AS163" s="223"/>
      <c r="AT163" s="223"/>
      <c r="AU163" s="223"/>
      <c r="AV163" s="77">
        <f t="shared" si="876"/>
        <v>-0.26861202065505541</v>
      </c>
      <c r="AW163" s="223"/>
      <c r="AX163" s="223"/>
      <c r="AY163" s="223"/>
      <c r="AZ163" s="223"/>
      <c r="BA163" s="223"/>
      <c r="BB163" s="223"/>
      <c r="BC163" s="77"/>
      <c r="BD163" s="223"/>
      <c r="BE163" s="223"/>
      <c r="BF163" s="223"/>
      <c r="BG163" s="223"/>
      <c r="BH163" s="223"/>
      <c r="BI163" s="223"/>
      <c r="BJ163" s="77"/>
      <c r="BK163" s="223"/>
      <c r="BL163" s="223"/>
      <c r="BM163" s="223"/>
      <c r="BN163" s="223"/>
      <c r="BO163" s="223"/>
      <c r="BP163" s="223"/>
      <c r="BQ163" s="77"/>
      <c r="BR163" s="223"/>
      <c r="BS163" s="223"/>
      <c r="BT163" s="223"/>
      <c r="BU163" s="223"/>
      <c r="BV163" s="223"/>
      <c r="BW163" s="223"/>
      <c r="BX163" s="77"/>
      <c r="BY163" s="223"/>
      <c r="BZ163" s="223"/>
      <c r="CA163" s="223"/>
      <c r="CB163" s="223"/>
      <c r="CC163" s="223"/>
      <c r="CD163" s="223"/>
      <c r="CE163" s="77"/>
      <c r="CF163" s="223"/>
      <c r="CG163" s="223"/>
      <c r="CH163" s="223"/>
      <c r="CI163" s="223"/>
      <c r="CJ163" s="223"/>
      <c r="CK163" s="223"/>
      <c r="CL163" s="77"/>
      <c r="CM163" s="223"/>
      <c r="CN163" s="223"/>
      <c r="CO163" s="223"/>
      <c r="CP163" s="223"/>
      <c r="CQ163" s="223"/>
      <c r="CR163" s="223"/>
      <c r="CS163" s="77"/>
      <c r="CT163" s="223"/>
      <c r="CU163" s="223"/>
      <c r="CV163" s="223"/>
      <c r="CW163" s="223"/>
      <c r="CX163" s="223"/>
      <c r="CY163" s="223"/>
      <c r="CZ163" s="77"/>
      <c r="DA163" s="223"/>
      <c r="DB163" s="223"/>
      <c r="DC163" s="223"/>
      <c r="DD163" s="223"/>
      <c r="DE163" s="223"/>
      <c r="DF163" s="223"/>
      <c r="DG163" s="77"/>
      <c r="DH163" s="223"/>
      <c r="DI163" s="223"/>
      <c r="DJ163" s="223"/>
      <c r="DK163" s="223"/>
      <c r="DL163" s="223"/>
      <c r="DM163" s="223"/>
      <c r="DN163" s="77"/>
      <c r="DO163" s="223"/>
      <c r="DP163" s="223"/>
      <c r="DQ163" s="223"/>
      <c r="DR163" s="223"/>
      <c r="DS163" s="223"/>
      <c r="DT163" s="223"/>
      <c r="DU163" s="77"/>
      <c r="DV163" s="223"/>
      <c r="DW163" s="223"/>
      <c r="DX163" s="223"/>
      <c r="DY163" s="223"/>
      <c r="DZ163" s="223"/>
      <c r="EA163" s="223"/>
      <c r="EB163" s="77"/>
      <c r="EC163" s="223"/>
      <c r="ED163" s="223"/>
      <c r="EE163" s="223"/>
      <c r="EF163" s="223"/>
      <c r="EG163" s="223"/>
      <c r="EH163" s="223"/>
      <c r="EI163" s="77"/>
      <c r="EJ163" s="47"/>
      <c r="EK163" s="47"/>
      <c r="EL163" s="47"/>
      <c r="EM163" s="47"/>
      <c r="EN163" s="47"/>
      <c r="EO163" s="47"/>
      <c r="EP163" s="47"/>
      <c r="EQ163" s="47"/>
      <c r="ER163" s="47"/>
      <c r="ES163" s="47"/>
      <c r="ET163" s="47"/>
      <c r="EU163" s="47"/>
      <c r="EV163" s="47"/>
      <c r="EW163" s="47"/>
      <c r="EX163" s="47"/>
      <c r="EY163" s="47"/>
      <c r="EZ163" s="47"/>
      <c r="FA163" s="47"/>
      <c r="FB163" s="47"/>
      <c r="FC163" s="47"/>
      <c r="FD163" s="47"/>
      <c r="FE163" s="47"/>
      <c r="FF163" s="47"/>
      <c r="FG163" s="47"/>
      <c r="FH163" s="47"/>
      <c r="FI163" s="47"/>
      <c r="FJ163" s="47"/>
      <c r="FK163" s="47"/>
      <c r="FL163" s="47"/>
      <c r="FM163" s="47"/>
      <c r="FN163" s="47"/>
      <c r="FO163" s="47"/>
      <c r="FP163" s="47"/>
      <c r="FQ163" s="47"/>
      <c r="FR163" s="47"/>
      <c r="FS163" s="47"/>
      <c r="FT163" s="47"/>
      <c r="FU163" s="47"/>
      <c r="FV163" s="47"/>
      <c r="FW163" s="47"/>
      <c r="FX163" s="47"/>
      <c r="FY163" s="47"/>
      <c r="FZ163" s="47"/>
      <c r="GA163" s="47"/>
      <c r="GB163" s="47"/>
      <c r="GC163" s="47"/>
      <c r="GD163" s="47"/>
      <c r="GE163" s="47"/>
    </row>
    <row r="164" spans="1:187" ht="10.5" customHeight="1" outlineLevel="1">
      <c r="A164" s="48"/>
      <c r="B164" s="108"/>
      <c r="C164" s="108"/>
      <c r="D164" s="223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43"/>
      <c r="U164" s="108"/>
      <c r="V164" s="108"/>
      <c r="W164" s="108"/>
      <c r="X164" s="108"/>
      <c r="Y164" s="108"/>
      <c r="Z164" s="108"/>
      <c r="AA164" s="43"/>
      <c r="AB164" s="108"/>
      <c r="AC164" s="108"/>
      <c r="AD164" s="108"/>
      <c r="AE164" s="108"/>
      <c r="AF164" s="108"/>
      <c r="AG164" s="108"/>
      <c r="AH164" s="43"/>
      <c r="AI164" s="108"/>
      <c r="AJ164" s="108"/>
      <c r="AK164" s="108"/>
      <c r="AL164" s="108"/>
      <c r="AM164" s="108"/>
      <c r="AN164" s="108"/>
      <c r="AO164" s="43"/>
      <c r="AP164" s="108"/>
      <c r="AQ164" s="108"/>
      <c r="AR164" s="108"/>
      <c r="AS164" s="108"/>
      <c r="AT164" s="108"/>
      <c r="AU164" s="108"/>
      <c r="AV164" s="43"/>
      <c r="AW164" s="108"/>
      <c r="AX164" s="108"/>
      <c r="AY164" s="108"/>
      <c r="AZ164" s="108"/>
      <c r="BA164" s="108"/>
      <c r="BB164" s="108"/>
      <c r="BC164" s="43"/>
      <c r="BD164" s="108"/>
      <c r="BE164" s="108"/>
      <c r="BF164" s="108"/>
      <c r="BG164" s="108"/>
      <c r="BH164" s="108"/>
      <c r="BI164" s="108"/>
      <c r="BJ164" s="43"/>
      <c r="BK164" s="108"/>
      <c r="BL164" s="108"/>
      <c r="BM164" s="108"/>
      <c r="BN164" s="108"/>
      <c r="BO164" s="108"/>
      <c r="BP164" s="108"/>
      <c r="BQ164" s="43"/>
      <c r="BR164" s="108"/>
      <c r="BS164" s="108"/>
      <c r="BT164" s="108"/>
      <c r="BU164" s="108"/>
      <c r="BV164" s="108"/>
      <c r="BW164" s="108"/>
      <c r="BX164" s="43"/>
      <c r="BY164" s="108"/>
      <c r="BZ164" s="108"/>
      <c r="CA164" s="108"/>
      <c r="CB164" s="108"/>
      <c r="CC164" s="108"/>
      <c r="CD164" s="108"/>
      <c r="CE164" s="43"/>
      <c r="CF164" s="108"/>
      <c r="CG164" s="108"/>
      <c r="CH164" s="108"/>
      <c r="CI164" s="108"/>
      <c r="CJ164" s="108"/>
      <c r="CK164" s="108"/>
      <c r="CL164" s="43"/>
      <c r="CM164" s="108"/>
      <c r="CN164" s="108"/>
      <c r="CO164" s="108"/>
      <c r="CP164" s="108"/>
      <c r="CQ164" s="108"/>
      <c r="CR164" s="108"/>
      <c r="CS164" s="43"/>
      <c r="CT164" s="108"/>
      <c r="CU164" s="108"/>
      <c r="CV164" s="108"/>
      <c r="CW164" s="108"/>
      <c r="CX164" s="108"/>
      <c r="CY164" s="108"/>
      <c r="CZ164" s="43"/>
      <c r="DA164" s="108"/>
      <c r="DB164" s="108"/>
      <c r="DC164" s="108"/>
      <c r="DD164" s="108"/>
      <c r="DE164" s="108"/>
      <c r="DF164" s="108"/>
      <c r="DG164" s="43"/>
      <c r="DH164" s="108"/>
      <c r="DI164" s="108"/>
      <c r="DJ164" s="108"/>
      <c r="DK164" s="108"/>
      <c r="DL164" s="108"/>
      <c r="DM164" s="108"/>
      <c r="DN164" s="43"/>
      <c r="DO164" s="108"/>
      <c r="DP164" s="108"/>
      <c r="DQ164" s="108"/>
      <c r="DR164" s="108"/>
      <c r="DS164" s="108"/>
      <c r="DT164" s="108"/>
      <c r="DU164" s="43"/>
      <c r="DV164" s="108"/>
      <c r="DW164" s="108"/>
      <c r="DX164" s="108"/>
      <c r="DY164" s="108"/>
      <c r="DZ164" s="108"/>
      <c r="EA164" s="108"/>
      <c r="EB164" s="43"/>
      <c r="EC164" s="108"/>
      <c r="ED164" s="108"/>
      <c r="EE164" s="108"/>
      <c r="EF164" s="108"/>
      <c r="EG164" s="108"/>
      <c r="EH164" s="108"/>
      <c r="EI164" s="43"/>
      <c r="EJ164" s="47"/>
      <c r="EK164" s="47"/>
      <c r="EL164" s="47"/>
      <c r="EM164" s="47"/>
      <c r="EN164" s="47"/>
      <c r="EO164" s="47"/>
      <c r="EP164" s="47"/>
      <c r="EQ164" s="47"/>
      <c r="ER164" s="47"/>
      <c r="ES164" s="47"/>
      <c r="ET164" s="47"/>
      <c r="EU164" s="47"/>
      <c r="EV164" s="47"/>
      <c r="EW164" s="47"/>
      <c r="EX164" s="47"/>
      <c r="EY164" s="47"/>
      <c r="EZ164" s="47"/>
      <c r="FA164" s="47"/>
      <c r="FB164" s="47"/>
      <c r="FC164" s="47"/>
      <c r="FD164" s="47"/>
      <c r="FE164" s="47"/>
      <c r="FF164" s="47"/>
      <c r="FG164" s="47"/>
      <c r="FH164" s="47"/>
      <c r="FI164" s="47"/>
      <c r="FJ164" s="47"/>
      <c r="FK164" s="47"/>
      <c r="FL164" s="47"/>
      <c r="FM164" s="47"/>
      <c r="FN164" s="47"/>
      <c r="FO164" s="47"/>
      <c r="FP164" s="47"/>
      <c r="FQ164" s="47"/>
      <c r="FR164" s="47"/>
      <c r="FS164" s="47"/>
      <c r="FT164" s="47"/>
      <c r="FU164" s="47"/>
      <c r="FV164" s="47"/>
      <c r="FW164" s="47"/>
      <c r="FX164" s="47"/>
      <c r="FY164" s="47"/>
      <c r="FZ164" s="47"/>
      <c r="GA164" s="47"/>
      <c r="GB164" s="47"/>
      <c r="GC164" s="47"/>
      <c r="GD164" s="47"/>
      <c r="GE164" s="47"/>
    </row>
    <row r="165" spans="1:187" ht="10.5" customHeight="1" outlineLevel="1">
      <c r="A165" s="43"/>
      <c r="B165" s="108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60"/>
      <c r="U165" s="130"/>
      <c r="V165" s="130"/>
      <c r="W165" s="130"/>
      <c r="X165" s="130"/>
      <c r="Y165" s="130"/>
      <c r="Z165" s="130"/>
      <c r="AA165" s="60"/>
      <c r="AB165" s="130"/>
      <c r="AC165" s="130"/>
      <c r="AD165" s="130"/>
      <c r="AE165" s="130"/>
      <c r="AF165" s="130"/>
      <c r="AG165" s="130"/>
      <c r="AH165" s="60"/>
      <c r="AI165" s="130"/>
      <c r="AJ165" s="130"/>
      <c r="AK165" s="130"/>
      <c r="AL165" s="130"/>
      <c r="AM165" s="130"/>
      <c r="AN165" s="130"/>
      <c r="AO165" s="60"/>
      <c r="AP165" s="130"/>
      <c r="AQ165" s="130"/>
      <c r="AR165" s="130"/>
      <c r="AS165" s="130"/>
      <c r="AT165" s="130"/>
      <c r="AU165" s="130"/>
      <c r="AV165" s="60"/>
      <c r="AW165" s="130"/>
      <c r="AX165" s="130"/>
      <c r="AY165" s="130"/>
      <c r="AZ165" s="130"/>
      <c r="BA165" s="130"/>
      <c r="BB165" s="130"/>
      <c r="BC165" s="60"/>
      <c r="BD165" s="130"/>
      <c r="BE165" s="130"/>
      <c r="BF165" s="130"/>
      <c r="BG165" s="130"/>
      <c r="BH165" s="130"/>
      <c r="BI165" s="130"/>
      <c r="BJ165" s="60"/>
      <c r="BK165" s="130"/>
      <c r="BL165" s="130"/>
      <c r="BM165" s="130"/>
      <c r="BN165" s="130"/>
      <c r="BO165" s="130"/>
      <c r="BP165" s="130"/>
      <c r="BQ165" s="60"/>
      <c r="BR165" s="130"/>
      <c r="BS165" s="130"/>
      <c r="BT165" s="130"/>
      <c r="BU165" s="130"/>
      <c r="BV165" s="130"/>
      <c r="BW165" s="130"/>
      <c r="BX165" s="60"/>
      <c r="BY165" s="130"/>
      <c r="BZ165" s="130"/>
      <c r="CA165" s="130"/>
      <c r="CB165" s="130"/>
      <c r="CC165" s="130"/>
      <c r="CD165" s="130"/>
      <c r="CE165" s="60"/>
      <c r="CF165" s="130"/>
      <c r="CG165" s="130"/>
      <c r="CH165" s="130"/>
      <c r="CI165" s="130"/>
      <c r="CJ165" s="130"/>
      <c r="CK165" s="130"/>
      <c r="CL165" s="60"/>
      <c r="CM165" s="130"/>
      <c r="CN165" s="130"/>
      <c r="CO165" s="130"/>
      <c r="CP165" s="130"/>
      <c r="CQ165" s="130"/>
      <c r="CR165" s="130"/>
      <c r="CS165" s="60"/>
      <c r="CT165" s="130"/>
      <c r="CU165" s="130"/>
      <c r="CV165" s="130"/>
      <c r="CW165" s="130"/>
      <c r="CX165" s="130"/>
      <c r="CY165" s="130"/>
      <c r="CZ165" s="60"/>
      <c r="DA165" s="130"/>
      <c r="DB165" s="130"/>
      <c r="DC165" s="130"/>
      <c r="DD165" s="130"/>
      <c r="DE165" s="130"/>
      <c r="DF165" s="130"/>
      <c r="DG165" s="60"/>
      <c r="DH165" s="130"/>
      <c r="DI165" s="130"/>
      <c r="DJ165" s="130"/>
      <c r="DK165" s="130"/>
      <c r="DL165" s="130"/>
      <c r="DM165" s="130"/>
      <c r="DN165" s="60"/>
      <c r="DO165" s="130"/>
      <c r="DP165" s="130"/>
      <c r="DQ165" s="130"/>
      <c r="DR165" s="130"/>
      <c r="DS165" s="130"/>
      <c r="DT165" s="130"/>
      <c r="DU165" s="60"/>
      <c r="DV165" s="130"/>
      <c r="DW165" s="130"/>
      <c r="DX165" s="130"/>
      <c r="DY165" s="130"/>
      <c r="DZ165" s="130"/>
      <c r="EA165" s="130"/>
      <c r="EB165" s="60"/>
      <c r="EC165" s="130"/>
      <c r="ED165" s="130"/>
      <c r="EE165" s="130"/>
      <c r="EF165" s="130"/>
      <c r="EG165" s="130"/>
      <c r="EH165" s="130"/>
      <c r="EI165" s="60"/>
      <c r="EJ165" s="47"/>
      <c r="EK165" s="47"/>
      <c r="EL165" s="47"/>
      <c r="EM165" s="47"/>
      <c r="EN165" s="47"/>
      <c r="EO165" s="47"/>
      <c r="EP165" s="47"/>
      <c r="EQ165" s="47"/>
      <c r="ER165" s="47"/>
      <c r="ES165" s="47"/>
      <c r="ET165" s="47"/>
      <c r="EU165" s="47"/>
      <c r="EV165" s="47"/>
      <c r="EW165" s="47"/>
      <c r="EX165" s="47"/>
      <c r="EY165" s="47"/>
      <c r="EZ165" s="47"/>
      <c r="FA165" s="47"/>
      <c r="FB165" s="47"/>
      <c r="FC165" s="47"/>
      <c r="FD165" s="47"/>
      <c r="FE165" s="47"/>
      <c r="FF165" s="47"/>
      <c r="FG165" s="47"/>
      <c r="FH165" s="47"/>
      <c r="FI165" s="47"/>
      <c r="FJ165" s="47"/>
      <c r="FK165" s="47"/>
      <c r="FL165" s="47"/>
      <c r="FM165" s="47"/>
      <c r="FN165" s="47"/>
      <c r="FO165" s="47"/>
      <c r="FP165" s="47"/>
      <c r="FQ165" s="47"/>
      <c r="FR165" s="47"/>
      <c r="FS165" s="47"/>
      <c r="FT165" s="47"/>
      <c r="FU165" s="47"/>
      <c r="FV165" s="47"/>
      <c r="FW165" s="47"/>
      <c r="FX165" s="47"/>
      <c r="FY165" s="47"/>
      <c r="FZ165" s="47"/>
      <c r="GA165" s="47"/>
      <c r="GB165" s="47"/>
      <c r="GC165" s="47"/>
      <c r="GD165" s="47"/>
      <c r="GE165" s="47"/>
    </row>
    <row r="166" spans="1:187" ht="10.5" customHeight="1" outlineLevel="1">
      <c r="A166" s="43"/>
      <c r="B166" s="223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73"/>
      <c r="U166" s="251"/>
      <c r="V166" s="251"/>
      <c r="W166" s="251"/>
      <c r="X166" s="251"/>
      <c r="Y166" s="251"/>
      <c r="Z166" s="251"/>
      <c r="AA166" s="73"/>
      <c r="AB166" s="251"/>
      <c r="AC166" s="251"/>
      <c r="AD166" s="251"/>
      <c r="AE166" s="251"/>
      <c r="AF166" s="251"/>
      <c r="AG166" s="251"/>
      <c r="AH166" s="73"/>
      <c r="AI166" s="251"/>
      <c r="AJ166" s="251"/>
      <c r="AK166" s="251"/>
      <c r="AL166" s="251"/>
      <c r="AM166" s="251"/>
      <c r="AN166" s="251"/>
      <c r="AO166" s="73"/>
      <c r="AP166" s="251"/>
      <c r="AQ166" s="251"/>
      <c r="AR166" s="251"/>
      <c r="AS166" s="251"/>
      <c r="AT166" s="251"/>
      <c r="AU166" s="251"/>
      <c r="AV166" s="73"/>
      <c r="AW166" s="251"/>
      <c r="AX166" s="251"/>
      <c r="AY166" s="251"/>
      <c r="AZ166" s="251"/>
      <c r="BA166" s="251"/>
      <c r="BB166" s="251"/>
      <c r="BC166" s="73"/>
      <c r="BD166" s="251"/>
      <c r="BE166" s="251"/>
      <c r="BF166" s="251"/>
      <c r="BG166" s="251"/>
      <c r="BH166" s="251"/>
      <c r="BI166" s="251"/>
      <c r="BJ166" s="73"/>
      <c r="BK166" s="251"/>
      <c r="BL166" s="251"/>
      <c r="BM166" s="251"/>
      <c r="BN166" s="251"/>
      <c r="BO166" s="251"/>
      <c r="BP166" s="251"/>
      <c r="BQ166" s="73"/>
      <c r="BR166" s="251"/>
      <c r="BS166" s="251"/>
      <c r="BT166" s="251"/>
      <c r="BU166" s="251"/>
      <c r="BV166" s="251"/>
      <c r="BW166" s="251"/>
      <c r="BX166" s="73"/>
      <c r="BY166" s="251"/>
      <c r="BZ166" s="251"/>
      <c r="CA166" s="251"/>
      <c r="CB166" s="251"/>
      <c r="CC166" s="251"/>
      <c r="CD166" s="251"/>
      <c r="CE166" s="73"/>
      <c r="CF166" s="251"/>
      <c r="CG166" s="251"/>
      <c r="CH166" s="251"/>
      <c r="CI166" s="251"/>
      <c r="CJ166" s="251"/>
      <c r="CK166" s="251"/>
      <c r="CL166" s="73"/>
      <c r="CM166" s="251"/>
      <c r="CN166" s="251"/>
      <c r="CO166" s="251"/>
      <c r="CP166" s="251"/>
      <c r="CQ166" s="251"/>
      <c r="CR166" s="251"/>
      <c r="CS166" s="73"/>
      <c r="CT166" s="251"/>
      <c r="CU166" s="251"/>
      <c r="CV166" s="251"/>
      <c r="CW166" s="251"/>
      <c r="CX166" s="251"/>
      <c r="CY166" s="251"/>
      <c r="CZ166" s="73"/>
      <c r="DA166" s="251"/>
      <c r="DB166" s="251"/>
      <c r="DC166" s="251"/>
      <c r="DD166" s="251"/>
      <c r="DE166" s="251"/>
      <c r="DF166" s="251"/>
      <c r="DG166" s="73"/>
      <c r="DH166" s="251"/>
      <c r="DI166" s="251"/>
      <c r="DJ166" s="251"/>
      <c r="DK166" s="251"/>
      <c r="DL166" s="251"/>
      <c r="DM166" s="251"/>
      <c r="DN166" s="73"/>
      <c r="DO166" s="251"/>
      <c r="DP166" s="251"/>
      <c r="DQ166" s="251"/>
      <c r="DR166" s="251"/>
      <c r="DS166" s="251"/>
      <c r="DT166" s="251"/>
      <c r="DU166" s="73"/>
      <c r="DV166" s="251"/>
      <c r="DW166" s="251"/>
      <c r="DX166" s="251"/>
      <c r="DY166" s="251"/>
      <c r="DZ166" s="251"/>
      <c r="EA166" s="251"/>
      <c r="EB166" s="73"/>
      <c r="EC166" s="251"/>
      <c r="ED166" s="251"/>
      <c r="EE166" s="251"/>
      <c r="EF166" s="251"/>
      <c r="EG166" s="251"/>
      <c r="EH166" s="251"/>
      <c r="EI166" s="73"/>
      <c r="EJ166" s="47"/>
      <c r="EK166" s="47"/>
      <c r="EL166" s="47"/>
      <c r="EM166" s="47"/>
      <c r="EN166" s="47"/>
      <c r="EO166" s="47"/>
      <c r="EP166" s="47"/>
      <c r="EQ166" s="47"/>
      <c r="ER166" s="47"/>
      <c r="ES166" s="47"/>
      <c r="ET166" s="47"/>
      <c r="EU166" s="47"/>
      <c r="EV166" s="47"/>
      <c r="EW166" s="47"/>
      <c r="EX166" s="47"/>
      <c r="EY166" s="47"/>
      <c r="EZ166" s="47"/>
      <c r="FA166" s="47"/>
      <c r="FB166" s="47"/>
      <c r="FC166" s="47"/>
      <c r="FD166" s="47"/>
      <c r="FE166" s="47"/>
      <c r="FF166" s="47"/>
      <c r="FG166" s="47"/>
      <c r="FH166" s="47"/>
      <c r="FI166" s="47"/>
      <c r="FJ166" s="47"/>
      <c r="FK166" s="47"/>
      <c r="FL166" s="47"/>
      <c r="FM166" s="47"/>
      <c r="FN166" s="47"/>
      <c r="FO166" s="47"/>
      <c r="FP166" s="47"/>
      <c r="FQ166" s="47"/>
      <c r="FR166" s="47"/>
      <c r="FS166" s="47"/>
      <c r="FT166" s="47"/>
      <c r="FU166" s="47"/>
      <c r="FV166" s="47"/>
      <c r="FW166" s="47"/>
      <c r="FX166" s="47"/>
      <c r="FY166" s="47"/>
      <c r="FZ166" s="47"/>
      <c r="GA166" s="47"/>
      <c r="GB166" s="47"/>
      <c r="GC166" s="47"/>
      <c r="GD166" s="47"/>
      <c r="GE166" s="47"/>
    </row>
    <row r="167" spans="1:187" ht="10.5" customHeight="1">
      <c r="A167" s="4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90"/>
      <c r="U167" s="223"/>
      <c r="V167" s="223"/>
      <c r="W167" s="223"/>
      <c r="X167" s="223"/>
      <c r="Y167" s="223"/>
      <c r="Z167" s="223"/>
      <c r="AA167" s="90"/>
      <c r="AB167" s="223"/>
      <c r="AC167" s="223"/>
      <c r="AD167" s="223"/>
      <c r="AE167" s="223"/>
      <c r="AF167" s="223"/>
      <c r="AG167" s="223"/>
      <c r="AH167" s="90"/>
      <c r="AI167" s="223"/>
      <c r="AJ167" s="223"/>
      <c r="AK167" s="223"/>
      <c r="AL167" s="223"/>
      <c r="AM167" s="223"/>
      <c r="AN167" s="223"/>
      <c r="AO167" s="90"/>
      <c r="AP167" s="223"/>
      <c r="AQ167" s="223"/>
      <c r="AR167" s="223"/>
      <c r="AS167" s="223"/>
      <c r="AT167" s="223"/>
      <c r="AU167" s="223"/>
      <c r="AV167" s="90"/>
      <c r="AW167" s="223"/>
      <c r="AX167" s="223"/>
      <c r="AY167" s="223"/>
      <c r="AZ167" s="223"/>
      <c r="BA167" s="223"/>
      <c r="BB167" s="223"/>
      <c r="BC167" s="90"/>
      <c r="BD167" s="223"/>
      <c r="BE167" s="223"/>
      <c r="BF167" s="223"/>
      <c r="BG167" s="223"/>
      <c r="BH167" s="223"/>
      <c r="BI167" s="223"/>
      <c r="BJ167" s="90"/>
      <c r="BK167" s="223"/>
      <c r="BL167" s="223"/>
      <c r="BM167" s="223"/>
      <c r="BN167" s="223"/>
      <c r="BO167" s="223"/>
      <c r="BP167" s="223"/>
      <c r="BQ167" s="90"/>
      <c r="BR167" s="223"/>
      <c r="BS167" s="223"/>
      <c r="BT167" s="223"/>
      <c r="BU167" s="223"/>
      <c r="BV167" s="223"/>
      <c r="BW167" s="223"/>
      <c r="BX167" s="90"/>
      <c r="BY167" s="223"/>
      <c r="BZ167" s="223"/>
      <c r="CA167" s="223"/>
      <c r="CB167" s="223"/>
      <c r="CC167" s="223"/>
      <c r="CD167" s="223"/>
      <c r="CE167" s="90"/>
      <c r="CF167" s="223"/>
      <c r="CG167" s="223"/>
      <c r="CH167" s="223"/>
      <c r="CI167" s="223"/>
      <c r="CJ167" s="223"/>
      <c r="CK167" s="223"/>
      <c r="CL167" s="90"/>
      <c r="CM167" s="223"/>
      <c r="CN167" s="223"/>
      <c r="CO167" s="223"/>
      <c r="CP167" s="223"/>
      <c r="CQ167" s="223"/>
      <c r="CR167" s="223"/>
      <c r="CS167" s="90"/>
      <c r="CT167" s="223"/>
      <c r="CU167" s="223"/>
      <c r="CV167" s="223"/>
      <c r="CW167" s="223"/>
      <c r="CX167" s="223"/>
      <c r="CY167" s="223"/>
      <c r="CZ167" s="90"/>
      <c r="DA167" s="223"/>
      <c r="DB167" s="223"/>
      <c r="DC167" s="223"/>
      <c r="DD167" s="223"/>
      <c r="DE167" s="223"/>
      <c r="DF167" s="223"/>
      <c r="DG167" s="90"/>
      <c r="DH167" s="223"/>
      <c r="DI167" s="223"/>
      <c r="DJ167" s="223"/>
      <c r="DK167" s="223"/>
      <c r="DL167" s="223"/>
      <c r="DM167" s="223"/>
      <c r="DN167" s="90"/>
      <c r="DO167" s="223"/>
      <c r="DP167" s="223"/>
      <c r="DQ167" s="223"/>
      <c r="DR167" s="223"/>
      <c r="DS167" s="223"/>
      <c r="DT167" s="223"/>
      <c r="DU167" s="90"/>
      <c r="DV167" s="223"/>
      <c r="DW167" s="223"/>
      <c r="DX167" s="223"/>
      <c r="DY167" s="223"/>
      <c r="DZ167" s="223"/>
      <c r="EA167" s="223"/>
      <c r="EB167" s="90"/>
      <c r="EC167" s="223"/>
      <c r="ED167" s="223"/>
      <c r="EE167" s="223"/>
      <c r="EF167" s="223"/>
      <c r="EG167" s="223"/>
      <c r="EH167" s="223"/>
      <c r="EI167" s="90"/>
      <c r="EJ167" s="47"/>
      <c r="EK167" s="47"/>
      <c r="EL167" s="47"/>
      <c r="EM167" s="47"/>
      <c r="EN167" s="47"/>
      <c r="EO167" s="47"/>
      <c r="EP167" s="47"/>
      <c r="EQ167" s="47"/>
      <c r="ER167" s="47"/>
      <c r="ES167" s="47"/>
      <c r="ET167" s="47"/>
      <c r="EU167" s="47"/>
      <c r="EV167" s="47"/>
      <c r="EW167" s="47"/>
      <c r="EX167" s="47"/>
      <c r="EY167" s="47"/>
      <c r="EZ167" s="47"/>
      <c r="FA167" s="47"/>
      <c r="FB167" s="47"/>
      <c r="FC167" s="47"/>
      <c r="FD167" s="47"/>
      <c r="FE167" s="47"/>
      <c r="FF167" s="47"/>
      <c r="FG167" s="47"/>
      <c r="FH167" s="47"/>
      <c r="FI167" s="47"/>
      <c r="FJ167" s="47"/>
      <c r="FK167" s="47"/>
      <c r="FL167" s="47"/>
      <c r="FM167" s="47"/>
      <c r="FN167" s="47"/>
      <c r="FO167" s="47"/>
      <c r="FP167" s="47"/>
      <c r="FQ167" s="47"/>
      <c r="FR167" s="47"/>
      <c r="FS167" s="47"/>
      <c r="FT167" s="47"/>
      <c r="FU167" s="47"/>
      <c r="FV167" s="47"/>
      <c r="FW167" s="47"/>
      <c r="FX167" s="47"/>
      <c r="FY167" s="47"/>
      <c r="FZ167" s="47"/>
      <c r="GA167" s="47"/>
      <c r="GB167" s="47"/>
      <c r="GC167" s="47"/>
      <c r="GD167" s="47"/>
      <c r="GE167" s="47"/>
    </row>
    <row r="168" spans="1:187" ht="10.5" customHeight="1">
      <c r="A168" s="43"/>
      <c r="B168" s="108"/>
      <c r="C168" s="176"/>
      <c r="D168" s="176"/>
      <c r="E168" s="176"/>
      <c r="F168" s="176"/>
      <c r="G168" s="176"/>
      <c r="H168" s="203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80"/>
      <c r="U168" s="176"/>
      <c r="V168" s="176"/>
      <c r="W168" s="176"/>
      <c r="X168" s="176"/>
      <c r="Y168" s="176"/>
      <c r="Z168" s="176"/>
      <c r="AA168" s="80"/>
      <c r="AB168" s="176"/>
      <c r="AC168" s="176"/>
      <c r="AD168" s="176"/>
      <c r="AE168" s="176"/>
      <c r="AF168" s="176"/>
      <c r="AG168" s="176"/>
      <c r="AH168" s="80"/>
      <c r="AI168" s="176"/>
      <c r="AJ168" s="176"/>
      <c r="AK168" s="176"/>
      <c r="AL168" s="176"/>
      <c r="AM168" s="176"/>
      <c r="AN168" s="176"/>
      <c r="AO168" s="80"/>
      <c r="AP168" s="176"/>
      <c r="AQ168" s="176"/>
      <c r="AR168" s="176"/>
      <c r="AS168" s="176"/>
      <c r="AT168" s="176"/>
      <c r="AU168" s="176"/>
      <c r="AV168" s="80"/>
      <c r="AW168" s="176"/>
      <c r="AX168" s="176"/>
      <c r="AY168" s="176"/>
      <c r="AZ168" s="176"/>
      <c r="BA168" s="176"/>
      <c r="BB168" s="176"/>
      <c r="BC168" s="80"/>
      <c r="BD168" s="176"/>
      <c r="BE168" s="176"/>
      <c r="BF168" s="176"/>
      <c r="BG168" s="176"/>
      <c r="BH168" s="176"/>
      <c r="BI168" s="176"/>
      <c r="BJ168" s="80"/>
      <c r="BK168" s="176"/>
      <c r="BL168" s="176"/>
      <c r="BM168" s="176"/>
      <c r="BN168" s="176"/>
      <c r="BO168" s="176"/>
      <c r="BP168" s="176"/>
      <c r="BQ168" s="80"/>
      <c r="BR168" s="176"/>
      <c r="BS168" s="176"/>
      <c r="BT168" s="176"/>
      <c r="BU168" s="176"/>
      <c r="BV168" s="176"/>
      <c r="BW168" s="176"/>
      <c r="BX168" s="80"/>
      <c r="BY168" s="176"/>
      <c r="BZ168" s="176"/>
      <c r="CA168" s="176"/>
      <c r="CB168" s="176"/>
      <c r="CC168" s="176"/>
      <c r="CD168" s="176"/>
      <c r="CE168" s="80"/>
      <c r="CF168" s="176"/>
      <c r="CG168" s="176"/>
      <c r="CH168" s="176"/>
      <c r="CI168" s="176"/>
      <c r="CJ168" s="176"/>
      <c r="CK168" s="176"/>
      <c r="CL168" s="80"/>
      <c r="CM168" s="176"/>
      <c r="CN168" s="176"/>
      <c r="CO168" s="176"/>
      <c r="CP168" s="176"/>
      <c r="CQ168" s="176"/>
      <c r="CR168" s="176"/>
      <c r="CS168" s="80"/>
      <c r="CT168" s="176"/>
      <c r="CU168" s="176"/>
      <c r="CV168" s="176"/>
      <c r="CW168" s="176"/>
      <c r="CX168" s="176"/>
      <c r="CY168" s="176"/>
      <c r="CZ168" s="80"/>
      <c r="DA168" s="176"/>
      <c r="DB168" s="176"/>
      <c r="DC168" s="176"/>
      <c r="DD168" s="176"/>
      <c r="DE168" s="176"/>
      <c r="DF168" s="176"/>
      <c r="DG168" s="80"/>
      <c r="DH168" s="176"/>
      <c r="DI168" s="176"/>
      <c r="DJ168" s="176"/>
      <c r="DK168" s="176"/>
      <c r="DL168" s="176"/>
      <c r="DM168" s="176"/>
      <c r="DN168" s="80"/>
      <c r="DO168" s="176"/>
      <c r="DP168" s="176"/>
      <c r="DQ168" s="176"/>
      <c r="DR168" s="176"/>
      <c r="DS168" s="176"/>
      <c r="DT168" s="176"/>
      <c r="DU168" s="80"/>
      <c r="DV168" s="176"/>
      <c r="DW168" s="176"/>
      <c r="DX168" s="176"/>
      <c r="DY168" s="176"/>
      <c r="DZ168" s="176"/>
      <c r="EA168" s="176"/>
      <c r="EB168" s="80"/>
      <c r="EC168" s="176"/>
      <c r="ED168" s="176"/>
      <c r="EE168" s="176"/>
      <c r="EF168" s="176"/>
      <c r="EG168" s="176"/>
      <c r="EH168" s="176"/>
      <c r="EI168" s="80"/>
      <c r="EJ168" s="47"/>
      <c r="EK168" s="47"/>
      <c r="EL168" s="47"/>
      <c r="EM168" s="47"/>
      <c r="EN168" s="47"/>
      <c r="EO168" s="47"/>
      <c r="EP168" s="47"/>
      <c r="EQ168" s="47"/>
      <c r="ER168" s="47"/>
      <c r="ES168" s="47"/>
      <c r="ET168" s="47"/>
      <c r="EU168" s="47"/>
      <c r="EV168" s="47"/>
      <c r="EW168" s="47"/>
      <c r="EX168" s="47"/>
      <c r="EY168" s="47"/>
      <c r="EZ168" s="47"/>
      <c r="FA168" s="47"/>
      <c r="FB168" s="47"/>
      <c r="FC168" s="47"/>
      <c r="FD168" s="47"/>
      <c r="FE168" s="47"/>
      <c r="FF168" s="47"/>
      <c r="FG168" s="47"/>
      <c r="FH168" s="47"/>
      <c r="FI168" s="47"/>
      <c r="FJ168" s="47"/>
      <c r="FK168" s="47"/>
      <c r="FL168" s="47"/>
      <c r="FM168" s="47"/>
      <c r="FN168" s="47"/>
      <c r="FO168" s="47"/>
      <c r="FP168" s="47"/>
      <c r="FQ168" s="47"/>
      <c r="FR168" s="47"/>
      <c r="FS168" s="47"/>
      <c r="FT168" s="47"/>
      <c r="FU168" s="47"/>
      <c r="FV168" s="47"/>
      <c r="FW168" s="47"/>
      <c r="FX168" s="47"/>
      <c r="FY168" s="47"/>
      <c r="FZ168" s="47"/>
      <c r="GA168" s="47"/>
      <c r="GB168" s="47"/>
      <c r="GC168" s="47"/>
      <c r="GD168" s="47"/>
      <c r="GE168" s="47"/>
    </row>
    <row r="169" spans="1:187" ht="10.5" customHeight="1">
      <c r="A169" s="48" t="s">
        <v>937</v>
      </c>
      <c r="B169" s="108"/>
      <c r="C169" s="176"/>
      <c r="D169" s="176"/>
      <c r="E169" s="176"/>
      <c r="F169" s="176"/>
      <c r="G169" s="176"/>
      <c r="H169" s="203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80"/>
      <c r="U169" s="176"/>
      <c r="V169" s="176"/>
      <c r="W169" s="176"/>
      <c r="X169" s="176"/>
      <c r="Y169" s="176"/>
      <c r="Z169" s="176"/>
      <c r="AA169" s="80"/>
      <c r="AB169" s="176"/>
      <c r="AC169" s="176"/>
      <c r="AD169" s="176"/>
      <c r="AE169" s="176"/>
      <c r="AF169" s="176"/>
      <c r="AG169" s="176"/>
      <c r="AH169" s="80"/>
      <c r="AI169" s="176"/>
      <c r="AJ169" s="176"/>
      <c r="AK169" s="176"/>
      <c r="AL169" s="176"/>
      <c r="AM169" s="176"/>
      <c r="AN169" s="176"/>
      <c r="AO169" s="80"/>
      <c r="AP169" s="176"/>
      <c r="AQ169" s="176"/>
      <c r="AR169" s="176"/>
      <c r="AS169" s="176"/>
      <c r="AT169" s="176"/>
      <c r="AU169" s="176"/>
      <c r="AV169" s="80"/>
      <c r="AW169" s="176"/>
      <c r="AX169" s="176"/>
      <c r="AY169" s="176"/>
      <c r="AZ169" s="176"/>
      <c r="BA169" s="176"/>
      <c r="BB169" s="176"/>
      <c r="BC169" s="80"/>
      <c r="BD169" s="176"/>
      <c r="BE169" s="176"/>
      <c r="BF169" s="176"/>
      <c r="BG169" s="176"/>
      <c r="BH169" s="176"/>
      <c r="BI169" s="176"/>
      <c r="BJ169" s="80"/>
      <c r="BK169" s="176"/>
      <c r="BL169" s="176"/>
      <c r="BM169" s="176"/>
      <c r="BN169" s="176"/>
      <c r="BO169" s="176"/>
      <c r="BP169" s="176"/>
      <c r="BQ169" s="80"/>
      <c r="BR169" s="176"/>
      <c r="BS169" s="176"/>
      <c r="BT169" s="176"/>
      <c r="BU169" s="176"/>
      <c r="BV169" s="176"/>
      <c r="BW169" s="176"/>
      <c r="BX169" s="80"/>
      <c r="BY169" s="176"/>
      <c r="BZ169" s="176"/>
      <c r="CA169" s="176"/>
      <c r="CB169" s="176"/>
      <c r="CC169" s="176"/>
      <c r="CD169" s="176"/>
      <c r="CE169" s="80"/>
      <c r="CF169" s="176"/>
      <c r="CG169" s="176"/>
      <c r="CH169" s="176"/>
      <c r="CI169" s="176"/>
      <c r="CJ169" s="176"/>
      <c r="CK169" s="176"/>
      <c r="CL169" s="230" t="s">
        <v>947</v>
      </c>
      <c r="CM169" s="230" t="s">
        <v>940</v>
      </c>
      <c r="CN169" s="230" t="s">
        <v>941</v>
      </c>
      <c r="CO169" s="230" t="s">
        <v>942</v>
      </c>
      <c r="CP169" s="230" t="s">
        <v>943</v>
      </c>
      <c r="CQ169" s="230" t="s">
        <v>944</v>
      </c>
      <c r="CR169" s="230" t="s">
        <v>945</v>
      </c>
      <c r="CS169" s="163" t="s">
        <v>946</v>
      </c>
      <c r="CT169" s="230" t="s">
        <v>934</v>
      </c>
      <c r="CU169" s="230" t="s">
        <v>935</v>
      </c>
      <c r="CV169" s="230" t="s">
        <v>936</v>
      </c>
      <c r="CW169" s="230" t="s">
        <v>933</v>
      </c>
      <c r="CX169" s="230" t="s">
        <v>932</v>
      </c>
      <c r="CY169" s="230" t="s">
        <v>938</v>
      </c>
      <c r="CZ169" s="163" t="s">
        <v>939</v>
      </c>
      <c r="DA169" s="176"/>
      <c r="DB169" s="176"/>
      <c r="DC169" s="176"/>
      <c r="DD169" s="176"/>
      <c r="DE169" s="176"/>
      <c r="DF169" s="176"/>
      <c r="DG169" s="80"/>
      <c r="DH169" s="176"/>
      <c r="DI169" s="176"/>
      <c r="DJ169" s="176"/>
      <c r="DK169" s="176"/>
      <c r="DL169" s="176"/>
      <c r="DM169" s="176"/>
      <c r="DN169" s="80"/>
      <c r="DO169" s="176"/>
      <c r="DP169" s="176"/>
      <c r="DQ169" s="176"/>
      <c r="DR169" s="176"/>
      <c r="DS169" s="176"/>
      <c r="DT169" s="176"/>
      <c r="DU169" s="80"/>
      <c r="DV169" s="176"/>
      <c r="DW169" s="176"/>
      <c r="DX169" s="176"/>
      <c r="DY169" s="176"/>
      <c r="DZ169" s="176"/>
      <c r="EA169" s="176"/>
      <c r="EB169" s="80"/>
      <c r="EC169" s="176"/>
      <c r="ED169" s="176"/>
      <c r="EE169" s="176"/>
      <c r="EF169" s="176"/>
      <c r="EG169" s="176"/>
      <c r="EH169" s="176"/>
      <c r="EI169" s="80"/>
      <c r="EJ169" s="47"/>
      <c r="EK169" s="47"/>
      <c r="EL169" s="47"/>
      <c r="EM169" s="47"/>
      <c r="EN169" s="47"/>
      <c r="EO169" s="47"/>
      <c r="EP169" s="47"/>
      <c r="EQ169" s="47"/>
      <c r="ER169" s="47"/>
      <c r="ES169" s="47"/>
      <c r="ET169" s="47"/>
      <c r="EU169" s="47"/>
      <c r="EV169" s="47"/>
      <c r="EW169" s="47"/>
      <c r="EX169" s="47"/>
      <c r="EY169" s="47"/>
      <c r="EZ169" s="47"/>
      <c r="FA169" s="47"/>
      <c r="FB169" s="47"/>
      <c r="FC169" s="47"/>
      <c r="FD169" s="47"/>
      <c r="FE169" s="47"/>
      <c r="FF169" s="47"/>
      <c r="FG169" s="47"/>
      <c r="FH169" s="47"/>
      <c r="FI169" s="47"/>
      <c r="FJ169" s="47"/>
      <c r="FK169" s="47"/>
      <c r="FL169" s="47"/>
      <c r="FM169" s="47"/>
      <c r="FN169" s="47"/>
      <c r="FO169" s="47"/>
      <c r="FP169" s="47"/>
      <c r="FQ169" s="47"/>
      <c r="FR169" s="47"/>
      <c r="FS169" s="47"/>
      <c r="FT169" s="47"/>
      <c r="FU169" s="47"/>
      <c r="FV169" s="47"/>
      <c r="FW169" s="47"/>
      <c r="FX169" s="47"/>
      <c r="FY169" s="47"/>
      <c r="FZ169" s="47"/>
      <c r="GA169" s="47"/>
      <c r="GB169" s="47"/>
      <c r="GC169" s="47"/>
      <c r="GD169" s="47"/>
      <c r="GE169" s="47"/>
    </row>
    <row r="170" spans="1:187" ht="10.5" customHeight="1">
      <c r="A170" s="76"/>
      <c r="B170" s="108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80"/>
      <c r="U170" s="176"/>
      <c r="V170" s="176"/>
      <c r="W170" s="176"/>
      <c r="X170" s="176"/>
      <c r="Y170" s="176"/>
      <c r="Z170" s="176"/>
      <c r="AA170" s="80"/>
      <c r="AB170" s="176"/>
      <c r="AC170" s="176"/>
      <c r="AD170" s="176"/>
      <c r="AE170" s="176"/>
      <c r="AF170" s="176"/>
      <c r="AG170" s="176"/>
      <c r="AH170" s="80"/>
      <c r="AI170" s="176"/>
      <c r="AJ170" s="176"/>
      <c r="AK170" s="176"/>
      <c r="AL170" s="176"/>
      <c r="AM170" s="176"/>
      <c r="AN170" s="176"/>
      <c r="AO170" s="80"/>
      <c r="AP170" s="176"/>
      <c r="AQ170" s="176"/>
      <c r="AR170" s="176"/>
      <c r="AS170" s="176"/>
      <c r="AT170" s="176"/>
      <c r="AU170" s="176"/>
      <c r="AV170" s="80"/>
      <c r="AW170" s="176"/>
      <c r="AX170" s="176"/>
      <c r="AY170" s="176"/>
      <c r="AZ170" s="176"/>
      <c r="BA170" s="176"/>
      <c r="BB170" s="176"/>
      <c r="BC170" s="80"/>
      <c r="BD170" s="176"/>
      <c r="BE170" s="176"/>
      <c r="BF170" s="176"/>
      <c r="BG170" s="176"/>
      <c r="BH170" s="176"/>
      <c r="BI170" s="176"/>
      <c r="BJ170" s="80"/>
      <c r="BK170" s="176"/>
      <c r="BL170" s="176"/>
      <c r="BM170" s="176"/>
      <c r="BN170" s="176"/>
      <c r="BO170" s="176"/>
      <c r="BP170" s="176"/>
      <c r="BQ170" s="80"/>
      <c r="BR170" s="176"/>
      <c r="BS170" s="176"/>
      <c r="BT170" s="176"/>
      <c r="BU170" s="176"/>
      <c r="BV170" s="176"/>
      <c r="BW170" s="176"/>
      <c r="BX170" s="80"/>
      <c r="BY170" s="176"/>
      <c r="BZ170" s="176"/>
      <c r="CA170" s="176"/>
      <c r="CB170" s="176"/>
      <c r="CC170" s="176"/>
      <c r="CD170" s="176"/>
      <c r="CE170" s="80"/>
      <c r="CF170" s="176"/>
      <c r="CG170" s="176"/>
      <c r="CH170" s="176"/>
      <c r="CI170" s="176"/>
      <c r="CJ170" s="176"/>
      <c r="CK170" s="176"/>
      <c r="CL170" s="80"/>
      <c r="CM170" s="176"/>
      <c r="CN170" s="176"/>
      <c r="CO170" s="176"/>
      <c r="CP170" s="176"/>
      <c r="CQ170" s="176"/>
      <c r="CR170" s="176"/>
      <c r="CS170" s="80"/>
      <c r="CT170" s="176"/>
      <c r="CU170" s="176"/>
      <c r="CV170" s="176"/>
      <c r="CW170" s="176"/>
      <c r="CX170" s="176"/>
      <c r="CY170" s="176"/>
      <c r="CZ170" s="80"/>
      <c r="DA170" s="176"/>
      <c r="DB170" s="176"/>
      <c r="DC170" s="176"/>
      <c r="DD170" s="176"/>
      <c r="DE170" s="176"/>
      <c r="DF170" s="176"/>
      <c r="DG170" s="80"/>
      <c r="DH170" s="176"/>
      <c r="DI170" s="176"/>
      <c r="DJ170" s="176"/>
      <c r="DK170" s="176"/>
      <c r="DL170" s="176"/>
      <c r="DM170" s="176"/>
      <c r="DN170" s="80"/>
      <c r="DO170" s="176"/>
      <c r="DP170" s="176"/>
      <c r="DQ170" s="176"/>
      <c r="DR170" s="176"/>
      <c r="DS170" s="176"/>
      <c r="DT170" s="176"/>
      <c r="DU170" s="80"/>
      <c r="DV170" s="176"/>
      <c r="DW170" s="176"/>
      <c r="DX170" s="176"/>
      <c r="DY170" s="176"/>
      <c r="DZ170" s="176"/>
      <c r="EA170" s="176"/>
      <c r="EB170" s="80"/>
      <c r="EC170" s="176"/>
      <c r="ED170" s="176"/>
      <c r="EE170" s="176"/>
      <c r="EF170" s="176"/>
      <c r="EG170" s="176"/>
      <c r="EH170" s="176"/>
      <c r="EI170" s="80"/>
      <c r="EJ170" s="47"/>
      <c r="EK170" s="47"/>
      <c r="EL170" s="47"/>
      <c r="EM170" s="47"/>
      <c r="EN170" s="47"/>
      <c r="EO170" s="47"/>
      <c r="EP170" s="47"/>
      <c r="EQ170" s="47"/>
      <c r="ER170" s="47"/>
      <c r="ES170" s="47"/>
      <c r="ET170" s="47"/>
      <c r="EU170" s="47"/>
      <c r="EV170" s="47"/>
      <c r="EW170" s="47"/>
      <c r="EX170" s="47"/>
      <c r="EY170" s="47"/>
      <c r="EZ170" s="47"/>
      <c r="FA170" s="47"/>
      <c r="FB170" s="47"/>
      <c r="FC170" s="47"/>
      <c r="FD170" s="47"/>
      <c r="FE170" s="47"/>
      <c r="FF170" s="47"/>
      <c r="FG170" s="47"/>
      <c r="FH170" s="47"/>
      <c r="FI170" s="47"/>
      <c r="FJ170" s="47"/>
      <c r="FK170" s="47"/>
      <c r="FL170" s="47"/>
      <c r="FM170" s="47"/>
      <c r="FN170" s="47"/>
      <c r="FO170" s="47"/>
      <c r="FP170" s="47"/>
      <c r="FQ170" s="47"/>
      <c r="FR170" s="47"/>
      <c r="FS170" s="47"/>
      <c r="FT170" s="47"/>
      <c r="FU170" s="47"/>
      <c r="FV170" s="47"/>
      <c r="FW170" s="47"/>
      <c r="FX170" s="47"/>
      <c r="FY170" s="47"/>
      <c r="FZ170" s="47"/>
      <c r="GA170" s="47"/>
      <c r="GB170" s="47"/>
      <c r="GC170" s="47"/>
      <c r="GD170" s="47"/>
      <c r="GE170" s="47"/>
    </row>
    <row r="171" spans="1:187" ht="10.5" customHeight="1">
      <c r="A171" s="76"/>
      <c r="B171" s="108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80"/>
      <c r="U171" s="176"/>
      <c r="V171" s="176"/>
      <c r="W171" s="176"/>
      <c r="X171" s="176"/>
      <c r="Y171" s="176"/>
      <c r="Z171" s="176"/>
      <c r="AA171" s="80"/>
      <c r="AB171" s="176"/>
      <c r="AC171" s="176"/>
      <c r="AD171" s="176"/>
      <c r="AE171" s="176"/>
      <c r="AF171" s="176"/>
      <c r="AG171" s="176"/>
      <c r="AH171" s="80"/>
      <c r="AI171" s="176"/>
      <c r="AJ171" s="176"/>
      <c r="AK171" s="176"/>
      <c r="AL171" s="176"/>
      <c r="AM171" s="176"/>
      <c r="AN171" s="176"/>
      <c r="AO171" s="80"/>
      <c r="AP171" s="176"/>
      <c r="AQ171" s="176"/>
      <c r="AR171" s="176"/>
      <c r="AS171" s="176"/>
      <c r="AT171" s="176"/>
      <c r="AU171" s="176"/>
      <c r="AV171" s="80"/>
      <c r="AW171" s="176"/>
      <c r="AX171" s="176"/>
      <c r="AY171" s="176"/>
      <c r="AZ171" s="176"/>
      <c r="BA171" s="176"/>
      <c r="BB171" s="176"/>
      <c r="BC171" s="80"/>
      <c r="BD171" s="176"/>
      <c r="BE171" s="176"/>
      <c r="BF171" s="176"/>
      <c r="BG171" s="176"/>
      <c r="BH171" s="176"/>
      <c r="BI171" s="176"/>
      <c r="BJ171" s="80"/>
      <c r="BK171" s="176"/>
      <c r="BL171" s="176"/>
      <c r="BM171" s="176"/>
      <c r="BN171" s="176"/>
      <c r="BO171" s="176"/>
      <c r="BP171" s="176"/>
      <c r="BQ171" s="80"/>
      <c r="BR171" s="176"/>
      <c r="BS171" s="176"/>
      <c r="BT171" s="176"/>
      <c r="BU171" s="176"/>
      <c r="BV171" s="176"/>
      <c r="BW171" s="176"/>
      <c r="BX171" s="80"/>
      <c r="BY171" s="176"/>
      <c r="BZ171" s="176"/>
      <c r="CA171" s="176"/>
      <c r="CB171" s="176"/>
      <c r="CC171" s="176"/>
      <c r="CD171" s="176"/>
      <c r="CE171" s="80"/>
      <c r="CF171" s="176"/>
      <c r="CG171" s="176"/>
      <c r="CH171" s="176"/>
      <c r="CI171" s="176"/>
      <c r="CJ171" s="176"/>
      <c r="CK171" s="176"/>
      <c r="CL171" s="80"/>
      <c r="CM171" s="176"/>
      <c r="CN171" s="176"/>
      <c r="CO171" s="176"/>
      <c r="CP171" s="176"/>
      <c r="CQ171" s="176"/>
      <c r="CR171" s="176"/>
      <c r="CS171" s="80"/>
      <c r="CT171" s="176"/>
      <c r="CU171" s="176"/>
      <c r="CV171" s="176"/>
      <c r="CW171" s="176"/>
      <c r="CX171" s="176"/>
      <c r="CY171" s="176"/>
      <c r="CZ171" s="80"/>
      <c r="DA171" s="176"/>
      <c r="DB171" s="176"/>
      <c r="DC171" s="176"/>
      <c r="DD171" s="176"/>
      <c r="DE171" s="176"/>
      <c r="DF171" s="176"/>
      <c r="DG171" s="80"/>
      <c r="DH171" s="176"/>
      <c r="DI171" s="176"/>
      <c r="DJ171" s="176"/>
      <c r="DK171" s="176"/>
      <c r="DL171" s="176"/>
      <c r="DM171" s="176"/>
      <c r="DN171" s="80"/>
      <c r="DO171" s="176"/>
      <c r="DP171" s="176"/>
      <c r="DQ171" s="176"/>
      <c r="DR171" s="176"/>
      <c r="DS171" s="176"/>
      <c r="DT171" s="176"/>
      <c r="DU171" s="80"/>
      <c r="DV171" s="176"/>
      <c r="DW171" s="176"/>
      <c r="DX171" s="176"/>
      <c r="DY171" s="176"/>
      <c r="DZ171" s="176"/>
      <c r="EA171" s="176"/>
      <c r="EB171" s="80"/>
      <c r="EC171" s="176"/>
      <c r="ED171" s="176"/>
      <c r="EE171" s="176"/>
      <c r="EF171" s="176"/>
      <c r="EG171" s="176"/>
      <c r="EH171" s="176"/>
      <c r="EI171" s="80"/>
      <c r="EJ171" s="47"/>
      <c r="EK171" s="47"/>
      <c r="EL171" s="47"/>
      <c r="EM171" s="47"/>
      <c r="EN171" s="47"/>
      <c r="EO171" s="47"/>
      <c r="EP171" s="47"/>
      <c r="EQ171" s="47"/>
      <c r="ER171" s="47"/>
      <c r="ES171" s="47"/>
      <c r="ET171" s="47"/>
      <c r="EU171" s="47"/>
      <c r="EV171" s="47"/>
      <c r="EW171" s="47"/>
      <c r="EX171" s="47"/>
      <c r="EY171" s="47"/>
      <c r="EZ171" s="47"/>
      <c r="FA171" s="47"/>
      <c r="FB171" s="47"/>
      <c r="FC171" s="47"/>
      <c r="FD171" s="47"/>
      <c r="FE171" s="47"/>
      <c r="FF171" s="47"/>
      <c r="FG171" s="47"/>
      <c r="FH171" s="47"/>
      <c r="FI171" s="47"/>
      <c r="FJ171" s="47"/>
      <c r="FK171" s="47"/>
      <c r="FL171" s="47"/>
      <c r="FM171" s="47"/>
      <c r="FN171" s="47"/>
      <c r="FO171" s="47"/>
      <c r="FP171" s="47"/>
      <c r="FQ171" s="47"/>
      <c r="FR171" s="47"/>
      <c r="FS171" s="47"/>
      <c r="FT171" s="47"/>
      <c r="FU171" s="47"/>
      <c r="FV171" s="47"/>
      <c r="FW171" s="47"/>
      <c r="FX171" s="47"/>
      <c r="FY171" s="47"/>
      <c r="FZ171" s="47"/>
      <c r="GA171" s="47"/>
      <c r="GB171" s="47"/>
      <c r="GC171" s="47"/>
      <c r="GD171" s="47"/>
      <c r="GE171" s="47"/>
    </row>
    <row r="172" spans="1:187" ht="10.5" customHeight="1">
      <c r="A172" s="43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43"/>
      <c r="U172" s="108"/>
      <c r="V172" s="108"/>
      <c r="W172" s="108"/>
      <c r="X172" s="108"/>
      <c r="Y172" s="108"/>
      <c r="Z172" s="108"/>
      <c r="AA172" s="43"/>
      <c r="AB172" s="108"/>
      <c r="AC172" s="108"/>
      <c r="AD172" s="108"/>
      <c r="AE172" s="108"/>
      <c r="AF172" s="108"/>
      <c r="AG172" s="108"/>
      <c r="AH172" s="43"/>
      <c r="AI172" s="108"/>
      <c r="AJ172" s="108"/>
      <c r="AK172" s="108"/>
      <c r="AL172" s="108"/>
      <c r="AM172" s="108"/>
      <c r="AN172" s="108"/>
      <c r="AO172" s="43"/>
      <c r="AP172" s="108"/>
      <c r="AQ172" s="108"/>
      <c r="AR172" s="108"/>
      <c r="AS172" s="108"/>
      <c r="AT172" s="108"/>
      <c r="AU172" s="108"/>
      <c r="AV172" s="43"/>
      <c r="AW172" s="108"/>
      <c r="AX172" s="108"/>
      <c r="AY172" s="108"/>
      <c r="AZ172" s="108"/>
      <c r="BA172" s="108"/>
      <c r="BB172" s="108"/>
      <c r="BC172" s="43"/>
      <c r="BD172" s="108"/>
      <c r="BE172" s="108"/>
      <c r="BF172" s="108"/>
      <c r="BG172" s="108"/>
      <c r="BH172" s="108"/>
      <c r="BI172" s="108"/>
      <c r="BJ172" s="43"/>
      <c r="BK172" s="108"/>
      <c r="BL172" s="108"/>
      <c r="BM172" s="108"/>
      <c r="BN172" s="108"/>
      <c r="BO172" s="108"/>
      <c r="BP172" s="108"/>
      <c r="BQ172" s="43"/>
      <c r="BR172" s="108"/>
      <c r="BS172" s="108"/>
      <c r="BT172" s="108"/>
      <c r="BU172" s="108"/>
      <c r="BV172" s="108"/>
      <c r="BW172" s="108"/>
      <c r="BX172" s="43"/>
      <c r="BY172" s="108"/>
      <c r="BZ172" s="108"/>
      <c r="CA172" s="108"/>
      <c r="CB172" s="108"/>
      <c r="CC172" s="108"/>
      <c r="CD172" s="108"/>
      <c r="CE172" s="43"/>
      <c r="CF172" s="108"/>
      <c r="CG172" s="108"/>
      <c r="CH172" s="108"/>
      <c r="CI172" s="108"/>
      <c r="CJ172" s="108"/>
      <c r="CK172" s="108"/>
      <c r="CL172" s="43"/>
      <c r="CM172" s="108"/>
      <c r="CN172" s="108"/>
      <c r="CO172" s="108"/>
      <c r="CP172" s="108"/>
      <c r="CQ172" s="108"/>
      <c r="CR172" s="108"/>
      <c r="CS172" s="43"/>
      <c r="CT172" s="108"/>
      <c r="CU172" s="108"/>
      <c r="CV172" s="108"/>
      <c r="CW172" s="108"/>
      <c r="CX172" s="108"/>
      <c r="CY172" s="108"/>
      <c r="CZ172" s="43"/>
      <c r="DA172" s="108"/>
      <c r="DB172" s="108"/>
      <c r="DC172" s="108"/>
      <c r="DD172" s="108"/>
      <c r="DE172" s="108"/>
      <c r="DF172" s="108"/>
      <c r="DG172" s="43"/>
      <c r="DH172" s="108"/>
      <c r="DI172" s="108"/>
      <c r="DJ172" s="108"/>
      <c r="DK172" s="108"/>
      <c r="DL172" s="108"/>
      <c r="DM172" s="108"/>
      <c r="DN172" s="43"/>
      <c r="DO172" s="108"/>
      <c r="DP172" s="108"/>
      <c r="DQ172" s="108"/>
      <c r="DR172" s="108"/>
      <c r="DS172" s="108"/>
      <c r="DT172" s="108"/>
      <c r="DU172" s="43"/>
      <c r="DV172" s="108"/>
      <c r="DW172" s="108"/>
      <c r="DX172" s="108"/>
      <c r="DY172" s="108"/>
      <c r="DZ172" s="108"/>
      <c r="EA172" s="108"/>
      <c r="EB172" s="43"/>
      <c r="EC172" s="108"/>
      <c r="ED172" s="108"/>
      <c r="EE172" s="108"/>
      <c r="EF172" s="108"/>
      <c r="EG172" s="108"/>
      <c r="EH172" s="108"/>
      <c r="EI172" s="43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47"/>
      <c r="FG172" s="47"/>
      <c r="FH172" s="47"/>
      <c r="FI172" s="47"/>
      <c r="FJ172" s="47"/>
      <c r="FK172" s="47"/>
      <c r="FL172" s="47"/>
      <c r="FM172" s="47"/>
      <c r="FN172" s="47"/>
      <c r="FO172" s="47"/>
      <c r="FP172" s="47"/>
      <c r="FQ172" s="47"/>
      <c r="FR172" s="47"/>
      <c r="FS172" s="47"/>
      <c r="FT172" s="47"/>
      <c r="FU172" s="47"/>
      <c r="FV172" s="47"/>
      <c r="FW172" s="47"/>
      <c r="FX172" s="47"/>
      <c r="FY172" s="47"/>
      <c r="FZ172" s="47"/>
      <c r="GA172" s="47"/>
      <c r="GB172" s="47"/>
      <c r="GC172" s="47"/>
      <c r="GD172" s="47"/>
      <c r="GE172" s="47"/>
    </row>
    <row r="173" spans="1:187" ht="10.5" customHeight="1">
      <c r="A173" s="43"/>
      <c r="B173" s="108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74"/>
      <c r="U173" s="251"/>
      <c r="V173" s="251"/>
      <c r="W173" s="251"/>
      <c r="X173" s="251"/>
      <c r="Y173" s="251"/>
      <c r="Z173" s="251"/>
      <c r="AA173" s="74"/>
      <c r="AB173" s="251"/>
      <c r="AC173" s="251"/>
      <c r="AD173" s="251"/>
      <c r="AE173" s="251"/>
      <c r="AF173" s="251"/>
      <c r="AG173" s="251"/>
      <c r="AH173" s="74"/>
      <c r="AI173" s="251"/>
      <c r="AJ173" s="251"/>
      <c r="AK173" s="251"/>
      <c r="AL173" s="251"/>
      <c r="AM173" s="251"/>
      <c r="AN173" s="251"/>
      <c r="AO173" s="74"/>
      <c r="AP173" s="251"/>
      <c r="AQ173" s="251"/>
      <c r="AR173" s="251"/>
      <c r="AS173" s="251"/>
      <c r="AT173" s="251"/>
      <c r="AU173" s="251"/>
      <c r="AV173" s="74"/>
      <c r="AW173" s="251"/>
      <c r="AX173" s="251"/>
      <c r="AY173" s="251"/>
      <c r="AZ173" s="251"/>
      <c r="BA173" s="251"/>
      <c r="BB173" s="251"/>
      <c r="BC173" s="74"/>
      <c r="BD173" s="251"/>
      <c r="BE173" s="251"/>
      <c r="BF173" s="251"/>
      <c r="BG173" s="251"/>
      <c r="BH173" s="251"/>
      <c r="BI173" s="251"/>
      <c r="BJ173" s="74"/>
      <c r="BK173" s="251"/>
      <c r="BL173" s="251"/>
      <c r="BM173" s="251"/>
      <c r="BN173" s="251"/>
      <c r="BO173" s="251"/>
      <c r="BP173" s="251"/>
      <c r="BQ173" s="74"/>
      <c r="BR173" s="251"/>
      <c r="BS173" s="251"/>
      <c r="BT173" s="251"/>
      <c r="BU173" s="251"/>
      <c r="BV173" s="251"/>
      <c r="BW173" s="251"/>
      <c r="BX173" s="74"/>
      <c r="BY173" s="251"/>
      <c r="BZ173" s="251"/>
      <c r="CA173" s="251"/>
      <c r="CB173" s="251"/>
      <c r="CC173" s="251"/>
      <c r="CD173" s="251"/>
      <c r="CE173" s="74"/>
      <c r="CF173" s="251"/>
      <c r="CG173" s="251"/>
      <c r="CH173" s="251"/>
      <c r="CI173" s="251"/>
      <c r="CJ173" s="251"/>
      <c r="CK173" s="251"/>
      <c r="CL173" s="74"/>
      <c r="CM173" s="251"/>
      <c r="CN173" s="251"/>
      <c r="CO173" s="251"/>
      <c r="CP173" s="251"/>
      <c r="CQ173" s="251"/>
      <c r="CR173" s="251"/>
      <c r="CS173" s="74"/>
      <c r="CT173" s="251"/>
      <c r="CU173" s="251"/>
      <c r="CV173" s="251"/>
      <c r="CW173" s="251"/>
      <c r="CX173" s="251"/>
      <c r="CY173" s="251"/>
      <c r="CZ173" s="74"/>
      <c r="DA173" s="251"/>
      <c r="DB173" s="251"/>
      <c r="DC173" s="251"/>
      <c r="DD173" s="251"/>
      <c r="DE173" s="251"/>
      <c r="DF173" s="251"/>
      <c r="DG173" s="74"/>
      <c r="DH173" s="251"/>
      <c r="DI173" s="251"/>
      <c r="DJ173" s="251"/>
      <c r="DK173" s="251"/>
      <c r="DL173" s="251"/>
      <c r="DM173" s="251"/>
      <c r="DN173" s="74"/>
      <c r="DO173" s="251"/>
      <c r="DP173" s="251"/>
      <c r="DQ173" s="251"/>
      <c r="DR173" s="251"/>
      <c r="DS173" s="251"/>
      <c r="DT173" s="251"/>
      <c r="DU173" s="74"/>
      <c r="DV173" s="251"/>
      <c r="DW173" s="251"/>
      <c r="DX173" s="251"/>
      <c r="DY173" s="251"/>
      <c r="DZ173" s="251"/>
      <c r="EA173" s="251"/>
      <c r="EB173" s="74"/>
      <c r="EC173" s="251"/>
      <c r="ED173" s="251"/>
      <c r="EE173" s="251"/>
      <c r="EF173" s="251"/>
      <c r="EG173" s="251"/>
      <c r="EH173" s="251"/>
      <c r="EI173" s="74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47"/>
      <c r="FG173" s="47"/>
      <c r="FH173" s="47"/>
      <c r="FI173" s="47"/>
      <c r="FJ173" s="47"/>
      <c r="FK173" s="47"/>
      <c r="FL173" s="47"/>
      <c r="FM173" s="47"/>
      <c r="FN173" s="47"/>
      <c r="FO173" s="47"/>
      <c r="FP173" s="47"/>
      <c r="FQ173" s="47"/>
      <c r="FR173" s="47"/>
      <c r="FS173" s="47"/>
      <c r="FT173" s="47"/>
      <c r="FU173" s="47"/>
      <c r="FV173" s="47"/>
      <c r="FW173" s="47"/>
      <c r="FX173" s="47"/>
      <c r="FY173" s="47"/>
      <c r="FZ173" s="47"/>
      <c r="GA173" s="47"/>
      <c r="GB173" s="47"/>
      <c r="GC173" s="47"/>
      <c r="GD173" s="47"/>
      <c r="GE173" s="47"/>
    </row>
    <row r="174" spans="1:187" ht="10.5" customHeight="1">
      <c r="A174" s="76"/>
      <c r="B174" s="108"/>
      <c r="C174" s="213"/>
      <c r="D174" s="213"/>
      <c r="E174" s="213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74"/>
      <c r="U174" s="251"/>
      <c r="V174" s="251"/>
      <c r="W174" s="251"/>
      <c r="X174" s="251"/>
      <c r="Y174" s="251"/>
      <c r="Z174" s="251"/>
      <c r="AA174" s="74"/>
      <c r="AB174" s="251"/>
      <c r="AC174" s="251"/>
      <c r="AD174" s="251"/>
      <c r="AE174" s="251"/>
      <c r="AF174" s="251"/>
      <c r="AG174" s="251"/>
      <c r="AH174" s="74"/>
      <c r="AI174" s="251"/>
      <c r="AJ174" s="251"/>
      <c r="AK174" s="251"/>
      <c r="AL174" s="251"/>
      <c r="AM174" s="251"/>
      <c r="AN174" s="251"/>
      <c r="AO174" s="74"/>
      <c r="AP174" s="251"/>
      <c r="AQ174" s="251"/>
      <c r="AR174" s="251"/>
      <c r="AS174" s="251"/>
      <c r="AT174" s="251"/>
      <c r="AU174" s="251"/>
      <c r="AV174" s="74"/>
      <c r="AW174" s="251"/>
      <c r="AX174" s="251"/>
      <c r="AY174" s="251"/>
      <c r="AZ174" s="251"/>
      <c r="BA174" s="251"/>
      <c r="BB174" s="251"/>
      <c r="BC174" s="74"/>
      <c r="BD174" s="251"/>
      <c r="BE174" s="251"/>
      <c r="BF174" s="251"/>
      <c r="BG174" s="251"/>
      <c r="BH174" s="251"/>
      <c r="BI174" s="251"/>
      <c r="BJ174" s="74"/>
      <c r="BK174" s="251"/>
      <c r="BL174" s="251"/>
      <c r="BM174" s="251"/>
      <c r="BN174" s="251"/>
      <c r="BO174" s="251"/>
      <c r="BP174" s="251"/>
      <c r="BQ174" s="74"/>
      <c r="BR174" s="251"/>
      <c r="BS174" s="251"/>
      <c r="BT174" s="251"/>
      <c r="BU174" s="251"/>
      <c r="BV174" s="251"/>
      <c r="BW174" s="251"/>
      <c r="BX174" s="74"/>
      <c r="BY174" s="251"/>
      <c r="BZ174" s="251"/>
      <c r="CA174" s="251"/>
      <c r="CB174" s="251"/>
      <c r="CC174" s="251"/>
      <c r="CD174" s="251"/>
      <c r="CE174" s="74"/>
      <c r="CF174" s="251"/>
      <c r="CG174" s="251"/>
      <c r="CH174" s="251"/>
      <c r="CI174" s="251"/>
      <c r="CJ174" s="251"/>
      <c r="CK174" s="251"/>
      <c r="CL174" s="74"/>
      <c r="CM174" s="251"/>
      <c r="CN174" s="251"/>
      <c r="CO174" s="251"/>
      <c r="CP174" s="251"/>
      <c r="CQ174" s="251"/>
      <c r="CR174" s="251"/>
      <c r="CS174" s="74"/>
      <c r="CT174" s="251"/>
      <c r="CU174" s="251"/>
      <c r="CV174" s="251"/>
      <c r="CW174" s="251"/>
      <c r="CX174" s="251"/>
      <c r="CY174" s="251"/>
      <c r="CZ174" s="74"/>
      <c r="DA174" s="251"/>
      <c r="DB174" s="251"/>
      <c r="DC174" s="251"/>
      <c r="DD174" s="251"/>
      <c r="DE174" s="251"/>
      <c r="DF174" s="251"/>
      <c r="DG174" s="74"/>
      <c r="DH174" s="251"/>
      <c r="DI174" s="251"/>
      <c r="DJ174" s="251"/>
      <c r="DK174" s="251"/>
      <c r="DL174" s="251"/>
      <c r="DM174" s="251"/>
      <c r="DN174" s="74"/>
      <c r="DO174" s="251"/>
      <c r="DP174" s="251"/>
      <c r="DQ174" s="251"/>
      <c r="DR174" s="251"/>
      <c r="DS174" s="251"/>
      <c r="DT174" s="251"/>
      <c r="DU174" s="74"/>
      <c r="DV174" s="251"/>
      <c r="DW174" s="251"/>
      <c r="DX174" s="251"/>
      <c r="DY174" s="251"/>
      <c r="DZ174" s="251"/>
      <c r="EA174" s="251"/>
      <c r="EB174" s="74"/>
      <c r="EC174" s="251"/>
      <c r="ED174" s="251"/>
      <c r="EE174" s="251"/>
      <c r="EF174" s="251"/>
      <c r="EG174" s="251"/>
      <c r="EH174" s="251"/>
      <c r="EI174" s="74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47"/>
      <c r="FG174" s="47"/>
      <c r="FH174" s="47"/>
      <c r="FI174" s="47"/>
      <c r="FJ174" s="47"/>
      <c r="FK174" s="47"/>
      <c r="FL174" s="47"/>
      <c r="FM174" s="47"/>
      <c r="FN174" s="47"/>
      <c r="FO174" s="47"/>
      <c r="FP174" s="47"/>
      <c r="FQ174" s="47"/>
      <c r="FR174" s="47"/>
      <c r="FS174" s="47"/>
      <c r="FT174" s="47"/>
      <c r="FU174" s="47"/>
      <c r="FV174" s="47"/>
      <c r="FW174" s="47"/>
      <c r="FX174" s="47"/>
      <c r="FY174" s="47"/>
      <c r="FZ174" s="47"/>
      <c r="GA174" s="47"/>
      <c r="GB174" s="47"/>
      <c r="GC174" s="47"/>
      <c r="GD174" s="47"/>
      <c r="GE174" s="47"/>
    </row>
    <row r="175" spans="1:187" ht="10.5" customHeight="1">
      <c r="A175" s="76"/>
      <c r="B175" s="108"/>
      <c r="C175" s="213"/>
      <c r="D175" s="213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74"/>
      <c r="U175" s="251"/>
      <c r="V175" s="251"/>
      <c r="W175" s="251"/>
      <c r="X175" s="251"/>
      <c r="Y175" s="251"/>
      <c r="Z175" s="251"/>
      <c r="AA175" s="74"/>
      <c r="AB175" s="251"/>
      <c r="AC175" s="251"/>
      <c r="AD175" s="251"/>
      <c r="AE175" s="251"/>
      <c r="AF175" s="251"/>
      <c r="AG175" s="251"/>
      <c r="AH175" s="74"/>
      <c r="AI175" s="251"/>
      <c r="AJ175" s="251"/>
      <c r="AK175" s="251"/>
      <c r="AL175" s="251"/>
      <c r="AM175" s="251"/>
      <c r="AN175" s="251"/>
      <c r="AO175" s="74"/>
      <c r="AP175" s="251"/>
      <c r="AQ175" s="251"/>
      <c r="AR175" s="251"/>
      <c r="AS175" s="251"/>
      <c r="AT175" s="251"/>
      <c r="AU175" s="251"/>
      <c r="AV175" s="74"/>
      <c r="AW175" s="251"/>
      <c r="AX175" s="251"/>
      <c r="AY175" s="251"/>
      <c r="AZ175" s="251"/>
      <c r="BA175" s="251"/>
      <c r="BB175" s="251"/>
      <c r="BC175" s="74"/>
      <c r="BD175" s="251"/>
      <c r="BE175" s="251"/>
      <c r="BF175" s="251"/>
      <c r="BG175" s="251"/>
      <c r="BH175" s="251"/>
      <c r="BI175" s="251"/>
      <c r="BJ175" s="74"/>
      <c r="BK175" s="251"/>
      <c r="BL175" s="251"/>
      <c r="BM175" s="251"/>
      <c r="BN175" s="251"/>
      <c r="BO175" s="251"/>
      <c r="BP175" s="251"/>
      <c r="BQ175" s="74"/>
      <c r="BR175" s="251"/>
      <c r="BS175" s="251"/>
      <c r="BT175" s="251"/>
      <c r="BU175" s="251"/>
      <c r="BV175" s="251"/>
      <c r="BW175" s="251"/>
      <c r="BX175" s="74"/>
      <c r="BY175" s="251"/>
      <c r="BZ175" s="251"/>
      <c r="CA175" s="251"/>
      <c r="CB175" s="251"/>
      <c r="CC175" s="251"/>
      <c r="CD175" s="251"/>
      <c r="CE175" s="74"/>
      <c r="CF175" s="251"/>
      <c r="CG175" s="251"/>
      <c r="CH175" s="251"/>
      <c r="CI175" s="251"/>
      <c r="CJ175" s="251"/>
      <c r="CK175" s="251"/>
      <c r="CL175" s="74"/>
      <c r="CM175" s="251"/>
      <c r="CN175" s="251"/>
      <c r="CO175" s="251"/>
      <c r="CP175" s="251"/>
      <c r="CQ175" s="251"/>
      <c r="CR175" s="251"/>
      <c r="CS175" s="74"/>
      <c r="CT175" s="251"/>
      <c r="CU175" s="251"/>
      <c r="CV175" s="251"/>
      <c r="CW175" s="251"/>
      <c r="CX175" s="251"/>
      <c r="CY175" s="251"/>
      <c r="CZ175" s="74"/>
      <c r="DA175" s="251"/>
      <c r="DB175" s="251"/>
      <c r="DC175" s="251"/>
      <c r="DD175" s="251"/>
      <c r="DE175" s="251"/>
      <c r="DF175" s="251"/>
      <c r="DG175" s="74"/>
      <c r="DH175" s="251"/>
      <c r="DI175" s="251"/>
      <c r="DJ175" s="251"/>
      <c r="DK175" s="251"/>
      <c r="DL175" s="251"/>
      <c r="DM175" s="251"/>
      <c r="DN175" s="74"/>
      <c r="DO175" s="251"/>
      <c r="DP175" s="251"/>
      <c r="DQ175" s="251"/>
      <c r="DR175" s="251"/>
      <c r="DS175" s="251"/>
      <c r="DT175" s="251"/>
      <c r="DU175" s="74"/>
      <c r="DV175" s="251"/>
      <c r="DW175" s="251"/>
      <c r="DX175" s="251"/>
      <c r="DY175" s="251"/>
      <c r="DZ175" s="251"/>
      <c r="EA175" s="251"/>
      <c r="EB175" s="74"/>
      <c r="EC175" s="251"/>
      <c r="ED175" s="251"/>
      <c r="EE175" s="251"/>
      <c r="EF175" s="251"/>
      <c r="EG175" s="251"/>
      <c r="EH175" s="251"/>
      <c r="EI175" s="74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47"/>
      <c r="FG175" s="47"/>
      <c r="FH175" s="47"/>
      <c r="FI175" s="47"/>
      <c r="FJ175" s="47"/>
      <c r="FK175" s="47"/>
      <c r="FL175" s="47"/>
      <c r="FM175" s="47"/>
      <c r="FN175" s="47"/>
      <c r="FO175" s="47"/>
      <c r="FP175" s="47"/>
      <c r="FQ175" s="47"/>
      <c r="FR175" s="47"/>
      <c r="FS175" s="47"/>
      <c r="FT175" s="47"/>
      <c r="FU175" s="47"/>
      <c r="FV175" s="47"/>
      <c r="FW175" s="47"/>
      <c r="FX175" s="47"/>
      <c r="FY175" s="47"/>
      <c r="FZ175" s="47"/>
      <c r="GA175" s="47"/>
      <c r="GB175" s="47"/>
      <c r="GC175" s="47"/>
      <c r="GD175" s="47"/>
      <c r="GE175" s="47"/>
    </row>
    <row r="176" spans="1:187" ht="10.5" customHeight="1">
      <c r="A176" s="76"/>
      <c r="B176" s="108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73"/>
      <c r="U176" s="251"/>
      <c r="V176" s="251"/>
      <c r="W176" s="251"/>
      <c r="X176" s="251"/>
      <c r="Y176" s="251"/>
      <c r="Z176" s="251"/>
      <c r="AA176" s="73"/>
      <c r="AB176" s="251"/>
      <c r="AC176" s="251"/>
      <c r="AD176" s="251"/>
      <c r="AE176" s="251"/>
      <c r="AF176" s="251"/>
      <c r="AG176" s="251"/>
      <c r="AH176" s="73"/>
      <c r="AI176" s="251"/>
      <c r="AJ176" s="251"/>
      <c r="AK176" s="251"/>
      <c r="AL176" s="251"/>
      <c r="AM176" s="251"/>
      <c r="AN176" s="251"/>
      <c r="AO176" s="73"/>
      <c r="AP176" s="251"/>
      <c r="AQ176" s="251"/>
      <c r="AR176" s="251"/>
      <c r="AS176" s="251"/>
      <c r="AT176" s="251"/>
      <c r="AU176" s="251"/>
      <c r="AV176" s="73"/>
      <c r="AW176" s="251"/>
      <c r="AX176" s="251"/>
      <c r="AY176" s="251"/>
      <c r="AZ176" s="251"/>
      <c r="BA176" s="251"/>
      <c r="BB176" s="251"/>
      <c r="BC176" s="73"/>
      <c r="BD176" s="251"/>
      <c r="BE176" s="251"/>
      <c r="BF176" s="251"/>
      <c r="BG176" s="251"/>
      <c r="BH176" s="251"/>
      <c r="BI176" s="251"/>
      <c r="BJ176" s="73"/>
      <c r="BK176" s="251"/>
      <c r="BL176" s="251"/>
      <c r="BM176" s="251"/>
      <c r="BN176" s="251"/>
      <c r="BO176" s="251"/>
      <c r="BP176" s="251"/>
      <c r="BQ176" s="73"/>
      <c r="BR176" s="251"/>
      <c r="BS176" s="251"/>
      <c r="BT176" s="251"/>
      <c r="BU176" s="251"/>
      <c r="BV176" s="251"/>
      <c r="BW176" s="251"/>
      <c r="BX176" s="73"/>
      <c r="BY176" s="251"/>
      <c r="BZ176" s="251"/>
      <c r="CA176" s="251"/>
      <c r="CB176" s="251"/>
      <c r="CC176" s="251"/>
      <c r="CD176" s="251"/>
      <c r="CE176" s="73"/>
      <c r="CF176" s="251"/>
      <c r="CG176" s="251"/>
      <c r="CH176" s="251"/>
      <c r="CI176" s="251"/>
      <c r="CJ176" s="251"/>
      <c r="CK176" s="251"/>
      <c r="CL176" s="73"/>
      <c r="CM176" s="251"/>
      <c r="CN176" s="251"/>
      <c r="CO176" s="251"/>
      <c r="CP176" s="251"/>
      <c r="CQ176" s="251"/>
      <c r="CR176" s="251"/>
      <c r="CS176" s="73"/>
      <c r="CT176" s="251"/>
      <c r="CU176" s="251"/>
      <c r="CV176" s="251"/>
      <c r="CW176" s="251"/>
      <c r="CX176" s="251"/>
      <c r="CY176" s="251"/>
      <c r="CZ176" s="73"/>
      <c r="DA176" s="251"/>
      <c r="DB176" s="251"/>
      <c r="DC176" s="251"/>
      <c r="DD176" s="251"/>
      <c r="DE176" s="251"/>
      <c r="DF176" s="251"/>
      <c r="DG176" s="73"/>
      <c r="DH176" s="251"/>
      <c r="DI176" s="251"/>
      <c r="DJ176" s="251"/>
      <c r="DK176" s="251"/>
      <c r="DL176" s="251"/>
      <c r="DM176" s="251"/>
      <c r="DN176" s="73"/>
      <c r="DO176" s="251"/>
      <c r="DP176" s="251"/>
      <c r="DQ176" s="251"/>
      <c r="DR176" s="251"/>
      <c r="DS176" s="251"/>
      <c r="DT176" s="251"/>
      <c r="DU176" s="73"/>
      <c r="DV176" s="251"/>
      <c r="DW176" s="251"/>
      <c r="DX176" s="251"/>
      <c r="DY176" s="251"/>
      <c r="DZ176" s="251"/>
      <c r="EA176" s="251"/>
      <c r="EB176" s="73"/>
      <c r="EC176" s="251"/>
      <c r="ED176" s="251"/>
      <c r="EE176" s="251"/>
      <c r="EF176" s="251"/>
      <c r="EG176" s="251"/>
      <c r="EH176" s="251"/>
      <c r="EI176" s="73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47"/>
      <c r="FG176" s="47"/>
      <c r="FH176" s="47"/>
      <c r="FI176" s="47"/>
      <c r="FJ176" s="47"/>
      <c r="FK176" s="47"/>
      <c r="FL176" s="47"/>
      <c r="FM176" s="47"/>
      <c r="FN176" s="47"/>
      <c r="FO176" s="47"/>
      <c r="FP176" s="47"/>
      <c r="FQ176" s="47"/>
      <c r="FR176" s="47"/>
      <c r="FS176" s="47"/>
      <c r="FT176" s="47"/>
      <c r="FU176" s="47"/>
      <c r="FV176" s="47"/>
      <c r="FW176" s="47"/>
      <c r="FX176" s="47"/>
      <c r="FY176" s="47"/>
      <c r="FZ176" s="47"/>
      <c r="GA176" s="47"/>
      <c r="GB176" s="47"/>
      <c r="GC176" s="47"/>
      <c r="GD176" s="47"/>
      <c r="GE176" s="47"/>
    </row>
    <row r="177" spans="1:187" ht="10.5" customHeight="1">
      <c r="A177" s="76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94"/>
      <c r="U177" s="292"/>
      <c r="V177" s="292"/>
      <c r="W177" s="292"/>
      <c r="X177" s="292"/>
      <c r="Y177" s="292"/>
      <c r="Z177" s="292"/>
      <c r="AA177" s="94"/>
      <c r="AB177" s="292"/>
      <c r="AC177" s="292"/>
      <c r="AD177" s="292"/>
      <c r="AE177" s="292"/>
      <c r="AF177" s="292"/>
      <c r="AG177" s="292"/>
      <c r="AH177" s="94"/>
      <c r="AI177" s="292"/>
      <c r="AJ177" s="292"/>
      <c r="AK177" s="292"/>
      <c r="AL177" s="292"/>
      <c r="AM177" s="292"/>
      <c r="AN177" s="292"/>
      <c r="AO177" s="94"/>
      <c r="AP177" s="292"/>
      <c r="AQ177" s="292"/>
      <c r="AR177" s="292"/>
      <c r="AS177" s="292"/>
      <c r="AT177" s="292"/>
      <c r="AU177" s="292"/>
      <c r="AV177" s="94"/>
      <c r="AW177" s="292"/>
      <c r="AX177" s="292"/>
      <c r="AY177" s="292"/>
      <c r="AZ177" s="292"/>
      <c r="BA177" s="292"/>
      <c r="BB177" s="292"/>
      <c r="BC177" s="94"/>
      <c r="BD177" s="292"/>
      <c r="BE177" s="292"/>
      <c r="BF177" s="292"/>
      <c r="BG177" s="292"/>
      <c r="BH177" s="292"/>
      <c r="BI177" s="292"/>
      <c r="BJ177" s="94"/>
      <c r="BK177" s="292"/>
      <c r="BL177" s="292"/>
      <c r="BM177" s="292"/>
      <c r="BN177" s="292"/>
      <c r="BO177" s="292"/>
      <c r="BP177" s="292"/>
      <c r="BQ177" s="94"/>
      <c r="BR177" s="292"/>
      <c r="BS177" s="292"/>
      <c r="BT177" s="292"/>
      <c r="BU177" s="292"/>
      <c r="BV177" s="292"/>
      <c r="BW177" s="292"/>
      <c r="BX177" s="94"/>
      <c r="BY177" s="292"/>
      <c r="BZ177" s="292"/>
      <c r="CA177" s="292"/>
      <c r="CB177" s="292"/>
      <c r="CC177" s="292"/>
      <c r="CD177" s="292"/>
      <c r="CE177" s="94"/>
      <c r="CF177" s="292"/>
      <c r="CG177" s="292"/>
      <c r="CH177" s="292"/>
      <c r="CI177" s="292"/>
      <c r="CJ177" s="292"/>
      <c r="CK177" s="292"/>
      <c r="CL177" s="94"/>
      <c r="CM177" s="292"/>
      <c r="CN177" s="292"/>
      <c r="CO177" s="292"/>
      <c r="CP177" s="292"/>
      <c r="CQ177" s="292"/>
      <c r="CR177" s="292"/>
      <c r="CS177" s="94"/>
      <c r="CT177" s="292"/>
      <c r="CU177" s="292"/>
      <c r="CV177" s="292"/>
      <c r="CW177" s="292"/>
      <c r="CX177" s="292"/>
      <c r="CY177" s="292"/>
      <c r="CZ177" s="94"/>
      <c r="DA177" s="292"/>
      <c r="DB177" s="292"/>
      <c r="DC177" s="292"/>
      <c r="DD177" s="292"/>
      <c r="DE177" s="292"/>
      <c r="DF177" s="292"/>
      <c r="DG177" s="94"/>
      <c r="DH177" s="292"/>
      <c r="DI177" s="292"/>
      <c r="DJ177" s="292"/>
      <c r="DK177" s="292"/>
      <c r="DL177" s="292"/>
      <c r="DM177" s="292"/>
      <c r="DN177" s="94"/>
      <c r="DO177" s="292"/>
      <c r="DP177" s="292"/>
      <c r="DQ177" s="292"/>
      <c r="DR177" s="292"/>
      <c r="DS177" s="292"/>
      <c r="DT177" s="292"/>
      <c r="DU177" s="94"/>
      <c r="DV177" s="292"/>
      <c r="DW177" s="292"/>
      <c r="DX177" s="292"/>
      <c r="DY177" s="292"/>
      <c r="DZ177" s="292"/>
      <c r="EA177" s="292"/>
      <c r="EB177" s="94"/>
      <c r="EC177" s="292"/>
      <c r="ED177" s="292"/>
      <c r="EE177" s="292"/>
      <c r="EF177" s="292"/>
      <c r="EG177" s="292"/>
      <c r="EH177" s="292"/>
      <c r="EI177" s="94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47"/>
      <c r="FG177" s="47"/>
      <c r="FH177" s="47"/>
      <c r="FI177" s="47"/>
      <c r="FJ177" s="47"/>
      <c r="FK177" s="47"/>
      <c r="FL177" s="47"/>
      <c r="FM177" s="47"/>
      <c r="FN177" s="47"/>
      <c r="FO177" s="47"/>
      <c r="FP177" s="47"/>
      <c r="FQ177" s="47"/>
      <c r="FR177" s="47"/>
      <c r="FS177" s="47"/>
      <c r="FT177" s="47"/>
      <c r="FU177" s="47"/>
      <c r="FV177" s="47"/>
      <c r="FW177" s="47"/>
      <c r="FX177" s="47"/>
      <c r="FY177" s="47"/>
      <c r="FZ177" s="47"/>
      <c r="GA177" s="47"/>
      <c r="GB177" s="47"/>
      <c r="GC177" s="47"/>
      <c r="GD177" s="47"/>
      <c r="GE177" s="47"/>
    </row>
    <row r="178" spans="1:187" ht="10.5" customHeight="1">
      <c r="A178" s="43"/>
      <c r="B178" s="108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60"/>
      <c r="U178" s="130"/>
      <c r="V178" s="130"/>
      <c r="W178" s="130"/>
      <c r="X178" s="130"/>
      <c r="Y178" s="130"/>
      <c r="Z178" s="130"/>
      <c r="AA178" s="60"/>
      <c r="AB178" s="130"/>
      <c r="AC178" s="130"/>
      <c r="AD178" s="130"/>
      <c r="AE178" s="130"/>
      <c r="AF178" s="130"/>
      <c r="AG178" s="130"/>
      <c r="AH178" s="60"/>
      <c r="AI178" s="130"/>
      <c r="AJ178" s="130"/>
      <c r="AK178" s="130"/>
      <c r="AL178" s="130"/>
      <c r="AM178" s="130"/>
      <c r="AN178" s="130"/>
      <c r="AO178" s="60"/>
      <c r="AP178" s="130"/>
      <c r="AQ178" s="130"/>
      <c r="AR178" s="130"/>
      <c r="AS178" s="130"/>
      <c r="AT178" s="130"/>
      <c r="AU178" s="130"/>
      <c r="AV178" s="60"/>
      <c r="AW178" s="130"/>
      <c r="AX178" s="130"/>
      <c r="AY178" s="130"/>
      <c r="AZ178" s="130"/>
      <c r="BA178" s="130"/>
      <c r="BB178" s="130"/>
      <c r="BC178" s="60"/>
      <c r="BD178" s="130"/>
      <c r="BE178" s="130"/>
      <c r="BF178" s="130"/>
      <c r="BG178" s="130"/>
      <c r="BH178" s="130"/>
      <c r="BI178" s="130"/>
      <c r="BJ178" s="60"/>
      <c r="BK178" s="130"/>
      <c r="BL178" s="130"/>
      <c r="BM178" s="130"/>
      <c r="BN178" s="130"/>
      <c r="BO178" s="130"/>
      <c r="BP178" s="130"/>
      <c r="BQ178" s="60"/>
      <c r="BR178" s="130"/>
      <c r="BS178" s="130"/>
      <c r="BT178" s="130"/>
      <c r="BU178" s="130"/>
      <c r="BV178" s="130"/>
      <c r="BW178" s="130"/>
      <c r="BX178" s="60"/>
      <c r="BY178" s="130"/>
      <c r="BZ178" s="130"/>
      <c r="CA178" s="130"/>
      <c r="CB178" s="130"/>
      <c r="CC178" s="130"/>
      <c r="CD178" s="130"/>
      <c r="CE178" s="60"/>
      <c r="CF178" s="130"/>
      <c r="CG178" s="130"/>
      <c r="CH178" s="130"/>
      <c r="CI178" s="130"/>
      <c r="CJ178" s="130"/>
      <c r="CK178" s="130"/>
      <c r="CL178" s="60"/>
      <c r="CM178" s="130"/>
      <c r="CN178" s="130"/>
      <c r="CO178" s="130"/>
      <c r="CP178" s="130"/>
      <c r="CQ178" s="130"/>
      <c r="CR178" s="130"/>
      <c r="CS178" s="60"/>
      <c r="CT178" s="130"/>
      <c r="CU178" s="130"/>
      <c r="CV178" s="130"/>
      <c r="CW178" s="130"/>
      <c r="CX178" s="130"/>
      <c r="CY178" s="130"/>
      <c r="CZ178" s="60"/>
      <c r="DA178" s="130"/>
      <c r="DB178" s="130"/>
      <c r="DC178" s="130"/>
      <c r="DD178" s="130"/>
      <c r="DE178" s="130"/>
      <c r="DF178" s="130"/>
      <c r="DG178" s="60"/>
      <c r="DH178" s="130"/>
      <c r="DI178" s="130"/>
      <c r="DJ178" s="130"/>
      <c r="DK178" s="130"/>
      <c r="DL178" s="130"/>
      <c r="DM178" s="130"/>
      <c r="DN178" s="60"/>
      <c r="DO178" s="130"/>
      <c r="DP178" s="130"/>
      <c r="DQ178" s="130"/>
      <c r="DR178" s="130"/>
      <c r="DS178" s="130"/>
      <c r="DT178" s="130"/>
      <c r="DU178" s="60"/>
      <c r="DV178" s="130"/>
      <c r="DW178" s="130"/>
      <c r="DX178" s="130"/>
      <c r="DY178" s="130"/>
      <c r="DZ178" s="130"/>
      <c r="EA178" s="130"/>
      <c r="EB178" s="60"/>
      <c r="EC178" s="130"/>
      <c r="ED178" s="130"/>
      <c r="EE178" s="130"/>
      <c r="EF178" s="130"/>
      <c r="EG178" s="130"/>
      <c r="EH178" s="130"/>
      <c r="EI178" s="60"/>
      <c r="EJ178" s="47"/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47"/>
      <c r="FG178" s="47"/>
      <c r="FH178" s="47"/>
      <c r="FI178" s="47"/>
      <c r="FJ178" s="47"/>
      <c r="FK178" s="47"/>
      <c r="FL178" s="47"/>
      <c r="FM178" s="47"/>
      <c r="FN178" s="47"/>
      <c r="FO178" s="47"/>
      <c r="FP178" s="47"/>
      <c r="FQ178" s="47"/>
      <c r="FR178" s="47"/>
      <c r="FS178" s="47"/>
      <c r="FT178" s="47"/>
      <c r="FU178" s="47"/>
      <c r="FV178" s="47"/>
      <c r="FW178" s="47"/>
      <c r="FX178" s="47"/>
      <c r="FY178" s="47"/>
      <c r="FZ178" s="47"/>
      <c r="GA178" s="47"/>
      <c r="GB178" s="47"/>
      <c r="GC178" s="47"/>
      <c r="GD178" s="47"/>
      <c r="GE178" s="47"/>
    </row>
    <row r="179" spans="1:187" ht="10.5" customHeight="1">
      <c r="A179" s="43"/>
      <c r="B179" s="108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74"/>
      <c r="U179" s="251"/>
      <c r="V179" s="251"/>
      <c r="W179" s="251"/>
      <c r="X179" s="251"/>
      <c r="Y179" s="251"/>
      <c r="Z179" s="251"/>
      <c r="AA179" s="74"/>
      <c r="AB179" s="251"/>
      <c r="AC179" s="251"/>
      <c r="AD179" s="251"/>
      <c r="AE179" s="251"/>
      <c r="AF179" s="251"/>
      <c r="AG179" s="251"/>
      <c r="AH179" s="74"/>
      <c r="AI179" s="251"/>
      <c r="AJ179" s="251"/>
      <c r="AK179" s="251"/>
      <c r="AL179" s="251"/>
      <c r="AM179" s="251"/>
      <c r="AN179" s="251"/>
      <c r="AO179" s="74"/>
      <c r="AP179" s="251"/>
      <c r="AQ179" s="251"/>
      <c r="AR179" s="251"/>
      <c r="AS179" s="251"/>
      <c r="AT179" s="251"/>
      <c r="AU179" s="251"/>
      <c r="AV179" s="74"/>
      <c r="AW179" s="251"/>
      <c r="AX179" s="251"/>
      <c r="AY179" s="251"/>
      <c r="AZ179" s="251"/>
      <c r="BA179" s="251"/>
      <c r="BB179" s="251"/>
      <c r="BC179" s="74"/>
      <c r="BD179" s="251"/>
      <c r="BE179" s="251"/>
      <c r="BF179" s="251"/>
      <c r="BG179" s="251"/>
      <c r="BH179" s="251"/>
      <c r="BI179" s="251"/>
      <c r="BJ179" s="74"/>
      <c r="BK179" s="251"/>
      <c r="BL179" s="251"/>
      <c r="BM179" s="251"/>
      <c r="BN179" s="251"/>
      <c r="BO179" s="251"/>
      <c r="BP179" s="251"/>
      <c r="BQ179" s="74"/>
      <c r="BR179" s="251"/>
      <c r="BS179" s="251"/>
      <c r="BT179" s="251"/>
      <c r="BU179" s="251"/>
      <c r="BV179" s="251"/>
      <c r="BW179" s="251"/>
      <c r="BX179" s="74"/>
      <c r="BY179" s="251"/>
      <c r="BZ179" s="251"/>
      <c r="CA179" s="251"/>
      <c r="CB179" s="251"/>
      <c r="CC179" s="251"/>
      <c r="CD179" s="251"/>
      <c r="CE179" s="74"/>
      <c r="CF179" s="251"/>
      <c r="CG179" s="251"/>
      <c r="CH179" s="251"/>
      <c r="CI179" s="251"/>
      <c r="CJ179" s="251"/>
      <c r="CK179" s="251"/>
      <c r="CL179" s="74"/>
      <c r="CM179" s="251"/>
      <c r="CN179" s="251"/>
      <c r="CO179" s="251"/>
      <c r="CP179" s="251"/>
      <c r="CQ179" s="251"/>
      <c r="CR179" s="251"/>
      <c r="CS179" s="74"/>
      <c r="CT179" s="251"/>
      <c r="CU179" s="251"/>
      <c r="CV179" s="251"/>
      <c r="CW179" s="251"/>
      <c r="CX179" s="251"/>
      <c r="CY179" s="251"/>
      <c r="CZ179" s="74"/>
      <c r="DA179" s="251"/>
      <c r="DB179" s="251"/>
      <c r="DC179" s="251"/>
      <c r="DD179" s="251"/>
      <c r="DE179" s="251"/>
      <c r="DF179" s="251"/>
      <c r="DG179" s="74"/>
      <c r="DH179" s="251"/>
      <c r="DI179" s="251"/>
      <c r="DJ179" s="251"/>
      <c r="DK179" s="251"/>
      <c r="DL179" s="251"/>
      <c r="DM179" s="251"/>
      <c r="DN179" s="74"/>
      <c r="DO179" s="251"/>
      <c r="DP179" s="251"/>
      <c r="DQ179" s="251"/>
      <c r="DR179" s="251"/>
      <c r="DS179" s="251"/>
      <c r="DT179" s="251"/>
      <c r="DU179" s="74"/>
      <c r="DV179" s="251"/>
      <c r="DW179" s="251"/>
      <c r="DX179" s="251"/>
      <c r="DY179" s="251"/>
      <c r="DZ179" s="251"/>
      <c r="EA179" s="251"/>
      <c r="EB179" s="74"/>
      <c r="EC179" s="251"/>
      <c r="ED179" s="251"/>
      <c r="EE179" s="251"/>
      <c r="EF179" s="251"/>
      <c r="EG179" s="251"/>
      <c r="EH179" s="251"/>
      <c r="EI179" s="74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47"/>
      <c r="FG179" s="47"/>
      <c r="FH179" s="47"/>
      <c r="FI179" s="47"/>
      <c r="FJ179" s="47"/>
      <c r="FK179" s="47"/>
      <c r="FL179" s="47"/>
      <c r="FM179" s="47"/>
      <c r="FN179" s="47"/>
      <c r="FO179" s="47"/>
      <c r="FP179" s="47"/>
      <c r="FQ179" s="47"/>
      <c r="FR179" s="47"/>
      <c r="FS179" s="47"/>
      <c r="FT179" s="47"/>
      <c r="FU179" s="47"/>
      <c r="FV179" s="47"/>
      <c r="FW179" s="47"/>
      <c r="FX179" s="47"/>
      <c r="FY179" s="47"/>
      <c r="FZ179" s="47"/>
      <c r="GA179" s="47"/>
      <c r="GB179" s="47"/>
      <c r="GC179" s="47"/>
      <c r="GD179" s="47"/>
      <c r="GE179" s="47"/>
    </row>
    <row r="180" spans="1:187" ht="10.5" customHeight="1">
      <c r="A180" s="76"/>
      <c r="B180" s="108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60"/>
      <c r="U180" s="130"/>
      <c r="V180" s="130"/>
      <c r="W180" s="130"/>
      <c r="X180" s="130"/>
      <c r="Y180" s="130"/>
      <c r="Z180" s="130"/>
      <c r="AA180" s="60"/>
      <c r="AB180" s="130"/>
      <c r="AC180" s="130"/>
      <c r="AD180" s="130"/>
      <c r="AE180" s="130"/>
      <c r="AF180" s="130"/>
      <c r="AG180" s="130"/>
      <c r="AH180" s="60"/>
      <c r="AI180" s="130"/>
      <c r="AJ180" s="130"/>
      <c r="AK180" s="130"/>
      <c r="AL180" s="130"/>
      <c r="AM180" s="130"/>
      <c r="AN180" s="130"/>
      <c r="AO180" s="60"/>
      <c r="AP180" s="130"/>
      <c r="AQ180" s="130"/>
      <c r="AR180" s="130"/>
      <c r="AS180" s="130"/>
      <c r="AT180" s="130"/>
      <c r="AU180" s="130"/>
      <c r="AV180" s="60"/>
      <c r="AW180" s="130"/>
      <c r="AX180" s="130"/>
      <c r="AY180" s="130"/>
      <c r="AZ180" s="130"/>
      <c r="BA180" s="130"/>
      <c r="BB180" s="130"/>
      <c r="BC180" s="60"/>
      <c r="BD180" s="130"/>
      <c r="BE180" s="130"/>
      <c r="BF180" s="130"/>
      <c r="BG180" s="130"/>
      <c r="BH180" s="130"/>
      <c r="BI180" s="130"/>
      <c r="BJ180" s="60"/>
      <c r="BK180" s="130"/>
      <c r="BL180" s="130"/>
      <c r="BM180" s="130"/>
      <c r="BN180" s="130"/>
      <c r="BO180" s="130"/>
      <c r="BP180" s="130"/>
      <c r="BQ180" s="60"/>
      <c r="BR180" s="130"/>
      <c r="BS180" s="130"/>
      <c r="BT180" s="130"/>
      <c r="BU180" s="130"/>
      <c r="BV180" s="130"/>
      <c r="BW180" s="130"/>
      <c r="BX180" s="60"/>
      <c r="BY180" s="130"/>
      <c r="BZ180" s="130"/>
      <c r="CA180" s="130"/>
      <c r="CB180" s="130"/>
      <c r="CC180" s="130"/>
      <c r="CD180" s="130"/>
      <c r="CE180" s="60"/>
      <c r="CF180" s="130"/>
      <c r="CG180" s="130"/>
      <c r="CH180" s="130"/>
      <c r="CI180" s="130"/>
      <c r="CJ180" s="130"/>
      <c r="CK180" s="130"/>
      <c r="CL180" s="60"/>
      <c r="CM180" s="130"/>
      <c r="CN180" s="130"/>
      <c r="CO180" s="130"/>
      <c r="CP180" s="130"/>
      <c r="CQ180" s="130"/>
      <c r="CR180" s="130"/>
      <c r="CS180" s="60"/>
      <c r="CT180" s="130"/>
      <c r="CU180" s="130"/>
      <c r="CV180" s="130"/>
      <c r="CW180" s="130"/>
      <c r="CX180" s="130"/>
      <c r="CY180" s="130"/>
      <c r="CZ180" s="60"/>
      <c r="DA180" s="130"/>
      <c r="DB180" s="130"/>
      <c r="DC180" s="130"/>
      <c r="DD180" s="130"/>
      <c r="DE180" s="130"/>
      <c r="DF180" s="130"/>
      <c r="DG180" s="60"/>
      <c r="DH180" s="130"/>
      <c r="DI180" s="130"/>
      <c r="DJ180" s="130"/>
      <c r="DK180" s="130"/>
      <c r="DL180" s="130"/>
      <c r="DM180" s="130"/>
      <c r="DN180" s="60"/>
      <c r="DO180" s="130"/>
      <c r="DP180" s="130"/>
      <c r="DQ180" s="130"/>
      <c r="DR180" s="130"/>
      <c r="DS180" s="130"/>
      <c r="DT180" s="130"/>
      <c r="DU180" s="60"/>
      <c r="DV180" s="130"/>
      <c r="DW180" s="130"/>
      <c r="DX180" s="130"/>
      <c r="DY180" s="130"/>
      <c r="DZ180" s="130"/>
      <c r="EA180" s="130"/>
      <c r="EB180" s="60"/>
      <c r="EC180" s="130"/>
      <c r="ED180" s="130"/>
      <c r="EE180" s="130"/>
      <c r="EF180" s="130"/>
      <c r="EG180" s="130"/>
      <c r="EH180" s="130"/>
      <c r="EI180" s="60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47"/>
      <c r="FG180" s="47"/>
      <c r="FH180" s="47"/>
      <c r="FI180" s="47"/>
      <c r="FJ180" s="47"/>
      <c r="FK180" s="47"/>
      <c r="FL180" s="47"/>
      <c r="FM180" s="47"/>
      <c r="FN180" s="47"/>
      <c r="FO180" s="47"/>
      <c r="FP180" s="47"/>
      <c r="FQ180" s="47"/>
      <c r="FR180" s="47"/>
      <c r="FS180" s="47"/>
      <c r="FT180" s="47"/>
      <c r="FU180" s="47"/>
      <c r="FV180" s="47"/>
      <c r="FW180" s="47"/>
      <c r="FX180" s="47"/>
      <c r="FY180" s="47"/>
      <c r="FZ180" s="47"/>
      <c r="GA180" s="47"/>
      <c r="GB180" s="47"/>
      <c r="GC180" s="47"/>
      <c r="GD180" s="47"/>
      <c r="GE180" s="47"/>
    </row>
    <row r="181" spans="1:187" ht="10.5" customHeight="1">
      <c r="A181" s="76"/>
      <c r="B181" s="108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60"/>
      <c r="U181" s="130"/>
      <c r="V181" s="130"/>
      <c r="W181" s="130"/>
      <c r="X181" s="130"/>
      <c r="Y181" s="130"/>
      <c r="Z181" s="130"/>
      <c r="AA181" s="60"/>
      <c r="AB181" s="130"/>
      <c r="AC181" s="130"/>
      <c r="AD181" s="130"/>
      <c r="AE181" s="130"/>
      <c r="AF181" s="130"/>
      <c r="AG181" s="130"/>
      <c r="AH181" s="60"/>
      <c r="AI181" s="130"/>
      <c r="AJ181" s="130"/>
      <c r="AK181" s="130"/>
      <c r="AL181" s="130"/>
      <c r="AM181" s="130"/>
      <c r="AN181" s="130"/>
      <c r="AO181" s="60"/>
      <c r="AP181" s="130"/>
      <c r="AQ181" s="130"/>
      <c r="AR181" s="130"/>
      <c r="AS181" s="130"/>
      <c r="AT181" s="130"/>
      <c r="AU181" s="130"/>
      <c r="AV181" s="60"/>
      <c r="AW181" s="130"/>
      <c r="AX181" s="130"/>
      <c r="AY181" s="130"/>
      <c r="AZ181" s="130"/>
      <c r="BA181" s="130"/>
      <c r="BB181" s="130"/>
      <c r="BC181" s="60"/>
      <c r="BD181" s="130"/>
      <c r="BE181" s="130"/>
      <c r="BF181" s="130"/>
      <c r="BG181" s="130"/>
      <c r="BH181" s="130"/>
      <c r="BI181" s="130"/>
      <c r="BJ181" s="60"/>
      <c r="BK181" s="130"/>
      <c r="BL181" s="130"/>
      <c r="BM181" s="130"/>
      <c r="BN181" s="130"/>
      <c r="BO181" s="130"/>
      <c r="BP181" s="130"/>
      <c r="BQ181" s="60"/>
      <c r="BR181" s="130"/>
      <c r="BS181" s="130"/>
      <c r="BT181" s="130"/>
      <c r="BU181" s="130"/>
      <c r="BV181" s="130"/>
      <c r="BW181" s="130"/>
      <c r="BX181" s="60"/>
      <c r="BY181" s="130"/>
      <c r="BZ181" s="130"/>
      <c r="CA181" s="130"/>
      <c r="CB181" s="130"/>
      <c r="CC181" s="130"/>
      <c r="CD181" s="130"/>
      <c r="CE181" s="60"/>
      <c r="CF181" s="130"/>
      <c r="CG181" s="130"/>
      <c r="CH181" s="130"/>
      <c r="CI181" s="130"/>
      <c r="CJ181" s="130"/>
      <c r="CK181" s="130"/>
      <c r="CL181" s="60"/>
      <c r="CM181" s="130"/>
      <c r="CN181" s="130"/>
      <c r="CO181" s="130"/>
      <c r="CP181" s="130"/>
      <c r="CQ181" s="130"/>
      <c r="CR181" s="130"/>
      <c r="CS181" s="60"/>
      <c r="CT181" s="130"/>
      <c r="CU181" s="130"/>
      <c r="CV181" s="130"/>
      <c r="CW181" s="130"/>
      <c r="CX181" s="130"/>
      <c r="CY181" s="130"/>
      <c r="CZ181" s="60"/>
      <c r="DA181" s="130"/>
      <c r="DB181" s="130"/>
      <c r="DC181" s="130"/>
      <c r="DD181" s="130"/>
      <c r="DE181" s="130"/>
      <c r="DF181" s="130"/>
      <c r="DG181" s="60"/>
      <c r="DH181" s="130"/>
      <c r="DI181" s="130"/>
      <c r="DJ181" s="130"/>
      <c r="DK181" s="130"/>
      <c r="DL181" s="130"/>
      <c r="DM181" s="130"/>
      <c r="DN181" s="60"/>
      <c r="DO181" s="130"/>
      <c r="DP181" s="130"/>
      <c r="DQ181" s="130"/>
      <c r="DR181" s="130"/>
      <c r="DS181" s="130"/>
      <c r="DT181" s="130"/>
      <c r="DU181" s="60"/>
      <c r="DV181" s="130"/>
      <c r="DW181" s="130"/>
      <c r="DX181" s="130"/>
      <c r="DY181" s="130"/>
      <c r="DZ181" s="130"/>
      <c r="EA181" s="130"/>
      <c r="EB181" s="60"/>
      <c r="EC181" s="130"/>
      <c r="ED181" s="130"/>
      <c r="EE181" s="130"/>
      <c r="EF181" s="130"/>
      <c r="EG181" s="130"/>
      <c r="EH181" s="130"/>
      <c r="EI181" s="60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47"/>
      <c r="FG181" s="47"/>
      <c r="FH181" s="47"/>
      <c r="FI181" s="47"/>
      <c r="FJ181" s="47"/>
      <c r="FK181" s="47"/>
      <c r="FL181" s="47"/>
      <c r="FM181" s="47"/>
      <c r="FN181" s="47"/>
      <c r="FO181" s="47"/>
      <c r="FP181" s="47"/>
      <c r="FQ181" s="47"/>
      <c r="FR181" s="47"/>
      <c r="FS181" s="47"/>
      <c r="FT181" s="47"/>
      <c r="FU181" s="47"/>
      <c r="FV181" s="47"/>
      <c r="FW181" s="47"/>
      <c r="FX181" s="47"/>
      <c r="FY181" s="47"/>
      <c r="FZ181" s="47"/>
      <c r="GA181" s="47"/>
      <c r="GB181" s="47"/>
      <c r="GC181" s="47"/>
      <c r="GD181" s="47"/>
      <c r="GE181" s="47"/>
    </row>
    <row r="182" spans="1:187" ht="10.5" customHeight="1">
      <c r="A182" s="76"/>
      <c r="B182" s="108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60"/>
      <c r="U182" s="130"/>
      <c r="V182" s="130"/>
      <c r="W182" s="130"/>
      <c r="X182" s="130"/>
      <c r="Y182" s="130"/>
      <c r="Z182" s="130"/>
      <c r="AA182" s="60"/>
      <c r="AB182" s="130"/>
      <c r="AC182" s="130"/>
      <c r="AD182" s="130"/>
      <c r="AE182" s="130"/>
      <c r="AF182" s="130"/>
      <c r="AG182" s="130"/>
      <c r="AH182" s="60"/>
      <c r="AI182" s="130"/>
      <c r="AJ182" s="130"/>
      <c r="AK182" s="130"/>
      <c r="AL182" s="130"/>
      <c r="AM182" s="130"/>
      <c r="AN182" s="130"/>
      <c r="AO182" s="60"/>
      <c r="AP182" s="130"/>
      <c r="AQ182" s="130"/>
      <c r="AR182" s="130"/>
      <c r="AS182" s="130"/>
      <c r="AT182" s="130"/>
      <c r="AU182" s="130"/>
      <c r="AV182" s="60"/>
      <c r="AW182" s="130"/>
      <c r="AX182" s="130"/>
      <c r="AY182" s="130"/>
      <c r="AZ182" s="130"/>
      <c r="BA182" s="130"/>
      <c r="BB182" s="130"/>
      <c r="BC182" s="60"/>
      <c r="BD182" s="130"/>
      <c r="BE182" s="130"/>
      <c r="BF182" s="130"/>
      <c r="BG182" s="130"/>
      <c r="BH182" s="130"/>
      <c r="BI182" s="130"/>
      <c r="BJ182" s="60"/>
      <c r="BK182" s="130"/>
      <c r="BL182" s="130"/>
      <c r="BM182" s="130"/>
      <c r="BN182" s="130"/>
      <c r="BO182" s="130"/>
      <c r="BP182" s="130"/>
      <c r="BQ182" s="60"/>
      <c r="BR182" s="130"/>
      <c r="BS182" s="130"/>
      <c r="BT182" s="130"/>
      <c r="BU182" s="130"/>
      <c r="BV182" s="130"/>
      <c r="BW182" s="130"/>
      <c r="BX182" s="60"/>
      <c r="BY182" s="130"/>
      <c r="BZ182" s="130"/>
      <c r="CA182" s="130"/>
      <c r="CB182" s="130"/>
      <c r="CC182" s="130"/>
      <c r="CD182" s="130"/>
      <c r="CE182" s="60"/>
      <c r="CF182" s="130"/>
      <c r="CG182" s="130"/>
      <c r="CH182" s="130"/>
      <c r="CI182" s="130"/>
      <c r="CJ182" s="130"/>
      <c r="CK182" s="130"/>
      <c r="CL182" s="60"/>
      <c r="CM182" s="130"/>
      <c r="CN182" s="130"/>
      <c r="CO182" s="130"/>
      <c r="CP182" s="130"/>
      <c r="CQ182" s="130"/>
      <c r="CR182" s="130"/>
      <c r="CS182" s="60"/>
      <c r="CT182" s="130"/>
      <c r="CU182" s="130"/>
      <c r="CV182" s="130"/>
      <c r="CW182" s="130"/>
      <c r="CX182" s="130"/>
      <c r="CY182" s="130"/>
      <c r="CZ182" s="60"/>
      <c r="DA182" s="130"/>
      <c r="DB182" s="130"/>
      <c r="DC182" s="130"/>
      <c r="DD182" s="130"/>
      <c r="DE182" s="130"/>
      <c r="DF182" s="130"/>
      <c r="DG182" s="60"/>
      <c r="DH182" s="130"/>
      <c r="DI182" s="130"/>
      <c r="DJ182" s="130"/>
      <c r="DK182" s="130"/>
      <c r="DL182" s="130"/>
      <c r="DM182" s="130"/>
      <c r="DN182" s="60"/>
      <c r="DO182" s="130"/>
      <c r="DP182" s="130"/>
      <c r="DQ182" s="130"/>
      <c r="DR182" s="130"/>
      <c r="DS182" s="130"/>
      <c r="DT182" s="130"/>
      <c r="DU182" s="60"/>
      <c r="DV182" s="130"/>
      <c r="DW182" s="130"/>
      <c r="DX182" s="130"/>
      <c r="DY182" s="130"/>
      <c r="DZ182" s="130"/>
      <c r="EA182" s="130"/>
      <c r="EB182" s="60"/>
      <c r="EC182" s="130"/>
      <c r="ED182" s="130"/>
      <c r="EE182" s="130"/>
      <c r="EF182" s="130"/>
      <c r="EG182" s="130"/>
      <c r="EH182" s="130"/>
      <c r="EI182" s="60"/>
      <c r="EJ182" s="47"/>
      <c r="EK182" s="47"/>
      <c r="EL182" s="47"/>
      <c r="EM182" s="47"/>
      <c r="EN182" s="47"/>
      <c r="EO182" s="47"/>
      <c r="EP182" s="47"/>
      <c r="EQ182" s="47"/>
      <c r="ER182" s="47"/>
      <c r="ES182" s="47"/>
      <c r="ET182" s="47"/>
      <c r="EU182" s="47"/>
      <c r="EV182" s="47"/>
      <c r="EW182" s="47"/>
      <c r="EX182" s="47"/>
      <c r="EY182" s="47"/>
      <c r="EZ182" s="47"/>
      <c r="FA182" s="47"/>
      <c r="FB182" s="47"/>
      <c r="FC182" s="47"/>
      <c r="FD182" s="47"/>
      <c r="FE182" s="47"/>
      <c r="FF182" s="47"/>
      <c r="FG182" s="47"/>
      <c r="FH182" s="47"/>
      <c r="FI182" s="47"/>
      <c r="FJ182" s="47"/>
      <c r="FK182" s="47"/>
      <c r="FL182" s="47"/>
      <c r="FM182" s="47"/>
      <c r="FN182" s="47"/>
      <c r="FO182" s="47"/>
      <c r="FP182" s="47"/>
      <c r="FQ182" s="47"/>
      <c r="FR182" s="47"/>
      <c r="FS182" s="47"/>
      <c r="FT182" s="47"/>
      <c r="FU182" s="47"/>
      <c r="FV182" s="47"/>
      <c r="FW182" s="47"/>
      <c r="FX182" s="47"/>
      <c r="FY182" s="47"/>
      <c r="FZ182" s="47"/>
      <c r="GA182" s="47"/>
      <c r="GB182" s="47"/>
      <c r="GC182" s="47"/>
      <c r="GD182" s="47"/>
      <c r="GE182" s="47"/>
    </row>
    <row r="183" spans="1:187" ht="10.5" customHeight="1">
      <c r="A183" s="43"/>
      <c r="B183" s="108"/>
      <c r="C183" s="130"/>
      <c r="D183" s="130"/>
      <c r="E183" s="130"/>
      <c r="F183" s="201"/>
      <c r="G183" s="201"/>
      <c r="H183" s="176"/>
      <c r="I183" s="251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60"/>
      <c r="U183" s="130"/>
      <c r="V183" s="130"/>
      <c r="W183" s="130"/>
      <c r="X183" s="130"/>
      <c r="Y183" s="130"/>
      <c r="Z183" s="130"/>
      <c r="AA183" s="60"/>
      <c r="AB183" s="130"/>
      <c r="AC183" s="130"/>
      <c r="AD183" s="130"/>
      <c r="AE183" s="130"/>
      <c r="AF183" s="130"/>
      <c r="AG183" s="130"/>
      <c r="AH183" s="60"/>
      <c r="AI183" s="130"/>
      <c r="AJ183" s="130"/>
      <c r="AK183" s="130"/>
      <c r="AL183" s="130"/>
      <c r="AM183" s="130"/>
      <c r="AN183" s="130"/>
      <c r="AO183" s="60"/>
      <c r="AP183" s="130"/>
      <c r="AQ183" s="130"/>
      <c r="AR183" s="130"/>
      <c r="AS183" s="130"/>
      <c r="AT183" s="130"/>
      <c r="AU183" s="130"/>
      <c r="AV183" s="60"/>
      <c r="AW183" s="130"/>
      <c r="AX183" s="130"/>
      <c r="AY183" s="130"/>
      <c r="AZ183" s="130"/>
      <c r="BA183" s="130"/>
      <c r="BB183" s="130"/>
      <c r="BC183" s="60"/>
      <c r="BD183" s="130"/>
      <c r="BE183" s="130"/>
      <c r="BF183" s="130"/>
      <c r="BG183" s="130"/>
      <c r="BH183" s="130"/>
      <c r="BI183" s="130"/>
      <c r="BJ183" s="60"/>
      <c r="BK183" s="130"/>
      <c r="BL183" s="130"/>
      <c r="BM183" s="130"/>
      <c r="BN183" s="130"/>
      <c r="BO183" s="130"/>
      <c r="BP183" s="130"/>
      <c r="BQ183" s="60"/>
      <c r="BR183" s="130"/>
      <c r="BS183" s="130"/>
      <c r="BT183" s="130"/>
      <c r="BU183" s="130"/>
      <c r="BV183" s="130"/>
      <c r="BW183" s="130"/>
      <c r="BX183" s="60"/>
      <c r="BY183" s="130"/>
      <c r="BZ183" s="130"/>
      <c r="CA183" s="130"/>
      <c r="CB183" s="130"/>
      <c r="CC183" s="130"/>
      <c r="CD183" s="130"/>
      <c r="CE183" s="60"/>
      <c r="CF183" s="130"/>
      <c r="CG183" s="130"/>
      <c r="CH183" s="130"/>
      <c r="CI183" s="130"/>
      <c r="CJ183" s="130"/>
      <c r="CK183" s="130"/>
      <c r="CL183" s="60"/>
      <c r="CM183" s="130"/>
      <c r="CN183" s="130"/>
      <c r="CO183" s="130"/>
      <c r="CP183" s="130"/>
      <c r="CQ183" s="130"/>
      <c r="CR183" s="130"/>
      <c r="CS183" s="60"/>
      <c r="CT183" s="130"/>
      <c r="CU183" s="130"/>
      <c r="CV183" s="130"/>
      <c r="CW183" s="130"/>
      <c r="CX183" s="130"/>
      <c r="CY183" s="130"/>
      <c r="CZ183" s="60"/>
      <c r="DA183" s="130"/>
      <c r="DB183" s="130"/>
      <c r="DC183" s="130"/>
      <c r="DD183" s="130"/>
      <c r="DE183" s="130"/>
      <c r="DF183" s="130"/>
      <c r="DG183" s="60"/>
      <c r="DH183" s="130"/>
      <c r="DI183" s="130"/>
      <c r="DJ183" s="130"/>
      <c r="DK183" s="130"/>
      <c r="DL183" s="130"/>
      <c r="DM183" s="130"/>
      <c r="DN183" s="60"/>
      <c r="DO183" s="130"/>
      <c r="DP183" s="130"/>
      <c r="DQ183" s="130"/>
      <c r="DR183" s="130"/>
      <c r="DS183" s="130"/>
      <c r="DT183" s="130"/>
      <c r="DU183" s="60"/>
      <c r="DV183" s="130"/>
      <c r="DW183" s="130"/>
      <c r="DX183" s="130"/>
      <c r="DY183" s="130"/>
      <c r="DZ183" s="130"/>
      <c r="EA183" s="130"/>
      <c r="EB183" s="60"/>
      <c r="EC183" s="130"/>
      <c r="ED183" s="130"/>
      <c r="EE183" s="130"/>
      <c r="EF183" s="130"/>
      <c r="EG183" s="130"/>
      <c r="EH183" s="130"/>
      <c r="EI183" s="60"/>
      <c r="EJ183" s="47"/>
      <c r="EK183" s="47"/>
      <c r="EL183" s="47"/>
      <c r="EM183" s="47"/>
      <c r="EN183" s="47"/>
      <c r="EO183" s="47"/>
      <c r="EP183" s="47"/>
      <c r="EQ183" s="47"/>
      <c r="ER183" s="47"/>
      <c r="ES183" s="47"/>
      <c r="ET183" s="47"/>
      <c r="EU183" s="47"/>
      <c r="EV183" s="47"/>
      <c r="EW183" s="47"/>
      <c r="EX183" s="47"/>
      <c r="EY183" s="47"/>
      <c r="EZ183" s="47"/>
      <c r="FA183" s="47"/>
      <c r="FB183" s="47"/>
      <c r="FC183" s="47"/>
      <c r="FD183" s="47"/>
      <c r="FE183" s="47"/>
      <c r="FF183" s="47"/>
      <c r="FG183" s="47"/>
      <c r="FH183" s="47"/>
      <c r="FI183" s="47"/>
      <c r="FJ183" s="47"/>
      <c r="FK183" s="47"/>
      <c r="FL183" s="47"/>
      <c r="FM183" s="47"/>
      <c r="FN183" s="47"/>
      <c r="FO183" s="47"/>
      <c r="FP183" s="47"/>
      <c r="FQ183" s="47"/>
      <c r="FR183" s="47"/>
      <c r="FS183" s="47"/>
      <c r="FT183" s="47"/>
      <c r="FU183" s="47"/>
      <c r="FV183" s="47"/>
      <c r="FW183" s="47"/>
      <c r="FX183" s="47"/>
      <c r="FY183" s="47"/>
      <c r="FZ183" s="47"/>
      <c r="GA183" s="47"/>
      <c r="GB183" s="47"/>
      <c r="GC183" s="47"/>
      <c r="GD183" s="47"/>
      <c r="GE183" s="47"/>
    </row>
    <row r="184" spans="1:187" ht="10.5" customHeight="1">
      <c r="A184" s="43"/>
      <c r="B184" s="292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60"/>
      <c r="U184" s="130"/>
      <c r="V184" s="130"/>
      <c r="W184" s="130"/>
      <c r="X184" s="130"/>
      <c r="Y184" s="130"/>
      <c r="Z184" s="130"/>
      <c r="AA184" s="60"/>
      <c r="AB184" s="130"/>
      <c r="AC184" s="130"/>
      <c r="AD184" s="130"/>
      <c r="AE184" s="130"/>
      <c r="AF184" s="130"/>
      <c r="AG184" s="130"/>
      <c r="AH184" s="60"/>
      <c r="AI184" s="130"/>
      <c r="AJ184" s="130"/>
      <c r="AK184" s="130"/>
      <c r="AL184" s="130"/>
      <c r="AM184" s="130"/>
      <c r="AN184" s="130"/>
      <c r="AO184" s="60"/>
      <c r="AP184" s="130"/>
      <c r="AQ184" s="130"/>
      <c r="AR184" s="130"/>
      <c r="AS184" s="130"/>
      <c r="AT184" s="130"/>
      <c r="AU184" s="130"/>
      <c r="AV184" s="60"/>
      <c r="AW184" s="130"/>
      <c r="AX184" s="130"/>
      <c r="AY184" s="130"/>
      <c r="AZ184" s="130"/>
      <c r="BA184" s="130"/>
      <c r="BB184" s="130"/>
      <c r="BC184" s="60"/>
      <c r="BD184" s="130"/>
      <c r="BE184" s="130"/>
      <c r="BF184" s="130"/>
      <c r="BG184" s="130"/>
      <c r="BH184" s="130"/>
      <c r="BI184" s="130"/>
      <c r="BJ184" s="60"/>
      <c r="BK184" s="130"/>
      <c r="BL184" s="130"/>
      <c r="BM184" s="130"/>
      <c r="BN184" s="130"/>
      <c r="BO184" s="130"/>
      <c r="BP184" s="130"/>
      <c r="BQ184" s="60"/>
      <c r="BR184" s="130"/>
      <c r="BS184" s="130"/>
      <c r="BT184" s="130"/>
      <c r="BU184" s="130"/>
      <c r="BV184" s="130"/>
      <c r="BW184" s="130"/>
      <c r="BX184" s="60"/>
      <c r="BY184" s="130"/>
      <c r="BZ184" s="130"/>
      <c r="CA184" s="130"/>
      <c r="CB184" s="130"/>
      <c r="CC184" s="130"/>
      <c r="CD184" s="130"/>
      <c r="CE184" s="60"/>
      <c r="CF184" s="130"/>
      <c r="CG184" s="130"/>
      <c r="CH184" s="130"/>
      <c r="CI184" s="130"/>
      <c r="CJ184" s="130"/>
      <c r="CK184" s="130"/>
      <c r="CL184" s="60"/>
      <c r="CM184" s="130"/>
      <c r="CN184" s="130"/>
      <c r="CO184" s="130"/>
      <c r="CP184" s="130"/>
      <c r="CQ184" s="130"/>
      <c r="CR184" s="130"/>
      <c r="CS184" s="60"/>
      <c r="CT184" s="130"/>
      <c r="CU184" s="130"/>
      <c r="CV184" s="130"/>
      <c r="CW184" s="130"/>
      <c r="CX184" s="130"/>
      <c r="CY184" s="130"/>
      <c r="CZ184" s="60"/>
      <c r="DA184" s="130"/>
      <c r="DB184" s="130"/>
      <c r="DC184" s="130"/>
      <c r="DD184" s="130"/>
      <c r="DE184" s="130"/>
      <c r="DF184" s="130"/>
      <c r="DG184" s="60"/>
      <c r="DH184" s="130"/>
      <c r="DI184" s="130"/>
      <c r="DJ184" s="130"/>
      <c r="DK184" s="130"/>
      <c r="DL184" s="130"/>
      <c r="DM184" s="130"/>
      <c r="DN184" s="60"/>
      <c r="DO184" s="130"/>
      <c r="DP184" s="130"/>
      <c r="DQ184" s="130"/>
      <c r="DR184" s="130"/>
      <c r="DS184" s="130"/>
      <c r="DT184" s="130"/>
      <c r="DU184" s="60"/>
      <c r="DV184" s="130"/>
      <c r="DW184" s="130"/>
      <c r="DX184" s="130"/>
      <c r="DY184" s="130"/>
      <c r="DZ184" s="130"/>
      <c r="EA184" s="130"/>
      <c r="EB184" s="60"/>
      <c r="EC184" s="130"/>
      <c r="ED184" s="130"/>
      <c r="EE184" s="130"/>
      <c r="EF184" s="130"/>
      <c r="EG184" s="130"/>
      <c r="EH184" s="130"/>
      <c r="EI184" s="60"/>
      <c r="EJ184" s="47"/>
      <c r="EK184" s="47"/>
      <c r="EL184" s="47"/>
      <c r="EM184" s="47"/>
      <c r="EN184" s="47"/>
      <c r="EO184" s="47"/>
      <c r="EP184" s="47"/>
      <c r="EQ184" s="47"/>
      <c r="ER184" s="47"/>
      <c r="ES184" s="47"/>
      <c r="ET184" s="47"/>
      <c r="EU184" s="47"/>
      <c r="EV184" s="47"/>
      <c r="EW184" s="47"/>
      <c r="EX184" s="47"/>
      <c r="EY184" s="47"/>
      <c r="EZ184" s="47"/>
      <c r="FA184" s="47"/>
      <c r="FB184" s="47"/>
      <c r="FC184" s="47"/>
      <c r="FD184" s="47"/>
      <c r="FE184" s="47"/>
      <c r="FF184" s="47"/>
      <c r="FG184" s="47"/>
      <c r="FH184" s="47"/>
      <c r="FI184" s="47"/>
      <c r="FJ184" s="47"/>
      <c r="FK184" s="47"/>
      <c r="FL184" s="47"/>
      <c r="FM184" s="47"/>
      <c r="FN184" s="47"/>
      <c r="FO184" s="47"/>
      <c r="FP184" s="47"/>
      <c r="FQ184" s="47"/>
      <c r="FR184" s="47"/>
      <c r="FS184" s="47"/>
      <c r="FT184" s="47"/>
      <c r="FU184" s="47"/>
      <c r="FV184" s="47"/>
      <c r="FW184" s="47"/>
      <c r="FX184" s="47"/>
      <c r="FY184" s="47"/>
      <c r="FZ184" s="47"/>
      <c r="GA184" s="47"/>
      <c r="GB184" s="47"/>
      <c r="GC184" s="47"/>
      <c r="GD184" s="47"/>
      <c r="GE184" s="47"/>
    </row>
    <row r="185" spans="1:187" ht="10.5" customHeight="1">
      <c r="A185" s="43"/>
      <c r="B185" s="292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77"/>
      <c r="U185" s="223"/>
      <c r="V185" s="223"/>
      <c r="W185" s="223"/>
      <c r="X185" s="223"/>
      <c r="Y185" s="223"/>
      <c r="Z185" s="223"/>
      <c r="AA185" s="77"/>
      <c r="AB185" s="223"/>
      <c r="AC185" s="223"/>
      <c r="AD185" s="223"/>
      <c r="AE185" s="223"/>
      <c r="AF185" s="223"/>
      <c r="AG185" s="223"/>
      <c r="AH185" s="77"/>
      <c r="AI185" s="223"/>
      <c r="AJ185" s="223"/>
      <c r="AK185" s="223"/>
      <c r="AL185" s="223"/>
      <c r="AM185" s="223"/>
      <c r="AN185" s="223"/>
      <c r="AO185" s="77"/>
      <c r="AP185" s="223"/>
      <c r="AQ185" s="223"/>
      <c r="AR185" s="223"/>
      <c r="AS185" s="223"/>
      <c r="AT185" s="223"/>
      <c r="AU185" s="223"/>
      <c r="AV185" s="77"/>
      <c r="AW185" s="223"/>
      <c r="AX185" s="223"/>
      <c r="AY185" s="223"/>
      <c r="AZ185" s="223"/>
      <c r="BA185" s="223"/>
      <c r="BB185" s="223"/>
      <c r="BC185" s="77"/>
      <c r="BD185" s="223"/>
      <c r="BE185" s="223"/>
      <c r="BF185" s="223"/>
      <c r="BG185" s="223"/>
      <c r="BH185" s="223"/>
      <c r="BI185" s="223"/>
      <c r="BJ185" s="77"/>
      <c r="BK185" s="223"/>
      <c r="BL185" s="223"/>
      <c r="BM185" s="223"/>
      <c r="BN185" s="223"/>
      <c r="BO185" s="223"/>
      <c r="BP185" s="223"/>
      <c r="BQ185" s="77"/>
      <c r="BR185" s="223"/>
      <c r="BS185" s="223"/>
      <c r="BT185" s="223"/>
      <c r="BU185" s="223"/>
      <c r="BV185" s="223"/>
      <c r="BW185" s="223"/>
      <c r="BX185" s="77"/>
      <c r="BY185" s="223"/>
      <c r="BZ185" s="223"/>
      <c r="CA185" s="223"/>
      <c r="CB185" s="223"/>
      <c r="CC185" s="223"/>
      <c r="CD185" s="223"/>
      <c r="CE185" s="77"/>
      <c r="CF185" s="223"/>
      <c r="CG185" s="223"/>
      <c r="CH185" s="223"/>
      <c r="CI185" s="223"/>
      <c r="CJ185" s="223"/>
      <c r="CK185" s="223"/>
      <c r="CL185" s="77"/>
      <c r="CM185" s="223"/>
      <c r="CN185" s="223"/>
      <c r="CO185" s="223"/>
      <c r="CP185" s="223"/>
      <c r="CQ185" s="223"/>
      <c r="CR185" s="223"/>
      <c r="CS185" s="77"/>
      <c r="CT185" s="223"/>
      <c r="CU185" s="223"/>
      <c r="CV185" s="223"/>
      <c r="CW185" s="223"/>
      <c r="CX185" s="223"/>
      <c r="CY185" s="223"/>
      <c r="CZ185" s="77"/>
      <c r="DA185" s="223"/>
      <c r="DB185" s="223"/>
      <c r="DC185" s="223"/>
      <c r="DD185" s="223"/>
      <c r="DE185" s="223"/>
      <c r="DF185" s="223"/>
      <c r="DG185" s="77"/>
      <c r="DH185" s="223"/>
      <c r="DI185" s="223"/>
      <c r="DJ185" s="223"/>
      <c r="DK185" s="223"/>
      <c r="DL185" s="223"/>
      <c r="DM185" s="223"/>
      <c r="DN185" s="77"/>
      <c r="DO185" s="223"/>
      <c r="DP185" s="223"/>
      <c r="DQ185" s="223"/>
      <c r="DR185" s="223"/>
      <c r="DS185" s="223"/>
      <c r="DT185" s="223"/>
      <c r="DU185" s="77"/>
      <c r="DV185" s="223"/>
      <c r="DW185" s="223"/>
      <c r="DX185" s="223"/>
      <c r="DY185" s="223"/>
      <c r="DZ185" s="223"/>
      <c r="EA185" s="223"/>
      <c r="EB185" s="77"/>
      <c r="EC185" s="223"/>
      <c r="ED185" s="223"/>
      <c r="EE185" s="223"/>
      <c r="EF185" s="223"/>
      <c r="EG185" s="223"/>
      <c r="EH185" s="223"/>
      <c r="EI185" s="77"/>
      <c r="EJ185" s="47"/>
      <c r="EK185" s="47"/>
      <c r="EL185" s="47"/>
      <c r="EM185" s="47"/>
      <c r="EN185" s="47"/>
      <c r="EO185" s="47"/>
      <c r="EP185" s="47"/>
      <c r="EQ185" s="47"/>
      <c r="ER185" s="47"/>
      <c r="ES185" s="47"/>
      <c r="ET185" s="47"/>
      <c r="EU185" s="47"/>
      <c r="EV185" s="47"/>
      <c r="EW185" s="47"/>
      <c r="EX185" s="47"/>
      <c r="EY185" s="47"/>
      <c r="EZ185" s="47"/>
      <c r="FA185" s="47"/>
      <c r="FB185" s="47"/>
      <c r="FC185" s="47"/>
      <c r="FD185" s="47"/>
      <c r="FE185" s="47"/>
      <c r="FF185" s="47"/>
      <c r="FG185" s="47"/>
      <c r="FH185" s="47"/>
      <c r="FI185" s="47"/>
      <c r="FJ185" s="47"/>
      <c r="FK185" s="47"/>
      <c r="FL185" s="47"/>
      <c r="FM185" s="47"/>
      <c r="FN185" s="47"/>
      <c r="FO185" s="47"/>
      <c r="FP185" s="47"/>
      <c r="FQ185" s="47"/>
      <c r="FR185" s="47"/>
      <c r="FS185" s="47"/>
      <c r="FT185" s="47"/>
      <c r="FU185" s="47"/>
      <c r="FV185" s="47"/>
      <c r="FW185" s="47"/>
      <c r="FX185" s="47"/>
      <c r="FY185" s="47"/>
      <c r="FZ185" s="47"/>
      <c r="GA185" s="47"/>
      <c r="GB185" s="47"/>
      <c r="GC185" s="47"/>
      <c r="GD185" s="47"/>
      <c r="GE185" s="47"/>
    </row>
    <row r="186" spans="1:187" ht="10.5" customHeight="1">
      <c r="A186" s="76"/>
      <c r="B186" s="292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60"/>
      <c r="U186" s="130"/>
      <c r="V186" s="130"/>
      <c r="W186" s="130"/>
      <c r="X186" s="130"/>
      <c r="Y186" s="130"/>
      <c r="Z186" s="130"/>
      <c r="AA186" s="60"/>
      <c r="AB186" s="130"/>
      <c r="AC186" s="130"/>
      <c r="AD186" s="130"/>
      <c r="AE186" s="130"/>
      <c r="AF186" s="130"/>
      <c r="AG186" s="130"/>
      <c r="AH186" s="60"/>
      <c r="AI186" s="130"/>
      <c r="AJ186" s="130"/>
      <c r="AK186" s="130"/>
      <c r="AL186" s="130"/>
      <c r="AM186" s="130"/>
      <c r="AN186" s="130"/>
      <c r="AO186" s="60"/>
      <c r="AP186" s="130"/>
      <c r="AQ186" s="130"/>
      <c r="AR186" s="130"/>
      <c r="AS186" s="130"/>
      <c r="AT186" s="130"/>
      <c r="AU186" s="130"/>
      <c r="AV186" s="60"/>
      <c r="AW186" s="130"/>
      <c r="AX186" s="130"/>
      <c r="AY186" s="130"/>
      <c r="AZ186" s="130"/>
      <c r="BA186" s="130"/>
      <c r="BB186" s="130"/>
      <c r="BC186" s="60"/>
      <c r="BD186" s="130"/>
      <c r="BE186" s="130"/>
      <c r="BF186" s="130"/>
      <c r="BG186" s="130"/>
      <c r="BH186" s="130"/>
      <c r="BI186" s="130"/>
      <c r="BJ186" s="60"/>
      <c r="BK186" s="130"/>
      <c r="BL186" s="130"/>
      <c r="BM186" s="130"/>
      <c r="BN186" s="130"/>
      <c r="BO186" s="130"/>
      <c r="BP186" s="130"/>
      <c r="BQ186" s="60"/>
      <c r="BR186" s="130"/>
      <c r="BS186" s="130"/>
      <c r="BT186" s="130"/>
      <c r="BU186" s="130"/>
      <c r="BV186" s="130"/>
      <c r="BW186" s="130"/>
      <c r="BX186" s="60"/>
      <c r="BY186" s="130"/>
      <c r="BZ186" s="130"/>
      <c r="CA186" s="130"/>
      <c r="CB186" s="130"/>
      <c r="CC186" s="130"/>
      <c r="CD186" s="130"/>
      <c r="CE186" s="60"/>
      <c r="CF186" s="130"/>
      <c r="CG186" s="130"/>
      <c r="CH186" s="130"/>
      <c r="CI186" s="130"/>
      <c r="CJ186" s="130"/>
      <c r="CK186" s="130"/>
      <c r="CL186" s="60"/>
      <c r="CM186" s="130"/>
      <c r="CN186" s="130"/>
      <c r="CO186" s="130"/>
      <c r="CP186" s="130"/>
      <c r="CQ186" s="130"/>
      <c r="CR186" s="130"/>
      <c r="CS186" s="60"/>
      <c r="CT186" s="130"/>
      <c r="CU186" s="130"/>
      <c r="CV186" s="130"/>
      <c r="CW186" s="130"/>
      <c r="CX186" s="130"/>
      <c r="CY186" s="130"/>
      <c r="CZ186" s="60"/>
      <c r="DA186" s="130"/>
      <c r="DB186" s="130"/>
      <c r="DC186" s="130"/>
      <c r="DD186" s="130"/>
      <c r="DE186" s="130"/>
      <c r="DF186" s="130"/>
      <c r="DG186" s="60"/>
      <c r="DH186" s="130"/>
      <c r="DI186" s="130"/>
      <c r="DJ186" s="130"/>
      <c r="DK186" s="130"/>
      <c r="DL186" s="130"/>
      <c r="DM186" s="130"/>
      <c r="DN186" s="60"/>
      <c r="DO186" s="130"/>
      <c r="DP186" s="130"/>
      <c r="DQ186" s="130"/>
      <c r="DR186" s="130"/>
      <c r="DS186" s="130"/>
      <c r="DT186" s="130"/>
      <c r="DU186" s="60"/>
      <c r="DV186" s="130"/>
      <c r="DW186" s="130"/>
      <c r="DX186" s="130"/>
      <c r="DY186" s="130"/>
      <c r="DZ186" s="130"/>
      <c r="EA186" s="130"/>
      <c r="EB186" s="60"/>
      <c r="EC186" s="130"/>
      <c r="ED186" s="130"/>
      <c r="EE186" s="130"/>
      <c r="EF186" s="130"/>
      <c r="EG186" s="130"/>
      <c r="EH186" s="130"/>
      <c r="EI186" s="60"/>
      <c r="EJ186" s="47"/>
      <c r="EK186" s="47"/>
      <c r="EL186" s="47"/>
      <c r="EM186" s="47"/>
      <c r="EN186" s="47"/>
      <c r="EO186" s="47"/>
      <c r="EP186" s="47"/>
      <c r="EQ186" s="47"/>
      <c r="ER186" s="47"/>
      <c r="ES186" s="47"/>
      <c r="ET186" s="47"/>
      <c r="EU186" s="47"/>
      <c r="EV186" s="47"/>
      <c r="EW186" s="47"/>
      <c r="EX186" s="47"/>
      <c r="EY186" s="47"/>
      <c r="EZ186" s="47"/>
      <c r="FA186" s="47"/>
      <c r="FB186" s="47"/>
      <c r="FC186" s="47"/>
      <c r="FD186" s="47"/>
      <c r="FE186" s="47"/>
      <c r="FF186" s="47"/>
      <c r="FG186" s="47"/>
      <c r="FH186" s="47"/>
      <c r="FI186" s="47"/>
      <c r="FJ186" s="47"/>
      <c r="FK186" s="47"/>
      <c r="FL186" s="47"/>
      <c r="FM186" s="47"/>
      <c r="FN186" s="47"/>
      <c r="FO186" s="47"/>
      <c r="FP186" s="47"/>
      <c r="FQ186" s="47"/>
      <c r="FR186" s="47"/>
      <c r="FS186" s="47"/>
      <c r="FT186" s="47"/>
      <c r="FU186" s="47"/>
      <c r="FV186" s="47"/>
      <c r="FW186" s="47"/>
      <c r="FX186" s="47"/>
      <c r="FY186" s="47"/>
      <c r="FZ186" s="47"/>
      <c r="GA186" s="47"/>
      <c r="GB186" s="47"/>
      <c r="GC186" s="47"/>
      <c r="GD186" s="47"/>
      <c r="GE186" s="47"/>
    </row>
    <row r="187" spans="1:187" ht="10.5" customHeight="1">
      <c r="A187" s="76"/>
      <c r="B187" s="292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60"/>
      <c r="U187" s="130"/>
      <c r="V187" s="130"/>
      <c r="W187" s="130"/>
      <c r="X187" s="130"/>
      <c r="Y187" s="130"/>
      <c r="Z187" s="130"/>
      <c r="AA187" s="60"/>
      <c r="AB187" s="130"/>
      <c r="AC187" s="130"/>
      <c r="AD187" s="130"/>
      <c r="AE187" s="130"/>
      <c r="AF187" s="130"/>
      <c r="AG187" s="130"/>
      <c r="AH187" s="60"/>
      <c r="AI187" s="130"/>
      <c r="AJ187" s="130"/>
      <c r="AK187" s="130"/>
      <c r="AL187" s="130"/>
      <c r="AM187" s="130"/>
      <c r="AN187" s="130"/>
      <c r="AO187" s="60"/>
      <c r="AP187" s="130"/>
      <c r="AQ187" s="130"/>
      <c r="AR187" s="130"/>
      <c r="AS187" s="130"/>
      <c r="AT187" s="130"/>
      <c r="AU187" s="130"/>
      <c r="AV187" s="60"/>
      <c r="AW187" s="130"/>
      <c r="AX187" s="130"/>
      <c r="AY187" s="130"/>
      <c r="AZ187" s="130"/>
      <c r="BA187" s="130"/>
      <c r="BB187" s="130"/>
      <c r="BC187" s="60"/>
      <c r="BD187" s="130"/>
      <c r="BE187" s="130"/>
      <c r="BF187" s="130"/>
      <c r="BG187" s="130"/>
      <c r="BH187" s="130"/>
      <c r="BI187" s="130"/>
      <c r="BJ187" s="60"/>
      <c r="BK187" s="130"/>
      <c r="BL187" s="130"/>
      <c r="BM187" s="130"/>
      <c r="BN187" s="130"/>
      <c r="BO187" s="130"/>
      <c r="BP187" s="130"/>
      <c r="BQ187" s="60"/>
      <c r="BR187" s="130"/>
      <c r="BS187" s="130"/>
      <c r="BT187" s="130"/>
      <c r="BU187" s="130"/>
      <c r="BV187" s="130"/>
      <c r="BW187" s="130"/>
      <c r="BX187" s="60"/>
      <c r="BY187" s="130"/>
      <c r="BZ187" s="130"/>
      <c r="CA187" s="130"/>
      <c r="CB187" s="130"/>
      <c r="CC187" s="130"/>
      <c r="CD187" s="130"/>
      <c r="CE187" s="60"/>
      <c r="CF187" s="130"/>
      <c r="CG187" s="130"/>
      <c r="CH187" s="130"/>
      <c r="CI187" s="130"/>
      <c r="CJ187" s="130"/>
      <c r="CK187" s="130"/>
      <c r="CL187" s="60"/>
      <c r="CM187" s="130"/>
      <c r="CN187" s="130"/>
      <c r="CO187" s="130"/>
      <c r="CP187" s="130"/>
      <c r="CQ187" s="130"/>
      <c r="CR187" s="130"/>
      <c r="CS187" s="60"/>
      <c r="CT187" s="130"/>
      <c r="CU187" s="130"/>
      <c r="CV187" s="130"/>
      <c r="CW187" s="130"/>
      <c r="CX187" s="130"/>
      <c r="CY187" s="130"/>
      <c r="CZ187" s="60"/>
      <c r="DA187" s="130"/>
      <c r="DB187" s="130"/>
      <c r="DC187" s="130"/>
      <c r="DD187" s="130"/>
      <c r="DE187" s="130"/>
      <c r="DF187" s="130"/>
      <c r="DG187" s="60"/>
      <c r="DH187" s="130"/>
      <c r="DI187" s="130"/>
      <c r="DJ187" s="130"/>
      <c r="DK187" s="130"/>
      <c r="DL187" s="130"/>
      <c r="DM187" s="130"/>
      <c r="DN187" s="60"/>
      <c r="DO187" s="130"/>
      <c r="DP187" s="130"/>
      <c r="DQ187" s="130"/>
      <c r="DR187" s="130"/>
      <c r="DS187" s="130"/>
      <c r="DT187" s="130"/>
      <c r="DU187" s="60"/>
      <c r="DV187" s="130"/>
      <c r="DW187" s="130"/>
      <c r="DX187" s="130"/>
      <c r="DY187" s="130"/>
      <c r="DZ187" s="130"/>
      <c r="EA187" s="130"/>
      <c r="EB187" s="60"/>
      <c r="EC187" s="130"/>
      <c r="ED187" s="130"/>
      <c r="EE187" s="130"/>
      <c r="EF187" s="130"/>
      <c r="EG187" s="130"/>
      <c r="EH187" s="130"/>
      <c r="EI187" s="60"/>
      <c r="EJ187" s="47"/>
      <c r="EK187" s="47"/>
      <c r="EL187" s="47"/>
      <c r="EM187" s="47"/>
      <c r="EN187" s="47"/>
      <c r="EO187" s="47"/>
      <c r="EP187" s="47"/>
      <c r="EQ187" s="47"/>
      <c r="ER187" s="47"/>
      <c r="ES187" s="47"/>
      <c r="ET187" s="47"/>
      <c r="EU187" s="47"/>
      <c r="EV187" s="47"/>
      <c r="EW187" s="47"/>
      <c r="EX187" s="47"/>
      <c r="EY187" s="47"/>
      <c r="EZ187" s="47"/>
      <c r="FA187" s="47"/>
      <c r="FB187" s="47"/>
      <c r="FC187" s="47"/>
      <c r="FD187" s="47"/>
      <c r="FE187" s="47"/>
      <c r="FF187" s="47"/>
      <c r="FG187" s="47"/>
      <c r="FH187" s="47"/>
      <c r="FI187" s="47"/>
      <c r="FJ187" s="47"/>
      <c r="FK187" s="47"/>
      <c r="FL187" s="47"/>
      <c r="FM187" s="47"/>
      <c r="FN187" s="47"/>
      <c r="FO187" s="47"/>
      <c r="FP187" s="47"/>
      <c r="FQ187" s="47"/>
      <c r="FR187" s="47"/>
      <c r="FS187" s="47"/>
      <c r="FT187" s="47"/>
      <c r="FU187" s="47"/>
      <c r="FV187" s="47"/>
      <c r="FW187" s="47"/>
      <c r="FX187" s="47"/>
      <c r="FY187" s="47"/>
      <c r="FZ187" s="47"/>
      <c r="GA187" s="47"/>
      <c r="GB187" s="47"/>
      <c r="GC187" s="47"/>
      <c r="GD187" s="47"/>
      <c r="GE187" s="47"/>
    </row>
    <row r="188" spans="1:187" ht="10.5" customHeight="1">
      <c r="A188" s="76"/>
      <c r="B188" s="292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89"/>
      <c r="U188" s="130"/>
      <c r="V188" s="130"/>
      <c r="W188" s="130"/>
      <c r="X188" s="130"/>
      <c r="Y188" s="130"/>
      <c r="Z188" s="130"/>
      <c r="AA188" s="89"/>
      <c r="AB188" s="130"/>
      <c r="AC188" s="130"/>
      <c r="AD188" s="130"/>
      <c r="AE188" s="130"/>
      <c r="AF188" s="130"/>
      <c r="AG188" s="130"/>
      <c r="AH188" s="89"/>
      <c r="AI188" s="130"/>
      <c r="AJ188" s="130"/>
      <c r="AK188" s="130"/>
      <c r="AL188" s="130"/>
      <c r="AM188" s="130"/>
      <c r="AN188" s="130"/>
      <c r="AO188" s="89"/>
      <c r="AP188" s="130"/>
      <c r="AQ188" s="130"/>
      <c r="AR188" s="130"/>
      <c r="AS188" s="130"/>
      <c r="AT188" s="130"/>
      <c r="AU188" s="130"/>
      <c r="AV188" s="89"/>
      <c r="AW188" s="130"/>
      <c r="AX188" s="130"/>
      <c r="AY188" s="130"/>
      <c r="AZ188" s="130"/>
      <c r="BA188" s="130"/>
      <c r="BB188" s="130"/>
      <c r="BC188" s="89"/>
      <c r="BD188" s="130"/>
      <c r="BE188" s="130"/>
      <c r="BF188" s="130"/>
      <c r="BG188" s="130"/>
      <c r="BH188" s="130"/>
      <c r="BI188" s="130"/>
      <c r="BJ188" s="89"/>
      <c r="BK188" s="130"/>
      <c r="BL188" s="130"/>
      <c r="BM188" s="130"/>
      <c r="BN188" s="130"/>
      <c r="BO188" s="130"/>
      <c r="BP188" s="130"/>
      <c r="BQ188" s="89"/>
      <c r="BR188" s="130"/>
      <c r="BS188" s="130"/>
      <c r="BT188" s="130"/>
      <c r="BU188" s="130"/>
      <c r="BV188" s="130"/>
      <c r="BW188" s="130"/>
      <c r="BX188" s="89"/>
      <c r="BY188" s="130"/>
      <c r="BZ188" s="130"/>
      <c r="CA188" s="130"/>
      <c r="CB188" s="130"/>
      <c r="CC188" s="130"/>
      <c r="CD188" s="130"/>
      <c r="CE188" s="89"/>
      <c r="CF188" s="130"/>
      <c r="CG188" s="130"/>
      <c r="CH188" s="130"/>
      <c r="CI188" s="130"/>
      <c r="CJ188" s="130"/>
      <c r="CK188" s="130"/>
      <c r="CL188" s="89"/>
      <c r="CM188" s="130"/>
      <c r="CN188" s="130"/>
      <c r="CO188" s="130"/>
      <c r="CP188" s="130"/>
      <c r="CQ188" s="130"/>
      <c r="CR188" s="130"/>
      <c r="CS188" s="89"/>
      <c r="CT188" s="130"/>
      <c r="CU188" s="130"/>
      <c r="CV188" s="130"/>
      <c r="CW188" s="130"/>
      <c r="CX188" s="130"/>
      <c r="CY188" s="130"/>
      <c r="CZ188" s="89"/>
      <c r="DA188" s="130"/>
      <c r="DB188" s="130"/>
      <c r="DC188" s="130"/>
      <c r="DD188" s="130"/>
      <c r="DE188" s="130"/>
      <c r="DF188" s="130"/>
      <c r="DG188" s="89"/>
      <c r="DH188" s="130"/>
      <c r="DI188" s="130"/>
      <c r="DJ188" s="130"/>
      <c r="DK188" s="130"/>
      <c r="DL188" s="130"/>
      <c r="DM188" s="130"/>
      <c r="DN188" s="89"/>
      <c r="DO188" s="130"/>
      <c r="DP188" s="130"/>
      <c r="DQ188" s="130"/>
      <c r="DR188" s="130"/>
      <c r="DS188" s="130"/>
      <c r="DT188" s="130"/>
      <c r="DU188" s="89"/>
      <c r="DV188" s="130"/>
      <c r="DW188" s="130"/>
      <c r="DX188" s="130"/>
      <c r="DY188" s="130"/>
      <c r="DZ188" s="130"/>
      <c r="EA188" s="130"/>
      <c r="EB188" s="89"/>
      <c r="EC188" s="130"/>
      <c r="ED188" s="130"/>
      <c r="EE188" s="130"/>
      <c r="EF188" s="130"/>
      <c r="EG188" s="130"/>
      <c r="EH188" s="130"/>
      <c r="EI188" s="89"/>
      <c r="EJ188" s="47"/>
      <c r="EK188" s="47"/>
      <c r="EL188" s="47"/>
      <c r="EM188" s="47"/>
      <c r="EN188" s="47"/>
      <c r="EO188" s="47"/>
      <c r="EP188" s="47"/>
      <c r="EQ188" s="47"/>
      <c r="ER188" s="47"/>
      <c r="ES188" s="47"/>
      <c r="ET188" s="47"/>
      <c r="EU188" s="47"/>
      <c r="EV188" s="47"/>
      <c r="EW188" s="47"/>
      <c r="EX188" s="47"/>
      <c r="EY188" s="47"/>
      <c r="EZ188" s="47"/>
      <c r="FA188" s="47"/>
      <c r="FB188" s="47"/>
      <c r="FC188" s="47"/>
      <c r="FD188" s="47"/>
      <c r="FE188" s="47"/>
      <c r="FF188" s="47"/>
      <c r="FG188" s="47"/>
      <c r="FH188" s="47"/>
      <c r="FI188" s="47"/>
      <c r="FJ188" s="47"/>
      <c r="FK188" s="47"/>
      <c r="FL188" s="47"/>
      <c r="FM188" s="47"/>
      <c r="FN188" s="47"/>
      <c r="FO188" s="47"/>
      <c r="FP188" s="47"/>
      <c r="FQ188" s="47"/>
      <c r="FR188" s="47"/>
      <c r="FS188" s="47"/>
      <c r="FT188" s="47"/>
      <c r="FU188" s="47"/>
      <c r="FV188" s="47"/>
      <c r="FW188" s="47"/>
      <c r="FX188" s="47"/>
      <c r="FY188" s="47"/>
      <c r="FZ188" s="47"/>
      <c r="GA188" s="47"/>
      <c r="GB188" s="47"/>
      <c r="GC188" s="47"/>
      <c r="GD188" s="47"/>
      <c r="GE188" s="47"/>
    </row>
    <row r="189" spans="1:187" ht="10.5" customHeight="1">
      <c r="A189" s="76"/>
      <c r="B189" s="292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89"/>
      <c r="U189" s="130"/>
      <c r="V189" s="130"/>
      <c r="W189" s="130"/>
      <c r="X189" s="130"/>
      <c r="Y189" s="130"/>
      <c r="Z189" s="130"/>
      <c r="AA189" s="89"/>
      <c r="AB189" s="130"/>
      <c r="AC189" s="130"/>
      <c r="AD189" s="130"/>
      <c r="AE189" s="130"/>
      <c r="AF189" s="130"/>
      <c r="AG189" s="130"/>
      <c r="AH189" s="89"/>
      <c r="AI189" s="130"/>
      <c r="AJ189" s="130"/>
      <c r="AK189" s="130"/>
      <c r="AL189" s="130"/>
      <c r="AM189" s="130"/>
      <c r="AN189" s="130"/>
      <c r="AO189" s="89"/>
      <c r="AP189" s="130"/>
      <c r="AQ189" s="130"/>
      <c r="AR189" s="130"/>
      <c r="AS189" s="130"/>
      <c r="AT189" s="130"/>
      <c r="AU189" s="130"/>
      <c r="AV189" s="89"/>
      <c r="AW189" s="130"/>
      <c r="AX189" s="130"/>
      <c r="AY189" s="130"/>
      <c r="AZ189" s="130"/>
      <c r="BA189" s="130"/>
      <c r="BB189" s="130"/>
      <c r="BC189" s="89"/>
      <c r="BD189" s="130"/>
      <c r="BE189" s="130"/>
      <c r="BF189" s="130"/>
      <c r="BG189" s="130"/>
      <c r="BH189" s="130"/>
      <c r="BI189" s="130"/>
      <c r="BJ189" s="89"/>
      <c r="BK189" s="130"/>
      <c r="BL189" s="130"/>
      <c r="BM189" s="130"/>
      <c r="BN189" s="130"/>
      <c r="BO189" s="130"/>
      <c r="BP189" s="130"/>
      <c r="BQ189" s="89"/>
      <c r="BR189" s="130"/>
      <c r="BS189" s="130"/>
      <c r="BT189" s="130"/>
      <c r="BU189" s="130"/>
      <c r="BV189" s="130"/>
      <c r="BW189" s="130"/>
      <c r="BX189" s="89"/>
      <c r="BY189" s="130"/>
      <c r="BZ189" s="130"/>
      <c r="CA189" s="130"/>
      <c r="CB189" s="130"/>
      <c r="CC189" s="130"/>
      <c r="CD189" s="130"/>
      <c r="CE189" s="89"/>
      <c r="CF189" s="130"/>
      <c r="CG189" s="130"/>
      <c r="CH189" s="130"/>
      <c r="CI189" s="130"/>
      <c r="CJ189" s="130"/>
      <c r="CK189" s="130"/>
      <c r="CL189" s="89"/>
      <c r="CM189" s="130"/>
      <c r="CN189" s="130"/>
      <c r="CO189" s="130"/>
      <c r="CP189" s="130"/>
      <c r="CQ189" s="130"/>
      <c r="CR189" s="130"/>
      <c r="CS189" s="89"/>
      <c r="CT189" s="130"/>
      <c r="CU189" s="130"/>
      <c r="CV189" s="130"/>
      <c r="CW189" s="130"/>
      <c r="CX189" s="130"/>
      <c r="CY189" s="130"/>
      <c r="CZ189" s="89"/>
      <c r="DA189" s="130"/>
      <c r="DB189" s="130"/>
      <c r="DC189" s="130"/>
      <c r="DD189" s="130"/>
      <c r="DE189" s="130"/>
      <c r="DF189" s="130"/>
      <c r="DG189" s="89"/>
      <c r="DH189" s="130"/>
      <c r="DI189" s="130"/>
      <c r="DJ189" s="130"/>
      <c r="DK189" s="130"/>
      <c r="DL189" s="130"/>
      <c r="DM189" s="130"/>
      <c r="DN189" s="89"/>
      <c r="DO189" s="130"/>
      <c r="DP189" s="130"/>
      <c r="DQ189" s="130"/>
      <c r="DR189" s="130"/>
      <c r="DS189" s="130"/>
      <c r="DT189" s="130"/>
      <c r="DU189" s="89"/>
      <c r="DV189" s="130"/>
      <c r="DW189" s="130"/>
      <c r="DX189" s="130"/>
      <c r="DY189" s="130"/>
      <c r="DZ189" s="130"/>
      <c r="EA189" s="130"/>
      <c r="EB189" s="89"/>
      <c r="EC189" s="130"/>
      <c r="ED189" s="130"/>
      <c r="EE189" s="130"/>
      <c r="EF189" s="130"/>
      <c r="EG189" s="130"/>
      <c r="EH189" s="130"/>
      <c r="EI189" s="89"/>
      <c r="EJ189" s="47"/>
      <c r="EK189" s="47"/>
      <c r="EL189" s="47"/>
      <c r="EM189" s="47"/>
      <c r="EN189" s="47"/>
      <c r="EO189" s="47"/>
      <c r="EP189" s="47"/>
      <c r="EQ189" s="47"/>
      <c r="ER189" s="47"/>
      <c r="ES189" s="47"/>
      <c r="ET189" s="47"/>
      <c r="EU189" s="47"/>
      <c r="EV189" s="47"/>
      <c r="EW189" s="47"/>
      <c r="EX189" s="47"/>
      <c r="EY189" s="47"/>
      <c r="EZ189" s="47"/>
      <c r="FA189" s="47"/>
      <c r="FB189" s="47"/>
      <c r="FC189" s="47"/>
      <c r="FD189" s="47"/>
      <c r="FE189" s="47"/>
      <c r="FF189" s="47"/>
      <c r="FG189" s="47"/>
      <c r="FH189" s="47"/>
      <c r="FI189" s="47"/>
      <c r="FJ189" s="47"/>
      <c r="FK189" s="47"/>
      <c r="FL189" s="47"/>
      <c r="FM189" s="47"/>
      <c r="FN189" s="47"/>
      <c r="FO189" s="47"/>
      <c r="FP189" s="47"/>
      <c r="FQ189" s="47"/>
      <c r="FR189" s="47"/>
      <c r="FS189" s="47"/>
      <c r="FT189" s="47"/>
      <c r="FU189" s="47"/>
      <c r="FV189" s="47"/>
      <c r="FW189" s="47"/>
      <c r="FX189" s="47"/>
      <c r="FY189" s="47"/>
      <c r="FZ189" s="47"/>
      <c r="GA189" s="47"/>
      <c r="GB189" s="47"/>
      <c r="GC189" s="47"/>
      <c r="GD189" s="47"/>
      <c r="GE189" s="47"/>
    </row>
    <row r="190" spans="1:187" ht="10.5" customHeight="1">
      <c r="A190" s="76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94"/>
      <c r="U190" s="292"/>
      <c r="V190" s="292"/>
      <c r="W190" s="292"/>
      <c r="X190" s="292"/>
      <c r="Y190" s="292"/>
      <c r="Z190" s="292"/>
      <c r="AA190" s="94"/>
      <c r="AB190" s="292"/>
      <c r="AC190" s="292"/>
      <c r="AD190" s="292"/>
      <c r="AE190" s="292"/>
      <c r="AF190" s="292"/>
      <c r="AG190" s="292"/>
      <c r="AH190" s="94"/>
      <c r="AI190" s="292"/>
      <c r="AJ190" s="292"/>
      <c r="AK190" s="292"/>
      <c r="AL190" s="292"/>
      <c r="AM190" s="292"/>
      <c r="AN190" s="292"/>
      <c r="AO190" s="94"/>
      <c r="AP190" s="292"/>
      <c r="AQ190" s="292"/>
      <c r="AR190" s="292"/>
      <c r="AS190" s="292"/>
      <c r="AT190" s="292"/>
      <c r="AU190" s="292"/>
      <c r="AV190" s="94"/>
      <c r="AW190" s="292"/>
      <c r="AX190" s="292"/>
      <c r="AY190" s="292"/>
      <c r="AZ190" s="292"/>
      <c r="BA190" s="292"/>
      <c r="BB190" s="292"/>
      <c r="BC190" s="94"/>
      <c r="BD190" s="292"/>
      <c r="BE190" s="292"/>
      <c r="BF190" s="292"/>
      <c r="BG190" s="292"/>
      <c r="BH190" s="292"/>
      <c r="BI190" s="292"/>
      <c r="BJ190" s="94"/>
      <c r="BK190" s="292"/>
      <c r="BL190" s="292"/>
      <c r="BM190" s="292"/>
      <c r="BN190" s="292"/>
      <c r="BO190" s="292"/>
      <c r="BP190" s="292"/>
      <c r="BQ190" s="94"/>
      <c r="BR190" s="292"/>
      <c r="BS190" s="292"/>
      <c r="BT190" s="292"/>
      <c r="BU190" s="292"/>
      <c r="BV190" s="292"/>
      <c r="BW190" s="292"/>
      <c r="BX190" s="94"/>
      <c r="BY190" s="292"/>
      <c r="BZ190" s="292"/>
      <c r="CA190" s="292"/>
      <c r="CB190" s="292"/>
      <c r="CC190" s="292"/>
      <c r="CD190" s="292"/>
      <c r="CE190" s="94"/>
      <c r="CF190" s="292"/>
      <c r="CG190" s="292"/>
      <c r="CH190" s="292"/>
      <c r="CI190" s="292"/>
      <c r="CJ190" s="292"/>
      <c r="CK190" s="292"/>
      <c r="CL190" s="94"/>
      <c r="CM190" s="292"/>
      <c r="CN190" s="292"/>
      <c r="CO190" s="292"/>
      <c r="CP190" s="292"/>
      <c r="CQ190" s="292"/>
      <c r="CR190" s="292"/>
      <c r="CS190" s="94"/>
      <c r="CT190" s="292"/>
      <c r="CU190" s="292"/>
      <c r="CV190" s="292"/>
      <c r="CW190" s="292"/>
      <c r="CX190" s="292"/>
      <c r="CY190" s="292"/>
      <c r="CZ190" s="94"/>
      <c r="DA190" s="292"/>
      <c r="DB190" s="292"/>
      <c r="DC190" s="292"/>
      <c r="DD190" s="292"/>
      <c r="DE190" s="292"/>
      <c r="DF190" s="292"/>
      <c r="DG190" s="94"/>
      <c r="DH190" s="292"/>
      <c r="DI190" s="292"/>
      <c r="DJ190" s="292"/>
      <c r="DK190" s="292"/>
      <c r="DL190" s="292"/>
      <c r="DM190" s="292"/>
      <c r="DN190" s="94"/>
      <c r="DO190" s="292"/>
      <c r="DP190" s="292"/>
      <c r="DQ190" s="292"/>
      <c r="DR190" s="292"/>
      <c r="DS190" s="292"/>
      <c r="DT190" s="292"/>
      <c r="DU190" s="94"/>
      <c r="DV190" s="292"/>
      <c r="DW190" s="292"/>
      <c r="DX190" s="292"/>
      <c r="DY190" s="292"/>
      <c r="DZ190" s="292"/>
      <c r="EA190" s="292"/>
      <c r="EB190" s="94"/>
      <c r="EC190" s="292"/>
      <c r="ED190" s="292"/>
      <c r="EE190" s="292"/>
      <c r="EF190" s="292"/>
      <c r="EG190" s="292"/>
      <c r="EH190" s="292"/>
      <c r="EI190" s="94"/>
      <c r="EJ190" s="47"/>
      <c r="EK190" s="47"/>
      <c r="EL190" s="47"/>
      <c r="EM190" s="47"/>
      <c r="EN190" s="47"/>
      <c r="EO190" s="47"/>
      <c r="EP190" s="47"/>
      <c r="EQ190" s="47"/>
      <c r="ER190" s="47"/>
      <c r="ES190" s="47"/>
      <c r="ET190" s="47"/>
      <c r="EU190" s="47"/>
      <c r="EV190" s="47"/>
      <c r="EW190" s="47"/>
      <c r="EX190" s="47"/>
      <c r="EY190" s="47"/>
      <c r="EZ190" s="47"/>
      <c r="FA190" s="47"/>
      <c r="FB190" s="47"/>
      <c r="FC190" s="47"/>
      <c r="FD190" s="47"/>
      <c r="FE190" s="47"/>
      <c r="FF190" s="47"/>
      <c r="FG190" s="47"/>
      <c r="FH190" s="47"/>
      <c r="FI190" s="47"/>
      <c r="FJ190" s="47"/>
      <c r="FK190" s="47"/>
      <c r="FL190" s="47"/>
      <c r="FM190" s="47"/>
      <c r="FN190" s="47"/>
      <c r="FO190" s="47"/>
      <c r="FP190" s="47"/>
      <c r="FQ190" s="47"/>
      <c r="FR190" s="47"/>
      <c r="FS190" s="47"/>
      <c r="FT190" s="47"/>
      <c r="FU190" s="47"/>
      <c r="FV190" s="47"/>
      <c r="FW190" s="47"/>
      <c r="FX190" s="47"/>
      <c r="FY190" s="47"/>
      <c r="FZ190" s="47"/>
      <c r="GA190" s="47"/>
      <c r="GB190" s="47"/>
      <c r="GC190" s="47"/>
      <c r="GD190" s="47"/>
      <c r="GE190" s="47"/>
    </row>
    <row r="191" spans="1:187" ht="10.5" customHeight="1">
      <c r="A191" s="43"/>
      <c r="B191" s="245"/>
      <c r="C191" s="130"/>
      <c r="D191" s="130"/>
      <c r="E191" s="130"/>
      <c r="F191" s="130"/>
      <c r="G191" s="130"/>
      <c r="H191" s="130"/>
      <c r="I191" s="930"/>
      <c r="J191" s="930"/>
      <c r="K191" s="197"/>
      <c r="L191" s="197"/>
      <c r="M191" s="197"/>
      <c r="N191" s="197"/>
      <c r="O191" s="197"/>
      <c r="P191" s="197"/>
      <c r="Q191" s="197"/>
      <c r="R191" s="197"/>
      <c r="S191" s="197"/>
      <c r="T191" s="67"/>
      <c r="U191" s="197"/>
      <c r="V191" s="197"/>
      <c r="W191" s="197"/>
      <c r="X191" s="197"/>
      <c r="Y191" s="197"/>
      <c r="Z191" s="197"/>
      <c r="AA191" s="67"/>
      <c r="AB191" s="197"/>
      <c r="AC191" s="197"/>
      <c r="AD191" s="197"/>
      <c r="AE191" s="197"/>
      <c r="AF191" s="197"/>
      <c r="AG191" s="197"/>
      <c r="AH191" s="67"/>
      <c r="AI191" s="197"/>
      <c r="AJ191" s="197"/>
      <c r="AK191" s="197"/>
      <c r="AL191" s="197"/>
      <c r="AM191" s="197"/>
      <c r="AN191" s="197"/>
      <c r="AO191" s="67"/>
      <c r="AP191" s="197"/>
      <c r="AQ191" s="197"/>
      <c r="AR191" s="197"/>
      <c r="AS191" s="197"/>
      <c r="AT191" s="197"/>
      <c r="AU191" s="197"/>
      <c r="AV191" s="67"/>
      <c r="AW191" s="197"/>
      <c r="AX191" s="197"/>
      <c r="AY191" s="197"/>
      <c r="AZ191" s="197"/>
      <c r="BA191" s="197"/>
      <c r="BB191" s="197"/>
      <c r="BC191" s="67"/>
      <c r="BD191" s="197"/>
      <c r="BE191" s="197"/>
      <c r="BF191" s="197"/>
      <c r="BG191" s="197"/>
      <c r="BH191" s="197"/>
      <c r="BI191" s="197"/>
      <c r="BJ191" s="67"/>
      <c r="BK191" s="197"/>
      <c r="BL191" s="197"/>
      <c r="BM191" s="197"/>
      <c r="BN191" s="197"/>
      <c r="BO191" s="197"/>
      <c r="BP191" s="197"/>
      <c r="BQ191" s="67"/>
      <c r="BR191" s="197"/>
      <c r="BS191" s="197"/>
      <c r="BT191" s="197"/>
      <c r="BU191" s="197"/>
      <c r="BV191" s="197"/>
      <c r="BW191" s="197"/>
      <c r="BX191" s="67"/>
      <c r="BY191" s="197"/>
      <c r="BZ191" s="197"/>
      <c r="CA191" s="197"/>
      <c r="CB191" s="197"/>
      <c r="CC191" s="197"/>
      <c r="CD191" s="197"/>
      <c r="CE191" s="67"/>
      <c r="CF191" s="197"/>
      <c r="CG191" s="197"/>
      <c r="CH191" s="197"/>
      <c r="CI191" s="197"/>
      <c r="CJ191" s="197"/>
      <c r="CK191" s="197"/>
      <c r="CL191" s="67"/>
      <c r="CM191" s="197"/>
      <c r="CN191" s="197"/>
      <c r="CO191" s="197"/>
      <c r="CP191" s="197"/>
      <c r="CQ191" s="197"/>
      <c r="CR191" s="197"/>
      <c r="CS191" s="67"/>
      <c r="CT191" s="197"/>
      <c r="CU191" s="197"/>
      <c r="CV191" s="197"/>
      <c r="CW191" s="197"/>
      <c r="CX191" s="197"/>
      <c r="CY191" s="197"/>
      <c r="CZ191" s="67"/>
      <c r="DA191" s="197"/>
      <c r="DB191" s="197"/>
      <c r="DC191" s="197"/>
      <c r="DD191" s="197"/>
      <c r="DE191" s="197"/>
      <c r="DF191" s="197"/>
      <c r="DG191" s="67"/>
      <c r="DH191" s="197"/>
      <c r="DI191" s="197"/>
      <c r="DJ191" s="197"/>
      <c r="DK191" s="197"/>
      <c r="DL191" s="197"/>
      <c r="DM191" s="197"/>
      <c r="DN191" s="67"/>
      <c r="DO191" s="197"/>
      <c r="DP191" s="197"/>
      <c r="DQ191" s="197"/>
      <c r="DR191" s="197"/>
      <c r="DS191" s="197"/>
      <c r="DT191" s="197"/>
      <c r="DU191" s="67"/>
      <c r="DV191" s="197"/>
      <c r="DW191" s="197"/>
      <c r="DX191" s="197"/>
      <c r="DY191" s="197"/>
      <c r="DZ191" s="197"/>
      <c r="EA191" s="197"/>
      <c r="EB191" s="67"/>
      <c r="EC191" s="197"/>
      <c r="ED191" s="197"/>
      <c r="EE191" s="197"/>
      <c r="EF191" s="197"/>
      <c r="EG191" s="197"/>
      <c r="EH191" s="197"/>
      <c r="EI191" s="67"/>
      <c r="EJ191" s="47"/>
      <c r="EK191" s="47"/>
      <c r="EL191" s="47"/>
      <c r="EM191" s="47"/>
      <c r="EN191" s="47"/>
      <c r="EO191" s="47"/>
      <c r="EP191" s="47"/>
      <c r="EQ191" s="47"/>
      <c r="ER191" s="47"/>
      <c r="ES191" s="47"/>
      <c r="ET191" s="47"/>
      <c r="EU191" s="47"/>
      <c r="EV191" s="47"/>
      <c r="EW191" s="47"/>
      <c r="EX191" s="47"/>
      <c r="EY191" s="47"/>
      <c r="EZ191" s="47"/>
      <c r="FA191" s="47"/>
      <c r="FB191" s="47"/>
      <c r="FC191" s="47"/>
      <c r="FD191" s="47"/>
      <c r="FE191" s="47"/>
      <c r="FF191" s="47"/>
      <c r="FG191" s="47"/>
      <c r="FH191" s="47"/>
      <c r="FI191" s="47"/>
      <c r="FJ191" s="47"/>
      <c r="FK191" s="47"/>
      <c r="FL191" s="47"/>
      <c r="FM191" s="47"/>
      <c r="FN191" s="47"/>
      <c r="FO191" s="47"/>
      <c r="FP191" s="47"/>
      <c r="FQ191" s="47"/>
      <c r="FR191" s="47"/>
      <c r="FS191" s="47"/>
      <c r="FT191" s="47"/>
      <c r="FU191" s="47"/>
      <c r="FV191" s="47"/>
      <c r="FW191" s="47"/>
      <c r="FX191" s="47"/>
      <c r="FY191" s="47"/>
      <c r="FZ191" s="47"/>
      <c r="GA191" s="47"/>
      <c r="GB191" s="47"/>
      <c r="GC191" s="47"/>
      <c r="GD191" s="47"/>
      <c r="GE191" s="47"/>
    </row>
    <row r="192" spans="1:187" ht="10.5" customHeight="1">
      <c r="A192" s="43"/>
      <c r="B192" s="223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73"/>
      <c r="U192" s="251"/>
      <c r="V192" s="251"/>
      <c r="W192" s="251"/>
      <c r="X192" s="251"/>
      <c r="Y192" s="251"/>
      <c r="Z192" s="251"/>
      <c r="AA192" s="73"/>
      <c r="AB192" s="251"/>
      <c r="AC192" s="251"/>
      <c r="AD192" s="251"/>
      <c r="AE192" s="251"/>
      <c r="AF192" s="251"/>
      <c r="AG192" s="251"/>
      <c r="AH192" s="73"/>
      <c r="AI192" s="251"/>
      <c r="AJ192" s="251"/>
      <c r="AK192" s="251"/>
      <c r="AL192" s="251"/>
      <c r="AM192" s="251"/>
      <c r="AN192" s="251"/>
      <c r="AO192" s="73"/>
      <c r="AP192" s="251"/>
      <c r="AQ192" s="251"/>
      <c r="AR192" s="251"/>
      <c r="AS192" s="251"/>
      <c r="AT192" s="251"/>
      <c r="AU192" s="251"/>
      <c r="AV192" s="73"/>
      <c r="AW192" s="251"/>
      <c r="AX192" s="251"/>
      <c r="AY192" s="251"/>
      <c r="AZ192" s="251"/>
      <c r="BA192" s="251"/>
      <c r="BB192" s="251"/>
      <c r="BC192" s="73"/>
      <c r="BD192" s="251"/>
      <c r="BE192" s="251"/>
      <c r="BF192" s="251"/>
      <c r="BG192" s="251"/>
      <c r="BH192" s="251"/>
      <c r="BI192" s="251"/>
      <c r="BJ192" s="73"/>
      <c r="BK192" s="251"/>
      <c r="BL192" s="251"/>
      <c r="BM192" s="251"/>
      <c r="BN192" s="251"/>
      <c r="BO192" s="251"/>
      <c r="BP192" s="251"/>
      <c r="BQ192" s="73"/>
      <c r="BR192" s="251"/>
      <c r="BS192" s="251"/>
      <c r="BT192" s="251"/>
      <c r="BU192" s="251"/>
      <c r="BV192" s="251"/>
      <c r="BW192" s="251"/>
      <c r="BX192" s="73"/>
      <c r="BY192" s="251"/>
      <c r="BZ192" s="251"/>
      <c r="CA192" s="251"/>
      <c r="CB192" s="251"/>
      <c r="CC192" s="251"/>
      <c r="CD192" s="251"/>
      <c r="CE192" s="73"/>
      <c r="CF192" s="251"/>
      <c r="CG192" s="251"/>
      <c r="CH192" s="251"/>
      <c r="CI192" s="251"/>
      <c r="CJ192" s="251"/>
      <c r="CK192" s="251"/>
      <c r="CL192" s="73"/>
      <c r="CM192" s="251"/>
      <c r="CN192" s="251"/>
      <c r="CO192" s="251"/>
      <c r="CP192" s="251"/>
      <c r="CQ192" s="251"/>
      <c r="CR192" s="251"/>
      <c r="CS192" s="73"/>
      <c r="CT192" s="251"/>
      <c r="CU192" s="251"/>
      <c r="CV192" s="251"/>
      <c r="CW192" s="251"/>
      <c r="CX192" s="251"/>
      <c r="CY192" s="251"/>
      <c r="CZ192" s="73"/>
      <c r="DA192" s="251"/>
      <c r="DB192" s="251"/>
      <c r="DC192" s="251"/>
      <c r="DD192" s="251"/>
      <c r="DE192" s="251"/>
      <c r="DF192" s="251"/>
      <c r="DG192" s="73"/>
      <c r="DH192" s="251"/>
      <c r="DI192" s="251"/>
      <c r="DJ192" s="251"/>
      <c r="DK192" s="251"/>
      <c r="DL192" s="251"/>
      <c r="DM192" s="251"/>
      <c r="DN192" s="73"/>
      <c r="DO192" s="251"/>
      <c r="DP192" s="251"/>
      <c r="DQ192" s="251"/>
      <c r="DR192" s="251"/>
      <c r="DS192" s="251"/>
      <c r="DT192" s="251"/>
      <c r="DU192" s="73"/>
      <c r="DV192" s="251"/>
      <c r="DW192" s="251"/>
      <c r="DX192" s="251"/>
      <c r="DY192" s="251"/>
      <c r="DZ192" s="251"/>
      <c r="EA192" s="251"/>
      <c r="EB192" s="73"/>
      <c r="EC192" s="251"/>
      <c r="ED192" s="251"/>
      <c r="EE192" s="251"/>
      <c r="EF192" s="251"/>
      <c r="EG192" s="251"/>
      <c r="EH192" s="251"/>
      <c r="EI192" s="73"/>
      <c r="EJ192" s="47"/>
      <c r="EK192" s="47"/>
      <c r="EL192" s="47"/>
      <c r="EM192" s="47"/>
      <c r="EN192" s="47"/>
      <c r="EO192" s="47"/>
      <c r="EP192" s="47"/>
      <c r="EQ192" s="47"/>
      <c r="ER192" s="47"/>
      <c r="ES192" s="47"/>
      <c r="ET192" s="47"/>
      <c r="EU192" s="47"/>
      <c r="EV192" s="47"/>
      <c r="EW192" s="47"/>
      <c r="EX192" s="47"/>
      <c r="EY192" s="47"/>
      <c r="EZ192" s="47"/>
      <c r="FA192" s="47"/>
      <c r="FB192" s="47"/>
      <c r="FC192" s="47"/>
      <c r="FD192" s="47"/>
      <c r="FE192" s="47"/>
      <c r="FF192" s="47"/>
      <c r="FG192" s="47"/>
      <c r="FH192" s="47"/>
      <c r="FI192" s="47"/>
      <c r="FJ192" s="47"/>
      <c r="FK192" s="47"/>
      <c r="FL192" s="47"/>
      <c r="FM192" s="47"/>
      <c r="FN192" s="47"/>
      <c r="FO192" s="47"/>
      <c r="FP192" s="47"/>
      <c r="FQ192" s="47"/>
      <c r="FR192" s="47"/>
      <c r="FS192" s="47"/>
      <c r="FT192" s="47"/>
      <c r="FU192" s="47"/>
      <c r="FV192" s="47"/>
      <c r="FW192" s="47"/>
      <c r="FX192" s="47"/>
      <c r="FY192" s="47"/>
      <c r="FZ192" s="47"/>
      <c r="GA192" s="47"/>
      <c r="GB192" s="47"/>
      <c r="GC192" s="47"/>
      <c r="GD192" s="47"/>
      <c r="GE192" s="47"/>
    </row>
    <row r="193" spans="1:187" ht="10.5" customHeight="1">
      <c r="A193" s="43"/>
      <c r="B193" s="245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60"/>
      <c r="U193" s="130"/>
      <c r="V193" s="130"/>
      <c r="W193" s="130"/>
      <c r="X193" s="130"/>
      <c r="Y193" s="130"/>
      <c r="Z193" s="130"/>
      <c r="AA193" s="60"/>
      <c r="AB193" s="130"/>
      <c r="AC193" s="130"/>
      <c r="AD193" s="130"/>
      <c r="AE193" s="130"/>
      <c r="AF193" s="130"/>
      <c r="AG193" s="130"/>
      <c r="AH193" s="60"/>
      <c r="AI193" s="130"/>
      <c r="AJ193" s="130"/>
      <c r="AK193" s="130"/>
      <c r="AL193" s="130"/>
      <c r="AM193" s="130"/>
      <c r="AN193" s="130"/>
      <c r="AO193" s="60"/>
      <c r="AP193" s="130"/>
      <c r="AQ193" s="130"/>
      <c r="AR193" s="130"/>
      <c r="AS193" s="130"/>
      <c r="AT193" s="130"/>
      <c r="AU193" s="130"/>
      <c r="AV193" s="60"/>
      <c r="AW193" s="130"/>
      <c r="AX193" s="130"/>
      <c r="AY193" s="130"/>
      <c r="AZ193" s="130"/>
      <c r="BA193" s="130"/>
      <c r="BB193" s="130"/>
      <c r="BC193" s="60"/>
      <c r="BD193" s="130"/>
      <c r="BE193" s="130"/>
      <c r="BF193" s="130"/>
      <c r="BG193" s="130"/>
      <c r="BH193" s="130"/>
      <c r="BI193" s="130"/>
      <c r="BJ193" s="60"/>
      <c r="BK193" s="130"/>
      <c r="BL193" s="130"/>
      <c r="BM193" s="130"/>
      <c r="BN193" s="130"/>
      <c r="BO193" s="130"/>
      <c r="BP193" s="130"/>
      <c r="BQ193" s="60"/>
      <c r="BR193" s="130"/>
      <c r="BS193" s="130"/>
      <c r="BT193" s="130"/>
      <c r="BU193" s="130"/>
      <c r="BV193" s="130"/>
      <c r="BW193" s="130"/>
      <c r="BX193" s="60"/>
      <c r="BY193" s="130"/>
      <c r="BZ193" s="130"/>
      <c r="CA193" s="130"/>
      <c r="CB193" s="130"/>
      <c r="CC193" s="130"/>
      <c r="CD193" s="130"/>
      <c r="CE193" s="60"/>
      <c r="CF193" s="130"/>
      <c r="CG193" s="130"/>
      <c r="CH193" s="130"/>
      <c r="CI193" s="130"/>
      <c r="CJ193" s="130"/>
      <c r="CK193" s="130"/>
      <c r="CL193" s="60"/>
      <c r="CM193" s="130"/>
      <c r="CN193" s="130"/>
      <c r="CO193" s="130"/>
      <c r="CP193" s="130"/>
      <c r="CQ193" s="130"/>
      <c r="CR193" s="130"/>
      <c r="CS193" s="60"/>
      <c r="CT193" s="130"/>
      <c r="CU193" s="130"/>
      <c r="CV193" s="130"/>
      <c r="CW193" s="130"/>
      <c r="CX193" s="130"/>
      <c r="CY193" s="130"/>
      <c r="CZ193" s="60"/>
      <c r="DA193" s="130"/>
      <c r="DB193" s="130"/>
      <c r="DC193" s="130"/>
      <c r="DD193" s="130"/>
      <c r="DE193" s="130"/>
      <c r="DF193" s="130"/>
      <c r="DG193" s="60"/>
      <c r="DH193" s="130"/>
      <c r="DI193" s="130"/>
      <c r="DJ193" s="130"/>
      <c r="DK193" s="130"/>
      <c r="DL193" s="130"/>
      <c r="DM193" s="130"/>
      <c r="DN193" s="60"/>
      <c r="DO193" s="130"/>
      <c r="DP193" s="130"/>
      <c r="DQ193" s="130"/>
      <c r="DR193" s="130"/>
      <c r="DS193" s="130"/>
      <c r="DT193" s="130"/>
      <c r="DU193" s="60"/>
      <c r="DV193" s="130"/>
      <c r="DW193" s="130"/>
      <c r="DX193" s="130"/>
      <c r="DY193" s="130"/>
      <c r="DZ193" s="130"/>
      <c r="EA193" s="130"/>
      <c r="EB193" s="60"/>
      <c r="EC193" s="130"/>
      <c r="ED193" s="130"/>
      <c r="EE193" s="130"/>
      <c r="EF193" s="130"/>
      <c r="EG193" s="130"/>
      <c r="EH193" s="130"/>
      <c r="EI193" s="60"/>
      <c r="EJ193" s="47"/>
      <c r="EK193" s="47"/>
      <c r="EL193" s="47"/>
      <c r="EM193" s="47"/>
      <c r="EN193" s="47"/>
      <c r="EO193" s="47"/>
      <c r="EP193" s="47"/>
      <c r="EQ193" s="47"/>
      <c r="ER193" s="47"/>
      <c r="ES193" s="47"/>
      <c r="ET193" s="47"/>
      <c r="EU193" s="47"/>
      <c r="EV193" s="47"/>
      <c r="EW193" s="47"/>
      <c r="EX193" s="47"/>
      <c r="EY193" s="47"/>
      <c r="EZ193" s="47"/>
      <c r="FA193" s="47"/>
      <c r="FB193" s="47"/>
      <c r="FC193" s="47"/>
      <c r="FD193" s="47"/>
      <c r="FE193" s="47"/>
      <c r="FF193" s="47"/>
      <c r="FG193" s="47"/>
      <c r="FH193" s="47"/>
      <c r="FI193" s="47"/>
      <c r="FJ193" s="47"/>
      <c r="FK193" s="47"/>
      <c r="FL193" s="47"/>
      <c r="FM193" s="47"/>
      <c r="FN193" s="47"/>
      <c r="FO193" s="47"/>
      <c r="FP193" s="47"/>
      <c r="FQ193" s="47"/>
      <c r="FR193" s="47"/>
      <c r="FS193" s="47"/>
      <c r="FT193" s="47"/>
      <c r="FU193" s="47"/>
      <c r="FV193" s="47"/>
      <c r="FW193" s="47"/>
      <c r="FX193" s="47"/>
      <c r="FY193" s="47"/>
      <c r="FZ193" s="47"/>
      <c r="GA193" s="47"/>
      <c r="GB193" s="47"/>
      <c r="GC193" s="47"/>
      <c r="GD193" s="47"/>
      <c r="GE193" s="47"/>
    </row>
    <row r="194" spans="1:187" ht="10.5" customHeight="1">
      <c r="A194" s="48"/>
      <c r="B194" s="95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  <c r="CA194" s="92"/>
      <c r="CB194" s="92"/>
      <c r="CC194" s="92"/>
      <c r="CD194" s="92"/>
      <c r="CE194" s="92"/>
      <c r="CF194" s="92"/>
      <c r="CG194" s="92"/>
      <c r="CH194" s="92"/>
      <c r="CI194" s="92"/>
      <c r="CJ194" s="92"/>
      <c r="CK194" s="92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  <c r="CV194" s="92"/>
      <c r="CW194" s="92"/>
      <c r="CX194" s="92"/>
      <c r="CY194" s="92"/>
      <c r="CZ194" s="92"/>
      <c r="DA194" s="92"/>
      <c r="DB194" s="92"/>
      <c r="DC194" s="92"/>
      <c r="DD194" s="92"/>
      <c r="DE194" s="92"/>
      <c r="DF194" s="92"/>
      <c r="DG194" s="92"/>
      <c r="DH194" s="92"/>
      <c r="DI194" s="92"/>
      <c r="DJ194" s="92"/>
      <c r="DK194" s="92"/>
      <c r="DL194" s="92"/>
      <c r="DM194" s="92"/>
      <c r="DN194" s="92"/>
      <c r="DO194" s="92"/>
      <c r="DP194" s="92"/>
      <c r="DQ194" s="92"/>
      <c r="DR194" s="92"/>
      <c r="DS194" s="92"/>
      <c r="DT194" s="92"/>
      <c r="DU194" s="92"/>
      <c r="DV194" s="92"/>
      <c r="DW194" s="92"/>
      <c r="DX194" s="92"/>
      <c r="DY194" s="92"/>
      <c r="DZ194" s="92"/>
      <c r="EA194" s="92"/>
      <c r="EB194" s="92"/>
      <c r="EC194" s="92"/>
      <c r="ED194" s="92"/>
      <c r="EE194" s="92"/>
      <c r="EF194" s="92"/>
      <c r="EG194" s="92"/>
      <c r="EH194" s="92"/>
      <c r="EI194" s="92"/>
      <c r="EJ194" s="47"/>
      <c r="EK194" s="47"/>
      <c r="EL194" s="47"/>
      <c r="EM194" s="47"/>
      <c r="EN194" s="47"/>
      <c r="EO194" s="47"/>
      <c r="EP194" s="47"/>
      <c r="EQ194" s="47"/>
      <c r="ER194" s="47"/>
      <c r="ES194" s="47"/>
      <c r="ET194" s="47"/>
      <c r="EU194" s="47"/>
      <c r="EV194" s="47"/>
      <c r="EW194" s="47"/>
      <c r="EX194" s="47"/>
      <c r="EY194" s="47"/>
      <c r="EZ194" s="47"/>
      <c r="FA194" s="47"/>
      <c r="FB194" s="47"/>
      <c r="FC194" s="47"/>
      <c r="FD194" s="47"/>
      <c r="FE194" s="47"/>
      <c r="FF194" s="47"/>
      <c r="FG194" s="47"/>
      <c r="FH194" s="47"/>
      <c r="FI194" s="47"/>
      <c r="FJ194" s="47"/>
      <c r="FK194" s="47"/>
      <c r="FL194" s="47"/>
      <c r="FM194" s="47"/>
      <c r="FN194" s="47"/>
      <c r="FO194" s="47"/>
      <c r="FP194" s="47"/>
      <c r="FQ194" s="47"/>
      <c r="FR194" s="47"/>
      <c r="FS194" s="47"/>
      <c r="FT194" s="47"/>
      <c r="FU194" s="47"/>
      <c r="FV194" s="47"/>
      <c r="FW194" s="47"/>
      <c r="FX194" s="47"/>
      <c r="FY194" s="47"/>
      <c r="FZ194" s="47"/>
      <c r="GA194" s="47"/>
      <c r="GB194" s="47"/>
      <c r="GC194" s="47"/>
      <c r="GD194" s="47"/>
      <c r="GE194" s="47"/>
    </row>
    <row r="195" spans="1:187" ht="10.5" customHeight="1">
      <c r="A195" s="48"/>
      <c r="B195" s="95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47"/>
      <c r="EK195" s="47"/>
      <c r="EL195" s="47"/>
      <c r="EM195" s="47"/>
      <c r="EN195" s="47"/>
      <c r="EO195" s="47"/>
      <c r="EP195" s="47"/>
      <c r="EQ195" s="47"/>
      <c r="ER195" s="47"/>
      <c r="ES195" s="47"/>
      <c r="ET195" s="47"/>
      <c r="EU195" s="47"/>
      <c r="EV195" s="47"/>
      <c r="EW195" s="47"/>
      <c r="EX195" s="47"/>
      <c r="EY195" s="47"/>
      <c r="EZ195" s="47"/>
      <c r="FA195" s="47"/>
      <c r="FB195" s="47"/>
      <c r="FC195" s="47"/>
      <c r="FD195" s="47"/>
      <c r="FE195" s="47"/>
      <c r="FF195" s="47"/>
      <c r="FG195" s="47"/>
      <c r="FH195" s="47"/>
      <c r="FI195" s="47"/>
      <c r="FJ195" s="47"/>
      <c r="FK195" s="47"/>
      <c r="FL195" s="47"/>
      <c r="FM195" s="47"/>
      <c r="FN195" s="47"/>
      <c r="FO195" s="47"/>
      <c r="FP195" s="47"/>
      <c r="FQ195" s="47"/>
      <c r="FR195" s="47"/>
      <c r="FS195" s="47"/>
      <c r="FT195" s="47"/>
      <c r="FU195" s="47"/>
      <c r="FV195" s="47"/>
      <c r="FW195" s="47"/>
      <c r="FX195" s="47"/>
      <c r="FY195" s="47"/>
      <c r="FZ195" s="47"/>
      <c r="GA195" s="47"/>
      <c r="GB195" s="47"/>
      <c r="GC195" s="47"/>
      <c r="GD195" s="47"/>
      <c r="GE195" s="47"/>
    </row>
    <row r="196" spans="1:187" ht="10.5" customHeight="1">
      <c r="A196" s="43"/>
      <c r="B196" s="245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74"/>
      <c r="U196" s="251"/>
      <c r="V196" s="251"/>
      <c r="W196" s="251"/>
      <c r="X196" s="251"/>
      <c r="Y196" s="251"/>
      <c r="Z196" s="251"/>
      <c r="AA196" s="74"/>
      <c r="AB196" s="251"/>
      <c r="AC196" s="251"/>
      <c r="AD196" s="251"/>
      <c r="AE196" s="251"/>
      <c r="AF196" s="251"/>
      <c r="AG196" s="251"/>
      <c r="AH196" s="74"/>
      <c r="AI196" s="251"/>
      <c r="AJ196" s="251"/>
      <c r="AK196" s="251"/>
      <c r="AL196" s="251"/>
      <c r="AM196" s="251"/>
      <c r="AN196" s="251"/>
      <c r="AO196" s="74"/>
      <c r="AP196" s="251"/>
      <c r="AQ196" s="251"/>
      <c r="AR196" s="251"/>
      <c r="AS196" s="251"/>
      <c r="AT196" s="251"/>
      <c r="AU196" s="251"/>
      <c r="AV196" s="74"/>
      <c r="AW196" s="251"/>
      <c r="AX196" s="251"/>
      <c r="AY196" s="251"/>
      <c r="AZ196" s="251"/>
      <c r="BA196" s="251"/>
      <c r="BB196" s="251"/>
      <c r="BC196" s="74"/>
      <c r="BD196" s="251"/>
      <c r="BE196" s="251"/>
      <c r="BF196" s="251"/>
      <c r="BG196" s="251"/>
      <c r="BH196" s="251"/>
      <c r="BI196" s="251"/>
      <c r="BJ196" s="74"/>
      <c r="BK196" s="251"/>
      <c r="BL196" s="251"/>
      <c r="BM196" s="251"/>
      <c r="BN196" s="251"/>
      <c r="BO196" s="251"/>
      <c r="BP196" s="251"/>
      <c r="BQ196" s="74"/>
      <c r="BR196" s="251"/>
      <c r="BS196" s="251"/>
      <c r="BT196" s="251"/>
      <c r="BU196" s="251"/>
      <c r="BV196" s="251"/>
      <c r="BW196" s="251"/>
      <c r="BX196" s="74"/>
      <c r="BY196" s="251"/>
      <c r="BZ196" s="251"/>
      <c r="CA196" s="251"/>
      <c r="CB196" s="251"/>
      <c r="CC196" s="251"/>
      <c r="CD196" s="251"/>
      <c r="CE196" s="74"/>
      <c r="CF196" s="251"/>
      <c r="CG196" s="251"/>
      <c r="CH196" s="251"/>
      <c r="CI196" s="251"/>
      <c r="CJ196" s="251"/>
      <c r="CK196" s="251"/>
      <c r="CL196" s="74"/>
      <c r="CM196" s="251"/>
      <c r="CN196" s="251"/>
      <c r="CO196" s="251"/>
      <c r="CP196" s="251"/>
      <c r="CQ196" s="251"/>
      <c r="CR196" s="251"/>
      <c r="CS196" s="74"/>
      <c r="CT196" s="251"/>
      <c r="CU196" s="251"/>
      <c r="CV196" s="251"/>
      <c r="CW196" s="251"/>
      <c r="CX196" s="251"/>
      <c r="CY196" s="251"/>
      <c r="CZ196" s="74"/>
      <c r="DA196" s="251"/>
      <c r="DB196" s="251"/>
      <c r="DC196" s="251"/>
      <c r="DD196" s="251"/>
      <c r="DE196" s="251"/>
      <c r="DF196" s="251"/>
      <c r="DG196" s="74"/>
      <c r="DH196" s="251"/>
      <c r="DI196" s="251"/>
      <c r="DJ196" s="251"/>
      <c r="DK196" s="251"/>
      <c r="DL196" s="251"/>
      <c r="DM196" s="251"/>
      <c r="DN196" s="74"/>
      <c r="DO196" s="251"/>
      <c r="DP196" s="251"/>
      <c r="DQ196" s="251"/>
      <c r="DR196" s="251"/>
      <c r="DS196" s="251"/>
      <c r="DT196" s="251"/>
      <c r="DU196" s="74"/>
      <c r="DV196" s="251"/>
      <c r="DW196" s="251"/>
      <c r="DX196" s="251"/>
      <c r="DY196" s="251"/>
      <c r="DZ196" s="251"/>
      <c r="EA196" s="251"/>
      <c r="EB196" s="74"/>
      <c r="EC196" s="251"/>
      <c r="ED196" s="251"/>
      <c r="EE196" s="251"/>
      <c r="EF196" s="251"/>
      <c r="EG196" s="251"/>
      <c r="EH196" s="251"/>
      <c r="EI196" s="74"/>
      <c r="EJ196" s="47"/>
      <c r="EK196" s="47"/>
      <c r="EL196" s="47"/>
      <c r="EM196" s="47"/>
      <c r="EN196" s="47"/>
      <c r="EO196" s="47"/>
      <c r="EP196" s="47"/>
      <c r="EQ196" s="47"/>
      <c r="ER196" s="47"/>
      <c r="ES196" s="47"/>
      <c r="ET196" s="47"/>
      <c r="EU196" s="47"/>
      <c r="EV196" s="47"/>
      <c r="EW196" s="47"/>
      <c r="EX196" s="47"/>
      <c r="EY196" s="47"/>
      <c r="EZ196" s="47"/>
      <c r="FA196" s="47"/>
      <c r="FB196" s="47"/>
      <c r="FC196" s="47"/>
      <c r="FD196" s="47"/>
      <c r="FE196" s="47"/>
      <c r="FF196" s="47"/>
      <c r="FG196" s="47"/>
      <c r="FH196" s="47"/>
      <c r="FI196" s="47"/>
      <c r="FJ196" s="47"/>
      <c r="FK196" s="47"/>
      <c r="FL196" s="47"/>
      <c r="FM196" s="47"/>
      <c r="FN196" s="47"/>
      <c r="FO196" s="47"/>
      <c r="FP196" s="47"/>
      <c r="FQ196" s="47"/>
      <c r="FR196" s="47"/>
      <c r="FS196" s="47"/>
      <c r="FT196" s="47"/>
      <c r="FU196" s="47"/>
      <c r="FV196" s="47"/>
      <c r="FW196" s="47"/>
      <c r="FX196" s="47"/>
      <c r="FY196" s="47"/>
      <c r="FZ196" s="47"/>
      <c r="GA196" s="47"/>
      <c r="GB196" s="47"/>
      <c r="GC196" s="47"/>
      <c r="GD196" s="47"/>
      <c r="GE196" s="47"/>
    </row>
    <row r="197" spans="1:187" ht="10.5" customHeight="1">
      <c r="A197" s="43"/>
      <c r="B197" s="245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74"/>
      <c r="U197" s="251"/>
      <c r="V197" s="251"/>
      <c r="W197" s="251"/>
      <c r="X197" s="251"/>
      <c r="Y197" s="251"/>
      <c r="Z197" s="251"/>
      <c r="AA197" s="74"/>
      <c r="AB197" s="251"/>
      <c r="AC197" s="251"/>
      <c r="AD197" s="251"/>
      <c r="AE197" s="251"/>
      <c r="AF197" s="251"/>
      <c r="AG197" s="251"/>
      <c r="AH197" s="74"/>
      <c r="AI197" s="251"/>
      <c r="AJ197" s="251"/>
      <c r="AK197" s="251"/>
      <c r="AL197" s="251"/>
      <c r="AM197" s="251"/>
      <c r="AN197" s="251"/>
      <c r="AO197" s="74"/>
      <c r="AP197" s="251"/>
      <c r="AQ197" s="251"/>
      <c r="AR197" s="251"/>
      <c r="AS197" s="251"/>
      <c r="AT197" s="251"/>
      <c r="AU197" s="251"/>
      <c r="AV197" s="74"/>
      <c r="AW197" s="251"/>
      <c r="AX197" s="251"/>
      <c r="AY197" s="251"/>
      <c r="AZ197" s="251"/>
      <c r="BA197" s="251"/>
      <c r="BB197" s="251"/>
      <c r="BC197" s="74"/>
      <c r="BD197" s="251"/>
      <c r="BE197" s="251"/>
      <c r="BF197" s="251"/>
      <c r="BG197" s="251"/>
      <c r="BH197" s="251"/>
      <c r="BI197" s="251"/>
      <c r="BJ197" s="74"/>
      <c r="BK197" s="251"/>
      <c r="BL197" s="251"/>
      <c r="BM197" s="251"/>
      <c r="BN197" s="251"/>
      <c r="BO197" s="251"/>
      <c r="BP197" s="251"/>
      <c r="BQ197" s="74"/>
      <c r="BR197" s="251"/>
      <c r="BS197" s="251"/>
      <c r="BT197" s="251"/>
      <c r="BU197" s="251"/>
      <c r="BV197" s="251"/>
      <c r="BW197" s="251"/>
      <c r="BX197" s="74"/>
      <c r="BY197" s="251"/>
      <c r="BZ197" s="251"/>
      <c r="CA197" s="251"/>
      <c r="CB197" s="251"/>
      <c r="CC197" s="251"/>
      <c r="CD197" s="251"/>
      <c r="CE197" s="74"/>
      <c r="CF197" s="251"/>
      <c r="CG197" s="251"/>
      <c r="CH197" s="251"/>
      <c r="CI197" s="251"/>
      <c r="CJ197" s="251"/>
      <c r="CK197" s="251"/>
      <c r="CL197" s="74"/>
      <c r="CM197" s="251"/>
      <c r="CN197" s="251"/>
      <c r="CO197" s="251"/>
      <c r="CP197" s="251"/>
      <c r="CQ197" s="251"/>
      <c r="CR197" s="251"/>
      <c r="CS197" s="74"/>
      <c r="CT197" s="251"/>
      <c r="CU197" s="251"/>
      <c r="CV197" s="251"/>
      <c r="CW197" s="251"/>
      <c r="CX197" s="251"/>
      <c r="CY197" s="251"/>
      <c r="CZ197" s="74"/>
      <c r="DA197" s="251"/>
      <c r="DB197" s="251"/>
      <c r="DC197" s="251"/>
      <c r="DD197" s="251"/>
      <c r="DE197" s="251"/>
      <c r="DF197" s="251"/>
      <c r="DG197" s="74"/>
      <c r="DH197" s="251"/>
      <c r="DI197" s="251"/>
      <c r="DJ197" s="251"/>
      <c r="DK197" s="251"/>
      <c r="DL197" s="251"/>
      <c r="DM197" s="251"/>
      <c r="DN197" s="74"/>
      <c r="DO197" s="251"/>
      <c r="DP197" s="251"/>
      <c r="DQ197" s="251"/>
      <c r="DR197" s="251"/>
      <c r="DS197" s="251"/>
      <c r="DT197" s="251"/>
      <c r="DU197" s="74"/>
      <c r="DV197" s="251"/>
      <c r="DW197" s="251"/>
      <c r="DX197" s="251"/>
      <c r="DY197" s="251"/>
      <c r="DZ197" s="251"/>
      <c r="EA197" s="251"/>
      <c r="EB197" s="74"/>
      <c r="EC197" s="251"/>
      <c r="ED197" s="251"/>
      <c r="EE197" s="251"/>
      <c r="EF197" s="251"/>
      <c r="EG197" s="251"/>
      <c r="EH197" s="251"/>
      <c r="EI197" s="74"/>
      <c r="EJ197" s="47"/>
      <c r="EK197" s="47"/>
      <c r="EL197" s="47"/>
      <c r="EM197" s="47"/>
      <c r="EN197" s="47"/>
      <c r="EO197" s="47"/>
      <c r="EP197" s="47"/>
      <c r="EQ197" s="47"/>
      <c r="ER197" s="47"/>
      <c r="ES197" s="47"/>
      <c r="ET197" s="47"/>
      <c r="EU197" s="47"/>
      <c r="EV197" s="47"/>
      <c r="EW197" s="47"/>
      <c r="EX197" s="47"/>
      <c r="EY197" s="47"/>
      <c r="EZ197" s="47"/>
      <c r="FA197" s="47"/>
      <c r="FB197" s="47"/>
      <c r="FC197" s="47"/>
      <c r="FD197" s="47"/>
      <c r="FE197" s="47"/>
      <c r="FF197" s="47"/>
      <c r="FG197" s="47"/>
      <c r="FH197" s="47"/>
      <c r="FI197" s="47"/>
      <c r="FJ197" s="47"/>
      <c r="FK197" s="47"/>
      <c r="FL197" s="47"/>
      <c r="FM197" s="47"/>
      <c r="FN197" s="47"/>
      <c r="FO197" s="47"/>
      <c r="FP197" s="47"/>
      <c r="FQ197" s="47"/>
      <c r="FR197" s="47"/>
      <c r="FS197" s="47"/>
      <c r="FT197" s="47"/>
      <c r="FU197" s="47"/>
      <c r="FV197" s="47"/>
      <c r="FW197" s="47"/>
      <c r="FX197" s="47"/>
      <c r="FY197" s="47"/>
      <c r="FZ197" s="47"/>
      <c r="GA197" s="47"/>
      <c r="GB197" s="47"/>
      <c r="GC197" s="47"/>
      <c r="GD197" s="47"/>
      <c r="GE197" s="47"/>
    </row>
    <row r="198" spans="1:187" ht="10.5" customHeight="1">
      <c r="A198" s="43"/>
      <c r="B198" s="245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98"/>
      <c r="U198" s="300"/>
      <c r="V198" s="300"/>
      <c r="W198" s="300"/>
      <c r="X198" s="300"/>
      <c r="Y198" s="300"/>
      <c r="Z198" s="300"/>
      <c r="AA198" s="98"/>
      <c r="AB198" s="300"/>
      <c r="AC198" s="300"/>
      <c r="AD198" s="300"/>
      <c r="AE198" s="300"/>
      <c r="AF198" s="300"/>
      <c r="AG198" s="300"/>
      <c r="AH198" s="98"/>
      <c r="AI198" s="300"/>
      <c r="AJ198" s="300"/>
      <c r="AK198" s="300"/>
      <c r="AL198" s="300"/>
      <c r="AM198" s="300"/>
      <c r="AN198" s="300"/>
      <c r="AO198" s="98"/>
      <c r="AP198" s="300"/>
      <c r="AQ198" s="300"/>
      <c r="AR198" s="300"/>
      <c r="AS198" s="300"/>
      <c r="AT198" s="300"/>
      <c r="AU198" s="300"/>
      <c r="AV198" s="98"/>
      <c r="AW198" s="300"/>
      <c r="AX198" s="300"/>
      <c r="AY198" s="300"/>
      <c r="AZ198" s="300"/>
      <c r="BA198" s="300"/>
      <c r="BB198" s="300"/>
      <c r="BC198" s="98"/>
      <c r="BD198" s="300"/>
      <c r="BE198" s="300"/>
      <c r="BF198" s="300"/>
      <c r="BG198" s="300"/>
      <c r="BH198" s="300"/>
      <c r="BI198" s="300"/>
      <c r="BJ198" s="98"/>
      <c r="BK198" s="300"/>
      <c r="BL198" s="300"/>
      <c r="BM198" s="300"/>
      <c r="BN198" s="300"/>
      <c r="BO198" s="300"/>
      <c r="BP198" s="300"/>
      <c r="BQ198" s="98"/>
      <c r="BR198" s="300"/>
      <c r="BS198" s="300"/>
      <c r="BT198" s="300"/>
      <c r="BU198" s="300"/>
      <c r="BV198" s="300"/>
      <c r="BW198" s="300"/>
      <c r="BX198" s="98"/>
      <c r="BY198" s="300"/>
      <c r="BZ198" s="300"/>
      <c r="CA198" s="300"/>
      <c r="CB198" s="300"/>
      <c r="CC198" s="300"/>
      <c r="CD198" s="300"/>
      <c r="CE198" s="98"/>
      <c r="CF198" s="300"/>
      <c r="CG198" s="300"/>
      <c r="CH198" s="300"/>
      <c r="CI198" s="300"/>
      <c r="CJ198" s="300"/>
      <c r="CK198" s="300"/>
      <c r="CL198" s="98"/>
      <c r="CM198" s="300"/>
      <c r="CN198" s="300"/>
      <c r="CO198" s="300"/>
      <c r="CP198" s="300"/>
      <c r="CQ198" s="300"/>
      <c r="CR198" s="300"/>
      <c r="CS198" s="98"/>
      <c r="CT198" s="300"/>
      <c r="CU198" s="300"/>
      <c r="CV198" s="300"/>
      <c r="CW198" s="300"/>
      <c r="CX198" s="300"/>
      <c r="CY198" s="300"/>
      <c r="CZ198" s="98"/>
      <c r="DA198" s="300"/>
      <c r="DB198" s="300"/>
      <c r="DC198" s="300"/>
      <c r="DD198" s="300"/>
      <c r="DE198" s="300"/>
      <c r="DF198" s="300"/>
      <c r="DG198" s="98"/>
      <c r="DH198" s="300"/>
      <c r="DI198" s="300"/>
      <c r="DJ198" s="300"/>
      <c r="DK198" s="300"/>
      <c r="DL198" s="300"/>
      <c r="DM198" s="300"/>
      <c r="DN198" s="98"/>
      <c r="DO198" s="300"/>
      <c r="DP198" s="300"/>
      <c r="DQ198" s="300"/>
      <c r="DR198" s="300"/>
      <c r="DS198" s="300"/>
      <c r="DT198" s="300"/>
      <c r="DU198" s="98"/>
      <c r="DV198" s="300"/>
      <c r="DW198" s="300"/>
      <c r="DX198" s="300"/>
      <c r="DY198" s="300"/>
      <c r="DZ198" s="300"/>
      <c r="EA198" s="300"/>
      <c r="EB198" s="98"/>
      <c r="EC198" s="300"/>
      <c r="ED198" s="300"/>
      <c r="EE198" s="300"/>
      <c r="EF198" s="300"/>
      <c r="EG198" s="300"/>
      <c r="EH198" s="300"/>
      <c r="EI198" s="98"/>
      <c r="EJ198" s="47"/>
      <c r="EK198" s="47"/>
      <c r="EL198" s="47"/>
      <c r="EM198" s="47"/>
      <c r="EN198" s="47"/>
      <c r="EO198" s="47"/>
      <c r="EP198" s="47"/>
      <c r="EQ198" s="47"/>
      <c r="ER198" s="47"/>
      <c r="ES198" s="47"/>
      <c r="ET198" s="47"/>
      <c r="EU198" s="47"/>
      <c r="EV198" s="47"/>
      <c r="EW198" s="47"/>
      <c r="EX198" s="47"/>
      <c r="EY198" s="47"/>
      <c r="EZ198" s="47"/>
      <c r="FA198" s="47"/>
      <c r="FB198" s="47"/>
      <c r="FC198" s="47"/>
      <c r="FD198" s="47"/>
      <c r="FE198" s="47"/>
      <c r="FF198" s="47"/>
      <c r="FG198" s="47"/>
      <c r="FH198" s="47"/>
      <c r="FI198" s="47"/>
      <c r="FJ198" s="47"/>
      <c r="FK198" s="47"/>
      <c r="FL198" s="47"/>
      <c r="FM198" s="47"/>
      <c r="FN198" s="47"/>
      <c r="FO198" s="47"/>
      <c r="FP198" s="47"/>
      <c r="FQ198" s="47"/>
      <c r="FR198" s="47"/>
      <c r="FS198" s="47"/>
      <c r="FT198" s="47"/>
      <c r="FU198" s="47"/>
      <c r="FV198" s="47"/>
      <c r="FW198" s="47"/>
      <c r="FX198" s="47"/>
      <c r="FY198" s="47"/>
      <c r="FZ198" s="47"/>
      <c r="GA198" s="47"/>
      <c r="GB198" s="47"/>
      <c r="GC198" s="47"/>
      <c r="GD198" s="47"/>
      <c r="GE198" s="47"/>
    </row>
    <row r="199" spans="1:187" ht="10.5" customHeight="1">
      <c r="A199" s="43"/>
      <c r="B199" s="245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99"/>
      <c r="U199" s="300"/>
      <c r="V199" s="300"/>
      <c r="W199" s="300"/>
      <c r="X199" s="300"/>
      <c r="Y199" s="300"/>
      <c r="Z199" s="300"/>
      <c r="AA199" s="99"/>
      <c r="AB199" s="300"/>
      <c r="AC199" s="300"/>
      <c r="AD199" s="300"/>
      <c r="AE199" s="300"/>
      <c r="AF199" s="300"/>
      <c r="AG199" s="300"/>
      <c r="AH199" s="99"/>
      <c r="AI199" s="300"/>
      <c r="AJ199" s="300"/>
      <c r="AK199" s="300"/>
      <c r="AL199" s="300"/>
      <c r="AM199" s="300"/>
      <c r="AN199" s="300"/>
      <c r="AO199" s="99"/>
      <c r="AP199" s="300"/>
      <c r="AQ199" s="300"/>
      <c r="AR199" s="300"/>
      <c r="AS199" s="300"/>
      <c r="AT199" s="300"/>
      <c r="AU199" s="300"/>
      <c r="AV199" s="99"/>
      <c r="AW199" s="300"/>
      <c r="AX199" s="300"/>
      <c r="AY199" s="300"/>
      <c r="AZ199" s="300"/>
      <c r="BA199" s="300"/>
      <c r="BB199" s="300"/>
      <c r="BC199" s="99"/>
      <c r="BD199" s="300"/>
      <c r="BE199" s="300"/>
      <c r="BF199" s="300"/>
      <c r="BG199" s="300"/>
      <c r="BH199" s="300"/>
      <c r="BI199" s="300"/>
      <c r="BJ199" s="99"/>
      <c r="BK199" s="300"/>
      <c r="BL199" s="300"/>
      <c r="BM199" s="300"/>
      <c r="BN199" s="300"/>
      <c r="BO199" s="300"/>
      <c r="BP199" s="300"/>
      <c r="BQ199" s="99"/>
      <c r="BR199" s="300"/>
      <c r="BS199" s="300"/>
      <c r="BT199" s="300"/>
      <c r="BU199" s="300"/>
      <c r="BV199" s="300"/>
      <c r="BW199" s="300"/>
      <c r="BX199" s="99"/>
      <c r="BY199" s="300"/>
      <c r="BZ199" s="300"/>
      <c r="CA199" s="300"/>
      <c r="CB199" s="300"/>
      <c r="CC199" s="300"/>
      <c r="CD199" s="300"/>
      <c r="CE199" s="99"/>
      <c r="CF199" s="300"/>
      <c r="CG199" s="300"/>
      <c r="CH199" s="300"/>
      <c r="CI199" s="300"/>
      <c r="CJ199" s="300"/>
      <c r="CK199" s="300"/>
      <c r="CL199" s="99"/>
      <c r="CM199" s="300"/>
      <c r="CN199" s="300"/>
      <c r="CO199" s="300"/>
      <c r="CP199" s="300"/>
      <c r="CQ199" s="300"/>
      <c r="CR199" s="300"/>
      <c r="CS199" s="99"/>
      <c r="CT199" s="300"/>
      <c r="CU199" s="300"/>
      <c r="CV199" s="300"/>
      <c r="CW199" s="300"/>
      <c r="CX199" s="300"/>
      <c r="CY199" s="300"/>
      <c r="CZ199" s="99"/>
      <c r="DA199" s="300"/>
      <c r="DB199" s="300"/>
      <c r="DC199" s="300"/>
      <c r="DD199" s="300"/>
      <c r="DE199" s="300"/>
      <c r="DF199" s="300"/>
      <c r="DG199" s="99"/>
      <c r="DH199" s="300"/>
      <c r="DI199" s="300"/>
      <c r="DJ199" s="300"/>
      <c r="DK199" s="300"/>
      <c r="DL199" s="300"/>
      <c r="DM199" s="300"/>
      <c r="DN199" s="99"/>
      <c r="DO199" s="300"/>
      <c r="DP199" s="300"/>
      <c r="DQ199" s="300"/>
      <c r="DR199" s="300"/>
      <c r="DS199" s="300"/>
      <c r="DT199" s="300"/>
      <c r="DU199" s="99"/>
      <c r="DV199" s="300"/>
      <c r="DW199" s="300"/>
      <c r="DX199" s="300"/>
      <c r="DY199" s="300"/>
      <c r="DZ199" s="300"/>
      <c r="EA199" s="300"/>
      <c r="EB199" s="99"/>
      <c r="EC199" s="300"/>
      <c r="ED199" s="300"/>
      <c r="EE199" s="300"/>
      <c r="EF199" s="300"/>
      <c r="EG199" s="300"/>
      <c r="EH199" s="300"/>
      <c r="EI199" s="99"/>
      <c r="EJ199" s="47"/>
      <c r="EK199" s="47"/>
      <c r="EL199" s="47"/>
      <c r="EM199" s="47"/>
      <c r="EN199" s="47"/>
      <c r="EO199" s="47"/>
      <c r="EP199" s="47"/>
      <c r="EQ199" s="47"/>
      <c r="ER199" s="47"/>
      <c r="ES199" s="47"/>
      <c r="ET199" s="47"/>
      <c r="EU199" s="47"/>
      <c r="EV199" s="47"/>
      <c r="EW199" s="47"/>
      <c r="EX199" s="47"/>
      <c r="EY199" s="47"/>
      <c r="EZ199" s="47"/>
      <c r="FA199" s="47"/>
      <c r="FB199" s="47"/>
      <c r="FC199" s="47"/>
      <c r="FD199" s="47"/>
      <c r="FE199" s="47"/>
      <c r="FF199" s="47"/>
      <c r="FG199" s="47"/>
      <c r="FH199" s="47"/>
      <c r="FI199" s="47"/>
      <c r="FJ199" s="47"/>
      <c r="FK199" s="47"/>
      <c r="FL199" s="47"/>
      <c r="FM199" s="47"/>
      <c r="FN199" s="47"/>
      <c r="FO199" s="47"/>
      <c r="FP199" s="47"/>
      <c r="FQ199" s="47"/>
      <c r="FR199" s="47"/>
      <c r="FS199" s="47"/>
      <c r="FT199" s="47"/>
      <c r="FU199" s="47"/>
      <c r="FV199" s="47"/>
      <c r="FW199" s="47"/>
      <c r="FX199" s="47"/>
      <c r="FY199" s="47"/>
      <c r="FZ199" s="47"/>
      <c r="GA199" s="47"/>
      <c r="GB199" s="47"/>
      <c r="GC199" s="47"/>
      <c r="GD199" s="47"/>
      <c r="GE199" s="47"/>
    </row>
    <row r="200" spans="1:187" ht="10.5" customHeight="1">
      <c r="A200" s="43"/>
      <c r="B200" s="245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74"/>
      <c r="U200" s="251"/>
      <c r="V200" s="251"/>
      <c r="W200" s="251"/>
      <c r="X200" s="251"/>
      <c r="Y200" s="251"/>
      <c r="Z200" s="251"/>
      <c r="AA200" s="74"/>
      <c r="AB200" s="251"/>
      <c r="AC200" s="251"/>
      <c r="AD200" s="251"/>
      <c r="AE200" s="251"/>
      <c r="AF200" s="251"/>
      <c r="AG200" s="251"/>
      <c r="AH200" s="74"/>
      <c r="AI200" s="251"/>
      <c r="AJ200" s="251"/>
      <c r="AK200" s="251"/>
      <c r="AL200" s="251"/>
      <c r="AM200" s="251"/>
      <c r="AN200" s="251"/>
      <c r="AO200" s="74"/>
      <c r="AP200" s="251"/>
      <c r="AQ200" s="251"/>
      <c r="AR200" s="251"/>
      <c r="AS200" s="251"/>
      <c r="AT200" s="251"/>
      <c r="AU200" s="251"/>
      <c r="AV200" s="74"/>
      <c r="AW200" s="251"/>
      <c r="AX200" s="251"/>
      <c r="AY200" s="251"/>
      <c r="AZ200" s="251"/>
      <c r="BA200" s="251"/>
      <c r="BB200" s="251"/>
      <c r="BC200" s="74"/>
      <c r="BD200" s="251"/>
      <c r="BE200" s="251"/>
      <c r="BF200" s="251"/>
      <c r="BG200" s="251"/>
      <c r="BH200" s="251"/>
      <c r="BI200" s="251"/>
      <c r="BJ200" s="74"/>
      <c r="BK200" s="251"/>
      <c r="BL200" s="251"/>
      <c r="BM200" s="251"/>
      <c r="BN200" s="251"/>
      <c r="BO200" s="251"/>
      <c r="BP200" s="251"/>
      <c r="BQ200" s="74"/>
      <c r="BR200" s="251"/>
      <c r="BS200" s="251"/>
      <c r="BT200" s="251"/>
      <c r="BU200" s="251"/>
      <c r="BV200" s="251"/>
      <c r="BW200" s="251"/>
      <c r="BX200" s="74"/>
      <c r="BY200" s="251"/>
      <c r="BZ200" s="251"/>
      <c r="CA200" s="251"/>
      <c r="CB200" s="251"/>
      <c r="CC200" s="251"/>
      <c r="CD200" s="251"/>
      <c r="CE200" s="74"/>
      <c r="CF200" s="251"/>
      <c r="CG200" s="251"/>
      <c r="CH200" s="251"/>
      <c r="CI200" s="251"/>
      <c r="CJ200" s="251"/>
      <c r="CK200" s="251"/>
      <c r="CL200" s="74"/>
      <c r="CM200" s="251"/>
      <c r="CN200" s="251"/>
      <c r="CO200" s="251"/>
      <c r="CP200" s="251"/>
      <c r="CQ200" s="251"/>
      <c r="CR200" s="251"/>
      <c r="CS200" s="74"/>
      <c r="CT200" s="251"/>
      <c r="CU200" s="251"/>
      <c r="CV200" s="251"/>
      <c r="CW200" s="251"/>
      <c r="CX200" s="251"/>
      <c r="CY200" s="251"/>
      <c r="CZ200" s="74"/>
      <c r="DA200" s="251"/>
      <c r="DB200" s="251"/>
      <c r="DC200" s="251"/>
      <c r="DD200" s="251"/>
      <c r="DE200" s="251"/>
      <c r="DF200" s="251"/>
      <c r="DG200" s="74"/>
      <c r="DH200" s="251"/>
      <c r="DI200" s="251"/>
      <c r="DJ200" s="251"/>
      <c r="DK200" s="251"/>
      <c r="DL200" s="251"/>
      <c r="DM200" s="251"/>
      <c r="DN200" s="74"/>
      <c r="DO200" s="251"/>
      <c r="DP200" s="251"/>
      <c r="DQ200" s="251"/>
      <c r="DR200" s="251"/>
      <c r="DS200" s="251"/>
      <c r="DT200" s="251"/>
      <c r="DU200" s="74"/>
      <c r="DV200" s="251"/>
      <c r="DW200" s="251"/>
      <c r="DX200" s="251"/>
      <c r="DY200" s="251"/>
      <c r="DZ200" s="251"/>
      <c r="EA200" s="251"/>
      <c r="EB200" s="74"/>
      <c r="EC200" s="251"/>
      <c r="ED200" s="251"/>
      <c r="EE200" s="251"/>
      <c r="EF200" s="251"/>
      <c r="EG200" s="251"/>
      <c r="EH200" s="251"/>
      <c r="EI200" s="74"/>
      <c r="EJ200" s="47"/>
      <c r="EK200" s="47"/>
      <c r="EL200" s="47"/>
      <c r="EM200" s="47"/>
      <c r="EN200" s="47"/>
      <c r="EO200" s="47"/>
      <c r="EP200" s="47"/>
      <c r="EQ200" s="47"/>
      <c r="ER200" s="47"/>
      <c r="ES200" s="47"/>
      <c r="ET200" s="47"/>
      <c r="EU200" s="47"/>
      <c r="EV200" s="47"/>
      <c r="EW200" s="47"/>
      <c r="EX200" s="47"/>
      <c r="EY200" s="47"/>
      <c r="EZ200" s="47"/>
      <c r="FA200" s="47"/>
      <c r="FB200" s="47"/>
      <c r="FC200" s="47"/>
      <c r="FD200" s="47"/>
      <c r="FE200" s="47"/>
      <c r="FF200" s="47"/>
      <c r="FG200" s="47"/>
      <c r="FH200" s="47"/>
      <c r="FI200" s="47"/>
      <c r="FJ200" s="47"/>
      <c r="FK200" s="47"/>
      <c r="FL200" s="47"/>
      <c r="FM200" s="47"/>
      <c r="FN200" s="47"/>
      <c r="FO200" s="47"/>
      <c r="FP200" s="47"/>
      <c r="FQ200" s="47"/>
      <c r="FR200" s="47"/>
      <c r="FS200" s="47"/>
      <c r="FT200" s="47"/>
      <c r="FU200" s="47"/>
      <c r="FV200" s="47"/>
      <c r="FW200" s="47"/>
      <c r="FX200" s="47"/>
      <c r="FY200" s="47"/>
      <c r="FZ200" s="47"/>
      <c r="GA200" s="47"/>
      <c r="GB200" s="47"/>
      <c r="GC200" s="47"/>
      <c r="GD200" s="47"/>
      <c r="GE200" s="47"/>
    </row>
    <row r="201" spans="1:187" ht="10.5" customHeight="1">
      <c r="A201" s="43"/>
      <c r="B201" s="245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74"/>
      <c r="U201" s="251"/>
      <c r="V201" s="251"/>
      <c r="W201" s="251"/>
      <c r="X201" s="251"/>
      <c r="Y201" s="251"/>
      <c r="Z201" s="251"/>
      <c r="AA201" s="74"/>
      <c r="AB201" s="251"/>
      <c r="AC201" s="251"/>
      <c r="AD201" s="251"/>
      <c r="AE201" s="251"/>
      <c r="AF201" s="251"/>
      <c r="AG201" s="251"/>
      <c r="AH201" s="74"/>
      <c r="AI201" s="251"/>
      <c r="AJ201" s="251"/>
      <c r="AK201" s="251"/>
      <c r="AL201" s="251"/>
      <c r="AM201" s="251"/>
      <c r="AN201" s="251"/>
      <c r="AO201" s="74"/>
      <c r="AP201" s="251"/>
      <c r="AQ201" s="251"/>
      <c r="AR201" s="251"/>
      <c r="AS201" s="251"/>
      <c r="AT201" s="251"/>
      <c r="AU201" s="251"/>
      <c r="AV201" s="74"/>
      <c r="AW201" s="251"/>
      <c r="AX201" s="251"/>
      <c r="AY201" s="251"/>
      <c r="AZ201" s="251"/>
      <c r="BA201" s="251"/>
      <c r="BB201" s="251"/>
      <c r="BC201" s="74"/>
      <c r="BD201" s="251"/>
      <c r="BE201" s="251"/>
      <c r="BF201" s="251"/>
      <c r="BG201" s="251"/>
      <c r="BH201" s="251"/>
      <c r="BI201" s="251"/>
      <c r="BJ201" s="74"/>
      <c r="BK201" s="251"/>
      <c r="BL201" s="251"/>
      <c r="BM201" s="251"/>
      <c r="BN201" s="251"/>
      <c r="BO201" s="251"/>
      <c r="BP201" s="251"/>
      <c r="BQ201" s="74"/>
      <c r="BR201" s="251"/>
      <c r="BS201" s="251"/>
      <c r="BT201" s="251"/>
      <c r="BU201" s="251"/>
      <c r="BV201" s="251"/>
      <c r="BW201" s="251"/>
      <c r="BX201" s="74"/>
      <c r="BY201" s="251"/>
      <c r="BZ201" s="251"/>
      <c r="CA201" s="251"/>
      <c r="CB201" s="251"/>
      <c r="CC201" s="251"/>
      <c r="CD201" s="251"/>
      <c r="CE201" s="74"/>
      <c r="CF201" s="251"/>
      <c r="CG201" s="251"/>
      <c r="CH201" s="251"/>
      <c r="CI201" s="251"/>
      <c r="CJ201" s="251"/>
      <c r="CK201" s="251"/>
      <c r="CL201" s="74"/>
      <c r="CM201" s="251"/>
      <c r="CN201" s="251"/>
      <c r="CO201" s="251"/>
      <c r="CP201" s="251"/>
      <c r="CQ201" s="251"/>
      <c r="CR201" s="251"/>
      <c r="CS201" s="74"/>
      <c r="CT201" s="251"/>
      <c r="CU201" s="251"/>
      <c r="CV201" s="251"/>
      <c r="CW201" s="251"/>
      <c r="CX201" s="251"/>
      <c r="CY201" s="251"/>
      <c r="CZ201" s="74"/>
      <c r="DA201" s="251"/>
      <c r="DB201" s="251"/>
      <c r="DC201" s="251"/>
      <c r="DD201" s="251"/>
      <c r="DE201" s="251"/>
      <c r="DF201" s="251"/>
      <c r="DG201" s="74"/>
      <c r="DH201" s="251"/>
      <c r="DI201" s="251"/>
      <c r="DJ201" s="251"/>
      <c r="DK201" s="251"/>
      <c r="DL201" s="251"/>
      <c r="DM201" s="251"/>
      <c r="DN201" s="74"/>
      <c r="DO201" s="251"/>
      <c r="DP201" s="251"/>
      <c r="DQ201" s="251"/>
      <c r="DR201" s="251"/>
      <c r="DS201" s="251"/>
      <c r="DT201" s="251"/>
      <c r="DU201" s="74"/>
      <c r="DV201" s="251"/>
      <c r="DW201" s="251"/>
      <c r="DX201" s="251"/>
      <c r="DY201" s="251"/>
      <c r="DZ201" s="251"/>
      <c r="EA201" s="251"/>
      <c r="EB201" s="74"/>
      <c r="EC201" s="251"/>
      <c r="ED201" s="251"/>
      <c r="EE201" s="251"/>
      <c r="EF201" s="251"/>
      <c r="EG201" s="251"/>
      <c r="EH201" s="251"/>
      <c r="EI201" s="74"/>
      <c r="EJ201" s="47"/>
      <c r="EK201" s="47"/>
      <c r="EL201" s="47"/>
      <c r="EM201" s="47"/>
      <c r="EN201" s="47"/>
      <c r="EO201" s="47"/>
      <c r="EP201" s="47"/>
      <c r="EQ201" s="47"/>
      <c r="ER201" s="47"/>
      <c r="ES201" s="47"/>
      <c r="ET201" s="47"/>
      <c r="EU201" s="47"/>
      <c r="EV201" s="47"/>
      <c r="EW201" s="47"/>
      <c r="EX201" s="47"/>
      <c r="EY201" s="47"/>
      <c r="EZ201" s="47"/>
      <c r="FA201" s="47"/>
      <c r="FB201" s="47"/>
      <c r="FC201" s="47"/>
      <c r="FD201" s="47"/>
      <c r="FE201" s="47"/>
      <c r="FF201" s="47"/>
      <c r="FG201" s="47"/>
      <c r="FH201" s="47"/>
      <c r="FI201" s="47"/>
      <c r="FJ201" s="47"/>
      <c r="FK201" s="47"/>
      <c r="FL201" s="47"/>
      <c r="FM201" s="47"/>
      <c r="FN201" s="47"/>
      <c r="FO201" s="47"/>
      <c r="FP201" s="47"/>
      <c r="FQ201" s="47"/>
      <c r="FR201" s="47"/>
      <c r="FS201" s="47"/>
      <c r="FT201" s="47"/>
      <c r="FU201" s="47"/>
      <c r="FV201" s="47"/>
      <c r="FW201" s="47"/>
      <c r="FX201" s="47"/>
      <c r="FY201" s="47"/>
      <c r="FZ201" s="47"/>
      <c r="GA201" s="47"/>
      <c r="GB201" s="47"/>
      <c r="GC201" s="47"/>
      <c r="GD201" s="47"/>
      <c r="GE201" s="47"/>
    </row>
    <row r="202" spans="1:187" ht="10.5" customHeight="1">
      <c r="A202" s="43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43"/>
      <c r="U202" s="108"/>
      <c r="V202" s="108"/>
      <c r="W202" s="108"/>
      <c r="X202" s="108"/>
      <c r="Y202" s="108"/>
      <c r="Z202" s="108"/>
      <c r="AA202" s="43"/>
      <c r="AB202" s="108"/>
      <c r="AC202" s="108"/>
      <c r="AD202" s="108"/>
      <c r="AE202" s="108"/>
      <c r="AF202" s="108"/>
      <c r="AG202" s="108"/>
      <c r="AH202" s="43"/>
      <c r="AI202" s="108"/>
      <c r="AJ202" s="108"/>
      <c r="AK202" s="108"/>
      <c r="AL202" s="108"/>
      <c r="AM202" s="108"/>
      <c r="AN202" s="108"/>
      <c r="AO202" s="43"/>
      <c r="AP202" s="108"/>
      <c r="AQ202" s="108"/>
      <c r="AR202" s="108"/>
      <c r="AS202" s="108"/>
      <c r="AT202" s="108"/>
      <c r="AU202" s="108"/>
      <c r="AV202" s="43"/>
      <c r="AW202" s="108"/>
      <c r="AX202" s="108"/>
      <c r="AY202" s="108"/>
      <c r="AZ202" s="108"/>
      <c r="BA202" s="108"/>
      <c r="BB202" s="108"/>
      <c r="BC202" s="43"/>
      <c r="BD202" s="108"/>
      <c r="BE202" s="108"/>
      <c r="BF202" s="108"/>
      <c r="BG202" s="108"/>
      <c r="BH202" s="108"/>
      <c r="BI202" s="108"/>
      <c r="BJ202" s="43"/>
      <c r="BK202" s="108"/>
      <c r="BL202" s="108"/>
      <c r="BM202" s="108"/>
      <c r="BN202" s="108"/>
      <c r="BO202" s="108"/>
      <c r="BP202" s="108"/>
      <c r="BQ202" s="43"/>
      <c r="BR202" s="108"/>
      <c r="BS202" s="108"/>
      <c r="BT202" s="108"/>
      <c r="BU202" s="108"/>
      <c r="BV202" s="108"/>
      <c r="BW202" s="108"/>
      <c r="BX202" s="43"/>
      <c r="BY202" s="108"/>
      <c r="BZ202" s="108"/>
      <c r="CA202" s="108"/>
      <c r="CB202" s="108"/>
      <c r="CC202" s="108"/>
      <c r="CD202" s="108"/>
      <c r="CE202" s="43"/>
      <c r="CF202" s="108"/>
      <c r="CG202" s="108"/>
      <c r="CH202" s="108"/>
      <c r="CI202" s="108"/>
      <c r="CJ202" s="108"/>
      <c r="CK202" s="108"/>
      <c r="CL202" s="43"/>
      <c r="CM202" s="108"/>
      <c r="CN202" s="108"/>
      <c r="CO202" s="108"/>
      <c r="CP202" s="108"/>
      <c r="CQ202" s="108"/>
      <c r="CR202" s="108"/>
      <c r="CS202" s="43"/>
      <c r="CT202" s="108"/>
      <c r="CU202" s="108"/>
      <c r="CV202" s="108"/>
      <c r="CW202" s="108"/>
      <c r="CX202" s="108"/>
      <c r="CY202" s="108"/>
      <c r="CZ202" s="43"/>
      <c r="DA202" s="108"/>
      <c r="DB202" s="108"/>
      <c r="DC202" s="108"/>
      <c r="DD202" s="108"/>
      <c r="DE202" s="108"/>
      <c r="DF202" s="108"/>
      <c r="DG202" s="43"/>
      <c r="DH202" s="108"/>
      <c r="DI202" s="108"/>
      <c r="DJ202" s="108"/>
      <c r="DK202" s="108"/>
      <c r="DL202" s="108"/>
      <c r="DM202" s="108"/>
      <c r="DN202" s="43"/>
      <c r="DO202" s="108"/>
      <c r="DP202" s="108"/>
      <c r="DQ202" s="108"/>
      <c r="DR202" s="108"/>
      <c r="DS202" s="108"/>
      <c r="DT202" s="108"/>
      <c r="DU202" s="43"/>
      <c r="DV202" s="108"/>
      <c r="DW202" s="108"/>
      <c r="DX202" s="108"/>
      <c r="DY202" s="108"/>
      <c r="DZ202" s="108"/>
      <c r="EA202" s="108"/>
      <c r="EB202" s="43"/>
      <c r="EC202" s="108"/>
      <c r="ED202" s="108"/>
      <c r="EE202" s="108"/>
      <c r="EF202" s="108"/>
      <c r="EG202" s="108"/>
      <c r="EH202" s="108"/>
      <c r="EI202" s="43"/>
      <c r="EJ202" s="47"/>
      <c r="EK202" s="47"/>
      <c r="EL202" s="47"/>
      <c r="EM202" s="47"/>
      <c r="EN202" s="47"/>
      <c r="EO202" s="47"/>
      <c r="EP202" s="47"/>
      <c r="EQ202" s="47"/>
      <c r="ER202" s="47"/>
      <c r="ES202" s="47"/>
      <c r="ET202" s="47"/>
      <c r="EU202" s="47"/>
      <c r="EV202" s="47"/>
      <c r="EW202" s="47"/>
      <c r="EX202" s="47"/>
      <c r="EY202" s="47"/>
      <c r="EZ202" s="47"/>
      <c r="FA202" s="47"/>
      <c r="FB202" s="47"/>
      <c r="FC202" s="47"/>
      <c r="FD202" s="47"/>
      <c r="FE202" s="47"/>
      <c r="FF202" s="47"/>
      <c r="FG202" s="47"/>
      <c r="FH202" s="47"/>
      <c r="FI202" s="47"/>
      <c r="FJ202" s="47"/>
      <c r="FK202" s="47"/>
      <c r="FL202" s="47"/>
      <c r="FM202" s="47"/>
      <c r="FN202" s="47"/>
      <c r="FO202" s="47"/>
      <c r="FP202" s="47"/>
      <c r="FQ202" s="47"/>
      <c r="FR202" s="47"/>
      <c r="FS202" s="47"/>
      <c r="FT202" s="47"/>
      <c r="FU202" s="47"/>
      <c r="FV202" s="47"/>
      <c r="FW202" s="47"/>
      <c r="FX202" s="47"/>
      <c r="FY202" s="47"/>
      <c r="FZ202" s="47"/>
      <c r="GA202" s="47"/>
      <c r="GB202" s="47"/>
      <c r="GC202" s="47"/>
      <c r="GD202" s="47"/>
      <c r="GE202" s="47"/>
    </row>
    <row r="203" spans="1:187" ht="10.5" customHeight="1">
      <c r="A203" s="43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43"/>
      <c r="U203" s="108"/>
      <c r="V203" s="108"/>
      <c r="W203" s="108"/>
      <c r="X203" s="108"/>
      <c r="Y203" s="108"/>
      <c r="Z203" s="108"/>
      <c r="AA203" s="43"/>
      <c r="AB203" s="108"/>
      <c r="AC203" s="108"/>
      <c r="AD203" s="108"/>
      <c r="AE203" s="108"/>
      <c r="AF203" s="108"/>
      <c r="AG203" s="108"/>
      <c r="AH203" s="43"/>
      <c r="AI203" s="108"/>
      <c r="AJ203" s="108"/>
      <c r="AK203" s="108"/>
      <c r="AL203" s="108"/>
      <c r="AM203" s="108"/>
      <c r="AN203" s="108"/>
      <c r="AO203" s="43"/>
      <c r="AP203" s="108"/>
      <c r="AQ203" s="108"/>
      <c r="AR203" s="108"/>
      <c r="AS203" s="108"/>
      <c r="AT203" s="108"/>
      <c r="AU203" s="108"/>
      <c r="AV203" s="43"/>
      <c r="AW203" s="108"/>
      <c r="AX203" s="108"/>
      <c r="AY203" s="108"/>
      <c r="AZ203" s="108"/>
      <c r="BA203" s="108"/>
      <c r="BB203" s="108"/>
      <c r="BC203" s="43"/>
      <c r="BD203" s="108"/>
      <c r="BE203" s="108"/>
      <c r="BF203" s="108"/>
      <c r="BG203" s="108"/>
      <c r="BH203" s="108"/>
      <c r="BI203" s="108"/>
      <c r="BJ203" s="43"/>
      <c r="BK203" s="108"/>
      <c r="BL203" s="108"/>
      <c r="BM203" s="108"/>
      <c r="BN203" s="108"/>
      <c r="BO203" s="108"/>
      <c r="BP203" s="108"/>
      <c r="BQ203" s="43"/>
      <c r="BR203" s="108"/>
      <c r="BS203" s="108"/>
      <c r="BT203" s="108"/>
      <c r="BU203" s="108"/>
      <c r="BV203" s="108"/>
      <c r="BW203" s="108"/>
      <c r="BX203" s="43"/>
      <c r="BY203" s="108"/>
      <c r="BZ203" s="108"/>
      <c r="CA203" s="108"/>
      <c r="CB203" s="108"/>
      <c r="CC203" s="108"/>
      <c r="CD203" s="108"/>
      <c r="CE203" s="43"/>
      <c r="CF203" s="108"/>
      <c r="CG203" s="108"/>
      <c r="CH203" s="108"/>
      <c r="CI203" s="108"/>
      <c r="CJ203" s="108"/>
      <c r="CK203" s="108"/>
      <c r="CL203" s="43"/>
      <c r="CM203" s="108"/>
      <c r="CN203" s="108"/>
      <c r="CO203" s="108"/>
      <c r="CP203" s="108"/>
      <c r="CQ203" s="108"/>
      <c r="CR203" s="108"/>
      <c r="CS203" s="43"/>
      <c r="CT203" s="108"/>
      <c r="CU203" s="108"/>
      <c r="CV203" s="108"/>
      <c r="CW203" s="108"/>
      <c r="CX203" s="108"/>
      <c r="CY203" s="108"/>
      <c r="CZ203" s="43"/>
      <c r="DA203" s="108"/>
      <c r="DB203" s="108"/>
      <c r="DC203" s="108"/>
      <c r="DD203" s="108"/>
      <c r="DE203" s="108"/>
      <c r="DF203" s="108"/>
      <c r="DG203" s="43"/>
      <c r="DH203" s="108"/>
      <c r="DI203" s="108"/>
      <c r="DJ203" s="108"/>
      <c r="DK203" s="108"/>
      <c r="DL203" s="108"/>
      <c r="DM203" s="108"/>
      <c r="DN203" s="43"/>
      <c r="DO203" s="108"/>
      <c r="DP203" s="108"/>
      <c r="DQ203" s="108"/>
      <c r="DR203" s="108"/>
      <c r="DS203" s="108"/>
      <c r="DT203" s="108"/>
      <c r="DU203" s="43"/>
      <c r="DV203" s="108"/>
      <c r="DW203" s="108"/>
      <c r="DX203" s="108"/>
      <c r="DY203" s="108"/>
      <c r="DZ203" s="108"/>
      <c r="EA203" s="108"/>
      <c r="EB203" s="43"/>
      <c r="EC203" s="108"/>
      <c r="ED203" s="108"/>
      <c r="EE203" s="108"/>
      <c r="EF203" s="108"/>
      <c r="EG203" s="108"/>
      <c r="EH203" s="108"/>
      <c r="EI203" s="43"/>
      <c r="EJ203" s="47"/>
      <c r="EK203" s="47"/>
      <c r="EL203" s="47"/>
      <c r="EM203" s="47"/>
      <c r="EN203" s="47"/>
      <c r="EO203" s="47"/>
      <c r="EP203" s="47"/>
      <c r="EQ203" s="47"/>
      <c r="ER203" s="47"/>
      <c r="ES203" s="47"/>
      <c r="ET203" s="47"/>
      <c r="EU203" s="47"/>
      <c r="EV203" s="47"/>
      <c r="EW203" s="47"/>
      <c r="EX203" s="47"/>
      <c r="EY203" s="47"/>
      <c r="EZ203" s="47"/>
      <c r="FA203" s="47"/>
      <c r="FB203" s="47"/>
      <c r="FC203" s="47"/>
      <c r="FD203" s="47"/>
      <c r="FE203" s="47"/>
      <c r="FF203" s="47"/>
      <c r="FG203" s="47"/>
      <c r="FH203" s="47"/>
      <c r="FI203" s="47"/>
      <c r="FJ203" s="47"/>
      <c r="FK203" s="47"/>
      <c r="FL203" s="47"/>
      <c r="FM203" s="47"/>
      <c r="FN203" s="47"/>
      <c r="FO203" s="47"/>
      <c r="FP203" s="47"/>
      <c r="FQ203" s="47"/>
      <c r="FR203" s="47"/>
      <c r="FS203" s="47"/>
      <c r="FT203" s="47"/>
      <c r="FU203" s="47"/>
      <c r="FV203" s="47"/>
      <c r="FW203" s="47"/>
      <c r="FX203" s="47"/>
      <c r="FY203" s="47"/>
      <c r="FZ203" s="47"/>
      <c r="GA203" s="47"/>
      <c r="GB203" s="47"/>
      <c r="GC203" s="47"/>
      <c r="GD203" s="47"/>
      <c r="GE203" s="47"/>
    </row>
    <row r="204" spans="1:187" ht="10.5" customHeight="1">
      <c r="A204" s="43"/>
      <c r="B204" s="244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50"/>
      <c r="U204" s="157"/>
      <c r="V204" s="157"/>
      <c r="W204" s="157"/>
      <c r="X204" s="157"/>
      <c r="Y204" s="157"/>
      <c r="Z204" s="157"/>
      <c r="AA204" s="50"/>
      <c r="AB204" s="157"/>
      <c r="AC204" s="157"/>
      <c r="AD204" s="157"/>
      <c r="AE204" s="157"/>
      <c r="AF204" s="157"/>
      <c r="AG204" s="157"/>
      <c r="AH204" s="50"/>
      <c r="AI204" s="157"/>
      <c r="AJ204" s="157"/>
      <c r="AK204" s="157"/>
      <c r="AL204" s="157"/>
      <c r="AM204" s="157"/>
      <c r="AN204" s="157"/>
      <c r="AO204" s="50"/>
      <c r="AP204" s="157"/>
      <c r="AQ204" s="157"/>
      <c r="AR204" s="157"/>
      <c r="AS204" s="157"/>
      <c r="AT204" s="157"/>
      <c r="AU204" s="157"/>
      <c r="AV204" s="50"/>
      <c r="AW204" s="157"/>
      <c r="AX204" s="157"/>
      <c r="AY204" s="157"/>
      <c r="AZ204" s="157"/>
      <c r="BA204" s="157"/>
      <c r="BB204" s="157"/>
      <c r="BC204" s="50"/>
      <c r="BD204" s="157"/>
      <c r="BE204" s="157"/>
      <c r="BF204" s="157"/>
      <c r="BG204" s="157"/>
      <c r="BH204" s="157"/>
      <c r="BI204" s="157"/>
      <c r="BJ204" s="50"/>
      <c r="BK204" s="157"/>
      <c r="BL204" s="157"/>
      <c r="BM204" s="157"/>
      <c r="BN204" s="157"/>
      <c r="BO204" s="157"/>
      <c r="BP204" s="157"/>
      <c r="BQ204" s="50"/>
      <c r="BR204" s="157"/>
      <c r="BS204" s="157"/>
      <c r="BT204" s="157"/>
      <c r="BU204" s="157"/>
      <c r="BV204" s="157"/>
      <c r="BW204" s="157"/>
      <c r="BX204" s="50"/>
      <c r="BY204" s="157"/>
      <c r="BZ204" s="157"/>
      <c r="CA204" s="157"/>
      <c r="CB204" s="157"/>
      <c r="CC204" s="157"/>
      <c r="CD204" s="157"/>
      <c r="CE204" s="50"/>
      <c r="CF204" s="157"/>
      <c r="CG204" s="157"/>
      <c r="CH204" s="157"/>
      <c r="CI204" s="157"/>
      <c r="CJ204" s="157"/>
      <c r="CK204" s="157"/>
      <c r="CL204" s="50"/>
      <c r="CM204" s="157"/>
      <c r="CN204" s="157"/>
      <c r="CO204" s="157"/>
      <c r="CP204" s="157"/>
      <c r="CQ204" s="157"/>
      <c r="CR204" s="157"/>
      <c r="CS204" s="50"/>
      <c r="CT204" s="157"/>
      <c r="CU204" s="157"/>
      <c r="CV204" s="157"/>
      <c r="CW204" s="157"/>
      <c r="CX204" s="157"/>
      <c r="CY204" s="157"/>
      <c r="CZ204" s="50"/>
      <c r="DA204" s="157"/>
      <c r="DB204" s="157"/>
      <c r="DC204" s="157"/>
      <c r="DD204" s="157"/>
      <c r="DE204" s="157"/>
      <c r="DF204" s="157"/>
      <c r="DG204" s="50"/>
      <c r="DH204" s="157"/>
      <c r="DI204" s="157"/>
      <c r="DJ204" s="157"/>
      <c r="DK204" s="157"/>
      <c r="DL204" s="157"/>
      <c r="DM204" s="157"/>
      <c r="DN204" s="50"/>
      <c r="DO204" s="157"/>
      <c r="DP204" s="157"/>
      <c r="DQ204" s="157"/>
      <c r="DR204" s="157"/>
      <c r="DS204" s="157"/>
      <c r="DT204" s="157"/>
      <c r="DU204" s="50"/>
      <c r="DV204" s="157"/>
      <c r="DW204" s="157"/>
      <c r="DX204" s="157"/>
      <c r="DY204" s="157"/>
      <c r="DZ204" s="157"/>
      <c r="EA204" s="157"/>
      <c r="EB204" s="50"/>
      <c r="EC204" s="157"/>
      <c r="ED204" s="157"/>
      <c r="EE204" s="157"/>
      <c r="EF204" s="157"/>
      <c r="EG204" s="157"/>
      <c r="EH204" s="157"/>
      <c r="EI204" s="50"/>
      <c r="EJ204" s="47"/>
      <c r="EK204" s="47"/>
      <c r="EL204" s="47"/>
      <c r="EM204" s="47"/>
      <c r="EN204" s="47"/>
      <c r="EO204" s="47"/>
      <c r="EP204" s="47"/>
      <c r="EQ204" s="47"/>
      <c r="ER204" s="47"/>
      <c r="ES204" s="47"/>
      <c r="ET204" s="47"/>
      <c r="EU204" s="47"/>
      <c r="EV204" s="47"/>
      <c r="EW204" s="47"/>
      <c r="EX204" s="47"/>
      <c r="EY204" s="47"/>
      <c r="EZ204" s="47"/>
      <c r="FA204" s="47"/>
      <c r="FB204" s="47"/>
      <c r="FC204" s="47"/>
      <c r="FD204" s="47"/>
      <c r="FE204" s="47"/>
      <c r="FF204" s="47"/>
      <c r="FG204" s="47"/>
      <c r="FH204" s="47"/>
      <c r="FI204" s="47"/>
      <c r="FJ204" s="47"/>
      <c r="FK204" s="47"/>
      <c r="FL204" s="47"/>
      <c r="FM204" s="47"/>
      <c r="FN204" s="47"/>
      <c r="FO204" s="47"/>
      <c r="FP204" s="47"/>
      <c r="FQ204" s="47"/>
      <c r="FR204" s="47"/>
      <c r="FS204" s="47"/>
      <c r="FT204" s="47"/>
      <c r="FU204" s="47"/>
      <c r="FV204" s="47"/>
      <c r="FW204" s="47"/>
      <c r="FX204" s="47"/>
      <c r="FY204" s="47"/>
      <c r="FZ204" s="47"/>
      <c r="GA204" s="47"/>
      <c r="GB204" s="47"/>
      <c r="GC204" s="47"/>
      <c r="GD204" s="47"/>
      <c r="GE204" s="47"/>
    </row>
    <row r="205" spans="1:187" ht="10.5" customHeight="1">
      <c r="A205" s="43"/>
      <c r="B205" s="244"/>
      <c r="C205" s="157"/>
      <c r="D205" s="108"/>
      <c r="E205" s="157"/>
      <c r="F205" s="191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50"/>
      <c r="U205" s="157"/>
      <c r="V205" s="157"/>
      <c r="W205" s="157"/>
      <c r="X205" s="157"/>
      <c r="Y205" s="157"/>
      <c r="Z205" s="157"/>
      <c r="AA205" s="50"/>
      <c r="AB205" s="157"/>
      <c r="AC205" s="157"/>
      <c r="AD205" s="157"/>
      <c r="AE205" s="157"/>
      <c r="AF205" s="157"/>
      <c r="AG205" s="157"/>
      <c r="AH205" s="50"/>
      <c r="AI205" s="157"/>
      <c r="AJ205" s="157"/>
      <c r="AK205" s="157"/>
      <c r="AL205" s="157"/>
      <c r="AM205" s="157"/>
      <c r="AN205" s="157"/>
      <c r="AO205" s="50"/>
      <c r="AP205" s="157"/>
      <c r="AQ205" s="157"/>
      <c r="AR205" s="157"/>
      <c r="AS205" s="157"/>
      <c r="AT205" s="157"/>
      <c r="AU205" s="157"/>
      <c r="AV205" s="50"/>
      <c r="AW205" s="157"/>
      <c r="AX205" s="157"/>
      <c r="AY205" s="157"/>
      <c r="AZ205" s="157"/>
      <c r="BA205" s="157"/>
      <c r="BB205" s="157"/>
      <c r="BC205" s="50"/>
      <c r="BD205" s="157"/>
      <c r="BE205" s="157"/>
      <c r="BF205" s="157"/>
      <c r="BG205" s="157"/>
      <c r="BH205" s="157"/>
      <c r="BI205" s="157"/>
      <c r="BJ205" s="50"/>
      <c r="BK205" s="157"/>
      <c r="BL205" s="157"/>
      <c r="BM205" s="157"/>
      <c r="BN205" s="157"/>
      <c r="BO205" s="157"/>
      <c r="BP205" s="157"/>
      <c r="BQ205" s="50"/>
      <c r="BR205" s="157"/>
      <c r="BS205" s="157"/>
      <c r="BT205" s="157"/>
      <c r="BU205" s="157"/>
      <c r="BV205" s="157"/>
      <c r="BW205" s="157"/>
      <c r="BX205" s="50"/>
      <c r="BY205" s="157"/>
      <c r="BZ205" s="157"/>
      <c r="CA205" s="157"/>
      <c r="CB205" s="157"/>
      <c r="CC205" s="157"/>
      <c r="CD205" s="157"/>
      <c r="CE205" s="50"/>
      <c r="CF205" s="157"/>
      <c r="CG205" s="157"/>
      <c r="CH205" s="157"/>
      <c r="CI205" s="157"/>
      <c r="CJ205" s="157"/>
      <c r="CK205" s="157"/>
      <c r="CL205" s="50"/>
      <c r="CM205" s="157"/>
      <c r="CN205" s="157"/>
      <c r="CO205" s="157"/>
      <c r="CP205" s="157"/>
      <c r="CQ205" s="157"/>
      <c r="CR205" s="157"/>
      <c r="CS205" s="50"/>
      <c r="CT205" s="157"/>
      <c r="CU205" s="157"/>
      <c r="CV205" s="157"/>
      <c r="CW205" s="157"/>
      <c r="CX205" s="157"/>
      <c r="CY205" s="157"/>
      <c r="CZ205" s="50"/>
      <c r="DA205" s="157"/>
      <c r="DB205" s="157"/>
      <c r="DC205" s="157"/>
      <c r="DD205" s="157"/>
      <c r="DE205" s="157"/>
      <c r="DF205" s="157"/>
      <c r="DG205" s="50"/>
      <c r="DH205" s="157"/>
      <c r="DI205" s="157"/>
      <c r="DJ205" s="157"/>
      <c r="DK205" s="157"/>
      <c r="DL205" s="157"/>
      <c r="DM205" s="157"/>
      <c r="DN205" s="50"/>
      <c r="DO205" s="157"/>
      <c r="DP205" s="157"/>
      <c r="DQ205" s="157"/>
      <c r="DR205" s="157"/>
      <c r="DS205" s="157"/>
      <c r="DT205" s="157"/>
      <c r="DU205" s="50"/>
      <c r="DV205" s="157"/>
      <c r="DW205" s="157"/>
      <c r="DX205" s="157"/>
      <c r="DY205" s="157"/>
      <c r="DZ205" s="157"/>
      <c r="EA205" s="157"/>
      <c r="EB205" s="50"/>
      <c r="EC205" s="157"/>
      <c r="ED205" s="157"/>
      <c r="EE205" s="157"/>
      <c r="EF205" s="157"/>
      <c r="EG205" s="157"/>
      <c r="EH205" s="157"/>
      <c r="EI205" s="50"/>
      <c r="EJ205" s="47"/>
      <c r="EK205" s="47"/>
      <c r="EL205" s="47"/>
      <c r="EM205" s="47"/>
      <c r="EN205" s="47"/>
      <c r="EO205" s="47"/>
      <c r="EP205" s="47"/>
      <c r="EQ205" s="47"/>
      <c r="ER205" s="47"/>
      <c r="ES205" s="47"/>
      <c r="ET205" s="47"/>
      <c r="EU205" s="47"/>
      <c r="EV205" s="47"/>
      <c r="EW205" s="47"/>
      <c r="EX205" s="47"/>
      <c r="EY205" s="47"/>
      <c r="EZ205" s="47"/>
      <c r="FA205" s="47"/>
      <c r="FB205" s="47"/>
      <c r="FC205" s="47"/>
      <c r="FD205" s="47"/>
      <c r="FE205" s="47"/>
      <c r="FF205" s="47"/>
      <c r="FG205" s="47"/>
      <c r="FH205" s="47"/>
      <c r="FI205" s="47"/>
      <c r="FJ205" s="47"/>
      <c r="FK205" s="47"/>
      <c r="FL205" s="47"/>
      <c r="FM205" s="47"/>
      <c r="FN205" s="47"/>
      <c r="FO205" s="47"/>
      <c r="FP205" s="47"/>
      <c r="FQ205" s="47"/>
      <c r="FR205" s="47"/>
      <c r="FS205" s="47"/>
      <c r="FT205" s="47"/>
      <c r="FU205" s="47"/>
      <c r="FV205" s="47"/>
      <c r="FW205" s="47"/>
      <c r="FX205" s="47"/>
      <c r="FY205" s="47"/>
      <c r="FZ205" s="47"/>
      <c r="GA205" s="47"/>
      <c r="GB205" s="47"/>
      <c r="GC205" s="47"/>
      <c r="GD205" s="47"/>
      <c r="GE205" s="47"/>
    </row>
    <row r="206" spans="1:187" ht="10.5" customHeight="1">
      <c r="A206" s="43"/>
      <c r="B206" s="108"/>
      <c r="C206" s="108"/>
      <c r="D206" s="108"/>
      <c r="E206" s="191"/>
      <c r="F206" s="191"/>
      <c r="G206" s="191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43"/>
      <c r="U206" s="108"/>
      <c r="V206" s="108"/>
      <c r="W206" s="108"/>
      <c r="X206" s="108"/>
      <c r="Y206" s="108"/>
      <c r="Z206" s="108"/>
      <c r="AA206" s="43"/>
      <c r="AB206" s="108"/>
      <c r="AC206" s="108"/>
      <c r="AD206" s="108"/>
      <c r="AE206" s="108"/>
      <c r="AF206" s="108"/>
      <c r="AG206" s="108"/>
      <c r="AH206" s="43"/>
      <c r="AI206" s="108"/>
      <c r="AJ206" s="108"/>
      <c r="AK206" s="108"/>
      <c r="AL206" s="108"/>
      <c r="AM206" s="108"/>
      <c r="AN206" s="108"/>
      <c r="AO206" s="43"/>
      <c r="AP206" s="108"/>
      <c r="AQ206" s="108"/>
      <c r="AR206" s="108"/>
      <c r="AS206" s="108"/>
      <c r="AT206" s="108"/>
      <c r="AU206" s="108"/>
      <c r="AV206" s="43"/>
      <c r="AW206" s="108"/>
      <c r="AX206" s="108"/>
      <c r="AY206" s="108"/>
      <c r="AZ206" s="108"/>
      <c r="BA206" s="108"/>
      <c r="BB206" s="108"/>
      <c r="BC206" s="43"/>
      <c r="BD206" s="108"/>
      <c r="BE206" s="108"/>
      <c r="BF206" s="108"/>
      <c r="BG206" s="108"/>
      <c r="BH206" s="108"/>
      <c r="BI206" s="108"/>
      <c r="BJ206" s="43"/>
      <c r="BK206" s="108"/>
      <c r="BL206" s="108"/>
      <c r="BM206" s="108"/>
      <c r="BN206" s="108"/>
      <c r="BO206" s="108"/>
      <c r="BP206" s="108"/>
      <c r="BQ206" s="43"/>
      <c r="BR206" s="108"/>
      <c r="BS206" s="108"/>
      <c r="BT206" s="108"/>
      <c r="BU206" s="108"/>
      <c r="BV206" s="108"/>
      <c r="BW206" s="108"/>
      <c r="BX206" s="43"/>
      <c r="BY206" s="108"/>
      <c r="BZ206" s="108"/>
      <c r="CA206" s="108"/>
      <c r="CB206" s="108"/>
      <c r="CC206" s="108"/>
      <c r="CD206" s="108"/>
      <c r="CE206" s="43"/>
      <c r="CF206" s="108"/>
      <c r="CG206" s="108"/>
      <c r="CH206" s="108"/>
      <c r="CI206" s="108"/>
      <c r="CJ206" s="108"/>
      <c r="CK206" s="108"/>
      <c r="CL206" s="43"/>
      <c r="CM206" s="108"/>
      <c r="CN206" s="108"/>
      <c r="CO206" s="108"/>
      <c r="CP206" s="108"/>
      <c r="CQ206" s="108"/>
      <c r="CR206" s="108"/>
      <c r="CS206" s="43"/>
      <c r="CT206" s="108"/>
      <c r="CU206" s="108"/>
      <c r="CV206" s="108"/>
      <c r="CW206" s="108"/>
      <c r="CX206" s="108"/>
      <c r="CY206" s="108"/>
      <c r="CZ206" s="43"/>
      <c r="DA206" s="108"/>
      <c r="DB206" s="108"/>
      <c r="DC206" s="108"/>
      <c r="DD206" s="108"/>
      <c r="DE206" s="108"/>
      <c r="DF206" s="108"/>
      <c r="DG206" s="43"/>
      <c r="DH206" s="108"/>
      <c r="DI206" s="108"/>
      <c r="DJ206" s="108"/>
      <c r="DK206" s="108"/>
      <c r="DL206" s="108"/>
      <c r="DM206" s="108"/>
      <c r="DN206" s="43"/>
      <c r="DO206" s="108"/>
      <c r="DP206" s="108"/>
      <c r="DQ206" s="108"/>
      <c r="DR206" s="108"/>
      <c r="DS206" s="108"/>
      <c r="DT206" s="108"/>
      <c r="DU206" s="43"/>
      <c r="DV206" s="108"/>
      <c r="DW206" s="108"/>
      <c r="DX206" s="108"/>
      <c r="DY206" s="108"/>
      <c r="DZ206" s="108"/>
      <c r="EA206" s="108"/>
      <c r="EB206" s="43"/>
      <c r="EC206" s="108"/>
      <c r="ED206" s="108"/>
      <c r="EE206" s="108"/>
      <c r="EF206" s="108"/>
      <c r="EG206" s="108"/>
      <c r="EH206" s="108"/>
      <c r="EI206" s="43"/>
      <c r="EJ206" s="47"/>
      <c r="EK206" s="47"/>
      <c r="EL206" s="47"/>
      <c r="EM206" s="47"/>
      <c r="EN206" s="47"/>
      <c r="EO206" s="47"/>
      <c r="EP206" s="47"/>
      <c r="EQ206" s="47"/>
      <c r="ER206" s="47"/>
      <c r="ES206" s="47"/>
      <c r="ET206" s="47"/>
      <c r="EU206" s="47"/>
      <c r="EV206" s="47"/>
      <c r="EW206" s="47"/>
      <c r="EX206" s="47"/>
      <c r="EY206" s="47"/>
      <c r="EZ206" s="47"/>
      <c r="FA206" s="47"/>
      <c r="FB206" s="47"/>
      <c r="FC206" s="47"/>
      <c r="FD206" s="47"/>
      <c r="FE206" s="47"/>
      <c r="FF206" s="47"/>
      <c r="FG206" s="47"/>
      <c r="FH206" s="47"/>
      <c r="FI206" s="47"/>
      <c r="FJ206" s="47"/>
      <c r="FK206" s="47"/>
      <c r="FL206" s="47"/>
      <c r="FM206" s="47"/>
      <c r="FN206" s="47"/>
      <c r="FO206" s="47"/>
      <c r="FP206" s="47"/>
      <c r="FQ206" s="47"/>
      <c r="FR206" s="47"/>
      <c r="FS206" s="47"/>
      <c r="FT206" s="47"/>
      <c r="FU206" s="47"/>
      <c r="FV206" s="47"/>
      <c r="FW206" s="47"/>
      <c r="FX206" s="47"/>
      <c r="FY206" s="47"/>
      <c r="FZ206" s="47"/>
      <c r="GA206" s="47"/>
      <c r="GB206" s="47"/>
      <c r="GC206" s="47"/>
      <c r="GD206" s="47"/>
      <c r="GE206" s="47"/>
    </row>
    <row r="207" spans="1:187" ht="10.5" customHeight="1">
      <c r="A207" s="43"/>
      <c r="B207" s="108"/>
      <c r="C207" s="108"/>
      <c r="D207" s="134"/>
      <c r="E207" s="191"/>
      <c r="F207" s="931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43"/>
      <c r="U207" s="108"/>
      <c r="V207" s="108"/>
      <c r="W207" s="108"/>
      <c r="X207" s="108"/>
      <c r="Y207" s="108"/>
      <c r="Z207" s="108"/>
      <c r="AA207" s="43"/>
      <c r="AB207" s="108"/>
      <c r="AC207" s="108"/>
      <c r="AD207" s="108"/>
      <c r="AE207" s="108"/>
      <c r="AF207" s="108"/>
      <c r="AG207" s="108"/>
      <c r="AH207" s="43"/>
      <c r="AI207" s="108"/>
      <c r="AJ207" s="108"/>
      <c r="AK207" s="108"/>
      <c r="AL207" s="108"/>
      <c r="AM207" s="108"/>
      <c r="AN207" s="108"/>
      <c r="AO207" s="43"/>
      <c r="AP207" s="108"/>
      <c r="AQ207" s="108"/>
      <c r="AR207" s="108"/>
      <c r="AS207" s="108"/>
      <c r="AT207" s="108"/>
      <c r="AU207" s="108"/>
      <c r="AV207" s="43"/>
      <c r="AW207" s="108"/>
      <c r="AX207" s="108"/>
      <c r="AY207" s="108"/>
      <c r="AZ207" s="108"/>
      <c r="BA207" s="108"/>
      <c r="BB207" s="108"/>
      <c r="BC207" s="43"/>
      <c r="BD207" s="108"/>
      <c r="BE207" s="108"/>
      <c r="BF207" s="108"/>
      <c r="BG207" s="108"/>
      <c r="BH207" s="108"/>
      <c r="BI207" s="108"/>
      <c r="BJ207" s="43"/>
      <c r="BK207" s="108"/>
      <c r="BL207" s="108"/>
      <c r="BM207" s="108"/>
      <c r="BN207" s="108"/>
      <c r="BO207" s="108"/>
      <c r="BP207" s="108"/>
      <c r="BQ207" s="43"/>
      <c r="BR207" s="108"/>
      <c r="BS207" s="108"/>
      <c r="BT207" s="108"/>
      <c r="BU207" s="108"/>
      <c r="BV207" s="108"/>
      <c r="BW207" s="108"/>
      <c r="BX207" s="43"/>
      <c r="BY207" s="108"/>
      <c r="BZ207" s="108"/>
      <c r="CA207" s="108"/>
      <c r="CB207" s="108"/>
      <c r="CC207" s="108"/>
      <c r="CD207" s="108"/>
      <c r="CE207" s="43"/>
      <c r="CF207" s="108"/>
      <c r="CG207" s="108"/>
      <c r="CH207" s="108"/>
      <c r="CI207" s="108"/>
      <c r="CJ207" s="108"/>
      <c r="CK207" s="108"/>
      <c r="CL207" s="43"/>
      <c r="CM207" s="108"/>
      <c r="CN207" s="108"/>
      <c r="CO207" s="108"/>
      <c r="CP207" s="108"/>
      <c r="CQ207" s="108"/>
      <c r="CR207" s="108"/>
      <c r="CS207" s="43"/>
      <c r="CT207" s="108"/>
      <c r="CU207" s="108"/>
      <c r="CV207" s="108"/>
      <c r="CW207" s="108"/>
      <c r="CX207" s="108"/>
      <c r="CY207" s="108"/>
      <c r="CZ207" s="43"/>
      <c r="DA207" s="108"/>
      <c r="DB207" s="108"/>
      <c r="DC207" s="108"/>
      <c r="DD207" s="108"/>
      <c r="DE207" s="108"/>
      <c r="DF207" s="108"/>
      <c r="DG207" s="43"/>
      <c r="DH207" s="108"/>
      <c r="DI207" s="108"/>
      <c r="DJ207" s="108"/>
      <c r="DK207" s="108"/>
      <c r="DL207" s="108"/>
      <c r="DM207" s="108"/>
      <c r="DN207" s="43"/>
      <c r="DO207" s="108"/>
      <c r="DP207" s="108"/>
      <c r="DQ207" s="108"/>
      <c r="DR207" s="108"/>
      <c r="DS207" s="108"/>
      <c r="DT207" s="108"/>
      <c r="DU207" s="43"/>
      <c r="DV207" s="108"/>
      <c r="DW207" s="108"/>
      <c r="DX207" s="108"/>
      <c r="DY207" s="108"/>
      <c r="DZ207" s="108"/>
      <c r="EA207" s="108"/>
      <c r="EB207" s="43"/>
      <c r="EC207" s="108"/>
      <c r="ED207" s="108"/>
      <c r="EE207" s="108"/>
      <c r="EF207" s="108"/>
      <c r="EG207" s="108"/>
      <c r="EH207" s="108"/>
      <c r="EI207" s="43"/>
      <c r="EJ207" s="47"/>
      <c r="EK207" s="47"/>
      <c r="EL207" s="47"/>
      <c r="EM207" s="47"/>
      <c r="EN207" s="47"/>
      <c r="EO207" s="47"/>
      <c r="EP207" s="47"/>
      <c r="EQ207" s="47"/>
      <c r="ER207" s="47"/>
      <c r="ES207" s="47"/>
      <c r="ET207" s="47"/>
      <c r="EU207" s="47"/>
      <c r="EV207" s="47"/>
      <c r="EW207" s="47"/>
      <c r="EX207" s="47"/>
      <c r="EY207" s="47"/>
      <c r="EZ207" s="47"/>
      <c r="FA207" s="47"/>
      <c r="FB207" s="47"/>
      <c r="FC207" s="47"/>
      <c r="FD207" s="47"/>
      <c r="FE207" s="47"/>
      <c r="FF207" s="47"/>
      <c r="FG207" s="47"/>
      <c r="FH207" s="47"/>
      <c r="FI207" s="47"/>
      <c r="FJ207" s="47"/>
      <c r="FK207" s="47"/>
      <c r="FL207" s="47"/>
      <c r="FM207" s="47"/>
      <c r="FN207" s="47"/>
      <c r="FO207" s="47"/>
      <c r="FP207" s="47"/>
      <c r="FQ207" s="47"/>
      <c r="FR207" s="47"/>
      <c r="FS207" s="47"/>
      <c r="FT207" s="47"/>
      <c r="FU207" s="47"/>
      <c r="FV207" s="47"/>
      <c r="FW207" s="47"/>
      <c r="FX207" s="47"/>
      <c r="FY207" s="47"/>
      <c r="FZ207" s="47"/>
      <c r="GA207" s="47"/>
      <c r="GB207" s="47"/>
      <c r="GC207" s="47"/>
      <c r="GD207" s="47"/>
      <c r="GE207" s="47"/>
    </row>
    <row r="208" spans="1:187" ht="10.5" customHeight="1">
      <c r="A208" s="43"/>
      <c r="B208" s="108"/>
      <c r="C208" s="108"/>
      <c r="D208" s="134"/>
      <c r="E208" s="191"/>
      <c r="F208" s="217"/>
      <c r="G208" s="217"/>
      <c r="H208" s="217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43"/>
      <c r="U208" s="108"/>
      <c r="V208" s="108"/>
      <c r="W208" s="108"/>
      <c r="X208" s="108"/>
      <c r="Y208" s="108"/>
      <c r="Z208" s="108"/>
      <c r="AA208" s="43"/>
      <c r="AB208" s="108"/>
      <c r="AC208" s="108"/>
      <c r="AD208" s="108"/>
      <c r="AE208" s="108"/>
      <c r="AF208" s="108"/>
      <c r="AG208" s="108"/>
      <c r="AH208" s="43"/>
      <c r="AI208" s="108"/>
      <c r="AJ208" s="108"/>
      <c r="AK208" s="108"/>
      <c r="AL208" s="108"/>
      <c r="AM208" s="108"/>
      <c r="AN208" s="108"/>
      <c r="AO208" s="43"/>
      <c r="AP208" s="108"/>
      <c r="AQ208" s="108"/>
      <c r="AR208" s="108"/>
      <c r="AS208" s="108"/>
      <c r="AT208" s="108"/>
      <c r="AU208" s="108"/>
      <c r="AV208" s="43"/>
      <c r="AW208" s="108"/>
      <c r="AX208" s="108"/>
      <c r="AY208" s="108"/>
      <c r="AZ208" s="108"/>
      <c r="BA208" s="108"/>
      <c r="BB208" s="108"/>
      <c r="BC208" s="43"/>
      <c r="BD208" s="108"/>
      <c r="BE208" s="108"/>
      <c r="BF208" s="108"/>
      <c r="BG208" s="108"/>
      <c r="BH208" s="108"/>
      <c r="BI208" s="108"/>
      <c r="BJ208" s="43"/>
      <c r="BK208" s="108"/>
      <c r="BL208" s="108"/>
      <c r="BM208" s="108"/>
      <c r="BN208" s="108"/>
      <c r="BO208" s="108"/>
      <c r="BP208" s="108"/>
      <c r="BQ208" s="43"/>
      <c r="BR208" s="108"/>
      <c r="BS208" s="108"/>
      <c r="BT208" s="108"/>
      <c r="BU208" s="108"/>
      <c r="BV208" s="108"/>
      <c r="BW208" s="108"/>
      <c r="BX208" s="43"/>
      <c r="BY208" s="108"/>
      <c r="BZ208" s="108"/>
      <c r="CA208" s="108"/>
      <c r="CB208" s="108"/>
      <c r="CC208" s="108"/>
      <c r="CD208" s="108"/>
      <c r="CE208" s="43"/>
      <c r="CF208" s="108"/>
      <c r="CG208" s="108"/>
      <c r="CH208" s="108"/>
      <c r="CI208" s="108"/>
      <c r="CJ208" s="108"/>
      <c r="CK208" s="108"/>
      <c r="CL208" s="43"/>
      <c r="CM208" s="108"/>
      <c r="CN208" s="108"/>
      <c r="CO208" s="108"/>
      <c r="CP208" s="108"/>
      <c r="CQ208" s="108"/>
      <c r="CR208" s="108"/>
      <c r="CS208" s="43"/>
      <c r="CT208" s="108"/>
      <c r="CU208" s="108"/>
      <c r="CV208" s="108"/>
      <c r="CW208" s="108"/>
      <c r="CX208" s="108"/>
      <c r="CY208" s="108"/>
      <c r="CZ208" s="43"/>
      <c r="DA208" s="108"/>
      <c r="DB208" s="108"/>
      <c r="DC208" s="108"/>
      <c r="DD208" s="108"/>
      <c r="DE208" s="108"/>
      <c r="DF208" s="108"/>
      <c r="DG208" s="43"/>
      <c r="DH208" s="108"/>
      <c r="DI208" s="108"/>
      <c r="DJ208" s="108"/>
      <c r="DK208" s="108"/>
      <c r="DL208" s="108"/>
      <c r="DM208" s="108"/>
      <c r="DN208" s="43"/>
      <c r="DO208" s="108"/>
      <c r="DP208" s="108"/>
      <c r="DQ208" s="108"/>
      <c r="DR208" s="108"/>
      <c r="DS208" s="108"/>
      <c r="DT208" s="108"/>
      <c r="DU208" s="43"/>
      <c r="DV208" s="108"/>
      <c r="DW208" s="108"/>
      <c r="DX208" s="108"/>
      <c r="DY208" s="108"/>
      <c r="DZ208" s="108"/>
      <c r="EA208" s="108"/>
      <c r="EB208" s="43"/>
      <c r="EC208" s="108"/>
      <c r="ED208" s="108"/>
      <c r="EE208" s="108"/>
      <c r="EF208" s="108"/>
      <c r="EG208" s="108"/>
      <c r="EH208" s="108"/>
      <c r="EI208" s="43"/>
      <c r="EJ208" s="47"/>
      <c r="EK208" s="47"/>
      <c r="EL208" s="47"/>
      <c r="EM208" s="47"/>
      <c r="EN208" s="47"/>
      <c r="EO208" s="47"/>
      <c r="EP208" s="47"/>
      <c r="EQ208" s="47"/>
      <c r="ER208" s="47"/>
      <c r="ES208" s="47"/>
      <c r="ET208" s="47"/>
      <c r="EU208" s="47"/>
      <c r="EV208" s="47"/>
      <c r="EW208" s="47"/>
      <c r="EX208" s="47"/>
      <c r="EY208" s="47"/>
      <c r="EZ208" s="47"/>
      <c r="FA208" s="47"/>
      <c r="FB208" s="47"/>
      <c r="FC208" s="47"/>
      <c r="FD208" s="47"/>
      <c r="FE208" s="47"/>
      <c r="FF208" s="47"/>
      <c r="FG208" s="47"/>
      <c r="FH208" s="47"/>
      <c r="FI208" s="47"/>
      <c r="FJ208" s="47"/>
      <c r="FK208" s="47"/>
      <c r="FL208" s="47"/>
      <c r="FM208" s="47"/>
      <c r="FN208" s="47"/>
      <c r="FO208" s="47"/>
      <c r="FP208" s="47"/>
      <c r="FQ208" s="47"/>
      <c r="FR208" s="47"/>
      <c r="FS208" s="47"/>
      <c r="FT208" s="47"/>
      <c r="FU208" s="47"/>
      <c r="FV208" s="47"/>
      <c r="FW208" s="47"/>
      <c r="FX208" s="47"/>
      <c r="FY208" s="47"/>
      <c r="FZ208" s="47"/>
      <c r="GA208" s="47"/>
      <c r="GB208" s="47"/>
      <c r="GC208" s="47"/>
      <c r="GD208" s="47"/>
      <c r="GE208" s="47"/>
    </row>
    <row r="209" spans="1:187" ht="10.5" customHeight="1">
      <c r="A209" s="48"/>
      <c r="B209" s="108"/>
      <c r="C209" s="108"/>
      <c r="D209" s="223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43"/>
      <c r="U209" s="108"/>
      <c r="V209" s="108"/>
      <c r="W209" s="108"/>
      <c r="X209" s="108"/>
      <c r="Y209" s="108"/>
      <c r="Z209" s="108"/>
      <c r="AA209" s="43"/>
      <c r="AB209" s="108"/>
      <c r="AC209" s="108"/>
      <c r="AD209" s="108"/>
      <c r="AE209" s="108"/>
      <c r="AF209" s="108"/>
      <c r="AG209" s="108"/>
      <c r="AH209" s="43"/>
      <c r="AI209" s="108"/>
      <c r="AJ209" s="108"/>
      <c r="AK209" s="108"/>
      <c r="AL209" s="108"/>
      <c r="AM209" s="108"/>
      <c r="AN209" s="108"/>
      <c r="AO209" s="43"/>
      <c r="AP209" s="108"/>
      <c r="AQ209" s="108"/>
      <c r="AR209" s="108"/>
      <c r="AS209" s="108"/>
      <c r="AT209" s="108"/>
      <c r="AU209" s="108"/>
      <c r="AV209" s="43"/>
      <c r="AW209" s="108"/>
      <c r="AX209" s="108"/>
      <c r="AY209" s="108"/>
      <c r="AZ209" s="108"/>
      <c r="BA209" s="108"/>
      <c r="BB209" s="108"/>
      <c r="BC209" s="43"/>
      <c r="BD209" s="108"/>
      <c r="BE209" s="108"/>
      <c r="BF209" s="108"/>
      <c r="BG209" s="108"/>
      <c r="BH209" s="108"/>
      <c r="BI209" s="108"/>
      <c r="BJ209" s="43"/>
      <c r="BK209" s="108"/>
      <c r="BL209" s="108"/>
      <c r="BM209" s="108"/>
      <c r="BN209" s="108"/>
      <c r="BO209" s="108"/>
      <c r="BP209" s="108"/>
      <c r="BQ209" s="43"/>
      <c r="BR209" s="108"/>
      <c r="BS209" s="108"/>
      <c r="BT209" s="108"/>
      <c r="BU209" s="108"/>
      <c r="BV209" s="108"/>
      <c r="BW209" s="108"/>
      <c r="BX209" s="43"/>
      <c r="BY209" s="108"/>
      <c r="BZ209" s="108"/>
      <c r="CA209" s="108"/>
      <c r="CB209" s="108"/>
      <c r="CC209" s="108"/>
      <c r="CD209" s="108"/>
      <c r="CE209" s="43"/>
      <c r="CF209" s="108"/>
      <c r="CG209" s="108"/>
      <c r="CH209" s="108"/>
      <c r="CI209" s="108"/>
      <c r="CJ209" s="108"/>
      <c r="CK209" s="108"/>
      <c r="CL209" s="43"/>
      <c r="CM209" s="108"/>
      <c r="CN209" s="108"/>
      <c r="CO209" s="108"/>
      <c r="CP209" s="108"/>
      <c r="CQ209" s="108"/>
      <c r="CR209" s="108"/>
      <c r="CS209" s="43"/>
      <c r="CT209" s="108"/>
      <c r="CU209" s="108"/>
      <c r="CV209" s="108"/>
      <c r="CW209" s="108"/>
      <c r="CX209" s="108"/>
      <c r="CY209" s="108"/>
      <c r="CZ209" s="43"/>
      <c r="DA209" s="108"/>
      <c r="DB209" s="108"/>
      <c r="DC209" s="108"/>
      <c r="DD209" s="108"/>
      <c r="DE209" s="108"/>
      <c r="DF209" s="108"/>
      <c r="DG209" s="43"/>
      <c r="DH209" s="108"/>
      <c r="DI209" s="108"/>
      <c r="DJ209" s="108"/>
      <c r="DK209" s="108"/>
      <c r="DL209" s="108"/>
      <c r="DM209" s="108"/>
      <c r="DN209" s="43"/>
      <c r="DO209" s="108"/>
      <c r="DP209" s="108"/>
      <c r="DQ209" s="108"/>
      <c r="DR209" s="108"/>
      <c r="DS209" s="108"/>
      <c r="DT209" s="108"/>
      <c r="DU209" s="43"/>
      <c r="DV209" s="108"/>
      <c r="DW209" s="108"/>
      <c r="DX209" s="108"/>
      <c r="DY209" s="108"/>
      <c r="DZ209" s="108"/>
      <c r="EA209" s="108"/>
      <c r="EB209" s="43"/>
      <c r="EC209" s="108"/>
      <c r="ED209" s="108"/>
      <c r="EE209" s="108"/>
      <c r="EF209" s="108"/>
      <c r="EG209" s="108"/>
      <c r="EH209" s="108"/>
      <c r="EI209" s="43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47"/>
      <c r="FG209" s="47"/>
      <c r="FH209" s="47"/>
      <c r="FI209" s="47"/>
      <c r="FJ209" s="47"/>
      <c r="FK209" s="47"/>
      <c r="FL209" s="47"/>
      <c r="FM209" s="47"/>
      <c r="FN209" s="47"/>
      <c r="FO209" s="47"/>
      <c r="FP209" s="47"/>
      <c r="FQ209" s="47"/>
      <c r="FR209" s="47"/>
      <c r="FS209" s="47"/>
      <c r="FT209" s="47"/>
      <c r="FU209" s="47"/>
      <c r="FV209" s="47"/>
      <c r="FW209" s="47"/>
      <c r="FX209" s="47"/>
      <c r="FY209" s="47"/>
      <c r="FZ209" s="47"/>
      <c r="GA209" s="47"/>
      <c r="GB209" s="47"/>
      <c r="GC209" s="47"/>
      <c r="GD209" s="47"/>
      <c r="GE209" s="47"/>
    </row>
    <row r="210" spans="1:187" ht="10.5" customHeight="1">
      <c r="A210" s="43"/>
      <c r="B210" s="108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80"/>
      <c r="U210" s="176"/>
      <c r="V210" s="176"/>
      <c r="W210" s="176"/>
      <c r="X210" s="176"/>
      <c r="Y210" s="176"/>
      <c r="Z210" s="176"/>
      <c r="AA210" s="80"/>
      <c r="AB210" s="176"/>
      <c r="AC210" s="176"/>
      <c r="AD210" s="176"/>
      <c r="AE210" s="176"/>
      <c r="AF210" s="176"/>
      <c r="AG210" s="176"/>
      <c r="AH210" s="80"/>
      <c r="AI210" s="176"/>
      <c r="AJ210" s="176"/>
      <c r="AK210" s="176"/>
      <c r="AL210" s="176"/>
      <c r="AM210" s="176"/>
      <c r="AN210" s="176"/>
      <c r="AO210" s="80"/>
      <c r="AP210" s="176"/>
      <c r="AQ210" s="176"/>
      <c r="AR210" s="176"/>
      <c r="AS210" s="176"/>
      <c r="AT210" s="176"/>
      <c r="AU210" s="176"/>
      <c r="AV210" s="80"/>
      <c r="AW210" s="176"/>
      <c r="AX210" s="176"/>
      <c r="AY210" s="176"/>
      <c r="AZ210" s="176"/>
      <c r="BA210" s="176"/>
      <c r="BB210" s="176"/>
      <c r="BC210" s="80"/>
      <c r="BD210" s="176"/>
      <c r="BE210" s="176"/>
      <c r="BF210" s="176"/>
      <c r="BG210" s="176"/>
      <c r="BH210" s="176"/>
      <c r="BI210" s="176"/>
      <c r="BJ210" s="80"/>
      <c r="BK210" s="176"/>
      <c r="BL210" s="176"/>
      <c r="BM210" s="176"/>
      <c r="BN210" s="176"/>
      <c r="BO210" s="176"/>
      <c r="BP210" s="176"/>
      <c r="BQ210" s="80"/>
      <c r="BR210" s="176"/>
      <c r="BS210" s="176"/>
      <c r="BT210" s="176"/>
      <c r="BU210" s="176"/>
      <c r="BV210" s="176"/>
      <c r="BW210" s="176"/>
      <c r="BX210" s="80"/>
      <c r="BY210" s="176"/>
      <c r="BZ210" s="176"/>
      <c r="CA210" s="176"/>
      <c r="CB210" s="176"/>
      <c r="CC210" s="176"/>
      <c r="CD210" s="176"/>
      <c r="CE210" s="80"/>
      <c r="CF210" s="176"/>
      <c r="CG210" s="176"/>
      <c r="CH210" s="176"/>
      <c r="CI210" s="176"/>
      <c r="CJ210" s="176"/>
      <c r="CK210" s="176"/>
      <c r="CL210" s="80"/>
      <c r="CM210" s="176"/>
      <c r="CN210" s="176"/>
      <c r="CO210" s="176"/>
      <c r="CP210" s="176"/>
      <c r="CQ210" s="176"/>
      <c r="CR210" s="176"/>
      <c r="CS210" s="80"/>
      <c r="CT210" s="176"/>
      <c r="CU210" s="176"/>
      <c r="CV210" s="176"/>
      <c r="CW210" s="176"/>
      <c r="CX210" s="176"/>
      <c r="CY210" s="176"/>
      <c r="CZ210" s="80"/>
      <c r="DA210" s="176"/>
      <c r="DB210" s="176"/>
      <c r="DC210" s="176"/>
      <c r="DD210" s="176"/>
      <c r="DE210" s="176"/>
      <c r="DF210" s="176"/>
      <c r="DG210" s="80"/>
      <c r="DH210" s="176"/>
      <c r="DI210" s="176"/>
      <c r="DJ210" s="176"/>
      <c r="DK210" s="176"/>
      <c r="DL210" s="176"/>
      <c r="DM210" s="176"/>
      <c r="DN210" s="80"/>
      <c r="DO210" s="176"/>
      <c r="DP210" s="176"/>
      <c r="DQ210" s="176"/>
      <c r="DR210" s="176"/>
      <c r="DS210" s="176"/>
      <c r="DT210" s="176"/>
      <c r="DU210" s="80"/>
      <c r="DV210" s="176"/>
      <c r="DW210" s="176"/>
      <c r="DX210" s="176"/>
      <c r="DY210" s="176"/>
      <c r="DZ210" s="176"/>
      <c r="EA210" s="176"/>
      <c r="EB210" s="80"/>
      <c r="EC210" s="176"/>
      <c r="ED210" s="176"/>
      <c r="EE210" s="176"/>
      <c r="EF210" s="176"/>
      <c r="EG210" s="176"/>
      <c r="EH210" s="176"/>
      <c r="EI210" s="80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47"/>
      <c r="FG210" s="47"/>
      <c r="FH210" s="47"/>
      <c r="FI210" s="47"/>
      <c r="FJ210" s="47"/>
      <c r="FK210" s="47"/>
      <c r="FL210" s="47"/>
      <c r="FM210" s="47"/>
      <c r="FN210" s="47"/>
      <c r="FO210" s="47"/>
      <c r="FP210" s="47"/>
      <c r="FQ210" s="47"/>
      <c r="FR210" s="47"/>
      <c r="FS210" s="47"/>
      <c r="FT210" s="47"/>
      <c r="FU210" s="47"/>
      <c r="FV210" s="47"/>
      <c r="FW210" s="47"/>
      <c r="FX210" s="47"/>
      <c r="FY210" s="47"/>
      <c r="FZ210" s="47"/>
      <c r="GA210" s="47"/>
      <c r="GB210" s="47"/>
      <c r="GC210" s="47"/>
      <c r="GD210" s="47"/>
      <c r="GE210" s="47"/>
    </row>
    <row r="211" spans="1:187" ht="10.5" customHeight="1">
      <c r="A211" s="43"/>
      <c r="B211" s="108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80"/>
      <c r="U211" s="176"/>
      <c r="V211" s="176"/>
      <c r="W211" s="176"/>
      <c r="X211" s="176"/>
      <c r="Y211" s="176"/>
      <c r="Z211" s="176"/>
      <c r="AA211" s="80"/>
      <c r="AB211" s="176"/>
      <c r="AC211" s="176"/>
      <c r="AD211" s="176"/>
      <c r="AE211" s="176"/>
      <c r="AF211" s="176"/>
      <c r="AG211" s="176"/>
      <c r="AH211" s="80"/>
      <c r="AI211" s="176"/>
      <c r="AJ211" s="176"/>
      <c r="AK211" s="176"/>
      <c r="AL211" s="176"/>
      <c r="AM211" s="176"/>
      <c r="AN211" s="176"/>
      <c r="AO211" s="80"/>
      <c r="AP211" s="176"/>
      <c r="AQ211" s="176"/>
      <c r="AR211" s="176"/>
      <c r="AS211" s="176"/>
      <c r="AT211" s="176"/>
      <c r="AU211" s="176"/>
      <c r="AV211" s="80"/>
      <c r="AW211" s="176"/>
      <c r="AX211" s="176"/>
      <c r="AY211" s="176"/>
      <c r="AZ211" s="176"/>
      <c r="BA211" s="176"/>
      <c r="BB211" s="176"/>
      <c r="BC211" s="80"/>
      <c r="BD211" s="176"/>
      <c r="BE211" s="176"/>
      <c r="BF211" s="176"/>
      <c r="BG211" s="176"/>
      <c r="BH211" s="176"/>
      <c r="BI211" s="176"/>
      <c r="BJ211" s="80"/>
      <c r="BK211" s="176"/>
      <c r="BL211" s="176"/>
      <c r="BM211" s="176"/>
      <c r="BN211" s="176"/>
      <c r="BO211" s="176"/>
      <c r="BP211" s="176"/>
      <c r="BQ211" s="80"/>
      <c r="BR211" s="176"/>
      <c r="BS211" s="176"/>
      <c r="BT211" s="176"/>
      <c r="BU211" s="176"/>
      <c r="BV211" s="176"/>
      <c r="BW211" s="176"/>
      <c r="BX211" s="80"/>
      <c r="BY211" s="176"/>
      <c r="BZ211" s="176"/>
      <c r="CA211" s="176"/>
      <c r="CB211" s="176"/>
      <c r="CC211" s="176"/>
      <c r="CD211" s="176"/>
      <c r="CE211" s="80"/>
      <c r="CF211" s="176"/>
      <c r="CG211" s="176"/>
      <c r="CH211" s="176"/>
      <c r="CI211" s="176"/>
      <c r="CJ211" s="176"/>
      <c r="CK211" s="176"/>
      <c r="CL211" s="80"/>
      <c r="CM211" s="176"/>
      <c r="CN211" s="176"/>
      <c r="CO211" s="176"/>
      <c r="CP211" s="176"/>
      <c r="CQ211" s="176"/>
      <c r="CR211" s="176"/>
      <c r="CS211" s="80"/>
      <c r="CT211" s="176"/>
      <c r="CU211" s="176"/>
      <c r="CV211" s="176"/>
      <c r="CW211" s="176"/>
      <c r="CX211" s="176"/>
      <c r="CY211" s="176"/>
      <c r="CZ211" s="80"/>
      <c r="DA211" s="176"/>
      <c r="DB211" s="176"/>
      <c r="DC211" s="176"/>
      <c r="DD211" s="176"/>
      <c r="DE211" s="176"/>
      <c r="DF211" s="176"/>
      <c r="DG211" s="80"/>
      <c r="DH211" s="176"/>
      <c r="DI211" s="176"/>
      <c r="DJ211" s="176"/>
      <c r="DK211" s="176"/>
      <c r="DL211" s="176"/>
      <c r="DM211" s="176"/>
      <c r="DN211" s="80"/>
      <c r="DO211" s="176"/>
      <c r="DP211" s="176"/>
      <c r="DQ211" s="176"/>
      <c r="DR211" s="176"/>
      <c r="DS211" s="176"/>
      <c r="DT211" s="176"/>
      <c r="DU211" s="80"/>
      <c r="DV211" s="176"/>
      <c r="DW211" s="176"/>
      <c r="DX211" s="176"/>
      <c r="DY211" s="176"/>
      <c r="DZ211" s="176"/>
      <c r="EA211" s="176"/>
      <c r="EB211" s="80"/>
      <c r="EC211" s="176"/>
      <c r="ED211" s="176"/>
      <c r="EE211" s="176"/>
      <c r="EF211" s="176"/>
      <c r="EG211" s="176"/>
      <c r="EH211" s="176"/>
      <c r="EI211" s="80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47"/>
      <c r="FG211" s="47"/>
      <c r="FH211" s="47"/>
      <c r="FI211" s="47"/>
      <c r="FJ211" s="47"/>
      <c r="FK211" s="47"/>
      <c r="FL211" s="47"/>
      <c r="FM211" s="47"/>
      <c r="FN211" s="47"/>
      <c r="FO211" s="47"/>
      <c r="FP211" s="47"/>
      <c r="FQ211" s="47"/>
      <c r="FR211" s="47"/>
      <c r="FS211" s="47"/>
      <c r="FT211" s="47"/>
      <c r="FU211" s="47"/>
      <c r="FV211" s="47"/>
      <c r="FW211" s="47"/>
      <c r="FX211" s="47"/>
      <c r="FY211" s="47"/>
      <c r="FZ211" s="47"/>
      <c r="GA211" s="47"/>
      <c r="GB211" s="47"/>
      <c r="GC211" s="47"/>
      <c r="GD211" s="47"/>
      <c r="GE211" s="47"/>
    </row>
    <row r="212" spans="1:187" ht="10.5" customHeight="1">
      <c r="A212" s="43"/>
      <c r="B212" s="108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80"/>
      <c r="U212" s="176"/>
      <c r="V212" s="176"/>
      <c r="W212" s="176"/>
      <c r="X212" s="176"/>
      <c r="Y212" s="176"/>
      <c r="Z212" s="176"/>
      <c r="AA212" s="80"/>
      <c r="AB212" s="176"/>
      <c r="AC212" s="176"/>
      <c r="AD212" s="176"/>
      <c r="AE212" s="176"/>
      <c r="AF212" s="176"/>
      <c r="AG212" s="176"/>
      <c r="AH212" s="80"/>
      <c r="AI212" s="176"/>
      <c r="AJ212" s="176"/>
      <c r="AK212" s="176"/>
      <c r="AL212" s="176"/>
      <c r="AM212" s="176"/>
      <c r="AN212" s="176"/>
      <c r="AO212" s="80"/>
      <c r="AP212" s="176"/>
      <c r="AQ212" s="176"/>
      <c r="AR212" s="176"/>
      <c r="AS212" s="176"/>
      <c r="AT212" s="176"/>
      <c r="AU212" s="176"/>
      <c r="AV212" s="80"/>
      <c r="AW212" s="176"/>
      <c r="AX212" s="176"/>
      <c r="AY212" s="176"/>
      <c r="AZ212" s="176"/>
      <c r="BA212" s="176"/>
      <c r="BB212" s="176"/>
      <c r="BC212" s="80"/>
      <c r="BD212" s="176"/>
      <c r="BE212" s="176"/>
      <c r="BF212" s="176"/>
      <c r="BG212" s="176"/>
      <c r="BH212" s="176"/>
      <c r="BI212" s="176"/>
      <c r="BJ212" s="80"/>
      <c r="BK212" s="176"/>
      <c r="BL212" s="176"/>
      <c r="BM212" s="176"/>
      <c r="BN212" s="176"/>
      <c r="BO212" s="176"/>
      <c r="BP212" s="176"/>
      <c r="BQ212" s="80"/>
      <c r="BR212" s="176"/>
      <c r="BS212" s="176"/>
      <c r="BT212" s="176"/>
      <c r="BU212" s="176"/>
      <c r="BV212" s="176"/>
      <c r="BW212" s="176"/>
      <c r="BX212" s="80"/>
      <c r="BY212" s="176"/>
      <c r="BZ212" s="176"/>
      <c r="CA212" s="176"/>
      <c r="CB212" s="176"/>
      <c r="CC212" s="176"/>
      <c r="CD212" s="176"/>
      <c r="CE212" s="80"/>
      <c r="CF212" s="176"/>
      <c r="CG212" s="176"/>
      <c r="CH212" s="176"/>
      <c r="CI212" s="176"/>
      <c r="CJ212" s="176"/>
      <c r="CK212" s="176"/>
      <c r="CL212" s="80"/>
      <c r="CM212" s="176"/>
      <c r="CN212" s="176"/>
      <c r="CO212" s="176"/>
      <c r="CP212" s="176"/>
      <c r="CQ212" s="176"/>
      <c r="CR212" s="176"/>
      <c r="CS212" s="80"/>
      <c r="CT212" s="176"/>
      <c r="CU212" s="176"/>
      <c r="CV212" s="176"/>
      <c r="CW212" s="176"/>
      <c r="CX212" s="176"/>
      <c r="CY212" s="176"/>
      <c r="CZ212" s="80"/>
      <c r="DA212" s="176"/>
      <c r="DB212" s="176"/>
      <c r="DC212" s="176"/>
      <c r="DD212" s="176"/>
      <c r="DE212" s="176"/>
      <c r="DF212" s="176"/>
      <c r="DG212" s="80"/>
      <c r="DH212" s="176"/>
      <c r="DI212" s="176"/>
      <c r="DJ212" s="176"/>
      <c r="DK212" s="176"/>
      <c r="DL212" s="176"/>
      <c r="DM212" s="176"/>
      <c r="DN212" s="80"/>
      <c r="DO212" s="176"/>
      <c r="DP212" s="176"/>
      <c r="DQ212" s="176"/>
      <c r="DR212" s="176"/>
      <c r="DS212" s="176"/>
      <c r="DT212" s="176"/>
      <c r="DU212" s="80"/>
      <c r="DV212" s="176"/>
      <c r="DW212" s="176"/>
      <c r="DX212" s="176"/>
      <c r="DY212" s="176"/>
      <c r="DZ212" s="176"/>
      <c r="EA212" s="176"/>
      <c r="EB212" s="80"/>
      <c r="EC212" s="176"/>
      <c r="ED212" s="176"/>
      <c r="EE212" s="176"/>
      <c r="EF212" s="176"/>
      <c r="EG212" s="176"/>
      <c r="EH212" s="176"/>
      <c r="EI212" s="80"/>
      <c r="EJ212" s="47"/>
      <c r="EK212" s="47"/>
      <c r="EL212" s="47"/>
      <c r="EM212" s="47"/>
      <c r="EN212" s="47"/>
      <c r="EO212" s="47"/>
      <c r="EP212" s="47"/>
      <c r="EQ212" s="47"/>
      <c r="ER212" s="47"/>
      <c r="ES212" s="47"/>
      <c r="ET212" s="47"/>
      <c r="EU212" s="47"/>
      <c r="EV212" s="47"/>
      <c r="EW212" s="47"/>
      <c r="EX212" s="47"/>
      <c r="EY212" s="47"/>
      <c r="EZ212" s="47"/>
      <c r="FA212" s="47"/>
      <c r="FB212" s="47"/>
      <c r="FC212" s="47"/>
      <c r="FD212" s="47"/>
      <c r="FE212" s="47"/>
      <c r="FF212" s="47"/>
      <c r="FG212" s="47"/>
      <c r="FH212" s="47"/>
      <c r="FI212" s="47"/>
      <c r="FJ212" s="47"/>
      <c r="FK212" s="47"/>
      <c r="FL212" s="47"/>
      <c r="FM212" s="47"/>
      <c r="FN212" s="47"/>
      <c r="FO212" s="47"/>
      <c r="FP212" s="47"/>
      <c r="FQ212" s="47"/>
      <c r="FR212" s="47"/>
      <c r="FS212" s="47"/>
      <c r="FT212" s="47"/>
      <c r="FU212" s="47"/>
      <c r="FV212" s="47"/>
      <c r="FW212" s="47"/>
      <c r="FX212" s="47"/>
      <c r="FY212" s="47"/>
      <c r="FZ212" s="47"/>
      <c r="GA212" s="47"/>
      <c r="GB212" s="47"/>
      <c r="GC212" s="47"/>
      <c r="GD212" s="47"/>
      <c r="GE212" s="47"/>
    </row>
    <row r="213" spans="1:187" ht="10.5" customHeight="1">
      <c r="A213" s="43"/>
      <c r="B213" s="108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80"/>
      <c r="U213" s="176"/>
      <c r="V213" s="176"/>
      <c r="W213" s="176"/>
      <c r="X213" s="176"/>
      <c r="Y213" s="176"/>
      <c r="Z213" s="176"/>
      <c r="AA213" s="80"/>
      <c r="AB213" s="176"/>
      <c r="AC213" s="176"/>
      <c r="AD213" s="176"/>
      <c r="AE213" s="176"/>
      <c r="AF213" s="176"/>
      <c r="AG213" s="176"/>
      <c r="AH213" s="80"/>
      <c r="AI213" s="176"/>
      <c r="AJ213" s="176"/>
      <c r="AK213" s="176"/>
      <c r="AL213" s="176"/>
      <c r="AM213" s="176"/>
      <c r="AN213" s="176"/>
      <c r="AO213" s="80"/>
      <c r="AP213" s="176"/>
      <c r="AQ213" s="176"/>
      <c r="AR213" s="176"/>
      <c r="AS213" s="176"/>
      <c r="AT213" s="176"/>
      <c r="AU213" s="176"/>
      <c r="AV213" s="80"/>
      <c r="AW213" s="176"/>
      <c r="AX213" s="176"/>
      <c r="AY213" s="176"/>
      <c r="AZ213" s="176"/>
      <c r="BA213" s="176"/>
      <c r="BB213" s="176"/>
      <c r="BC213" s="80"/>
      <c r="BD213" s="176"/>
      <c r="BE213" s="176"/>
      <c r="BF213" s="176"/>
      <c r="BG213" s="176"/>
      <c r="BH213" s="176"/>
      <c r="BI213" s="176"/>
      <c r="BJ213" s="80"/>
      <c r="BK213" s="176"/>
      <c r="BL213" s="176"/>
      <c r="BM213" s="176"/>
      <c r="BN213" s="176"/>
      <c r="BO213" s="176"/>
      <c r="BP213" s="176"/>
      <c r="BQ213" s="80"/>
      <c r="BR213" s="176"/>
      <c r="BS213" s="176"/>
      <c r="BT213" s="176"/>
      <c r="BU213" s="176"/>
      <c r="BV213" s="176"/>
      <c r="BW213" s="176"/>
      <c r="BX213" s="80"/>
      <c r="BY213" s="176"/>
      <c r="BZ213" s="176"/>
      <c r="CA213" s="176"/>
      <c r="CB213" s="176"/>
      <c r="CC213" s="176"/>
      <c r="CD213" s="176"/>
      <c r="CE213" s="80"/>
      <c r="CF213" s="176"/>
      <c r="CG213" s="176"/>
      <c r="CH213" s="176"/>
      <c r="CI213" s="176"/>
      <c r="CJ213" s="176"/>
      <c r="CK213" s="176"/>
      <c r="CL213" s="80"/>
      <c r="CM213" s="176"/>
      <c r="CN213" s="176"/>
      <c r="CO213" s="176"/>
      <c r="CP213" s="176"/>
      <c r="CQ213" s="176"/>
      <c r="CR213" s="176"/>
      <c r="CS213" s="80"/>
      <c r="CT213" s="176"/>
      <c r="CU213" s="176"/>
      <c r="CV213" s="176"/>
      <c r="CW213" s="176"/>
      <c r="CX213" s="176"/>
      <c r="CY213" s="176"/>
      <c r="CZ213" s="80"/>
      <c r="DA213" s="176"/>
      <c r="DB213" s="176"/>
      <c r="DC213" s="176"/>
      <c r="DD213" s="176"/>
      <c r="DE213" s="176"/>
      <c r="DF213" s="176"/>
      <c r="DG213" s="80"/>
      <c r="DH213" s="176"/>
      <c r="DI213" s="176"/>
      <c r="DJ213" s="176"/>
      <c r="DK213" s="176"/>
      <c r="DL213" s="176"/>
      <c r="DM213" s="176"/>
      <c r="DN213" s="80"/>
      <c r="DO213" s="176"/>
      <c r="DP213" s="176"/>
      <c r="DQ213" s="176"/>
      <c r="DR213" s="176"/>
      <c r="DS213" s="176"/>
      <c r="DT213" s="176"/>
      <c r="DU213" s="80"/>
      <c r="DV213" s="176"/>
      <c r="DW213" s="176"/>
      <c r="DX213" s="176"/>
      <c r="DY213" s="176"/>
      <c r="DZ213" s="176"/>
      <c r="EA213" s="176"/>
      <c r="EB213" s="80"/>
      <c r="EC213" s="176"/>
      <c r="ED213" s="176"/>
      <c r="EE213" s="176"/>
      <c r="EF213" s="176"/>
      <c r="EG213" s="176"/>
      <c r="EH213" s="176"/>
      <c r="EI213" s="80"/>
      <c r="EJ213" s="47"/>
      <c r="EK213" s="47"/>
      <c r="EL213" s="47"/>
      <c r="EM213" s="47"/>
      <c r="EN213" s="47"/>
      <c r="EO213" s="47"/>
      <c r="EP213" s="47"/>
      <c r="EQ213" s="47"/>
      <c r="ER213" s="47"/>
      <c r="ES213" s="47"/>
      <c r="ET213" s="47"/>
      <c r="EU213" s="47"/>
      <c r="EV213" s="47"/>
      <c r="EW213" s="47"/>
      <c r="EX213" s="47"/>
      <c r="EY213" s="47"/>
      <c r="EZ213" s="47"/>
      <c r="FA213" s="47"/>
      <c r="FB213" s="47"/>
      <c r="FC213" s="47"/>
      <c r="FD213" s="47"/>
      <c r="FE213" s="47"/>
      <c r="FF213" s="47"/>
      <c r="FG213" s="47"/>
      <c r="FH213" s="47"/>
      <c r="FI213" s="47"/>
      <c r="FJ213" s="47"/>
      <c r="FK213" s="47"/>
      <c r="FL213" s="47"/>
      <c r="FM213" s="47"/>
      <c r="FN213" s="47"/>
      <c r="FO213" s="47"/>
      <c r="FP213" s="47"/>
      <c r="FQ213" s="47"/>
      <c r="FR213" s="47"/>
      <c r="FS213" s="47"/>
      <c r="FT213" s="47"/>
      <c r="FU213" s="47"/>
      <c r="FV213" s="47"/>
      <c r="FW213" s="47"/>
      <c r="FX213" s="47"/>
      <c r="FY213" s="47"/>
      <c r="FZ213" s="47"/>
      <c r="GA213" s="47"/>
      <c r="GB213" s="47"/>
      <c r="GC213" s="47"/>
      <c r="GD213" s="47"/>
      <c r="GE213" s="47"/>
    </row>
    <row r="214" spans="1:187" ht="10.5" customHeight="1">
      <c r="A214" s="43"/>
      <c r="B214" s="108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80"/>
      <c r="U214" s="176"/>
      <c r="V214" s="176"/>
      <c r="W214" s="176"/>
      <c r="X214" s="176"/>
      <c r="Y214" s="176"/>
      <c r="Z214" s="176"/>
      <c r="AA214" s="80"/>
      <c r="AB214" s="176"/>
      <c r="AC214" s="176"/>
      <c r="AD214" s="176"/>
      <c r="AE214" s="176"/>
      <c r="AF214" s="176"/>
      <c r="AG214" s="176"/>
      <c r="AH214" s="80"/>
      <c r="AI214" s="176"/>
      <c r="AJ214" s="176"/>
      <c r="AK214" s="176"/>
      <c r="AL214" s="176"/>
      <c r="AM214" s="176"/>
      <c r="AN214" s="176"/>
      <c r="AO214" s="80"/>
      <c r="AP214" s="176"/>
      <c r="AQ214" s="176"/>
      <c r="AR214" s="176"/>
      <c r="AS214" s="176"/>
      <c r="AT214" s="176"/>
      <c r="AU214" s="176"/>
      <c r="AV214" s="80"/>
      <c r="AW214" s="176"/>
      <c r="AX214" s="176"/>
      <c r="AY214" s="176"/>
      <c r="AZ214" s="176"/>
      <c r="BA214" s="176"/>
      <c r="BB214" s="176"/>
      <c r="BC214" s="80"/>
      <c r="BD214" s="176"/>
      <c r="BE214" s="176"/>
      <c r="BF214" s="176"/>
      <c r="BG214" s="176"/>
      <c r="BH214" s="176"/>
      <c r="BI214" s="176"/>
      <c r="BJ214" s="80"/>
      <c r="BK214" s="176"/>
      <c r="BL214" s="176"/>
      <c r="BM214" s="176"/>
      <c r="BN214" s="176"/>
      <c r="BO214" s="176"/>
      <c r="BP214" s="176"/>
      <c r="BQ214" s="80"/>
      <c r="BR214" s="176"/>
      <c r="BS214" s="176"/>
      <c r="BT214" s="176"/>
      <c r="BU214" s="176"/>
      <c r="BV214" s="176"/>
      <c r="BW214" s="176"/>
      <c r="BX214" s="80"/>
      <c r="BY214" s="176"/>
      <c r="BZ214" s="176"/>
      <c r="CA214" s="176"/>
      <c r="CB214" s="176"/>
      <c r="CC214" s="176"/>
      <c r="CD214" s="176"/>
      <c r="CE214" s="80"/>
      <c r="CF214" s="176"/>
      <c r="CG214" s="176"/>
      <c r="CH214" s="176"/>
      <c r="CI214" s="176"/>
      <c r="CJ214" s="176"/>
      <c r="CK214" s="176"/>
      <c r="CL214" s="80"/>
      <c r="CM214" s="176"/>
      <c r="CN214" s="176"/>
      <c r="CO214" s="176"/>
      <c r="CP214" s="176"/>
      <c r="CQ214" s="176"/>
      <c r="CR214" s="176"/>
      <c r="CS214" s="80"/>
      <c r="CT214" s="176"/>
      <c r="CU214" s="176"/>
      <c r="CV214" s="176"/>
      <c r="CW214" s="176"/>
      <c r="CX214" s="176"/>
      <c r="CY214" s="176"/>
      <c r="CZ214" s="80"/>
      <c r="DA214" s="176"/>
      <c r="DB214" s="176"/>
      <c r="DC214" s="176"/>
      <c r="DD214" s="176"/>
      <c r="DE214" s="176"/>
      <c r="DF214" s="176"/>
      <c r="DG214" s="80"/>
      <c r="DH214" s="176"/>
      <c r="DI214" s="176"/>
      <c r="DJ214" s="176"/>
      <c r="DK214" s="176"/>
      <c r="DL214" s="176"/>
      <c r="DM214" s="176"/>
      <c r="DN214" s="80"/>
      <c r="DO214" s="176"/>
      <c r="DP214" s="176"/>
      <c r="DQ214" s="176"/>
      <c r="DR214" s="176"/>
      <c r="DS214" s="176"/>
      <c r="DT214" s="176"/>
      <c r="DU214" s="80"/>
      <c r="DV214" s="176"/>
      <c r="DW214" s="176"/>
      <c r="DX214" s="176"/>
      <c r="DY214" s="176"/>
      <c r="DZ214" s="176"/>
      <c r="EA214" s="176"/>
      <c r="EB214" s="80"/>
      <c r="EC214" s="176"/>
      <c r="ED214" s="176"/>
      <c r="EE214" s="176"/>
      <c r="EF214" s="176"/>
      <c r="EG214" s="176"/>
      <c r="EH214" s="176"/>
      <c r="EI214" s="80"/>
      <c r="EJ214" s="47"/>
      <c r="EK214" s="47"/>
      <c r="EL214" s="47"/>
      <c r="EM214" s="47"/>
      <c r="EN214" s="47"/>
      <c r="EO214" s="47"/>
      <c r="EP214" s="47"/>
      <c r="EQ214" s="47"/>
      <c r="ER214" s="47"/>
      <c r="ES214" s="47"/>
      <c r="ET214" s="47"/>
      <c r="EU214" s="47"/>
      <c r="EV214" s="47"/>
      <c r="EW214" s="47"/>
      <c r="EX214" s="47"/>
      <c r="EY214" s="47"/>
      <c r="EZ214" s="47"/>
      <c r="FA214" s="47"/>
      <c r="FB214" s="47"/>
      <c r="FC214" s="47"/>
      <c r="FD214" s="47"/>
      <c r="FE214" s="47"/>
      <c r="FF214" s="47"/>
      <c r="FG214" s="47"/>
      <c r="FH214" s="47"/>
      <c r="FI214" s="47"/>
      <c r="FJ214" s="47"/>
      <c r="FK214" s="47"/>
      <c r="FL214" s="47"/>
      <c r="FM214" s="47"/>
      <c r="FN214" s="47"/>
      <c r="FO214" s="47"/>
      <c r="FP214" s="47"/>
      <c r="FQ214" s="47"/>
      <c r="FR214" s="47"/>
      <c r="FS214" s="47"/>
      <c r="FT214" s="47"/>
      <c r="FU214" s="47"/>
      <c r="FV214" s="47"/>
      <c r="FW214" s="47"/>
      <c r="FX214" s="47"/>
      <c r="FY214" s="47"/>
      <c r="FZ214" s="47"/>
      <c r="GA214" s="47"/>
      <c r="GB214" s="47"/>
      <c r="GC214" s="47"/>
      <c r="GD214" s="47"/>
      <c r="GE214" s="47"/>
    </row>
    <row r="215" spans="1:187" ht="10.5" customHeight="1">
      <c r="A215" s="43"/>
      <c r="B215" s="108"/>
      <c r="C215" s="108"/>
      <c r="D215" s="108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80"/>
      <c r="U215" s="176"/>
      <c r="V215" s="176"/>
      <c r="W215" s="176"/>
      <c r="X215" s="176"/>
      <c r="Y215" s="176"/>
      <c r="Z215" s="176"/>
      <c r="AA215" s="80"/>
      <c r="AB215" s="176"/>
      <c r="AC215" s="176"/>
      <c r="AD215" s="176"/>
      <c r="AE215" s="176"/>
      <c r="AF215" s="176"/>
      <c r="AG215" s="176"/>
      <c r="AH215" s="80"/>
      <c r="AI215" s="176"/>
      <c r="AJ215" s="176"/>
      <c r="AK215" s="176"/>
      <c r="AL215" s="176"/>
      <c r="AM215" s="176"/>
      <c r="AN215" s="176"/>
      <c r="AO215" s="80"/>
      <c r="AP215" s="176"/>
      <c r="AQ215" s="176"/>
      <c r="AR215" s="176"/>
      <c r="AS215" s="176"/>
      <c r="AT215" s="176"/>
      <c r="AU215" s="176"/>
      <c r="AV215" s="80"/>
      <c r="AW215" s="176"/>
      <c r="AX215" s="176"/>
      <c r="AY215" s="176"/>
      <c r="AZ215" s="176"/>
      <c r="BA215" s="176"/>
      <c r="BB215" s="176"/>
      <c r="BC215" s="80"/>
      <c r="BD215" s="176"/>
      <c r="BE215" s="176"/>
      <c r="BF215" s="176"/>
      <c r="BG215" s="176"/>
      <c r="BH215" s="176"/>
      <c r="BI215" s="176"/>
      <c r="BJ215" s="80"/>
      <c r="BK215" s="176"/>
      <c r="BL215" s="176"/>
      <c r="BM215" s="176"/>
      <c r="BN215" s="176"/>
      <c r="BO215" s="176"/>
      <c r="BP215" s="176"/>
      <c r="BQ215" s="80"/>
      <c r="BR215" s="176"/>
      <c r="BS215" s="176"/>
      <c r="BT215" s="176"/>
      <c r="BU215" s="176"/>
      <c r="BV215" s="176"/>
      <c r="BW215" s="176"/>
      <c r="BX215" s="80"/>
      <c r="BY215" s="176"/>
      <c r="BZ215" s="176"/>
      <c r="CA215" s="176"/>
      <c r="CB215" s="176"/>
      <c r="CC215" s="176"/>
      <c r="CD215" s="176"/>
      <c r="CE215" s="80"/>
      <c r="CF215" s="176"/>
      <c r="CG215" s="176"/>
      <c r="CH215" s="176"/>
      <c r="CI215" s="176"/>
      <c r="CJ215" s="176"/>
      <c r="CK215" s="176"/>
      <c r="CL215" s="80"/>
      <c r="CM215" s="176"/>
      <c r="CN215" s="176"/>
      <c r="CO215" s="176"/>
      <c r="CP215" s="176"/>
      <c r="CQ215" s="176"/>
      <c r="CR215" s="176"/>
      <c r="CS215" s="80"/>
      <c r="CT215" s="176"/>
      <c r="CU215" s="176"/>
      <c r="CV215" s="176"/>
      <c r="CW215" s="176"/>
      <c r="CX215" s="176"/>
      <c r="CY215" s="176"/>
      <c r="CZ215" s="80"/>
      <c r="DA215" s="176"/>
      <c r="DB215" s="176"/>
      <c r="DC215" s="176"/>
      <c r="DD215" s="176"/>
      <c r="DE215" s="176"/>
      <c r="DF215" s="176"/>
      <c r="DG215" s="80"/>
      <c r="DH215" s="176"/>
      <c r="DI215" s="176"/>
      <c r="DJ215" s="176"/>
      <c r="DK215" s="176"/>
      <c r="DL215" s="176"/>
      <c r="DM215" s="176"/>
      <c r="DN215" s="80"/>
      <c r="DO215" s="176"/>
      <c r="DP215" s="176"/>
      <c r="DQ215" s="176"/>
      <c r="DR215" s="176"/>
      <c r="DS215" s="176"/>
      <c r="DT215" s="176"/>
      <c r="DU215" s="80"/>
      <c r="DV215" s="176"/>
      <c r="DW215" s="176"/>
      <c r="DX215" s="176"/>
      <c r="DY215" s="176"/>
      <c r="DZ215" s="176"/>
      <c r="EA215" s="176"/>
      <c r="EB215" s="80"/>
      <c r="EC215" s="176"/>
      <c r="ED215" s="176"/>
      <c r="EE215" s="176"/>
      <c r="EF215" s="176"/>
      <c r="EG215" s="176"/>
      <c r="EH215" s="176"/>
      <c r="EI215" s="80"/>
      <c r="EJ215" s="47"/>
      <c r="EK215" s="47"/>
      <c r="EL215" s="47"/>
      <c r="EM215" s="47"/>
      <c r="EN215" s="47"/>
      <c r="EO215" s="47"/>
      <c r="EP215" s="47"/>
      <c r="EQ215" s="47"/>
      <c r="ER215" s="47"/>
      <c r="ES215" s="47"/>
      <c r="ET215" s="47"/>
      <c r="EU215" s="47"/>
      <c r="EV215" s="47"/>
      <c r="EW215" s="47"/>
      <c r="EX215" s="47"/>
      <c r="EY215" s="47"/>
      <c r="EZ215" s="47"/>
      <c r="FA215" s="47"/>
      <c r="FB215" s="47"/>
      <c r="FC215" s="47"/>
      <c r="FD215" s="47"/>
      <c r="FE215" s="47"/>
      <c r="FF215" s="47"/>
      <c r="FG215" s="47"/>
      <c r="FH215" s="47"/>
      <c r="FI215" s="47"/>
      <c r="FJ215" s="47"/>
      <c r="FK215" s="47"/>
      <c r="FL215" s="47"/>
      <c r="FM215" s="47"/>
      <c r="FN215" s="47"/>
      <c r="FO215" s="47"/>
      <c r="FP215" s="47"/>
      <c r="FQ215" s="47"/>
      <c r="FR215" s="47"/>
      <c r="FS215" s="47"/>
      <c r="FT215" s="47"/>
      <c r="FU215" s="47"/>
      <c r="FV215" s="47"/>
      <c r="FW215" s="47"/>
      <c r="FX215" s="47"/>
      <c r="FY215" s="47"/>
      <c r="FZ215" s="47"/>
      <c r="GA215" s="47"/>
      <c r="GB215" s="47"/>
      <c r="GC215" s="47"/>
      <c r="GD215" s="47"/>
      <c r="GE215" s="47"/>
    </row>
    <row r="216" spans="1:187" ht="10.5" customHeight="1">
      <c r="A216" s="43"/>
      <c r="B216" s="108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44"/>
      <c r="U216" s="135"/>
      <c r="V216" s="135"/>
      <c r="W216" s="135"/>
      <c r="X216" s="135"/>
      <c r="Y216" s="135"/>
      <c r="Z216" s="135"/>
      <c r="AA216" s="44"/>
      <c r="AB216" s="135"/>
      <c r="AC216" s="135"/>
      <c r="AD216" s="135"/>
      <c r="AE216" s="135"/>
      <c r="AF216" s="135"/>
      <c r="AG216" s="135"/>
      <c r="AH216" s="44"/>
      <c r="AI216" s="135"/>
      <c r="AJ216" s="135"/>
      <c r="AK216" s="135"/>
      <c r="AL216" s="135"/>
      <c r="AM216" s="135"/>
      <c r="AN216" s="135"/>
      <c r="AO216" s="44"/>
      <c r="AP216" s="135"/>
      <c r="AQ216" s="135"/>
      <c r="AR216" s="135"/>
      <c r="AS216" s="135"/>
      <c r="AT216" s="135"/>
      <c r="AU216" s="135"/>
      <c r="AV216" s="44"/>
      <c r="AW216" s="135"/>
      <c r="AX216" s="135"/>
      <c r="AY216" s="135"/>
      <c r="AZ216" s="135"/>
      <c r="BA216" s="135"/>
      <c r="BB216" s="135"/>
      <c r="BC216" s="44"/>
      <c r="BD216" s="135"/>
      <c r="BE216" s="135"/>
      <c r="BF216" s="135"/>
      <c r="BG216" s="135"/>
      <c r="BH216" s="135"/>
      <c r="BI216" s="135"/>
      <c r="BJ216" s="44"/>
      <c r="BK216" s="135"/>
      <c r="BL216" s="135"/>
      <c r="BM216" s="135"/>
      <c r="BN216" s="135"/>
      <c r="BO216" s="135"/>
      <c r="BP216" s="135"/>
      <c r="BQ216" s="44"/>
      <c r="BR216" s="135"/>
      <c r="BS216" s="135"/>
      <c r="BT216" s="135"/>
      <c r="BU216" s="135"/>
      <c r="BV216" s="135"/>
      <c r="BW216" s="135"/>
      <c r="BX216" s="44"/>
      <c r="BY216" s="135"/>
      <c r="BZ216" s="135"/>
      <c r="CA216" s="135"/>
      <c r="CB216" s="135"/>
      <c r="CC216" s="135"/>
      <c r="CD216" s="135"/>
      <c r="CE216" s="44"/>
      <c r="CF216" s="135"/>
      <c r="CG216" s="135"/>
      <c r="CH216" s="135"/>
      <c r="CI216" s="135"/>
      <c r="CJ216" s="135"/>
      <c r="CK216" s="135"/>
      <c r="CL216" s="44"/>
      <c r="CM216" s="135"/>
      <c r="CN216" s="135"/>
      <c r="CO216" s="135"/>
      <c r="CP216" s="135"/>
      <c r="CQ216" s="135"/>
      <c r="CR216" s="135"/>
      <c r="CS216" s="44"/>
      <c r="CT216" s="135"/>
      <c r="CU216" s="135"/>
      <c r="CV216" s="135"/>
      <c r="CW216" s="135"/>
      <c r="CX216" s="135"/>
      <c r="CY216" s="135"/>
      <c r="CZ216" s="44"/>
      <c r="DA216" s="135"/>
      <c r="DB216" s="135"/>
      <c r="DC216" s="135"/>
      <c r="DD216" s="135"/>
      <c r="DE216" s="135"/>
      <c r="DF216" s="135"/>
      <c r="DG216" s="44"/>
      <c r="DH216" s="135"/>
      <c r="DI216" s="135"/>
      <c r="DJ216" s="135"/>
      <c r="DK216" s="135"/>
      <c r="DL216" s="135"/>
      <c r="DM216" s="135"/>
      <c r="DN216" s="44"/>
      <c r="DO216" s="135"/>
      <c r="DP216" s="135"/>
      <c r="DQ216" s="135"/>
      <c r="DR216" s="135"/>
      <c r="DS216" s="135"/>
      <c r="DT216" s="135"/>
      <c r="DU216" s="44"/>
      <c r="DV216" s="135"/>
      <c r="DW216" s="135"/>
      <c r="DX216" s="135"/>
      <c r="DY216" s="135"/>
      <c r="DZ216" s="135"/>
      <c r="EA216" s="135"/>
      <c r="EB216" s="44"/>
      <c r="EC216" s="135"/>
      <c r="ED216" s="135"/>
      <c r="EE216" s="135"/>
      <c r="EF216" s="135"/>
      <c r="EG216" s="135"/>
      <c r="EH216" s="135"/>
      <c r="EI216" s="44"/>
      <c r="EJ216" s="47"/>
      <c r="EK216" s="47"/>
      <c r="EL216" s="47"/>
      <c r="EM216" s="47"/>
      <c r="EN216" s="47"/>
      <c r="EO216" s="47"/>
      <c r="EP216" s="47"/>
      <c r="EQ216" s="47"/>
      <c r="ER216" s="47"/>
      <c r="ES216" s="47"/>
      <c r="ET216" s="47"/>
      <c r="EU216" s="47"/>
      <c r="EV216" s="47"/>
      <c r="EW216" s="47"/>
      <c r="EX216" s="47"/>
      <c r="EY216" s="47"/>
      <c r="EZ216" s="47"/>
      <c r="FA216" s="47"/>
      <c r="FB216" s="47"/>
      <c r="FC216" s="47"/>
      <c r="FD216" s="47"/>
      <c r="FE216" s="47"/>
      <c r="FF216" s="47"/>
      <c r="FG216" s="47"/>
      <c r="FH216" s="47"/>
      <c r="FI216" s="47"/>
      <c r="FJ216" s="47"/>
      <c r="FK216" s="47"/>
      <c r="FL216" s="47"/>
      <c r="FM216" s="47"/>
      <c r="FN216" s="47"/>
      <c r="FO216" s="47"/>
      <c r="FP216" s="47"/>
      <c r="FQ216" s="47"/>
      <c r="FR216" s="47"/>
      <c r="FS216" s="47"/>
      <c r="FT216" s="47"/>
      <c r="FU216" s="47"/>
      <c r="FV216" s="47"/>
      <c r="FW216" s="47"/>
      <c r="FX216" s="47"/>
      <c r="FY216" s="47"/>
      <c r="FZ216" s="47"/>
      <c r="GA216" s="47"/>
      <c r="GB216" s="47"/>
      <c r="GC216" s="47"/>
      <c r="GD216" s="47"/>
      <c r="GE216" s="47"/>
    </row>
    <row r="217" spans="1:187" ht="10.5" customHeight="1">
      <c r="A217" s="43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43"/>
      <c r="U217" s="108"/>
      <c r="V217" s="108"/>
      <c r="W217" s="108"/>
      <c r="X217" s="108"/>
      <c r="Y217" s="108"/>
      <c r="Z217" s="108"/>
      <c r="AA217" s="43"/>
      <c r="AB217" s="108"/>
      <c r="AC217" s="108"/>
      <c r="AD217" s="108"/>
      <c r="AE217" s="108"/>
      <c r="AF217" s="108"/>
      <c r="AG217" s="108"/>
      <c r="AH217" s="43"/>
      <c r="AI217" s="108"/>
      <c r="AJ217" s="108"/>
      <c r="AK217" s="108"/>
      <c r="AL217" s="108"/>
      <c r="AM217" s="108"/>
      <c r="AN217" s="108"/>
      <c r="AO217" s="43"/>
      <c r="AP217" s="108"/>
      <c r="AQ217" s="108"/>
      <c r="AR217" s="108"/>
      <c r="AS217" s="108"/>
      <c r="AT217" s="108"/>
      <c r="AU217" s="108"/>
      <c r="AV217" s="43"/>
      <c r="AW217" s="108"/>
      <c r="AX217" s="108"/>
      <c r="AY217" s="108"/>
      <c r="AZ217" s="108"/>
      <c r="BA217" s="108"/>
      <c r="BB217" s="108"/>
      <c r="BC217" s="43"/>
      <c r="BD217" s="108"/>
      <c r="BE217" s="108"/>
      <c r="BF217" s="108"/>
      <c r="BG217" s="108"/>
      <c r="BH217" s="108"/>
      <c r="BI217" s="108"/>
      <c r="BJ217" s="43"/>
      <c r="BK217" s="108"/>
      <c r="BL217" s="108"/>
      <c r="BM217" s="108"/>
      <c r="BN217" s="108"/>
      <c r="BO217" s="108"/>
      <c r="BP217" s="108"/>
      <c r="BQ217" s="43"/>
      <c r="BR217" s="108"/>
      <c r="BS217" s="108"/>
      <c r="BT217" s="108"/>
      <c r="BU217" s="108"/>
      <c r="BV217" s="108"/>
      <c r="BW217" s="108"/>
      <c r="BX217" s="43"/>
      <c r="BY217" s="108"/>
      <c r="BZ217" s="108"/>
      <c r="CA217" s="108"/>
      <c r="CB217" s="108"/>
      <c r="CC217" s="108"/>
      <c r="CD217" s="108"/>
      <c r="CE217" s="43"/>
      <c r="CF217" s="108"/>
      <c r="CG217" s="108"/>
      <c r="CH217" s="108"/>
      <c r="CI217" s="108"/>
      <c r="CJ217" s="108"/>
      <c r="CK217" s="108"/>
      <c r="CL217" s="43"/>
      <c r="CM217" s="108"/>
      <c r="CN217" s="108"/>
      <c r="CO217" s="108"/>
      <c r="CP217" s="108"/>
      <c r="CQ217" s="108"/>
      <c r="CR217" s="108"/>
      <c r="CS217" s="43"/>
      <c r="CT217" s="108"/>
      <c r="CU217" s="108"/>
      <c r="CV217" s="108"/>
      <c r="CW217" s="108"/>
      <c r="CX217" s="108"/>
      <c r="CY217" s="108"/>
      <c r="CZ217" s="43"/>
      <c r="DA217" s="108"/>
      <c r="DB217" s="108"/>
      <c r="DC217" s="108"/>
      <c r="DD217" s="108"/>
      <c r="DE217" s="108"/>
      <c r="DF217" s="108"/>
      <c r="DG217" s="43"/>
      <c r="DH217" s="108"/>
      <c r="DI217" s="108"/>
      <c r="DJ217" s="108"/>
      <c r="DK217" s="108"/>
      <c r="DL217" s="108"/>
      <c r="DM217" s="108"/>
      <c r="DN217" s="43"/>
      <c r="DO217" s="108"/>
      <c r="DP217" s="108"/>
      <c r="DQ217" s="108"/>
      <c r="DR217" s="108"/>
      <c r="DS217" s="108"/>
      <c r="DT217" s="108"/>
      <c r="DU217" s="43"/>
      <c r="DV217" s="108"/>
      <c r="DW217" s="108"/>
      <c r="DX217" s="108"/>
      <c r="DY217" s="108"/>
      <c r="DZ217" s="108"/>
      <c r="EA217" s="108"/>
      <c r="EB217" s="43"/>
      <c r="EC217" s="108"/>
      <c r="ED217" s="108"/>
      <c r="EE217" s="108"/>
      <c r="EF217" s="108"/>
      <c r="EG217" s="108"/>
      <c r="EH217" s="108"/>
      <c r="EI217" s="43"/>
      <c r="EJ217" s="47"/>
      <c r="EK217" s="47"/>
      <c r="EL217" s="47"/>
      <c r="EM217" s="47"/>
      <c r="EN217" s="47"/>
      <c r="EO217" s="47"/>
      <c r="EP217" s="47"/>
      <c r="EQ217" s="47"/>
      <c r="ER217" s="47"/>
      <c r="ES217" s="47"/>
      <c r="ET217" s="47"/>
      <c r="EU217" s="47"/>
      <c r="EV217" s="47"/>
      <c r="EW217" s="47"/>
      <c r="EX217" s="47"/>
      <c r="EY217" s="47"/>
      <c r="EZ217" s="47"/>
      <c r="FA217" s="47"/>
      <c r="FB217" s="47"/>
      <c r="FC217" s="47"/>
      <c r="FD217" s="47"/>
      <c r="FE217" s="47"/>
      <c r="FF217" s="47"/>
      <c r="FG217" s="47"/>
      <c r="FH217" s="47"/>
      <c r="FI217" s="47"/>
      <c r="FJ217" s="47"/>
      <c r="FK217" s="47"/>
      <c r="FL217" s="47"/>
      <c r="FM217" s="47"/>
      <c r="FN217" s="47"/>
      <c r="FO217" s="47"/>
      <c r="FP217" s="47"/>
      <c r="FQ217" s="47"/>
      <c r="FR217" s="47"/>
      <c r="FS217" s="47"/>
      <c r="FT217" s="47"/>
      <c r="FU217" s="47"/>
      <c r="FV217" s="47"/>
      <c r="FW217" s="47"/>
      <c r="FX217" s="47"/>
      <c r="FY217" s="47"/>
      <c r="FZ217" s="47"/>
      <c r="GA217" s="47"/>
      <c r="GB217" s="47"/>
      <c r="GC217" s="47"/>
      <c r="GD217" s="47"/>
      <c r="GE217" s="47"/>
    </row>
    <row r="218" spans="1:187" ht="10.5" customHeight="1">
      <c r="A218" s="4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43"/>
      <c r="U218" s="108"/>
      <c r="V218" s="108"/>
      <c r="W218" s="108"/>
      <c r="X218" s="108"/>
      <c r="Y218" s="108"/>
      <c r="Z218" s="108"/>
      <c r="AA218" s="43"/>
      <c r="AB218" s="108"/>
      <c r="AC218" s="108"/>
      <c r="AD218" s="108"/>
      <c r="AE218" s="108"/>
      <c r="AF218" s="108"/>
      <c r="AG218" s="108"/>
      <c r="AH218" s="43"/>
      <c r="AI218" s="108"/>
      <c r="AJ218" s="108"/>
      <c r="AK218" s="108"/>
      <c r="AL218" s="108"/>
      <c r="AM218" s="108"/>
      <c r="AN218" s="108"/>
      <c r="AO218" s="43"/>
      <c r="AP218" s="108"/>
      <c r="AQ218" s="108"/>
      <c r="AR218" s="108"/>
      <c r="AS218" s="108"/>
      <c r="AT218" s="108"/>
      <c r="AU218" s="108"/>
      <c r="AV218" s="43"/>
      <c r="AW218" s="108"/>
      <c r="AX218" s="108"/>
      <c r="AY218" s="108"/>
      <c r="AZ218" s="108"/>
      <c r="BA218" s="108"/>
      <c r="BB218" s="108"/>
      <c r="BC218" s="43"/>
      <c r="BD218" s="108"/>
      <c r="BE218" s="108"/>
      <c r="BF218" s="108"/>
      <c r="BG218" s="108"/>
      <c r="BH218" s="108"/>
      <c r="BI218" s="108"/>
      <c r="BJ218" s="43"/>
      <c r="BK218" s="108"/>
      <c r="BL218" s="108"/>
      <c r="BM218" s="108"/>
      <c r="BN218" s="108"/>
      <c r="BO218" s="108"/>
      <c r="BP218" s="108"/>
      <c r="BQ218" s="43"/>
      <c r="BR218" s="108"/>
      <c r="BS218" s="108"/>
      <c r="BT218" s="108"/>
      <c r="BU218" s="108"/>
      <c r="BV218" s="108"/>
      <c r="BW218" s="108"/>
      <c r="BX218" s="43"/>
      <c r="BY218" s="108"/>
      <c r="BZ218" s="108"/>
      <c r="CA218" s="108"/>
      <c r="CB218" s="108"/>
      <c r="CC218" s="108"/>
      <c r="CD218" s="108"/>
      <c r="CE218" s="43"/>
      <c r="CF218" s="108"/>
      <c r="CG218" s="108"/>
      <c r="CH218" s="108"/>
      <c r="CI218" s="108"/>
      <c r="CJ218" s="108"/>
      <c r="CK218" s="108"/>
      <c r="CL218" s="43"/>
      <c r="CM218" s="108"/>
      <c r="CN218" s="108"/>
      <c r="CO218" s="108"/>
      <c r="CP218" s="108"/>
      <c r="CQ218" s="108"/>
      <c r="CR218" s="108"/>
      <c r="CS218" s="43"/>
      <c r="CT218" s="108"/>
      <c r="CU218" s="108"/>
      <c r="CV218" s="108"/>
      <c r="CW218" s="108"/>
      <c r="CX218" s="108"/>
      <c r="CY218" s="108"/>
      <c r="CZ218" s="43"/>
      <c r="DA218" s="108"/>
      <c r="DB218" s="108"/>
      <c r="DC218" s="108"/>
      <c r="DD218" s="108"/>
      <c r="DE218" s="108"/>
      <c r="DF218" s="108"/>
      <c r="DG218" s="43"/>
      <c r="DH218" s="108"/>
      <c r="DI218" s="108"/>
      <c r="DJ218" s="108"/>
      <c r="DK218" s="108"/>
      <c r="DL218" s="108"/>
      <c r="DM218" s="108"/>
      <c r="DN218" s="43"/>
      <c r="DO218" s="108"/>
      <c r="DP218" s="108"/>
      <c r="DQ218" s="108"/>
      <c r="DR218" s="108"/>
      <c r="DS218" s="108"/>
      <c r="DT218" s="108"/>
      <c r="DU218" s="43"/>
      <c r="DV218" s="108"/>
      <c r="DW218" s="108"/>
      <c r="DX218" s="108"/>
      <c r="DY218" s="108"/>
      <c r="DZ218" s="108"/>
      <c r="EA218" s="108"/>
      <c r="EB218" s="43"/>
      <c r="EC218" s="108"/>
      <c r="ED218" s="108"/>
      <c r="EE218" s="108"/>
      <c r="EF218" s="108"/>
      <c r="EG218" s="108"/>
      <c r="EH218" s="108"/>
      <c r="EI218" s="43"/>
      <c r="EJ218" s="47"/>
      <c r="EK218" s="47"/>
      <c r="EL218" s="47"/>
      <c r="EM218" s="47"/>
      <c r="EN218" s="47"/>
      <c r="EO218" s="47"/>
      <c r="EP218" s="47"/>
      <c r="EQ218" s="47"/>
      <c r="ER218" s="47"/>
      <c r="ES218" s="47"/>
      <c r="ET218" s="47"/>
      <c r="EU218" s="47"/>
      <c r="EV218" s="47"/>
      <c r="EW218" s="47"/>
      <c r="EX218" s="47"/>
      <c r="EY218" s="47"/>
      <c r="EZ218" s="47"/>
      <c r="FA218" s="47"/>
      <c r="FB218" s="47"/>
      <c r="FC218" s="47"/>
      <c r="FD218" s="47"/>
      <c r="FE218" s="47"/>
      <c r="FF218" s="47"/>
      <c r="FG218" s="47"/>
      <c r="FH218" s="47"/>
      <c r="FI218" s="47"/>
      <c r="FJ218" s="47"/>
      <c r="FK218" s="47"/>
      <c r="FL218" s="47"/>
      <c r="FM218" s="47"/>
      <c r="FN218" s="47"/>
      <c r="FO218" s="47"/>
      <c r="FP218" s="47"/>
      <c r="FQ218" s="47"/>
      <c r="FR218" s="47"/>
      <c r="FS218" s="47"/>
      <c r="FT218" s="47"/>
      <c r="FU218" s="47"/>
      <c r="FV218" s="47"/>
      <c r="FW218" s="47"/>
      <c r="FX218" s="47"/>
      <c r="FY218" s="47"/>
      <c r="FZ218" s="47"/>
      <c r="GA218" s="47"/>
      <c r="GB218" s="47"/>
      <c r="GC218" s="47"/>
      <c r="GD218" s="47"/>
      <c r="GE218" s="47"/>
    </row>
    <row r="219" spans="1:187" ht="10.5" customHeight="1">
      <c r="A219" s="43"/>
      <c r="B219" s="231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60"/>
      <c r="U219" s="130"/>
      <c r="V219" s="130"/>
      <c r="W219" s="130"/>
      <c r="X219" s="130"/>
      <c r="Y219" s="130"/>
      <c r="Z219" s="130"/>
      <c r="AA219" s="60"/>
      <c r="AB219" s="130"/>
      <c r="AC219" s="130"/>
      <c r="AD219" s="130"/>
      <c r="AE219" s="130"/>
      <c r="AF219" s="130"/>
      <c r="AG219" s="130"/>
      <c r="AH219" s="60"/>
      <c r="AI219" s="130"/>
      <c r="AJ219" s="130"/>
      <c r="AK219" s="130"/>
      <c r="AL219" s="130"/>
      <c r="AM219" s="130"/>
      <c r="AN219" s="130"/>
      <c r="AO219" s="60"/>
      <c r="AP219" s="130"/>
      <c r="AQ219" s="130"/>
      <c r="AR219" s="130"/>
      <c r="AS219" s="130"/>
      <c r="AT219" s="130"/>
      <c r="AU219" s="130"/>
      <c r="AV219" s="60"/>
      <c r="AW219" s="130"/>
      <c r="AX219" s="130"/>
      <c r="AY219" s="130"/>
      <c r="AZ219" s="130"/>
      <c r="BA219" s="130"/>
      <c r="BB219" s="130"/>
      <c r="BC219" s="60"/>
      <c r="BD219" s="130"/>
      <c r="BE219" s="130"/>
      <c r="BF219" s="130"/>
      <c r="BG219" s="130"/>
      <c r="BH219" s="130"/>
      <c r="BI219" s="130"/>
      <c r="BJ219" s="60"/>
      <c r="BK219" s="130"/>
      <c r="BL219" s="130"/>
      <c r="BM219" s="130"/>
      <c r="BN219" s="130"/>
      <c r="BO219" s="130"/>
      <c r="BP219" s="130"/>
      <c r="BQ219" s="60"/>
      <c r="BR219" s="130"/>
      <c r="BS219" s="130"/>
      <c r="BT219" s="130"/>
      <c r="BU219" s="130"/>
      <c r="BV219" s="130"/>
      <c r="BW219" s="130"/>
      <c r="BX219" s="60"/>
      <c r="BY219" s="130"/>
      <c r="BZ219" s="130"/>
      <c r="CA219" s="130"/>
      <c r="CB219" s="130"/>
      <c r="CC219" s="130"/>
      <c r="CD219" s="130"/>
      <c r="CE219" s="60"/>
      <c r="CF219" s="130"/>
      <c r="CG219" s="130"/>
      <c r="CH219" s="130"/>
      <c r="CI219" s="130"/>
      <c r="CJ219" s="130"/>
      <c r="CK219" s="130"/>
      <c r="CL219" s="60"/>
      <c r="CM219" s="130"/>
      <c r="CN219" s="130"/>
      <c r="CO219" s="130"/>
      <c r="CP219" s="130"/>
      <c r="CQ219" s="130"/>
      <c r="CR219" s="130"/>
      <c r="CS219" s="60"/>
      <c r="CT219" s="130"/>
      <c r="CU219" s="130"/>
      <c r="CV219" s="130"/>
      <c r="CW219" s="130"/>
      <c r="CX219" s="130"/>
      <c r="CY219" s="130"/>
      <c r="CZ219" s="60"/>
      <c r="DA219" s="130"/>
      <c r="DB219" s="130"/>
      <c r="DC219" s="130"/>
      <c r="DD219" s="130"/>
      <c r="DE219" s="130"/>
      <c r="DF219" s="130"/>
      <c r="DG219" s="60"/>
      <c r="DH219" s="130"/>
      <c r="DI219" s="130"/>
      <c r="DJ219" s="130"/>
      <c r="DK219" s="130"/>
      <c r="DL219" s="130"/>
      <c r="DM219" s="130"/>
      <c r="DN219" s="60"/>
      <c r="DO219" s="130"/>
      <c r="DP219" s="130"/>
      <c r="DQ219" s="130"/>
      <c r="DR219" s="130"/>
      <c r="DS219" s="130"/>
      <c r="DT219" s="130"/>
      <c r="DU219" s="60"/>
      <c r="DV219" s="130"/>
      <c r="DW219" s="130"/>
      <c r="DX219" s="130"/>
      <c r="DY219" s="130"/>
      <c r="DZ219" s="130"/>
      <c r="EA219" s="130"/>
      <c r="EB219" s="60"/>
      <c r="EC219" s="130"/>
      <c r="ED219" s="130"/>
      <c r="EE219" s="130"/>
      <c r="EF219" s="130"/>
      <c r="EG219" s="130"/>
      <c r="EH219" s="130"/>
      <c r="EI219" s="60"/>
      <c r="EJ219" s="47"/>
      <c r="EK219" s="47"/>
      <c r="EL219" s="47"/>
      <c r="EM219" s="47"/>
      <c r="EN219" s="47"/>
      <c r="EO219" s="47"/>
      <c r="EP219" s="47"/>
      <c r="EQ219" s="47"/>
      <c r="ER219" s="47"/>
      <c r="ES219" s="47"/>
      <c r="ET219" s="47"/>
      <c r="EU219" s="47"/>
      <c r="EV219" s="47"/>
      <c r="EW219" s="47"/>
      <c r="EX219" s="47"/>
      <c r="EY219" s="47"/>
      <c r="EZ219" s="47"/>
      <c r="FA219" s="47"/>
      <c r="FB219" s="47"/>
      <c r="FC219" s="47"/>
      <c r="FD219" s="47"/>
      <c r="FE219" s="47"/>
      <c r="FF219" s="47"/>
      <c r="FG219" s="47"/>
      <c r="FH219" s="47"/>
      <c r="FI219" s="47"/>
      <c r="FJ219" s="47"/>
      <c r="FK219" s="47"/>
      <c r="FL219" s="47"/>
      <c r="FM219" s="47"/>
      <c r="FN219" s="47"/>
      <c r="FO219" s="47"/>
      <c r="FP219" s="47"/>
      <c r="FQ219" s="47"/>
      <c r="FR219" s="47"/>
      <c r="FS219" s="47"/>
      <c r="FT219" s="47"/>
      <c r="FU219" s="47"/>
      <c r="FV219" s="47"/>
      <c r="FW219" s="47"/>
      <c r="FX219" s="47"/>
      <c r="FY219" s="47"/>
      <c r="FZ219" s="47"/>
      <c r="GA219" s="47"/>
      <c r="GB219" s="47"/>
      <c r="GC219" s="47"/>
      <c r="GD219" s="47"/>
      <c r="GE219" s="47"/>
    </row>
    <row r="220" spans="1:187" ht="10.5" customHeight="1">
      <c r="A220" s="43"/>
      <c r="B220" s="231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60"/>
      <c r="U220" s="130"/>
      <c r="V220" s="130"/>
      <c r="W220" s="130"/>
      <c r="X220" s="130"/>
      <c r="Y220" s="130"/>
      <c r="Z220" s="130"/>
      <c r="AA220" s="60"/>
      <c r="AB220" s="130"/>
      <c r="AC220" s="130"/>
      <c r="AD220" s="130"/>
      <c r="AE220" s="130"/>
      <c r="AF220" s="130"/>
      <c r="AG220" s="130"/>
      <c r="AH220" s="60"/>
      <c r="AI220" s="130"/>
      <c r="AJ220" s="130"/>
      <c r="AK220" s="130"/>
      <c r="AL220" s="130"/>
      <c r="AM220" s="130"/>
      <c r="AN220" s="130"/>
      <c r="AO220" s="60"/>
      <c r="AP220" s="130"/>
      <c r="AQ220" s="130"/>
      <c r="AR220" s="130"/>
      <c r="AS220" s="130"/>
      <c r="AT220" s="130"/>
      <c r="AU220" s="130"/>
      <c r="AV220" s="60"/>
      <c r="AW220" s="130"/>
      <c r="AX220" s="130"/>
      <c r="AY220" s="130"/>
      <c r="AZ220" s="130"/>
      <c r="BA220" s="130"/>
      <c r="BB220" s="130"/>
      <c r="BC220" s="60"/>
      <c r="BD220" s="130"/>
      <c r="BE220" s="130"/>
      <c r="BF220" s="130"/>
      <c r="BG220" s="130"/>
      <c r="BH220" s="130"/>
      <c r="BI220" s="130"/>
      <c r="BJ220" s="60"/>
      <c r="BK220" s="130"/>
      <c r="BL220" s="130"/>
      <c r="BM220" s="130"/>
      <c r="BN220" s="130"/>
      <c r="BO220" s="130"/>
      <c r="BP220" s="130"/>
      <c r="BQ220" s="60"/>
      <c r="BR220" s="130"/>
      <c r="BS220" s="130"/>
      <c r="BT220" s="130"/>
      <c r="BU220" s="130"/>
      <c r="BV220" s="130"/>
      <c r="BW220" s="130"/>
      <c r="BX220" s="60"/>
      <c r="BY220" s="130"/>
      <c r="BZ220" s="130"/>
      <c r="CA220" s="130"/>
      <c r="CB220" s="130"/>
      <c r="CC220" s="130"/>
      <c r="CD220" s="130"/>
      <c r="CE220" s="60"/>
      <c r="CF220" s="130"/>
      <c r="CG220" s="130"/>
      <c r="CH220" s="130"/>
      <c r="CI220" s="130"/>
      <c r="CJ220" s="130"/>
      <c r="CK220" s="130"/>
      <c r="CL220" s="60"/>
      <c r="CM220" s="130"/>
      <c r="CN220" s="130"/>
      <c r="CO220" s="130"/>
      <c r="CP220" s="130"/>
      <c r="CQ220" s="130"/>
      <c r="CR220" s="130"/>
      <c r="CS220" s="60"/>
      <c r="CT220" s="130"/>
      <c r="CU220" s="130"/>
      <c r="CV220" s="130"/>
      <c r="CW220" s="130"/>
      <c r="CX220" s="130"/>
      <c r="CY220" s="130"/>
      <c r="CZ220" s="60"/>
      <c r="DA220" s="130"/>
      <c r="DB220" s="130"/>
      <c r="DC220" s="130"/>
      <c r="DD220" s="130"/>
      <c r="DE220" s="130"/>
      <c r="DF220" s="130"/>
      <c r="DG220" s="60"/>
      <c r="DH220" s="130"/>
      <c r="DI220" s="130"/>
      <c r="DJ220" s="130"/>
      <c r="DK220" s="130"/>
      <c r="DL220" s="130"/>
      <c r="DM220" s="130"/>
      <c r="DN220" s="60"/>
      <c r="DO220" s="130"/>
      <c r="DP220" s="130"/>
      <c r="DQ220" s="130"/>
      <c r="DR220" s="130"/>
      <c r="DS220" s="130"/>
      <c r="DT220" s="130"/>
      <c r="DU220" s="60"/>
      <c r="DV220" s="130"/>
      <c r="DW220" s="130"/>
      <c r="DX220" s="130"/>
      <c r="DY220" s="130"/>
      <c r="DZ220" s="130"/>
      <c r="EA220" s="130"/>
      <c r="EB220" s="60"/>
      <c r="EC220" s="130"/>
      <c r="ED220" s="130"/>
      <c r="EE220" s="130"/>
      <c r="EF220" s="130"/>
      <c r="EG220" s="130"/>
      <c r="EH220" s="130"/>
      <c r="EI220" s="60"/>
      <c r="EJ220" s="47"/>
      <c r="EK220" s="47"/>
      <c r="EL220" s="47"/>
      <c r="EM220" s="47"/>
      <c r="EN220" s="47"/>
      <c r="EO220" s="47"/>
      <c r="EP220" s="47"/>
      <c r="EQ220" s="47"/>
      <c r="ER220" s="47"/>
      <c r="ES220" s="47"/>
      <c r="ET220" s="47"/>
      <c r="EU220" s="47"/>
      <c r="EV220" s="47"/>
      <c r="EW220" s="47"/>
      <c r="EX220" s="47"/>
      <c r="EY220" s="47"/>
      <c r="EZ220" s="47"/>
      <c r="FA220" s="47"/>
      <c r="FB220" s="47"/>
      <c r="FC220" s="47"/>
      <c r="FD220" s="47"/>
      <c r="FE220" s="47"/>
      <c r="FF220" s="47"/>
      <c r="FG220" s="47"/>
      <c r="FH220" s="47"/>
      <c r="FI220" s="47"/>
      <c r="FJ220" s="47"/>
      <c r="FK220" s="47"/>
      <c r="FL220" s="47"/>
      <c r="FM220" s="47"/>
      <c r="FN220" s="47"/>
      <c r="FO220" s="47"/>
      <c r="FP220" s="47"/>
      <c r="FQ220" s="47"/>
      <c r="FR220" s="47"/>
      <c r="FS220" s="47"/>
      <c r="FT220" s="47"/>
      <c r="FU220" s="47"/>
      <c r="FV220" s="47"/>
      <c r="FW220" s="47"/>
      <c r="FX220" s="47"/>
      <c r="FY220" s="47"/>
      <c r="FZ220" s="47"/>
      <c r="GA220" s="47"/>
      <c r="GB220" s="47"/>
      <c r="GC220" s="47"/>
      <c r="GD220" s="47"/>
      <c r="GE220" s="47"/>
    </row>
    <row r="221" spans="1:187" ht="10.5" customHeight="1">
      <c r="A221" s="43"/>
      <c r="B221" s="231"/>
      <c r="C221" s="130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93"/>
      <c r="U221" s="203"/>
      <c r="V221" s="203"/>
      <c r="W221" s="203"/>
      <c r="X221" s="203"/>
      <c r="Y221" s="203"/>
      <c r="Z221" s="203"/>
      <c r="AA221" s="93"/>
      <c r="AB221" s="203"/>
      <c r="AC221" s="203"/>
      <c r="AD221" s="203"/>
      <c r="AE221" s="203"/>
      <c r="AF221" s="203"/>
      <c r="AG221" s="203"/>
      <c r="AH221" s="93"/>
      <c r="AI221" s="203"/>
      <c r="AJ221" s="203"/>
      <c r="AK221" s="203"/>
      <c r="AL221" s="203"/>
      <c r="AM221" s="203"/>
      <c r="AN221" s="203"/>
      <c r="AO221" s="93"/>
      <c r="AP221" s="203"/>
      <c r="AQ221" s="203"/>
      <c r="AR221" s="203"/>
      <c r="AS221" s="203"/>
      <c r="AT221" s="203"/>
      <c r="AU221" s="203"/>
      <c r="AV221" s="93"/>
      <c r="AW221" s="203"/>
      <c r="AX221" s="203"/>
      <c r="AY221" s="203"/>
      <c r="AZ221" s="203"/>
      <c r="BA221" s="203"/>
      <c r="BB221" s="203"/>
      <c r="BC221" s="93"/>
      <c r="BD221" s="203"/>
      <c r="BE221" s="203"/>
      <c r="BF221" s="203"/>
      <c r="BG221" s="203"/>
      <c r="BH221" s="203"/>
      <c r="BI221" s="203"/>
      <c r="BJ221" s="93"/>
      <c r="BK221" s="203"/>
      <c r="BL221" s="203"/>
      <c r="BM221" s="203"/>
      <c r="BN221" s="203"/>
      <c r="BO221" s="203"/>
      <c r="BP221" s="203"/>
      <c r="BQ221" s="93"/>
      <c r="BR221" s="203"/>
      <c r="BS221" s="203"/>
      <c r="BT221" s="203"/>
      <c r="BU221" s="203"/>
      <c r="BV221" s="203"/>
      <c r="BW221" s="203"/>
      <c r="BX221" s="93"/>
      <c r="BY221" s="203"/>
      <c r="BZ221" s="203"/>
      <c r="CA221" s="203"/>
      <c r="CB221" s="203"/>
      <c r="CC221" s="203"/>
      <c r="CD221" s="203"/>
      <c r="CE221" s="93"/>
      <c r="CF221" s="203"/>
      <c r="CG221" s="203"/>
      <c r="CH221" s="203"/>
      <c r="CI221" s="203"/>
      <c r="CJ221" s="203"/>
      <c r="CK221" s="203"/>
      <c r="CL221" s="93"/>
      <c r="CM221" s="203"/>
      <c r="CN221" s="203"/>
      <c r="CO221" s="203"/>
      <c r="CP221" s="203"/>
      <c r="CQ221" s="203"/>
      <c r="CR221" s="203"/>
      <c r="CS221" s="93"/>
      <c r="CT221" s="203"/>
      <c r="CU221" s="203"/>
      <c r="CV221" s="203"/>
      <c r="CW221" s="203"/>
      <c r="CX221" s="203"/>
      <c r="CY221" s="203"/>
      <c r="CZ221" s="93"/>
      <c r="DA221" s="203"/>
      <c r="DB221" s="203"/>
      <c r="DC221" s="203"/>
      <c r="DD221" s="203"/>
      <c r="DE221" s="203"/>
      <c r="DF221" s="203"/>
      <c r="DG221" s="93"/>
      <c r="DH221" s="203"/>
      <c r="DI221" s="203"/>
      <c r="DJ221" s="203"/>
      <c r="DK221" s="203"/>
      <c r="DL221" s="203"/>
      <c r="DM221" s="203"/>
      <c r="DN221" s="93"/>
      <c r="DO221" s="203"/>
      <c r="DP221" s="203"/>
      <c r="DQ221" s="203"/>
      <c r="DR221" s="203"/>
      <c r="DS221" s="203"/>
      <c r="DT221" s="203"/>
      <c r="DU221" s="93"/>
      <c r="DV221" s="203"/>
      <c r="DW221" s="203"/>
      <c r="DX221" s="203"/>
      <c r="DY221" s="203"/>
      <c r="DZ221" s="203"/>
      <c r="EA221" s="203"/>
      <c r="EB221" s="93"/>
      <c r="EC221" s="203"/>
      <c r="ED221" s="203"/>
      <c r="EE221" s="203"/>
      <c r="EF221" s="203"/>
      <c r="EG221" s="203"/>
      <c r="EH221" s="203"/>
      <c r="EI221" s="93"/>
      <c r="EJ221" s="47"/>
      <c r="EK221" s="47"/>
      <c r="EL221" s="47"/>
      <c r="EM221" s="47"/>
      <c r="EN221" s="47"/>
      <c r="EO221" s="47"/>
      <c r="EP221" s="47"/>
      <c r="EQ221" s="47"/>
      <c r="ER221" s="47"/>
      <c r="ES221" s="47"/>
      <c r="ET221" s="47"/>
      <c r="EU221" s="47"/>
      <c r="EV221" s="47"/>
      <c r="EW221" s="47"/>
      <c r="EX221" s="47"/>
      <c r="EY221" s="47"/>
      <c r="EZ221" s="47"/>
      <c r="FA221" s="47"/>
      <c r="FB221" s="47"/>
      <c r="FC221" s="47"/>
      <c r="FD221" s="47"/>
      <c r="FE221" s="47"/>
      <c r="FF221" s="47"/>
      <c r="FG221" s="47"/>
      <c r="FH221" s="47"/>
      <c r="FI221" s="47"/>
      <c r="FJ221" s="47"/>
      <c r="FK221" s="47"/>
      <c r="FL221" s="47"/>
      <c r="FM221" s="47"/>
      <c r="FN221" s="47"/>
      <c r="FO221" s="47"/>
      <c r="FP221" s="47"/>
      <c r="FQ221" s="47"/>
      <c r="FR221" s="47"/>
      <c r="FS221" s="47"/>
      <c r="FT221" s="47"/>
      <c r="FU221" s="47"/>
      <c r="FV221" s="47"/>
      <c r="FW221" s="47"/>
      <c r="FX221" s="47"/>
      <c r="FY221" s="47"/>
      <c r="FZ221" s="47"/>
      <c r="GA221" s="47"/>
      <c r="GB221" s="47"/>
      <c r="GC221" s="47"/>
      <c r="GD221" s="47"/>
      <c r="GE221" s="47"/>
    </row>
    <row r="222" spans="1:187" ht="10.5" customHeight="1">
      <c r="A222" s="43"/>
      <c r="B222" s="231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60"/>
      <c r="U222" s="130"/>
      <c r="V222" s="130"/>
      <c r="W222" s="130"/>
      <c r="X222" s="130"/>
      <c r="Y222" s="130"/>
      <c r="Z222" s="130"/>
      <c r="AA222" s="60"/>
      <c r="AB222" s="130"/>
      <c r="AC222" s="130"/>
      <c r="AD222" s="130"/>
      <c r="AE222" s="130"/>
      <c r="AF222" s="130"/>
      <c r="AG222" s="130"/>
      <c r="AH222" s="60"/>
      <c r="AI222" s="130"/>
      <c r="AJ222" s="130"/>
      <c r="AK222" s="130"/>
      <c r="AL222" s="130"/>
      <c r="AM222" s="130"/>
      <c r="AN222" s="130"/>
      <c r="AO222" s="60"/>
      <c r="AP222" s="130"/>
      <c r="AQ222" s="130"/>
      <c r="AR222" s="130"/>
      <c r="AS222" s="130"/>
      <c r="AT222" s="130"/>
      <c r="AU222" s="130"/>
      <c r="AV222" s="60"/>
      <c r="AW222" s="130"/>
      <c r="AX222" s="130"/>
      <c r="AY222" s="130"/>
      <c r="AZ222" s="130"/>
      <c r="BA222" s="130"/>
      <c r="BB222" s="130"/>
      <c r="BC222" s="60"/>
      <c r="BD222" s="130"/>
      <c r="BE222" s="130"/>
      <c r="BF222" s="130"/>
      <c r="BG222" s="130"/>
      <c r="BH222" s="130"/>
      <c r="BI222" s="130"/>
      <c r="BJ222" s="60"/>
      <c r="BK222" s="130"/>
      <c r="BL222" s="130"/>
      <c r="BM222" s="130"/>
      <c r="BN222" s="130"/>
      <c r="BO222" s="130"/>
      <c r="BP222" s="130"/>
      <c r="BQ222" s="60"/>
      <c r="BR222" s="130"/>
      <c r="BS222" s="130"/>
      <c r="BT222" s="130"/>
      <c r="BU222" s="130"/>
      <c r="BV222" s="130"/>
      <c r="BW222" s="130"/>
      <c r="BX222" s="60"/>
      <c r="BY222" s="130"/>
      <c r="BZ222" s="130"/>
      <c r="CA222" s="130"/>
      <c r="CB222" s="130"/>
      <c r="CC222" s="130"/>
      <c r="CD222" s="130"/>
      <c r="CE222" s="60"/>
      <c r="CF222" s="130"/>
      <c r="CG222" s="130"/>
      <c r="CH222" s="130"/>
      <c r="CI222" s="130"/>
      <c r="CJ222" s="130"/>
      <c r="CK222" s="130"/>
      <c r="CL222" s="60"/>
      <c r="CM222" s="130"/>
      <c r="CN222" s="130"/>
      <c r="CO222" s="130"/>
      <c r="CP222" s="130"/>
      <c r="CQ222" s="130"/>
      <c r="CR222" s="130"/>
      <c r="CS222" s="60"/>
      <c r="CT222" s="130"/>
      <c r="CU222" s="130"/>
      <c r="CV222" s="130"/>
      <c r="CW222" s="130"/>
      <c r="CX222" s="130"/>
      <c r="CY222" s="130"/>
      <c r="CZ222" s="60"/>
      <c r="DA222" s="130"/>
      <c r="DB222" s="130"/>
      <c r="DC222" s="130"/>
      <c r="DD222" s="130"/>
      <c r="DE222" s="130"/>
      <c r="DF222" s="130"/>
      <c r="DG222" s="60"/>
      <c r="DH222" s="130"/>
      <c r="DI222" s="130"/>
      <c r="DJ222" s="130"/>
      <c r="DK222" s="130"/>
      <c r="DL222" s="130"/>
      <c r="DM222" s="130"/>
      <c r="DN222" s="60"/>
      <c r="DO222" s="130"/>
      <c r="DP222" s="130"/>
      <c r="DQ222" s="130"/>
      <c r="DR222" s="130"/>
      <c r="DS222" s="130"/>
      <c r="DT222" s="130"/>
      <c r="DU222" s="60"/>
      <c r="DV222" s="130"/>
      <c r="DW222" s="130"/>
      <c r="DX222" s="130"/>
      <c r="DY222" s="130"/>
      <c r="DZ222" s="130"/>
      <c r="EA222" s="130"/>
      <c r="EB222" s="60"/>
      <c r="EC222" s="130"/>
      <c r="ED222" s="130"/>
      <c r="EE222" s="130"/>
      <c r="EF222" s="130"/>
      <c r="EG222" s="130"/>
      <c r="EH222" s="130"/>
      <c r="EI222" s="60"/>
      <c r="EJ222" s="47"/>
      <c r="EK222" s="47"/>
      <c r="EL222" s="47"/>
      <c r="EM222" s="47"/>
      <c r="EN222" s="47"/>
      <c r="EO222" s="47"/>
      <c r="EP222" s="47"/>
      <c r="EQ222" s="47"/>
      <c r="ER222" s="47"/>
      <c r="ES222" s="47"/>
      <c r="ET222" s="47"/>
      <c r="EU222" s="47"/>
      <c r="EV222" s="47"/>
      <c r="EW222" s="47"/>
      <c r="EX222" s="47"/>
      <c r="EY222" s="47"/>
      <c r="EZ222" s="47"/>
      <c r="FA222" s="47"/>
      <c r="FB222" s="47"/>
      <c r="FC222" s="47"/>
      <c r="FD222" s="47"/>
      <c r="FE222" s="47"/>
      <c r="FF222" s="47"/>
      <c r="FG222" s="47"/>
      <c r="FH222" s="47"/>
      <c r="FI222" s="47"/>
      <c r="FJ222" s="47"/>
      <c r="FK222" s="47"/>
      <c r="FL222" s="47"/>
      <c r="FM222" s="47"/>
      <c r="FN222" s="47"/>
      <c r="FO222" s="47"/>
      <c r="FP222" s="47"/>
      <c r="FQ222" s="47"/>
      <c r="FR222" s="47"/>
      <c r="FS222" s="47"/>
      <c r="FT222" s="47"/>
      <c r="FU222" s="47"/>
      <c r="FV222" s="47"/>
      <c r="FW222" s="47"/>
      <c r="FX222" s="47"/>
      <c r="FY222" s="47"/>
      <c r="FZ222" s="47"/>
      <c r="GA222" s="47"/>
      <c r="GB222" s="47"/>
      <c r="GC222" s="47"/>
      <c r="GD222" s="47"/>
      <c r="GE222" s="47"/>
    </row>
    <row r="223" spans="1:187" ht="10.5" customHeight="1">
      <c r="A223" s="43"/>
      <c r="B223" s="231"/>
      <c r="C223" s="231"/>
      <c r="D223" s="922"/>
      <c r="E223" s="922"/>
      <c r="F223" s="922"/>
      <c r="G223" s="922"/>
      <c r="H223" s="922"/>
      <c r="I223" s="922"/>
      <c r="J223" s="922"/>
      <c r="K223" s="922"/>
      <c r="L223" s="922"/>
      <c r="M223" s="922"/>
      <c r="N223" s="922"/>
      <c r="O223" s="922"/>
      <c r="P223" s="922"/>
      <c r="Q223" s="922"/>
      <c r="R223" s="922"/>
      <c r="S223" s="922"/>
      <c r="T223" s="82"/>
      <c r="U223" s="922"/>
      <c r="V223" s="922"/>
      <c r="W223" s="922"/>
      <c r="X223" s="922"/>
      <c r="Y223" s="922"/>
      <c r="Z223" s="922"/>
      <c r="AA223" s="82"/>
      <c r="AB223" s="922"/>
      <c r="AC223" s="922"/>
      <c r="AD223" s="922"/>
      <c r="AE223" s="922"/>
      <c r="AF223" s="922"/>
      <c r="AG223" s="922"/>
      <c r="AH223" s="82"/>
      <c r="AI223" s="922"/>
      <c r="AJ223" s="922"/>
      <c r="AK223" s="922"/>
      <c r="AL223" s="922"/>
      <c r="AM223" s="922"/>
      <c r="AN223" s="922"/>
      <c r="AO223" s="82"/>
      <c r="AP223" s="922"/>
      <c r="AQ223" s="922"/>
      <c r="AR223" s="922"/>
      <c r="AS223" s="922"/>
      <c r="AT223" s="922"/>
      <c r="AU223" s="922"/>
      <c r="AV223" s="82"/>
      <c r="AW223" s="922"/>
      <c r="AX223" s="922"/>
      <c r="AY223" s="922"/>
      <c r="AZ223" s="922"/>
      <c r="BA223" s="922"/>
      <c r="BB223" s="922"/>
      <c r="BC223" s="82"/>
      <c r="BD223" s="922"/>
      <c r="BE223" s="922"/>
      <c r="BF223" s="922"/>
      <c r="BG223" s="922"/>
      <c r="BH223" s="922"/>
      <c r="BI223" s="922"/>
      <c r="BJ223" s="82"/>
      <c r="BK223" s="922"/>
      <c r="BL223" s="922"/>
      <c r="BM223" s="922"/>
      <c r="BN223" s="922"/>
      <c r="BO223" s="922"/>
      <c r="BP223" s="922"/>
      <c r="BQ223" s="82"/>
      <c r="BR223" s="922"/>
      <c r="BS223" s="922"/>
      <c r="BT223" s="922"/>
      <c r="BU223" s="922"/>
      <c r="BV223" s="922"/>
      <c r="BW223" s="922"/>
      <c r="BX223" s="82"/>
      <c r="BY223" s="922"/>
      <c r="BZ223" s="922"/>
      <c r="CA223" s="922"/>
      <c r="CB223" s="922"/>
      <c r="CC223" s="922"/>
      <c r="CD223" s="922"/>
      <c r="CE223" s="82"/>
      <c r="CF223" s="922"/>
      <c r="CG223" s="922"/>
      <c r="CH223" s="922"/>
      <c r="CI223" s="922"/>
      <c r="CJ223" s="922"/>
      <c r="CK223" s="922"/>
      <c r="CL223" s="82"/>
      <c r="CM223" s="922"/>
      <c r="CN223" s="922"/>
      <c r="CO223" s="922"/>
      <c r="CP223" s="922"/>
      <c r="CQ223" s="922"/>
      <c r="CR223" s="922"/>
      <c r="CS223" s="82"/>
      <c r="CT223" s="922"/>
      <c r="CU223" s="922"/>
      <c r="CV223" s="922"/>
      <c r="CW223" s="922"/>
      <c r="CX223" s="922"/>
      <c r="CY223" s="922"/>
      <c r="CZ223" s="82"/>
      <c r="DA223" s="922"/>
      <c r="DB223" s="922"/>
      <c r="DC223" s="922"/>
      <c r="DD223" s="922"/>
      <c r="DE223" s="922"/>
      <c r="DF223" s="922"/>
      <c r="DG223" s="82"/>
      <c r="DH223" s="922"/>
      <c r="DI223" s="922"/>
      <c r="DJ223" s="922"/>
      <c r="DK223" s="922"/>
      <c r="DL223" s="922"/>
      <c r="DM223" s="922"/>
      <c r="DN223" s="82"/>
      <c r="DO223" s="922"/>
      <c r="DP223" s="922"/>
      <c r="DQ223" s="922"/>
      <c r="DR223" s="922"/>
      <c r="DS223" s="922"/>
      <c r="DT223" s="922"/>
      <c r="DU223" s="82"/>
      <c r="DV223" s="922"/>
      <c r="DW223" s="922"/>
      <c r="DX223" s="922"/>
      <c r="DY223" s="922"/>
      <c r="DZ223" s="922"/>
      <c r="EA223" s="922"/>
      <c r="EB223" s="82"/>
      <c r="EC223" s="922"/>
      <c r="ED223" s="922"/>
      <c r="EE223" s="922"/>
      <c r="EF223" s="922"/>
      <c r="EG223" s="922"/>
      <c r="EH223" s="922"/>
      <c r="EI223" s="82"/>
      <c r="EJ223" s="47"/>
      <c r="EK223" s="47"/>
      <c r="EL223" s="47"/>
      <c r="EM223" s="47"/>
      <c r="EN223" s="47"/>
      <c r="EO223" s="47"/>
      <c r="EP223" s="47"/>
      <c r="EQ223" s="47"/>
      <c r="ER223" s="47"/>
      <c r="ES223" s="47"/>
      <c r="ET223" s="47"/>
      <c r="EU223" s="47"/>
      <c r="EV223" s="47"/>
      <c r="EW223" s="47"/>
      <c r="EX223" s="47"/>
      <c r="EY223" s="47"/>
      <c r="EZ223" s="47"/>
      <c r="FA223" s="47"/>
      <c r="FB223" s="47"/>
      <c r="FC223" s="47"/>
      <c r="FD223" s="47"/>
      <c r="FE223" s="47"/>
      <c r="FF223" s="47"/>
      <c r="FG223" s="47"/>
      <c r="FH223" s="47"/>
      <c r="FI223" s="47"/>
      <c r="FJ223" s="47"/>
      <c r="FK223" s="47"/>
      <c r="FL223" s="47"/>
      <c r="FM223" s="47"/>
      <c r="FN223" s="47"/>
      <c r="FO223" s="47"/>
      <c r="FP223" s="47"/>
      <c r="FQ223" s="47"/>
      <c r="FR223" s="47"/>
      <c r="FS223" s="47"/>
      <c r="FT223" s="47"/>
      <c r="FU223" s="47"/>
      <c r="FV223" s="47"/>
      <c r="FW223" s="47"/>
      <c r="FX223" s="47"/>
      <c r="FY223" s="47"/>
      <c r="FZ223" s="47"/>
      <c r="GA223" s="47"/>
      <c r="GB223" s="47"/>
      <c r="GC223" s="47"/>
      <c r="GD223" s="47"/>
      <c r="GE223" s="47"/>
    </row>
    <row r="224" spans="1:187" ht="10.5" customHeight="1">
      <c r="A224" s="43"/>
      <c r="B224" s="231"/>
      <c r="C224" s="23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74"/>
      <c r="U224" s="251"/>
      <c r="V224" s="251"/>
      <c r="W224" s="251"/>
      <c r="X224" s="251"/>
      <c r="Y224" s="251"/>
      <c r="Z224" s="251"/>
      <c r="AA224" s="74"/>
      <c r="AB224" s="251"/>
      <c r="AC224" s="251"/>
      <c r="AD224" s="251"/>
      <c r="AE224" s="251"/>
      <c r="AF224" s="251"/>
      <c r="AG224" s="251"/>
      <c r="AH224" s="74"/>
      <c r="AI224" s="251"/>
      <c r="AJ224" s="251"/>
      <c r="AK224" s="251"/>
      <c r="AL224" s="251"/>
      <c r="AM224" s="251"/>
      <c r="AN224" s="251"/>
      <c r="AO224" s="74"/>
      <c r="AP224" s="251"/>
      <c r="AQ224" s="251"/>
      <c r="AR224" s="251"/>
      <c r="AS224" s="251"/>
      <c r="AT224" s="251"/>
      <c r="AU224" s="251"/>
      <c r="AV224" s="74"/>
      <c r="AW224" s="251"/>
      <c r="AX224" s="251"/>
      <c r="AY224" s="251"/>
      <c r="AZ224" s="251"/>
      <c r="BA224" s="251"/>
      <c r="BB224" s="251"/>
      <c r="BC224" s="74"/>
      <c r="BD224" s="251"/>
      <c r="BE224" s="251"/>
      <c r="BF224" s="251"/>
      <c r="BG224" s="251"/>
      <c r="BH224" s="251"/>
      <c r="BI224" s="251"/>
      <c r="BJ224" s="74"/>
      <c r="BK224" s="251"/>
      <c r="BL224" s="251"/>
      <c r="BM224" s="251"/>
      <c r="BN224" s="251"/>
      <c r="BO224" s="251"/>
      <c r="BP224" s="251"/>
      <c r="BQ224" s="74"/>
      <c r="BR224" s="251"/>
      <c r="BS224" s="251"/>
      <c r="BT224" s="251"/>
      <c r="BU224" s="251"/>
      <c r="BV224" s="251"/>
      <c r="BW224" s="251"/>
      <c r="BX224" s="74"/>
      <c r="BY224" s="251"/>
      <c r="BZ224" s="251"/>
      <c r="CA224" s="251"/>
      <c r="CB224" s="251"/>
      <c r="CC224" s="251"/>
      <c r="CD224" s="251"/>
      <c r="CE224" s="74"/>
      <c r="CF224" s="251"/>
      <c r="CG224" s="251"/>
      <c r="CH224" s="251"/>
      <c r="CI224" s="251"/>
      <c r="CJ224" s="251"/>
      <c r="CK224" s="251"/>
      <c r="CL224" s="74"/>
      <c r="CM224" s="251"/>
      <c r="CN224" s="251"/>
      <c r="CO224" s="251"/>
      <c r="CP224" s="251"/>
      <c r="CQ224" s="251"/>
      <c r="CR224" s="251"/>
      <c r="CS224" s="74"/>
      <c r="CT224" s="251"/>
      <c r="CU224" s="251"/>
      <c r="CV224" s="251"/>
      <c r="CW224" s="251"/>
      <c r="CX224" s="251"/>
      <c r="CY224" s="251"/>
      <c r="CZ224" s="74"/>
      <c r="DA224" s="251"/>
      <c r="DB224" s="251"/>
      <c r="DC224" s="251"/>
      <c r="DD224" s="251"/>
      <c r="DE224" s="251"/>
      <c r="DF224" s="251"/>
      <c r="DG224" s="74"/>
      <c r="DH224" s="251"/>
      <c r="DI224" s="251"/>
      <c r="DJ224" s="251"/>
      <c r="DK224" s="251"/>
      <c r="DL224" s="251"/>
      <c r="DM224" s="251"/>
      <c r="DN224" s="74"/>
      <c r="DO224" s="251"/>
      <c r="DP224" s="251"/>
      <c r="DQ224" s="251"/>
      <c r="DR224" s="251"/>
      <c r="DS224" s="251"/>
      <c r="DT224" s="251"/>
      <c r="DU224" s="74"/>
      <c r="DV224" s="251"/>
      <c r="DW224" s="251"/>
      <c r="DX224" s="251"/>
      <c r="DY224" s="251"/>
      <c r="DZ224" s="251"/>
      <c r="EA224" s="251"/>
      <c r="EB224" s="74"/>
      <c r="EC224" s="251"/>
      <c r="ED224" s="251"/>
      <c r="EE224" s="251"/>
      <c r="EF224" s="251"/>
      <c r="EG224" s="251"/>
      <c r="EH224" s="251"/>
      <c r="EI224" s="74"/>
      <c r="EJ224" s="47"/>
      <c r="EK224" s="47"/>
      <c r="EL224" s="47"/>
      <c r="EM224" s="47"/>
      <c r="EN224" s="47"/>
      <c r="EO224" s="47"/>
      <c r="EP224" s="47"/>
      <c r="EQ224" s="47"/>
      <c r="ER224" s="47"/>
      <c r="ES224" s="47"/>
      <c r="ET224" s="47"/>
      <c r="EU224" s="47"/>
      <c r="EV224" s="47"/>
      <c r="EW224" s="47"/>
      <c r="EX224" s="47"/>
      <c r="EY224" s="47"/>
      <c r="EZ224" s="47"/>
      <c r="FA224" s="47"/>
      <c r="FB224" s="47"/>
      <c r="FC224" s="47"/>
      <c r="FD224" s="47"/>
      <c r="FE224" s="47"/>
      <c r="FF224" s="47"/>
      <c r="FG224" s="47"/>
      <c r="FH224" s="47"/>
      <c r="FI224" s="47"/>
      <c r="FJ224" s="47"/>
      <c r="FK224" s="47"/>
      <c r="FL224" s="47"/>
      <c r="FM224" s="47"/>
      <c r="FN224" s="47"/>
      <c r="FO224" s="47"/>
      <c r="FP224" s="47"/>
      <c r="FQ224" s="47"/>
      <c r="FR224" s="47"/>
      <c r="FS224" s="47"/>
      <c r="FT224" s="47"/>
      <c r="FU224" s="47"/>
      <c r="FV224" s="47"/>
      <c r="FW224" s="47"/>
      <c r="FX224" s="47"/>
      <c r="FY224" s="47"/>
      <c r="FZ224" s="47"/>
      <c r="GA224" s="47"/>
      <c r="GB224" s="47"/>
      <c r="GC224" s="47"/>
      <c r="GD224" s="47"/>
      <c r="GE224" s="47"/>
    </row>
    <row r="225" spans="1:187" ht="10.5" customHeight="1">
      <c r="A225" s="43"/>
      <c r="B225" s="231"/>
      <c r="C225" s="23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74"/>
      <c r="U225" s="251"/>
      <c r="V225" s="251"/>
      <c r="W225" s="251"/>
      <c r="X225" s="251"/>
      <c r="Y225" s="251"/>
      <c r="Z225" s="251"/>
      <c r="AA225" s="74"/>
      <c r="AB225" s="251"/>
      <c r="AC225" s="251"/>
      <c r="AD225" s="251"/>
      <c r="AE225" s="251"/>
      <c r="AF225" s="251"/>
      <c r="AG225" s="251"/>
      <c r="AH225" s="74"/>
      <c r="AI225" s="251"/>
      <c r="AJ225" s="251"/>
      <c r="AK225" s="251"/>
      <c r="AL225" s="251"/>
      <c r="AM225" s="251"/>
      <c r="AN225" s="251"/>
      <c r="AO225" s="74"/>
      <c r="AP225" s="251"/>
      <c r="AQ225" s="251"/>
      <c r="AR225" s="251"/>
      <c r="AS225" s="251"/>
      <c r="AT225" s="251"/>
      <c r="AU225" s="251"/>
      <c r="AV225" s="74"/>
      <c r="AW225" s="251"/>
      <c r="AX225" s="251"/>
      <c r="AY225" s="251"/>
      <c r="AZ225" s="251"/>
      <c r="BA225" s="251"/>
      <c r="BB225" s="251"/>
      <c r="BC225" s="74"/>
      <c r="BD225" s="251"/>
      <c r="BE225" s="251"/>
      <c r="BF225" s="251"/>
      <c r="BG225" s="251"/>
      <c r="BH225" s="251"/>
      <c r="BI225" s="251"/>
      <c r="BJ225" s="74"/>
      <c r="BK225" s="251"/>
      <c r="BL225" s="251"/>
      <c r="BM225" s="251"/>
      <c r="BN225" s="251"/>
      <c r="BO225" s="251"/>
      <c r="BP225" s="251"/>
      <c r="BQ225" s="74"/>
      <c r="BR225" s="251"/>
      <c r="BS225" s="251"/>
      <c r="BT225" s="251"/>
      <c r="BU225" s="251"/>
      <c r="BV225" s="251"/>
      <c r="BW225" s="251"/>
      <c r="BX225" s="74"/>
      <c r="BY225" s="251"/>
      <c r="BZ225" s="251"/>
      <c r="CA225" s="251"/>
      <c r="CB225" s="251"/>
      <c r="CC225" s="251"/>
      <c r="CD225" s="251"/>
      <c r="CE225" s="74"/>
      <c r="CF225" s="251"/>
      <c r="CG225" s="251"/>
      <c r="CH225" s="251"/>
      <c r="CI225" s="251"/>
      <c r="CJ225" s="251"/>
      <c r="CK225" s="251"/>
      <c r="CL225" s="74"/>
      <c r="CM225" s="251"/>
      <c r="CN225" s="251"/>
      <c r="CO225" s="251"/>
      <c r="CP225" s="251"/>
      <c r="CQ225" s="251"/>
      <c r="CR225" s="251"/>
      <c r="CS225" s="74"/>
      <c r="CT225" s="251"/>
      <c r="CU225" s="251"/>
      <c r="CV225" s="251"/>
      <c r="CW225" s="251"/>
      <c r="CX225" s="251"/>
      <c r="CY225" s="251"/>
      <c r="CZ225" s="74"/>
      <c r="DA225" s="251"/>
      <c r="DB225" s="251"/>
      <c r="DC225" s="251"/>
      <c r="DD225" s="251"/>
      <c r="DE225" s="251"/>
      <c r="DF225" s="251"/>
      <c r="DG225" s="74"/>
      <c r="DH225" s="251"/>
      <c r="DI225" s="251"/>
      <c r="DJ225" s="251"/>
      <c r="DK225" s="251"/>
      <c r="DL225" s="251"/>
      <c r="DM225" s="251"/>
      <c r="DN225" s="74"/>
      <c r="DO225" s="251"/>
      <c r="DP225" s="251"/>
      <c r="DQ225" s="251"/>
      <c r="DR225" s="251"/>
      <c r="DS225" s="251"/>
      <c r="DT225" s="251"/>
      <c r="DU225" s="74"/>
      <c r="DV225" s="251"/>
      <c r="DW225" s="251"/>
      <c r="DX225" s="251"/>
      <c r="DY225" s="251"/>
      <c r="DZ225" s="251"/>
      <c r="EA225" s="251"/>
      <c r="EB225" s="74"/>
      <c r="EC225" s="251"/>
      <c r="ED225" s="251"/>
      <c r="EE225" s="251"/>
      <c r="EF225" s="251"/>
      <c r="EG225" s="251"/>
      <c r="EH225" s="251"/>
      <c r="EI225" s="74"/>
      <c r="EJ225" s="47"/>
      <c r="EK225" s="47"/>
      <c r="EL225" s="47"/>
      <c r="EM225" s="47"/>
      <c r="EN225" s="47"/>
      <c r="EO225" s="47"/>
      <c r="EP225" s="47"/>
      <c r="EQ225" s="47"/>
      <c r="ER225" s="47"/>
      <c r="ES225" s="47"/>
      <c r="ET225" s="47"/>
      <c r="EU225" s="47"/>
      <c r="EV225" s="47"/>
      <c r="EW225" s="47"/>
      <c r="EX225" s="47"/>
      <c r="EY225" s="47"/>
      <c r="EZ225" s="47"/>
      <c r="FA225" s="47"/>
      <c r="FB225" s="47"/>
      <c r="FC225" s="47"/>
      <c r="FD225" s="47"/>
      <c r="FE225" s="47"/>
      <c r="FF225" s="47"/>
      <c r="FG225" s="47"/>
      <c r="FH225" s="47"/>
      <c r="FI225" s="47"/>
      <c r="FJ225" s="47"/>
      <c r="FK225" s="47"/>
      <c r="FL225" s="47"/>
      <c r="FM225" s="47"/>
      <c r="FN225" s="47"/>
      <c r="FO225" s="47"/>
      <c r="FP225" s="47"/>
      <c r="FQ225" s="47"/>
      <c r="FR225" s="47"/>
      <c r="FS225" s="47"/>
      <c r="FT225" s="47"/>
      <c r="FU225" s="47"/>
      <c r="FV225" s="47"/>
      <c r="FW225" s="47"/>
      <c r="FX225" s="47"/>
      <c r="FY225" s="47"/>
      <c r="FZ225" s="47"/>
      <c r="GA225" s="47"/>
      <c r="GB225" s="47"/>
      <c r="GC225" s="47"/>
      <c r="GD225" s="47"/>
      <c r="GE225" s="47"/>
    </row>
    <row r="226" spans="1:187" ht="10.5" customHeight="1">
      <c r="A226" s="43"/>
      <c r="B226" s="108"/>
      <c r="C226" s="108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77"/>
      <c r="U226" s="223"/>
      <c r="V226" s="223"/>
      <c r="W226" s="223"/>
      <c r="X226" s="223"/>
      <c r="Y226" s="223"/>
      <c r="Z226" s="223"/>
      <c r="AA226" s="77"/>
      <c r="AB226" s="223"/>
      <c r="AC226" s="223"/>
      <c r="AD226" s="223"/>
      <c r="AE226" s="223"/>
      <c r="AF226" s="223"/>
      <c r="AG226" s="223"/>
      <c r="AH226" s="77"/>
      <c r="AI226" s="223"/>
      <c r="AJ226" s="223"/>
      <c r="AK226" s="223"/>
      <c r="AL226" s="223"/>
      <c r="AM226" s="223"/>
      <c r="AN226" s="223"/>
      <c r="AO226" s="77"/>
      <c r="AP226" s="223"/>
      <c r="AQ226" s="223"/>
      <c r="AR226" s="223"/>
      <c r="AS226" s="223"/>
      <c r="AT226" s="223"/>
      <c r="AU226" s="223"/>
      <c r="AV226" s="77"/>
      <c r="AW226" s="223"/>
      <c r="AX226" s="223"/>
      <c r="AY226" s="223"/>
      <c r="AZ226" s="223"/>
      <c r="BA226" s="223"/>
      <c r="BB226" s="223"/>
      <c r="BC226" s="77"/>
      <c r="BD226" s="223"/>
      <c r="BE226" s="223"/>
      <c r="BF226" s="223"/>
      <c r="BG226" s="223"/>
      <c r="BH226" s="223"/>
      <c r="BI226" s="223"/>
      <c r="BJ226" s="77"/>
      <c r="BK226" s="223"/>
      <c r="BL226" s="223"/>
      <c r="BM226" s="223"/>
      <c r="BN226" s="223"/>
      <c r="BO226" s="223"/>
      <c r="BP226" s="223"/>
      <c r="BQ226" s="77"/>
      <c r="BR226" s="223"/>
      <c r="BS226" s="223"/>
      <c r="BT226" s="223"/>
      <c r="BU226" s="223"/>
      <c r="BV226" s="223"/>
      <c r="BW226" s="223"/>
      <c r="BX226" s="77"/>
      <c r="BY226" s="223"/>
      <c r="BZ226" s="223"/>
      <c r="CA226" s="223"/>
      <c r="CB226" s="223"/>
      <c r="CC226" s="223"/>
      <c r="CD226" s="223"/>
      <c r="CE226" s="77"/>
      <c r="CF226" s="223"/>
      <c r="CG226" s="223"/>
      <c r="CH226" s="223"/>
      <c r="CI226" s="223"/>
      <c r="CJ226" s="223"/>
      <c r="CK226" s="223"/>
      <c r="CL226" s="77"/>
      <c r="CM226" s="223"/>
      <c r="CN226" s="223"/>
      <c r="CO226" s="223"/>
      <c r="CP226" s="223"/>
      <c r="CQ226" s="223"/>
      <c r="CR226" s="223"/>
      <c r="CS226" s="77"/>
      <c r="CT226" s="223"/>
      <c r="CU226" s="223"/>
      <c r="CV226" s="223"/>
      <c r="CW226" s="223"/>
      <c r="CX226" s="223"/>
      <c r="CY226" s="223"/>
      <c r="CZ226" s="77"/>
      <c r="DA226" s="223"/>
      <c r="DB226" s="223"/>
      <c r="DC226" s="223"/>
      <c r="DD226" s="223"/>
      <c r="DE226" s="223"/>
      <c r="DF226" s="223"/>
      <c r="DG226" s="77"/>
      <c r="DH226" s="223"/>
      <c r="DI226" s="223"/>
      <c r="DJ226" s="223"/>
      <c r="DK226" s="223"/>
      <c r="DL226" s="223"/>
      <c r="DM226" s="223"/>
      <c r="DN226" s="77"/>
      <c r="DO226" s="223"/>
      <c r="DP226" s="223"/>
      <c r="DQ226" s="223"/>
      <c r="DR226" s="223"/>
      <c r="DS226" s="223"/>
      <c r="DT226" s="223"/>
      <c r="DU226" s="77"/>
      <c r="DV226" s="223"/>
      <c r="DW226" s="223"/>
      <c r="DX226" s="223"/>
      <c r="DY226" s="223"/>
      <c r="DZ226" s="223"/>
      <c r="EA226" s="223"/>
      <c r="EB226" s="77"/>
      <c r="EC226" s="223"/>
      <c r="ED226" s="223"/>
      <c r="EE226" s="223"/>
      <c r="EF226" s="223"/>
      <c r="EG226" s="223"/>
      <c r="EH226" s="223"/>
      <c r="EI226" s="77"/>
      <c r="EJ226" s="47"/>
      <c r="EK226" s="47"/>
      <c r="EL226" s="47"/>
      <c r="EM226" s="47"/>
      <c r="EN226" s="47"/>
      <c r="EO226" s="47"/>
      <c r="EP226" s="47"/>
      <c r="EQ226" s="47"/>
      <c r="ER226" s="47"/>
      <c r="ES226" s="47"/>
      <c r="ET226" s="47"/>
      <c r="EU226" s="47"/>
      <c r="EV226" s="47"/>
      <c r="EW226" s="47"/>
      <c r="EX226" s="47"/>
      <c r="EY226" s="47"/>
      <c r="EZ226" s="47"/>
      <c r="FA226" s="47"/>
      <c r="FB226" s="47"/>
      <c r="FC226" s="47"/>
      <c r="FD226" s="47"/>
      <c r="FE226" s="47"/>
      <c r="FF226" s="47"/>
      <c r="FG226" s="47"/>
      <c r="FH226" s="47"/>
      <c r="FI226" s="47"/>
      <c r="FJ226" s="47"/>
      <c r="FK226" s="47"/>
      <c r="FL226" s="47"/>
      <c r="FM226" s="47"/>
      <c r="FN226" s="47"/>
      <c r="FO226" s="47"/>
      <c r="FP226" s="47"/>
      <c r="FQ226" s="47"/>
      <c r="FR226" s="47"/>
      <c r="FS226" s="47"/>
      <c r="FT226" s="47"/>
      <c r="FU226" s="47"/>
      <c r="FV226" s="47"/>
      <c r="FW226" s="47"/>
      <c r="FX226" s="47"/>
      <c r="FY226" s="47"/>
      <c r="FZ226" s="47"/>
      <c r="GA226" s="47"/>
      <c r="GB226" s="47"/>
      <c r="GC226" s="47"/>
      <c r="GD226" s="47"/>
      <c r="GE226" s="47"/>
    </row>
    <row r="227" spans="1:187" ht="10.5" customHeight="1">
      <c r="A227" s="102"/>
      <c r="B227" s="108"/>
      <c r="C227" s="108"/>
      <c r="D227" s="223"/>
      <c r="E227" s="300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77"/>
      <c r="U227" s="223"/>
      <c r="V227" s="223"/>
      <c r="W227" s="223"/>
      <c r="X227" s="223"/>
      <c r="Y227" s="223"/>
      <c r="Z227" s="223"/>
      <c r="AA227" s="77"/>
      <c r="AB227" s="223"/>
      <c r="AC227" s="223"/>
      <c r="AD227" s="223"/>
      <c r="AE227" s="223"/>
      <c r="AF227" s="223"/>
      <c r="AG227" s="223"/>
      <c r="AH227" s="77"/>
      <c r="AI227" s="223"/>
      <c r="AJ227" s="223"/>
      <c r="AK227" s="223"/>
      <c r="AL227" s="223"/>
      <c r="AM227" s="223"/>
      <c r="AN227" s="223"/>
      <c r="AO227" s="77"/>
      <c r="AP227" s="223"/>
      <c r="AQ227" s="223"/>
      <c r="AR227" s="223"/>
      <c r="AS227" s="223"/>
      <c r="AT227" s="223"/>
      <c r="AU227" s="223"/>
      <c r="AV227" s="77"/>
      <c r="AW227" s="223"/>
      <c r="AX227" s="223"/>
      <c r="AY227" s="223"/>
      <c r="AZ227" s="223"/>
      <c r="BA227" s="223"/>
      <c r="BB227" s="223"/>
      <c r="BC227" s="77"/>
      <c r="BD227" s="223"/>
      <c r="BE227" s="223"/>
      <c r="BF227" s="223"/>
      <c r="BG227" s="223"/>
      <c r="BH227" s="223"/>
      <c r="BI227" s="223"/>
      <c r="BJ227" s="77"/>
      <c r="BK227" s="223"/>
      <c r="BL227" s="223"/>
      <c r="BM227" s="223"/>
      <c r="BN227" s="223"/>
      <c r="BO227" s="223"/>
      <c r="BP227" s="223"/>
      <c r="BQ227" s="77"/>
      <c r="BR227" s="223"/>
      <c r="BS227" s="223"/>
      <c r="BT227" s="223"/>
      <c r="BU227" s="223"/>
      <c r="BV227" s="223"/>
      <c r="BW227" s="223"/>
      <c r="BX227" s="77"/>
      <c r="BY227" s="223"/>
      <c r="BZ227" s="223"/>
      <c r="CA227" s="223"/>
      <c r="CB227" s="223"/>
      <c r="CC227" s="223"/>
      <c r="CD227" s="223"/>
      <c r="CE227" s="77"/>
      <c r="CF227" s="223"/>
      <c r="CG227" s="223"/>
      <c r="CH227" s="223"/>
      <c r="CI227" s="223"/>
      <c r="CJ227" s="223"/>
      <c r="CK227" s="223"/>
      <c r="CL227" s="77"/>
      <c r="CM227" s="223"/>
      <c r="CN227" s="223"/>
      <c r="CO227" s="223"/>
      <c r="CP227" s="223"/>
      <c r="CQ227" s="223"/>
      <c r="CR227" s="223"/>
      <c r="CS227" s="77"/>
      <c r="CT227" s="223"/>
      <c r="CU227" s="223"/>
      <c r="CV227" s="223"/>
      <c r="CW227" s="223"/>
      <c r="CX227" s="223"/>
      <c r="CY227" s="223"/>
      <c r="CZ227" s="77"/>
      <c r="DA227" s="223"/>
      <c r="DB227" s="223"/>
      <c r="DC227" s="223"/>
      <c r="DD227" s="223"/>
      <c r="DE227" s="223"/>
      <c r="DF227" s="223"/>
      <c r="DG227" s="77"/>
      <c r="DH227" s="223"/>
      <c r="DI227" s="223"/>
      <c r="DJ227" s="223"/>
      <c r="DK227" s="223"/>
      <c r="DL227" s="223"/>
      <c r="DM227" s="223"/>
      <c r="DN227" s="77"/>
      <c r="DO227" s="223"/>
      <c r="DP227" s="223"/>
      <c r="DQ227" s="223"/>
      <c r="DR227" s="223"/>
      <c r="DS227" s="223"/>
      <c r="DT227" s="223"/>
      <c r="DU227" s="77"/>
      <c r="DV227" s="223"/>
      <c r="DW227" s="223"/>
      <c r="DX227" s="223"/>
      <c r="DY227" s="223"/>
      <c r="DZ227" s="223"/>
      <c r="EA227" s="223"/>
      <c r="EB227" s="77"/>
      <c r="EC227" s="223"/>
      <c r="ED227" s="223"/>
      <c r="EE227" s="223"/>
      <c r="EF227" s="223"/>
      <c r="EG227" s="223"/>
      <c r="EH227" s="223"/>
      <c r="EI227" s="77"/>
      <c r="EJ227" s="47"/>
      <c r="EK227" s="47"/>
      <c r="EL227" s="47"/>
      <c r="EM227" s="47"/>
      <c r="EN227" s="47"/>
      <c r="EO227" s="47"/>
      <c r="EP227" s="47"/>
      <c r="EQ227" s="47"/>
      <c r="ER227" s="47"/>
      <c r="ES227" s="47"/>
      <c r="ET227" s="47"/>
      <c r="EU227" s="47"/>
      <c r="EV227" s="47"/>
      <c r="EW227" s="47"/>
      <c r="EX227" s="47"/>
      <c r="EY227" s="47"/>
      <c r="EZ227" s="47"/>
      <c r="FA227" s="47"/>
      <c r="FB227" s="47"/>
      <c r="FC227" s="47"/>
      <c r="FD227" s="47"/>
      <c r="FE227" s="47"/>
      <c r="FF227" s="47"/>
      <c r="FG227" s="47"/>
      <c r="FH227" s="47"/>
      <c r="FI227" s="47"/>
      <c r="FJ227" s="47"/>
      <c r="FK227" s="47"/>
      <c r="FL227" s="47"/>
      <c r="FM227" s="47"/>
      <c r="FN227" s="47"/>
      <c r="FO227" s="47"/>
      <c r="FP227" s="47"/>
      <c r="FQ227" s="47"/>
      <c r="FR227" s="47"/>
      <c r="FS227" s="47"/>
      <c r="FT227" s="47"/>
      <c r="FU227" s="47"/>
      <c r="FV227" s="47"/>
      <c r="FW227" s="47"/>
      <c r="FX227" s="47"/>
      <c r="FY227" s="47"/>
      <c r="FZ227" s="47"/>
      <c r="GA227" s="47"/>
      <c r="GB227" s="47"/>
      <c r="GC227" s="47"/>
      <c r="GD227" s="47"/>
      <c r="GE227" s="47"/>
    </row>
    <row r="228" spans="1:187" ht="10.5" customHeight="1">
      <c r="A228" s="43"/>
      <c r="B228" s="108"/>
      <c r="C228" s="108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99"/>
      <c r="U228" s="300"/>
      <c r="V228" s="300"/>
      <c r="W228" s="300"/>
      <c r="X228" s="300"/>
      <c r="Y228" s="300"/>
      <c r="Z228" s="300"/>
      <c r="AA228" s="99"/>
      <c r="AB228" s="300"/>
      <c r="AC228" s="300"/>
      <c r="AD228" s="300"/>
      <c r="AE228" s="300"/>
      <c r="AF228" s="300"/>
      <c r="AG228" s="300"/>
      <c r="AH228" s="99"/>
      <c r="AI228" s="300"/>
      <c r="AJ228" s="300"/>
      <c r="AK228" s="300"/>
      <c r="AL228" s="300"/>
      <c r="AM228" s="300"/>
      <c r="AN228" s="300"/>
      <c r="AO228" s="99"/>
      <c r="AP228" s="300"/>
      <c r="AQ228" s="300"/>
      <c r="AR228" s="300"/>
      <c r="AS228" s="300"/>
      <c r="AT228" s="300"/>
      <c r="AU228" s="300"/>
      <c r="AV228" s="99"/>
      <c r="AW228" s="300"/>
      <c r="AX228" s="300"/>
      <c r="AY228" s="300"/>
      <c r="AZ228" s="300"/>
      <c r="BA228" s="300"/>
      <c r="BB228" s="300"/>
      <c r="BC228" s="99"/>
      <c r="BD228" s="300"/>
      <c r="BE228" s="300"/>
      <c r="BF228" s="300"/>
      <c r="BG228" s="300"/>
      <c r="BH228" s="300"/>
      <c r="BI228" s="300"/>
      <c r="BJ228" s="99"/>
      <c r="BK228" s="300"/>
      <c r="BL228" s="300"/>
      <c r="BM228" s="300"/>
      <c r="BN228" s="300"/>
      <c r="BO228" s="300"/>
      <c r="BP228" s="300"/>
      <c r="BQ228" s="99"/>
      <c r="BR228" s="300"/>
      <c r="BS228" s="300"/>
      <c r="BT228" s="300"/>
      <c r="BU228" s="300"/>
      <c r="BV228" s="300"/>
      <c r="BW228" s="300"/>
      <c r="BX228" s="99"/>
      <c r="BY228" s="300"/>
      <c r="BZ228" s="300"/>
      <c r="CA228" s="300"/>
      <c r="CB228" s="300"/>
      <c r="CC228" s="300"/>
      <c r="CD228" s="300"/>
      <c r="CE228" s="99"/>
      <c r="CF228" s="300"/>
      <c r="CG228" s="300"/>
      <c r="CH228" s="300"/>
      <c r="CI228" s="300"/>
      <c r="CJ228" s="300"/>
      <c r="CK228" s="300"/>
      <c r="CL228" s="99"/>
      <c r="CM228" s="300"/>
      <c r="CN228" s="300"/>
      <c r="CO228" s="300"/>
      <c r="CP228" s="300"/>
      <c r="CQ228" s="300"/>
      <c r="CR228" s="300"/>
      <c r="CS228" s="99"/>
      <c r="CT228" s="300"/>
      <c r="CU228" s="300"/>
      <c r="CV228" s="300"/>
      <c r="CW228" s="300"/>
      <c r="CX228" s="300"/>
      <c r="CY228" s="300"/>
      <c r="CZ228" s="99"/>
      <c r="DA228" s="300"/>
      <c r="DB228" s="300"/>
      <c r="DC228" s="300"/>
      <c r="DD228" s="300"/>
      <c r="DE228" s="300"/>
      <c r="DF228" s="300"/>
      <c r="DG228" s="99"/>
      <c r="DH228" s="300"/>
      <c r="DI228" s="300"/>
      <c r="DJ228" s="300"/>
      <c r="DK228" s="300"/>
      <c r="DL228" s="300"/>
      <c r="DM228" s="300"/>
      <c r="DN228" s="99"/>
      <c r="DO228" s="300"/>
      <c r="DP228" s="300"/>
      <c r="DQ228" s="300"/>
      <c r="DR228" s="300"/>
      <c r="DS228" s="300"/>
      <c r="DT228" s="300"/>
      <c r="DU228" s="99"/>
      <c r="DV228" s="300"/>
      <c r="DW228" s="300"/>
      <c r="DX228" s="300"/>
      <c r="DY228" s="300"/>
      <c r="DZ228" s="300"/>
      <c r="EA228" s="300"/>
      <c r="EB228" s="99"/>
      <c r="EC228" s="300"/>
      <c r="ED228" s="300"/>
      <c r="EE228" s="300"/>
      <c r="EF228" s="300"/>
      <c r="EG228" s="300"/>
      <c r="EH228" s="300"/>
      <c r="EI228" s="99"/>
      <c r="EJ228" s="47"/>
      <c r="EK228" s="47"/>
      <c r="EL228" s="47"/>
      <c r="EM228" s="47"/>
      <c r="EN228" s="47"/>
      <c r="EO228" s="47"/>
      <c r="EP228" s="47"/>
      <c r="EQ228" s="47"/>
      <c r="ER228" s="47"/>
      <c r="ES228" s="47"/>
      <c r="ET228" s="47"/>
      <c r="EU228" s="47"/>
      <c r="EV228" s="47"/>
      <c r="EW228" s="47"/>
      <c r="EX228" s="47"/>
      <c r="EY228" s="47"/>
      <c r="EZ228" s="47"/>
      <c r="FA228" s="47"/>
      <c r="FB228" s="47"/>
      <c r="FC228" s="47"/>
      <c r="FD228" s="47"/>
      <c r="FE228" s="47"/>
      <c r="FF228" s="47"/>
      <c r="FG228" s="47"/>
      <c r="FH228" s="47"/>
      <c r="FI228" s="47"/>
      <c r="FJ228" s="47"/>
      <c r="FK228" s="47"/>
      <c r="FL228" s="47"/>
      <c r="FM228" s="47"/>
      <c r="FN228" s="47"/>
      <c r="FO228" s="47"/>
      <c r="FP228" s="47"/>
      <c r="FQ228" s="47"/>
      <c r="FR228" s="47"/>
      <c r="FS228" s="47"/>
      <c r="FT228" s="47"/>
      <c r="FU228" s="47"/>
      <c r="FV228" s="47"/>
      <c r="FW228" s="47"/>
      <c r="FX228" s="47"/>
      <c r="FY228" s="47"/>
      <c r="FZ228" s="47"/>
      <c r="GA228" s="47"/>
      <c r="GB228" s="47"/>
      <c r="GC228" s="47"/>
      <c r="GD228" s="47"/>
      <c r="GE228" s="47"/>
    </row>
    <row r="229" spans="1:187" ht="10.5" customHeight="1">
      <c r="A229" s="43"/>
      <c r="B229" s="108"/>
      <c r="C229" s="108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99"/>
      <c r="U229" s="300"/>
      <c r="V229" s="300"/>
      <c r="W229" s="300"/>
      <c r="X229" s="300"/>
      <c r="Y229" s="300"/>
      <c r="Z229" s="300"/>
      <c r="AA229" s="99"/>
      <c r="AB229" s="300"/>
      <c r="AC229" s="300"/>
      <c r="AD229" s="300"/>
      <c r="AE229" s="300"/>
      <c r="AF229" s="300"/>
      <c r="AG229" s="300"/>
      <c r="AH229" s="99"/>
      <c r="AI229" s="300"/>
      <c r="AJ229" s="300"/>
      <c r="AK229" s="300"/>
      <c r="AL229" s="300"/>
      <c r="AM229" s="300"/>
      <c r="AN229" s="300"/>
      <c r="AO229" s="99"/>
      <c r="AP229" s="300"/>
      <c r="AQ229" s="300"/>
      <c r="AR229" s="300"/>
      <c r="AS229" s="300"/>
      <c r="AT229" s="300"/>
      <c r="AU229" s="300"/>
      <c r="AV229" s="99"/>
      <c r="AW229" s="300"/>
      <c r="AX229" s="300"/>
      <c r="AY229" s="300"/>
      <c r="AZ229" s="300"/>
      <c r="BA229" s="300"/>
      <c r="BB229" s="300"/>
      <c r="BC229" s="99"/>
      <c r="BD229" s="300"/>
      <c r="BE229" s="300"/>
      <c r="BF229" s="300"/>
      <c r="BG229" s="300"/>
      <c r="BH229" s="300"/>
      <c r="BI229" s="300"/>
      <c r="BJ229" s="99"/>
      <c r="BK229" s="300"/>
      <c r="BL229" s="300"/>
      <c r="BM229" s="300"/>
      <c r="BN229" s="300"/>
      <c r="BO229" s="300"/>
      <c r="BP229" s="300"/>
      <c r="BQ229" s="99"/>
      <c r="BR229" s="300"/>
      <c r="BS229" s="300"/>
      <c r="BT229" s="300"/>
      <c r="BU229" s="300"/>
      <c r="BV229" s="300"/>
      <c r="BW229" s="300"/>
      <c r="BX229" s="99"/>
      <c r="BY229" s="300"/>
      <c r="BZ229" s="300"/>
      <c r="CA229" s="300"/>
      <c r="CB229" s="300"/>
      <c r="CC229" s="300"/>
      <c r="CD229" s="300"/>
      <c r="CE229" s="99"/>
      <c r="CF229" s="300"/>
      <c r="CG229" s="300"/>
      <c r="CH229" s="300"/>
      <c r="CI229" s="300"/>
      <c r="CJ229" s="300"/>
      <c r="CK229" s="300"/>
      <c r="CL229" s="99"/>
      <c r="CM229" s="300"/>
      <c r="CN229" s="300"/>
      <c r="CO229" s="300"/>
      <c r="CP229" s="300"/>
      <c r="CQ229" s="300"/>
      <c r="CR229" s="300"/>
      <c r="CS229" s="99"/>
      <c r="CT229" s="300"/>
      <c r="CU229" s="300"/>
      <c r="CV229" s="300"/>
      <c r="CW229" s="300"/>
      <c r="CX229" s="300"/>
      <c r="CY229" s="300"/>
      <c r="CZ229" s="99"/>
      <c r="DA229" s="300"/>
      <c r="DB229" s="300"/>
      <c r="DC229" s="300"/>
      <c r="DD229" s="300"/>
      <c r="DE229" s="300"/>
      <c r="DF229" s="300"/>
      <c r="DG229" s="99"/>
      <c r="DH229" s="300"/>
      <c r="DI229" s="300"/>
      <c r="DJ229" s="300"/>
      <c r="DK229" s="300"/>
      <c r="DL229" s="300"/>
      <c r="DM229" s="300"/>
      <c r="DN229" s="99"/>
      <c r="DO229" s="300"/>
      <c r="DP229" s="300"/>
      <c r="DQ229" s="300"/>
      <c r="DR229" s="300"/>
      <c r="DS229" s="300"/>
      <c r="DT229" s="300"/>
      <c r="DU229" s="99"/>
      <c r="DV229" s="300"/>
      <c r="DW229" s="300"/>
      <c r="DX229" s="300"/>
      <c r="DY229" s="300"/>
      <c r="DZ229" s="300"/>
      <c r="EA229" s="300"/>
      <c r="EB229" s="99"/>
      <c r="EC229" s="300"/>
      <c r="ED229" s="300"/>
      <c r="EE229" s="300"/>
      <c r="EF229" s="300"/>
      <c r="EG229" s="300"/>
      <c r="EH229" s="300"/>
      <c r="EI229" s="99"/>
      <c r="EJ229" s="47"/>
      <c r="EK229" s="47"/>
      <c r="EL229" s="47"/>
      <c r="EM229" s="47"/>
      <c r="EN229" s="47"/>
      <c r="EO229" s="47"/>
      <c r="EP229" s="47"/>
      <c r="EQ229" s="47"/>
      <c r="ER229" s="47"/>
      <c r="ES229" s="47"/>
      <c r="ET229" s="47"/>
      <c r="EU229" s="47"/>
      <c r="EV229" s="47"/>
      <c r="EW229" s="47"/>
      <c r="EX229" s="47"/>
      <c r="EY229" s="47"/>
      <c r="EZ229" s="47"/>
      <c r="FA229" s="47"/>
      <c r="FB229" s="47"/>
      <c r="FC229" s="47"/>
      <c r="FD229" s="47"/>
      <c r="FE229" s="47"/>
      <c r="FF229" s="47"/>
      <c r="FG229" s="47"/>
      <c r="FH229" s="47"/>
      <c r="FI229" s="47"/>
      <c r="FJ229" s="47"/>
      <c r="FK229" s="47"/>
      <c r="FL229" s="47"/>
      <c r="FM229" s="47"/>
      <c r="FN229" s="47"/>
      <c r="FO229" s="47"/>
      <c r="FP229" s="47"/>
      <c r="FQ229" s="47"/>
      <c r="FR229" s="47"/>
      <c r="FS229" s="47"/>
      <c r="FT229" s="47"/>
      <c r="FU229" s="47"/>
      <c r="FV229" s="47"/>
      <c r="FW229" s="47"/>
      <c r="FX229" s="47"/>
      <c r="FY229" s="47"/>
      <c r="FZ229" s="47"/>
      <c r="GA229" s="47"/>
      <c r="GB229" s="47"/>
      <c r="GC229" s="47"/>
      <c r="GD229" s="47"/>
      <c r="GE229" s="47"/>
    </row>
    <row r="230" spans="1:187" ht="10.5" customHeight="1">
      <c r="A230" s="43"/>
      <c r="B230" s="108"/>
      <c r="C230" s="108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44"/>
      <c r="U230" s="135"/>
      <c r="V230" s="135"/>
      <c r="W230" s="135"/>
      <c r="X230" s="135"/>
      <c r="Y230" s="135"/>
      <c r="Z230" s="135"/>
      <c r="AA230" s="44"/>
      <c r="AB230" s="135"/>
      <c r="AC230" s="135"/>
      <c r="AD230" s="135"/>
      <c r="AE230" s="135"/>
      <c r="AF230" s="135"/>
      <c r="AG230" s="135"/>
      <c r="AH230" s="44"/>
      <c r="AI230" s="135"/>
      <c r="AJ230" s="135"/>
      <c r="AK230" s="135"/>
      <c r="AL230" s="135"/>
      <c r="AM230" s="135"/>
      <c r="AN230" s="135"/>
      <c r="AO230" s="44"/>
      <c r="AP230" s="135"/>
      <c r="AQ230" s="135"/>
      <c r="AR230" s="135"/>
      <c r="AS230" s="135"/>
      <c r="AT230" s="135"/>
      <c r="AU230" s="135"/>
      <c r="AV230" s="44"/>
      <c r="AW230" s="135"/>
      <c r="AX230" s="135"/>
      <c r="AY230" s="135"/>
      <c r="AZ230" s="135"/>
      <c r="BA230" s="135"/>
      <c r="BB230" s="135"/>
      <c r="BC230" s="44"/>
      <c r="BD230" s="135"/>
      <c r="BE230" s="135"/>
      <c r="BF230" s="135"/>
      <c r="BG230" s="135"/>
      <c r="BH230" s="135"/>
      <c r="BI230" s="135"/>
      <c r="BJ230" s="44"/>
      <c r="BK230" s="135"/>
      <c r="BL230" s="135"/>
      <c r="BM230" s="135"/>
      <c r="BN230" s="135"/>
      <c r="BO230" s="135"/>
      <c r="BP230" s="135"/>
      <c r="BQ230" s="44"/>
      <c r="BR230" s="135"/>
      <c r="BS230" s="135"/>
      <c r="BT230" s="135"/>
      <c r="BU230" s="135"/>
      <c r="BV230" s="135"/>
      <c r="BW230" s="135"/>
      <c r="BX230" s="44"/>
      <c r="BY230" s="135"/>
      <c r="BZ230" s="135"/>
      <c r="CA230" s="135"/>
      <c r="CB230" s="135"/>
      <c r="CC230" s="135"/>
      <c r="CD230" s="135"/>
      <c r="CE230" s="44"/>
      <c r="CF230" s="135"/>
      <c r="CG230" s="135"/>
      <c r="CH230" s="135"/>
      <c r="CI230" s="135"/>
      <c r="CJ230" s="135"/>
      <c r="CK230" s="135"/>
      <c r="CL230" s="44"/>
      <c r="CM230" s="135"/>
      <c r="CN230" s="135"/>
      <c r="CO230" s="135"/>
      <c r="CP230" s="135"/>
      <c r="CQ230" s="135"/>
      <c r="CR230" s="135"/>
      <c r="CS230" s="44"/>
      <c r="CT230" s="135"/>
      <c r="CU230" s="135"/>
      <c r="CV230" s="135"/>
      <c r="CW230" s="135"/>
      <c r="CX230" s="135"/>
      <c r="CY230" s="135"/>
      <c r="CZ230" s="44"/>
      <c r="DA230" s="135"/>
      <c r="DB230" s="135"/>
      <c r="DC230" s="135"/>
      <c r="DD230" s="135"/>
      <c r="DE230" s="135"/>
      <c r="DF230" s="135"/>
      <c r="DG230" s="44"/>
      <c r="DH230" s="135"/>
      <c r="DI230" s="135"/>
      <c r="DJ230" s="135"/>
      <c r="DK230" s="135"/>
      <c r="DL230" s="135"/>
      <c r="DM230" s="135"/>
      <c r="DN230" s="44"/>
      <c r="DO230" s="135"/>
      <c r="DP230" s="135"/>
      <c r="DQ230" s="135"/>
      <c r="DR230" s="135"/>
      <c r="DS230" s="135"/>
      <c r="DT230" s="135"/>
      <c r="DU230" s="44"/>
      <c r="DV230" s="135"/>
      <c r="DW230" s="135"/>
      <c r="DX230" s="135"/>
      <c r="DY230" s="135"/>
      <c r="DZ230" s="135"/>
      <c r="EA230" s="135"/>
      <c r="EB230" s="44"/>
      <c r="EC230" s="135"/>
      <c r="ED230" s="135"/>
      <c r="EE230" s="135"/>
      <c r="EF230" s="135"/>
      <c r="EG230" s="135"/>
      <c r="EH230" s="135"/>
      <c r="EI230" s="44"/>
      <c r="EJ230" s="47"/>
      <c r="EK230" s="47"/>
      <c r="EL230" s="47"/>
      <c r="EM230" s="47"/>
      <c r="EN230" s="47"/>
      <c r="EO230" s="47"/>
      <c r="EP230" s="47"/>
      <c r="EQ230" s="47"/>
      <c r="ER230" s="47"/>
      <c r="ES230" s="47"/>
      <c r="ET230" s="47"/>
      <c r="EU230" s="47"/>
      <c r="EV230" s="47"/>
      <c r="EW230" s="47"/>
      <c r="EX230" s="47"/>
      <c r="EY230" s="47"/>
      <c r="EZ230" s="47"/>
      <c r="FA230" s="47"/>
      <c r="FB230" s="47"/>
      <c r="FC230" s="47"/>
      <c r="FD230" s="47"/>
      <c r="FE230" s="47"/>
      <c r="FF230" s="47"/>
      <c r="FG230" s="47"/>
      <c r="FH230" s="47"/>
      <c r="FI230" s="47"/>
      <c r="FJ230" s="47"/>
      <c r="FK230" s="47"/>
      <c r="FL230" s="47"/>
      <c r="FM230" s="47"/>
      <c r="FN230" s="47"/>
      <c r="FO230" s="47"/>
      <c r="FP230" s="47"/>
      <c r="FQ230" s="47"/>
      <c r="FR230" s="47"/>
      <c r="FS230" s="47"/>
      <c r="FT230" s="47"/>
      <c r="FU230" s="47"/>
      <c r="FV230" s="47"/>
      <c r="FW230" s="47"/>
      <c r="FX230" s="47"/>
      <c r="FY230" s="47"/>
      <c r="FZ230" s="47"/>
      <c r="GA230" s="47"/>
      <c r="GB230" s="47"/>
      <c r="GC230" s="47"/>
      <c r="GD230" s="47"/>
      <c r="GE230" s="47"/>
    </row>
    <row r="231" spans="1:187" ht="10.5" customHeight="1">
      <c r="A231" s="43"/>
      <c r="B231" s="108"/>
      <c r="C231" s="108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77"/>
      <c r="U231" s="223"/>
      <c r="V231" s="223"/>
      <c r="W231" s="223"/>
      <c r="X231" s="223"/>
      <c r="Y231" s="223"/>
      <c r="Z231" s="223"/>
      <c r="AA231" s="77"/>
      <c r="AB231" s="223"/>
      <c r="AC231" s="223"/>
      <c r="AD231" s="223"/>
      <c r="AE231" s="223"/>
      <c r="AF231" s="223"/>
      <c r="AG231" s="223"/>
      <c r="AH231" s="77"/>
      <c r="AI231" s="223"/>
      <c r="AJ231" s="223"/>
      <c r="AK231" s="223"/>
      <c r="AL231" s="223"/>
      <c r="AM231" s="223"/>
      <c r="AN231" s="223"/>
      <c r="AO231" s="77"/>
      <c r="AP231" s="223"/>
      <c r="AQ231" s="223"/>
      <c r="AR231" s="223"/>
      <c r="AS231" s="223"/>
      <c r="AT231" s="223"/>
      <c r="AU231" s="223"/>
      <c r="AV231" s="77"/>
      <c r="AW231" s="223"/>
      <c r="AX231" s="223"/>
      <c r="AY231" s="223"/>
      <c r="AZ231" s="223"/>
      <c r="BA231" s="223"/>
      <c r="BB231" s="223"/>
      <c r="BC231" s="77"/>
      <c r="BD231" s="223"/>
      <c r="BE231" s="223"/>
      <c r="BF231" s="223"/>
      <c r="BG231" s="223"/>
      <c r="BH231" s="223"/>
      <c r="BI231" s="223"/>
      <c r="BJ231" s="77"/>
      <c r="BK231" s="223"/>
      <c r="BL231" s="223"/>
      <c r="BM231" s="223"/>
      <c r="BN231" s="223"/>
      <c r="BO231" s="223"/>
      <c r="BP231" s="223"/>
      <c r="BQ231" s="77"/>
      <c r="BR231" s="223"/>
      <c r="BS231" s="223"/>
      <c r="BT231" s="223"/>
      <c r="BU231" s="223"/>
      <c r="BV231" s="223"/>
      <c r="BW231" s="223"/>
      <c r="BX231" s="77"/>
      <c r="BY231" s="223"/>
      <c r="BZ231" s="223"/>
      <c r="CA231" s="223"/>
      <c r="CB231" s="223"/>
      <c r="CC231" s="223"/>
      <c r="CD231" s="223"/>
      <c r="CE231" s="77"/>
      <c r="CF231" s="223"/>
      <c r="CG231" s="223"/>
      <c r="CH231" s="223"/>
      <c r="CI231" s="223"/>
      <c r="CJ231" s="223"/>
      <c r="CK231" s="223"/>
      <c r="CL231" s="77"/>
      <c r="CM231" s="223"/>
      <c r="CN231" s="223"/>
      <c r="CO231" s="223"/>
      <c r="CP231" s="223"/>
      <c r="CQ231" s="223"/>
      <c r="CR231" s="223"/>
      <c r="CS231" s="77"/>
      <c r="CT231" s="223"/>
      <c r="CU231" s="223"/>
      <c r="CV231" s="223"/>
      <c r="CW231" s="223"/>
      <c r="CX231" s="223"/>
      <c r="CY231" s="223"/>
      <c r="CZ231" s="77"/>
      <c r="DA231" s="223"/>
      <c r="DB231" s="223"/>
      <c r="DC231" s="223"/>
      <c r="DD231" s="223"/>
      <c r="DE231" s="223"/>
      <c r="DF231" s="223"/>
      <c r="DG231" s="77"/>
      <c r="DH231" s="223"/>
      <c r="DI231" s="223"/>
      <c r="DJ231" s="223"/>
      <c r="DK231" s="223"/>
      <c r="DL231" s="223"/>
      <c r="DM231" s="223"/>
      <c r="DN231" s="77"/>
      <c r="DO231" s="223"/>
      <c r="DP231" s="223"/>
      <c r="DQ231" s="223"/>
      <c r="DR231" s="223"/>
      <c r="DS231" s="223"/>
      <c r="DT231" s="223"/>
      <c r="DU231" s="77"/>
      <c r="DV231" s="223"/>
      <c r="DW231" s="223"/>
      <c r="DX231" s="223"/>
      <c r="DY231" s="223"/>
      <c r="DZ231" s="223"/>
      <c r="EA231" s="223"/>
      <c r="EB231" s="77"/>
      <c r="EC231" s="223"/>
      <c r="ED231" s="223"/>
      <c r="EE231" s="223"/>
      <c r="EF231" s="223"/>
      <c r="EG231" s="223"/>
      <c r="EH231" s="223"/>
      <c r="EI231" s="77"/>
      <c r="EJ231" s="47"/>
      <c r="EK231" s="47"/>
      <c r="EL231" s="47"/>
      <c r="EM231" s="47"/>
      <c r="EN231" s="47"/>
      <c r="EO231" s="47"/>
      <c r="EP231" s="47"/>
      <c r="EQ231" s="47"/>
      <c r="ER231" s="47"/>
      <c r="ES231" s="47"/>
      <c r="ET231" s="47"/>
      <c r="EU231" s="47"/>
      <c r="EV231" s="47"/>
      <c r="EW231" s="47"/>
      <c r="EX231" s="47"/>
      <c r="EY231" s="47"/>
      <c r="EZ231" s="47"/>
      <c r="FA231" s="47"/>
      <c r="FB231" s="47"/>
      <c r="FC231" s="47"/>
      <c r="FD231" s="47"/>
      <c r="FE231" s="47"/>
      <c r="FF231" s="47"/>
      <c r="FG231" s="47"/>
      <c r="FH231" s="47"/>
      <c r="FI231" s="47"/>
      <c r="FJ231" s="47"/>
      <c r="FK231" s="47"/>
      <c r="FL231" s="47"/>
      <c r="FM231" s="47"/>
      <c r="FN231" s="47"/>
      <c r="FO231" s="47"/>
      <c r="FP231" s="47"/>
      <c r="FQ231" s="47"/>
      <c r="FR231" s="47"/>
      <c r="FS231" s="47"/>
      <c r="FT231" s="47"/>
      <c r="FU231" s="47"/>
      <c r="FV231" s="47"/>
      <c r="FW231" s="47"/>
      <c r="FX231" s="47"/>
      <c r="FY231" s="47"/>
      <c r="FZ231" s="47"/>
      <c r="GA231" s="47"/>
      <c r="GB231" s="47"/>
      <c r="GC231" s="47"/>
      <c r="GD231" s="47"/>
      <c r="GE231" s="47"/>
    </row>
    <row r="232" spans="1:187" ht="10.5" customHeight="1">
      <c r="A232" s="43"/>
      <c r="B232" s="108"/>
      <c r="C232" s="108"/>
      <c r="D232" s="223"/>
      <c r="E232" s="130"/>
      <c r="F232" s="223"/>
      <c r="G232" s="223"/>
      <c r="H232" s="223"/>
      <c r="I232" s="223"/>
      <c r="J232" s="130"/>
      <c r="K232" s="223"/>
      <c r="L232" s="223"/>
      <c r="M232" s="223"/>
      <c r="N232" s="223"/>
      <c r="O232" s="223"/>
      <c r="P232" s="223"/>
      <c r="Q232" s="223"/>
      <c r="R232" s="223"/>
      <c r="S232" s="223"/>
      <c r="T232" s="77"/>
      <c r="U232" s="223"/>
      <c r="V232" s="223"/>
      <c r="W232" s="223"/>
      <c r="X232" s="223"/>
      <c r="Y232" s="223"/>
      <c r="Z232" s="223"/>
      <c r="AA232" s="77"/>
      <c r="AB232" s="223"/>
      <c r="AC232" s="223"/>
      <c r="AD232" s="223"/>
      <c r="AE232" s="223"/>
      <c r="AF232" s="223"/>
      <c r="AG232" s="223"/>
      <c r="AH232" s="77"/>
      <c r="AI232" s="223"/>
      <c r="AJ232" s="223"/>
      <c r="AK232" s="223"/>
      <c r="AL232" s="223"/>
      <c r="AM232" s="223"/>
      <c r="AN232" s="223"/>
      <c r="AO232" s="77"/>
      <c r="AP232" s="223"/>
      <c r="AQ232" s="223"/>
      <c r="AR232" s="223"/>
      <c r="AS232" s="223"/>
      <c r="AT232" s="223"/>
      <c r="AU232" s="223"/>
      <c r="AV232" s="77"/>
      <c r="AW232" s="223"/>
      <c r="AX232" s="223"/>
      <c r="AY232" s="223"/>
      <c r="AZ232" s="223"/>
      <c r="BA232" s="223"/>
      <c r="BB232" s="223"/>
      <c r="BC232" s="77"/>
      <c r="BD232" s="223"/>
      <c r="BE232" s="223"/>
      <c r="BF232" s="223"/>
      <c r="BG232" s="223"/>
      <c r="BH232" s="223"/>
      <c r="BI232" s="223"/>
      <c r="BJ232" s="77"/>
      <c r="BK232" s="223"/>
      <c r="BL232" s="223"/>
      <c r="BM232" s="223"/>
      <c r="BN232" s="223"/>
      <c r="BO232" s="223"/>
      <c r="BP232" s="223"/>
      <c r="BQ232" s="77"/>
      <c r="BR232" s="223"/>
      <c r="BS232" s="223"/>
      <c r="BT232" s="223"/>
      <c r="BU232" s="223"/>
      <c r="BV232" s="223"/>
      <c r="BW232" s="223"/>
      <c r="BX232" s="77"/>
      <c r="BY232" s="223"/>
      <c r="BZ232" s="223"/>
      <c r="CA232" s="223"/>
      <c r="CB232" s="223"/>
      <c r="CC232" s="223"/>
      <c r="CD232" s="223"/>
      <c r="CE232" s="77"/>
      <c r="CF232" s="223"/>
      <c r="CG232" s="223"/>
      <c r="CH232" s="223"/>
      <c r="CI232" s="223"/>
      <c r="CJ232" s="223"/>
      <c r="CK232" s="223"/>
      <c r="CL232" s="77"/>
      <c r="CM232" s="223"/>
      <c r="CN232" s="223"/>
      <c r="CO232" s="223"/>
      <c r="CP232" s="223"/>
      <c r="CQ232" s="223"/>
      <c r="CR232" s="223"/>
      <c r="CS232" s="77"/>
      <c r="CT232" s="223"/>
      <c r="CU232" s="223"/>
      <c r="CV232" s="223"/>
      <c r="CW232" s="223"/>
      <c r="CX232" s="223"/>
      <c r="CY232" s="223"/>
      <c r="CZ232" s="77"/>
      <c r="DA232" s="223"/>
      <c r="DB232" s="223"/>
      <c r="DC232" s="223"/>
      <c r="DD232" s="223"/>
      <c r="DE232" s="223"/>
      <c r="DF232" s="223"/>
      <c r="DG232" s="77"/>
      <c r="DH232" s="223"/>
      <c r="DI232" s="223"/>
      <c r="DJ232" s="223"/>
      <c r="DK232" s="223"/>
      <c r="DL232" s="223"/>
      <c r="DM232" s="223"/>
      <c r="DN232" s="77"/>
      <c r="DO232" s="223"/>
      <c r="DP232" s="223"/>
      <c r="DQ232" s="223"/>
      <c r="DR232" s="223"/>
      <c r="DS232" s="223"/>
      <c r="DT232" s="223"/>
      <c r="DU232" s="77"/>
      <c r="DV232" s="223"/>
      <c r="DW232" s="223"/>
      <c r="DX232" s="223"/>
      <c r="DY232" s="223"/>
      <c r="DZ232" s="223"/>
      <c r="EA232" s="223"/>
      <c r="EB232" s="77"/>
      <c r="EC232" s="223"/>
      <c r="ED232" s="223"/>
      <c r="EE232" s="223"/>
      <c r="EF232" s="223"/>
      <c r="EG232" s="223"/>
      <c r="EH232" s="223"/>
      <c r="EI232" s="77"/>
      <c r="EJ232" s="47"/>
      <c r="EK232" s="47"/>
      <c r="EL232" s="47"/>
      <c r="EM232" s="47"/>
      <c r="EN232" s="47"/>
      <c r="EO232" s="47"/>
      <c r="EP232" s="47"/>
      <c r="EQ232" s="47"/>
      <c r="ER232" s="47"/>
      <c r="ES232" s="47"/>
      <c r="ET232" s="47"/>
      <c r="EU232" s="47"/>
      <c r="EV232" s="47"/>
      <c r="EW232" s="47"/>
      <c r="EX232" s="47"/>
      <c r="EY232" s="47"/>
      <c r="EZ232" s="47"/>
      <c r="FA232" s="47"/>
      <c r="FB232" s="47"/>
      <c r="FC232" s="47"/>
      <c r="FD232" s="47"/>
      <c r="FE232" s="47"/>
      <c r="FF232" s="47"/>
      <c r="FG232" s="47"/>
      <c r="FH232" s="47"/>
      <c r="FI232" s="47"/>
      <c r="FJ232" s="47"/>
      <c r="FK232" s="47"/>
      <c r="FL232" s="47"/>
      <c r="FM232" s="47"/>
      <c r="FN232" s="47"/>
      <c r="FO232" s="47"/>
      <c r="FP232" s="47"/>
      <c r="FQ232" s="47"/>
      <c r="FR232" s="47"/>
      <c r="FS232" s="47"/>
      <c r="FT232" s="47"/>
      <c r="FU232" s="47"/>
      <c r="FV232" s="47"/>
      <c r="FW232" s="47"/>
      <c r="FX232" s="47"/>
      <c r="FY232" s="47"/>
      <c r="FZ232" s="47"/>
      <c r="GA232" s="47"/>
      <c r="GB232" s="47"/>
      <c r="GC232" s="47"/>
      <c r="GD232" s="47"/>
      <c r="GE232" s="47"/>
    </row>
    <row r="233" spans="1:187" ht="10.5" customHeight="1">
      <c r="A233" s="48"/>
      <c r="B233" s="108"/>
      <c r="C233" s="162"/>
      <c r="D233" s="108"/>
      <c r="E233" s="130"/>
      <c r="F233" s="108"/>
      <c r="G233" s="108"/>
      <c r="H233" s="108"/>
      <c r="I233" s="108"/>
      <c r="J233" s="130"/>
      <c r="K233" s="223"/>
      <c r="L233" s="108"/>
      <c r="M233" s="108"/>
      <c r="N233" s="108"/>
      <c r="O233" s="108"/>
      <c r="P233" s="108"/>
      <c r="Q233" s="108"/>
      <c r="R233" s="108"/>
      <c r="S233" s="108"/>
      <c r="T233" s="43"/>
      <c r="U233" s="108"/>
      <c r="V233" s="108"/>
      <c r="W233" s="108"/>
      <c r="X233" s="108"/>
      <c r="Y233" s="108"/>
      <c r="Z233" s="108"/>
      <c r="AA233" s="43"/>
      <c r="AB233" s="108"/>
      <c r="AC233" s="108"/>
      <c r="AD233" s="108"/>
      <c r="AE233" s="108"/>
      <c r="AF233" s="108"/>
      <c r="AG233" s="108"/>
      <c r="AH233" s="43"/>
      <c r="AI233" s="108"/>
      <c r="AJ233" s="108"/>
      <c r="AK233" s="108"/>
      <c r="AL233" s="108"/>
      <c r="AM233" s="108"/>
      <c r="AN233" s="108"/>
      <c r="AO233" s="43"/>
      <c r="AP233" s="108"/>
      <c r="AQ233" s="108"/>
      <c r="AR233" s="108"/>
      <c r="AS233" s="108"/>
      <c r="AT233" s="108"/>
      <c r="AU233" s="108"/>
      <c r="AV233" s="43"/>
      <c r="AW233" s="108"/>
      <c r="AX233" s="108"/>
      <c r="AY233" s="108"/>
      <c r="AZ233" s="108"/>
      <c r="BA233" s="108"/>
      <c r="BB233" s="108"/>
      <c r="BC233" s="43"/>
      <c r="BD233" s="108"/>
      <c r="BE233" s="108"/>
      <c r="BF233" s="108"/>
      <c r="BG233" s="108"/>
      <c r="BH233" s="108"/>
      <c r="BI233" s="108"/>
      <c r="BJ233" s="43"/>
      <c r="BK233" s="108"/>
      <c r="BL233" s="108"/>
      <c r="BM233" s="108"/>
      <c r="BN233" s="108"/>
      <c r="BO233" s="108"/>
      <c r="BP233" s="108"/>
      <c r="BQ233" s="43"/>
      <c r="BR233" s="108"/>
      <c r="BS233" s="108"/>
      <c r="BT233" s="108"/>
      <c r="BU233" s="108"/>
      <c r="BV233" s="108"/>
      <c r="BW233" s="108"/>
      <c r="BX233" s="43"/>
      <c r="BY233" s="108"/>
      <c r="BZ233" s="108"/>
      <c r="CA233" s="108"/>
      <c r="CB233" s="108"/>
      <c r="CC233" s="108"/>
      <c r="CD233" s="108"/>
      <c r="CE233" s="43"/>
      <c r="CF233" s="108"/>
      <c r="CG233" s="108"/>
      <c r="CH233" s="108"/>
      <c r="CI233" s="108"/>
      <c r="CJ233" s="108"/>
      <c r="CK233" s="108"/>
      <c r="CL233" s="43"/>
      <c r="CM233" s="108"/>
      <c r="CN233" s="108"/>
      <c r="CO233" s="108"/>
      <c r="CP233" s="108"/>
      <c r="CQ233" s="108"/>
      <c r="CR233" s="108"/>
      <c r="CS233" s="43"/>
      <c r="CT233" s="108"/>
      <c r="CU233" s="108"/>
      <c r="CV233" s="108"/>
      <c r="CW233" s="108"/>
      <c r="CX233" s="108"/>
      <c r="CY233" s="108"/>
      <c r="CZ233" s="43"/>
      <c r="DA233" s="108"/>
      <c r="DB233" s="108"/>
      <c r="DC233" s="108"/>
      <c r="DD233" s="108"/>
      <c r="DE233" s="108"/>
      <c r="DF233" s="108"/>
      <c r="DG233" s="43"/>
      <c r="DH233" s="108"/>
      <c r="DI233" s="108"/>
      <c r="DJ233" s="108"/>
      <c r="DK233" s="108"/>
      <c r="DL233" s="108"/>
      <c r="DM233" s="108"/>
      <c r="DN233" s="43"/>
      <c r="DO233" s="108"/>
      <c r="DP233" s="108"/>
      <c r="DQ233" s="108"/>
      <c r="DR233" s="108"/>
      <c r="DS233" s="108"/>
      <c r="DT233" s="108"/>
      <c r="DU233" s="43"/>
      <c r="DV233" s="108"/>
      <c r="DW233" s="108"/>
      <c r="DX233" s="108"/>
      <c r="DY233" s="108"/>
      <c r="DZ233" s="108"/>
      <c r="EA233" s="108"/>
      <c r="EB233" s="43"/>
      <c r="EC233" s="108"/>
      <c r="ED233" s="108"/>
      <c r="EE233" s="108"/>
      <c r="EF233" s="108"/>
      <c r="EG233" s="108"/>
      <c r="EH233" s="108"/>
      <c r="EI233" s="43"/>
      <c r="EJ233" s="47"/>
      <c r="EK233" s="47"/>
      <c r="EL233" s="47"/>
      <c r="EM233" s="47"/>
      <c r="EN233" s="47"/>
      <c r="EO233" s="47"/>
      <c r="EP233" s="47"/>
      <c r="EQ233" s="47"/>
      <c r="ER233" s="47"/>
      <c r="ES233" s="47"/>
      <c r="ET233" s="47"/>
      <c r="EU233" s="47"/>
      <c r="EV233" s="47"/>
      <c r="EW233" s="47"/>
      <c r="EX233" s="47"/>
      <c r="EY233" s="47"/>
      <c r="EZ233" s="47"/>
      <c r="FA233" s="47"/>
      <c r="FB233" s="47"/>
      <c r="FC233" s="47"/>
      <c r="FD233" s="47"/>
      <c r="FE233" s="47"/>
      <c r="FF233" s="47"/>
      <c r="FG233" s="47"/>
      <c r="FH233" s="47"/>
      <c r="FI233" s="47"/>
      <c r="FJ233" s="47"/>
      <c r="FK233" s="47"/>
      <c r="FL233" s="47"/>
      <c r="FM233" s="47"/>
      <c r="FN233" s="47"/>
      <c r="FO233" s="47"/>
      <c r="FP233" s="47"/>
      <c r="FQ233" s="47"/>
      <c r="FR233" s="47"/>
      <c r="FS233" s="47"/>
      <c r="FT233" s="47"/>
      <c r="FU233" s="47"/>
      <c r="FV233" s="47"/>
      <c r="FW233" s="47"/>
      <c r="FX233" s="47"/>
      <c r="FY233" s="47"/>
      <c r="FZ233" s="47"/>
      <c r="GA233" s="47"/>
      <c r="GB233" s="47"/>
      <c r="GC233" s="47"/>
      <c r="GD233" s="47"/>
      <c r="GE233" s="47"/>
    </row>
    <row r="234" spans="1:187" ht="10.5" customHeight="1">
      <c r="A234" s="102"/>
      <c r="B234" s="108"/>
      <c r="C234" s="162"/>
      <c r="D234" s="108"/>
      <c r="E234" s="108"/>
      <c r="F234" s="108"/>
      <c r="G234" s="108"/>
      <c r="H234" s="108"/>
      <c r="I234" s="108"/>
      <c r="J234" s="223"/>
      <c r="K234" s="108"/>
      <c r="L234" s="108"/>
      <c r="M234" s="108"/>
      <c r="N234" s="108"/>
      <c r="O234" s="108"/>
      <c r="P234" s="108"/>
      <c r="Q234" s="108"/>
      <c r="R234" s="108"/>
      <c r="S234" s="108"/>
      <c r="T234" s="43"/>
      <c r="U234" s="108"/>
      <c r="V234" s="108"/>
      <c r="W234" s="108"/>
      <c r="X234" s="108"/>
      <c r="Y234" s="108"/>
      <c r="Z234" s="108"/>
      <c r="AA234" s="43"/>
      <c r="AB234" s="108"/>
      <c r="AC234" s="108"/>
      <c r="AD234" s="108"/>
      <c r="AE234" s="108"/>
      <c r="AF234" s="108"/>
      <c r="AG234" s="108"/>
      <c r="AH234" s="43"/>
      <c r="AI234" s="108"/>
      <c r="AJ234" s="108"/>
      <c r="AK234" s="108"/>
      <c r="AL234" s="108"/>
      <c r="AM234" s="108"/>
      <c r="AN234" s="108"/>
      <c r="AO234" s="43"/>
      <c r="AP234" s="108"/>
      <c r="AQ234" s="108"/>
      <c r="AR234" s="108"/>
      <c r="AS234" s="108"/>
      <c r="AT234" s="108"/>
      <c r="AU234" s="108"/>
      <c r="AV234" s="43"/>
      <c r="AW234" s="108"/>
      <c r="AX234" s="108"/>
      <c r="AY234" s="108"/>
      <c r="AZ234" s="108"/>
      <c r="BA234" s="108"/>
      <c r="BB234" s="108"/>
      <c r="BC234" s="43"/>
      <c r="BD234" s="108"/>
      <c r="BE234" s="108"/>
      <c r="BF234" s="108"/>
      <c r="BG234" s="108"/>
      <c r="BH234" s="108"/>
      <c r="BI234" s="108"/>
      <c r="BJ234" s="43"/>
      <c r="BK234" s="108"/>
      <c r="BL234" s="108"/>
      <c r="BM234" s="108"/>
      <c r="BN234" s="108"/>
      <c r="BO234" s="108"/>
      <c r="BP234" s="108"/>
      <c r="BQ234" s="43"/>
      <c r="BR234" s="108"/>
      <c r="BS234" s="108"/>
      <c r="BT234" s="108"/>
      <c r="BU234" s="108"/>
      <c r="BV234" s="108"/>
      <c r="BW234" s="108"/>
      <c r="BX234" s="43"/>
      <c r="BY234" s="108"/>
      <c r="BZ234" s="108"/>
      <c r="CA234" s="108"/>
      <c r="CB234" s="108"/>
      <c r="CC234" s="108"/>
      <c r="CD234" s="108"/>
      <c r="CE234" s="43"/>
      <c r="CF234" s="108"/>
      <c r="CG234" s="108"/>
      <c r="CH234" s="108"/>
      <c r="CI234" s="108"/>
      <c r="CJ234" s="108"/>
      <c r="CK234" s="108"/>
      <c r="CL234" s="43"/>
      <c r="CM234" s="108"/>
      <c r="CN234" s="108"/>
      <c r="CO234" s="108"/>
      <c r="CP234" s="108"/>
      <c r="CQ234" s="108"/>
      <c r="CR234" s="108"/>
      <c r="CS234" s="43"/>
      <c r="CT234" s="108"/>
      <c r="CU234" s="108"/>
      <c r="CV234" s="108"/>
      <c r="CW234" s="108"/>
      <c r="CX234" s="108"/>
      <c r="CY234" s="108"/>
      <c r="CZ234" s="43"/>
      <c r="DA234" s="108"/>
      <c r="DB234" s="108"/>
      <c r="DC234" s="108"/>
      <c r="DD234" s="108"/>
      <c r="DE234" s="108"/>
      <c r="DF234" s="108"/>
      <c r="DG234" s="43"/>
      <c r="DH234" s="108"/>
      <c r="DI234" s="108"/>
      <c r="DJ234" s="108"/>
      <c r="DK234" s="108"/>
      <c r="DL234" s="108"/>
      <c r="DM234" s="108"/>
      <c r="DN234" s="43"/>
      <c r="DO234" s="108"/>
      <c r="DP234" s="108"/>
      <c r="DQ234" s="108"/>
      <c r="DR234" s="108"/>
      <c r="DS234" s="108"/>
      <c r="DT234" s="108"/>
      <c r="DU234" s="43"/>
      <c r="DV234" s="108"/>
      <c r="DW234" s="108"/>
      <c r="DX234" s="108"/>
      <c r="DY234" s="108"/>
      <c r="DZ234" s="108"/>
      <c r="EA234" s="108"/>
      <c r="EB234" s="43"/>
      <c r="EC234" s="108"/>
      <c r="ED234" s="108"/>
      <c r="EE234" s="108"/>
      <c r="EF234" s="108"/>
      <c r="EG234" s="108"/>
      <c r="EH234" s="108"/>
      <c r="EI234" s="43"/>
      <c r="EJ234" s="47"/>
      <c r="EK234" s="47"/>
      <c r="EL234" s="47"/>
      <c r="EM234" s="47"/>
      <c r="EN234" s="47"/>
      <c r="EO234" s="47"/>
      <c r="EP234" s="47"/>
      <c r="EQ234" s="47"/>
      <c r="ER234" s="47"/>
      <c r="ES234" s="47"/>
      <c r="ET234" s="47"/>
      <c r="EU234" s="47"/>
      <c r="EV234" s="47"/>
      <c r="EW234" s="47"/>
      <c r="EX234" s="47"/>
      <c r="EY234" s="47"/>
      <c r="EZ234" s="47"/>
      <c r="FA234" s="47"/>
      <c r="FB234" s="47"/>
      <c r="FC234" s="47"/>
      <c r="FD234" s="47"/>
      <c r="FE234" s="47"/>
      <c r="FF234" s="47"/>
      <c r="FG234" s="47"/>
      <c r="FH234" s="47"/>
      <c r="FI234" s="47"/>
      <c r="FJ234" s="47"/>
      <c r="FK234" s="47"/>
      <c r="FL234" s="47"/>
      <c r="FM234" s="47"/>
      <c r="FN234" s="47"/>
      <c r="FO234" s="47"/>
      <c r="FP234" s="47"/>
      <c r="FQ234" s="47"/>
      <c r="FR234" s="47"/>
      <c r="FS234" s="47"/>
      <c r="FT234" s="47"/>
      <c r="FU234" s="47"/>
      <c r="FV234" s="47"/>
      <c r="FW234" s="47"/>
      <c r="FX234" s="47"/>
      <c r="FY234" s="47"/>
      <c r="FZ234" s="47"/>
      <c r="GA234" s="47"/>
      <c r="GB234" s="47"/>
      <c r="GC234" s="47"/>
      <c r="GD234" s="47"/>
      <c r="GE234" s="47"/>
    </row>
    <row r="235" spans="1:187" ht="10.5" customHeight="1">
      <c r="A235" s="43"/>
      <c r="B235" s="176"/>
      <c r="C235" s="162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43"/>
      <c r="U235" s="108"/>
      <c r="V235" s="108"/>
      <c r="W235" s="108"/>
      <c r="X235" s="108"/>
      <c r="Y235" s="108"/>
      <c r="Z235" s="108"/>
      <c r="AA235" s="43"/>
      <c r="AB235" s="108"/>
      <c r="AC235" s="108"/>
      <c r="AD235" s="108"/>
      <c r="AE235" s="108"/>
      <c r="AF235" s="108"/>
      <c r="AG235" s="108"/>
      <c r="AH235" s="43"/>
      <c r="AI235" s="108"/>
      <c r="AJ235" s="108"/>
      <c r="AK235" s="108"/>
      <c r="AL235" s="108"/>
      <c r="AM235" s="108"/>
      <c r="AN235" s="108"/>
      <c r="AO235" s="43"/>
      <c r="AP235" s="108"/>
      <c r="AQ235" s="108"/>
      <c r="AR235" s="108"/>
      <c r="AS235" s="108"/>
      <c r="AT235" s="108"/>
      <c r="AU235" s="108"/>
      <c r="AV235" s="43"/>
      <c r="AW235" s="108"/>
      <c r="AX235" s="108"/>
      <c r="AY235" s="108"/>
      <c r="AZ235" s="108"/>
      <c r="BA235" s="108"/>
      <c r="BB235" s="108"/>
      <c r="BC235" s="43"/>
      <c r="BD235" s="108"/>
      <c r="BE235" s="108"/>
      <c r="BF235" s="108"/>
      <c r="BG235" s="108"/>
      <c r="BH235" s="108"/>
      <c r="BI235" s="108"/>
      <c r="BJ235" s="43"/>
      <c r="BK235" s="108"/>
      <c r="BL235" s="108"/>
      <c r="BM235" s="108"/>
      <c r="BN235" s="108"/>
      <c r="BO235" s="108"/>
      <c r="BP235" s="108"/>
      <c r="BQ235" s="43"/>
      <c r="BR235" s="108"/>
      <c r="BS235" s="108"/>
      <c r="BT235" s="108"/>
      <c r="BU235" s="108"/>
      <c r="BV235" s="108"/>
      <c r="BW235" s="108"/>
      <c r="BX235" s="43"/>
      <c r="BY235" s="108"/>
      <c r="BZ235" s="108"/>
      <c r="CA235" s="108"/>
      <c r="CB235" s="108"/>
      <c r="CC235" s="108"/>
      <c r="CD235" s="108"/>
      <c r="CE235" s="43"/>
      <c r="CF235" s="108"/>
      <c r="CG235" s="108"/>
      <c r="CH235" s="108"/>
      <c r="CI235" s="108"/>
      <c r="CJ235" s="108"/>
      <c r="CK235" s="108"/>
      <c r="CL235" s="43"/>
      <c r="CM235" s="108"/>
      <c r="CN235" s="108"/>
      <c r="CO235" s="108"/>
      <c r="CP235" s="108"/>
      <c r="CQ235" s="108"/>
      <c r="CR235" s="108"/>
      <c r="CS235" s="43"/>
      <c r="CT235" s="108"/>
      <c r="CU235" s="108"/>
      <c r="CV235" s="108"/>
      <c r="CW235" s="108"/>
      <c r="CX235" s="108"/>
      <c r="CY235" s="108"/>
      <c r="CZ235" s="43"/>
      <c r="DA235" s="108"/>
      <c r="DB235" s="108"/>
      <c r="DC235" s="108"/>
      <c r="DD235" s="108"/>
      <c r="DE235" s="108"/>
      <c r="DF235" s="108"/>
      <c r="DG235" s="43"/>
      <c r="DH235" s="108"/>
      <c r="DI235" s="108"/>
      <c r="DJ235" s="108"/>
      <c r="DK235" s="108"/>
      <c r="DL235" s="108"/>
      <c r="DM235" s="108"/>
      <c r="DN235" s="43"/>
      <c r="DO235" s="108"/>
      <c r="DP235" s="108"/>
      <c r="DQ235" s="108"/>
      <c r="DR235" s="108"/>
      <c r="DS235" s="108"/>
      <c r="DT235" s="108"/>
      <c r="DU235" s="43"/>
      <c r="DV235" s="108"/>
      <c r="DW235" s="108"/>
      <c r="DX235" s="108"/>
      <c r="DY235" s="108"/>
      <c r="DZ235" s="108"/>
      <c r="EA235" s="108"/>
      <c r="EB235" s="43"/>
      <c r="EC235" s="108"/>
      <c r="ED235" s="108"/>
      <c r="EE235" s="108"/>
      <c r="EF235" s="108"/>
      <c r="EG235" s="108"/>
      <c r="EH235" s="108"/>
      <c r="EI235" s="43"/>
      <c r="EJ235" s="47"/>
      <c r="EK235" s="47"/>
      <c r="EL235" s="47"/>
      <c r="EM235" s="47"/>
      <c r="EN235" s="47"/>
      <c r="EO235" s="47"/>
      <c r="EP235" s="47"/>
      <c r="EQ235" s="47"/>
      <c r="ER235" s="47"/>
      <c r="ES235" s="47"/>
      <c r="ET235" s="47"/>
      <c r="EU235" s="47"/>
      <c r="EV235" s="47"/>
      <c r="EW235" s="47"/>
      <c r="EX235" s="47"/>
      <c r="EY235" s="47"/>
      <c r="EZ235" s="47"/>
      <c r="FA235" s="47"/>
      <c r="FB235" s="47"/>
      <c r="FC235" s="47"/>
      <c r="FD235" s="47"/>
      <c r="FE235" s="47"/>
      <c r="FF235" s="47"/>
      <c r="FG235" s="47"/>
      <c r="FH235" s="47"/>
      <c r="FI235" s="47"/>
      <c r="FJ235" s="47"/>
      <c r="FK235" s="47"/>
      <c r="FL235" s="47"/>
      <c r="FM235" s="47"/>
      <c r="FN235" s="47"/>
      <c r="FO235" s="47"/>
      <c r="FP235" s="47"/>
      <c r="FQ235" s="47"/>
      <c r="FR235" s="47"/>
      <c r="FS235" s="47"/>
      <c r="FT235" s="47"/>
      <c r="FU235" s="47"/>
      <c r="FV235" s="47"/>
      <c r="FW235" s="47"/>
      <c r="FX235" s="47"/>
      <c r="FY235" s="47"/>
      <c r="FZ235" s="47"/>
      <c r="GA235" s="47"/>
      <c r="GB235" s="47"/>
      <c r="GC235" s="47"/>
      <c r="GD235" s="47"/>
      <c r="GE235" s="47"/>
    </row>
    <row r="236" spans="1:187" ht="10.5" customHeight="1">
      <c r="A236" s="43"/>
      <c r="B236" s="176"/>
      <c r="C236" s="162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43"/>
      <c r="U236" s="108"/>
      <c r="V236" s="108"/>
      <c r="W236" s="108"/>
      <c r="X236" s="108"/>
      <c r="Y236" s="108"/>
      <c r="Z236" s="108"/>
      <c r="AA236" s="43"/>
      <c r="AB236" s="108"/>
      <c r="AC236" s="108"/>
      <c r="AD236" s="108"/>
      <c r="AE236" s="108"/>
      <c r="AF236" s="108"/>
      <c r="AG236" s="108"/>
      <c r="AH236" s="43"/>
      <c r="AI236" s="108"/>
      <c r="AJ236" s="108"/>
      <c r="AK236" s="108"/>
      <c r="AL236" s="108"/>
      <c r="AM236" s="108"/>
      <c r="AN236" s="108"/>
      <c r="AO236" s="43"/>
      <c r="AP236" s="108"/>
      <c r="AQ236" s="108"/>
      <c r="AR236" s="108"/>
      <c r="AS236" s="108"/>
      <c r="AT236" s="108"/>
      <c r="AU236" s="108"/>
      <c r="AV236" s="43"/>
      <c r="AW236" s="108"/>
      <c r="AX236" s="108"/>
      <c r="AY236" s="108"/>
      <c r="AZ236" s="108"/>
      <c r="BA236" s="108"/>
      <c r="BB236" s="108"/>
      <c r="BC236" s="43"/>
      <c r="BD236" s="108"/>
      <c r="BE236" s="108"/>
      <c r="BF236" s="108"/>
      <c r="BG236" s="108"/>
      <c r="BH236" s="108"/>
      <c r="BI236" s="108"/>
      <c r="BJ236" s="43"/>
      <c r="BK236" s="108"/>
      <c r="BL236" s="108"/>
      <c r="BM236" s="108"/>
      <c r="BN236" s="108"/>
      <c r="BO236" s="108"/>
      <c r="BP236" s="108"/>
      <c r="BQ236" s="43"/>
      <c r="BR236" s="108"/>
      <c r="BS236" s="108"/>
      <c r="BT236" s="108"/>
      <c r="BU236" s="108"/>
      <c r="BV236" s="108"/>
      <c r="BW236" s="108"/>
      <c r="BX236" s="43"/>
      <c r="BY236" s="108"/>
      <c r="BZ236" s="108"/>
      <c r="CA236" s="108"/>
      <c r="CB236" s="108"/>
      <c r="CC236" s="108"/>
      <c r="CD236" s="108"/>
      <c r="CE236" s="43"/>
      <c r="CF236" s="108"/>
      <c r="CG236" s="108"/>
      <c r="CH236" s="108"/>
      <c r="CI236" s="108"/>
      <c r="CJ236" s="108"/>
      <c r="CK236" s="108"/>
      <c r="CL236" s="43"/>
      <c r="CM236" s="108"/>
      <c r="CN236" s="108"/>
      <c r="CO236" s="108"/>
      <c r="CP236" s="108"/>
      <c r="CQ236" s="108"/>
      <c r="CR236" s="108"/>
      <c r="CS236" s="43"/>
      <c r="CT236" s="108"/>
      <c r="CU236" s="108"/>
      <c r="CV236" s="108"/>
      <c r="CW236" s="108"/>
      <c r="CX236" s="108"/>
      <c r="CY236" s="108"/>
      <c r="CZ236" s="43"/>
      <c r="DA236" s="108"/>
      <c r="DB236" s="108"/>
      <c r="DC236" s="108"/>
      <c r="DD236" s="108"/>
      <c r="DE236" s="108"/>
      <c r="DF236" s="108"/>
      <c r="DG236" s="43"/>
      <c r="DH236" s="108"/>
      <c r="DI236" s="108"/>
      <c r="DJ236" s="108"/>
      <c r="DK236" s="108"/>
      <c r="DL236" s="108"/>
      <c r="DM236" s="108"/>
      <c r="DN236" s="43"/>
      <c r="DO236" s="108"/>
      <c r="DP236" s="108"/>
      <c r="DQ236" s="108"/>
      <c r="DR236" s="108"/>
      <c r="DS236" s="108"/>
      <c r="DT236" s="108"/>
      <c r="DU236" s="43"/>
      <c r="DV236" s="108"/>
      <c r="DW236" s="108"/>
      <c r="DX236" s="108"/>
      <c r="DY236" s="108"/>
      <c r="DZ236" s="108"/>
      <c r="EA236" s="108"/>
      <c r="EB236" s="43"/>
      <c r="EC236" s="108"/>
      <c r="ED236" s="108"/>
      <c r="EE236" s="108"/>
      <c r="EF236" s="108"/>
      <c r="EG236" s="108"/>
      <c r="EH236" s="108"/>
      <c r="EI236" s="43"/>
      <c r="EJ236" s="47"/>
      <c r="EK236" s="47"/>
      <c r="EL236" s="47"/>
      <c r="EM236" s="47"/>
      <c r="EN236" s="47"/>
      <c r="EO236" s="47"/>
      <c r="EP236" s="47"/>
      <c r="EQ236" s="47"/>
      <c r="ER236" s="47"/>
      <c r="ES236" s="47"/>
      <c r="ET236" s="47"/>
      <c r="EU236" s="47"/>
      <c r="EV236" s="47"/>
      <c r="EW236" s="47"/>
      <c r="EX236" s="47"/>
      <c r="EY236" s="47"/>
      <c r="EZ236" s="47"/>
      <c r="FA236" s="47"/>
      <c r="FB236" s="47"/>
      <c r="FC236" s="47"/>
      <c r="FD236" s="47"/>
      <c r="FE236" s="47"/>
      <c r="FF236" s="47"/>
      <c r="FG236" s="47"/>
      <c r="FH236" s="47"/>
      <c r="FI236" s="47"/>
      <c r="FJ236" s="47"/>
      <c r="FK236" s="47"/>
      <c r="FL236" s="47"/>
      <c r="FM236" s="47"/>
      <c r="FN236" s="47"/>
      <c r="FO236" s="47"/>
      <c r="FP236" s="47"/>
      <c r="FQ236" s="47"/>
      <c r="FR236" s="47"/>
      <c r="FS236" s="47"/>
      <c r="FT236" s="47"/>
      <c r="FU236" s="47"/>
      <c r="FV236" s="47"/>
      <c r="FW236" s="47"/>
      <c r="FX236" s="47"/>
      <c r="FY236" s="47"/>
      <c r="FZ236" s="47"/>
      <c r="GA236" s="47"/>
      <c r="GB236" s="47"/>
      <c r="GC236" s="47"/>
      <c r="GD236" s="47"/>
      <c r="GE236" s="47"/>
    </row>
    <row r="237" spans="1:187" ht="10.5" customHeight="1">
      <c r="A237" s="43"/>
      <c r="B237" s="176"/>
      <c r="C237" s="162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43"/>
      <c r="U237" s="108"/>
      <c r="V237" s="108"/>
      <c r="W237" s="108"/>
      <c r="X237" s="108"/>
      <c r="Y237" s="108"/>
      <c r="Z237" s="108"/>
      <c r="AA237" s="43"/>
      <c r="AB237" s="108"/>
      <c r="AC237" s="108"/>
      <c r="AD237" s="108"/>
      <c r="AE237" s="108"/>
      <c r="AF237" s="108"/>
      <c r="AG237" s="108"/>
      <c r="AH237" s="43"/>
      <c r="AI237" s="108"/>
      <c r="AJ237" s="108"/>
      <c r="AK237" s="108"/>
      <c r="AL237" s="108"/>
      <c r="AM237" s="108"/>
      <c r="AN237" s="108"/>
      <c r="AO237" s="43"/>
      <c r="AP237" s="108"/>
      <c r="AQ237" s="108"/>
      <c r="AR237" s="108"/>
      <c r="AS237" s="108"/>
      <c r="AT237" s="108"/>
      <c r="AU237" s="108"/>
      <c r="AV237" s="43"/>
      <c r="AW237" s="108"/>
      <c r="AX237" s="108"/>
      <c r="AY237" s="108"/>
      <c r="AZ237" s="108"/>
      <c r="BA237" s="108"/>
      <c r="BB237" s="108"/>
      <c r="BC237" s="43"/>
      <c r="BD237" s="108"/>
      <c r="BE237" s="108"/>
      <c r="BF237" s="108"/>
      <c r="BG237" s="108"/>
      <c r="BH237" s="108"/>
      <c r="BI237" s="108"/>
      <c r="BJ237" s="43"/>
      <c r="BK237" s="108"/>
      <c r="BL237" s="108"/>
      <c r="BM237" s="108"/>
      <c r="BN237" s="108"/>
      <c r="BO237" s="108"/>
      <c r="BP237" s="108"/>
      <c r="BQ237" s="43"/>
      <c r="BR237" s="108"/>
      <c r="BS237" s="108"/>
      <c r="BT237" s="108"/>
      <c r="BU237" s="108"/>
      <c r="BV237" s="108"/>
      <c r="BW237" s="108"/>
      <c r="BX237" s="43"/>
      <c r="BY237" s="108"/>
      <c r="BZ237" s="108"/>
      <c r="CA237" s="108"/>
      <c r="CB237" s="108"/>
      <c r="CC237" s="108"/>
      <c r="CD237" s="108"/>
      <c r="CE237" s="43"/>
      <c r="CF237" s="108"/>
      <c r="CG237" s="108"/>
      <c r="CH237" s="108"/>
      <c r="CI237" s="108"/>
      <c r="CJ237" s="108"/>
      <c r="CK237" s="108"/>
      <c r="CL237" s="43"/>
      <c r="CM237" s="108"/>
      <c r="CN237" s="108"/>
      <c r="CO237" s="108"/>
      <c r="CP237" s="108"/>
      <c r="CQ237" s="108"/>
      <c r="CR237" s="108"/>
      <c r="CS237" s="43"/>
      <c r="CT237" s="108"/>
      <c r="CU237" s="108"/>
      <c r="CV237" s="108"/>
      <c r="CW237" s="108"/>
      <c r="CX237" s="108"/>
      <c r="CY237" s="108"/>
      <c r="CZ237" s="43"/>
      <c r="DA237" s="108"/>
      <c r="DB237" s="108"/>
      <c r="DC237" s="108"/>
      <c r="DD237" s="108"/>
      <c r="DE237" s="108"/>
      <c r="DF237" s="108"/>
      <c r="DG237" s="43"/>
      <c r="DH237" s="108"/>
      <c r="DI237" s="108"/>
      <c r="DJ237" s="108"/>
      <c r="DK237" s="108"/>
      <c r="DL237" s="108"/>
      <c r="DM237" s="108"/>
      <c r="DN237" s="43"/>
      <c r="DO237" s="108"/>
      <c r="DP237" s="108"/>
      <c r="DQ237" s="108"/>
      <c r="DR237" s="108"/>
      <c r="DS237" s="108"/>
      <c r="DT237" s="108"/>
      <c r="DU237" s="43"/>
      <c r="DV237" s="108"/>
      <c r="DW237" s="108"/>
      <c r="DX237" s="108"/>
      <c r="DY237" s="108"/>
      <c r="DZ237" s="108"/>
      <c r="EA237" s="108"/>
      <c r="EB237" s="43"/>
      <c r="EC237" s="108"/>
      <c r="ED237" s="108"/>
      <c r="EE237" s="108"/>
      <c r="EF237" s="108"/>
      <c r="EG237" s="108"/>
      <c r="EH237" s="108"/>
      <c r="EI237" s="43"/>
      <c r="EJ237" s="47"/>
      <c r="EK237" s="47"/>
      <c r="EL237" s="47"/>
      <c r="EM237" s="47"/>
      <c r="EN237" s="47"/>
      <c r="EO237" s="47"/>
      <c r="EP237" s="47"/>
      <c r="EQ237" s="47"/>
      <c r="ER237" s="47"/>
      <c r="ES237" s="47"/>
      <c r="ET237" s="47"/>
      <c r="EU237" s="47"/>
      <c r="EV237" s="47"/>
      <c r="EW237" s="47"/>
      <c r="EX237" s="47"/>
      <c r="EY237" s="47"/>
      <c r="EZ237" s="47"/>
      <c r="FA237" s="47"/>
      <c r="FB237" s="47"/>
      <c r="FC237" s="47"/>
      <c r="FD237" s="47"/>
      <c r="FE237" s="47"/>
      <c r="FF237" s="47"/>
      <c r="FG237" s="47"/>
      <c r="FH237" s="47"/>
      <c r="FI237" s="47"/>
      <c r="FJ237" s="47"/>
      <c r="FK237" s="47"/>
      <c r="FL237" s="47"/>
      <c r="FM237" s="47"/>
      <c r="FN237" s="47"/>
      <c r="FO237" s="47"/>
      <c r="FP237" s="47"/>
      <c r="FQ237" s="47"/>
      <c r="FR237" s="47"/>
      <c r="FS237" s="47"/>
      <c r="FT237" s="47"/>
      <c r="FU237" s="47"/>
      <c r="FV237" s="47"/>
      <c r="FW237" s="47"/>
      <c r="FX237" s="47"/>
      <c r="FY237" s="47"/>
      <c r="FZ237" s="47"/>
      <c r="GA237" s="47"/>
      <c r="GB237" s="47"/>
      <c r="GC237" s="47"/>
      <c r="GD237" s="47"/>
      <c r="GE237" s="47"/>
    </row>
    <row r="238" spans="1:187" ht="10.5" customHeight="1">
      <c r="A238" s="43"/>
      <c r="B238" s="176"/>
      <c r="C238" s="162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43"/>
      <c r="U238" s="108"/>
      <c r="V238" s="108"/>
      <c r="W238" s="108"/>
      <c r="X238" s="108"/>
      <c r="Y238" s="108"/>
      <c r="Z238" s="108"/>
      <c r="AA238" s="43"/>
      <c r="AB238" s="108"/>
      <c r="AC238" s="108"/>
      <c r="AD238" s="108"/>
      <c r="AE238" s="108"/>
      <c r="AF238" s="108"/>
      <c r="AG238" s="108"/>
      <c r="AH238" s="43"/>
      <c r="AI238" s="108"/>
      <c r="AJ238" s="108"/>
      <c r="AK238" s="108"/>
      <c r="AL238" s="108"/>
      <c r="AM238" s="108"/>
      <c r="AN238" s="108"/>
      <c r="AO238" s="43"/>
      <c r="AP238" s="108"/>
      <c r="AQ238" s="108"/>
      <c r="AR238" s="108"/>
      <c r="AS238" s="108"/>
      <c r="AT238" s="108"/>
      <c r="AU238" s="108"/>
      <c r="AV238" s="43"/>
      <c r="AW238" s="108"/>
      <c r="AX238" s="108"/>
      <c r="AY238" s="108"/>
      <c r="AZ238" s="108"/>
      <c r="BA238" s="108"/>
      <c r="BB238" s="108"/>
      <c r="BC238" s="43"/>
      <c r="BD238" s="108"/>
      <c r="BE238" s="108"/>
      <c r="BF238" s="108"/>
      <c r="BG238" s="108"/>
      <c r="BH238" s="108"/>
      <c r="BI238" s="108"/>
      <c r="BJ238" s="43"/>
      <c r="BK238" s="108"/>
      <c r="BL238" s="108"/>
      <c r="BM238" s="108"/>
      <c r="BN238" s="108"/>
      <c r="BO238" s="108"/>
      <c r="BP238" s="108"/>
      <c r="BQ238" s="43"/>
      <c r="BR238" s="108"/>
      <c r="BS238" s="108"/>
      <c r="BT238" s="108"/>
      <c r="BU238" s="108"/>
      <c r="BV238" s="108"/>
      <c r="BW238" s="108"/>
      <c r="BX238" s="43"/>
      <c r="BY238" s="108"/>
      <c r="BZ238" s="108"/>
      <c r="CA238" s="108"/>
      <c r="CB238" s="108"/>
      <c r="CC238" s="108"/>
      <c r="CD238" s="108"/>
      <c r="CE238" s="43"/>
      <c r="CF238" s="108"/>
      <c r="CG238" s="108"/>
      <c r="CH238" s="108"/>
      <c r="CI238" s="108"/>
      <c r="CJ238" s="108"/>
      <c r="CK238" s="108"/>
      <c r="CL238" s="43"/>
      <c r="CM238" s="108"/>
      <c r="CN238" s="108"/>
      <c r="CO238" s="108"/>
      <c r="CP238" s="108"/>
      <c r="CQ238" s="108"/>
      <c r="CR238" s="108"/>
      <c r="CS238" s="43"/>
      <c r="CT238" s="108"/>
      <c r="CU238" s="108"/>
      <c r="CV238" s="108"/>
      <c r="CW238" s="108"/>
      <c r="CX238" s="108"/>
      <c r="CY238" s="108"/>
      <c r="CZ238" s="43"/>
      <c r="DA238" s="108"/>
      <c r="DB238" s="108"/>
      <c r="DC238" s="108"/>
      <c r="DD238" s="108"/>
      <c r="DE238" s="108"/>
      <c r="DF238" s="108"/>
      <c r="DG238" s="43"/>
      <c r="DH238" s="108"/>
      <c r="DI238" s="108"/>
      <c r="DJ238" s="108"/>
      <c r="DK238" s="108"/>
      <c r="DL238" s="108"/>
      <c r="DM238" s="108"/>
      <c r="DN238" s="43"/>
      <c r="DO238" s="108"/>
      <c r="DP238" s="108"/>
      <c r="DQ238" s="108"/>
      <c r="DR238" s="108"/>
      <c r="DS238" s="108"/>
      <c r="DT238" s="108"/>
      <c r="DU238" s="43"/>
      <c r="DV238" s="108"/>
      <c r="DW238" s="108"/>
      <c r="DX238" s="108"/>
      <c r="DY238" s="108"/>
      <c r="DZ238" s="108"/>
      <c r="EA238" s="108"/>
      <c r="EB238" s="43"/>
      <c r="EC238" s="108"/>
      <c r="ED238" s="108"/>
      <c r="EE238" s="108"/>
      <c r="EF238" s="108"/>
      <c r="EG238" s="108"/>
      <c r="EH238" s="108"/>
      <c r="EI238" s="43"/>
      <c r="EJ238" s="47"/>
      <c r="EK238" s="47"/>
      <c r="EL238" s="47"/>
      <c r="EM238" s="47"/>
      <c r="EN238" s="47"/>
      <c r="EO238" s="47"/>
      <c r="EP238" s="47"/>
      <c r="EQ238" s="47"/>
      <c r="ER238" s="47"/>
      <c r="ES238" s="47"/>
      <c r="ET238" s="47"/>
      <c r="EU238" s="47"/>
      <c r="EV238" s="47"/>
      <c r="EW238" s="47"/>
      <c r="EX238" s="47"/>
      <c r="EY238" s="47"/>
      <c r="EZ238" s="47"/>
      <c r="FA238" s="47"/>
      <c r="FB238" s="47"/>
      <c r="FC238" s="47"/>
      <c r="FD238" s="47"/>
      <c r="FE238" s="47"/>
      <c r="FF238" s="47"/>
      <c r="FG238" s="47"/>
      <c r="FH238" s="47"/>
      <c r="FI238" s="47"/>
      <c r="FJ238" s="47"/>
      <c r="FK238" s="47"/>
      <c r="FL238" s="47"/>
      <c r="FM238" s="47"/>
      <c r="FN238" s="47"/>
      <c r="FO238" s="47"/>
      <c r="FP238" s="47"/>
      <c r="FQ238" s="47"/>
      <c r="FR238" s="47"/>
      <c r="FS238" s="47"/>
      <c r="FT238" s="47"/>
      <c r="FU238" s="47"/>
      <c r="FV238" s="47"/>
      <c r="FW238" s="47"/>
      <c r="FX238" s="47"/>
      <c r="FY238" s="47"/>
      <c r="FZ238" s="47"/>
      <c r="GA238" s="47"/>
      <c r="GB238" s="47"/>
      <c r="GC238" s="47"/>
      <c r="GD238" s="47"/>
      <c r="GE238" s="47"/>
    </row>
    <row r="239" spans="1:187" ht="10.5" customHeight="1">
      <c r="A239" s="43"/>
      <c r="B239" s="176"/>
      <c r="C239" s="162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43"/>
      <c r="U239" s="108"/>
      <c r="V239" s="108"/>
      <c r="W239" s="108"/>
      <c r="X239" s="108"/>
      <c r="Y239" s="108"/>
      <c r="Z239" s="108"/>
      <c r="AA239" s="43"/>
      <c r="AB239" s="108"/>
      <c r="AC239" s="108"/>
      <c r="AD239" s="108"/>
      <c r="AE239" s="108"/>
      <c r="AF239" s="108"/>
      <c r="AG239" s="108"/>
      <c r="AH239" s="43"/>
      <c r="AI239" s="108"/>
      <c r="AJ239" s="108"/>
      <c r="AK239" s="108"/>
      <c r="AL239" s="108"/>
      <c r="AM239" s="108"/>
      <c r="AN239" s="108"/>
      <c r="AO239" s="43"/>
      <c r="AP239" s="108"/>
      <c r="AQ239" s="108"/>
      <c r="AR239" s="108"/>
      <c r="AS239" s="108"/>
      <c r="AT239" s="108"/>
      <c r="AU239" s="108"/>
      <c r="AV239" s="43"/>
      <c r="AW239" s="108"/>
      <c r="AX239" s="108"/>
      <c r="AY239" s="108"/>
      <c r="AZ239" s="108"/>
      <c r="BA239" s="108"/>
      <c r="BB239" s="108"/>
      <c r="BC239" s="43"/>
      <c r="BD239" s="108"/>
      <c r="BE239" s="108"/>
      <c r="BF239" s="108"/>
      <c r="BG239" s="108"/>
      <c r="BH239" s="108"/>
      <c r="BI239" s="108"/>
      <c r="BJ239" s="43"/>
      <c r="BK239" s="108"/>
      <c r="BL239" s="108"/>
      <c r="BM239" s="108"/>
      <c r="BN239" s="108"/>
      <c r="BO239" s="108"/>
      <c r="BP239" s="108"/>
      <c r="BQ239" s="43"/>
      <c r="BR239" s="108"/>
      <c r="BS239" s="108"/>
      <c r="BT239" s="108"/>
      <c r="BU239" s="108"/>
      <c r="BV239" s="108"/>
      <c r="BW239" s="108"/>
      <c r="BX239" s="43"/>
      <c r="BY239" s="108"/>
      <c r="BZ239" s="108"/>
      <c r="CA239" s="108"/>
      <c r="CB239" s="108"/>
      <c r="CC239" s="108"/>
      <c r="CD239" s="108"/>
      <c r="CE239" s="43"/>
      <c r="CF239" s="108"/>
      <c r="CG239" s="108"/>
      <c r="CH239" s="108"/>
      <c r="CI239" s="108"/>
      <c r="CJ239" s="108"/>
      <c r="CK239" s="108"/>
      <c r="CL239" s="43"/>
      <c r="CM239" s="108"/>
      <c r="CN239" s="108"/>
      <c r="CO239" s="108"/>
      <c r="CP239" s="108"/>
      <c r="CQ239" s="108"/>
      <c r="CR239" s="108"/>
      <c r="CS239" s="43"/>
      <c r="CT239" s="108"/>
      <c r="CU239" s="108"/>
      <c r="CV239" s="108"/>
      <c r="CW239" s="108"/>
      <c r="CX239" s="108"/>
      <c r="CY239" s="108"/>
      <c r="CZ239" s="43"/>
      <c r="DA239" s="108"/>
      <c r="DB239" s="108"/>
      <c r="DC239" s="108"/>
      <c r="DD239" s="108"/>
      <c r="DE239" s="108"/>
      <c r="DF239" s="108"/>
      <c r="DG239" s="43"/>
      <c r="DH239" s="108"/>
      <c r="DI239" s="108"/>
      <c r="DJ239" s="108"/>
      <c r="DK239" s="108"/>
      <c r="DL239" s="108"/>
      <c r="DM239" s="108"/>
      <c r="DN239" s="43"/>
      <c r="DO239" s="108"/>
      <c r="DP239" s="108"/>
      <c r="DQ239" s="108"/>
      <c r="DR239" s="108"/>
      <c r="DS239" s="108"/>
      <c r="DT239" s="108"/>
      <c r="DU239" s="43"/>
      <c r="DV239" s="108"/>
      <c r="DW239" s="108"/>
      <c r="DX239" s="108"/>
      <c r="DY239" s="108"/>
      <c r="DZ239" s="108"/>
      <c r="EA239" s="108"/>
      <c r="EB239" s="43"/>
      <c r="EC239" s="108"/>
      <c r="ED239" s="108"/>
      <c r="EE239" s="108"/>
      <c r="EF239" s="108"/>
      <c r="EG239" s="108"/>
      <c r="EH239" s="108"/>
      <c r="EI239" s="43"/>
      <c r="EJ239" s="47"/>
      <c r="EK239" s="47"/>
      <c r="EL239" s="47"/>
      <c r="EM239" s="47"/>
      <c r="EN239" s="47"/>
      <c r="EO239" s="47"/>
      <c r="EP239" s="47"/>
      <c r="EQ239" s="47"/>
      <c r="ER239" s="47"/>
      <c r="ES239" s="47"/>
      <c r="ET239" s="47"/>
      <c r="EU239" s="47"/>
      <c r="EV239" s="47"/>
      <c r="EW239" s="47"/>
      <c r="EX239" s="47"/>
      <c r="EY239" s="47"/>
      <c r="EZ239" s="47"/>
      <c r="FA239" s="47"/>
      <c r="FB239" s="47"/>
      <c r="FC239" s="47"/>
      <c r="FD239" s="47"/>
      <c r="FE239" s="47"/>
      <c r="FF239" s="47"/>
      <c r="FG239" s="47"/>
      <c r="FH239" s="47"/>
      <c r="FI239" s="47"/>
      <c r="FJ239" s="47"/>
      <c r="FK239" s="47"/>
      <c r="FL239" s="47"/>
      <c r="FM239" s="47"/>
      <c r="FN239" s="47"/>
      <c r="FO239" s="47"/>
      <c r="FP239" s="47"/>
      <c r="FQ239" s="47"/>
      <c r="FR239" s="47"/>
      <c r="FS239" s="47"/>
      <c r="FT239" s="47"/>
      <c r="FU239" s="47"/>
      <c r="FV239" s="47"/>
      <c r="FW239" s="47"/>
      <c r="FX239" s="47"/>
      <c r="FY239" s="47"/>
      <c r="FZ239" s="47"/>
      <c r="GA239" s="47"/>
      <c r="GB239" s="47"/>
      <c r="GC239" s="47"/>
      <c r="GD239" s="47"/>
      <c r="GE239" s="47"/>
    </row>
    <row r="240" spans="1:187" ht="10.5" customHeight="1">
      <c r="A240" s="43"/>
      <c r="B240" s="176"/>
      <c r="C240" s="162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43"/>
      <c r="U240" s="108"/>
      <c r="V240" s="108"/>
      <c r="W240" s="108"/>
      <c r="X240" s="108"/>
      <c r="Y240" s="108"/>
      <c r="Z240" s="108"/>
      <c r="AA240" s="43"/>
      <c r="AB240" s="108"/>
      <c r="AC240" s="108"/>
      <c r="AD240" s="108"/>
      <c r="AE240" s="108"/>
      <c r="AF240" s="108"/>
      <c r="AG240" s="108"/>
      <c r="AH240" s="43"/>
      <c r="AI240" s="108"/>
      <c r="AJ240" s="108"/>
      <c r="AK240" s="108"/>
      <c r="AL240" s="108"/>
      <c r="AM240" s="108"/>
      <c r="AN240" s="108"/>
      <c r="AO240" s="43"/>
      <c r="AP240" s="108"/>
      <c r="AQ240" s="108"/>
      <c r="AR240" s="108"/>
      <c r="AS240" s="108"/>
      <c r="AT240" s="108"/>
      <c r="AU240" s="108"/>
      <c r="AV240" s="43"/>
      <c r="AW240" s="108"/>
      <c r="AX240" s="108"/>
      <c r="AY240" s="108"/>
      <c r="AZ240" s="108"/>
      <c r="BA240" s="108"/>
      <c r="BB240" s="108"/>
      <c r="BC240" s="43"/>
      <c r="BD240" s="108"/>
      <c r="BE240" s="108"/>
      <c r="BF240" s="108"/>
      <c r="BG240" s="108"/>
      <c r="BH240" s="108"/>
      <c r="BI240" s="108"/>
      <c r="BJ240" s="43"/>
      <c r="BK240" s="108"/>
      <c r="BL240" s="108"/>
      <c r="BM240" s="108"/>
      <c r="BN240" s="108"/>
      <c r="BO240" s="108"/>
      <c r="BP240" s="108"/>
      <c r="BQ240" s="43"/>
      <c r="BR240" s="108"/>
      <c r="BS240" s="108"/>
      <c r="BT240" s="108"/>
      <c r="BU240" s="108"/>
      <c r="BV240" s="108"/>
      <c r="BW240" s="108"/>
      <c r="BX240" s="43"/>
      <c r="BY240" s="108"/>
      <c r="BZ240" s="108"/>
      <c r="CA240" s="108"/>
      <c r="CB240" s="108"/>
      <c r="CC240" s="108"/>
      <c r="CD240" s="108"/>
      <c r="CE240" s="43"/>
      <c r="CF240" s="108"/>
      <c r="CG240" s="108"/>
      <c r="CH240" s="108"/>
      <c r="CI240" s="108"/>
      <c r="CJ240" s="108"/>
      <c r="CK240" s="108"/>
      <c r="CL240" s="43"/>
      <c r="CM240" s="108"/>
      <c r="CN240" s="108"/>
      <c r="CO240" s="108"/>
      <c r="CP240" s="108"/>
      <c r="CQ240" s="108"/>
      <c r="CR240" s="108"/>
      <c r="CS240" s="43"/>
      <c r="CT240" s="108"/>
      <c r="CU240" s="108"/>
      <c r="CV240" s="108"/>
      <c r="CW240" s="108"/>
      <c r="CX240" s="108"/>
      <c r="CY240" s="108"/>
      <c r="CZ240" s="43"/>
      <c r="DA240" s="108"/>
      <c r="DB240" s="108"/>
      <c r="DC240" s="108"/>
      <c r="DD240" s="108"/>
      <c r="DE240" s="108"/>
      <c r="DF240" s="108"/>
      <c r="DG240" s="43"/>
      <c r="DH240" s="108"/>
      <c r="DI240" s="108"/>
      <c r="DJ240" s="108"/>
      <c r="DK240" s="108"/>
      <c r="DL240" s="108"/>
      <c r="DM240" s="108"/>
      <c r="DN240" s="43"/>
      <c r="DO240" s="108"/>
      <c r="DP240" s="108"/>
      <c r="DQ240" s="108"/>
      <c r="DR240" s="108"/>
      <c r="DS240" s="108"/>
      <c r="DT240" s="108"/>
      <c r="DU240" s="43"/>
      <c r="DV240" s="108"/>
      <c r="DW240" s="108"/>
      <c r="DX240" s="108"/>
      <c r="DY240" s="108"/>
      <c r="DZ240" s="108"/>
      <c r="EA240" s="108"/>
      <c r="EB240" s="43"/>
      <c r="EC240" s="108"/>
      <c r="ED240" s="108"/>
      <c r="EE240" s="108"/>
      <c r="EF240" s="108"/>
      <c r="EG240" s="108"/>
      <c r="EH240" s="108"/>
      <c r="EI240" s="43"/>
      <c r="EJ240" s="47"/>
      <c r="EK240" s="47"/>
      <c r="EL240" s="47"/>
      <c r="EM240" s="47"/>
      <c r="EN240" s="47"/>
      <c r="EO240" s="47"/>
      <c r="EP240" s="47"/>
      <c r="EQ240" s="47"/>
      <c r="ER240" s="47"/>
      <c r="ES240" s="47"/>
      <c r="ET240" s="47"/>
      <c r="EU240" s="47"/>
      <c r="EV240" s="47"/>
      <c r="EW240" s="47"/>
      <c r="EX240" s="47"/>
      <c r="EY240" s="47"/>
      <c r="EZ240" s="47"/>
      <c r="FA240" s="47"/>
      <c r="FB240" s="47"/>
      <c r="FC240" s="47"/>
      <c r="FD240" s="47"/>
      <c r="FE240" s="47"/>
      <c r="FF240" s="47"/>
      <c r="FG240" s="47"/>
      <c r="FH240" s="47"/>
      <c r="FI240" s="47"/>
      <c r="FJ240" s="47"/>
      <c r="FK240" s="47"/>
      <c r="FL240" s="47"/>
      <c r="FM240" s="47"/>
      <c r="FN240" s="47"/>
      <c r="FO240" s="47"/>
      <c r="FP240" s="47"/>
      <c r="FQ240" s="47"/>
      <c r="FR240" s="47"/>
      <c r="FS240" s="47"/>
      <c r="FT240" s="47"/>
      <c r="FU240" s="47"/>
      <c r="FV240" s="47"/>
      <c r="FW240" s="47"/>
      <c r="FX240" s="47"/>
      <c r="FY240" s="47"/>
      <c r="FZ240" s="47"/>
      <c r="GA240" s="47"/>
      <c r="GB240" s="47"/>
      <c r="GC240" s="47"/>
      <c r="GD240" s="47"/>
      <c r="GE240" s="47"/>
    </row>
    <row r="241" spans="1:187" ht="10.5" customHeight="1">
      <c r="A241" s="43"/>
      <c r="B241" s="176"/>
      <c r="C241" s="162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43"/>
      <c r="U241" s="108"/>
      <c r="V241" s="108"/>
      <c r="W241" s="108"/>
      <c r="X241" s="108"/>
      <c r="Y241" s="108"/>
      <c r="Z241" s="108"/>
      <c r="AA241" s="43"/>
      <c r="AB241" s="108"/>
      <c r="AC241" s="108"/>
      <c r="AD241" s="108"/>
      <c r="AE241" s="108"/>
      <c r="AF241" s="108"/>
      <c r="AG241" s="108"/>
      <c r="AH241" s="43"/>
      <c r="AI241" s="108"/>
      <c r="AJ241" s="108"/>
      <c r="AK241" s="108"/>
      <c r="AL241" s="108"/>
      <c r="AM241" s="108"/>
      <c r="AN241" s="108"/>
      <c r="AO241" s="43"/>
      <c r="AP241" s="108"/>
      <c r="AQ241" s="108"/>
      <c r="AR241" s="108"/>
      <c r="AS241" s="108"/>
      <c r="AT241" s="108"/>
      <c r="AU241" s="108"/>
      <c r="AV241" s="43"/>
      <c r="AW241" s="108"/>
      <c r="AX241" s="108"/>
      <c r="AY241" s="108"/>
      <c r="AZ241" s="108"/>
      <c r="BA241" s="108"/>
      <c r="BB241" s="108"/>
      <c r="BC241" s="43"/>
      <c r="BD241" s="108"/>
      <c r="BE241" s="108"/>
      <c r="BF241" s="108"/>
      <c r="BG241" s="108"/>
      <c r="BH241" s="108"/>
      <c r="BI241" s="108"/>
      <c r="BJ241" s="43"/>
      <c r="BK241" s="108"/>
      <c r="BL241" s="108"/>
      <c r="BM241" s="108"/>
      <c r="BN241" s="108"/>
      <c r="BO241" s="108"/>
      <c r="BP241" s="108"/>
      <c r="BQ241" s="43"/>
      <c r="BR241" s="108"/>
      <c r="BS241" s="108"/>
      <c r="BT241" s="108"/>
      <c r="BU241" s="108"/>
      <c r="BV241" s="108"/>
      <c r="BW241" s="108"/>
      <c r="BX241" s="43"/>
      <c r="BY241" s="108"/>
      <c r="BZ241" s="108"/>
      <c r="CA241" s="108"/>
      <c r="CB241" s="108"/>
      <c r="CC241" s="108"/>
      <c r="CD241" s="108"/>
      <c r="CE241" s="43"/>
      <c r="CF241" s="108"/>
      <c r="CG241" s="108"/>
      <c r="CH241" s="108"/>
      <c r="CI241" s="108"/>
      <c r="CJ241" s="108"/>
      <c r="CK241" s="108"/>
      <c r="CL241" s="43"/>
      <c r="CM241" s="108"/>
      <c r="CN241" s="108"/>
      <c r="CO241" s="108"/>
      <c r="CP241" s="108"/>
      <c r="CQ241" s="108"/>
      <c r="CR241" s="108"/>
      <c r="CS241" s="43"/>
      <c r="CT241" s="108"/>
      <c r="CU241" s="108"/>
      <c r="CV241" s="108"/>
      <c r="CW241" s="108"/>
      <c r="CX241" s="108"/>
      <c r="CY241" s="108"/>
      <c r="CZ241" s="43"/>
      <c r="DA241" s="108"/>
      <c r="DB241" s="108"/>
      <c r="DC241" s="108"/>
      <c r="DD241" s="108"/>
      <c r="DE241" s="108"/>
      <c r="DF241" s="108"/>
      <c r="DG241" s="43"/>
      <c r="DH241" s="108"/>
      <c r="DI241" s="108"/>
      <c r="DJ241" s="108"/>
      <c r="DK241" s="108"/>
      <c r="DL241" s="108"/>
      <c r="DM241" s="108"/>
      <c r="DN241" s="43"/>
      <c r="DO241" s="108"/>
      <c r="DP241" s="108"/>
      <c r="DQ241" s="108"/>
      <c r="DR241" s="108"/>
      <c r="DS241" s="108"/>
      <c r="DT241" s="108"/>
      <c r="DU241" s="43"/>
      <c r="DV241" s="108"/>
      <c r="DW241" s="108"/>
      <c r="DX241" s="108"/>
      <c r="DY241" s="108"/>
      <c r="DZ241" s="108"/>
      <c r="EA241" s="108"/>
      <c r="EB241" s="43"/>
      <c r="EC241" s="108"/>
      <c r="ED241" s="108"/>
      <c r="EE241" s="108"/>
      <c r="EF241" s="108"/>
      <c r="EG241" s="108"/>
      <c r="EH241" s="108"/>
      <c r="EI241" s="43"/>
      <c r="EJ241" s="47"/>
      <c r="EK241" s="47"/>
      <c r="EL241" s="47"/>
      <c r="EM241" s="47"/>
      <c r="EN241" s="47"/>
      <c r="EO241" s="47"/>
      <c r="EP241" s="47"/>
      <c r="EQ241" s="47"/>
      <c r="ER241" s="47"/>
      <c r="ES241" s="47"/>
      <c r="ET241" s="47"/>
      <c r="EU241" s="47"/>
      <c r="EV241" s="47"/>
      <c r="EW241" s="47"/>
      <c r="EX241" s="47"/>
      <c r="EY241" s="47"/>
      <c r="EZ241" s="47"/>
      <c r="FA241" s="47"/>
      <c r="FB241" s="47"/>
      <c r="FC241" s="47"/>
      <c r="FD241" s="47"/>
      <c r="FE241" s="47"/>
      <c r="FF241" s="47"/>
      <c r="FG241" s="47"/>
      <c r="FH241" s="47"/>
      <c r="FI241" s="47"/>
      <c r="FJ241" s="47"/>
      <c r="FK241" s="47"/>
      <c r="FL241" s="47"/>
      <c r="FM241" s="47"/>
      <c r="FN241" s="47"/>
      <c r="FO241" s="47"/>
      <c r="FP241" s="47"/>
      <c r="FQ241" s="47"/>
      <c r="FR241" s="47"/>
      <c r="FS241" s="47"/>
      <c r="FT241" s="47"/>
      <c r="FU241" s="47"/>
      <c r="FV241" s="47"/>
      <c r="FW241" s="47"/>
      <c r="FX241" s="47"/>
      <c r="FY241" s="47"/>
      <c r="FZ241" s="47"/>
      <c r="GA241" s="47"/>
      <c r="GB241" s="47"/>
      <c r="GC241" s="47"/>
      <c r="GD241" s="47"/>
      <c r="GE241" s="47"/>
    </row>
    <row r="242" spans="1:187" ht="10.5" customHeight="1">
      <c r="A242" s="51"/>
      <c r="B242" s="929"/>
      <c r="C242" s="929"/>
      <c r="D242" s="929"/>
      <c r="E242" s="929"/>
      <c r="F242" s="929"/>
      <c r="G242" s="929"/>
      <c r="H242" s="929"/>
      <c r="I242" s="929"/>
      <c r="J242" s="929"/>
      <c r="K242" s="929"/>
      <c r="L242" s="929"/>
      <c r="M242" s="929"/>
      <c r="N242" s="929"/>
      <c r="O242" s="929"/>
      <c r="P242" s="929"/>
      <c r="Q242" s="929"/>
      <c r="R242" s="929"/>
      <c r="S242" s="929"/>
      <c r="T242" s="65"/>
      <c r="U242" s="929"/>
      <c r="V242" s="929"/>
      <c r="W242" s="929"/>
      <c r="X242" s="929"/>
      <c r="Y242" s="929"/>
      <c r="Z242" s="929"/>
      <c r="AA242" s="65"/>
      <c r="AB242" s="929"/>
      <c r="AC242" s="929"/>
      <c r="AD242" s="929"/>
      <c r="AE242" s="929"/>
      <c r="AF242" s="929"/>
      <c r="AG242" s="929"/>
      <c r="AH242" s="65"/>
      <c r="AI242" s="929"/>
      <c r="AJ242" s="929"/>
      <c r="AK242" s="929"/>
      <c r="AL242" s="929"/>
      <c r="AM242" s="929"/>
      <c r="AN242" s="929"/>
      <c r="AO242" s="65"/>
      <c r="AP242" s="929"/>
      <c r="AQ242" s="929"/>
      <c r="AR242" s="929"/>
      <c r="AS242" s="929"/>
      <c r="AT242" s="929"/>
      <c r="AU242" s="929"/>
      <c r="AV242" s="65"/>
      <c r="AW242" s="929"/>
      <c r="AX242" s="929"/>
      <c r="AY242" s="929"/>
      <c r="AZ242" s="929"/>
      <c r="BA242" s="929"/>
      <c r="BB242" s="929"/>
      <c r="BC242" s="65"/>
      <c r="BD242" s="929"/>
      <c r="BE242" s="929"/>
      <c r="BF242" s="929"/>
      <c r="BG242" s="929"/>
      <c r="BH242" s="929"/>
      <c r="BI242" s="929"/>
      <c r="BJ242" s="65"/>
      <c r="BK242" s="929"/>
      <c r="BL242" s="929"/>
      <c r="BM242" s="929"/>
      <c r="BN242" s="929"/>
      <c r="BO242" s="929"/>
      <c r="BP242" s="929"/>
      <c r="BQ242" s="65"/>
      <c r="BR242" s="929"/>
      <c r="BS242" s="929"/>
      <c r="BT242" s="929"/>
      <c r="BU242" s="929"/>
      <c r="BV242" s="929"/>
      <c r="BW242" s="929"/>
      <c r="BX242" s="65"/>
      <c r="BY242" s="929"/>
      <c r="BZ242" s="929"/>
      <c r="CA242" s="929"/>
      <c r="CB242" s="929"/>
      <c r="CC242" s="929"/>
      <c r="CD242" s="929"/>
      <c r="CE242" s="65"/>
      <c r="CF242" s="929"/>
      <c r="CG242" s="929"/>
      <c r="CH242" s="929"/>
      <c r="CI242" s="929"/>
      <c r="CJ242" s="929"/>
      <c r="CK242" s="929"/>
      <c r="CL242" s="65"/>
      <c r="CM242" s="929"/>
      <c r="CN242" s="929"/>
      <c r="CO242" s="929"/>
      <c r="CP242" s="929"/>
      <c r="CQ242" s="929"/>
      <c r="CR242" s="929"/>
      <c r="CS242" s="65"/>
      <c r="CT242" s="929"/>
      <c r="CU242" s="929"/>
      <c r="CV242" s="929"/>
      <c r="CW242" s="929"/>
      <c r="CX242" s="929"/>
      <c r="CY242" s="929"/>
      <c r="CZ242" s="65"/>
      <c r="DA242" s="929"/>
      <c r="DB242" s="929"/>
      <c r="DC242" s="929"/>
      <c r="DD242" s="929"/>
      <c r="DE242" s="929"/>
      <c r="DF242" s="929"/>
      <c r="DG242" s="65"/>
      <c r="DH242" s="929"/>
      <c r="DI242" s="929"/>
      <c r="DJ242" s="929"/>
      <c r="DK242" s="929"/>
      <c r="DL242" s="929"/>
      <c r="DM242" s="929"/>
      <c r="DN242" s="65"/>
      <c r="DO242" s="929"/>
      <c r="DP242" s="929"/>
      <c r="DQ242" s="929"/>
      <c r="DR242" s="929"/>
      <c r="DS242" s="929"/>
      <c r="DT242" s="929"/>
      <c r="DU242" s="65"/>
      <c r="DV242" s="929"/>
      <c r="DW242" s="929"/>
      <c r="DX242" s="929"/>
      <c r="DY242" s="929"/>
      <c r="DZ242" s="929"/>
      <c r="EA242" s="929"/>
      <c r="EB242" s="65"/>
      <c r="EC242" s="929"/>
      <c r="ED242" s="929"/>
      <c r="EE242" s="929"/>
      <c r="EF242" s="929"/>
      <c r="EG242" s="929"/>
      <c r="EH242" s="929"/>
      <c r="EI242" s="65"/>
      <c r="EJ242" s="47"/>
      <c r="EK242" s="47"/>
      <c r="EL242" s="47"/>
      <c r="EM242" s="47"/>
      <c r="EN242" s="47"/>
      <c r="EO242" s="47"/>
      <c r="EP242" s="47"/>
      <c r="EQ242" s="47"/>
      <c r="ER242" s="47"/>
      <c r="ES242" s="47"/>
      <c r="ET242" s="47"/>
      <c r="EU242" s="47"/>
      <c r="EV242" s="47"/>
      <c r="EW242" s="47"/>
      <c r="EX242" s="47"/>
      <c r="EY242" s="47"/>
      <c r="EZ242" s="47"/>
      <c r="FA242" s="47"/>
      <c r="FB242" s="47"/>
      <c r="FC242" s="47"/>
      <c r="FD242" s="47"/>
      <c r="FE242" s="47"/>
      <c r="FF242" s="47"/>
      <c r="FG242" s="47"/>
      <c r="FH242" s="47"/>
      <c r="FI242" s="47"/>
      <c r="FJ242" s="47"/>
      <c r="FK242" s="47"/>
      <c r="FL242" s="47"/>
      <c r="FM242" s="47"/>
      <c r="FN242" s="47"/>
      <c r="FO242" s="47"/>
      <c r="FP242" s="47"/>
      <c r="FQ242" s="47"/>
      <c r="FR242" s="47"/>
      <c r="FS242" s="47"/>
      <c r="FT242" s="47"/>
      <c r="FU242" s="47"/>
      <c r="FV242" s="47"/>
      <c r="FW242" s="47"/>
      <c r="FX242" s="47"/>
      <c r="FY242" s="47"/>
      <c r="FZ242" s="47"/>
      <c r="GA242" s="47"/>
      <c r="GB242" s="47"/>
      <c r="GC242" s="47"/>
      <c r="GD242" s="47"/>
      <c r="GE242" s="47"/>
    </row>
    <row r="243" spans="1:187" ht="10.5" customHeight="1">
      <c r="A243" s="43"/>
      <c r="B243" s="929"/>
      <c r="C243" s="929"/>
      <c r="D243" s="929"/>
      <c r="E243" s="929"/>
      <c r="F243" s="929"/>
      <c r="G243" s="929"/>
      <c r="H243" s="929"/>
      <c r="I243" s="929"/>
      <c r="J243" s="929"/>
      <c r="K243" s="929"/>
      <c r="L243" s="929"/>
      <c r="M243" s="929"/>
      <c r="N243" s="929"/>
      <c r="O243" s="929"/>
      <c r="P243" s="929"/>
      <c r="Q243" s="929"/>
      <c r="R243" s="929"/>
      <c r="S243" s="929"/>
      <c r="T243" s="103"/>
      <c r="U243" s="929"/>
      <c r="V243" s="929"/>
      <c r="W243" s="929"/>
      <c r="X243" s="929"/>
      <c r="Y243" s="929"/>
      <c r="Z243" s="929"/>
      <c r="AA243" s="103"/>
      <c r="AB243" s="929"/>
      <c r="AC243" s="929"/>
      <c r="AD243" s="929"/>
      <c r="AE243" s="929"/>
      <c r="AF243" s="929"/>
      <c r="AG243" s="929"/>
      <c r="AH243" s="103"/>
      <c r="AI243" s="929"/>
      <c r="AJ243" s="929"/>
      <c r="AK243" s="929"/>
      <c r="AL243" s="929"/>
      <c r="AM243" s="929"/>
      <c r="AN243" s="929"/>
      <c r="AO243" s="103"/>
      <c r="AP243" s="929"/>
      <c r="AQ243" s="929"/>
      <c r="AR243" s="929"/>
      <c r="AS243" s="929"/>
      <c r="AT243" s="929"/>
      <c r="AU243" s="929"/>
      <c r="AV243" s="103"/>
      <c r="AW243" s="929"/>
      <c r="AX243" s="929"/>
      <c r="AY243" s="929"/>
      <c r="AZ243" s="929"/>
      <c r="BA243" s="929"/>
      <c r="BB243" s="929"/>
      <c r="BC243" s="103"/>
      <c r="BD243" s="929"/>
      <c r="BE243" s="929"/>
      <c r="BF243" s="929"/>
      <c r="BG243" s="929"/>
      <c r="BH243" s="929"/>
      <c r="BI243" s="929"/>
      <c r="BJ243" s="103"/>
      <c r="BK243" s="929"/>
      <c r="BL243" s="929"/>
      <c r="BM243" s="929"/>
      <c r="BN243" s="929"/>
      <c r="BO243" s="929"/>
      <c r="BP243" s="929"/>
      <c r="BQ243" s="103"/>
      <c r="BR243" s="929"/>
      <c r="BS243" s="929"/>
      <c r="BT243" s="929"/>
      <c r="BU243" s="929"/>
      <c r="BV243" s="929"/>
      <c r="BW243" s="929"/>
      <c r="BX243" s="103"/>
      <c r="BY243" s="929"/>
      <c r="BZ243" s="929"/>
      <c r="CA243" s="929"/>
      <c r="CB243" s="929"/>
      <c r="CC243" s="929"/>
      <c r="CD243" s="929"/>
      <c r="CE243" s="103"/>
      <c r="CF243" s="929"/>
      <c r="CG243" s="929"/>
      <c r="CH243" s="929"/>
      <c r="CI243" s="929"/>
      <c r="CJ243" s="929"/>
      <c r="CK243" s="929"/>
      <c r="CL243" s="103"/>
      <c r="CM243" s="929"/>
      <c r="CN243" s="929"/>
      <c r="CO243" s="929"/>
      <c r="CP243" s="929"/>
      <c r="CQ243" s="929"/>
      <c r="CR243" s="929"/>
      <c r="CS243" s="103"/>
      <c r="CT243" s="929"/>
      <c r="CU243" s="929"/>
      <c r="CV243" s="929"/>
      <c r="CW243" s="929"/>
      <c r="CX243" s="929"/>
      <c r="CY243" s="929"/>
      <c r="CZ243" s="103"/>
      <c r="DA243" s="929"/>
      <c r="DB243" s="929"/>
      <c r="DC243" s="929"/>
      <c r="DD243" s="929"/>
      <c r="DE243" s="929"/>
      <c r="DF243" s="929"/>
      <c r="DG243" s="103"/>
      <c r="DH243" s="929"/>
      <c r="DI243" s="929"/>
      <c r="DJ243" s="929"/>
      <c r="DK243" s="929"/>
      <c r="DL243" s="929"/>
      <c r="DM243" s="929"/>
      <c r="DN243" s="103"/>
      <c r="DO243" s="929"/>
      <c r="DP243" s="929"/>
      <c r="DQ243" s="929"/>
      <c r="DR243" s="929"/>
      <c r="DS243" s="929"/>
      <c r="DT243" s="929"/>
      <c r="DU243" s="103"/>
      <c r="DV243" s="929"/>
      <c r="DW243" s="929"/>
      <c r="DX243" s="929"/>
      <c r="DY243" s="929"/>
      <c r="DZ243" s="929"/>
      <c r="EA243" s="929"/>
      <c r="EB243" s="103"/>
      <c r="EC243" s="929"/>
      <c r="ED243" s="929"/>
      <c r="EE243" s="929"/>
      <c r="EF243" s="929"/>
      <c r="EG243" s="929"/>
      <c r="EH243" s="929"/>
      <c r="EI243" s="103"/>
      <c r="EJ243" s="47"/>
      <c r="EK243" s="47"/>
      <c r="EL243" s="47"/>
      <c r="EM243" s="47"/>
      <c r="EN243" s="47"/>
      <c r="EO243" s="47"/>
      <c r="EP243" s="47"/>
      <c r="EQ243" s="47"/>
      <c r="ER243" s="47"/>
      <c r="ES243" s="47"/>
      <c r="ET243" s="47"/>
      <c r="EU243" s="47"/>
      <c r="EV243" s="47"/>
      <c r="EW243" s="47"/>
      <c r="EX243" s="47"/>
      <c r="EY243" s="47"/>
      <c r="EZ243" s="47"/>
      <c r="FA243" s="47"/>
      <c r="FB243" s="47"/>
      <c r="FC243" s="47"/>
      <c r="FD243" s="47"/>
      <c r="FE243" s="47"/>
      <c r="FF243" s="47"/>
      <c r="FG243" s="47"/>
      <c r="FH243" s="47"/>
      <c r="FI243" s="47"/>
      <c r="FJ243" s="47"/>
      <c r="FK243" s="47"/>
      <c r="FL243" s="47"/>
      <c r="FM243" s="47"/>
      <c r="FN243" s="47"/>
      <c r="FO243" s="47"/>
      <c r="FP243" s="47"/>
      <c r="FQ243" s="47"/>
      <c r="FR243" s="47"/>
      <c r="FS243" s="47"/>
      <c r="FT243" s="47"/>
      <c r="FU243" s="47"/>
      <c r="FV243" s="47"/>
      <c r="FW243" s="47"/>
      <c r="FX243" s="47"/>
      <c r="FY243" s="47"/>
      <c r="FZ243" s="47"/>
      <c r="GA243" s="47"/>
      <c r="GB243" s="47"/>
      <c r="GC243" s="47"/>
      <c r="GD243" s="47"/>
      <c r="GE243" s="47"/>
    </row>
    <row r="244" spans="1:187" ht="10.5" customHeight="1">
      <c r="A244" s="43"/>
      <c r="B244" s="108"/>
      <c r="C244" s="773"/>
      <c r="D244" s="929"/>
      <c r="E244" s="929"/>
      <c r="F244" s="929"/>
      <c r="G244" s="929"/>
      <c r="H244" s="929"/>
      <c r="I244" s="929"/>
      <c r="J244" s="929"/>
      <c r="K244" s="929"/>
      <c r="L244" s="929"/>
      <c r="M244" s="929"/>
      <c r="N244" s="929"/>
      <c r="O244" s="929"/>
      <c r="P244" s="929"/>
      <c r="Q244" s="929"/>
      <c r="R244" s="929"/>
      <c r="S244" s="929"/>
      <c r="T244" s="65"/>
      <c r="U244" s="929"/>
      <c r="V244" s="929"/>
      <c r="W244" s="929"/>
      <c r="X244" s="929"/>
      <c r="Y244" s="929"/>
      <c r="Z244" s="929"/>
      <c r="AA244" s="65"/>
      <c r="AB244" s="929"/>
      <c r="AC244" s="929"/>
      <c r="AD244" s="929"/>
      <c r="AE244" s="929"/>
      <c r="AF244" s="929"/>
      <c r="AG244" s="929"/>
      <c r="AH244" s="65"/>
      <c r="AI244" s="929"/>
      <c r="AJ244" s="929"/>
      <c r="AK244" s="929"/>
      <c r="AL244" s="929"/>
      <c r="AM244" s="929"/>
      <c r="AN244" s="929"/>
      <c r="AO244" s="65"/>
      <c r="AP244" s="929"/>
      <c r="AQ244" s="929"/>
      <c r="AR244" s="929"/>
      <c r="AS244" s="929"/>
      <c r="AT244" s="929"/>
      <c r="AU244" s="929"/>
      <c r="AV244" s="65"/>
      <c r="AW244" s="929"/>
      <c r="AX244" s="929"/>
      <c r="AY244" s="929"/>
      <c r="AZ244" s="929"/>
      <c r="BA244" s="929"/>
      <c r="BB244" s="929"/>
      <c r="BC244" s="65"/>
      <c r="BD244" s="929"/>
      <c r="BE244" s="929"/>
      <c r="BF244" s="929"/>
      <c r="BG244" s="929"/>
      <c r="BH244" s="929"/>
      <c r="BI244" s="929"/>
      <c r="BJ244" s="65"/>
      <c r="BK244" s="929"/>
      <c r="BL244" s="929"/>
      <c r="BM244" s="929"/>
      <c r="BN244" s="929"/>
      <c r="BO244" s="929"/>
      <c r="BP244" s="929"/>
      <c r="BQ244" s="65"/>
      <c r="BR244" s="929"/>
      <c r="BS244" s="929"/>
      <c r="BT244" s="929"/>
      <c r="BU244" s="929"/>
      <c r="BV244" s="929"/>
      <c r="BW244" s="929"/>
      <c r="BX244" s="65"/>
      <c r="BY244" s="929"/>
      <c r="BZ244" s="929"/>
      <c r="CA244" s="929"/>
      <c r="CB244" s="929"/>
      <c r="CC244" s="929"/>
      <c r="CD244" s="929"/>
      <c r="CE244" s="65"/>
      <c r="CF244" s="929"/>
      <c r="CG244" s="929"/>
      <c r="CH244" s="929"/>
      <c r="CI244" s="929"/>
      <c r="CJ244" s="929"/>
      <c r="CK244" s="929"/>
      <c r="CL244" s="65"/>
      <c r="CM244" s="929"/>
      <c r="CN244" s="929"/>
      <c r="CO244" s="929"/>
      <c r="CP244" s="929"/>
      <c r="CQ244" s="929"/>
      <c r="CR244" s="929"/>
      <c r="CS244" s="65"/>
      <c r="CT244" s="929"/>
      <c r="CU244" s="929"/>
      <c r="CV244" s="929"/>
      <c r="CW244" s="929"/>
      <c r="CX244" s="929"/>
      <c r="CY244" s="929"/>
      <c r="CZ244" s="65"/>
      <c r="DA244" s="929"/>
      <c r="DB244" s="929"/>
      <c r="DC244" s="929"/>
      <c r="DD244" s="929"/>
      <c r="DE244" s="929"/>
      <c r="DF244" s="929"/>
      <c r="DG244" s="65"/>
      <c r="DH244" s="929"/>
      <c r="DI244" s="929"/>
      <c r="DJ244" s="929"/>
      <c r="DK244" s="929"/>
      <c r="DL244" s="929"/>
      <c r="DM244" s="929"/>
      <c r="DN244" s="65"/>
      <c r="DO244" s="929"/>
      <c r="DP244" s="929"/>
      <c r="DQ244" s="929"/>
      <c r="DR244" s="929"/>
      <c r="DS244" s="929"/>
      <c r="DT244" s="929"/>
      <c r="DU244" s="65"/>
      <c r="DV244" s="929"/>
      <c r="DW244" s="929"/>
      <c r="DX244" s="929"/>
      <c r="DY244" s="929"/>
      <c r="DZ244" s="929"/>
      <c r="EA244" s="929"/>
      <c r="EB244" s="65"/>
      <c r="EC244" s="929"/>
      <c r="ED244" s="929"/>
      <c r="EE244" s="929"/>
      <c r="EF244" s="929"/>
      <c r="EG244" s="929"/>
      <c r="EH244" s="929"/>
      <c r="EI244" s="65"/>
      <c r="EJ244" s="47"/>
      <c r="EK244" s="47"/>
      <c r="EL244" s="47"/>
      <c r="EM244" s="47"/>
      <c r="EN244" s="47"/>
      <c r="EO244" s="47"/>
      <c r="EP244" s="47"/>
      <c r="EQ244" s="47"/>
      <c r="ER244" s="47"/>
      <c r="ES244" s="47"/>
      <c r="ET244" s="47"/>
      <c r="EU244" s="47"/>
      <c r="EV244" s="47"/>
      <c r="EW244" s="47"/>
      <c r="EX244" s="47"/>
      <c r="EY244" s="47"/>
      <c r="EZ244" s="47"/>
      <c r="FA244" s="47"/>
      <c r="FB244" s="47"/>
      <c r="FC244" s="47"/>
      <c r="FD244" s="47"/>
      <c r="FE244" s="47"/>
      <c r="FF244" s="47"/>
      <c r="FG244" s="47"/>
      <c r="FH244" s="47"/>
      <c r="FI244" s="47"/>
      <c r="FJ244" s="47"/>
      <c r="FK244" s="47"/>
      <c r="FL244" s="47"/>
      <c r="FM244" s="47"/>
      <c r="FN244" s="47"/>
      <c r="FO244" s="47"/>
      <c r="FP244" s="47"/>
      <c r="FQ244" s="47"/>
      <c r="FR244" s="47"/>
      <c r="FS244" s="47"/>
      <c r="FT244" s="47"/>
      <c r="FU244" s="47"/>
      <c r="FV244" s="47"/>
      <c r="FW244" s="47"/>
      <c r="FX244" s="47"/>
      <c r="FY244" s="47"/>
      <c r="FZ244" s="47"/>
      <c r="GA244" s="47"/>
      <c r="GB244" s="47"/>
      <c r="GC244" s="47"/>
      <c r="GD244" s="47"/>
      <c r="GE244" s="47"/>
    </row>
    <row r="245" spans="1:187" ht="10.5" customHeight="1">
      <c r="A245" s="43"/>
      <c r="B245" s="108"/>
      <c r="C245" s="773"/>
      <c r="D245" s="929"/>
      <c r="E245" s="929"/>
      <c r="F245" s="929"/>
      <c r="G245" s="929"/>
      <c r="H245" s="929"/>
      <c r="I245" s="929"/>
      <c r="J245" s="929"/>
      <c r="K245" s="929"/>
      <c r="L245" s="929"/>
      <c r="M245" s="929"/>
      <c r="N245" s="929"/>
      <c r="O245" s="929"/>
      <c r="P245" s="929"/>
      <c r="Q245" s="929"/>
      <c r="R245" s="929"/>
      <c r="S245" s="929"/>
      <c r="T245" s="103"/>
      <c r="U245" s="929"/>
      <c r="V245" s="929"/>
      <c r="W245" s="929"/>
      <c r="X245" s="929"/>
      <c r="Y245" s="929"/>
      <c r="Z245" s="929"/>
      <c r="AA245" s="103"/>
      <c r="AB245" s="929"/>
      <c r="AC245" s="929"/>
      <c r="AD245" s="929"/>
      <c r="AE245" s="929"/>
      <c r="AF245" s="929"/>
      <c r="AG245" s="929"/>
      <c r="AH245" s="103"/>
      <c r="AI245" s="929"/>
      <c r="AJ245" s="929"/>
      <c r="AK245" s="929"/>
      <c r="AL245" s="929"/>
      <c r="AM245" s="929"/>
      <c r="AN245" s="929"/>
      <c r="AO245" s="103"/>
      <c r="AP245" s="929"/>
      <c r="AQ245" s="929"/>
      <c r="AR245" s="929"/>
      <c r="AS245" s="929"/>
      <c r="AT245" s="929"/>
      <c r="AU245" s="929"/>
      <c r="AV245" s="103"/>
      <c r="AW245" s="929"/>
      <c r="AX245" s="929"/>
      <c r="AY245" s="929"/>
      <c r="AZ245" s="929"/>
      <c r="BA245" s="929"/>
      <c r="BB245" s="929"/>
      <c r="BC245" s="103"/>
      <c r="BD245" s="929"/>
      <c r="BE245" s="929"/>
      <c r="BF245" s="929"/>
      <c r="BG245" s="929"/>
      <c r="BH245" s="929"/>
      <c r="BI245" s="929"/>
      <c r="BJ245" s="103"/>
      <c r="BK245" s="929"/>
      <c r="BL245" s="929"/>
      <c r="BM245" s="929"/>
      <c r="BN245" s="929"/>
      <c r="BO245" s="929"/>
      <c r="BP245" s="929"/>
      <c r="BQ245" s="103"/>
      <c r="BR245" s="929"/>
      <c r="BS245" s="929"/>
      <c r="BT245" s="929"/>
      <c r="BU245" s="929"/>
      <c r="BV245" s="929"/>
      <c r="BW245" s="929"/>
      <c r="BX245" s="103"/>
      <c r="BY245" s="929"/>
      <c r="BZ245" s="929"/>
      <c r="CA245" s="929"/>
      <c r="CB245" s="929"/>
      <c r="CC245" s="929"/>
      <c r="CD245" s="929"/>
      <c r="CE245" s="103"/>
      <c r="CF245" s="929"/>
      <c r="CG245" s="929"/>
      <c r="CH245" s="929"/>
      <c r="CI245" s="929"/>
      <c r="CJ245" s="929"/>
      <c r="CK245" s="929"/>
      <c r="CL245" s="103"/>
      <c r="CM245" s="929"/>
      <c r="CN245" s="929"/>
      <c r="CO245" s="929"/>
      <c r="CP245" s="929"/>
      <c r="CQ245" s="929"/>
      <c r="CR245" s="929"/>
      <c r="CS245" s="103"/>
      <c r="CT245" s="929"/>
      <c r="CU245" s="929"/>
      <c r="CV245" s="929"/>
      <c r="CW245" s="929"/>
      <c r="CX245" s="929"/>
      <c r="CY245" s="929"/>
      <c r="CZ245" s="103"/>
      <c r="DA245" s="929"/>
      <c r="DB245" s="929"/>
      <c r="DC245" s="929"/>
      <c r="DD245" s="929"/>
      <c r="DE245" s="929"/>
      <c r="DF245" s="929"/>
      <c r="DG245" s="103"/>
      <c r="DH245" s="929"/>
      <c r="DI245" s="929"/>
      <c r="DJ245" s="929"/>
      <c r="DK245" s="929"/>
      <c r="DL245" s="929"/>
      <c r="DM245" s="929"/>
      <c r="DN245" s="103"/>
      <c r="DO245" s="929"/>
      <c r="DP245" s="929"/>
      <c r="DQ245" s="929"/>
      <c r="DR245" s="929"/>
      <c r="DS245" s="929"/>
      <c r="DT245" s="929"/>
      <c r="DU245" s="103"/>
      <c r="DV245" s="929"/>
      <c r="DW245" s="929"/>
      <c r="DX245" s="929"/>
      <c r="DY245" s="929"/>
      <c r="DZ245" s="929"/>
      <c r="EA245" s="929"/>
      <c r="EB245" s="103"/>
      <c r="EC245" s="929"/>
      <c r="ED245" s="929"/>
      <c r="EE245" s="929"/>
      <c r="EF245" s="929"/>
      <c r="EG245" s="929"/>
      <c r="EH245" s="929"/>
      <c r="EI245" s="103"/>
      <c r="EJ245" s="47"/>
      <c r="EK245" s="47"/>
      <c r="EL245" s="47"/>
      <c r="EM245" s="47"/>
      <c r="EN245" s="47"/>
      <c r="EO245" s="47"/>
      <c r="EP245" s="47"/>
      <c r="EQ245" s="47"/>
      <c r="ER245" s="47"/>
      <c r="ES245" s="47"/>
      <c r="ET245" s="47"/>
      <c r="EU245" s="47"/>
      <c r="EV245" s="47"/>
      <c r="EW245" s="47"/>
      <c r="EX245" s="47"/>
      <c r="EY245" s="47"/>
      <c r="EZ245" s="47"/>
      <c r="FA245" s="47"/>
      <c r="FB245" s="47"/>
      <c r="FC245" s="47"/>
      <c r="FD245" s="47"/>
      <c r="FE245" s="47"/>
      <c r="FF245" s="47"/>
      <c r="FG245" s="47"/>
      <c r="FH245" s="47"/>
      <c r="FI245" s="47"/>
      <c r="FJ245" s="47"/>
      <c r="FK245" s="47"/>
      <c r="FL245" s="47"/>
      <c r="FM245" s="47"/>
      <c r="FN245" s="47"/>
      <c r="FO245" s="47"/>
      <c r="FP245" s="47"/>
      <c r="FQ245" s="47"/>
      <c r="FR245" s="47"/>
      <c r="FS245" s="47"/>
      <c r="FT245" s="47"/>
      <c r="FU245" s="47"/>
      <c r="FV245" s="47"/>
      <c r="FW245" s="47"/>
      <c r="FX245" s="47"/>
      <c r="FY245" s="47"/>
      <c r="FZ245" s="47"/>
      <c r="GA245" s="47"/>
      <c r="GB245" s="47"/>
      <c r="GC245" s="47"/>
      <c r="GD245" s="47"/>
      <c r="GE245" s="47"/>
    </row>
    <row r="246" spans="1:187" ht="10.5" customHeight="1">
      <c r="A246" s="43"/>
      <c r="B246" s="108"/>
      <c r="C246" s="773"/>
      <c r="D246" s="929"/>
      <c r="E246" s="929"/>
      <c r="F246" s="929"/>
      <c r="G246" s="929"/>
      <c r="H246" s="929"/>
      <c r="I246" s="929"/>
      <c r="J246" s="929"/>
      <c r="K246" s="929"/>
      <c r="L246" s="929"/>
      <c r="M246" s="929"/>
      <c r="N246" s="929"/>
      <c r="O246" s="929"/>
      <c r="P246" s="929"/>
      <c r="Q246" s="929"/>
      <c r="R246" s="929"/>
      <c r="S246" s="929"/>
      <c r="T246" s="103"/>
      <c r="U246" s="929"/>
      <c r="V246" s="929"/>
      <c r="W246" s="929"/>
      <c r="X246" s="929"/>
      <c r="Y246" s="929"/>
      <c r="Z246" s="929"/>
      <c r="AA246" s="103"/>
      <c r="AB246" s="929"/>
      <c r="AC246" s="929"/>
      <c r="AD246" s="929"/>
      <c r="AE246" s="929"/>
      <c r="AF246" s="929"/>
      <c r="AG246" s="929"/>
      <c r="AH246" s="103"/>
      <c r="AI246" s="929"/>
      <c r="AJ246" s="929"/>
      <c r="AK246" s="929"/>
      <c r="AL246" s="929"/>
      <c r="AM246" s="929"/>
      <c r="AN246" s="929"/>
      <c r="AO246" s="103"/>
      <c r="AP246" s="929"/>
      <c r="AQ246" s="929"/>
      <c r="AR246" s="929"/>
      <c r="AS246" s="929"/>
      <c r="AT246" s="929"/>
      <c r="AU246" s="929"/>
      <c r="AV246" s="103"/>
      <c r="AW246" s="929"/>
      <c r="AX246" s="929"/>
      <c r="AY246" s="929"/>
      <c r="AZ246" s="929"/>
      <c r="BA246" s="929"/>
      <c r="BB246" s="929"/>
      <c r="BC246" s="103"/>
      <c r="BD246" s="929"/>
      <c r="BE246" s="929"/>
      <c r="BF246" s="929"/>
      <c r="BG246" s="929"/>
      <c r="BH246" s="929"/>
      <c r="BI246" s="929"/>
      <c r="BJ246" s="103"/>
      <c r="BK246" s="929"/>
      <c r="BL246" s="929"/>
      <c r="BM246" s="929"/>
      <c r="BN246" s="929"/>
      <c r="BO246" s="929"/>
      <c r="BP246" s="929"/>
      <c r="BQ246" s="103"/>
      <c r="BR246" s="929"/>
      <c r="BS246" s="929"/>
      <c r="BT246" s="929"/>
      <c r="BU246" s="929"/>
      <c r="BV246" s="929"/>
      <c r="BW246" s="929"/>
      <c r="BX246" s="103"/>
      <c r="BY246" s="929"/>
      <c r="BZ246" s="929"/>
      <c r="CA246" s="929"/>
      <c r="CB246" s="929"/>
      <c r="CC246" s="929"/>
      <c r="CD246" s="929"/>
      <c r="CE246" s="103"/>
      <c r="CF246" s="929"/>
      <c r="CG246" s="929"/>
      <c r="CH246" s="929"/>
      <c r="CI246" s="929"/>
      <c r="CJ246" s="929"/>
      <c r="CK246" s="929"/>
      <c r="CL246" s="103"/>
      <c r="CM246" s="929"/>
      <c r="CN246" s="929"/>
      <c r="CO246" s="929"/>
      <c r="CP246" s="929"/>
      <c r="CQ246" s="929"/>
      <c r="CR246" s="929"/>
      <c r="CS246" s="103"/>
      <c r="CT246" s="929"/>
      <c r="CU246" s="929"/>
      <c r="CV246" s="929"/>
      <c r="CW246" s="929"/>
      <c r="CX246" s="929"/>
      <c r="CY246" s="929"/>
      <c r="CZ246" s="103"/>
      <c r="DA246" s="929"/>
      <c r="DB246" s="929"/>
      <c r="DC246" s="929"/>
      <c r="DD246" s="929"/>
      <c r="DE246" s="929"/>
      <c r="DF246" s="929"/>
      <c r="DG246" s="103"/>
      <c r="DH246" s="929"/>
      <c r="DI246" s="929"/>
      <c r="DJ246" s="929"/>
      <c r="DK246" s="929"/>
      <c r="DL246" s="929"/>
      <c r="DM246" s="929"/>
      <c r="DN246" s="103"/>
      <c r="DO246" s="929"/>
      <c r="DP246" s="929"/>
      <c r="DQ246" s="929"/>
      <c r="DR246" s="929"/>
      <c r="DS246" s="929"/>
      <c r="DT246" s="929"/>
      <c r="DU246" s="103"/>
      <c r="DV246" s="929"/>
      <c r="DW246" s="929"/>
      <c r="DX246" s="929"/>
      <c r="DY246" s="929"/>
      <c r="DZ246" s="929"/>
      <c r="EA246" s="929"/>
      <c r="EB246" s="103"/>
      <c r="EC246" s="929"/>
      <c r="ED246" s="929"/>
      <c r="EE246" s="929"/>
      <c r="EF246" s="929"/>
      <c r="EG246" s="929"/>
      <c r="EH246" s="929"/>
      <c r="EI246" s="103"/>
      <c r="EJ246" s="47"/>
      <c r="EK246" s="47"/>
      <c r="EL246" s="47"/>
      <c r="EM246" s="47"/>
      <c r="EN246" s="47"/>
      <c r="EO246" s="47"/>
      <c r="EP246" s="47"/>
      <c r="EQ246" s="47"/>
      <c r="ER246" s="47"/>
      <c r="ES246" s="47"/>
      <c r="ET246" s="47"/>
      <c r="EU246" s="47"/>
      <c r="EV246" s="47"/>
      <c r="EW246" s="47"/>
      <c r="EX246" s="47"/>
      <c r="EY246" s="47"/>
      <c r="EZ246" s="47"/>
      <c r="FA246" s="47"/>
      <c r="FB246" s="47"/>
      <c r="FC246" s="47"/>
      <c r="FD246" s="47"/>
      <c r="FE246" s="47"/>
      <c r="FF246" s="47"/>
      <c r="FG246" s="47"/>
      <c r="FH246" s="47"/>
      <c r="FI246" s="47"/>
      <c r="FJ246" s="47"/>
      <c r="FK246" s="47"/>
      <c r="FL246" s="47"/>
      <c r="FM246" s="47"/>
      <c r="FN246" s="47"/>
      <c r="FO246" s="47"/>
      <c r="FP246" s="47"/>
      <c r="FQ246" s="47"/>
      <c r="FR246" s="47"/>
      <c r="FS246" s="47"/>
      <c r="FT246" s="47"/>
      <c r="FU246" s="47"/>
      <c r="FV246" s="47"/>
      <c r="FW246" s="47"/>
      <c r="FX246" s="47"/>
      <c r="FY246" s="47"/>
      <c r="FZ246" s="47"/>
      <c r="GA246" s="47"/>
      <c r="GB246" s="47"/>
      <c r="GC246" s="47"/>
      <c r="GD246" s="47"/>
      <c r="GE246" s="47"/>
    </row>
    <row r="247" spans="1:187" ht="10.5" customHeight="1">
      <c r="A247" s="43"/>
      <c r="B247" s="918"/>
      <c r="C247" s="920"/>
      <c r="D247" s="920"/>
      <c r="E247" s="929"/>
      <c r="F247" s="929"/>
      <c r="G247" s="929"/>
      <c r="H247" s="929"/>
      <c r="I247" s="929"/>
      <c r="J247" s="929"/>
      <c r="K247" s="929"/>
      <c r="L247" s="929"/>
      <c r="M247" s="929"/>
      <c r="N247" s="929"/>
      <c r="O247" s="929"/>
      <c r="P247" s="929"/>
      <c r="Q247" s="929"/>
      <c r="R247" s="929"/>
      <c r="S247" s="929"/>
      <c r="T247" s="65"/>
      <c r="U247" s="929"/>
      <c r="V247" s="929"/>
      <c r="W247" s="929"/>
      <c r="X247" s="929"/>
      <c r="Y247" s="929"/>
      <c r="Z247" s="929"/>
      <c r="AA247" s="65"/>
      <c r="AB247" s="929"/>
      <c r="AC247" s="929"/>
      <c r="AD247" s="929"/>
      <c r="AE247" s="929"/>
      <c r="AF247" s="929"/>
      <c r="AG247" s="929"/>
      <c r="AH247" s="65"/>
      <c r="AI247" s="929"/>
      <c r="AJ247" s="929"/>
      <c r="AK247" s="929"/>
      <c r="AL247" s="929"/>
      <c r="AM247" s="929"/>
      <c r="AN247" s="929"/>
      <c r="AO247" s="65"/>
      <c r="AP247" s="929"/>
      <c r="AQ247" s="929"/>
      <c r="AR247" s="929"/>
      <c r="AS247" s="929"/>
      <c r="AT247" s="929"/>
      <c r="AU247" s="929"/>
      <c r="AV247" s="65"/>
      <c r="AW247" s="929"/>
      <c r="AX247" s="929"/>
      <c r="AY247" s="929"/>
      <c r="AZ247" s="929"/>
      <c r="BA247" s="929"/>
      <c r="BB247" s="929"/>
      <c r="BC247" s="65"/>
      <c r="BD247" s="929"/>
      <c r="BE247" s="929"/>
      <c r="BF247" s="929"/>
      <c r="BG247" s="929"/>
      <c r="BH247" s="929"/>
      <c r="BI247" s="929"/>
      <c r="BJ247" s="65"/>
      <c r="BK247" s="929"/>
      <c r="BL247" s="929"/>
      <c r="BM247" s="929"/>
      <c r="BN247" s="929"/>
      <c r="BO247" s="929"/>
      <c r="BP247" s="929"/>
      <c r="BQ247" s="65"/>
      <c r="BR247" s="929"/>
      <c r="BS247" s="929"/>
      <c r="BT247" s="929"/>
      <c r="BU247" s="929"/>
      <c r="BV247" s="929"/>
      <c r="BW247" s="929"/>
      <c r="BX247" s="65"/>
      <c r="BY247" s="929"/>
      <c r="BZ247" s="929"/>
      <c r="CA247" s="929"/>
      <c r="CB247" s="929"/>
      <c r="CC247" s="929"/>
      <c r="CD247" s="929"/>
      <c r="CE247" s="65"/>
      <c r="CF247" s="929"/>
      <c r="CG247" s="929"/>
      <c r="CH247" s="929"/>
      <c r="CI247" s="929"/>
      <c r="CJ247" s="929"/>
      <c r="CK247" s="929"/>
      <c r="CL247" s="65"/>
      <c r="CM247" s="929"/>
      <c r="CN247" s="929"/>
      <c r="CO247" s="929"/>
      <c r="CP247" s="929"/>
      <c r="CQ247" s="929"/>
      <c r="CR247" s="929"/>
      <c r="CS247" s="65"/>
      <c r="CT247" s="929"/>
      <c r="CU247" s="929"/>
      <c r="CV247" s="929"/>
      <c r="CW247" s="929"/>
      <c r="CX247" s="929"/>
      <c r="CY247" s="929"/>
      <c r="CZ247" s="65"/>
      <c r="DA247" s="929"/>
      <c r="DB247" s="929"/>
      <c r="DC247" s="929"/>
      <c r="DD247" s="929"/>
      <c r="DE247" s="929"/>
      <c r="DF247" s="929"/>
      <c r="DG247" s="65"/>
      <c r="DH247" s="929"/>
      <c r="DI247" s="929"/>
      <c r="DJ247" s="929"/>
      <c r="DK247" s="929"/>
      <c r="DL247" s="929"/>
      <c r="DM247" s="929"/>
      <c r="DN247" s="65"/>
      <c r="DO247" s="929"/>
      <c r="DP247" s="929"/>
      <c r="DQ247" s="929"/>
      <c r="DR247" s="929"/>
      <c r="DS247" s="929"/>
      <c r="DT247" s="929"/>
      <c r="DU247" s="65"/>
      <c r="DV247" s="929"/>
      <c r="DW247" s="929"/>
      <c r="DX247" s="929"/>
      <c r="DY247" s="929"/>
      <c r="DZ247" s="929"/>
      <c r="EA247" s="929"/>
      <c r="EB247" s="65"/>
      <c r="EC247" s="929"/>
      <c r="ED247" s="929"/>
      <c r="EE247" s="929"/>
      <c r="EF247" s="929"/>
      <c r="EG247" s="929"/>
      <c r="EH247" s="929"/>
      <c r="EI247" s="65"/>
      <c r="EJ247" s="47"/>
      <c r="EK247" s="47"/>
      <c r="EL247" s="47"/>
      <c r="EM247" s="47"/>
      <c r="EN247" s="47"/>
      <c r="EO247" s="47"/>
      <c r="EP247" s="47"/>
      <c r="EQ247" s="47"/>
      <c r="ER247" s="47"/>
      <c r="ES247" s="47"/>
      <c r="ET247" s="47"/>
      <c r="EU247" s="47"/>
      <c r="EV247" s="47"/>
      <c r="EW247" s="47"/>
      <c r="EX247" s="47"/>
      <c r="EY247" s="47"/>
      <c r="EZ247" s="47"/>
      <c r="FA247" s="47"/>
      <c r="FB247" s="47"/>
      <c r="FC247" s="47"/>
      <c r="FD247" s="47"/>
      <c r="FE247" s="47"/>
      <c r="FF247" s="47"/>
      <c r="FG247" s="47"/>
      <c r="FH247" s="47"/>
      <c r="FI247" s="47"/>
      <c r="FJ247" s="47"/>
      <c r="FK247" s="47"/>
      <c r="FL247" s="47"/>
      <c r="FM247" s="47"/>
      <c r="FN247" s="47"/>
      <c r="FO247" s="47"/>
      <c r="FP247" s="47"/>
      <c r="FQ247" s="47"/>
      <c r="FR247" s="47"/>
      <c r="FS247" s="47"/>
      <c r="FT247" s="47"/>
      <c r="FU247" s="47"/>
      <c r="FV247" s="47"/>
      <c r="FW247" s="47"/>
      <c r="FX247" s="47"/>
      <c r="FY247" s="47"/>
      <c r="FZ247" s="47"/>
      <c r="GA247" s="47"/>
      <c r="GB247" s="47"/>
      <c r="GC247" s="47"/>
      <c r="GD247" s="47"/>
      <c r="GE247" s="47"/>
    </row>
    <row r="248" spans="1:187" ht="10.5" customHeight="1">
      <c r="A248" s="43"/>
      <c r="B248" s="918"/>
      <c r="C248" s="920"/>
      <c r="D248" s="920"/>
      <c r="E248" s="929"/>
      <c r="F248" s="929"/>
      <c r="G248" s="929"/>
      <c r="H248" s="929"/>
      <c r="I248" s="929"/>
      <c r="J248" s="929"/>
      <c r="K248" s="929"/>
      <c r="L248" s="929"/>
      <c r="M248" s="929"/>
      <c r="N248" s="108"/>
      <c r="O248" s="108"/>
      <c r="P248" s="108"/>
      <c r="Q248" s="108"/>
      <c r="R248" s="108"/>
      <c r="S248" s="108"/>
      <c r="T248" s="43"/>
      <c r="U248" s="108"/>
      <c r="V248" s="108"/>
      <c r="W248" s="108"/>
      <c r="X248" s="108"/>
      <c r="Y248" s="108"/>
      <c r="Z248" s="108"/>
      <c r="AA248" s="43"/>
      <c r="AB248" s="108"/>
      <c r="AC248" s="108"/>
      <c r="AD248" s="108"/>
      <c r="AE248" s="108"/>
      <c r="AF248" s="108"/>
      <c r="AG248" s="108"/>
      <c r="AH248" s="43"/>
      <c r="AI248" s="108"/>
      <c r="AJ248" s="108"/>
      <c r="AK248" s="108"/>
      <c r="AL248" s="108"/>
      <c r="AM248" s="108"/>
      <c r="AN248" s="108"/>
      <c r="AO248" s="43"/>
      <c r="AP248" s="108"/>
      <c r="AQ248" s="108"/>
      <c r="AR248" s="108"/>
      <c r="AS248" s="108"/>
      <c r="AT248" s="108"/>
      <c r="AU248" s="108"/>
      <c r="AV248" s="43"/>
      <c r="AW248" s="108"/>
      <c r="AX248" s="108"/>
      <c r="AY248" s="108"/>
      <c r="AZ248" s="108"/>
      <c r="BA248" s="108"/>
      <c r="BB248" s="108"/>
      <c r="BC248" s="43"/>
      <c r="BD248" s="108"/>
      <c r="BE248" s="108"/>
      <c r="BF248" s="108"/>
      <c r="BG248" s="108"/>
      <c r="BH248" s="108"/>
      <c r="BI248" s="108"/>
      <c r="BJ248" s="43"/>
      <c r="BK248" s="108"/>
      <c r="BL248" s="108"/>
      <c r="BM248" s="108"/>
      <c r="BN248" s="108"/>
      <c r="BO248" s="108"/>
      <c r="BP248" s="108"/>
      <c r="BQ248" s="43"/>
      <c r="BR248" s="108"/>
      <c r="BS248" s="108"/>
      <c r="BT248" s="108"/>
      <c r="BU248" s="108"/>
      <c r="BV248" s="108"/>
      <c r="BW248" s="108"/>
      <c r="BX248" s="43"/>
      <c r="BY248" s="108"/>
      <c r="BZ248" s="108"/>
      <c r="CA248" s="108"/>
      <c r="CB248" s="108"/>
      <c r="CC248" s="108"/>
      <c r="CD248" s="108"/>
      <c r="CE248" s="43"/>
      <c r="CF248" s="108"/>
      <c r="CG248" s="108"/>
      <c r="CH248" s="108"/>
      <c r="CI248" s="108"/>
      <c r="CJ248" s="108"/>
      <c r="CK248" s="108"/>
      <c r="CL248" s="43"/>
      <c r="CM248" s="108"/>
      <c r="CN248" s="108"/>
      <c r="CO248" s="108"/>
      <c r="CP248" s="108"/>
      <c r="CQ248" s="108"/>
      <c r="CR248" s="108"/>
      <c r="CS248" s="43"/>
      <c r="CT248" s="108"/>
      <c r="CU248" s="108"/>
      <c r="CV248" s="108"/>
      <c r="CW248" s="108"/>
      <c r="CX248" s="108"/>
      <c r="CY248" s="108"/>
      <c r="CZ248" s="43"/>
      <c r="DA248" s="108"/>
      <c r="DB248" s="108"/>
      <c r="DC248" s="108"/>
      <c r="DD248" s="108"/>
      <c r="DE248" s="108"/>
      <c r="DF248" s="108"/>
      <c r="DG248" s="43"/>
      <c r="DH248" s="108"/>
      <c r="DI248" s="108"/>
      <c r="DJ248" s="108"/>
      <c r="DK248" s="108"/>
      <c r="DL248" s="108"/>
      <c r="DM248" s="108"/>
      <c r="DN248" s="43"/>
      <c r="DO248" s="108"/>
      <c r="DP248" s="108"/>
      <c r="DQ248" s="108"/>
      <c r="DR248" s="108"/>
      <c r="DS248" s="108"/>
      <c r="DT248" s="108"/>
      <c r="DU248" s="43"/>
      <c r="DV248" s="108"/>
      <c r="DW248" s="108"/>
      <c r="DX248" s="108"/>
      <c r="DY248" s="108"/>
      <c r="DZ248" s="108"/>
      <c r="EA248" s="108"/>
      <c r="EB248" s="43"/>
      <c r="EC248" s="108"/>
      <c r="ED248" s="108"/>
      <c r="EE248" s="108"/>
      <c r="EF248" s="108"/>
      <c r="EG248" s="108"/>
      <c r="EH248" s="108"/>
      <c r="EI248" s="43"/>
      <c r="EJ248" s="47"/>
      <c r="EK248" s="47"/>
      <c r="EL248" s="47"/>
      <c r="EM248" s="47"/>
      <c r="EN248" s="47"/>
      <c r="EO248" s="47"/>
      <c r="EP248" s="47"/>
      <c r="EQ248" s="47"/>
      <c r="ER248" s="47"/>
      <c r="ES248" s="47"/>
      <c r="ET248" s="47"/>
      <c r="EU248" s="47"/>
      <c r="EV248" s="47"/>
      <c r="EW248" s="47"/>
      <c r="EX248" s="47"/>
      <c r="EY248" s="47"/>
      <c r="EZ248" s="47"/>
      <c r="FA248" s="47"/>
      <c r="FB248" s="47"/>
      <c r="FC248" s="47"/>
      <c r="FD248" s="47"/>
      <c r="FE248" s="47"/>
      <c r="FF248" s="47"/>
      <c r="FG248" s="47"/>
      <c r="FH248" s="47"/>
      <c r="FI248" s="47"/>
      <c r="FJ248" s="47"/>
      <c r="FK248" s="47"/>
      <c r="FL248" s="47"/>
      <c r="FM248" s="47"/>
      <c r="FN248" s="47"/>
      <c r="FO248" s="47"/>
      <c r="FP248" s="47"/>
      <c r="FQ248" s="47"/>
      <c r="FR248" s="47"/>
      <c r="FS248" s="47"/>
      <c r="FT248" s="47"/>
      <c r="FU248" s="47"/>
      <c r="FV248" s="47"/>
      <c r="FW248" s="47"/>
      <c r="FX248" s="47"/>
      <c r="FY248" s="47"/>
      <c r="FZ248" s="47"/>
      <c r="GA248" s="47"/>
      <c r="GB248" s="47"/>
      <c r="GC248" s="47"/>
      <c r="GD248" s="47"/>
      <c r="GE248" s="47"/>
    </row>
    <row r="249" spans="1:187" ht="10.5" customHeight="1">
      <c r="A249" s="43"/>
      <c r="B249" s="918"/>
      <c r="C249" s="920"/>
      <c r="D249" s="920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79"/>
      <c r="U249" s="245"/>
      <c r="V249" s="245"/>
      <c r="W249" s="245"/>
      <c r="X249" s="245"/>
      <c r="Y249" s="245"/>
      <c r="Z249" s="245"/>
      <c r="AA249" s="79"/>
      <c r="AB249" s="245"/>
      <c r="AC249" s="245"/>
      <c r="AD249" s="245"/>
      <c r="AE249" s="245"/>
      <c r="AF249" s="245"/>
      <c r="AG249" s="245"/>
      <c r="AH249" s="79"/>
      <c r="AI249" s="245"/>
      <c r="AJ249" s="245"/>
      <c r="AK249" s="245"/>
      <c r="AL249" s="245"/>
      <c r="AM249" s="245"/>
      <c r="AN249" s="245"/>
      <c r="AO249" s="79"/>
      <c r="AP249" s="245"/>
      <c r="AQ249" s="245"/>
      <c r="AR249" s="245"/>
      <c r="AS249" s="245"/>
      <c r="AT249" s="245"/>
      <c r="AU249" s="245"/>
      <c r="AV249" s="79"/>
      <c r="AW249" s="245"/>
      <c r="AX249" s="245"/>
      <c r="AY249" s="245"/>
      <c r="AZ249" s="245"/>
      <c r="BA249" s="245"/>
      <c r="BB249" s="245"/>
      <c r="BC249" s="79"/>
      <c r="BD249" s="245"/>
      <c r="BE249" s="245"/>
      <c r="BF249" s="245"/>
      <c r="BG249" s="245"/>
      <c r="BH249" s="245"/>
      <c r="BI249" s="245"/>
      <c r="BJ249" s="79"/>
      <c r="BK249" s="245"/>
      <c r="BL249" s="245"/>
      <c r="BM249" s="245"/>
      <c r="BN249" s="245"/>
      <c r="BO249" s="245"/>
      <c r="BP249" s="245"/>
      <c r="BQ249" s="79"/>
      <c r="BR249" s="245"/>
      <c r="BS249" s="245"/>
      <c r="BT249" s="245"/>
      <c r="BU249" s="245"/>
      <c r="BV249" s="245"/>
      <c r="BW249" s="245"/>
      <c r="BX249" s="79"/>
      <c r="BY249" s="245"/>
      <c r="BZ249" s="245"/>
      <c r="CA249" s="245"/>
      <c r="CB249" s="245"/>
      <c r="CC249" s="245"/>
      <c r="CD249" s="245"/>
      <c r="CE249" s="79"/>
      <c r="CF249" s="245"/>
      <c r="CG249" s="245"/>
      <c r="CH249" s="245"/>
      <c r="CI249" s="245"/>
      <c r="CJ249" s="245"/>
      <c r="CK249" s="245"/>
      <c r="CL249" s="79"/>
      <c r="CM249" s="245"/>
      <c r="CN249" s="245"/>
      <c r="CO249" s="245"/>
      <c r="CP249" s="245"/>
      <c r="CQ249" s="245"/>
      <c r="CR249" s="245"/>
      <c r="CS249" s="79"/>
      <c r="CT249" s="245"/>
      <c r="CU249" s="245"/>
      <c r="CV249" s="245"/>
      <c r="CW249" s="245"/>
      <c r="CX249" s="245"/>
      <c r="CY249" s="245"/>
      <c r="CZ249" s="79"/>
      <c r="DA249" s="245"/>
      <c r="DB249" s="245"/>
      <c r="DC249" s="245"/>
      <c r="DD249" s="245"/>
      <c r="DE249" s="245"/>
      <c r="DF249" s="245"/>
      <c r="DG249" s="79"/>
      <c r="DH249" s="245"/>
      <c r="DI249" s="245"/>
      <c r="DJ249" s="245"/>
      <c r="DK249" s="245"/>
      <c r="DL249" s="245"/>
      <c r="DM249" s="245"/>
      <c r="DN249" s="79"/>
      <c r="DO249" s="245"/>
      <c r="DP249" s="245"/>
      <c r="DQ249" s="245"/>
      <c r="DR249" s="245"/>
      <c r="DS249" s="245"/>
      <c r="DT249" s="245"/>
      <c r="DU249" s="79"/>
      <c r="DV249" s="245"/>
      <c r="DW249" s="245"/>
      <c r="DX249" s="245"/>
      <c r="DY249" s="245"/>
      <c r="DZ249" s="245"/>
      <c r="EA249" s="245"/>
      <c r="EB249" s="79"/>
      <c r="EC249" s="245"/>
      <c r="ED249" s="245"/>
      <c r="EE249" s="245"/>
      <c r="EF249" s="245"/>
      <c r="EG249" s="245"/>
      <c r="EH249" s="245"/>
      <c r="EI249" s="79"/>
      <c r="EJ249" s="47"/>
      <c r="EK249" s="47"/>
      <c r="EL249" s="47"/>
      <c r="EM249" s="47"/>
      <c r="EN249" s="47"/>
      <c r="EO249" s="47"/>
      <c r="EP249" s="47"/>
      <c r="EQ249" s="47"/>
      <c r="ER249" s="47"/>
      <c r="ES249" s="47"/>
      <c r="ET249" s="47"/>
      <c r="EU249" s="47"/>
      <c r="EV249" s="47"/>
      <c r="EW249" s="47"/>
      <c r="EX249" s="47"/>
      <c r="EY249" s="47"/>
      <c r="EZ249" s="47"/>
      <c r="FA249" s="47"/>
      <c r="FB249" s="47"/>
      <c r="FC249" s="47"/>
      <c r="FD249" s="47"/>
      <c r="FE249" s="47"/>
      <c r="FF249" s="47"/>
      <c r="FG249" s="47"/>
      <c r="FH249" s="47"/>
      <c r="FI249" s="47"/>
      <c r="FJ249" s="47"/>
      <c r="FK249" s="47"/>
      <c r="FL249" s="47"/>
      <c r="FM249" s="47"/>
      <c r="FN249" s="47"/>
      <c r="FO249" s="47"/>
      <c r="FP249" s="47"/>
      <c r="FQ249" s="47"/>
      <c r="FR249" s="47"/>
      <c r="FS249" s="47"/>
      <c r="FT249" s="47"/>
      <c r="FU249" s="47"/>
      <c r="FV249" s="47"/>
      <c r="FW249" s="47"/>
      <c r="FX249" s="47"/>
      <c r="FY249" s="47"/>
      <c r="FZ249" s="47"/>
      <c r="GA249" s="47"/>
      <c r="GB249" s="47"/>
      <c r="GC249" s="47"/>
      <c r="GD249" s="47"/>
      <c r="GE249" s="47"/>
    </row>
    <row r="250" spans="1:187" ht="10.5" customHeight="1">
      <c r="A250" s="43"/>
      <c r="B250" s="918"/>
      <c r="C250" s="920"/>
      <c r="D250" s="920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79"/>
      <c r="U250" s="245"/>
      <c r="V250" s="245"/>
      <c r="W250" s="245"/>
      <c r="X250" s="245"/>
      <c r="Y250" s="245"/>
      <c r="Z250" s="245"/>
      <c r="AA250" s="79"/>
      <c r="AB250" s="245"/>
      <c r="AC250" s="245"/>
      <c r="AD250" s="245"/>
      <c r="AE250" s="245"/>
      <c r="AF250" s="245"/>
      <c r="AG250" s="245"/>
      <c r="AH250" s="79"/>
      <c r="AI250" s="245"/>
      <c r="AJ250" s="245"/>
      <c r="AK250" s="245"/>
      <c r="AL250" s="245"/>
      <c r="AM250" s="245"/>
      <c r="AN250" s="245"/>
      <c r="AO250" s="79"/>
      <c r="AP250" s="245"/>
      <c r="AQ250" s="245"/>
      <c r="AR250" s="245"/>
      <c r="AS250" s="245"/>
      <c r="AT250" s="245"/>
      <c r="AU250" s="245"/>
      <c r="AV250" s="79"/>
      <c r="AW250" s="245"/>
      <c r="AX250" s="245"/>
      <c r="AY250" s="245"/>
      <c r="AZ250" s="245"/>
      <c r="BA250" s="245"/>
      <c r="BB250" s="245"/>
      <c r="BC250" s="79"/>
      <c r="BD250" s="245"/>
      <c r="BE250" s="245"/>
      <c r="BF250" s="245"/>
      <c r="BG250" s="245"/>
      <c r="BH250" s="245"/>
      <c r="BI250" s="245"/>
      <c r="BJ250" s="79"/>
      <c r="BK250" s="245"/>
      <c r="BL250" s="245"/>
      <c r="BM250" s="245"/>
      <c r="BN250" s="245"/>
      <c r="BO250" s="245"/>
      <c r="BP250" s="245"/>
      <c r="BQ250" s="79"/>
      <c r="BR250" s="245"/>
      <c r="BS250" s="245"/>
      <c r="BT250" s="245"/>
      <c r="BU250" s="245"/>
      <c r="BV250" s="245"/>
      <c r="BW250" s="245"/>
      <c r="BX250" s="79"/>
      <c r="BY250" s="245"/>
      <c r="BZ250" s="245"/>
      <c r="CA250" s="245"/>
      <c r="CB250" s="245"/>
      <c r="CC250" s="245"/>
      <c r="CD250" s="245"/>
      <c r="CE250" s="79"/>
      <c r="CF250" s="245"/>
      <c r="CG250" s="245"/>
      <c r="CH250" s="245"/>
      <c r="CI250" s="245"/>
      <c r="CJ250" s="245"/>
      <c r="CK250" s="245"/>
      <c r="CL250" s="79"/>
      <c r="CM250" s="245"/>
      <c r="CN250" s="245"/>
      <c r="CO250" s="245"/>
      <c r="CP250" s="245"/>
      <c r="CQ250" s="245"/>
      <c r="CR250" s="245"/>
      <c r="CS250" s="79"/>
      <c r="CT250" s="245"/>
      <c r="CU250" s="245"/>
      <c r="CV250" s="245"/>
      <c r="CW250" s="245"/>
      <c r="CX250" s="245"/>
      <c r="CY250" s="245"/>
      <c r="CZ250" s="79"/>
      <c r="DA250" s="245"/>
      <c r="DB250" s="245"/>
      <c r="DC250" s="245"/>
      <c r="DD250" s="245"/>
      <c r="DE250" s="245"/>
      <c r="DF250" s="245"/>
      <c r="DG250" s="79"/>
      <c r="DH250" s="245"/>
      <c r="DI250" s="245"/>
      <c r="DJ250" s="245"/>
      <c r="DK250" s="245"/>
      <c r="DL250" s="245"/>
      <c r="DM250" s="245"/>
      <c r="DN250" s="79"/>
      <c r="DO250" s="245"/>
      <c r="DP250" s="245"/>
      <c r="DQ250" s="245"/>
      <c r="DR250" s="245"/>
      <c r="DS250" s="245"/>
      <c r="DT250" s="245"/>
      <c r="DU250" s="79"/>
      <c r="DV250" s="245"/>
      <c r="DW250" s="245"/>
      <c r="DX250" s="245"/>
      <c r="DY250" s="245"/>
      <c r="DZ250" s="245"/>
      <c r="EA250" s="245"/>
      <c r="EB250" s="79"/>
      <c r="EC250" s="245"/>
      <c r="ED250" s="245"/>
      <c r="EE250" s="245"/>
      <c r="EF250" s="245"/>
      <c r="EG250" s="245"/>
      <c r="EH250" s="245"/>
      <c r="EI250" s="79"/>
      <c r="EJ250" s="47"/>
      <c r="EK250" s="47"/>
      <c r="EL250" s="47"/>
      <c r="EM250" s="47"/>
      <c r="EN250" s="47"/>
      <c r="EO250" s="47"/>
      <c r="EP250" s="47"/>
      <c r="EQ250" s="47"/>
      <c r="ER250" s="47"/>
      <c r="ES250" s="47"/>
      <c r="ET250" s="47"/>
      <c r="EU250" s="47"/>
      <c r="EV250" s="47"/>
      <c r="EW250" s="47"/>
      <c r="EX250" s="47"/>
      <c r="EY250" s="47"/>
      <c r="EZ250" s="47"/>
      <c r="FA250" s="47"/>
      <c r="FB250" s="47"/>
      <c r="FC250" s="47"/>
      <c r="FD250" s="47"/>
      <c r="FE250" s="47"/>
      <c r="FF250" s="47"/>
      <c r="FG250" s="47"/>
      <c r="FH250" s="47"/>
      <c r="FI250" s="47"/>
      <c r="FJ250" s="47"/>
      <c r="FK250" s="47"/>
      <c r="FL250" s="47"/>
      <c r="FM250" s="47"/>
      <c r="FN250" s="47"/>
      <c r="FO250" s="47"/>
      <c r="FP250" s="47"/>
      <c r="FQ250" s="47"/>
      <c r="FR250" s="47"/>
      <c r="FS250" s="47"/>
      <c r="FT250" s="47"/>
      <c r="FU250" s="47"/>
      <c r="FV250" s="47"/>
      <c r="FW250" s="47"/>
      <c r="FX250" s="47"/>
      <c r="FY250" s="47"/>
      <c r="FZ250" s="47"/>
      <c r="GA250" s="47"/>
      <c r="GB250" s="47"/>
      <c r="GC250" s="47"/>
      <c r="GD250" s="47"/>
      <c r="GE250" s="47"/>
    </row>
    <row r="251" spans="1:187" ht="10.5" customHeight="1">
      <c r="A251" s="43"/>
      <c r="B251" s="108"/>
      <c r="C251" s="108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79"/>
      <c r="U251" s="245"/>
      <c r="V251" s="245"/>
      <c r="W251" s="245"/>
      <c r="X251" s="245"/>
      <c r="Y251" s="245"/>
      <c r="Z251" s="245"/>
      <c r="AA251" s="79"/>
      <c r="AB251" s="245"/>
      <c r="AC251" s="245"/>
      <c r="AD251" s="245"/>
      <c r="AE251" s="245"/>
      <c r="AF251" s="245"/>
      <c r="AG251" s="245"/>
      <c r="AH251" s="79"/>
      <c r="AI251" s="245"/>
      <c r="AJ251" s="245"/>
      <c r="AK251" s="245"/>
      <c r="AL251" s="245"/>
      <c r="AM251" s="245"/>
      <c r="AN251" s="245"/>
      <c r="AO251" s="79"/>
      <c r="AP251" s="245"/>
      <c r="AQ251" s="245"/>
      <c r="AR251" s="245"/>
      <c r="AS251" s="245"/>
      <c r="AT251" s="245"/>
      <c r="AU251" s="245"/>
      <c r="AV251" s="79"/>
      <c r="AW251" s="245"/>
      <c r="AX251" s="245"/>
      <c r="AY251" s="245"/>
      <c r="AZ251" s="245"/>
      <c r="BA251" s="245"/>
      <c r="BB251" s="245"/>
      <c r="BC251" s="79"/>
      <c r="BD251" s="245"/>
      <c r="BE251" s="245"/>
      <c r="BF251" s="245"/>
      <c r="BG251" s="245"/>
      <c r="BH251" s="245"/>
      <c r="BI251" s="245"/>
      <c r="BJ251" s="79"/>
      <c r="BK251" s="245"/>
      <c r="BL251" s="245"/>
      <c r="BM251" s="245"/>
      <c r="BN251" s="245"/>
      <c r="BO251" s="245"/>
      <c r="BP251" s="245"/>
      <c r="BQ251" s="79"/>
      <c r="BR251" s="245"/>
      <c r="BS251" s="245"/>
      <c r="BT251" s="245"/>
      <c r="BU251" s="245"/>
      <c r="BV251" s="245"/>
      <c r="BW251" s="245"/>
      <c r="BX251" s="79"/>
      <c r="BY251" s="245"/>
      <c r="BZ251" s="245"/>
      <c r="CA251" s="245"/>
      <c r="CB251" s="245"/>
      <c r="CC251" s="245"/>
      <c r="CD251" s="245"/>
      <c r="CE251" s="79"/>
      <c r="CF251" s="245"/>
      <c r="CG251" s="245"/>
      <c r="CH251" s="245"/>
      <c r="CI251" s="245"/>
      <c r="CJ251" s="245"/>
      <c r="CK251" s="245"/>
      <c r="CL251" s="79"/>
      <c r="CM251" s="245"/>
      <c r="CN251" s="245"/>
      <c r="CO251" s="245"/>
      <c r="CP251" s="245"/>
      <c r="CQ251" s="245"/>
      <c r="CR251" s="245"/>
      <c r="CS251" s="79"/>
      <c r="CT251" s="245"/>
      <c r="CU251" s="245"/>
      <c r="CV251" s="245"/>
      <c r="CW251" s="245"/>
      <c r="CX251" s="245"/>
      <c r="CY251" s="245"/>
      <c r="CZ251" s="79"/>
      <c r="DA251" s="245"/>
      <c r="DB251" s="245"/>
      <c r="DC251" s="245"/>
      <c r="DD251" s="245"/>
      <c r="DE251" s="245"/>
      <c r="DF251" s="245"/>
      <c r="DG251" s="79"/>
      <c r="DH251" s="245"/>
      <c r="DI251" s="245"/>
      <c r="DJ251" s="245"/>
      <c r="DK251" s="245"/>
      <c r="DL251" s="245"/>
      <c r="DM251" s="245"/>
      <c r="DN251" s="79"/>
      <c r="DO251" s="245"/>
      <c r="DP251" s="245"/>
      <c r="DQ251" s="245"/>
      <c r="DR251" s="245"/>
      <c r="DS251" s="245"/>
      <c r="DT251" s="245"/>
      <c r="DU251" s="79"/>
      <c r="DV251" s="245"/>
      <c r="DW251" s="245"/>
      <c r="DX251" s="245"/>
      <c r="DY251" s="245"/>
      <c r="DZ251" s="245"/>
      <c r="EA251" s="245"/>
      <c r="EB251" s="79"/>
      <c r="EC251" s="245"/>
      <c r="ED251" s="245"/>
      <c r="EE251" s="245"/>
      <c r="EF251" s="245"/>
      <c r="EG251" s="245"/>
      <c r="EH251" s="245"/>
      <c r="EI251" s="79"/>
      <c r="EJ251" s="47"/>
      <c r="EK251" s="47"/>
      <c r="EL251" s="47"/>
      <c r="EM251" s="47"/>
      <c r="EN251" s="47"/>
      <c r="EO251" s="47"/>
      <c r="EP251" s="47"/>
      <c r="EQ251" s="47"/>
      <c r="ER251" s="47"/>
      <c r="ES251" s="47"/>
      <c r="ET251" s="47"/>
      <c r="EU251" s="47"/>
      <c r="EV251" s="47"/>
      <c r="EW251" s="47"/>
      <c r="EX251" s="47"/>
      <c r="EY251" s="47"/>
      <c r="EZ251" s="47"/>
      <c r="FA251" s="47"/>
      <c r="FB251" s="47"/>
      <c r="FC251" s="47"/>
      <c r="FD251" s="47"/>
      <c r="FE251" s="47"/>
      <c r="FF251" s="47"/>
      <c r="FG251" s="47"/>
      <c r="FH251" s="47"/>
      <c r="FI251" s="47"/>
      <c r="FJ251" s="47"/>
      <c r="FK251" s="47"/>
      <c r="FL251" s="47"/>
      <c r="FM251" s="47"/>
      <c r="FN251" s="47"/>
      <c r="FO251" s="47"/>
      <c r="FP251" s="47"/>
      <c r="FQ251" s="47"/>
      <c r="FR251" s="47"/>
      <c r="FS251" s="47"/>
      <c r="FT251" s="47"/>
      <c r="FU251" s="47"/>
      <c r="FV251" s="47"/>
      <c r="FW251" s="47"/>
      <c r="FX251" s="47"/>
      <c r="FY251" s="47"/>
      <c r="FZ251" s="47"/>
      <c r="GA251" s="47"/>
      <c r="GB251" s="47"/>
      <c r="GC251" s="47"/>
      <c r="GD251" s="47"/>
      <c r="GE251" s="47"/>
    </row>
    <row r="252" spans="1:187" ht="10.5" customHeight="1">
      <c r="A252" s="43"/>
      <c r="B252" s="108"/>
      <c r="C252" s="108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80"/>
      <c r="U252" s="176"/>
      <c r="V252" s="176"/>
      <c r="W252" s="176"/>
      <c r="X252" s="176"/>
      <c r="Y252" s="176"/>
      <c r="Z252" s="176"/>
      <c r="AA252" s="80"/>
      <c r="AB252" s="176"/>
      <c r="AC252" s="176"/>
      <c r="AD252" s="176"/>
      <c r="AE252" s="176"/>
      <c r="AF252" s="176"/>
      <c r="AG252" s="176"/>
      <c r="AH252" s="80"/>
      <c r="AI252" s="176"/>
      <c r="AJ252" s="176"/>
      <c r="AK252" s="176"/>
      <c r="AL252" s="176"/>
      <c r="AM252" s="176"/>
      <c r="AN252" s="176"/>
      <c r="AO252" s="80"/>
      <c r="AP252" s="176"/>
      <c r="AQ252" s="176"/>
      <c r="AR252" s="176"/>
      <c r="AS252" s="176"/>
      <c r="AT252" s="176"/>
      <c r="AU252" s="176"/>
      <c r="AV252" s="80"/>
      <c r="AW252" s="176"/>
      <c r="AX252" s="176"/>
      <c r="AY252" s="176"/>
      <c r="AZ252" s="176"/>
      <c r="BA252" s="176"/>
      <c r="BB252" s="176"/>
      <c r="BC252" s="80"/>
      <c r="BD252" s="176"/>
      <c r="BE252" s="176"/>
      <c r="BF252" s="176"/>
      <c r="BG252" s="176"/>
      <c r="BH252" s="176"/>
      <c r="BI252" s="176"/>
      <c r="BJ252" s="80"/>
      <c r="BK252" s="176"/>
      <c r="BL252" s="176"/>
      <c r="BM252" s="176"/>
      <c r="BN252" s="176"/>
      <c r="BO252" s="176"/>
      <c r="BP252" s="176"/>
      <c r="BQ252" s="80"/>
      <c r="BR252" s="176"/>
      <c r="BS252" s="176"/>
      <c r="BT252" s="176"/>
      <c r="BU252" s="176"/>
      <c r="BV252" s="176"/>
      <c r="BW252" s="176"/>
      <c r="BX252" s="80"/>
      <c r="BY252" s="176"/>
      <c r="BZ252" s="176"/>
      <c r="CA252" s="176"/>
      <c r="CB252" s="176"/>
      <c r="CC252" s="176"/>
      <c r="CD252" s="176"/>
      <c r="CE252" s="80"/>
      <c r="CF252" s="176"/>
      <c r="CG252" s="176"/>
      <c r="CH252" s="176"/>
      <c r="CI252" s="176"/>
      <c r="CJ252" s="176"/>
      <c r="CK252" s="176"/>
      <c r="CL252" s="80"/>
      <c r="CM252" s="176"/>
      <c r="CN252" s="176"/>
      <c r="CO252" s="176"/>
      <c r="CP252" s="176"/>
      <c r="CQ252" s="176"/>
      <c r="CR252" s="176"/>
      <c r="CS252" s="80"/>
      <c r="CT252" s="176"/>
      <c r="CU252" s="176"/>
      <c r="CV252" s="176"/>
      <c r="CW252" s="176"/>
      <c r="CX252" s="176"/>
      <c r="CY252" s="176"/>
      <c r="CZ252" s="80"/>
      <c r="DA252" s="176"/>
      <c r="DB252" s="176"/>
      <c r="DC252" s="176"/>
      <c r="DD252" s="176"/>
      <c r="DE252" s="176"/>
      <c r="DF252" s="176"/>
      <c r="DG252" s="80"/>
      <c r="DH252" s="176"/>
      <c r="DI252" s="176"/>
      <c r="DJ252" s="176"/>
      <c r="DK252" s="176"/>
      <c r="DL252" s="176"/>
      <c r="DM252" s="176"/>
      <c r="DN252" s="80"/>
      <c r="DO252" s="176"/>
      <c r="DP252" s="176"/>
      <c r="DQ252" s="176"/>
      <c r="DR252" s="176"/>
      <c r="DS252" s="176"/>
      <c r="DT252" s="176"/>
      <c r="DU252" s="80"/>
      <c r="DV252" s="176"/>
      <c r="DW252" s="176"/>
      <c r="DX252" s="176"/>
      <c r="DY252" s="176"/>
      <c r="DZ252" s="176"/>
      <c r="EA252" s="176"/>
      <c r="EB252" s="80"/>
      <c r="EC252" s="176"/>
      <c r="ED252" s="176"/>
      <c r="EE252" s="176"/>
      <c r="EF252" s="176"/>
      <c r="EG252" s="176"/>
      <c r="EH252" s="176"/>
      <c r="EI252" s="80"/>
      <c r="EJ252" s="47"/>
      <c r="EK252" s="47"/>
      <c r="EL252" s="47"/>
      <c r="EM252" s="47"/>
      <c r="EN252" s="47"/>
      <c r="EO252" s="47"/>
      <c r="EP252" s="47"/>
      <c r="EQ252" s="47"/>
      <c r="ER252" s="47"/>
      <c r="ES252" s="47"/>
      <c r="ET252" s="47"/>
      <c r="EU252" s="47"/>
      <c r="EV252" s="47"/>
      <c r="EW252" s="47"/>
      <c r="EX252" s="47"/>
      <c r="EY252" s="47"/>
      <c r="EZ252" s="47"/>
      <c r="FA252" s="47"/>
      <c r="FB252" s="47"/>
      <c r="FC252" s="47"/>
      <c r="FD252" s="47"/>
      <c r="FE252" s="47"/>
      <c r="FF252" s="47"/>
      <c r="FG252" s="47"/>
      <c r="FH252" s="47"/>
      <c r="FI252" s="47"/>
      <c r="FJ252" s="47"/>
      <c r="FK252" s="47"/>
      <c r="FL252" s="47"/>
      <c r="FM252" s="47"/>
      <c r="FN252" s="47"/>
      <c r="FO252" s="47"/>
      <c r="FP252" s="47"/>
      <c r="FQ252" s="47"/>
      <c r="FR252" s="47"/>
      <c r="FS252" s="47"/>
      <c r="FT252" s="47"/>
      <c r="FU252" s="47"/>
      <c r="FV252" s="47"/>
      <c r="FW252" s="47"/>
      <c r="FX252" s="47"/>
      <c r="FY252" s="47"/>
      <c r="FZ252" s="47"/>
      <c r="GA252" s="47"/>
      <c r="GB252" s="47"/>
      <c r="GC252" s="47"/>
      <c r="GD252" s="47"/>
      <c r="GE252" s="47"/>
    </row>
    <row r="253" spans="1:187" ht="10.5" customHeight="1">
      <c r="A253" s="43"/>
      <c r="B253" s="108"/>
      <c r="C253" s="108"/>
      <c r="D253" s="176"/>
      <c r="E253" s="176"/>
      <c r="F253" s="176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77"/>
      <c r="U253" s="223"/>
      <c r="V253" s="223"/>
      <c r="W253" s="223"/>
      <c r="X253" s="223"/>
      <c r="Y253" s="223"/>
      <c r="Z253" s="223"/>
      <c r="AA253" s="77"/>
      <c r="AB253" s="223"/>
      <c r="AC253" s="223"/>
      <c r="AD253" s="223"/>
      <c r="AE253" s="223"/>
      <c r="AF253" s="223"/>
      <c r="AG253" s="223"/>
      <c r="AH253" s="77"/>
      <c r="AI253" s="223"/>
      <c r="AJ253" s="223"/>
      <c r="AK253" s="223"/>
      <c r="AL253" s="223"/>
      <c r="AM253" s="223"/>
      <c r="AN253" s="223"/>
      <c r="AO253" s="77"/>
      <c r="AP253" s="223"/>
      <c r="AQ253" s="223"/>
      <c r="AR253" s="223"/>
      <c r="AS253" s="223"/>
      <c r="AT253" s="223"/>
      <c r="AU253" s="223"/>
      <c r="AV253" s="77"/>
      <c r="AW253" s="223"/>
      <c r="AX253" s="223"/>
      <c r="AY253" s="223"/>
      <c r="AZ253" s="223"/>
      <c r="BA253" s="223"/>
      <c r="BB253" s="223"/>
      <c r="BC253" s="77"/>
      <c r="BD253" s="223"/>
      <c r="BE253" s="223"/>
      <c r="BF253" s="223"/>
      <c r="BG253" s="223"/>
      <c r="BH253" s="223"/>
      <c r="BI253" s="223"/>
      <c r="BJ253" s="77"/>
      <c r="BK253" s="223"/>
      <c r="BL253" s="223"/>
      <c r="BM253" s="223"/>
      <c r="BN253" s="223"/>
      <c r="BO253" s="223"/>
      <c r="BP253" s="223"/>
      <c r="BQ253" s="77"/>
      <c r="BR253" s="223"/>
      <c r="BS253" s="223"/>
      <c r="BT253" s="223"/>
      <c r="BU253" s="223"/>
      <c r="BV253" s="223"/>
      <c r="BW253" s="223"/>
      <c r="BX253" s="77"/>
      <c r="BY253" s="223"/>
      <c r="BZ253" s="223"/>
      <c r="CA253" s="223"/>
      <c r="CB253" s="223"/>
      <c r="CC253" s="223"/>
      <c r="CD253" s="223"/>
      <c r="CE253" s="77"/>
      <c r="CF253" s="223"/>
      <c r="CG253" s="223"/>
      <c r="CH253" s="223"/>
      <c r="CI253" s="223"/>
      <c r="CJ253" s="223"/>
      <c r="CK253" s="223"/>
      <c r="CL253" s="77"/>
      <c r="CM253" s="223"/>
      <c r="CN253" s="223"/>
      <c r="CO253" s="223"/>
      <c r="CP253" s="223"/>
      <c r="CQ253" s="223"/>
      <c r="CR253" s="223"/>
      <c r="CS253" s="77"/>
      <c r="CT253" s="223"/>
      <c r="CU253" s="223"/>
      <c r="CV253" s="223"/>
      <c r="CW253" s="223"/>
      <c r="CX253" s="223"/>
      <c r="CY253" s="223"/>
      <c r="CZ253" s="77"/>
      <c r="DA253" s="223"/>
      <c r="DB253" s="223"/>
      <c r="DC253" s="223"/>
      <c r="DD253" s="223"/>
      <c r="DE253" s="223"/>
      <c r="DF253" s="223"/>
      <c r="DG253" s="77"/>
      <c r="DH253" s="223"/>
      <c r="DI253" s="223"/>
      <c r="DJ253" s="223"/>
      <c r="DK253" s="223"/>
      <c r="DL253" s="223"/>
      <c r="DM253" s="223"/>
      <c r="DN253" s="77"/>
      <c r="DO253" s="223"/>
      <c r="DP253" s="223"/>
      <c r="DQ253" s="223"/>
      <c r="DR253" s="223"/>
      <c r="DS253" s="223"/>
      <c r="DT253" s="223"/>
      <c r="DU253" s="77"/>
      <c r="DV253" s="223"/>
      <c r="DW253" s="223"/>
      <c r="DX253" s="223"/>
      <c r="DY253" s="223"/>
      <c r="DZ253" s="223"/>
      <c r="EA253" s="223"/>
      <c r="EB253" s="77"/>
      <c r="EC253" s="223"/>
      <c r="ED253" s="223"/>
      <c r="EE253" s="223"/>
      <c r="EF253" s="223"/>
      <c r="EG253" s="223"/>
      <c r="EH253" s="223"/>
      <c r="EI253" s="77"/>
      <c r="EJ253" s="47"/>
      <c r="EK253" s="47"/>
      <c r="EL253" s="47"/>
      <c r="EM253" s="47"/>
      <c r="EN253" s="47"/>
      <c r="EO253" s="47"/>
      <c r="EP253" s="47"/>
      <c r="EQ253" s="47"/>
      <c r="ER253" s="47"/>
      <c r="ES253" s="47"/>
      <c r="ET253" s="47"/>
      <c r="EU253" s="47"/>
      <c r="EV253" s="47"/>
      <c r="EW253" s="47"/>
      <c r="EX253" s="47"/>
      <c r="EY253" s="47"/>
      <c r="EZ253" s="47"/>
      <c r="FA253" s="47"/>
      <c r="FB253" s="47"/>
      <c r="FC253" s="47"/>
      <c r="FD253" s="47"/>
      <c r="FE253" s="47"/>
      <c r="FF253" s="47"/>
      <c r="FG253" s="47"/>
      <c r="FH253" s="47"/>
      <c r="FI253" s="47"/>
      <c r="FJ253" s="47"/>
      <c r="FK253" s="47"/>
      <c r="FL253" s="47"/>
      <c r="FM253" s="47"/>
      <c r="FN253" s="47"/>
      <c r="FO253" s="47"/>
      <c r="FP253" s="47"/>
      <c r="FQ253" s="47"/>
      <c r="FR253" s="47"/>
      <c r="FS253" s="47"/>
      <c r="FT253" s="47"/>
      <c r="FU253" s="47"/>
      <c r="FV253" s="47"/>
      <c r="FW253" s="47"/>
      <c r="FX253" s="47"/>
      <c r="FY253" s="47"/>
      <c r="FZ253" s="47"/>
      <c r="GA253" s="47"/>
      <c r="GB253" s="47"/>
      <c r="GC253" s="47"/>
      <c r="GD253" s="47"/>
      <c r="GE253" s="47"/>
    </row>
    <row r="254" spans="1:187" ht="10.5" customHeight="1">
      <c r="A254" s="43"/>
      <c r="B254" s="108"/>
      <c r="C254" s="108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80"/>
      <c r="U254" s="176"/>
      <c r="V254" s="176"/>
      <c r="W254" s="176"/>
      <c r="X254" s="176"/>
      <c r="Y254" s="176"/>
      <c r="Z254" s="176"/>
      <c r="AA254" s="80"/>
      <c r="AB254" s="176"/>
      <c r="AC254" s="176"/>
      <c r="AD254" s="176"/>
      <c r="AE254" s="176"/>
      <c r="AF254" s="176"/>
      <c r="AG254" s="176"/>
      <c r="AH254" s="80"/>
      <c r="AI254" s="176"/>
      <c r="AJ254" s="176"/>
      <c r="AK254" s="176"/>
      <c r="AL254" s="176"/>
      <c r="AM254" s="176"/>
      <c r="AN254" s="176"/>
      <c r="AO254" s="80"/>
      <c r="AP254" s="176"/>
      <c r="AQ254" s="176"/>
      <c r="AR254" s="176"/>
      <c r="AS254" s="176"/>
      <c r="AT254" s="176"/>
      <c r="AU254" s="176"/>
      <c r="AV254" s="80"/>
      <c r="AW254" s="176"/>
      <c r="AX254" s="176"/>
      <c r="AY254" s="176"/>
      <c r="AZ254" s="176"/>
      <c r="BA254" s="176"/>
      <c r="BB254" s="176"/>
      <c r="BC254" s="80"/>
      <c r="BD254" s="176"/>
      <c r="BE254" s="176"/>
      <c r="BF254" s="176"/>
      <c r="BG254" s="176"/>
      <c r="BH254" s="176"/>
      <c r="BI254" s="176"/>
      <c r="BJ254" s="80"/>
      <c r="BK254" s="176"/>
      <c r="BL254" s="176"/>
      <c r="BM254" s="176"/>
      <c r="BN254" s="176"/>
      <c r="BO254" s="176"/>
      <c r="BP254" s="176"/>
      <c r="BQ254" s="80"/>
      <c r="BR254" s="176"/>
      <c r="BS254" s="176"/>
      <c r="BT254" s="176"/>
      <c r="BU254" s="176"/>
      <c r="BV254" s="176"/>
      <c r="BW254" s="176"/>
      <c r="BX254" s="80"/>
      <c r="BY254" s="176"/>
      <c r="BZ254" s="176"/>
      <c r="CA254" s="176"/>
      <c r="CB254" s="176"/>
      <c r="CC254" s="176"/>
      <c r="CD254" s="176"/>
      <c r="CE254" s="80"/>
      <c r="CF254" s="176"/>
      <c r="CG254" s="176"/>
      <c r="CH254" s="176"/>
      <c r="CI254" s="176"/>
      <c r="CJ254" s="176"/>
      <c r="CK254" s="176"/>
      <c r="CL254" s="80"/>
      <c r="CM254" s="176"/>
      <c r="CN254" s="176"/>
      <c r="CO254" s="176"/>
      <c r="CP254" s="176"/>
      <c r="CQ254" s="176"/>
      <c r="CR254" s="176"/>
      <c r="CS254" s="80"/>
      <c r="CT254" s="176"/>
      <c r="CU254" s="176"/>
      <c r="CV254" s="176"/>
      <c r="CW254" s="176"/>
      <c r="CX254" s="176"/>
      <c r="CY254" s="176"/>
      <c r="CZ254" s="80"/>
      <c r="DA254" s="176"/>
      <c r="DB254" s="176"/>
      <c r="DC254" s="176"/>
      <c r="DD254" s="176"/>
      <c r="DE254" s="176"/>
      <c r="DF254" s="176"/>
      <c r="DG254" s="80"/>
      <c r="DH254" s="176"/>
      <c r="DI254" s="176"/>
      <c r="DJ254" s="176"/>
      <c r="DK254" s="176"/>
      <c r="DL254" s="176"/>
      <c r="DM254" s="176"/>
      <c r="DN254" s="80"/>
      <c r="DO254" s="176"/>
      <c r="DP254" s="176"/>
      <c r="DQ254" s="176"/>
      <c r="DR254" s="176"/>
      <c r="DS254" s="176"/>
      <c r="DT254" s="176"/>
      <c r="DU254" s="80"/>
      <c r="DV254" s="176"/>
      <c r="DW254" s="176"/>
      <c r="DX254" s="176"/>
      <c r="DY254" s="176"/>
      <c r="DZ254" s="176"/>
      <c r="EA254" s="176"/>
      <c r="EB254" s="80"/>
      <c r="EC254" s="176"/>
      <c r="ED254" s="176"/>
      <c r="EE254" s="176"/>
      <c r="EF254" s="176"/>
      <c r="EG254" s="176"/>
      <c r="EH254" s="176"/>
      <c r="EI254" s="80"/>
      <c r="EJ254" s="47"/>
      <c r="EK254" s="47"/>
      <c r="EL254" s="47"/>
      <c r="EM254" s="47"/>
      <c r="EN254" s="47"/>
      <c r="EO254" s="47"/>
      <c r="EP254" s="47"/>
      <c r="EQ254" s="47"/>
      <c r="ER254" s="47"/>
      <c r="ES254" s="47"/>
      <c r="ET254" s="47"/>
      <c r="EU254" s="47"/>
      <c r="EV254" s="47"/>
      <c r="EW254" s="47"/>
      <c r="EX254" s="47"/>
      <c r="EY254" s="47"/>
      <c r="EZ254" s="47"/>
      <c r="FA254" s="47"/>
      <c r="FB254" s="47"/>
      <c r="FC254" s="47"/>
      <c r="FD254" s="47"/>
      <c r="FE254" s="47"/>
      <c r="FF254" s="47"/>
      <c r="FG254" s="47"/>
      <c r="FH254" s="47"/>
      <c r="FI254" s="47"/>
      <c r="FJ254" s="47"/>
      <c r="FK254" s="47"/>
      <c r="FL254" s="47"/>
      <c r="FM254" s="47"/>
      <c r="FN254" s="47"/>
      <c r="FO254" s="47"/>
      <c r="FP254" s="47"/>
      <c r="FQ254" s="47"/>
      <c r="FR254" s="47"/>
      <c r="FS254" s="47"/>
      <c r="FT254" s="47"/>
      <c r="FU254" s="47"/>
      <c r="FV254" s="47"/>
      <c r="FW254" s="47"/>
      <c r="FX254" s="47"/>
      <c r="FY254" s="47"/>
      <c r="FZ254" s="47"/>
      <c r="GA254" s="47"/>
      <c r="GB254" s="47"/>
      <c r="GC254" s="47"/>
      <c r="GD254" s="47"/>
      <c r="GE254" s="47"/>
    </row>
    <row r="255" spans="1:187" ht="10.5" customHeight="1">
      <c r="A255" s="43"/>
      <c r="B255" s="108"/>
      <c r="C255" s="108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80"/>
      <c r="U255" s="176"/>
      <c r="V255" s="176"/>
      <c r="W255" s="176"/>
      <c r="X255" s="176"/>
      <c r="Y255" s="176"/>
      <c r="Z255" s="176"/>
      <c r="AA255" s="80"/>
      <c r="AB255" s="176"/>
      <c r="AC255" s="176"/>
      <c r="AD255" s="176"/>
      <c r="AE255" s="176"/>
      <c r="AF255" s="176"/>
      <c r="AG255" s="176"/>
      <c r="AH255" s="80"/>
      <c r="AI255" s="176"/>
      <c r="AJ255" s="176"/>
      <c r="AK255" s="176"/>
      <c r="AL255" s="176"/>
      <c r="AM255" s="176"/>
      <c r="AN255" s="176"/>
      <c r="AO255" s="80"/>
      <c r="AP255" s="176"/>
      <c r="AQ255" s="176"/>
      <c r="AR255" s="176"/>
      <c r="AS255" s="176"/>
      <c r="AT255" s="176"/>
      <c r="AU255" s="176"/>
      <c r="AV255" s="80"/>
      <c r="AW255" s="176"/>
      <c r="AX255" s="176"/>
      <c r="AY255" s="176"/>
      <c r="AZ255" s="176"/>
      <c r="BA255" s="176"/>
      <c r="BB255" s="176"/>
      <c r="BC255" s="80"/>
      <c r="BD255" s="176"/>
      <c r="BE255" s="176"/>
      <c r="BF255" s="176"/>
      <c r="BG255" s="176"/>
      <c r="BH255" s="176"/>
      <c r="BI255" s="176"/>
      <c r="BJ255" s="80"/>
      <c r="BK255" s="176"/>
      <c r="BL255" s="176"/>
      <c r="BM255" s="176"/>
      <c r="BN255" s="176"/>
      <c r="BO255" s="176"/>
      <c r="BP255" s="176"/>
      <c r="BQ255" s="80"/>
      <c r="BR255" s="176"/>
      <c r="BS255" s="176"/>
      <c r="BT255" s="176"/>
      <c r="BU255" s="176"/>
      <c r="BV255" s="176"/>
      <c r="BW255" s="176"/>
      <c r="BX255" s="80"/>
      <c r="BY255" s="176"/>
      <c r="BZ255" s="176"/>
      <c r="CA255" s="176"/>
      <c r="CB255" s="176"/>
      <c r="CC255" s="176"/>
      <c r="CD255" s="176"/>
      <c r="CE255" s="80"/>
      <c r="CF255" s="176"/>
      <c r="CG255" s="176"/>
      <c r="CH255" s="176"/>
      <c r="CI255" s="176"/>
      <c r="CJ255" s="176"/>
      <c r="CK255" s="176"/>
      <c r="CL255" s="80"/>
      <c r="CM255" s="176"/>
      <c r="CN255" s="176"/>
      <c r="CO255" s="176"/>
      <c r="CP255" s="176"/>
      <c r="CQ255" s="176"/>
      <c r="CR255" s="176"/>
      <c r="CS255" s="80"/>
      <c r="CT255" s="176"/>
      <c r="CU255" s="176"/>
      <c r="CV255" s="176"/>
      <c r="CW255" s="176"/>
      <c r="CX255" s="176"/>
      <c r="CY255" s="176"/>
      <c r="CZ255" s="80"/>
      <c r="DA255" s="176"/>
      <c r="DB255" s="176"/>
      <c r="DC255" s="176"/>
      <c r="DD255" s="176"/>
      <c r="DE255" s="176"/>
      <c r="DF255" s="176"/>
      <c r="DG255" s="80"/>
      <c r="DH255" s="176"/>
      <c r="DI255" s="176"/>
      <c r="DJ255" s="176"/>
      <c r="DK255" s="176"/>
      <c r="DL255" s="176"/>
      <c r="DM255" s="176"/>
      <c r="DN255" s="80"/>
      <c r="DO255" s="176"/>
      <c r="DP255" s="176"/>
      <c r="DQ255" s="176"/>
      <c r="DR255" s="176"/>
      <c r="DS255" s="176"/>
      <c r="DT255" s="176"/>
      <c r="DU255" s="80"/>
      <c r="DV255" s="176"/>
      <c r="DW255" s="176"/>
      <c r="DX255" s="176"/>
      <c r="DY255" s="176"/>
      <c r="DZ255" s="176"/>
      <c r="EA255" s="176"/>
      <c r="EB255" s="80"/>
      <c r="EC255" s="176"/>
      <c r="ED255" s="176"/>
      <c r="EE255" s="176"/>
      <c r="EF255" s="176"/>
      <c r="EG255" s="176"/>
      <c r="EH255" s="176"/>
      <c r="EI255" s="80"/>
      <c r="EJ255" s="47"/>
      <c r="EK255" s="47"/>
      <c r="EL255" s="47"/>
      <c r="EM255" s="47"/>
      <c r="EN255" s="47"/>
      <c r="EO255" s="47"/>
      <c r="EP255" s="47"/>
      <c r="EQ255" s="47"/>
      <c r="ER255" s="47"/>
      <c r="ES255" s="47"/>
      <c r="ET255" s="47"/>
      <c r="EU255" s="47"/>
      <c r="EV255" s="47"/>
      <c r="EW255" s="47"/>
      <c r="EX255" s="47"/>
      <c r="EY255" s="47"/>
      <c r="EZ255" s="47"/>
      <c r="FA255" s="47"/>
      <c r="FB255" s="47"/>
      <c r="FC255" s="47"/>
      <c r="FD255" s="47"/>
      <c r="FE255" s="47"/>
      <c r="FF255" s="47"/>
      <c r="FG255" s="47"/>
      <c r="FH255" s="47"/>
      <c r="FI255" s="47"/>
      <c r="FJ255" s="47"/>
      <c r="FK255" s="47"/>
      <c r="FL255" s="47"/>
      <c r="FM255" s="47"/>
      <c r="FN255" s="47"/>
      <c r="FO255" s="47"/>
      <c r="FP255" s="47"/>
      <c r="FQ255" s="47"/>
      <c r="FR255" s="47"/>
      <c r="FS255" s="47"/>
      <c r="FT255" s="47"/>
      <c r="FU255" s="47"/>
      <c r="FV255" s="47"/>
      <c r="FW255" s="47"/>
      <c r="FX255" s="47"/>
      <c r="FY255" s="47"/>
      <c r="FZ255" s="47"/>
      <c r="GA255" s="47"/>
      <c r="GB255" s="47"/>
      <c r="GC255" s="47"/>
      <c r="GD255" s="47"/>
      <c r="GE255" s="47"/>
    </row>
    <row r="256" spans="1:187" ht="10.5" customHeight="1">
      <c r="A256" s="43"/>
      <c r="B256" s="108"/>
      <c r="C256" s="108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80"/>
      <c r="U256" s="176"/>
      <c r="V256" s="176"/>
      <c r="W256" s="176"/>
      <c r="X256" s="176"/>
      <c r="Y256" s="176"/>
      <c r="Z256" s="176"/>
      <c r="AA256" s="80"/>
      <c r="AB256" s="176"/>
      <c r="AC256" s="176"/>
      <c r="AD256" s="176"/>
      <c r="AE256" s="176"/>
      <c r="AF256" s="176"/>
      <c r="AG256" s="176"/>
      <c r="AH256" s="80"/>
      <c r="AI256" s="176"/>
      <c r="AJ256" s="176"/>
      <c r="AK256" s="176"/>
      <c r="AL256" s="176"/>
      <c r="AM256" s="176"/>
      <c r="AN256" s="176"/>
      <c r="AO256" s="80"/>
      <c r="AP256" s="176"/>
      <c r="AQ256" s="176"/>
      <c r="AR256" s="176"/>
      <c r="AS256" s="176"/>
      <c r="AT256" s="176"/>
      <c r="AU256" s="176"/>
      <c r="AV256" s="80"/>
      <c r="AW256" s="176"/>
      <c r="AX256" s="176"/>
      <c r="AY256" s="176"/>
      <c r="AZ256" s="176"/>
      <c r="BA256" s="176"/>
      <c r="BB256" s="176"/>
      <c r="BC256" s="80"/>
      <c r="BD256" s="176"/>
      <c r="BE256" s="176"/>
      <c r="BF256" s="176"/>
      <c r="BG256" s="176"/>
      <c r="BH256" s="176"/>
      <c r="BI256" s="176"/>
      <c r="BJ256" s="80"/>
      <c r="BK256" s="176"/>
      <c r="BL256" s="176"/>
      <c r="BM256" s="176"/>
      <c r="BN256" s="176"/>
      <c r="BO256" s="176"/>
      <c r="BP256" s="176"/>
      <c r="BQ256" s="80"/>
      <c r="BR256" s="176"/>
      <c r="BS256" s="176"/>
      <c r="BT256" s="176"/>
      <c r="BU256" s="176"/>
      <c r="BV256" s="176"/>
      <c r="BW256" s="176"/>
      <c r="BX256" s="80"/>
      <c r="BY256" s="176"/>
      <c r="BZ256" s="176"/>
      <c r="CA256" s="176"/>
      <c r="CB256" s="176"/>
      <c r="CC256" s="176"/>
      <c r="CD256" s="176"/>
      <c r="CE256" s="80"/>
      <c r="CF256" s="176"/>
      <c r="CG256" s="176"/>
      <c r="CH256" s="176"/>
      <c r="CI256" s="176"/>
      <c r="CJ256" s="176"/>
      <c r="CK256" s="176"/>
      <c r="CL256" s="80"/>
      <c r="CM256" s="176"/>
      <c r="CN256" s="176"/>
      <c r="CO256" s="176"/>
      <c r="CP256" s="176"/>
      <c r="CQ256" s="176"/>
      <c r="CR256" s="176"/>
      <c r="CS256" s="80"/>
      <c r="CT256" s="176"/>
      <c r="CU256" s="176"/>
      <c r="CV256" s="176"/>
      <c r="CW256" s="176"/>
      <c r="CX256" s="176"/>
      <c r="CY256" s="176"/>
      <c r="CZ256" s="80"/>
      <c r="DA256" s="176"/>
      <c r="DB256" s="176"/>
      <c r="DC256" s="176"/>
      <c r="DD256" s="176"/>
      <c r="DE256" s="176"/>
      <c r="DF256" s="176"/>
      <c r="DG256" s="80"/>
      <c r="DH256" s="176"/>
      <c r="DI256" s="176"/>
      <c r="DJ256" s="176"/>
      <c r="DK256" s="176"/>
      <c r="DL256" s="176"/>
      <c r="DM256" s="176"/>
      <c r="DN256" s="80"/>
      <c r="DO256" s="176"/>
      <c r="DP256" s="176"/>
      <c r="DQ256" s="176"/>
      <c r="DR256" s="176"/>
      <c r="DS256" s="176"/>
      <c r="DT256" s="176"/>
      <c r="DU256" s="80"/>
      <c r="DV256" s="176"/>
      <c r="DW256" s="176"/>
      <c r="DX256" s="176"/>
      <c r="DY256" s="176"/>
      <c r="DZ256" s="176"/>
      <c r="EA256" s="176"/>
      <c r="EB256" s="80"/>
      <c r="EC256" s="176"/>
      <c r="ED256" s="176"/>
      <c r="EE256" s="176"/>
      <c r="EF256" s="176"/>
      <c r="EG256" s="176"/>
      <c r="EH256" s="176"/>
      <c r="EI256" s="80"/>
      <c r="EJ256" s="47"/>
      <c r="EK256" s="47"/>
      <c r="EL256" s="47"/>
      <c r="EM256" s="47"/>
      <c r="EN256" s="47"/>
      <c r="EO256" s="47"/>
      <c r="EP256" s="47"/>
      <c r="EQ256" s="47"/>
      <c r="ER256" s="47"/>
      <c r="ES256" s="47"/>
      <c r="ET256" s="47"/>
      <c r="EU256" s="47"/>
      <c r="EV256" s="47"/>
      <c r="EW256" s="47"/>
      <c r="EX256" s="47"/>
      <c r="EY256" s="47"/>
      <c r="EZ256" s="47"/>
      <c r="FA256" s="47"/>
      <c r="FB256" s="47"/>
      <c r="FC256" s="47"/>
      <c r="FD256" s="47"/>
      <c r="FE256" s="47"/>
      <c r="FF256" s="47"/>
      <c r="FG256" s="47"/>
      <c r="FH256" s="47"/>
      <c r="FI256" s="47"/>
      <c r="FJ256" s="47"/>
      <c r="FK256" s="47"/>
      <c r="FL256" s="47"/>
      <c r="FM256" s="47"/>
      <c r="FN256" s="47"/>
      <c r="FO256" s="47"/>
      <c r="FP256" s="47"/>
      <c r="FQ256" s="47"/>
      <c r="FR256" s="47"/>
      <c r="FS256" s="47"/>
      <c r="FT256" s="47"/>
      <c r="FU256" s="47"/>
      <c r="FV256" s="47"/>
      <c r="FW256" s="47"/>
      <c r="FX256" s="47"/>
      <c r="FY256" s="47"/>
      <c r="FZ256" s="47"/>
      <c r="GA256" s="47"/>
      <c r="GB256" s="47"/>
      <c r="GC256" s="47"/>
      <c r="GD256" s="47"/>
      <c r="GE256" s="47"/>
    </row>
    <row r="257" spans="1:187" ht="10.5" customHeight="1">
      <c r="A257" s="43"/>
      <c r="B257" s="108"/>
      <c r="C257" s="108"/>
      <c r="D257" s="176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79"/>
      <c r="U257" s="245"/>
      <c r="V257" s="245"/>
      <c r="W257" s="245"/>
      <c r="X257" s="245"/>
      <c r="Y257" s="245"/>
      <c r="Z257" s="245"/>
      <c r="AA257" s="79"/>
      <c r="AB257" s="245"/>
      <c r="AC257" s="245"/>
      <c r="AD257" s="245"/>
      <c r="AE257" s="245"/>
      <c r="AF257" s="245"/>
      <c r="AG257" s="245"/>
      <c r="AH257" s="79"/>
      <c r="AI257" s="245"/>
      <c r="AJ257" s="245"/>
      <c r="AK257" s="245"/>
      <c r="AL257" s="245"/>
      <c r="AM257" s="245"/>
      <c r="AN257" s="245"/>
      <c r="AO257" s="79"/>
      <c r="AP257" s="245"/>
      <c r="AQ257" s="245"/>
      <c r="AR257" s="245"/>
      <c r="AS257" s="245"/>
      <c r="AT257" s="245"/>
      <c r="AU257" s="245"/>
      <c r="AV257" s="79"/>
      <c r="AW257" s="245"/>
      <c r="AX257" s="245"/>
      <c r="AY257" s="245"/>
      <c r="AZ257" s="245"/>
      <c r="BA257" s="245"/>
      <c r="BB257" s="245"/>
      <c r="BC257" s="79"/>
      <c r="BD257" s="245"/>
      <c r="BE257" s="245"/>
      <c r="BF257" s="245"/>
      <c r="BG257" s="245"/>
      <c r="BH257" s="245"/>
      <c r="BI257" s="245"/>
      <c r="BJ257" s="79"/>
      <c r="BK257" s="245"/>
      <c r="BL257" s="245"/>
      <c r="BM257" s="245"/>
      <c r="BN257" s="245"/>
      <c r="BO257" s="245"/>
      <c r="BP257" s="245"/>
      <c r="BQ257" s="79"/>
      <c r="BR257" s="245"/>
      <c r="BS257" s="245"/>
      <c r="BT257" s="245"/>
      <c r="BU257" s="245"/>
      <c r="BV257" s="245"/>
      <c r="BW257" s="245"/>
      <c r="BX257" s="79"/>
      <c r="BY257" s="245"/>
      <c r="BZ257" s="245"/>
      <c r="CA257" s="245"/>
      <c r="CB257" s="245"/>
      <c r="CC257" s="245"/>
      <c r="CD257" s="245"/>
      <c r="CE257" s="79"/>
      <c r="CF257" s="245"/>
      <c r="CG257" s="245"/>
      <c r="CH257" s="245"/>
      <c r="CI257" s="245"/>
      <c r="CJ257" s="245"/>
      <c r="CK257" s="245"/>
      <c r="CL257" s="79"/>
      <c r="CM257" s="245"/>
      <c r="CN257" s="245"/>
      <c r="CO257" s="245"/>
      <c r="CP257" s="245"/>
      <c r="CQ257" s="245"/>
      <c r="CR257" s="245"/>
      <c r="CS257" s="79"/>
      <c r="CT257" s="245"/>
      <c r="CU257" s="245"/>
      <c r="CV257" s="245"/>
      <c r="CW257" s="245"/>
      <c r="CX257" s="245"/>
      <c r="CY257" s="245"/>
      <c r="CZ257" s="79"/>
      <c r="DA257" s="245"/>
      <c r="DB257" s="245"/>
      <c r="DC257" s="245"/>
      <c r="DD257" s="245"/>
      <c r="DE257" s="245"/>
      <c r="DF257" s="245"/>
      <c r="DG257" s="79"/>
      <c r="DH257" s="245"/>
      <c r="DI257" s="245"/>
      <c r="DJ257" s="245"/>
      <c r="DK257" s="245"/>
      <c r="DL257" s="245"/>
      <c r="DM257" s="245"/>
      <c r="DN257" s="79"/>
      <c r="DO257" s="245"/>
      <c r="DP257" s="245"/>
      <c r="DQ257" s="245"/>
      <c r="DR257" s="245"/>
      <c r="DS257" s="245"/>
      <c r="DT257" s="245"/>
      <c r="DU257" s="79"/>
      <c r="DV257" s="245"/>
      <c r="DW257" s="245"/>
      <c r="DX257" s="245"/>
      <c r="DY257" s="245"/>
      <c r="DZ257" s="245"/>
      <c r="EA257" s="245"/>
      <c r="EB257" s="79"/>
      <c r="EC257" s="245"/>
      <c r="ED257" s="245"/>
      <c r="EE257" s="245"/>
      <c r="EF257" s="245"/>
      <c r="EG257" s="245"/>
      <c r="EH257" s="245"/>
      <c r="EI257" s="79"/>
      <c r="EJ257" s="47"/>
      <c r="EK257" s="47"/>
      <c r="EL257" s="47"/>
      <c r="EM257" s="47"/>
      <c r="EN257" s="47"/>
      <c r="EO257" s="47"/>
      <c r="EP257" s="47"/>
      <c r="EQ257" s="47"/>
      <c r="ER257" s="47"/>
      <c r="ES257" s="47"/>
      <c r="ET257" s="47"/>
      <c r="EU257" s="47"/>
      <c r="EV257" s="47"/>
      <c r="EW257" s="47"/>
      <c r="EX257" s="47"/>
      <c r="EY257" s="47"/>
      <c r="EZ257" s="47"/>
      <c r="FA257" s="47"/>
      <c r="FB257" s="47"/>
      <c r="FC257" s="47"/>
      <c r="FD257" s="47"/>
      <c r="FE257" s="47"/>
      <c r="FF257" s="47"/>
      <c r="FG257" s="47"/>
      <c r="FH257" s="47"/>
      <c r="FI257" s="47"/>
      <c r="FJ257" s="47"/>
      <c r="FK257" s="47"/>
      <c r="FL257" s="47"/>
      <c r="FM257" s="47"/>
      <c r="FN257" s="47"/>
      <c r="FO257" s="47"/>
      <c r="FP257" s="47"/>
      <c r="FQ257" s="47"/>
      <c r="FR257" s="47"/>
      <c r="FS257" s="47"/>
      <c r="FT257" s="47"/>
      <c r="FU257" s="47"/>
      <c r="FV257" s="47"/>
      <c r="FW257" s="47"/>
      <c r="FX257" s="47"/>
      <c r="FY257" s="47"/>
      <c r="FZ257" s="47"/>
      <c r="GA257" s="47"/>
      <c r="GB257" s="47"/>
      <c r="GC257" s="47"/>
      <c r="GD257" s="47"/>
      <c r="GE257" s="47"/>
    </row>
    <row r="258" spans="1:187" ht="10.5" customHeight="1">
      <c r="A258" s="43"/>
      <c r="B258" s="108"/>
      <c r="C258" s="108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80"/>
      <c r="U258" s="176"/>
      <c r="V258" s="176"/>
      <c r="W258" s="176"/>
      <c r="X258" s="176"/>
      <c r="Y258" s="176"/>
      <c r="Z258" s="176"/>
      <c r="AA258" s="80"/>
      <c r="AB258" s="176"/>
      <c r="AC258" s="176"/>
      <c r="AD258" s="176"/>
      <c r="AE258" s="176"/>
      <c r="AF258" s="176"/>
      <c r="AG258" s="176"/>
      <c r="AH258" s="80"/>
      <c r="AI258" s="176"/>
      <c r="AJ258" s="176"/>
      <c r="AK258" s="176"/>
      <c r="AL258" s="176"/>
      <c r="AM258" s="176"/>
      <c r="AN258" s="176"/>
      <c r="AO258" s="80"/>
      <c r="AP258" s="176"/>
      <c r="AQ258" s="176"/>
      <c r="AR258" s="176"/>
      <c r="AS258" s="176"/>
      <c r="AT258" s="176"/>
      <c r="AU258" s="176"/>
      <c r="AV258" s="80"/>
      <c r="AW258" s="176"/>
      <c r="AX258" s="176"/>
      <c r="AY258" s="176"/>
      <c r="AZ258" s="176"/>
      <c r="BA258" s="176"/>
      <c r="BB258" s="176"/>
      <c r="BC258" s="80"/>
      <c r="BD258" s="176"/>
      <c r="BE258" s="176"/>
      <c r="BF258" s="176"/>
      <c r="BG258" s="176"/>
      <c r="BH258" s="176"/>
      <c r="BI258" s="176"/>
      <c r="BJ258" s="80"/>
      <c r="BK258" s="176"/>
      <c r="BL258" s="176"/>
      <c r="BM258" s="176"/>
      <c r="BN258" s="176"/>
      <c r="BO258" s="176"/>
      <c r="BP258" s="176"/>
      <c r="BQ258" s="80"/>
      <c r="BR258" s="176"/>
      <c r="BS258" s="176"/>
      <c r="BT258" s="176"/>
      <c r="BU258" s="176"/>
      <c r="BV258" s="176"/>
      <c r="BW258" s="176"/>
      <c r="BX258" s="80"/>
      <c r="BY258" s="176"/>
      <c r="BZ258" s="176"/>
      <c r="CA258" s="176"/>
      <c r="CB258" s="176"/>
      <c r="CC258" s="176"/>
      <c r="CD258" s="176"/>
      <c r="CE258" s="80"/>
      <c r="CF258" s="176"/>
      <c r="CG258" s="176"/>
      <c r="CH258" s="176"/>
      <c r="CI258" s="176"/>
      <c r="CJ258" s="176"/>
      <c r="CK258" s="176"/>
      <c r="CL258" s="80"/>
      <c r="CM258" s="176"/>
      <c r="CN258" s="176"/>
      <c r="CO258" s="176"/>
      <c r="CP258" s="176"/>
      <c r="CQ258" s="176"/>
      <c r="CR258" s="176"/>
      <c r="CS258" s="80"/>
      <c r="CT258" s="176"/>
      <c r="CU258" s="176"/>
      <c r="CV258" s="176"/>
      <c r="CW258" s="176"/>
      <c r="CX258" s="176"/>
      <c r="CY258" s="176"/>
      <c r="CZ258" s="80"/>
      <c r="DA258" s="176"/>
      <c r="DB258" s="176"/>
      <c r="DC258" s="176"/>
      <c r="DD258" s="176"/>
      <c r="DE258" s="176"/>
      <c r="DF258" s="176"/>
      <c r="DG258" s="80"/>
      <c r="DH258" s="176"/>
      <c r="DI258" s="176"/>
      <c r="DJ258" s="176"/>
      <c r="DK258" s="176"/>
      <c r="DL258" s="176"/>
      <c r="DM258" s="176"/>
      <c r="DN258" s="80"/>
      <c r="DO258" s="176"/>
      <c r="DP258" s="176"/>
      <c r="DQ258" s="176"/>
      <c r="DR258" s="176"/>
      <c r="DS258" s="176"/>
      <c r="DT258" s="176"/>
      <c r="DU258" s="80"/>
      <c r="DV258" s="176"/>
      <c r="DW258" s="176"/>
      <c r="DX258" s="176"/>
      <c r="DY258" s="176"/>
      <c r="DZ258" s="176"/>
      <c r="EA258" s="176"/>
      <c r="EB258" s="80"/>
      <c r="EC258" s="176"/>
      <c r="ED258" s="176"/>
      <c r="EE258" s="176"/>
      <c r="EF258" s="176"/>
      <c r="EG258" s="176"/>
      <c r="EH258" s="176"/>
      <c r="EI258" s="80"/>
      <c r="EJ258" s="47"/>
      <c r="EK258" s="47"/>
      <c r="EL258" s="47"/>
      <c r="EM258" s="47"/>
      <c r="EN258" s="47"/>
      <c r="EO258" s="47"/>
      <c r="EP258" s="47"/>
      <c r="EQ258" s="47"/>
      <c r="ER258" s="47"/>
      <c r="ES258" s="47"/>
      <c r="ET258" s="47"/>
      <c r="EU258" s="47"/>
      <c r="EV258" s="47"/>
      <c r="EW258" s="47"/>
      <c r="EX258" s="47"/>
      <c r="EY258" s="47"/>
      <c r="EZ258" s="47"/>
      <c r="FA258" s="47"/>
      <c r="FB258" s="47"/>
      <c r="FC258" s="47"/>
      <c r="FD258" s="47"/>
      <c r="FE258" s="47"/>
      <c r="FF258" s="47"/>
      <c r="FG258" s="47"/>
      <c r="FH258" s="47"/>
      <c r="FI258" s="47"/>
      <c r="FJ258" s="47"/>
      <c r="FK258" s="47"/>
      <c r="FL258" s="47"/>
      <c r="FM258" s="47"/>
      <c r="FN258" s="47"/>
      <c r="FO258" s="47"/>
      <c r="FP258" s="47"/>
      <c r="FQ258" s="47"/>
      <c r="FR258" s="47"/>
      <c r="FS258" s="47"/>
      <c r="FT258" s="47"/>
      <c r="FU258" s="47"/>
      <c r="FV258" s="47"/>
      <c r="FW258" s="47"/>
      <c r="FX258" s="47"/>
      <c r="FY258" s="47"/>
      <c r="FZ258" s="47"/>
      <c r="GA258" s="47"/>
      <c r="GB258" s="47"/>
      <c r="GC258" s="47"/>
      <c r="GD258" s="47"/>
      <c r="GE258" s="47"/>
    </row>
    <row r="259" spans="1:187" ht="10.5" customHeight="1">
      <c r="A259" s="43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44"/>
      <c r="U259" s="135"/>
      <c r="V259" s="135"/>
      <c r="W259" s="135"/>
      <c r="X259" s="135"/>
      <c r="Y259" s="135"/>
      <c r="Z259" s="135"/>
      <c r="AA259" s="44"/>
      <c r="AB259" s="135"/>
      <c r="AC259" s="135"/>
      <c r="AD259" s="135"/>
      <c r="AE259" s="135"/>
      <c r="AF259" s="135"/>
      <c r="AG259" s="135"/>
      <c r="AH259" s="44"/>
      <c r="AI259" s="135"/>
      <c r="AJ259" s="135"/>
      <c r="AK259" s="135"/>
      <c r="AL259" s="135"/>
      <c r="AM259" s="135"/>
      <c r="AN259" s="135"/>
      <c r="AO259" s="44"/>
      <c r="AP259" s="135"/>
      <c r="AQ259" s="135"/>
      <c r="AR259" s="135"/>
      <c r="AS259" s="135"/>
      <c r="AT259" s="135"/>
      <c r="AU259" s="135"/>
      <c r="AV259" s="44"/>
      <c r="AW259" s="135"/>
      <c r="AX259" s="135"/>
      <c r="AY259" s="135"/>
      <c r="AZ259" s="135"/>
      <c r="BA259" s="135"/>
      <c r="BB259" s="135"/>
      <c r="BC259" s="44"/>
      <c r="BD259" s="135"/>
      <c r="BE259" s="135"/>
      <c r="BF259" s="135"/>
      <c r="BG259" s="135"/>
      <c r="BH259" s="135"/>
      <c r="BI259" s="135"/>
      <c r="BJ259" s="44"/>
      <c r="BK259" s="135"/>
      <c r="BL259" s="135"/>
      <c r="BM259" s="135"/>
      <c r="BN259" s="135"/>
      <c r="BO259" s="135"/>
      <c r="BP259" s="135"/>
      <c r="BQ259" s="44"/>
      <c r="BR259" s="135"/>
      <c r="BS259" s="135"/>
      <c r="BT259" s="135"/>
      <c r="BU259" s="135"/>
      <c r="BV259" s="135"/>
      <c r="BW259" s="135"/>
      <c r="BX259" s="44"/>
      <c r="BY259" s="135"/>
      <c r="BZ259" s="135"/>
      <c r="CA259" s="135"/>
      <c r="CB259" s="135"/>
      <c r="CC259" s="135"/>
      <c r="CD259" s="135"/>
      <c r="CE259" s="44"/>
      <c r="CF259" s="135"/>
      <c r="CG259" s="135"/>
      <c r="CH259" s="135"/>
      <c r="CI259" s="135"/>
      <c r="CJ259" s="135"/>
      <c r="CK259" s="135"/>
      <c r="CL259" s="44"/>
      <c r="CM259" s="135"/>
      <c r="CN259" s="135"/>
      <c r="CO259" s="135"/>
      <c r="CP259" s="135"/>
      <c r="CQ259" s="135"/>
      <c r="CR259" s="135"/>
      <c r="CS259" s="44"/>
      <c r="CT259" s="135"/>
      <c r="CU259" s="135"/>
      <c r="CV259" s="135"/>
      <c r="CW259" s="135"/>
      <c r="CX259" s="135"/>
      <c r="CY259" s="135"/>
      <c r="CZ259" s="44"/>
      <c r="DA259" s="135"/>
      <c r="DB259" s="135"/>
      <c r="DC259" s="135"/>
      <c r="DD259" s="135"/>
      <c r="DE259" s="135"/>
      <c r="DF259" s="135"/>
      <c r="DG259" s="44"/>
      <c r="DH259" s="135"/>
      <c r="DI259" s="135"/>
      <c r="DJ259" s="135"/>
      <c r="DK259" s="135"/>
      <c r="DL259" s="135"/>
      <c r="DM259" s="135"/>
      <c r="DN259" s="44"/>
      <c r="DO259" s="135"/>
      <c r="DP259" s="135"/>
      <c r="DQ259" s="135"/>
      <c r="DR259" s="135"/>
      <c r="DS259" s="135"/>
      <c r="DT259" s="135"/>
      <c r="DU259" s="44"/>
      <c r="DV259" s="135"/>
      <c r="DW259" s="135"/>
      <c r="DX259" s="135"/>
      <c r="DY259" s="135"/>
      <c r="DZ259" s="135"/>
      <c r="EA259" s="135"/>
      <c r="EB259" s="44"/>
      <c r="EC259" s="135"/>
      <c r="ED259" s="135"/>
      <c r="EE259" s="135"/>
      <c r="EF259" s="135"/>
      <c r="EG259" s="135"/>
      <c r="EH259" s="135"/>
      <c r="EI259" s="44"/>
      <c r="EJ259" s="47"/>
      <c r="EK259" s="47"/>
      <c r="EL259" s="47"/>
      <c r="EM259" s="47"/>
      <c r="EN259" s="47"/>
      <c r="EO259" s="47"/>
      <c r="EP259" s="47"/>
      <c r="EQ259" s="47"/>
      <c r="ER259" s="47"/>
      <c r="ES259" s="47"/>
      <c r="ET259" s="47"/>
      <c r="EU259" s="47"/>
      <c r="EV259" s="47"/>
      <c r="EW259" s="47"/>
      <c r="EX259" s="47"/>
      <c r="EY259" s="47"/>
      <c r="EZ259" s="47"/>
      <c r="FA259" s="47"/>
      <c r="FB259" s="47"/>
      <c r="FC259" s="47"/>
      <c r="FD259" s="47"/>
      <c r="FE259" s="47"/>
      <c r="FF259" s="47"/>
      <c r="FG259" s="47"/>
      <c r="FH259" s="47"/>
      <c r="FI259" s="47"/>
      <c r="FJ259" s="47"/>
      <c r="FK259" s="47"/>
      <c r="FL259" s="47"/>
      <c r="FM259" s="47"/>
      <c r="FN259" s="47"/>
      <c r="FO259" s="47"/>
      <c r="FP259" s="47"/>
      <c r="FQ259" s="47"/>
      <c r="FR259" s="47"/>
      <c r="FS259" s="47"/>
      <c r="FT259" s="47"/>
      <c r="FU259" s="47"/>
      <c r="FV259" s="47"/>
      <c r="FW259" s="47"/>
      <c r="FX259" s="47"/>
      <c r="FY259" s="47"/>
      <c r="FZ259" s="47"/>
      <c r="GA259" s="47"/>
      <c r="GB259" s="47"/>
      <c r="GC259" s="47"/>
      <c r="GD259" s="47"/>
      <c r="GE259" s="47"/>
    </row>
    <row r="260" spans="1:187" ht="10.5" customHeight="1">
      <c r="A260" s="43"/>
      <c r="B260" s="108"/>
      <c r="C260" s="108"/>
      <c r="D260" s="227"/>
      <c r="E260" s="227"/>
      <c r="F260" s="22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43"/>
      <c r="U260" s="108"/>
      <c r="V260" s="108"/>
      <c r="W260" s="108"/>
      <c r="X260" s="108"/>
      <c r="Y260" s="108"/>
      <c r="Z260" s="108"/>
      <c r="AA260" s="43"/>
      <c r="AB260" s="108"/>
      <c r="AC260" s="108"/>
      <c r="AD260" s="108"/>
      <c r="AE260" s="108"/>
      <c r="AF260" s="108"/>
      <c r="AG260" s="108"/>
      <c r="AH260" s="43"/>
      <c r="AI260" s="108"/>
      <c r="AJ260" s="108"/>
      <c r="AK260" s="108"/>
      <c r="AL260" s="108"/>
      <c r="AM260" s="108"/>
      <c r="AN260" s="108"/>
      <c r="AO260" s="43"/>
      <c r="AP260" s="108"/>
      <c r="AQ260" s="108"/>
      <c r="AR260" s="108"/>
      <c r="AS260" s="108"/>
      <c r="AT260" s="108"/>
      <c r="AU260" s="108"/>
      <c r="AV260" s="43"/>
      <c r="AW260" s="108"/>
      <c r="AX260" s="108"/>
      <c r="AY260" s="108"/>
      <c r="AZ260" s="108"/>
      <c r="BA260" s="108"/>
      <c r="BB260" s="108"/>
      <c r="BC260" s="43"/>
      <c r="BD260" s="108"/>
      <c r="BE260" s="108"/>
      <c r="BF260" s="108"/>
      <c r="BG260" s="108"/>
      <c r="BH260" s="108"/>
      <c r="BI260" s="108"/>
      <c r="BJ260" s="43"/>
      <c r="BK260" s="108"/>
      <c r="BL260" s="108"/>
      <c r="BM260" s="108"/>
      <c r="BN260" s="108"/>
      <c r="BO260" s="108"/>
      <c r="BP260" s="108"/>
      <c r="BQ260" s="43"/>
      <c r="BR260" s="108"/>
      <c r="BS260" s="108"/>
      <c r="BT260" s="108"/>
      <c r="BU260" s="108"/>
      <c r="BV260" s="108"/>
      <c r="BW260" s="108"/>
      <c r="BX260" s="43"/>
      <c r="BY260" s="108"/>
      <c r="BZ260" s="108"/>
      <c r="CA260" s="108"/>
      <c r="CB260" s="108"/>
      <c r="CC260" s="108"/>
      <c r="CD260" s="108"/>
      <c r="CE260" s="43"/>
      <c r="CF260" s="108"/>
      <c r="CG260" s="108"/>
      <c r="CH260" s="108"/>
      <c r="CI260" s="108"/>
      <c r="CJ260" s="108"/>
      <c r="CK260" s="108"/>
      <c r="CL260" s="43"/>
      <c r="CM260" s="108"/>
      <c r="CN260" s="108"/>
      <c r="CO260" s="108"/>
      <c r="CP260" s="108"/>
      <c r="CQ260" s="108"/>
      <c r="CR260" s="108"/>
      <c r="CS260" s="43"/>
      <c r="CT260" s="108"/>
      <c r="CU260" s="108"/>
      <c r="CV260" s="108"/>
      <c r="CW260" s="108"/>
      <c r="CX260" s="108"/>
      <c r="CY260" s="108"/>
      <c r="CZ260" s="43"/>
      <c r="DA260" s="108"/>
      <c r="DB260" s="108"/>
      <c r="DC260" s="108"/>
      <c r="DD260" s="108"/>
      <c r="DE260" s="108"/>
      <c r="DF260" s="108"/>
      <c r="DG260" s="43"/>
      <c r="DH260" s="108"/>
      <c r="DI260" s="108"/>
      <c r="DJ260" s="108"/>
      <c r="DK260" s="108"/>
      <c r="DL260" s="108"/>
      <c r="DM260" s="108"/>
      <c r="DN260" s="43"/>
      <c r="DO260" s="108"/>
      <c r="DP260" s="108"/>
      <c r="DQ260" s="108"/>
      <c r="DR260" s="108"/>
      <c r="DS260" s="108"/>
      <c r="DT260" s="108"/>
      <c r="DU260" s="43"/>
      <c r="DV260" s="108"/>
      <c r="DW260" s="108"/>
      <c r="DX260" s="108"/>
      <c r="DY260" s="108"/>
      <c r="DZ260" s="108"/>
      <c r="EA260" s="108"/>
      <c r="EB260" s="43"/>
      <c r="EC260" s="108"/>
      <c r="ED260" s="108"/>
      <c r="EE260" s="108"/>
      <c r="EF260" s="108"/>
      <c r="EG260" s="108"/>
      <c r="EH260" s="108"/>
      <c r="EI260" s="43"/>
      <c r="EJ260" s="47"/>
      <c r="EK260" s="47"/>
      <c r="EL260" s="47"/>
      <c r="EM260" s="47"/>
      <c r="EN260" s="47"/>
      <c r="EO260" s="47"/>
      <c r="EP260" s="47"/>
      <c r="EQ260" s="47"/>
      <c r="ER260" s="47"/>
      <c r="ES260" s="47"/>
      <c r="ET260" s="47"/>
      <c r="EU260" s="47"/>
      <c r="EV260" s="47"/>
      <c r="EW260" s="47"/>
      <c r="EX260" s="47"/>
      <c r="EY260" s="47"/>
      <c r="EZ260" s="47"/>
      <c r="FA260" s="47"/>
      <c r="FB260" s="47"/>
      <c r="FC260" s="47"/>
      <c r="FD260" s="47"/>
      <c r="FE260" s="47"/>
      <c r="FF260" s="47"/>
      <c r="FG260" s="47"/>
      <c r="FH260" s="47"/>
      <c r="FI260" s="47"/>
      <c r="FJ260" s="47"/>
      <c r="FK260" s="47"/>
      <c r="FL260" s="47"/>
      <c r="FM260" s="47"/>
      <c r="FN260" s="47"/>
      <c r="FO260" s="47"/>
      <c r="FP260" s="47"/>
      <c r="FQ260" s="47"/>
      <c r="FR260" s="47"/>
      <c r="FS260" s="47"/>
      <c r="FT260" s="47"/>
      <c r="FU260" s="47"/>
      <c r="FV260" s="47"/>
      <c r="FW260" s="47"/>
      <c r="FX260" s="47"/>
      <c r="FY260" s="47"/>
      <c r="FZ260" s="47"/>
      <c r="GA260" s="47"/>
      <c r="GB260" s="47"/>
      <c r="GC260" s="47"/>
      <c r="GD260" s="47"/>
      <c r="GE260" s="47"/>
    </row>
    <row r="261" spans="1:187" ht="10.5" customHeight="1">
      <c r="A261" s="43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79"/>
      <c r="U261" s="245"/>
      <c r="V261" s="245"/>
      <c r="W261" s="245"/>
      <c r="X261" s="245"/>
      <c r="Y261" s="245"/>
      <c r="Z261" s="245"/>
      <c r="AA261" s="79"/>
      <c r="AB261" s="245"/>
      <c r="AC261" s="245"/>
      <c r="AD261" s="245"/>
      <c r="AE261" s="245"/>
      <c r="AF261" s="245"/>
      <c r="AG261" s="245"/>
      <c r="AH261" s="79"/>
      <c r="AI261" s="245"/>
      <c r="AJ261" s="245"/>
      <c r="AK261" s="245"/>
      <c r="AL261" s="245"/>
      <c r="AM261" s="245"/>
      <c r="AN261" s="245"/>
      <c r="AO261" s="79"/>
      <c r="AP261" s="245"/>
      <c r="AQ261" s="245"/>
      <c r="AR261" s="245"/>
      <c r="AS261" s="245"/>
      <c r="AT261" s="245"/>
      <c r="AU261" s="245"/>
      <c r="AV261" s="79"/>
      <c r="AW261" s="245"/>
      <c r="AX261" s="245"/>
      <c r="AY261" s="245"/>
      <c r="AZ261" s="245"/>
      <c r="BA261" s="245"/>
      <c r="BB261" s="245"/>
      <c r="BC261" s="79"/>
      <c r="BD261" s="245"/>
      <c r="BE261" s="245"/>
      <c r="BF261" s="245"/>
      <c r="BG261" s="245"/>
      <c r="BH261" s="245"/>
      <c r="BI261" s="245"/>
      <c r="BJ261" s="79"/>
      <c r="BK261" s="245"/>
      <c r="BL261" s="245"/>
      <c r="BM261" s="245"/>
      <c r="BN261" s="245"/>
      <c r="BO261" s="245"/>
      <c r="BP261" s="245"/>
      <c r="BQ261" s="79"/>
      <c r="BR261" s="245"/>
      <c r="BS261" s="245"/>
      <c r="BT261" s="245"/>
      <c r="BU261" s="245"/>
      <c r="BV261" s="245"/>
      <c r="BW261" s="245"/>
      <c r="BX261" s="79"/>
      <c r="BY261" s="245"/>
      <c r="BZ261" s="245"/>
      <c r="CA261" s="245"/>
      <c r="CB261" s="245"/>
      <c r="CC261" s="245"/>
      <c r="CD261" s="245"/>
      <c r="CE261" s="79"/>
      <c r="CF261" s="245"/>
      <c r="CG261" s="245"/>
      <c r="CH261" s="245"/>
      <c r="CI261" s="245"/>
      <c r="CJ261" s="245"/>
      <c r="CK261" s="245"/>
      <c r="CL261" s="79"/>
      <c r="CM261" s="245"/>
      <c r="CN261" s="245"/>
      <c r="CO261" s="245"/>
      <c r="CP261" s="245"/>
      <c r="CQ261" s="245"/>
      <c r="CR261" s="245"/>
      <c r="CS261" s="79"/>
      <c r="CT261" s="245"/>
      <c r="CU261" s="245"/>
      <c r="CV261" s="245"/>
      <c r="CW261" s="245"/>
      <c r="CX261" s="245"/>
      <c r="CY261" s="245"/>
      <c r="CZ261" s="79"/>
      <c r="DA261" s="245"/>
      <c r="DB261" s="245"/>
      <c r="DC261" s="245"/>
      <c r="DD261" s="245"/>
      <c r="DE261" s="245"/>
      <c r="DF261" s="245"/>
      <c r="DG261" s="79"/>
      <c r="DH261" s="245"/>
      <c r="DI261" s="245"/>
      <c r="DJ261" s="245"/>
      <c r="DK261" s="245"/>
      <c r="DL261" s="245"/>
      <c r="DM261" s="245"/>
      <c r="DN261" s="79"/>
      <c r="DO261" s="245"/>
      <c r="DP261" s="245"/>
      <c r="DQ261" s="245"/>
      <c r="DR261" s="245"/>
      <c r="DS261" s="245"/>
      <c r="DT261" s="245"/>
      <c r="DU261" s="79"/>
      <c r="DV261" s="245"/>
      <c r="DW261" s="245"/>
      <c r="DX261" s="245"/>
      <c r="DY261" s="245"/>
      <c r="DZ261" s="245"/>
      <c r="EA261" s="245"/>
      <c r="EB261" s="79"/>
      <c r="EC261" s="245"/>
      <c r="ED261" s="245"/>
      <c r="EE261" s="245"/>
      <c r="EF261" s="245"/>
      <c r="EG261" s="245"/>
      <c r="EH261" s="245"/>
      <c r="EI261" s="79"/>
      <c r="EJ261" s="47"/>
      <c r="EK261" s="47"/>
      <c r="EL261" s="47"/>
      <c r="EM261" s="47"/>
      <c r="EN261" s="47"/>
      <c r="EO261" s="47"/>
      <c r="EP261" s="47"/>
      <c r="EQ261" s="47"/>
      <c r="ER261" s="47"/>
      <c r="ES261" s="47"/>
      <c r="ET261" s="47"/>
      <c r="EU261" s="47"/>
      <c r="EV261" s="47"/>
      <c r="EW261" s="47"/>
      <c r="EX261" s="47"/>
      <c r="EY261" s="47"/>
      <c r="EZ261" s="47"/>
      <c r="FA261" s="47"/>
      <c r="FB261" s="47"/>
      <c r="FC261" s="47"/>
      <c r="FD261" s="47"/>
      <c r="FE261" s="47"/>
      <c r="FF261" s="47"/>
      <c r="FG261" s="47"/>
      <c r="FH261" s="47"/>
      <c r="FI261" s="47"/>
      <c r="FJ261" s="47"/>
      <c r="FK261" s="47"/>
      <c r="FL261" s="47"/>
      <c r="FM261" s="47"/>
      <c r="FN261" s="47"/>
      <c r="FO261" s="47"/>
      <c r="FP261" s="47"/>
      <c r="FQ261" s="47"/>
      <c r="FR261" s="47"/>
      <c r="FS261" s="47"/>
      <c r="FT261" s="47"/>
      <c r="FU261" s="47"/>
      <c r="FV261" s="47"/>
      <c r="FW261" s="47"/>
      <c r="FX261" s="47"/>
      <c r="FY261" s="47"/>
      <c r="FZ261" s="47"/>
      <c r="GA261" s="47"/>
      <c r="GB261" s="47"/>
      <c r="GC261" s="47"/>
      <c r="GD261" s="47"/>
      <c r="GE261" s="47"/>
    </row>
    <row r="262" spans="1:187" ht="10.5" customHeight="1">
      <c r="A262" s="43"/>
      <c r="B262" s="245"/>
      <c r="C262" s="245"/>
      <c r="D262" s="245"/>
      <c r="E262" s="245"/>
      <c r="F262" s="245"/>
      <c r="G262" s="245"/>
      <c r="H262" s="203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79"/>
      <c r="U262" s="245"/>
      <c r="V262" s="245"/>
      <c r="W262" s="245"/>
      <c r="X262" s="245"/>
      <c r="Y262" s="245"/>
      <c r="Z262" s="245"/>
      <c r="AA262" s="79"/>
      <c r="AB262" s="245"/>
      <c r="AC262" s="245"/>
      <c r="AD262" s="245"/>
      <c r="AE262" s="245"/>
      <c r="AF262" s="245"/>
      <c r="AG262" s="245"/>
      <c r="AH262" s="79"/>
      <c r="AI262" s="245"/>
      <c r="AJ262" s="245"/>
      <c r="AK262" s="245"/>
      <c r="AL262" s="245"/>
      <c r="AM262" s="245"/>
      <c r="AN262" s="245"/>
      <c r="AO262" s="79"/>
      <c r="AP262" s="245"/>
      <c r="AQ262" s="245"/>
      <c r="AR262" s="245"/>
      <c r="AS262" s="245"/>
      <c r="AT262" s="245"/>
      <c r="AU262" s="245"/>
      <c r="AV262" s="79"/>
      <c r="AW262" s="245"/>
      <c r="AX262" s="245"/>
      <c r="AY262" s="245"/>
      <c r="AZ262" s="245"/>
      <c r="BA262" s="245"/>
      <c r="BB262" s="245"/>
      <c r="BC262" s="79"/>
      <c r="BD262" s="245"/>
      <c r="BE262" s="245"/>
      <c r="BF262" s="245"/>
      <c r="BG262" s="245"/>
      <c r="BH262" s="245"/>
      <c r="BI262" s="245"/>
      <c r="BJ262" s="79"/>
      <c r="BK262" s="245"/>
      <c r="BL262" s="245"/>
      <c r="BM262" s="245"/>
      <c r="BN262" s="245"/>
      <c r="BO262" s="245"/>
      <c r="BP262" s="245"/>
      <c r="BQ262" s="79"/>
      <c r="BR262" s="245"/>
      <c r="BS262" s="245"/>
      <c r="BT262" s="245"/>
      <c r="BU262" s="245"/>
      <c r="BV262" s="245"/>
      <c r="BW262" s="245"/>
      <c r="BX262" s="79"/>
      <c r="BY262" s="245"/>
      <c r="BZ262" s="245"/>
      <c r="CA262" s="245"/>
      <c r="CB262" s="245"/>
      <c r="CC262" s="245"/>
      <c r="CD262" s="245"/>
      <c r="CE262" s="79"/>
      <c r="CF262" s="245"/>
      <c r="CG262" s="245"/>
      <c r="CH262" s="245"/>
      <c r="CI262" s="245"/>
      <c r="CJ262" s="245"/>
      <c r="CK262" s="245"/>
      <c r="CL262" s="79"/>
      <c r="CM262" s="245"/>
      <c r="CN262" s="245"/>
      <c r="CO262" s="245"/>
      <c r="CP262" s="245"/>
      <c r="CQ262" s="245"/>
      <c r="CR262" s="245"/>
      <c r="CS262" s="79"/>
      <c r="CT262" s="245"/>
      <c r="CU262" s="245"/>
      <c r="CV262" s="245"/>
      <c r="CW262" s="245"/>
      <c r="CX262" s="245"/>
      <c r="CY262" s="245"/>
      <c r="CZ262" s="79"/>
      <c r="DA262" s="245"/>
      <c r="DB262" s="245"/>
      <c r="DC262" s="245"/>
      <c r="DD262" s="245"/>
      <c r="DE262" s="245"/>
      <c r="DF262" s="245"/>
      <c r="DG262" s="79"/>
      <c r="DH262" s="245"/>
      <c r="DI262" s="245"/>
      <c r="DJ262" s="245"/>
      <c r="DK262" s="245"/>
      <c r="DL262" s="245"/>
      <c r="DM262" s="245"/>
      <c r="DN262" s="79"/>
      <c r="DO262" s="245"/>
      <c r="DP262" s="245"/>
      <c r="DQ262" s="245"/>
      <c r="DR262" s="245"/>
      <c r="DS262" s="245"/>
      <c r="DT262" s="245"/>
      <c r="DU262" s="79"/>
      <c r="DV262" s="245"/>
      <c r="DW262" s="245"/>
      <c r="DX262" s="245"/>
      <c r="DY262" s="245"/>
      <c r="DZ262" s="245"/>
      <c r="EA262" s="245"/>
      <c r="EB262" s="79"/>
      <c r="EC262" s="245"/>
      <c r="ED262" s="245"/>
      <c r="EE262" s="245"/>
      <c r="EF262" s="245"/>
      <c r="EG262" s="245"/>
      <c r="EH262" s="245"/>
      <c r="EI262" s="79"/>
      <c r="EJ262" s="47"/>
      <c r="EK262" s="47"/>
      <c r="EL262" s="47"/>
      <c r="EM262" s="47"/>
      <c r="EN262" s="47"/>
      <c r="EO262" s="47"/>
      <c r="EP262" s="47"/>
      <c r="EQ262" s="47"/>
      <c r="ER262" s="47"/>
      <c r="ES262" s="47"/>
      <c r="ET262" s="47"/>
      <c r="EU262" s="47"/>
      <c r="EV262" s="47"/>
      <c r="EW262" s="47"/>
      <c r="EX262" s="47"/>
      <c r="EY262" s="47"/>
      <c r="EZ262" s="47"/>
      <c r="FA262" s="47"/>
      <c r="FB262" s="47"/>
      <c r="FC262" s="47"/>
      <c r="FD262" s="47"/>
      <c r="FE262" s="47"/>
      <c r="FF262" s="47"/>
      <c r="FG262" s="47"/>
      <c r="FH262" s="47"/>
      <c r="FI262" s="47"/>
      <c r="FJ262" s="47"/>
      <c r="FK262" s="47"/>
      <c r="FL262" s="47"/>
      <c r="FM262" s="47"/>
      <c r="FN262" s="47"/>
      <c r="FO262" s="47"/>
      <c r="FP262" s="47"/>
      <c r="FQ262" s="47"/>
      <c r="FR262" s="47"/>
      <c r="FS262" s="47"/>
      <c r="FT262" s="47"/>
      <c r="FU262" s="47"/>
      <c r="FV262" s="47"/>
      <c r="FW262" s="47"/>
      <c r="FX262" s="47"/>
      <c r="FY262" s="47"/>
      <c r="FZ262" s="47"/>
      <c r="GA262" s="47"/>
      <c r="GB262" s="47"/>
      <c r="GC262" s="47"/>
      <c r="GD262" s="47"/>
      <c r="GE262" s="47"/>
    </row>
    <row r="263" spans="1:187" ht="10.5" customHeight="1">
      <c r="A263" s="43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79"/>
      <c r="U263" s="245"/>
      <c r="V263" s="245"/>
      <c r="W263" s="245"/>
      <c r="X263" s="245"/>
      <c r="Y263" s="245"/>
      <c r="Z263" s="245"/>
      <c r="AA263" s="79"/>
      <c r="AB263" s="245"/>
      <c r="AC263" s="245"/>
      <c r="AD263" s="245"/>
      <c r="AE263" s="245"/>
      <c r="AF263" s="245"/>
      <c r="AG263" s="245"/>
      <c r="AH263" s="79"/>
      <c r="AI263" s="245"/>
      <c r="AJ263" s="245"/>
      <c r="AK263" s="245"/>
      <c r="AL263" s="245"/>
      <c r="AM263" s="245"/>
      <c r="AN263" s="245"/>
      <c r="AO263" s="79"/>
      <c r="AP263" s="245"/>
      <c r="AQ263" s="245"/>
      <c r="AR263" s="245"/>
      <c r="AS263" s="245"/>
      <c r="AT263" s="245"/>
      <c r="AU263" s="245"/>
      <c r="AV263" s="79"/>
      <c r="AW263" s="245"/>
      <c r="AX263" s="245"/>
      <c r="AY263" s="245"/>
      <c r="AZ263" s="245"/>
      <c r="BA263" s="245"/>
      <c r="BB263" s="245"/>
      <c r="BC263" s="79"/>
      <c r="BD263" s="245"/>
      <c r="BE263" s="245"/>
      <c r="BF263" s="245"/>
      <c r="BG263" s="245"/>
      <c r="BH263" s="245"/>
      <c r="BI263" s="245"/>
      <c r="BJ263" s="79"/>
      <c r="BK263" s="245"/>
      <c r="BL263" s="245"/>
      <c r="BM263" s="245"/>
      <c r="BN263" s="245"/>
      <c r="BO263" s="245"/>
      <c r="BP263" s="245"/>
      <c r="BQ263" s="79"/>
      <c r="BR263" s="245"/>
      <c r="BS263" s="245"/>
      <c r="BT263" s="245"/>
      <c r="BU263" s="245"/>
      <c r="BV263" s="245"/>
      <c r="BW263" s="245"/>
      <c r="BX263" s="79"/>
      <c r="BY263" s="245"/>
      <c r="BZ263" s="245"/>
      <c r="CA263" s="245"/>
      <c r="CB263" s="245"/>
      <c r="CC263" s="245"/>
      <c r="CD263" s="245"/>
      <c r="CE263" s="79"/>
      <c r="CF263" s="245"/>
      <c r="CG263" s="245"/>
      <c r="CH263" s="245"/>
      <c r="CI263" s="245"/>
      <c r="CJ263" s="245"/>
      <c r="CK263" s="245"/>
      <c r="CL263" s="79"/>
      <c r="CM263" s="245"/>
      <c r="CN263" s="245"/>
      <c r="CO263" s="245"/>
      <c r="CP263" s="245"/>
      <c r="CQ263" s="245"/>
      <c r="CR263" s="245"/>
      <c r="CS263" s="79"/>
      <c r="CT263" s="245"/>
      <c r="CU263" s="245"/>
      <c r="CV263" s="245"/>
      <c r="CW263" s="245"/>
      <c r="CX263" s="245"/>
      <c r="CY263" s="245"/>
      <c r="CZ263" s="79"/>
      <c r="DA263" s="245"/>
      <c r="DB263" s="245"/>
      <c r="DC263" s="245"/>
      <c r="DD263" s="245"/>
      <c r="DE263" s="245"/>
      <c r="DF263" s="245"/>
      <c r="DG263" s="79"/>
      <c r="DH263" s="245"/>
      <c r="DI263" s="245"/>
      <c r="DJ263" s="245"/>
      <c r="DK263" s="245"/>
      <c r="DL263" s="245"/>
      <c r="DM263" s="245"/>
      <c r="DN263" s="79"/>
      <c r="DO263" s="245"/>
      <c r="DP263" s="245"/>
      <c r="DQ263" s="245"/>
      <c r="DR263" s="245"/>
      <c r="DS263" s="245"/>
      <c r="DT263" s="245"/>
      <c r="DU263" s="79"/>
      <c r="DV263" s="245"/>
      <c r="DW263" s="245"/>
      <c r="DX263" s="245"/>
      <c r="DY263" s="245"/>
      <c r="DZ263" s="245"/>
      <c r="EA263" s="245"/>
      <c r="EB263" s="79"/>
      <c r="EC263" s="245"/>
      <c r="ED263" s="245"/>
      <c r="EE263" s="245"/>
      <c r="EF263" s="245"/>
      <c r="EG263" s="245"/>
      <c r="EH263" s="245"/>
      <c r="EI263" s="79"/>
      <c r="EJ263" s="47"/>
      <c r="EK263" s="47"/>
      <c r="EL263" s="47"/>
      <c r="EM263" s="47"/>
      <c r="EN263" s="47"/>
      <c r="EO263" s="47"/>
      <c r="EP263" s="47"/>
      <c r="EQ263" s="47"/>
      <c r="ER263" s="47"/>
      <c r="ES263" s="47"/>
      <c r="ET263" s="47"/>
      <c r="EU263" s="47"/>
      <c r="EV263" s="47"/>
      <c r="EW263" s="47"/>
      <c r="EX263" s="47"/>
      <c r="EY263" s="47"/>
      <c r="EZ263" s="47"/>
      <c r="FA263" s="47"/>
      <c r="FB263" s="47"/>
      <c r="FC263" s="47"/>
      <c r="FD263" s="47"/>
      <c r="FE263" s="47"/>
      <c r="FF263" s="47"/>
      <c r="FG263" s="47"/>
      <c r="FH263" s="47"/>
      <c r="FI263" s="47"/>
      <c r="FJ263" s="47"/>
      <c r="FK263" s="47"/>
      <c r="FL263" s="47"/>
      <c r="FM263" s="47"/>
      <c r="FN263" s="47"/>
      <c r="FO263" s="47"/>
      <c r="FP263" s="47"/>
      <c r="FQ263" s="47"/>
      <c r="FR263" s="47"/>
      <c r="FS263" s="47"/>
      <c r="FT263" s="47"/>
      <c r="FU263" s="47"/>
      <c r="FV263" s="47"/>
      <c r="FW263" s="47"/>
      <c r="FX263" s="47"/>
      <c r="FY263" s="47"/>
      <c r="FZ263" s="47"/>
      <c r="GA263" s="47"/>
      <c r="GB263" s="47"/>
      <c r="GC263" s="47"/>
      <c r="GD263" s="47"/>
      <c r="GE263" s="47"/>
    </row>
    <row r="264" spans="1:187" ht="10.5" customHeight="1">
      <c r="A264" s="43"/>
      <c r="B264" s="292"/>
      <c r="C264" s="292"/>
      <c r="D264" s="292"/>
      <c r="E264" s="292"/>
      <c r="F264" s="292"/>
      <c r="G264" s="292"/>
      <c r="H264" s="203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94"/>
      <c r="U264" s="292"/>
      <c r="V264" s="292"/>
      <c r="W264" s="292"/>
      <c r="X264" s="292"/>
      <c r="Y264" s="292"/>
      <c r="Z264" s="292"/>
      <c r="AA264" s="94"/>
      <c r="AB264" s="292"/>
      <c r="AC264" s="292"/>
      <c r="AD264" s="292"/>
      <c r="AE264" s="292"/>
      <c r="AF264" s="292"/>
      <c r="AG264" s="292"/>
      <c r="AH264" s="94"/>
      <c r="AI264" s="292"/>
      <c r="AJ264" s="292"/>
      <c r="AK264" s="292"/>
      <c r="AL264" s="292"/>
      <c r="AM264" s="292"/>
      <c r="AN264" s="292"/>
      <c r="AO264" s="94"/>
      <c r="AP264" s="292"/>
      <c r="AQ264" s="292"/>
      <c r="AR264" s="292"/>
      <c r="AS264" s="292"/>
      <c r="AT264" s="292"/>
      <c r="AU264" s="292"/>
      <c r="AV264" s="94"/>
      <c r="AW264" s="292"/>
      <c r="AX264" s="292"/>
      <c r="AY264" s="292"/>
      <c r="AZ264" s="292"/>
      <c r="BA264" s="292"/>
      <c r="BB264" s="292"/>
      <c r="BC264" s="94"/>
      <c r="BD264" s="292"/>
      <c r="BE264" s="292"/>
      <c r="BF264" s="292"/>
      <c r="BG264" s="292"/>
      <c r="BH264" s="292"/>
      <c r="BI264" s="292"/>
      <c r="BJ264" s="94"/>
      <c r="BK264" s="292"/>
      <c r="BL264" s="292"/>
      <c r="BM264" s="292"/>
      <c r="BN264" s="292"/>
      <c r="BO264" s="292"/>
      <c r="BP264" s="292"/>
      <c r="BQ264" s="94"/>
      <c r="BR264" s="292"/>
      <c r="BS264" s="292"/>
      <c r="BT264" s="292"/>
      <c r="BU264" s="292"/>
      <c r="BV264" s="292"/>
      <c r="BW264" s="292"/>
      <c r="BX264" s="94"/>
      <c r="BY264" s="292"/>
      <c r="BZ264" s="292"/>
      <c r="CA264" s="292"/>
      <c r="CB264" s="292"/>
      <c r="CC264" s="292"/>
      <c r="CD264" s="292"/>
      <c r="CE264" s="94"/>
      <c r="CF264" s="292"/>
      <c r="CG264" s="292"/>
      <c r="CH264" s="292"/>
      <c r="CI264" s="292"/>
      <c r="CJ264" s="292"/>
      <c r="CK264" s="292"/>
      <c r="CL264" s="94"/>
      <c r="CM264" s="292"/>
      <c r="CN264" s="292"/>
      <c r="CO264" s="292"/>
      <c r="CP264" s="292"/>
      <c r="CQ264" s="292"/>
      <c r="CR264" s="292"/>
      <c r="CS264" s="94"/>
      <c r="CT264" s="292"/>
      <c r="CU264" s="292"/>
      <c r="CV264" s="292"/>
      <c r="CW264" s="292"/>
      <c r="CX264" s="292"/>
      <c r="CY264" s="292"/>
      <c r="CZ264" s="94"/>
      <c r="DA264" s="292"/>
      <c r="DB264" s="292"/>
      <c r="DC264" s="292"/>
      <c r="DD264" s="292"/>
      <c r="DE264" s="292"/>
      <c r="DF264" s="292"/>
      <c r="DG264" s="94"/>
      <c r="DH264" s="292"/>
      <c r="DI264" s="292"/>
      <c r="DJ264" s="292"/>
      <c r="DK264" s="292"/>
      <c r="DL264" s="292"/>
      <c r="DM264" s="292"/>
      <c r="DN264" s="94"/>
      <c r="DO264" s="292"/>
      <c r="DP264" s="292"/>
      <c r="DQ264" s="292"/>
      <c r="DR264" s="292"/>
      <c r="DS264" s="292"/>
      <c r="DT264" s="292"/>
      <c r="DU264" s="94"/>
      <c r="DV264" s="292"/>
      <c r="DW264" s="292"/>
      <c r="DX264" s="292"/>
      <c r="DY264" s="292"/>
      <c r="DZ264" s="292"/>
      <c r="EA264" s="292"/>
      <c r="EB264" s="94"/>
      <c r="EC264" s="292"/>
      <c r="ED264" s="292"/>
      <c r="EE264" s="292"/>
      <c r="EF264" s="292"/>
      <c r="EG264" s="292"/>
      <c r="EH264" s="292"/>
      <c r="EI264" s="94"/>
      <c r="EJ264" s="47"/>
      <c r="EK264" s="47"/>
      <c r="EL264" s="47"/>
      <c r="EM264" s="47"/>
      <c r="EN264" s="47"/>
      <c r="EO264" s="47"/>
      <c r="EP264" s="47"/>
      <c r="EQ264" s="47"/>
      <c r="ER264" s="47"/>
      <c r="ES264" s="47"/>
      <c r="ET264" s="47"/>
      <c r="EU264" s="47"/>
      <c r="EV264" s="47"/>
      <c r="EW264" s="47"/>
      <c r="EX264" s="47"/>
      <c r="EY264" s="47"/>
      <c r="EZ264" s="47"/>
      <c r="FA264" s="47"/>
      <c r="FB264" s="47"/>
      <c r="FC264" s="47"/>
      <c r="FD264" s="47"/>
      <c r="FE264" s="47"/>
      <c r="FF264" s="47"/>
      <c r="FG264" s="47"/>
      <c r="FH264" s="47"/>
      <c r="FI264" s="47"/>
      <c r="FJ264" s="47"/>
      <c r="FK264" s="47"/>
      <c r="FL264" s="47"/>
      <c r="FM264" s="47"/>
      <c r="FN264" s="47"/>
      <c r="FO264" s="47"/>
      <c r="FP264" s="47"/>
      <c r="FQ264" s="47"/>
      <c r="FR264" s="47"/>
      <c r="FS264" s="47"/>
      <c r="FT264" s="47"/>
      <c r="FU264" s="47"/>
      <c r="FV264" s="47"/>
      <c r="FW264" s="47"/>
      <c r="FX264" s="47"/>
      <c r="FY264" s="47"/>
      <c r="FZ264" s="47"/>
      <c r="GA264" s="47"/>
      <c r="GB264" s="47"/>
      <c r="GC264" s="47"/>
      <c r="GD264" s="47"/>
      <c r="GE264" s="47"/>
    </row>
    <row r="265" spans="1:187" ht="10.5" customHeight="1">
      <c r="A265" s="43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104"/>
      <c r="U265" s="201"/>
      <c r="V265" s="201"/>
      <c r="W265" s="201"/>
      <c r="X265" s="201"/>
      <c r="Y265" s="201"/>
      <c r="Z265" s="201"/>
      <c r="AA265" s="104"/>
      <c r="AB265" s="201"/>
      <c r="AC265" s="201"/>
      <c r="AD265" s="201"/>
      <c r="AE265" s="201"/>
      <c r="AF265" s="201"/>
      <c r="AG265" s="201"/>
      <c r="AH265" s="104"/>
      <c r="AI265" s="201"/>
      <c r="AJ265" s="201"/>
      <c r="AK265" s="201"/>
      <c r="AL265" s="201"/>
      <c r="AM265" s="201"/>
      <c r="AN265" s="201"/>
      <c r="AO265" s="104"/>
      <c r="AP265" s="201"/>
      <c r="AQ265" s="201"/>
      <c r="AR265" s="201"/>
      <c r="AS265" s="201"/>
      <c r="AT265" s="201"/>
      <c r="AU265" s="201"/>
      <c r="AV265" s="104"/>
      <c r="AW265" s="201"/>
      <c r="AX265" s="201"/>
      <c r="AY265" s="201"/>
      <c r="AZ265" s="201"/>
      <c r="BA265" s="201"/>
      <c r="BB265" s="201"/>
      <c r="BC265" s="104"/>
      <c r="BD265" s="201"/>
      <c r="BE265" s="201"/>
      <c r="BF265" s="201"/>
      <c r="BG265" s="201"/>
      <c r="BH265" s="201"/>
      <c r="BI265" s="201"/>
      <c r="BJ265" s="104"/>
      <c r="BK265" s="201"/>
      <c r="BL265" s="201"/>
      <c r="BM265" s="201"/>
      <c r="BN265" s="201"/>
      <c r="BO265" s="201"/>
      <c r="BP265" s="201"/>
      <c r="BQ265" s="104"/>
      <c r="BR265" s="201"/>
      <c r="BS265" s="201"/>
      <c r="BT265" s="201"/>
      <c r="BU265" s="201"/>
      <c r="BV265" s="201"/>
      <c r="BW265" s="201"/>
      <c r="BX265" s="104"/>
      <c r="BY265" s="201"/>
      <c r="BZ265" s="201"/>
      <c r="CA265" s="201"/>
      <c r="CB265" s="201"/>
      <c r="CC265" s="201"/>
      <c r="CD265" s="201"/>
      <c r="CE265" s="104"/>
      <c r="CF265" s="201"/>
      <c r="CG265" s="201"/>
      <c r="CH265" s="201"/>
      <c r="CI265" s="201"/>
      <c r="CJ265" s="201"/>
      <c r="CK265" s="201"/>
      <c r="CL265" s="104"/>
      <c r="CM265" s="201"/>
      <c r="CN265" s="201"/>
      <c r="CO265" s="201"/>
      <c r="CP265" s="201"/>
      <c r="CQ265" s="201"/>
      <c r="CR265" s="201"/>
      <c r="CS265" s="104"/>
      <c r="CT265" s="201"/>
      <c r="CU265" s="201"/>
      <c r="CV265" s="201"/>
      <c r="CW265" s="201"/>
      <c r="CX265" s="201"/>
      <c r="CY265" s="201"/>
      <c r="CZ265" s="104"/>
      <c r="DA265" s="201"/>
      <c r="DB265" s="201"/>
      <c r="DC265" s="201"/>
      <c r="DD265" s="201"/>
      <c r="DE265" s="201"/>
      <c r="DF265" s="201"/>
      <c r="DG265" s="104"/>
      <c r="DH265" s="201"/>
      <c r="DI265" s="201"/>
      <c r="DJ265" s="201"/>
      <c r="DK265" s="201"/>
      <c r="DL265" s="201"/>
      <c r="DM265" s="201"/>
      <c r="DN265" s="104"/>
      <c r="DO265" s="201"/>
      <c r="DP265" s="201"/>
      <c r="DQ265" s="201"/>
      <c r="DR265" s="201"/>
      <c r="DS265" s="201"/>
      <c r="DT265" s="201"/>
      <c r="DU265" s="104"/>
      <c r="DV265" s="201"/>
      <c r="DW265" s="201"/>
      <c r="DX265" s="201"/>
      <c r="DY265" s="201"/>
      <c r="DZ265" s="201"/>
      <c r="EA265" s="201"/>
      <c r="EB265" s="104"/>
      <c r="EC265" s="201"/>
      <c r="ED265" s="201"/>
      <c r="EE265" s="201"/>
      <c r="EF265" s="201"/>
      <c r="EG265" s="201"/>
      <c r="EH265" s="201"/>
      <c r="EI265" s="104"/>
      <c r="EJ265" s="47"/>
      <c r="EK265" s="47"/>
      <c r="EL265" s="47"/>
      <c r="EM265" s="47"/>
      <c r="EN265" s="47"/>
      <c r="EO265" s="47"/>
      <c r="EP265" s="47"/>
      <c r="EQ265" s="47"/>
      <c r="ER265" s="47"/>
      <c r="ES265" s="47"/>
      <c r="ET265" s="47"/>
      <c r="EU265" s="47"/>
      <c r="EV265" s="47"/>
      <c r="EW265" s="47"/>
      <c r="EX265" s="47"/>
      <c r="EY265" s="47"/>
      <c r="EZ265" s="47"/>
      <c r="FA265" s="47"/>
      <c r="FB265" s="47"/>
      <c r="FC265" s="47"/>
      <c r="FD265" s="47"/>
      <c r="FE265" s="47"/>
      <c r="FF265" s="47"/>
      <c r="FG265" s="47"/>
      <c r="FH265" s="47"/>
      <c r="FI265" s="47"/>
      <c r="FJ265" s="47"/>
      <c r="FK265" s="47"/>
      <c r="FL265" s="47"/>
      <c r="FM265" s="47"/>
      <c r="FN265" s="47"/>
      <c r="FO265" s="47"/>
      <c r="FP265" s="47"/>
      <c r="FQ265" s="47"/>
      <c r="FR265" s="47"/>
      <c r="FS265" s="47"/>
      <c r="FT265" s="47"/>
      <c r="FU265" s="47"/>
      <c r="FV265" s="47"/>
      <c r="FW265" s="47"/>
      <c r="FX265" s="47"/>
      <c r="FY265" s="47"/>
      <c r="FZ265" s="47"/>
      <c r="GA265" s="47"/>
      <c r="GB265" s="47"/>
      <c r="GC265" s="47"/>
      <c r="GD265" s="47"/>
      <c r="GE265" s="47"/>
    </row>
    <row r="266" spans="1:187" ht="10.5" customHeight="1">
      <c r="A266" s="43"/>
      <c r="B266" s="108"/>
      <c r="C266" s="108"/>
      <c r="D266" s="108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104"/>
      <c r="U266" s="201"/>
      <c r="V266" s="201"/>
      <c r="W266" s="201"/>
      <c r="X266" s="201"/>
      <c r="Y266" s="201"/>
      <c r="Z266" s="201"/>
      <c r="AA266" s="104"/>
      <c r="AB266" s="201"/>
      <c r="AC266" s="201"/>
      <c r="AD266" s="201"/>
      <c r="AE266" s="201"/>
      <c r="AF266" s="201"/>
      <c r="AG266" s="201"/>
      <c r="AH266" s="104"/>
      <c r="AI266" s="201"/>
      <c r="AJ266" s="201"/>
      <c r="AK266" s="201"/>
      <c r="AL266" s="201"/>
      <c r="AM266" s="201"/>
      <c r="AN266" s="201"/>
      <c r="AO266" s="104"/>
      <c r="AP266" s="201"/>
      <c r="AQ266" s="201"/>
      <c r="AR266" s="201"/>
      <c r="AS266" s="201"/>
      <c r="AT266" s="201"/>
      <c r="AU266" s="201"/>
      <c r="AV266" s="104"/>
      <c r="AW266" s="201"/>
      <c r="AX266" s="201"/>
      <c r="AY266" s="201"/>
      <c r="AZ266" s="201"/>
      <c r="BA266" s="201"/>
      <c r="BB266" s="201"/>
      <c r="BC266" s="104"/>
      <c r="BD266" s="201"/>
      <c r="BE266" s="201"/>
      <c r="BF266" s="201"/>
      <c r="BG266" s="201"/>
      <c r="BH266" s="201"/>
      <c r="BI266" s="201"/>
      <c r="BJ266" s="104"/>
      <c r="BK266" s="201"/>
      <c r="BL266" s="201"/>
      <c r="BM266" s="201"/>
      <c r="BN266" s="201"/>
      <c r="BO266" s="201"/>
      <c r="BP266" s="201"/>
      <c r="BQ266" s="104"/>
      <c r="BR266" s="201"/>
      <c r="BS266" s="201"/>
      <c r="BT266" s="201"/>
      <c r="BU266" s="201"/>
      <c r="BV266" s="201"/>
      <c r="BW266" s="201"/>
      <c r="BX266" s="104"/>
      <c r="BY266" s="201"/>
      <c r="BZ266" s="201"/>
      <c r="CA266" s="201"/>
      <c r="CB266" s="201"/>
      <c r="CC266" s="201"/>
      <c r="CD266" s="201"/>
      <c r="CE266" s="104"/>
      <c r="CF266" s="201"/>
      <c r="CG266" s="201"/>
      <c r="CH266" s="201"/>
      <c r="CI266" s="201"/>
      <c r="CJ266" s="201"/>
      <c r="CK266" s="201"/>
      <c r="CL266" s="104"/>
      <c r="CM266" s="201"/>
      <c r="CN266" s="201"/>
      <c r="CO266" s="201"/>
      <c r="CP266" s="201"/>
      <c r="CQ266" s="201"/>
      <c r="CR266" s="201"/>
      <c r="CS266" s="104"/>
      <c r="CT266" s="201"/>
      <c r="CU266" s="201"/>
      <c r="CV266" s="201"/>
      <c r="CW266" s="201"/>
      <c r="CX266" s="201"/>
      <c r="CY266" s="201"/>
      <c r="CZ266" s="104"/>
      <c r="DA266" s="201"/>
      <c r="DB266" s="201"/>
      <c r="DC266" s="201"/>
      <c r="DD266" s="201"/>
      <c r="DE266" s="201"/>
      <c r="DF266" s="201"/>
      <c r="DG266" s="104"/>
      <c r="DH266" s="201"/>
      <c r="DI266" s="201"/>
      <c r="DJ266" s="201"/>
      <c r="DK266" s="201"/>
      <c r="DL266" s="201"/>
      <c r="DM266" s="201"/>
      <c r="DN266" s="104"/>
      <c r="DO266" s="201"/>
      <c r="DP266" s="201"/>
      <c r="DQ266" s="201"/>
      <c r="DR266" s="201"/>
      <c r="DS266" s="201"/>
      <c r="DT266" s="201"/>
      <c r="DU266" s="104"/>
      <c r="DV266" s="201"/>
      <c r="DW266" s="201"/>
      <c r="DX266" s="201"/>
      <c r="DY266" s="201"/>
      <c r="DZ266" s="201"/>
      <c r="EA266" s="201"/>
      <c r="EB266" s="104"/>
      <c r="EC266" s="201"/>
      <c r="ED266" s="201"/>
      <c r="EE266" s="201"/>
      <c r="EF266" s="201"/>
      <c r="EG266" s="201"/>
      <c r="EH266" s="201"/>
      <c r="EI266" s="104"/>
      <c r="EJ266" s="47"/>
      <c r="EK266" s="47"/>
      <c r="EL266" s="47"/>
      <c r="EM266" s="47"/>
      <c r="EN266" s="47"/>
      <c r="EO266" s="47"/>
      <c r="EP266" s="47"/>
      <c r="EQ266" s="47"/>
      <c r="ER266" s="47"/>
      <c r="ES266" s="47"/>
      <c r="ET266" s="47"/>
      <c r="EU266" s="47"/>
      <c r="EV266" s="47"/>
      <c r="EW266" s="47"/>
      <c r="EX266" s="47"/>
      <c r="EY266" s="47"/>
      <c r="EZ266" s="47"/>
      <c r="FA266" s="47"/>
      <c r="FB266" s="47"/>
      <c r="FC266" s="47"/>
      <c r="FD266" s="47"/>
      <c r="FE266" s="47"/>
      <c r="FF266" s="47"/>
      <c r="FG266" s="47"/>
      <c r="FH266" s="47"/>
      <c r="FI266" s="47"/>
      <c r="FJ266" s="47"/>
      <c r="FK266" s="47"/>
      <c r="FL266" s="47"/>
      <c r="FM266" s="47"/>
      <c r="FN266" s="47"/>
      <c r="FO266" s="47"/>
      <c r="FP266" s="47"/>
      <c r="FQ266" s="47"/>
      <c r="FR266" s="47"/>
      <c r="FS266" s="47"/>
      <c r="FT266" s="47"/>
      <c r="FU266" s="47"/>
      <c r="FV266" s="47"/>
      <c r="FW266" s="47"/>
      <c r="FX266" s="47"/>
      <c r="FY266" s="47"/>
      <c r="FZ266" s="47"/>
      <c r="GA266" s="47"/>
      <c r="GB266" s="47"/>
      <c r="GC266" s="47"/>
      <c r="GD266" s="47"/>
      <c r="GE266" s="47"/>
    </row>
    <row r="267" spans="1:187" ht="10.5" customHeight="1">
      <c r="A267" s="43"/>
      <c r="B267" s="108"/>
      <c r="C267" s="108"/>
      <c r="D267" s="108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104"/>
      <c r="U267" s="201"/>
      <c r="V267" s="201"/>
      <c r="W267" s="201"/>
      <c r="X267" s="201"/>
      <c r="Y267" s="201"/>
      <c r="Z267" s="201"/>
      <c r="AA267" s="104"/>
      <c r="AB267" s="201"/>
      <c r="AC267" s="201"/>
      <c r="AD267" s="201"/>
      <c r="AE267" s="201"/>
      <c r="AF267" s="201"/>
      <c r="AG267" s="201"/>
      <c r="AH267" s="104"/>
      <c r="AI267" s="201"/>
      <c r="AJ267" s="201"/>
      <c r="AK267" s="201"/>
      <c r="AL267" s="201"/>
      <c r="AM267" s="201"/>
      <c r="AN267" s="201"/>
      <c r="AO267" s="104"/>
      <c r="AP267" s="201"/>
      <c r="AQ267" s="201"/>
      <c r="AR267" s="201"/>
      <c r="AS267" s="201"/>
      <c r="AT267" s="201"/>
      <c r="AU267" s="201"/>
      <c r="AV267" s="104"/>
      <c r="AW267" s="201"/>
      <c r="AX267" s="201"/>
      <c r="AY267" s="201"/>
      <c r="AZ267" s="201"/>
      <c r="BA267" s="201"/>
      <c r="BB267" s="201"/>
      <c r="BC267" s="104"/>
      <c r="BD267" s="201"/>
      <c r="BE267" s="201"/>
      <c r="BF267" s="201"/>
      <c r="BG267" s="201"/>
      <c r="BH267" s="201"/>
      <c r="BI267" s="201"/>
      <c r="BJ267" s="104"/>
      <c r="BK267" s="201"/>
      <c r="BL267" s="201"/>
      <c r="BM267" s="201"/>
      <c r="BN267" s="201"/>
      <c r="BO267" s="201"/>
      <c r="BP267" s="201"/>
      <c r="BQ267" s="104"/>
      <c r="BR267" s="201"/>
      <c r="BS267" s="201"/>
      <c r="BT267" s="201"/>
      <c r="BU267" s="201"/>
      <c r="BV267" s="201"/>
      <c r="BW267" s="201"/>
      <c r="BX267" s="104"/>
      <c r="BY267" s="201"/>
      <c r="BZ267" s="201"/>
      <c r="CA267" s="201"/>
      <c r="CB267" s="201"/>
      <c r="CC267" s="201"/>
      <c r="CD267" s="201"/>
      <c r="CE267" s="104"/>
      <c r="CF267" s="201"/>
      <c r="CG267" s="201"/>
      <c r="CH267" s="201"/>
      <c r="CI267" s="201"/>
      <c r="CJ267" s="201"/>
      <c r="CK267" s="201"/>
      <c r="CL267" s="104"/>
      <c r="CM267" s="201"/>
      <c r="CN267" s="201"/>
      <c r="CO267" s="201"/>
      <c r="CP267" s="201"/>
      <c r="CQ267" s="201"/>
      <c r="CR267" s="201"/>
      <c r="CS267" s="104"/>
      <c r="CT267" s="201"/>
      <c r="CU267" s="201"/>
      <c r="CV267" s="201"/>
      <c r="CW267" s="201"/>
      <c r="CX267" s="201"/>
      <c r="CY267" s="201"/>
      <c r="CZ267" s="104"/>
      <c r="DA267" s="201"/>
      <c r="DB267" s="201"/>
      <c r="DC267" s="201"/>
      <c r="DD267" s="201"/>
      <c r="DE267" s="201"/>
      <c r="DF267" s="201"/>
      <c r="DG267" s="104"/>
      <c r="DH267" s="201"/>
      <c r="DI267" s="201"/>
      <c r="DJ267" s="201"/>
      <c r="DK267" s="201"/>
      <c r="DL267" s="201"/>
      <c r="DM267" s="201"/>
      <c r="DN267" s="104"/>
      <c r="DO267" s="201"/>
      <c r="DP267" s="201"/>
      <c r="DQ267" s="201"/>
      <c r="DR267" s="201"/>
      <c r="DS267" s="201"/>
      <c r="DT267" s="201"/>
      <c r="DU267" s="104"/>
      <c r="DV267" s="201"/>
      <c r="DW267" s="201"/>
      <c r="DX267" s="201"/>
      <c r="DY267" s="201"/>
      <c r="DZ267" s="201"/>
      <c r="EA267" s="201"/>
      <c r="EB267" s="104"/>
      <c r="EC267" s="201"/>
      <c r="ED267" s="201"/>
      <c r="EE267" s="201"/>
      <c r="EF267" s="201"/>
      <c r="EG267" s="201"/>
      <c r="EH267" s="201"/>
      <c r="EI267" s="104"/>
      <c r="EJ267" s="47"/>
      <c r="EK267" s="47"/>
      <c r="EL267" s="47"/>
      <c r="EM267" s="47"/>
      <c r="EN267" s="47"/>
      <c r="EO267" s="47"/>
      <c r="EP267" s="47"/>
      <c r="EQ267" s="47"/>
      <c r="ER267" s="47"/>
      <c r="ES267" s="47"/>
      <c r="ET267" s="47"/>
      <c r="EU267" s="47"/>
      <c r="EV267" s="47"/>
      <c r="EW267" s="47"/>
      <c r="EX267" s="47"/>
      <c r="EY267" s="47"/>
      <c r="EZ267" s="47"/>
      <c r="FA267" s="47"/>
      <c r="FB267" s="47"/>
      <c r="FC267" s="47"/>
      <c r="FD267" s="47"/>
      <c r="FE267" s="47"/>
      <c r="FF267" s="47"/>
      <c r="FG267" s="47"/>
      <c r="FH267" s="47"/>
      <c r="FI267" s="47"/>
      <c r="FJ267" s="47"/>
      <c r="FK267" s="47"/>
      <c r="FL267" s="47"/>
      <c r="FM267" s="47"/>
      <c r="FN267" s="47"/>
      <c r="FO267" s="47"/>
      <c r="FP267" s="47"/>
      <c r="FQ267" s="47"/>
      <c r="FR267" s="47"/>
      <c r="FS267" s="47"/>
      <c r="FT267" s="47"/>
      <c r="FU267" s="47"/>
      <c r="FV267" s="47"/>
      <c r="FW267" s="47"/>
      <c r="FX267" s="47"/>
      <c r="FY267" s="47"/>
      <c r="FZ267" s="47"/>
      <c r="GA267" s="47"/>
      <c r="GB267" s="47"/>
      <c r="GC267" s="47"/>
      <c r="GD267" s="47"/>
      <c r="GE267" s="47"/>
    </row>
    <row r="268" spans="1:187" ht="10.5" customHeight="1">
      <c r="A268" s="4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77"/>
      <c r="U268" s="223"/>
      <c r="V268" s="223"/>
      <c r="W268" s="223"/>
      <c r="X268" s="223"/>
      <c r="Y268" s="223"/>
      <c r="Z268" s="223"/>
      <c r="AA268" s="77"/>
      <c r="AB268" s="223"/>
      <c r="AC268" s="223"/>
      <c r="AD268" s="223"/>
      <c r="AE268" s="223"/>
      <c r="AF268" s="223"/>
      <c r="AG268" s="223"/>
      <c r="AH268" s="77"/>
      <c r="AI268" s="223"/>
      <c r="AJ268" s="223"/>
      <c r="AK268" s="223"/>
      <c r="AL268" s="223"/>
      <c r="AM268" s="223"/>
      <c r="AN268" s="223"/>
      <c r="AO268" s="77"/>
      <c r="AP268" s="223"/>
      <c r="AQ268" s="223"/>
      <c r="AR268" s="223"/>
      <c r="AS268" s="223"/>
      <c r="AT268" s="223"/>
      <c r="AU268" s="223"/>
      <c r="AV268" s="77"/>
      <c r="AW268" s="223"/>
      <c r="AX268" s="223"/>
      <c r="AY268" s="223"/>
      <c r="AZ268" s="223"/>
      <c r="BA268" s="223"/>
      <c r="BB268" s="223"/>
      <c r="BC268" s="77"/>
      <c r="BD268" s="223"/>
      <c r="BE268" s="223"/>
      <c r="BF268" s="223"/>
      <c r="BG268" s="223"/>
      <c r="BH268" s="223"/>
      <c r="BI268" s="223"/>
      <c r="BJ268" s="77"/>
      <c r="BK268" s="223"/>
      <c r="BL268" s="223"/>
      <c r="BM268" s="223"/>
      <c r="BN268" s="223"/>
      <c r="BO268" s="223"/>
      <c r="BP268" s="223"/>
      <c r="BQ268" s="77"/>
      <c r="BR268" s="223"/>
      <c r="BS268" s="223"/>
      <c r="BT268" s="223"/>
      <c r="BU268" s="223"/>
      <c r="BV268" s="223"/>
      <c r="BW268" s="223"/>
      <c r="BX268" s="77"/>
      <c r="BY268" s="223"/>
      <c r="BZ268" s="223"/>
      <c r="CA268" s="223"/>
      <c r="CB268" s="223"/>
      <c r="CC268" s="223"/>
      <c r="CD268" s="223"/>
      <c r="CE268" s="77"/>
      <c r="CF268" s="223"/>
      <c r="CG268" s="223"/>
      <c r="CH268" s="223"/>
      <c r="CI268" s="223"/>
      <c r="CJ268" s="223"/>
      <c r="CK268" s="223"/>
      <c r="CL268" s="77"/>
      <c r="CM268" s="223"/>
      <c r="CN268" s="223"/>
      <c r="CO268" s="223"/>
      <c r="CP268" s="223"/>
      <c r="CQ268" s="223"/>
      <c r="CR268" s="223"/>
      <c r="CS268" s="77"/>
      <c r="CT268" s="223"/>
      <c r="CU268" s="223"/>
      <c r="CV268" s="223"/>
      <c r="CW268" s="223"/>
      <c r="CX268" s="223"/>
      <c r="CY268" s="223"/>
      <c r="CZ268" s="77"/>
      <c r="DA268" s="223"/>
      <c r="DB268" s="223"/>
      <c r="DC268" s="223"/>
      <c r="DD268" s="223"/>
      <c r="DE268" s="223"/>
      <c r="DF268" s="223"/>
      <c r="DG268" s="77"/>
      <c r="DH268" s="223"/>
      <c r="DI268" s="223"/>
      <c r="DJ268" s="223"/>
      <c r="DK268" s="223"/>
      <c r="DL268" s="223"/>
      <c r="DM268" s="223"/>
      <c r="DN268" s="77"/>
      <c r="DO268" s="223"/>
      <c r="DP268" s="223"/>
      <c r="DQ268" s="223"/>
      <c r="DR268" s="223"/>
      <c r="DS268" s="223"/>
      <c r="DT268" s="223"/>
      <c r="DU268" s="77"/>
      <c r="DV268" s="223"/>
      <c r="DW268" s="223"/>
      <c r="DX268" s="223"/>
      <c r="DY268" s="223"/>
      <c r="DZ268" s="223"/>
      <c r="EA268" s="223"/>
      <c r="EB268" s="77"/>
      <c r="EC268" s="223"/>
      <c r="ED268" s="223"/>
      <c r="EE268" s="223"/>
      <c r="EF268" s="223"/>
      <c r="EG268" s="223"/>
      <c r="EH268" s="223"/>
      <c r="EI268" s="77"/>
      <c r="EJ268" s="47"/>
      <c r="EK268" s="47"/>
      <c r="EL268" s="47"/>
      <c r="EM268" s="47"/>
      <c r="EN268" s="47"/>
      <c r="EO268" s="47"/>
      <c r="EP268" s="47"/>
      <c r="EQ268" s="47"/>
      <c r="ER268" s="47"/>
      <c r="ES268" s="47"/>
      <c r="ET268" s="47"/>
      <c r="EU268" s="47"/>
      <c r="EV268" s="47"/>
      <c r="EW268" s="47"/>
      <c r="EX268" s="47"/>
      <c r="EY268" s="47"/>
      <c r="EZ268" s="47"/>
      <c r="FA268" s="47"/>
      <c r="FB268" s="47"/>
      <c r="FC268" s="47"/>
      <c r="FD268" s="47"/>
      <c r="FE268" s="47"/>
      <c r="FF268" s="47"/>
      <c r="FG268" s="47"/>
      <c r="FH268" s="47"/>
      <c r="FI268" s="47"/>
      <c r="FJ268" s="47"/>
      <c r="FK268" s="47"/>
      <c r="FL268" s="47"/>
      <c r="FM268" s="47"/>
      <c r="FN268" s="47"/>
      <c r="FO268" s="47"/>
      <c r="FP268" s="47"/>
      <c r="FQ268" s="47"/>
      <c r="FR268" s="47"/>
      <c r="FS268" s="47"/>
      <c r="FT268" s="47"/>
      <c r="FU268" s="47"/>
      <c r="FV268" s="47"/>
      <c r="FW268" s="47"/>
      <c r="FX268" s="47"/>
      <c r="FY268" s="47"/>
      <c r="FZ268" s="47"/>
      <c r="GA268" s="47"/>
      <c r="GB268" s="47"/>
      <c r="GC268" s="47"/>
      <c r="GD268" s="47"/>
      <c r="GE268" s="47"/>
    </row>
    <row r="269" spans="1:187" ht="10.5" customHeight="1">
      <c r="A269" s="43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43"/>
      <c r="U269" s="108"/>
      <c r="V269" s="108"/>
      <c r="W269" s="108"/>
      <c r="X269" s="108"/>
      <c r="Y269" s="108"/>
      <c r="Z269" s="108"/>
      <c r="AA269" s="43"/>
      <c r="AB269" s="108"/>
      <c r="AC269" s="108"/>
      <c r="AD269" s="108"/>
      <c r="AE269" s="108"/>
      <c r="AF269" s="108"/>
      <c r="AG269" s="108"/>
      <c r="AH269" s="43"/>
      <c r="AI269" s="108"/>
      <c r="AJ269" s="108"/>
      <c r="AK269" s="108"/>
      <c r="AL269" s="108"/>
      <c r="AM269" s="108"/>
      <c r="AN269" s="108"/>
      <c r="AO269" s="43"/>
      <c r="AP269" s="108"/>
      <c r="AQ269" s="108"/>
      <c r="AR269" s="108"/>
      <c r="AS269" s="108"/>
      <c r="AT269" s="108"/>
      <c r="AU269" s="108"/>
      <c r="AV269" s="43"/>
      <c r="AW269" s="108"/>
      <c r="AX269" s="108"/>
      <c r="AY269" s="108"/>
      <c r="AZ269" s="108"/>
      <c r="BA269" s="108"/>
      <c r="BB269" s="108"/>
      <c r="BC269" s="43"/>
      <c r="BD269" s="108"/>
      <c r="BE269" s="108"/>
      <c r="BF269" s="108"/>
      <c r="BG269" s="108"/>
      <c r="BH269" s="108"/>
      <c r="BI269" s="108"/>
      <c r="BJ269" s="43"/>
      <c r="BK269" s="108"/>
      <c r="BL269" s="108"/>
      <c r="BM269" s="108"/>
      <c r="BN269" s="108"/>
      <c r="BO269" s="108"/>
      <c r="BP269" s="108"/>
      <c r="BQ269" s="43"/>
      <c r="BR269" s="108"/>
      <c r="BS269" s="108"/>
      <c r="BT269" s="108"/>
      <c r="BU269" s="108"/>
      <c r="BV269" s="108"/>
      <c r="BW269" s="108"/>
      <c r="BX269" s="43"/>
      <c r="BY269" s="108"/>
      <c r="BZ269" s="108"/>
      <c r="CA269" s="108"/>
      <c r="CB269" s="108"/>
      <c r="CC269" s="108"/>
      <c r="CD269" s="108"/>
      <c r="CE269" s="43"/>
      <c r="CF269" s="108"/>
      <c r="CG269" s="108"/>
      <c r="CH269" s="108"/>
      <c r="CI269" s="108"/>
      <c r="CJ269" s="108"/>
      <c r="CK269" s="108"/>
      <c r="CL269" s="43"/>
      <c r="CM269" s="108"/>
      <c r="CN269" s="108"/>
      <c r="CO269" s="108"/>
      <c r="CP269" s="108"/>
      <c r="CQ269" s="108"/>
      <c r="CR269" s="108"/>
      <c r="CS269" s="43"/>
      <c r="CT269" s="108"/>
      <c r="CU269" s="108"/>
      <c r="CV269" s="108"/>
      <c r="CW269" s="108"/>
      <c r="CX269" s="108"/>
      <c r="CY269" s="108"/>
      <c r="CZ269" s="43"/>
      <c r="DA269" s="108"/>
      <c r="DB269" s="108"/>
      <c r="DC269" s="108"/>
      <c r="DD269" s="108"/>
      <c r="DE269" s="108"/>
      <c r="DF269" s="108"/>
      <c r="DG269" s="43"/>
      <c r="DH269" s="108"/>
      <c r="DI269" s="108"/>
      <c r="DJ269" s="108"/>
      <c r="DK269" s="108"/>
      <c r="DL269" s="108"/>
      <c r="DM269" s="108"/>
      <c r="DN269" s="43"/>
      <c r="DO269" s="108"/>
      <c r="DP269" s="108"/>
      <c r="DQ269" s="108"/>
      <c r="DR269" s="108"/>
      <c r="DS269" s="108"/>
      <c r="DT269" s="108"/>
      <c r="DU269" s="43"/>
      <c r="DV269" s="108"/>
      <c r="DW269" s="108"/>
      <c r="DX269" s="108"/>
      <c r="DY269" s="108"/>
      <c r="DZ269" s="108"/>
      <c r="EA269" s="108"/>
      <c r="EB269" s="43"/>
      <c r="EC269" s="108"/>
      <c r="ED269" s="108"/>
      <c r="EE269" s="108"/>
      <c r="EF269" s="108"/>
      <c r="EG269" s="108"/>
      <c r="EH269" s="108"/>
      <c r="EI269" s="43"/>
      <c r="EJ269" s="47"/>
      <c r="EK269" s="47"/>
      <c r="EL269" s="47"/>
      <c r="EM269" s="47"/>
      <c r="EN269" s="47"/>
      <c r="EO269" s="47"/>
      <c r="EP269" s="47"/>
      <c r="EQ269" s="47"/>
      <c r="ER269" s="47"/>
      <c r="ES269" s="47"/>
      <c r="ET269" s="47"/>
      <c r="EU269" s="47"/>
      <c r="EV269" s="47"/>
      <c r="EW269" s="47"/>
      <c r="EX269" s="47"/>
      <c r="EY269" s="47"/>
      <c r="EZ269" s="47"/>
      <c r="FA269" s="47"/>
      <c r="FB269" s="47"/>
      <c r="FC269" s="47"/>
      <c r="FD269" s="47"/>
      <c r="FE269" s="47"/>
      <c r="FF269" s="47"/>
      <c r="FG269" s="47"/>
      <c r="FH269" s="47"/>
      <c r="FI269" s="47"/>
      <c r="FJ269" s="47"/>
      <c r="FK269" s="47"/>
      <c r="FL269" s="47"/>
      <c r="FM269" s="47"/>
      <c r="FN269" s="47"/>
      <c r="FO269" s="47"/>
      <c r="FP269" s="47"/>
      <c r="FQ269" s="47"/>
      <c r="FR269" s="47"/>
      <c r="FS269" s="47"/>
      <c r="FT269" s="47"/>
      <c r="FU269" s="47"/>
      <c r="FV269" s="47"/>
      <c r="FW269" s="47"/>
      <c r="FX269" s="47"/>
      <c r="FY269" s="47"/>
      <c r="FZ269" s="47"/>
      <c r="GA269" s="47"/>
      <c r="GB269" s="47"/>
      <c r="GC269" s="47"/>
      <c r="GD269" s="47"/>
      <c r="GE269" s="47"/>
    </row>
    <row r="270" spans="1:187" ht="10.5" customHeight="1">
      <c r="A270" s="43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203"/>
      <c r="O270" s="203"/>
      <c r="P270" s="203"/>
      <c r="Q270" s="203"/>
      <c r="R270" s="203"/>
      <c r="S270" s="203"/>
      <c r="T270" s="93"/>
      <c r="U270" s="203"/>
      <c r="V270" s="203"/>
      <c r="W270" s="203"/>
      <c r="X270" s="203"/>
      <c r="Y270" s="203"/>
      <c r="Z270" s="203"/>
      <c r="AA270" s="93"/>
      <c r="AB270" s="203"/>
      <c r="AC270" s="203"/>
      <c r="AD270" s="203"/>
      <c r="AE270" s="203"/>
      <c r="AF270" s="203"/>
      <c r="AG270" s="203"/>
      <c r="AH270" s="93"/>
      <c r="AI270" s="203"/>
      <c r="AJ270" s="203"/>
      <c r="AK270" s="203"/>
      <c r="AL270" s="203"/>
      <c r="AM270" s="203"/>
      <c r="AN270" s="203"/>
      <c r="AO270" s="93"/>
      <c r="AP270" s="203"/>
      <c r="AQ270" s="203"/>
      <c r="AR270" s="203"/>
      <c r="AS270" s="203"/>
      <c r="AT270" s="203"/>
      <c r="AU270" s="203"/>
      <c r="AV270" s="93"/>
      <c r="AW270" s="203"/>
      <c r="AX270" s="203"/>
      <c r="AY270" s="203"/>
      <c r="AZ270" s="203"/>
      <c r="BA270" s="203"/>
      <c r="BB270" s="203"/>
      <c r="BC270" s="93"/>
      <c r="BD270" s="203"/>
      <c r="BE270" s="203"/>
      <c r="BF270" s="203"/>
      <c r="BG270" s="203"/>
      <c r="BH270" s="203"/>
      <c r="BI270" s="203"/>
      <c r="BJ270" s="93"/>
      <c r="BK270" s="203"/>
      <c r="BL270" s="203"/>
      <c r="BM270" s="203"/>
      <c r="BN270" s="203"/>
      <c r="BO270" s="203"/>
      <c r="BP270" s="203"/>
      <c r="BQ270" s="93"/>
      <c r="BR270" s="203"/>
      <c r="BS270" s="203"/>
      <c r="BT270" s="203"/>
      <c r="BU270" s="203"/>
      <c r="BV270" s="203"/>
      <c r="BW270" s="203"/>
      <c r="BX270" s="93"/>
      <c r="BY270" s="203"/>
      <c r="BZ270" s="203"/>
      <c r="CA270" s="203"/>
      <c r="CB270" s="203"/>
      <c r="CC270" s="203"/>
      <c r="CD270" s="203"/>
      <c r="CE270" s="93"/>
      <c r="CF270" s="203"/>
      <c r="CG270" s="203"/>
      <c r="CH270" s="203"/>
      <c r="CI270" s="203"/>
      <c r="CJ270" s="203"/>
      <c r="CK270" s="203"/>
      <c r="CL270" s="93"/>
      <c r="CM270" s="203"/>
      <c r="CN270" s="203"/>
      <c r="CO270" s="203"/>
      <c r="CP270" s="203"/>
      <c r="CQ270" s="203"/>
      <c r="CR270" s="203"/>
      <c r="CS270" s="93"/>
      <c r="CT270" s="203"/>
      <c r="CU270" s="203"/>
      <c r="CV270" s="203"/>
      <c r="CW270" s="203"/>
      <c r="CX270" s="203"/>
      <c r="CY270" s="203"/>
      <c r="CZ270" s="93"/>
      <c r="DA270" s="203"/>
      <c r="DB270" s="203"/>
      <c r="DC270" s="203"/>
      <c r="DD270" s="203"/>
      <c r="DE270" s="203"/>
      <c r="DF270" s="203"/>
      <c r="DG270" s="93"/>
      <c r="DH270" s="203"/>
      <c r="DI270" s="203"/>
      <c r="DJ270" s="203"/>
      <c r="DK270" s="203"/>
      <c r="DL270" s="203"/>
      <c r="DM270" s="203"/>
      <c r="DN270" s="93"/>
      <c r="DO270" s="203"/>
      <c r="DP270" s="203"/>
      <c r="DQ270" s="203"/>
      <c r="DR270" s="203"/>
      <c r="DS270" s="203"/>
      <c r="DT270" s="203"/>
      <c r="DU270" s="93"/>
      <c r="DV270" s="203"/>
      <c r="DW270" s="203"/>
      <c r="DX270" s="203"/>
      <c r="DY270" s="203"/>
      <c r="DZ270" s="203"/>
      <c r="EA270" s="203"/>
      <c r="EB270" s="93"/>
      <c r="EC270" s="203"/>
      <c r="ED270" s="203"/>
      <c r="EE270" s="203"/>
      <c r="EF270" s="203"/>
      <c r="EG270" s="203"/>
      <c r="EH270" s="203"/>
      <c r="EI270" s="93"/>
      <c r="EJ270" s="47"/>
      <c r="EK270" s="47"/>
      <c r="EL270" s="47"/>
      <c r="EM270" s="47"/>
      <c r="EN270" s="47"/>
      <c r="EO270" s="47"/>
      <c r="EP270" s="47"/>
      <c r="EQ270" s="47"/>
      <c r="ER270" s="47"/>
      <c r="ES270" s="47"/>
      <c r="ET270" s="47"/>
      <c r="EU270" s="47"/>
      <c r="EV270" s="47"/>
      <c r="EW270" s="47"/>
      <c r="EX270" s="47"/>
      <c r="EY270" s="47"/>
      <c r="EZ270" s="47"/>
      <c r="FA270" s="47"/>
      <c r="FB270" s="47"/>
      <c r="FC270" s="47"/>
      <c r="FD270" s="47"/>
      <c r="FE270" s="47"/>
      <c r="FF270" s="47"/>
      <c r="FG270" s="47"/>
      <c r="FH270" s="47"/>
      <c r="FI270" s="47"/>
      <c r="FJ270" s="47"/>
      <c r="FK270" s="47"/>
      <c r="FL270" s="47"/>
      <c r="FM270" s="47"/>
      <c r="FN270" s="47"/>
      <c r="FO270" s="47"/>
      <c r="FP270" s="47"/>
      <c r="FQ270" s="47"/>
      <c r="FR270" s="47"/>
      <c r="FS270" s="47"/>
      <c r="FT270" s="47"/>
      <c r="FU270" s="47"/>
      <c r="FV270" s="47"/>
      <c r="FW270" s="47"/>
      <c r="FX270" s="47"/>
      <c r="FY270" s="47"/>
      <c r="FZ270" s="47"/>
      <c r="GA270" s="47"/>
      <c r="GB270" s="47"/>
      <c r="GC270" s="47"/>
      <c r="GD270" s="47"/>
      <c r="GE270" s="47"/>
    </row>
    <row r="271" spans="1:187" ht="10.5" customHeight="1">
      <c r="A271" s="43"/>
      <c r="B271" s="108"/>
      <c r="C271" s="108"/>
      <c r="D271" s="108"/>
      <c r="E271" s="203"/>
      <c r="F271" s="203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43"/>
      <c r="U271" s="108"/>
      <c r="V271" s="108"/>
      <c r="W271" s="108"/>
      <c r="X271" s="108"/>
      <c r="Y271" s="108"/>
      <c r="Z271" s="108"/>
      <c r="AA271" s="43"/>
      <c r="AB271" s="108"/>
      <c r="AC271" s="108"/>
      <c r="AD271" s="108"/>
      <c r="AE271" s="108"/>
      <c r="AF271" s="108"/>
      <c r="AG271" s="108"/>
      <c r="AH271" s="43"/>
      <c r="AI271" s="108"/>
      <c r="AJ271" s="108"/>
      <c r="AK271" s="108"/>
      <c r="AL271" s="108"/>
      <c r="AM271" s="108"/>
      <c r="AN271" s="108"/>
      <c r="AO271" s="43"/>
      <c r="AP271" s="108"/>
      <c r="AQ271" s="108"/>
      <c r="AR271" s="108"/>
      <c r="AS271" s="108"/>
      <c r="AT271" s="108"/>
      <c r="AU271" s="108"/>
      <c r="AV271" s="43"/>
      <c r="AW271" s="108"/>
      <c r="AX271" s="108"/>
      <c r="AY271" s="108"/>
      <c r="AZ271" s="108"/>
      <c r="BA271" s="108"/>
      <c r="BB271" s="108"/>
      <c r="BC271" s="43"/>
      <c r="BD271" s="108"/>
      <c r="BE271" s="108"/>
      <c r="BF271" s="108"/>
      <c r="BG271" s="108"/>
      <c r="BH271" s="108"/>
      <c r="BI271" s="108"/>
      <c r="BJ271" s="43"/>
      <c r="BK271" s="108"/>
      <c r="BL271" s="108"/>
      <c r="BM271" s="108"/>
      <c r="BN271" s="108"/>
      <c r="BO271" s="108"/>
      <c r="BP271" s="108"/>
      <c r="BQ271" s="43"/>
      <c r="BR271" s="108"/>
      <c r="BS271" s="108"/>
      <c r="BT271" s="108"/>
      <c r="BU271" s="108"/>
      <c r="BV271" s="108"/>
      <c r="BW271" s="108"/>
      <c r="BX271" s="43"/>
      <c r="BY271" s="108"/>
      <c r="BZ271" s="108"/>
      <c r="CA271" s="108"/>
      <c r="CB271" s="108"/>
      <c r="CC271" s="108"/>
      <c r="CD271" s="108"/>
      <c r="CE271" s="43"/>
      <c r="CF271" s="108"/>
      <c r="CG271" s="108"/>
      <c r="CH271" s="108"/>
      <c r="CI271" s="108"/>
      <c r="CJ271" s="108"/>
      <c r="CK271" s="108"/>
      <c r="CL271" s="43"/>
      <c r="CM271" s="108"/>
      <c r="CN271" s="108"/>
      <c r="CO271" s="108"/>
      <c r="CP271" s="108"/>
      <c r="CQ271" s="108"/>
      <c r="CR271" s="108"/>
      <c r="CS271" s="43"/>
      <c r="CT271" s="108"/>
      <c r="CU271" s="108"/>
      <c r="CV271" s="108"/>
      <c r="CW271" s="108"/>
      <c r="CX271" s="108"/>
      <c r="CY271" s="108"/>
      <c r="CZ271" s="43"/>
      <c r="DA271" s="108"/>
      <c r="DB271" s="108"/>
      <c r="DC271" s="108"/>
      <c r="DD271" s="108"/>
      <c r="DE271" s="108"/>
      <c r="DF271" s="108"/>
      <c r="DG271" s="43"/>
      <c r="DH271" s="108"/>
      <c r="DI271" s="108"/>
      <c r="DJ271" s="108"/>
      <c r="DK271" s="108"/>
      <c r="DL271" s="108"/>
      <c r="DM271" s="108"/>
      <c r="DN271" s="43"/>
      <c r="DO271" s="108"/>
      <c r="DP271" s="108"/>
      <c r="DQ271" s="108"/>
      <c r="DR271" s="108"/>
      <c r="DS271" s="108"/>
      <c r="DT271" s="108"/>
      <c r="DU271" s="43"/>
      <c r="DV271" s="108"/>
      <c r="DW271" s="108"/>
      <c r="DX271" s="108"/>
      <c r="DY271" s="108"/>
      <c r="DZ271" s="108"/>
      <c r="EA271" s="108"/>
      <c r="EB271" s="43"/>
      <c r="EC271" s="108"/>
      <c r="ED271" s="108"/>
      <c r="EE271" s="108"/>
      <c r="EF271" s="108"/>
      <c r="EG271" s="108"/>
      <c r="EH271" s="108"/>
      <c r="EI271" s="43"/>
      <c r="EJ271" s="47"/>
      <c r="EK271" s="47"/>
      <c r="EL271" s="47"/>
      <c r="EM271" s="47"/>
      <c r="EN271" s="47"/>
      <c r="EO271" s="47"/>
      <c r="EP271" s="47"/>
      <c r="EQ271" s="47"/>
      <c r="ER271" s="47"/>
      <c r="ES271" s="47"/>
      <c r="ET271" s="47"/>
      <c r="EU271" s="47"/>
      <c r="EV271" s="47"/>
      <c r="EW271" s="47"/>
      <c r="EX271" s="47"/>
      <c r="EY271" s="47"/>
      <c r="EZ271" s="47"/>
      <c r="FA271" s="47"/>
      <c r="FB271" s="47"/>
      <c r="FC271" s="47"/>
      <c r="FD271" s="47"/>
      <c r="FE271" s="47"/>
      <c r="FF271" s="47"/>
      <c r="FG271" s="47"/>
      <c r="FH271" s="47"/>
      <c r="FI271" s="47"/>
      <c r="FJ271" s="47"/>
      <c r="FK271" s="47"/>
      <c r="FL271" s="47"/>
      <c r="FM271" s="47"/>
      <c r="FN271" s="47"/>
      <c r="FO271" s="47"/>
      <c r="FP271" s="47"/>
      <c r="FQ271" s="47"/>
      <c r="FR271" s="47"/>
      <c r="FS271" s="47"/>
      <c r="FT271" s="47"/>
      <c r="FU271" s="47"/>
      <c r="FV271" s="47"/>
      <c r="FW271" s="47"/>
      <c r="FX271" s="47"/>
      <c r="FY271" s="47"/>
      <c r="FZ271" s="47"/>
      <c r="GA271" s="47"/>
      <c r="GB271" s="47"/>
      <c r="GC271" s="47"/>
      <c r="GD271" s="47"/>
      <c r="GE271" s="47"/>
    </row>
    <row r="272" spans="1:187" ht="10.5" customHeight="1">
      <c r="A272" s="43"/>
      <c r="B272" s="108"/>
      <c r="C272" s="108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93"/>
      <c r="U272" s="203"/>
      <c r="V272" s="203"/>
      <c r="W272" s="203"/>
      <c r="X272" s="203"/>
      <c r="Y272" s="203"/>
      <c r="Z272" s="203"/>
      <c r="AA272" s="93"/>
      <c r="AB272" s="203"/>
      <c r="AC272" s="203"/>
      <c r="AD272" s="203"/>
      <c r="AE272" s="203"/>
      <c r="AF272" s="203"/>
      <c r="AG272" s="203"/>
      <c r="AH272" s="93"/>
      <c r="AI272" s="203"/>
      <c r="AJ272" s="203"/>
      <c r="AK272" s="203"/>
      <c r="AL272" s="203"/>
      <c r="AM272" s="203"/>
      <c r="AN272" s="203"/>
      <c r="AO272" s="93"/>
      <c r="AP272" s="203"/>
      <c r="AQ272" s="203"/>
      <c r="AR272" s="203"/>
      <c r="AS272" s="203"/>
      <c r="AT272" s="203"/>
      <c r="AU272" s="203"/>
      <c r="AV272" s="93"/>
      <c r="AW272" s="203"/>
      <c r="AX272" s="203"/>
      <c r="AY272" s="203"/>
      <c r="AZ272" s="203"/>
      <c r="BA272" s="203"/>
      <c r="BB272" s="203"/>
      <c r="BC272" s="93"/>
      <c r="BD272" s="203"/>
      <c r="BE272" s="203"/>
      <c r="BF272" s="203"/>
      <c r="BG272" s="203"/>
      <c r="BH272" s="203"/>
      <c r="BI272" s="203"/>
      <c r="BJ272" s="93"/>
      <c r="BK272" s="203"/>
      <c r="BL272" s="203"/>
      <c r="BM272" s="203"/>
      <c r="BN272" s="203"/>
      <c r="BO272" s="203"/>
      <c r="BP272" s="203"/>
      <c r="BQ272" s="93"/>
      <c r="BR272" s="203"/>
      <c r="BS272" s="203"/>
      <c r="BT272" s="203"/>
      <c r="BU272" s="203"/>
      <c r="BV272" s="203"/>
      <c r="BW272" s="203"/>
      <c r="BX272" s="93"/>
      <c r="BY272" s="203"/>
      <c r="BZ272" s="203"/>
      <c r="CA272" s="203"/>
      <c r="CB272" s="203"/>
      <c r="CC272" s="203"/>
      <c r="CD272" s="203"/>
      <c r="CE272" s="93"/>
      <c r="CF272" s="203"/>
      <c r="CG272" s="203"/>
      <c r="CH272" s="203"/>
      <c r="CI272" s="203"/>
      <c r="CJ272" s="203"/>
      <c r="CK272" s="203"/>
      <c r="CL272" s="93"/>
      <c r="CM272" s="203"/>
      <c r="CN272" s="203"/>
      <c r="CO272" s="203"/>
      <c r="CP272" s="203"/>
      <c r="CQ272" s="203"/>
      <c r="CR272" s="203"/>
      <c r="CS272" s="93"/>
      <c r="CT272" s="203"/>
      <c r="CU272" s="203"/>
      <c r="CV272" s="203"/>
      <c r="CW272" s="203"/>
      <c r="CX272" s="203"/>
      <c r="CY272" s="203"/>
      <c r="CZ272" s="93"/>
      <c r="DA272" s="203"/>
      <c r="DB272" s="203"/>
      <c r="DC272" s="203"/>
      <c r="DD272" s="203"/>
      <c r="DE272" s="203"/>
      <c r="DF272" s="203"/>
      <c r="DG272" s="93"/>
      <c r="DH272" s="203"/>
      <c r="DI272" s="203"/>
      <c r="DJ272" s="203"/>
      <c r="DK272" s="203"/>
      <c r="DL272" s="203"/>
      <c r="DM272" s="203"/>
      <c r="DN272" s="93"/>
      <c r="DO272" s="203"/>
      <c r="DP272" s="203"/>
      <c r="DQ272" s="203"/>
      <c r="DR272" s="203"/>
      <c r="DS272" s="203"/>
      <c r="DT272" s="203"/>
      <c r="DU272" s="93"/>
      <c r="DV272" s="203"/>
      <c r="DW272" s="203"/>
      <c r="DX272" s="203"/>
      <c r="DY272" s="203"/>
      <c r="DZ272" s="203"/>
      <c r="EA272" s="203"/>
      <c r="EB272" s="93"/>
      <c r="EC272" s="203"/>
      <c r="ED272" s="203"/>
      <c r="EE272" s="203"/>
      <c r="EF272" s="203"/>
      <c r="EG272" s="203"/>
      <c r="EH272" s="203"/>
      <c r="EI272" s="93"/>
      <c r="EJ272" s="47"/>
      <c r="EK272" s="47"/>
      <c r="EL272" s="47"/>
      <c r="EM272" s="47"/>
      <c r="EN272" s="47"/>
      <c r="EO272" s="47"/>
      <c r="EP272" s="47"/>
      <c r="EQ272" s="47"/>
      <c r="ER272" s="47"/>
      <c r="ES272" s="47"/>
      <c r="ET272" s="47"/>
      <c r="EU272" s="47"/>
      <c r="EV272" s="47"/>
      <c r="EW272" s="47"/>
      <c r="EX272" s="47"/>
      <c r="EY272" s="47"/>
      <c r="EZ272" s="47"/>
      <c r="FA272" s="47"/>
      <c r="FB272" s="47"/>
      <c r="FC272" s="47"/>
      <c r="FD272" s="47"/>
      <c r="FE272" s="47"/>
      <c r="FF272" s="47"/>
      <c r="FG272" s="47"/>
      <c r="FH272" s="47"/>
      <c r="FI272" s="47"/>
      <c r="FJ272" s="47"/>
      <c r="FK272" s="47"/>
      <c r="FL272" s="47"/>
      <c r="FM272" s="47"/>
      <c r="FN272" s="47"/>
      <c r="FO272" s="47"/>
      <c r="FP272" s="47"/>
      <c r="FQ272" s="47"/>
      <c r="FR272" s="47"/>
      <c r="FS272" s="47"/>
      <c r="FT272" s="47"/>
      <c r="FU272" s="47"/>
      <c r="FV272" s="47"/>
      <c r="FW272" s="47"/>
      <c r="FX272" s="47"/>
      <c r="FY272" s="47"/>
      <c r="FZ272" s="47"/>
      <c r="GA272" s="47"/>
      <c r="GB272" s="47"/>
      <c r="GC272" s="47"/>
      <c r="GD272" s="47"/>
      <c r="GE272" s="47"/>
    </row>
    <row r="273" spans="1:187" ht="10.5" customHeight="1">
      <c r="A273" s="43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43"/>
      <c r="U273" s="108"/>
      <c r="V273" s="108"/>
      <c r="W273" s="108"/>
      <c r="X273" s="108"/>
      <c r="Y273" s="108"/>
      <c r="Z273" s="108"/>
      <c r="AA273" s="43"/>
      <c r="AB273" s="108"/>
      <c r="AC273" s="108"/>
      <c r="AD273" s="108"/>
      <c r="AE273" s="108"/>
      <c r="AF273" s="108"/>
      <c r="AG273" s="108"/>
      <c r="AH273" s="43"/>
      <c r="AI273" s="108"/>
      <c r="AJ273" s="108"/>
      <c r="AK273" s="108"/>
      <c r="AL273" s="108"/>
      <c r="AM273" s="108"/>
      <c r="AN273" s="108"/>
      <c r="AO273" s="43"/>
      <c r="AP273" s="108"/>
      <c r="AQ273" s="108"/>
      <c r="AR273" s="108"/>
      <c r="AS273" s="108"/>
      <c r="AT273" s="108"/>
      <c r="AU273" s="108"/>
      <c r="AV273" s="43"/>
      <c r="AW273" s="108"/>
      <c r="AX273" s="108"/>
      <c r="AY273" s="108"/>
      <c r="AZ273" s="108"/>
      <c r="BA273" s="108"/>
      <c r="BB273" s="108"/>
      <c r="BC273" s="43"/>
      <c r="BD273" s="108"/>
      <c r="BE273" s="108"/>
      <c r="BF273" s="108"/>
      <c r="BG273" s="108"/>
      <c r="BH273" s="108"/>
      <c r="BI273" s="108"/>
      <c r="BJ273" s="43"/>
      <c r="BK273" s="108"/>
      <c r="BL273" s="108"/>
      <c r="BM273" s="108"/>
      <c r="BN273" s="108"/>
      <c r="BO273" s="108"/>
      <c r="BP273" s="108"/>
      <c r="BQ273" s="43"/>
      <c r="BR273" s="108"/>
      <c r="BS273" s="108"/>
      <c r="BT273" s="108"/>
      <c r="BU273" s="108"/>
      <c r="BV273" s="108"/>
      <c r="BW273" s="108"/>
      <c r="BX273" s="43"/>
      <c r="BY273" s="108"/>
      <c r="BZ273" s="108"/>
      <c r="CA273" s="108"/>
      <c r="CB273" s="108"/>
      <c r="CC273" s="108"/>
      <c r="CD273" s="108"/>
      <c r="CE273" s="43"/>
      <c r="CF273" s="108"/>
      <c r="CG273" s="108"/>
      <c r="CH273" s="108"/>
      <c r="CI273" s="108"/>
      <c r="CJ273" s="108"/>
      <c r="CK273" s="108"/>
      <c r="CL273" s="43"/>
      <c r="CM273" s="108"/>
      <c r="CN273" s="108"/>
      <c r="CO273" s="108"/>
      <c r="CP273" s="108"/>
      <c r="CQ273" s="108"/>
      <c r="CR273" s="108"/>
      <c r="CS273" s="43"/>
      <c r="CT273" s="108"/>
      <c r="CU273" s="108"/>
      <c r="CV273" s="108"/>
      <c r="CW273" s="108"/>
      <c r="CX273" s="108"/>
      <c r="CY273" s="108"/>
      <c r="CZ273" s="43"/>
      <c r="DA273" s="108"/>
      <c r="DB273" s="108"/>
      <c r="DC273" s="108"/>
      <c r="DD273" s="108"/>
      <c r="DE273" s="108"/>
      <c r="DF273" s="108"/>
      <c r="DG273" s="43"/>
      <c r="DH273" s="108"/>
      <c r="DI273" s="108"/>
      <c r="DJ273" s="108"/>
      <c r="DK273" s="108"/>
      <c r="DL273" s="108"/>
      <c r="DM273" s="108"/>
      <c r="DN273" s="43"/>
      <c r="DO273" s="108"/>
      <c r="DP273" s="108"/>
      <c r="DQ273" s="108"/>
      <c r="DR273" s="108"/>
      <c r="DS273" s="108"/>
      <c r="DT273" s="108"/>
      <c r="DU273" s="43"/>
      <c r="DV273" s="108"/>
      <c r="DW273" s="108"/>
      <c r="DX273" s="108"/>
      <c r="DY273" s="108"/>
      <c r="DZ273" s="108"/>
      <c r="EA273" s="108"/>
      <c r="EB273" s="43"/>
      <c r="EC273" s="108"/>
      <c r="ED273" s="108"/>
      <c r="EE273" s="108"/>
      <c r="EF273" s="108"/>
      <c r="EG273" s="108"/>
      <c r="EH273" s="108"/>
      <c r="EI273" s="43"/>
      <c r="EJ273" s="47"/>
      <c r="EK273" s="47"/>
      <c r="EL273" s="47"/>
      <c r="EM273" s="47"/>
      <c r="EN273" s="47"/>
      <c r="EO273" s="47"/>
      <c r="EP273" s="47"/>
      <c r="EQ273" s="47"/>
      <c r="ER273" s="47"/>
      <c r="ES273" s="47"/>
      <c r="ET273" s="47"/>
      <c r="EU273" s="47"/>
      <c r="EV273" s="47"/>
      <c r="EW273" s="47"/>
      <c r="EX273" s="47"/>
      <c r="EY273" s="47"/>
      <c r="EZ273" s="47"/>
      <c r="FA273" s="47"/>
      <c r="FB273" s="47"/>
      <c r="FC273" s="47"/>
      <c r="FD273" s="47"/>
      <c r="FE273" s="47"/>
      <c r="FF273" s="47"/>
      <c r="FG273" s="47"/>
      <c r="FH273" s="47"/>
      <c r="FI273" s="47"/>
      <c r="FJ273" s="47"/>
      <c r="FK273" s="47"/>
      <c r="FL273" s="47"/>
      <c r="FM273" s="47"/>
      <c r="FN273" s="47"/>
      <c r="FO273" s="47"/>
      <c r="FP273" s="47"/>
      <c r="FQ273" s="47"/>
      <c r="FR273" s="47"/>
      <c r="FS273" s="47"/>
      <c r="FT273" s="47"/>
      <c r="FU273" s="47"/>
      <c r="FV273" s="47"/>
      <c r="FW273" s="47"/>
      <c r="FX273" s="47"/>
      <c r="FY273" s="47"/>
      <c r="FZ273" s="47"/>
      <c r="GA273" s="47"/>
      <c r="GB273" s="47"/>
      <c r="GC273" s="47"/>
      <c r="GD273" s="47"/>
      <c r="GE273" s="47"/>
    </row>
    <row r="274" spans="1:187" ht="10.5" customHeight="1">
      <c r="A274" s="43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203"/>
      <c r="O274" s="203"/>
      <c r="P274" s="203"/>
      <c r="Q274" s="203"/>
      <c r="R274" s="203"/>
      <c r="S274" s="203"/>
      <c r="T274" s="93"/>
      <c r="U274" s="203"/>
      <c r="V274" s="203"/>
      <c r="W274" s="203"/>
      <c r="X274" s="203"/>
      <c r="Y274" s="203"/>
      <c r="Z274" s="203"/>
      <c r="AA274" s="93"/>
      <c r="AB274" s="203"/>
      <c r="AC274" s="203"/>
      <c r="AD274" s="203"/>
      <c r="AE274" s="203"/>
      <c r="AF274" s="203"/>
      <c r="AG274" s="203"/>
      <c r="AH274" s="93"/>
      <c r="AI274" s="203"/>
      <c r="AJ274" s="203"/>
      <c r="AK274" s="203"/>
      <c r="AL274" s="203"/>
      <c r="AM274" s="203"/>
      <c r="AN274" s="203"/>
      <c r="AO274" s="93"/>
      <c r="AP274" s="203"/>
      <c r="AQ274" s="203"/>
      <c r="AR274" s="203"/>
      <c r="AS274" s="203"/>
      <c r="AT274" s="203"/>
      <c r="AU274" s="203"/>
      <c r="AV274" s="93"/>
      <c r="AW274" s="203"/>
      <c r="AX274" s="203"/>
      <c r="AY274" s="203"/>
      <c r="AZ274" s="203"/>
      <c r="BA274" s="203"/>
      <c r="BB274" s="203"/>
      <c r="BC274" s="93"/>
      <c r="BD274" s="203"/>
      <c r="BE274" s="203"/>
      <c r="BF274" s="203"/>
      <c r="BG274" s="203"/>
      <c r="BH274" s="203"/>
      <c r="BI274" s="203"/>
      <c r="BJ274" s="93"/>
      <c r="BK274" s="203"/>
      <c r="BL274" s="203"/>
      <c r="BM274" s="203"/>
      <c r="BN274" s="203"/>
      <c r="BO274" s="203"/>
      <c r="BP274" s="203"/>
      <c r="BQ274" s="93"/>
      <c r="BR274" s="203"/>
      <c r="BS274" s="203"/>
      <c r="BT274" s="203"/>
      <c r="BU274" s="203"/>
      <c r="BV274" s="203"/>
      <c r="BW274" s="203"/>
      <c r="BX274" s="93"/>
      <c r="BY274" s="203"/>
      <c r="BZ274" s="203"/>
      <c r="CA274" s="203"/>
      <c r="CB274" s="203"/>
      <c r="CC274" s="203"/>
      <c r="CD274" s="203"/>
      <c r="CE274" s="93"/>
      <c r="CF274" s="203"/>
      <c r="CG274" s="203"/>
      <c r="CH274" s="203"/>
      <c r="CI274" s="203"/>
      <c r="CJ274" s="203"/>
      <c r="CK274" s="203"/>
      <c r="CL274" s="93"/>
      <c r="CM274" s="203"/>
      <c r="CN274" s="203"/>
      <c r="CO274" s="203"/>
      <c r="CP274" s="203"/>
      <c r="CQ274" s="203"/>
      <c r="CR274" s="203"/>
      <c r="CS274" s="93"/>
      <c r="CT274" s="203"/>
      <c r="CU274" s="203"/>
      <c r="CV274" s="203"/>
      <c r="CW274" s="203"/>
      <c r="CX274" s="203"/>
      <c r="CY274" s="203"/>
      <c r="CZ274" s="93"/>
      <c r="DA274" s="203"/>
      <c r="DB274" s="203"/>
      <c r="DC274" s="203"/>
      <c r="DD274" s="203"/>
      <c r="DE274" s="203"/>
      <c r="DF274" s="203"/>
      <c r="DG274" s="93"/>
      <c r="DH274" s="203"/>
      <c r="DI274" s="203"/>
      <c r="DJ274" s="203"/>
      <c r="DK274" s="203"/>
      <c r="DL274" s="203"/>
      <c r="DM274" s="203"/>
      <c r="DN274" s="93"/>
      <c r="DO274" s="203"/>
      <c r="DP274" s="203"/>
      <c r="DQ274" s="203"/>
      <c r="DR274" s="203"/>
      <c r="DS274" s="203"/>
      <c r="DT274" s="203"/>
      <c r="DU274" s="93"/>
      <c r="DV274" s="203"/>
      <c r="DW274" s="203"/>
      <c r="DX274" s="203"/>
      <c r="DY274" s="203"/>
      <c r="DZ274" s="203"/>
      <c r="EA274" s="203"/>
      <c r="EB274" s="93"/>
      <c r="EC274" s="203"/>
      <c r="ED274" s="203"/>
      <c r="EE274" s="203"/>
      <c r="EF274" s="203"/>
      <c r="EG274" s="203"/>
      <c r="EH274" s="203"/>
      <c r="EI274" s="93"/>
      <c r="EJ274" s="47"/>
      <c r="EK274" s="47"/>
      <c r="EL274" s="47"/>
      <c r="EM274" s="47"/>
      <c r="EN274" s="47"/>
      <c r="EO274" s="47"/>
      <c r="EP274" s="47"/>
      <c r="EQ274" s="47"/>
      <c r="ER274" s="47"/>
      <c r="ES274" s="47"/>
      <c r="ET274" s="47"/>
      <c r="EU274" s="47"/>
      <c r="EV274" s="47"/>
      <c r="EW274" s="47"/>
      <c r="EX274" s="47"/>
      <c r="EY274" s="47"/>
      <c r="EZ274" s="47"/>
      <c r="FA274" s="47"/>
      <c r="FB274" s="47"/>
      <c r="FC274" s="47"/>
      <c r="FD274" s="47"/>
      <c r="FE274" s="47"/>
      <c r="FF274" s="47"/>
      <c r="FG274" s="47"/>
      <c r="FH274" s="47"/>
      <c r="FI274" s="47"/>
      <c r="FJ274" s="47"/>
      <c r="FK274" s="47"/>
      <c r="FL274" s="47"/>
      <c r="FM274" s="47"/>
      <c r="FN274" s="47"/>
      <c r="FO274" s="47"/>
      <c r="FP274" s="47"/>
      <c r="FQ274" s="47"/>
      <c r="FR274" s="47"/>
      <c r="FS274" s="47"/>
      <c r="FT274" s="47"/>
      <c r="FU274" s="47"/>
      <c r="FV274" s="47"/>
      <c r="FW274" s="47"/>
      <c r="FX274" s="47"/>
      <c r="FY274" s="47"/>
      <c r="FZ274" s="47"/>
      <c r="GA274" s="47"/>
      <c r="GB274" s="47"/>
      <c r="GC274" s="47"/>
      <c r="GD274" s="47"/>
      <c r="GE274" s="47"/>
    </row>
    <row r="275" spans="1:187" ht="10.5" customHeight="1">
      <c r="A275" s="43"/>
      <c r="B275" s="108"/>
      <c r="C275" s="108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63"/>
      <c r="U275" s="244"/>
      <c r="V275" s="244"/>
      <c r="W275" s="244"/>
      <c r="X275" s="244"/>
      <c r="Y275" s="244"/>
      <c r="Z275" s="244"/>
      <c r="AA275" s="63"/>
      <c r="AB275" s="244"/>
      <c r="AC275" s="244"/>
      <c r="AD275" s="244"/>
      <c r="AE275" s="244"/>
      <c r="AF275" s="244"/>
      <c r="AG275" s="244"/>
      <c r="AH275" s="63"/>
      <c r="AI275" s="244"/>
      <c r="AJ275" s="244"/>
      <c r="AK275" s="244"/>
      <c r="AL275" s="244"/>
      <c r="AM275" s="244"/>
      <c r="AN275" s="244"/>
      <c r="AO275" s="63"/>
      <c r="AP275" s="244"/>
      <c r="AQ275" s="244"/>
      <c r="AR275" s="244"/>
      <c r="AS275" s="244"/>
      <c r="AT275" s="244"/>
      <c r="AU275" s="244"/>
      <c r="AV275" s="63"/>
      <c r="AW275" s="244"/>
      <c r="AX275" s="244"/>
      <c r="AY275" s="244"/>
      <c r="AZ275" s="244"/>
      <c r="BA275" s="244"/>
      <c r="BB275" s="244"/>
      <c r="BC275" s="63"/>
      <c r="BD275" s="244"/>
      <c r="BE275" s="244"/>
      <c r="BF275" s="244"/>
      <c r="BG275" s="244"/>
      <c r="BH275" s="244"/>
      <c r="BI275" s="244"/>
      <c r="BJ275" s="63"/>
      <c r="BK275" s="244"/>
      <c r="BL275" s="244"/>
      <c r="BM275" s="244"/>
      <c r="BN275" s="244"/>
      <c r="BO275" s="244"/>
      <c r="BP275" s="244"/>
      <c r="BQ275" s="63"/>
      <c r="BR275" s="244"/>
      <c r="BS275" s="244"/>
      <c r="BT275" s="244"/>
      <c r="BU275" s="244"/>
      <c r="BV275" s="244"/>
      <c r="BW275" s="244"/>
      <c r="BX275" s="63"/>
      <c r="BY275" s="244"/>
      <c r="BZ275" s="244"/>
      <c r="CA275" s="244"/>
      <c r="CB275" s="244"/>
      <c r="CC275" s="244"/>
      <c r="CD275" s="244"/>
      <c r="CE275" s="63"/>
      <c r="CF275" s="244"/>
      <c r="CG275" s="244"/>
      <c r="CH275" s="244"/>
      <c r="CI275" s="244"/>
      <c r="CJ275" s="244"/>
      <c r="CK275" s="244"/>
      <c r="CL275" s="63"/>
      <c r="CM275" s="244"/>
      <c r="CN275" s="244"/>
      <c r="CO275" s="244"/>
      <c r="CP275" s="244"/>
      <c r="CQ275" s="244"/>
      <c r="CR275" s="244"/>
      <c r="CS275" s="63"/>
      <c r="CT275" s="244"/>
      <c r="CU275" s="244"/>
      <c r="CV275" s="244"/>
      <c r="CW275" s="244"/>
      <c r="CX275" s="244"/>
      <c r="CY275" s="244"/>
      <c r="CZ275" s="63"/>
      <c r="DA275" s="244"/>
      <c r="DB275" s="244"/>
      <c r="DC275" s="244"/>
      <c r="DD275" s="244"/>
      <c r="DE275" s="244"/>
      <c r="DF275" s="244"/>
      <c r="DG275" s="63"/>
      <c r="DH275" s="244"/>
      <c r="DI275" s="244"/>
      <c r="DJ275" s="244"/>
      <c r="DK275" s="244"/>
      <c r="DL275" s="244"/>
      <c r="DM275" s="244"/>
      <c r="DN275" s="63"/>
      <c r="DO275" s="244"/>
      <c r="DP275" s="244"/>
      <c r="DQ275" s="244"/>
      <c r="DR275" s="244"/>
      <c r="DS275" s="244"/>
      <c r="DT275" s="244"/>
      <c r="DU275" s="63"/>
      <c r="DV275" s="244"/>
      <c r="DW275" s="244"/>
      <c r="DX275" s="244"/>
      <c r="DY275" s="244"/>
      <c r="DZ275" s="244"/>
      <c r="EA275" s="244"/>
      <c r="EB275" s="63"/>
      <c r="EC275" s="244"/>
      <c r="ED275" s="244"/>
      <c r="EE275" s="244"/>
      <c r="EF275" s="244"/>
      <c r="EG275" s="244"/>
      <c r="EH275" s="244"/>
      <c r="EI275" s="63"/>
      <c r="EJ275" s="47"/>
      <c r="EK275" s="47"/>
      <c r="EL275" s="47"/>
      <c r="EM275" s="47"/>
      <c r="EN275" s="47"/>
      <c r="EO275" s="47"/>
      <c r="EP275" s="47"/>
      <c r="EQ275" s="47"/>
      <c r="ER275" s="47"/>
      <c r="ES275" s="47"/>
      <c r="ET275" s="47"/>
      <c r="EU275" s="47"/>
      <c r="EV275" s="47"/>
      <c r="EW275" s="47"/>
      <c r="EX275" s="47"/>
      <c r="EY275" s="47"/>
      <c r="EZ275" s="47"/>
      <c r="FA275" s="47"/>
      <c r="FB275" s="47"/>
      <c r="FC275" s="47"/>
      <c r="FD275" s="47"/>
      <c r="FE275" s="47"/>
      <c r="FF275" s="47"/>
      <c r="FG275" s="47"/>
      <c r="FH275" s="47"/>
      <c r="FI275" s="47"/>
      <c r="FJ275" s="47"/>
      <c r="FK275" s="47"/>
      <c r="FL275" s="47"/>
      <c r="FM275" s="47"/>
      <c r="FN275" s="47"/>
      <c r="FO275" s="47"/>
      <c r="FP275" s="47"/>
      <c r="FQ275" s="47"/>
      <c r="FR275" s="47"/>
      <c r="FS275" s="47"/>
      <c r="FT275" s="47"/>
      <c r="FU275" s="47"/>
      <c r="FV275" s="47"/>
      <c r="FW275" s="47"/>
      <c r="FX275" s="47"/>
      <c r="FY275" s="47"/>
      <c r="FZ275" s="47"/>
      <c r="GA275" s="47"/>
      <c r="GB275" s="47"/>
      <c r="GC275" s="47"/>
      <c r="GD275" s="47"/>
      <c r="GE275" s="47"/>
    </row>
    <row r="276" spans="1:187" ht="10.5" customHeight="1">
      <c r="A276" s="43"/>
      <c r="B276" s="108"/>
      <c r="C276" s="108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203"/>
      <c r="O276" s="203"/>
      <c r="P276" s="203"/>
      <c r="Q276" s="203"/>
      <c r="R276" s="203"/>
      <c r="S276" s="203"/>
      <c r="T276" s="93"/>
      <c r="U276" s="203"/>
      <c r="V276" s="203"/>
      <c r="W276" s="203"/>
      <c r="X276" s="203"/>
      <c r="Y276" s="203"/>
      <c r="Z276" s="203"/>
      <c r="AA276" s="93"/>
      <c r="AB276" s="203"/>
      <c r="AC276" s="203"/>
      <c r="AD276" s="203"/>
      <c r="AE276" s="203"/>
      <c r="AF276" s="203"/>
      <c r="AG276" s="203"/>
      <c r="AH276" s="93"/>
      <c r="AI276" s="203"/>
      <c r="AJ276" s="203"/>
      <c r="AK276" s="203"/>
      <c r="AL276" s="203"/>
      <c r="AM276" s="203"/>
      <c r="AN276" s="203"/>
      <c r="AO276" s="93"/>
      <c r="AP276" s="203"/>
      <c r="AQ276" s="203"/>
      <c r="AR276" s="203"/>
      <c r="AS276" s="203"/>
      <c r="AT276" s="203"/>
      <c r="AU276" s="203"/>
      <c r="AV276" s="93"/>
      <c r="AW276" s="203"/>
      <c r="AX276" s="203"/>
      <c r="AY276" s="203"/>
      <c r="AZ276" s="203"/>
      <c r="BA276" s="203"/>
      <c r="BB276" s="203"/>
      <c r="BC276" s="93"/>
      <c r="BD276" s="203"/>
      <c r="BE276" s="203"/>
      <c r="BF276" s="203"/>
      <c r="BG276" s="203"/>
      <c r="BH276" s="203"/>
      <c r="BI276" s="203"/>
      <c r="BJ276" s="93"/>
      <c r="BK276" s="203"/>
      <c r="BL276" s="203"/>
      <c r="BM276" s="203"/>
      <c r="BN276" s="203"/>
      <c r="BO276" s="203"/>
      <c r="BP276" s="203"/>
      <c r="BQ276" s="93"/>
      <c r="BR276" s="203"/>
      <c r="BS276" s="203"/>
      <c r="BT276" s="203"/>
      <c r="BU276" s="203"/>
      <c r="BV276" s="203"/>
      <c r="BW276" s="203"/>
      <c r="BX276" s="93"/>
      <c r="BY276" s="203"/>
      <c r="BZ276" s="203"/>
      <c r="CA276" s="203"/>
      <c r="CB276" s="203"/>
      <c r="CC276" s="203"/>
      <c r="CD276" s="203"/>
      <c r="CE276" s="93"/>
      <c r="CF276" s="203"/>
      <c r="CG276" s="203"/>
      <c r="CH276" s="203"/>
      <c r="CI276" s="203"/>
      <c r="CJ276" s="203"/>
      <c r="CK276" s="203"/>
      <c r="CL276" s="93"/>
      <c r="CM276" s="203"/>
      <c r="CN276" s="203"/>
      <c r="CO276" s="203"/>
      <c r="CP276" s="203"/>
      <c r="CQ276" s="203"/>
      <c r="CR276" s="203"/>
      <c r="CS276" s="93"/>
      <c r="CT276" s="203"/>
      <c r="CU276" s="203"/>
      <c r="CV276" s="203"/>
      <c r="CW276" s="203"/>
      <c r="CX276" s="203"/>
      <c r="CY276" s="203"/>
      <c r="CZ276" s="93"/>
      <c r="DA276" s="203"/>
      <c r="DB276" s="203"/>
      <c r="DC276" s="203"/>
      <c r="DD276" s="203"/>
      <c r="DE276" s="203"/>
      <c r="DF276" s="203"/>
      <c r="DG276" s="93"/>
      <c r="DH276" s="203"/>
      <c r="DI276" s="203"/>
      <c r="DJ276" s="203"/>
      <c r="DK276" s="203"/>
      <c r="DL276" s="203"/>
      <c r="DM276" s="203"/>
      <c r="DN276" s="93"/>
      <c r="DO276" s="203"/>
      <c r="DP276" s="203"/>
      <c r="DQ276" s="203"/>
      <c r="DR276" s="203"/>
      <c r="DS276" s="203"/>
      <c r="DT276" s="203"/>
      <c r="DU276" s="93"/>
      <c r="DV276" s="203"/>
      <c r="DW276" s="203"/>
      <c r="DX276" s="203"/>
      <c r="DY276" s="203"/>
      <c r="DZ276" s="203"/>
      <c r="EA276" s="203"/>
      <c r="EB276" s="93"/>
      <c r="EC276" s="203"/>
      <c r="ED276" s="203"/>
      <c r="EE276" s="203"/>
      <c r="EF276" s="203"/>
      <c r="EG276" s="203"/>
      <c r="EH276" s="203"/>
      <c r="EI276" s="93"/>
      <c r="EJ276" s="47"/>
      <c r="EK276" s="47"/>
      <c r="EL276" s="47"/>
      <c r="EM276" s="47"/>
      <c r="EN276" s="47"/>
      <c r="EO276" s="47"/>
      <c r="EP276" s="47"/>
      <c r="EQ276" s="47"/>
      <c r="ER276" s="47"/>
      <c r="ES276" s="47"/>
      <c r="ET276" s="47"/>
      <c r="EU276" s="47"/>
      <c r="EV276" s="47"/>
      <c r="EW276" s="47"/>
      <c r="EX276" s="47"/>
      <c r="EY276" s="47"/>
      <c r="EZ276" s="47"/>
      <c r="FA276" s="47"/>
      <c r="FB276" s="47"/>
      <c r="FC276" s="47"/>
      <c r="FD276" s="47"/>
      <c r="FE276" s="47"/>
      <c r="FF276" s="47"/>
      <c r="FG276" s="47"/>
      <c r="FH276" s="47"/>
      <c r="FI276" s="47"/>
      <c r="FJ276" s="47"/>
      <c r="FK276" s="47"/>
      <c r="FL276" s="47"/>
      <c r="FM276" s="47"/>
      <c r="FN276" s="47"/>
      <c r="FO276" s="47"/>
      <c r="FP276" s="47"/>
      <c r="FQ276" s="47"/>
      <c r="FR276" s="47"/>
      <c r="FS276" s="47"/>
      <c r="FT276" s="47"/>
      <c r="FU276" s="47"/>
      <c r="FV276" s="47"/>
      <c r="FW276" s="47"/>
      <c r="FX276" s="47"/>
      <c r="FY276" s="47"/>
      <c r="FZ276" s="47"/>
      <c r="GA276" s="47"/>
      <c r="GB276" s="47"/>
      <c r="GC276" s="47"/>
      <c r="GD276" s="47"/>
      <c r="GE276" s="47"/>
    </row>
    <row r="277" spans="1:187" ht="10.5" customHeight="1">
      <c r="A277" s="43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43"/>
      <c r="U277" s="108"/>
      <c r="V277" s="108"/>
      <c r="W277" s="108"/>
      <c r="X277" s="108"/>
      <c r="Y277" s="108"/>
      <c r="Z277" s="108"/>
      <c r="AA277" s="43"/>
      <c r="AB277" s="108"/>
      <c r="AC277" s="108"/>
      <c r="AD277" s="108"/>
      <c r="AE277" s="108"/>
      <c r="AF277" s="108"/>
      <c r="AG277" s="108"/>
      <c r="AH277" s="43"/>
      <c r="AI277" s="108"/>
      <c r="AJ277" s="108"/>
      <c r="AK277" s="108"/>
      <c r="AL277" s="108"/>
      <c r="AM277" s="108"/>
      <c r="AN277" s="108"/>
      <c r="AO277" s="43"/>
      <c r="AP277" s="108"/>
      <c r="AQ277" s="108"/>
      <c r="AR277" s="108"/>
      <c r="AS277" s="108"/>
      <c r="AT277" s="108"/>
      <c r="AU277" s="108"/>
      <c r="AV277" s="43"/>
      <c r="AW277" s="108"/>
      <c r="AX277" s="108"/>
      <c r="AY277" s="108"/>
      <c r="AZ277" s="108"/>
      <c r="BA277" s="108"/>
      <c r="BB277" s="108"/>
      <c r="BC277" s="43"/>
      <c r="BD277" s="108"/>
      <c r="BE277" s="108"/>
      <c r="BF277" s="108"/>
      <c r="BG277" s="108"/>
      <c r="BH277" s="108"/>
      <c r="BI277" s="108"/>
      <c r="BJ277" s="43"/>
      <c r="BK277" s="108"/>
      <c r="BL277" s="108"/>
      <c r="BM277" s="108"/>
      <c r="BN277" s="108"/>
      <c r="BO277" s="108"/>
      <c r="BP277" s="108"/>
      <c r="BQ277" s="43"/>
      <c r="BR277" s="108"/>
      <c r="BS277" s="108"/>
      <c r="BT277" s="108"/>
      <c r="BU277" s="108"/>
      <c r="BV277" s="108"/>
      <c r="BW277" s="108"/>
      <c r="BX277" s="43"/>
      <c r="BY277" s="108"/>
      <c r="BZ277" s="108"/>
      <c r="CA277" s="108"/>
      <c r="CB277" s="108"/>
      <c r="CC277" s="108"/>
      <c r="CD277" s="108"/>
      <c r="CE277" s="43"/>
      <c r="CF277" s="108"/>
      <c r="CG277" s="108"/>
      <c r="CH277" s="108"/>
      <c r="CI277" s="108"/>
      <c r="CJ277" s="108"/>
      <c r="CK277" s="108"/>
      <c r="CL277" s="43"/>
      <c r="CM277" s="108"/>
      <c r="CN277" s="108"/>
      <c r="CO277" s="108"/>
      <c r="CP277" s="108"/>
      <c r="CQ277" s="108"/>
      <c r="CR277" s="108"/>
      <c r="CS277" s="43"/>
      <c r="CT277" s="108"/>
      <c r="CU277" s="108"/>
      <c r="CV277" s="108"/>
      <c r="CW277" s="108"/>
      <c r="CX277" s="108"/>
      <c r="CY277" s="108"/>
      <c r="CZ277" s="43"/>
      <c r="DA277" s="108"/>
      <c r="DB277" s="108"/>
      <c r="DC277" s="108"/>
      <c r="DD277" s="108"/>
      <c r="DE277" s="108"/>
      <c r="DF277" s="108"/>
      <c r="DG277" s="43"/>
      <c r="DH277" s="108"/>
      <c r="DI277" s="108"/>
      <c r="DJ277" s="108"/>
      <c r="DK277" s="108"/>
      <c r="DL277" s="108"/>
      <c r="DM277" s="108"/>
      <c r="DN277" s="43"/>
      <c r="DO277" s="108"/>
      <c r="DP277" s="108"/>
      <c r="DQ277" s="108"/>
      <c r="DR277" s="108"/>
      <c r="DS277" s="108"/>
      <c r="DT277" s="108"/>
      <c r="DU277" s="43"/>
      <c r="DV277" s="108"/>
      <c r="DW277" s="108"/>
      <c r="DX277" s="108"/>
      <c r="DY277" s="108"/>
      <c r="DZ277" s="108"/>
      <c r="EA277" s="108"/>
      <c r="EB277" s="43"/>
      <c r="EC277" s="108"/>
      <c r="ED277" s="108"/>
      <c r="EE277" s="108"/>
      <c r="EF277" s="108"/>
      <c r="EG277" s="108"/>
      <c r="EH277" s="108"/>
      <c r="EI277" s="43"/>
      <c r="EJ277" s="47"/>
      <c r="EK277" s="47"/>
      <c r="EL277" s="47"/>
      <c r="EM277" s="47"/>
      <c r="EN277" s="47"/>
      <c r="EO277" s="47"/>
      <c r="EP277" s="47"/>
      <c r="EQ277" s="47"/>
      <c r="ER277" s="47"/>
      <c r="ES277" s="47"/>
      <c r="ET277" s="47"/>
      <c r="EU277" s="47"/>
      <c r="EV277" s="47"/>
      <c r="EW277" s="47"/>
      <c r="EX277" s="47"/>
      <c r="EY277" s="47"/>
      <c r="EZ277" s="47"/>
      <c r="FA277" s="47"/>
      <c r="FB277" s="47"/>
      <c r="FC277" s="47"/>
      <c r="FD277" s="47"/>
      <c r="FE277" s="47"/>
      <c r="FF277" s="47"/>
      <c r="FG277" s="47"/>
      <c r="FH277" s="47"/>
      <c r="FI277" s="47"/>
      <c r="FJ277" s="47"/>
      <c r="FK277" s="47"/>
      <c r="FL277" s="47"/>
      <c r="FM277" s="47"/>
      <c r="FN277" s="47"/>
      <c r="FO277" s="47"/>
      <c r="FP277" s="47"/>
      <c r="FQ277" s="47"/>
      <c r="FR277" s="47"/>
      <c r="FS277" s="47"/>
      <c r="FT277" s="47"/>
      <c r="FU277" s="47"/>
      <c r="FV277" s="47"/>
      <c r="FW277" s="47"/>
      <c r="FX277" s="47"/>
      <c r="FY277" s="47"/>
      <c r="FZ277" s="47"/>
      <c r="GA277" s="47"/>
      <c r="GB277" s="47"/>
      <c r="GC277" s="47"/>
      <c r="GD277" s="47"/>
      <c r="GE277" s="47"/>
    </row>
    <row r="278" spans="1:187" ht="10.5" customHeight="1">
      <c r="A278" s="43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61"/>
      <c r="U278" s="157"/>
      <c r="V278" s="157"/>
      <c r="W278" s="157"/>
      <c r="X278" s="157"/>
      <c r="Y278" s="157"/>
      <c r="Z278" s="157"/>
      <c r="AA278" s="61"/>
      <c r="AB278" s="157"/>
      <c r="AC278" s="157"/>
      <c r="AD278" s="157"/>
      <c r="AE278" s="157"/>
      <c r="AF278" s="157"/>
      <c r="AG278" s="157"/>
      <c r="AH278" s="61"/>
      <c r="AI278" s="157"/>
      <c r="AJ278" s="157"/>
      <c r="AK278" s="157"/>
      <c r="AL278" s="157"/>
      <c r="AM278" s="157"/>
      <c r="AN278" s="157"/>
      <c r="AO278" s="61"/>
      <c r="AP278" s="157"/>
      <c r="AQ278" s="157"/>
      <c r="AR278" s="157"/>
      <c r="AS278" s="157"/>
      <c r="AT278" s="157"/>
      <c r="AU278" s="157"/>
      <c r="AV278" s="61"/>
      <c r="AW278" s="157"/>
      <c r="AX278" s="157"/>
      <c r="AY278" s="157"/>
      <c r="AZ278" s="157"/>
      <c r="BA278" s="157"/>
      <c r="BB278" s="157"/>
      <c r="BC278" s="61"/>
      <c r="BD278" s="157"/>
      <c r="BE278" s="157"/>
      <c r="BF278" s="157"/>
      <c r="BG278" s="157"/>
      <c r="BH278" s="157"/>
      <c r="BI278" s="157"/>
      <c r="BJ278" s="61"/>
      <c r="BK278" s="157"/>
      <c r="BL278" s="157"/>
      <c r="BM278" s="157"/>
      <c r="BN278" s="157"/>
      <c r="BO278" s="157"/>
      <c r="BP278" s="157"/>
      <c r="BQ278" s="61"/>
      <c r="BR278" s="157"/>
      <c r="BS278" s="157"/>
      <c r="BT278" s="157"/>
      <c r="BU278" s="157"/>
      <c r="BV278" s="157"/>
      <c r="BW278" s="157"/>
      <c r="BX278" s="61"/>
      <c r="BY278" s="157"/>
      <c r="BZ278" s="157"/>
      <c r="CA278" s="157"/>
      <c r="CB278" s="157"/>
      <c r="CC278" s="157"/>
      <c r="CD278" s="157"/>
      <c r="CE278" s="61"/>
      <c r="CF278" s="157"/>
      <c r="CG278" s="157"/>
      <c r="CH278" s="157"/>
      <c r="CI278" s="157"/>
      <c r="CJ278" s="157"/>
      <c r="CK278" s="157"/>
      <c r="CL278" s="61"/>
      <c r="CM278" s="157"/>
      <c r="CN278" s="157"/>
      <c r="CO278" s="157"/>
      <c r="CP278" s="157"/>
      <c r="CQ278" s="157"/>
      <c r="CR278" s="157"/>
      <c r="CS278" s="61"/>
      <c r="CT278" s="157"/>
      <c r="CU278" s="157"/>
      <c r="CV278" s="157"/>
      <c r="CW278" s="157"/>
      <c r="CX278" s="157"/>
      <c r="CY278" s="157"/>
      <c r="CZ278" s="61"/>
      <c r="DA278" s="157"/>
      <c r="DB278" s="157"/>
      <c r="DC278" s="157"/>
      <c r="DD278" s="157"/>
      <c r="DE278" s="157"/>
      <c r="DF278" s="157"/>
      <c r="DG278" s="61"/>
      <c r="DH278" s="157"/>
      <c r="DI278" s="157"/>
      <c r="DJ278" s="157"/>
      <c r="DK278" s="157"/>
      <c r="DL278" s="157"/>
      <c r="DM278" s="157"/>
      <c r="DN278" s="61"/>
      <c r="DO278" s="157"/>
      <c r="DP278" s="157"/>
      <c r="DQ278" s="157"/>
      <c r="DR278" s="157"/>
      <c r="DS278" s="157"/>
      <c r="DT278" s="157"/>
      <c r="DU278" s="61"/>
      <c r="DV278" s="157"/>
      <c r="DW278" s="157"/>
      <c r="DX278" s="157"/>
      <c r="DY278" s="157"/>
      <c r="DZ278" s="157"/>
      <c r="EA278" s="157"/>
      <c r="EB278" s="61"/>
      <c r="EC278" s="157"/>
      <c r="ED278" s="157"/>
      <c r="EE278" s="157"/>
      <c r="EF278" s="157"/>
      <c r="EG278" s="157"/>
      <c r="EH278" s="157"/>
      <c r="EI278" s="61"/>
      <c r="EJ278" s="47"/>
      <c r="EK278" s="47"/>
      <c r="EL278" s="47"/>
      <c r="EM278" s="47"/>
      <c r="EN278" s="47"/>
      <c r="EO278" s="47"/>
      <c r="EP278" s="47"/>
      <c r="EQ278" s="47"/>
      <c r="ER278" s="47"/>
      <c r="ES278" s="47"/>
      <c r="ET278" s="47"/>
      <c r="EU278" s="47"/>
      <c r="EV278" s="47"/>
      <c r="EW278" s="47"/>
      <c r="EX278" s="47"/>
      <c r="EY278" s="47"/>
      <c r="EZ278" s="47"/>
      <c r="FA278" s="47"/>
      <c r="FB278" s="47"/>
      <c r="FC278" s="47"/>
      <c r="FD278" s="47"/>
      <c r="FE278" s="47"/>
      <c r="FF278" s="47"/>
      <c r="FG278" s="47"/>
      <c r="FH278" s="47"/>
      <c r="FI278" s="47"/>
      <c r="FJ278" s="47"/>
      <c r="FK278" s="47"/>
      <c r="FL278" s="47"/>
      <c r="FM278" s="47"/>
      <c r="FN278" s="47"/>
      <c r="FO278" s="47"/>
      <c r="FP278" s="47"/>
      <c r="FQ278" s="47"/>
      <c r="FR278" s="47"/>
      <c r="FS278" s="47"/>
      <c r="FT278" s="47"/>
      <c r="FU278" s="47"/>
      <c r="FV278" s="47"/>
      <c r="FW278" s="47"/>
      <c r="FX278" s="47"/>
      <c r="FY278" s="47"/>
      <c r="FZ278" s="47"/>
      <c r="GA278" s="47"/>
      <c r="GB278" s="47"/>
      <c r="GC278" s="47"/>
      <c r="GD278" s="47"/>
      <c r="GE278" s="47"/>
    </row>
    <row r="279" spans="1:187" ht="10.5" customHeight="1">
      <c r="A279" s="43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64"/>
      <c r="U279" s="191"/>
      <c r="V279" s="191"/>
      <c r="W279" s="191"/>
      <c r="X279" s="191"/>
      <c r="Y279" s="191"/>
      <c r="Z279" s="191"/>
      <c r="AA279" s="64"/>
      <c r="AB279" s="191"/>
      <c r="AC279" s="191"/>
      <c r="AD279" s="191"/>
      <c r="AE279" s="191"/>
      <c r="AF279" s="191"/>
      <c r="AG279" s="191"/>
      <c r="AH279" s="64"/>
      <c r="AI279" s="191"/>
      <c r="AJ279" s="191"/>
      <c r="AK279" s="191"/>
      <c r="AL279" s="191"/>
      <c r="AM279" s="191"/>
      <c r="AN279" s="191"/>
      <c r="AO279" s="64"/>
      <c r="AP279" s="191"/>
      <c r="AQ279" s="191"/>
      <c r="AR279" s="191"/>
      <c r="AS279" s="191"/>
      <c r="AT279" s="191"/>
      <c r="AU279" s="191"/>
      <c r="AV279" s="64"/>
      <c r="AW279" s="191"/>
      <c r="AX279" s="191"/>
      <c r="AY279" s="191"/>
      <c r="AZ279" s="191"/>
      <c r="BA279" s="191"/>
      <c r="BB279" s="191"/>
      <c r="BC279" s="64"/>
      <c r="BD279" s="191"/>
      <c r="BE279" s="191"/>
      <c r="BF279" s="191"/>
      <c r="BG279" s="191"/>
      <c r="BH279" s="191"/>
      <c r="BI279" s="191"/>
      <c r="BJ279" s="64"/>
      <c r="BK279" s="191"/>
      <c r="BL279" s="191"/>
      <c r="BM279" s="191"/>
      <c r="BN279" s="191"/>
      <c r="BO279" s="191"/>
      <c r="BP279" s="191"/>
      <c r="BQ279" s="64"/>
      <c r="BR279" s="191"/>
      <c r="BS279" s="191"/>
      <c r="BT279" s="191"/>
      <c r="BU279" s="191"/>
      <c r="BV279" s="191"/>
      <c r="BW279" s="191"/>
      <c r="BX279" s="64"/>
      <c r="BY279" s="191"/>
      <c r="BZ279" s="191"/>
      <c r="CA279" s="191"/>
      <c r="CB279" s="191"/>
      <c r="CC279" s="191"/>
      <c r="CD279" s="191"/>
      <c r="CE279" s="64"/>
      <c r="CF279" s="191"/>
      <c r="CG279" s="191"/>
      <c r="CH279" s="191"/>
      <c r="CI279" s="191"/>
      <c r="CJ279" s="191"/>
      <c r="CK279" s="191"/>
      <c r="CL279" s="64"/>
      <c r="CM279" s="191"/>
      <c r="CN279" s="191"/>
      <c r="CO279" s="191"/>
      <c r="CP279" s="191"/>
      <c r="CQ279" s="191"/>
      <c r="CR279" s="191"/>
      <c r="CS279" s="64"/>
      <c r="CT279" s="191"/>
      <c r="CU279" s="191"/>
      <c r="CV279" s="191"/>
      <c r="CW279" s="191"/>
      <c r="CX279" s="191"/>
      <c r="CY279" s="191"/>
      <c r="CZ279" s="64"/>
      <c r="DA279" s="191"/>
      <c r="DB279" s="191"/>
      <c r="DC279" s="191"/>
      <c r="DD279" s="191"/>
      <c r="DE279" s="191"/>
      <c r="DF279" s="191"/>
      <c r="DG279" s="64"/>
      <c r="DH279" s="191"/>
      <c r="DI279" s="191"/>
      <c r="DJ279" s="191"/>
      <c r="DK279" s="191"/>
      <c r="DL279" s="191"/>
      <c r="DM279" s="191"/>
      <c r="DN279" s="64"/>
      <c r="DO279" s="191"/>
      <c r="DP279" s="191"/>
      <c r="DQ279" s="191"/>
      <c r="DR279" s="191"/>
      <c r="DS279" s="191"/>
      <c r="DT279" s="191"/>
      <c r="DU279" s="64"/>
      <c r="DV279" s="191"/>
      <c r="DW279" s="191"/>
      <c r="DX279" s="191"/>
      <c r="DY279" s="191"/>
      <c r="DZ279" s="191"/>
      <c r="EA279" s="191"/>
      <c r="EB279" s="64"/>
      <c r="EC279" s="191"/>
      <c r="ED279" s="191"/>
      <c r="EE279" s="191"/>
      <c r="EF279" s="191"/>
      <c r="EG279" s="191"/>
      <c r="EH279" s="191"/>
      <c r="EI279" s="64"/>
      <c r="EJ279" s="47"/>
      <c r="EK279" s="47"/>
      <c r="EL279" s="47"/>
      <c r="EM279" s="47"/>
      <c r="EN279" s="47"/>
      <c r="EO279" s="47"/>
      <c r="EP279" s="47"/>
      <c r="EQ279" s="47"/>
      <c r="ER279" s="47"/>
      <c r="ES279" s="47"/>
      <c r="ET279" s="47"/>
      <c r="EU279" s="47"/>
      <c r="EV279" s="47"/>
      <c r="EW279" s="47"/>
      <c r="EX279" s="47"/>
      <c r="EY279" s="47"/>
      <c r="EZ279" s="47"/>
      <c r="FA279" s="47"/>
      <c r="FB279" s="47"/>
      <c r="FC279" s="47"/>
      <c r="FD279" s="47"/>
      <c r="FE279" s="47"/>
      <c r="FF279" s="47"/>
      <c r="FG279" s="47"/>
      <c r="FH279" s="47"/>
      <c r="FI279" s="47"/>
      <c r="FJ279" s="47"/>
      <c r="FK279" s="47"/>
      <c r="FL279" s="47"/>
      <c r="FM279" s="47"/>
      <c r="FN279" s="47"/>
      <c r="FO279" s="47"/>
      <c r="FP279" s="47"/>
      <c r="FQ279" s="47"/>
      <c r="FR279" s="47"/>
      <c r="FS279" s="47"/>
      <c r="FT279" s="47"/>
      <c r="FU279" s="47"/>
      <c r="FV279" s="47"/>
      <c r="FW279" s="47"/>
      <c r="FX279" s="47"/>
      <c r="FY279" s="47"/>
      <c r="FZ279" s="47"/>
      <c r="GA279" s="47"/>
      <c r="GB279" s="47"/>
      <c r="GC279" s="47"/>
      <c r="GD279" s="47"/>
      <c r="GE279" s="47"/>
    </row>
    <row r="280" spans="1:187" ht="10.5" customHeight="1">
      <c r="A280" s="43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64"/>
      <c r="U280" s="191"/>
      <c r="V280" s="191"/>
      <c r="W280" s="191"/>
      <c r="X280" s="191"/>
      <c r="Y280" s="191"/>
      <c r="Z280" s="191"/>
      <c r="AA280" s="64"/>
      <c r="AB280" s="191"/>
      <c r="AC280" s="191"/>
      <c r="AD280" s="191"/>
      <c r="AE280" s="191"/>
      <c r="AF280" s="191"/>
      <c r="AG280" s="191"/>
      <c r="AH280" s="64"/>
      <c r="AI280" s="191"/>
      <c r="AJ280" s="191"/>
      <c r="AK280" s="191"/>
      <c r="AL280" s="191"/>
      <c r="AM280" s="191"/>
      <c r="AN280" s="191"/>
      <c r="AO280" s="64"/>
      <c r="AP280" s="191"/>
      <c r="AQ280" s="191"/>
      <c r="AR280" s="191"/>
      <c r="AS280" s="191"/>
      <c r="AT280" s="191"/>
      <c r="AU280" s="191"/>
      <c r="AV280" s="64"/>
      <c r="AW280" s="191"/>
      <c r="AX280" s="191"/>
      <c r="AY280" s="191"/>
      <c r="AZ280" s="191"/>
      <c r="BA280" s="191"/>
      <c r="BB280" s="191"/>
      <c r="BC280" s="64"/>
      <c r="BD280" s="191"/>
      <c r="BE280" s="191"/>
      <c r="BF280" s="191"/>
      <c r="BG280" s="191"/>
      <c r="BH280" s="191"/>
      <c r="BI280" s="191"/>
      <c r="BJ280" s="64"/>
      <c r="BK280" s="191"/>
      <c r="BL280" s="191"/>
      <c r="BM280" s="191"/>
      <c r="BN280" s="191"/>
      <c r="BO280" s="191"/>
      <c r="BP280" s="191"/>
      <c r="BQ280" s="64"/>
      <c r="BR280" s="191"/>
      <c r="BS280" s="191"/>
      <c r="BT280" s="191"/>
      <c r="BU280" s="191"/>
      <c r="BV280" s="191"/>
      <c r="BW280" s="191"/>
      <c r="BX280" s="64"/>
      <c r="BY280" s="191"/>
      <c r="BZ280" s="191"/>
      <c r="CA280" s="191"/>
      <c r="CB280" s="191"/>
      <c r="CC280" s="191"/>
      <c r="CD280" s="191"/>
      <c r="CE280" s="64"/>
      <c r="CF280" s="191"/>
      <c r="CG280" s="191"/>
      <c r="CH280" s="191"/>
      <c r="CI280" s="191"/>
      <c r="CJ280" s="191"/>
      <c r="CK280" s="191"/>
      <c r="CL280" s="64"/>
      <c r="CM280" s="191"/>
      <c r="CN280" s="191"/>
      <c r="CO280" s="191"/>
      <c r="CP280" s="191"/>
      <c r="CQ280" s="191"/>
      <c r="CR280" s="191"/>
      <c r="CS280" s="64"/>
      <c r="CT280" s="191"/>
      <c r="CU280" s="191"/>
      <c r="CV280" s="191"/>
      <c r="CW280" s="191"/>
      <c r="CX280" s="191"/>
      <c r="CY280" s="191"/>
      <c r="CZ280" s="64"/>
      <c r="DA280" s="191"/>
      <c r="DB280" s="191"/>
      <c r="DC280" s="191"/>
      <c r="DD280" s="191"/>
      <c r="DE280" s="191"/>
      <c r="DF280" s="191"/>
      <c r="DG280" s="64"/>
      <c r="DH280" s="191"/>
      <c r="DI280" s="191"/>
      <c r="DJ280" s="191"/>
      <c r="DK280" s="191"/>
      <c r="DL280" s="191"/>
      <c r="DM280" s="191"/>
      <c r="DN280" s="64"/>
      <c r="DO280" s="191"/>
      <c r="DP280" s="191"/>
      <c r="DQ280" s="191"/>
      <c r="DR280" s="191"/>
      <c r="DS280" s="191"/>
      <c r="DT280" s="191"/>
      <c r="DU280" s="64"/>
      <c r="DV280" s="191"/>
      <c r="DW280" s="191"/>
      <c r="DX280" s="191"/>
      <c r="DY280" s="191"/>
      <c r="DZ280" s="191"/>
      <c r="EA280" s="191"/>
      <c r="EB280" s="64"/>
      <c r="EC280" s="191"/>
      <c r="ED280" s="191"/>
      <c r="EE280" s="191"/>
      <c r="EF280" s="191"/>
      <c r="EG280" s="191"/>
      <c r="EH280" s="191"/>
      <c r="EI280" s="64"/>
      <c r="EJ280" s="47"/>
      <c r="EK280" s="47"/>
      <c r="EL280" s="47"/>
      <c r="EM280" s="47"/>
      <c r="EN280" s="47"/>
      <c r="EO280" s="47"/>
      <c r="EP280" s="47"/>
      <c r="EQ280" s="47"/>
      <c r="ER280" s="47"/>
      <c r="ES280" s="47"/>
      <c r="ET280" s="47"/>
      <c r="EU280" s="47"/>
      <c r="EV280" s="47"/>
      <c r="EW280" s="47"/>
      <c r="EX280" s="47"/>
      <c r="EY280" s="47"/>
      <c r="EZ280" s="47"/>
      <c r="FA280" s="47"/>
      <c r="FB280" s="47"/>
      <c r="FC280" s="47"/>
      <c r="FD280" s="47"/>
      <c r="FE280" s="47"/>
      <c r="FF280" s="47"/>
      <c r="FG280" s="47"/>
      <c r="FH280" s="47"/>
      <c r="FI280" s="47"/>
      <c r="FJ280" s="47"/>
      <c r="FK280" s="47"/>
      <c r="FL280" s="47"/>
      <c r="FM280" s="47"/>
      <c r="FN280" s="47"/>
      <c r="FO280" s="47"/>
      <c r="FP280" s="47"/>
      <c r="FQ280" s="47"/>
      <c r="FR280" s="47"/>
      <c r="FS280" s="47"/>
      <c r="FT280" s="47"/>
      <c r="FU280" s="47"/>
      <c r="FV280" s="47"/>
      <c r="FW280" s="47"/>
      <c r="FX280" s="47"/>
      <c r="FY280" s="47"/>
      <c r="FZ280" s="47"/>
      <c r="GA280" s="47"/>
      <c r="GB280" s="47"/>
      <c r="GC280" s="47"/>
      <c r="GD280" s="47"/>
      <c r="GE280" s="47"/>
    </row>
    <row r="281" spans="1:187" ht="10.5" customHeight="1">
      <c r="A281" s="43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64"/>
      <c r="U281" s="191"/>
      <c r="V281" s="191"/>
      <c r="W281" s="191"/>
      <c r="X281" s="191"/>
      <c r="Y281" s="191"/>
      <c r="Z281" s="191"/>
      <c r="AA281" s="64"/>
      <c r="AB281" s="191"/>
      <c r="AC281" s="191"/>
      <c r="AD281" s="191"/>
      <c r="AE281" s="191"/>
      <c r="AF281" s="191"/>
      <c r="AG281" s="191"/>
      <c r="AH281" s="64"/>
      <c r="AI281" s="191"/>
      <c r="AJ281" s="191"/>
      <c r="AK281" s="191"/>
      <c r="AL281" s="191"/>
      <c r="AM281" s="191"/>
      <c r="AN281" s="191"/>
      <c r="AO281" s="64"/>
      <c r="AP281" s="191"/>
      <c r="AQ281" s="191"/>
      <c r="AR281" s="191"/>
      <c r="AS281" s="191"/>
      <c r="AT281" s="191"/>
      <c r="AU281" s="191"/>
      <c r="AV281" s="64"/>
      <c r="AW281" s="191"/>
      <c r="AX281" s="191"/>
      <c r="AY281" s="191"/>
      <c r="AZ281" s="191"/>
      <c r="BA281" s="191"/>
      <c r="BB281" s="191"/>
      <c r="BC281" s="64"/>
      <c r="BD281" s="191"/>
      <c r="BE281" s="191"/>
      <c r="BF281" s="191"/>
      <c r="BG281" s="191"/>
      <c r="BH281" s="191"/>
      <c r="BI281" s="191"/>
      <c r="BJ281" s="64"/>
      <c r="BK281" s="191"/>
      <c r="BL281" s="191"/>
      <c r="BM281" s="191"/>
      <c r="BN281" s="191"/>
      <c r="BO281" s="191"/>
      <c r="BP281" s="191"/>
      <c r="BQ281" s="64"/>
      <c r="BR281" s="191"/>
      <c r="BS281" s="191"/>
      <c r="BT281" s="191"/>
      <c r="BU281" s="191"/>
      <c r="BV281" s="191"/>
      <c r="BW281" s="191"/>
      <c r="BX281" s="64"/>
      <c r="BY281" s="191"/>
      <c r="BZ281" s="191"/>
      <c r="CA281" s="191"/>
      <c r="CB281" s="191"/>
      <c r="CC281" s="191"/>
      <c r="CD281" s="191"/>
      <c r="CE281" s="64"/>
      <c r="CF281" s="191"/>
      <c r="CG281" s="191"/>
      <c r="CH281" s="191"/>
      <c r="CI281" s="191"/>
      <c r="CJ281" s="191"/>
      <c r="CK281" s="191"/>
      <c r="CL281" s="64"/>
      <c r="CM281" s="191"/>
      <c r="CN281" s="191"/>
      <c r="CO281" s="191"/>
      <c r="CP281" s="191"/>
      <c r="CQ281" s="191"/>
      <c r="CR281" s="191"/>
      <c r="CS281" s="64"/>
      <c r="CT281" s="191"/>
      <c r="CU281" s="191"/>
      <c r="CV281" s="191"/>
      <c r="CW281" s="191"/>
      <c r="CX281" s="191"/>
      <c r="CY281" s="191"/>
      <c r="CZ281" s="64"/>
      <c r="DA281" s="191"/>
      <c r="DB281" s="191"/>
      <c r="DC281" s="191"/>
      <c r="DD281" s="191"/>
      <c r="DE281" s="191"/>
      <c r="DF281" s="191"/>
      <c r="DG281" s="64"/>
      <c r="DH281" s="191"/>
      <c r="DI281" s="191"/>
      <c r="DJ281" s="191"/>
      <c r="DK281" s="191"/>
      <c r="DL281" s="191"/>
      <c r="DM281" s="191"/>
      <c r="DN281" s="64"/>
      <c r="DO281" s="191"/>
      <c r="DP281" s="191"/>
      <c r="DQ281" s="191"/>
      <c r="DR281" s="191"/>
      <c r="DS281" s="191"/>
      <c r="DT281" s="191"/>
      <c r="DU281" s="64"/>
      <c r="DV281" s="191"/>
      <c r="DW281" s="191"/>
      <c r="DX281" s="191"/>
      <c r="DY281" s="191"/>
      <c r="DZ281" s="191"/>
      <c r="EA281" s="191"/>
      <c r="EB281" s="64"/>
      <c r="EC281" s="191"/>
      <c r="ED281" s="191"/>
      <c r="EE281" s="191"/>
      <c r="EF281" s="191"/>
      <c r="EG281" s="191"/>
      <c r="EH281" s="191"/>
      <c r="EI281" s="64"/>
      <c r="EJ281" s="47"/>
      <c r="EK281" s="47"/>
      <c r="EL281" s="47"/>
      <c r="EM281" s="47"/>
      <c r="EN281" s="47"/>
      <c r="EO281" s="47"/>
      <c r="EP281" s="47"/>
      <c r="EQ281" s="47"/>
      <c r="ER281" s="47"/>
      <c r="ES281" s="47"/>
      <c r="ET281" s="47"/>
      <c r="EU281" s="47"/>
      <c r="EV281" s="47"/>
      <c r="EW281" s="47"/>
      <c r="EX281" s="47"/>
      <c r="EY281" s="47"/>
      <c r="EZ281" s="47"/>
      <c r="FA281" s="47"/>
      <c r="FB281" s="47"/>
      <c r="FC281" s="47"/>
      <c r="FD281" s="47"/>
      <c r="FE281" s="47"/>
      <c r="FF281" s="47"/>
      <c r="FG281" s="47"/>
      <c r="FH281" s="47"/>
      <c r="FI281" s="47"/>
      <c r="FJ281" s="47"/>
      <c r="FK281" s="47"/>
      <c r="FL281" s="47"/>
      <c r="FM281" s="47"/>
      <c r="FN281" s="47"/>
      <c r="FO281" s="47"/>
      <c r="FP281" s="47"/>
      <c r="FQ281" s="47"/>
      <c r="FR281" s="47"/>
      <c r="FS281" s="47"/>
      <c r="FT281" s="47"/>
      <c r="FU281" s="47"/>
      <c r="FV281" s="47"/>
      <c r="FW281" s="47"/>
      <c r="FX281" s="47"/>
      <c r="FY281" s="47"/>
      <c r="FZ281" s="47"/>
      <c r="GA281" s="47"/>
      <c r="GB281" s="47"/>
      <c r="GC281" s="47"/>
      <c r="GD281" s="47"/>
      <c r="GE281" s="47"/>
    </row>
    <row r="282" spans="1:187" ht="10.5" customHeight="1">
      <c r="A282" s="43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64"/>
      <c r="U282" s="191"/>
      <c r="V282" s="191"/>
      <c r="W282" s="191"/>
      <c r="X282" s="191"/>
      <c r="Y282" s="191"/>
      <c r="Z282" s="191"/>
      <c r="AA282" s="64"/>
      <c r="AB282" s="191"/>
      <c r="AC282" s="191"/>
      <c r="AD282" s="191"/>
      <c r="AE282" s="191"/>
      <c r="AF282" s="191"/>
      <c r="AG282" s="191"/>
      <c r="AH282" s="64"/>
      <c r="AI282" s="191"/>
      <c r="AJ282" s="191"/>
      <c r="AK282" s="191"/>
      <c r="AL282" s="191"/>
      <c r="AM282" s="191"/>
      <c r="AN282" s="191"/>
      <c r="AO282" s="64"/>
      <c r="AP282" s="191"/>
      <c r="AQ282" s="191"/>
      <c r="AR282" s="191"/>
      <c r="AS282" s="191"/>
      <c r="AT282" s="191"/>
      <c r="AU282" s="191"/>
      <c r="AV282" s="64"/>
      <c r="AW282" s="191"/>
      <c r="AX282" s="191"/>
      <c r="AY282" s="191"/>
      <c r="AZ282" s="191"/>
      <c r="BA282" s="191"/>
      <c r="BB282" s="191"/>
      <c r="BC282" s="64"/>
      <c r="BD282" s="191"/>
      <c r="BE282" s="191"/>
      <c r="BF282" s="191"/>
      <c r="BG282" s="191"/>
      <c r="BH282" s="191"/>
      <c r="BI282" s="191"/>
      <c r="BJ282" s="64"/>
      <c r="BK282" s="191"/>
      <c r="BL282" s="191"/>
      <c r="BM282" s="191"/>
      <c r="BN282" s="191"/>
      <c r="BO282" s="191"/>
      <c r="BP282" s="191"/>
      <c r="BQ282" s="64"/>
      <c r="BR282" s="191"/>
      <c r="BS282" s="191"/>
      <c r="BT282" s="191"/>
      <c r="BU282" s="191"/>
      <c r="BV282" s="191"/>
      <c r="BW282" s="191"/>
      <c r="BX282" s="64"/>
      <c r="BY282" s="191"/>
      <c r="BZ282" s="191"/>
      <c r="CA282" s="191"/>
      <c r="CB282" s="191"/>
      <c r="CC282" s="191"/>
      <c r="CD282" s="191"/>
      <c r="CE282" s="64"/>
      <c r="CF282" s="191"/>
      <c r="CG282" s="191"/>
      <c r="CH282" s="191"/>
      <c r="CI282" s="191"/>
      <c r="CJ282" s="191"/>
      <c r="CK282" s="191"/>
      <c r="CL282" s="64"/>
      <c r="CM282" s="191"/>
      <c r="CN282" s="191"/>
      <c r="CO282" s="191"/>
      <c r="CP282" s="191"/>
      <c r="CQ282" s="191"/>
      <c r="CR282" s="191"/>
      <c r="CS282" s="64"/>
      <c r="CT282" s="191"/>
      <c r="CU282" s="191"/>
      <c r="CV282" s="191"/>
      <c r="CW282" s="191"/>
      <c r="CX282" s="191"/>
      <c r="CY282" s="191"/>
      <c r="CZ282" s="64"/>
      <c r="DA282" s="191"/>
      <c r="DB282" s="191"/>
      <c r="DC282" s="191"/>
      <c r="DD282" s="191"/>
      <c r="DE282" s="191"/>
      <c r="DF282" s="191"/>
      <c r="DG282" s="64"/>
      <c r="DH282" s="191"/>
      <c r="DI282" s="191"/>
      <c r="DJ282" s="191"/>
      <c r="DK282" s="191"/>
      <c r="DL282" s="191"/>
      <c r="DM282" s="191"/>
      <c r="DN282" s="64"/>
      <c r="DO282" s="191"/>
      <c r="DP282" s="191"/>
      <c r="DQ282" s="191"/>
      <c r="DR282" s="191"/>
      <c r="DS282" s="191"/>
      <c r="DT282" s="191"/>
      <c r="DU282" s="64"/>
      <c r="DV282" s="191"/>
      <c r="DW282" s="191"/>
      <c r="DX282" s="191"/>
      <c r="DY282" s="191"/>
      <c r="DZ282" s="191"/>
      <c r="EA282" s="191"/>
      <c r="EB282" s="64"/>
      <c r="EC282" s="191"/>
      <c r="ED282" s="191"/>
      <c r="EE282" s="191"/>
      <c r="EF282" s="191"/>
      <c r="EG282" s="191"/>
      <c r="EH282" s="191"/>
      <c r="EI282" s="64"/>
      <c r="EJ282" s="47"/>
      <c r="EK282" s="47"/>
      <c r="EL282" s="47"/>
      <c r="EM282" s="47"/>
      <c r="EN282" s="47"/>
      <c r="EO282" s="47"/>
      <c r="EP282" s="47"/>
      <c r="EQ282" s="47"/>
      <c r="ER282" s="47"/>
      <c r="ES282" s="47"/>
      <c r="ET282" s="47"/>
      <c r="EU282" s="47"/>
      <c r="EV282" s="47"/>
      <c r="EW282" s="47"/>
      <c r="EX282" s="47"/>
      <c r="EY282" s="47"/>
      <c r="EZ282" s="47"/>
      <c r="FA282" s="47"/>
      <c r="FB282" s="47"/>
      <c r="FC282" s="47"/>
      <c r="FD282" s="47"/>
      <c r="FE282" s="47"/>
      <c r="FF282" s="47"/>
      <c r="FG282" s="47"/>
      <c r="FH282" s="47"/>
      <c r="FI282" s="47"/>
      <c r="FJ282" s="47"/>
      <c r="FK282" s="47"/>
      <c r="FL282" s="47"/>
      <c r="FM282" s="47"/>
      <c r="FN282" s="47"/>
      <c r="FO282" s="47"/>
      <c r="FP282" s="47"/>
      <c r="FQ282" s="47"/>
      <c r="FR282" s="47"/>
      <c r="FS282" s="47"/>
      <c r="FT282" s="47"/>
      <c r="FU282" s="47"/>
      <c r="FV282" s="47"/>
      <c r="FW282" s="47"/>
      <c r="FX282" s="47"/>
      <c r="FY282" s="47"/>
      <c r="FZ282" s="47"/>
      <c r="GA282" s="47"/>
      <c r="GB282" s="47"/>
      <c r="GC282" s="47"/>
      <c r="GD282" s="47"/>
      <c r="GE282" s="47"/>
    </row>
    <row r="283" spans="1:187" ht="10.5" customHeight="1">
      <c r="A283" s="43"/>
      <c r="B283" s="918"/>
      <c r="C283" s="932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80"/>
      <c r="U283" s="176"/>
      <c r="V283" s="176"/>
      <c r="W283" s="176"/>
      <c r="X283" s="176"/>
      <c r="Y283" s="176"/>
      <c r="Z283" s="176"/>
      <c r="AA283" s="80"/>
      <c r="AB283" s="176"/>
      <c r="AC283" s="176"/>
      <c r="AD283" s="176"/>
      <c r="AE283" s="176"/>
      <c r="AF283" s="176"/>
      <c r="AG283" s="176"/>
      <c r="AH283" s="80"/>
      <c r="AI283" s="176"/>
      <c r="AJ283" s="176"/>
      <c r="AK283" s="176"/>
      <c r="AL283" s="176"/>
      <c r="AM283" s="176"/>
      <c r="AN283" s="176"/>
      <c r="AO283" s="80"/>
      <c r="AP283" s="176"/>
      <c r="AQ283" s="176"/>
      <c r="AR283" s="176"/>
      <c r="AS283" s="176"/>
      <c r="AT283" s="176"/>
      <c r="AU283" s="176"/>
      <c r="AV283" s="80"/>
      <c r="AW283" s="176"/>
      <c r="AX283" s="176"/>
      <c r="AY283" s="176"/>
      <c r="AZ283" s="176"/>
      <c r="BA283" s="176"/>
      <c r="BB283" s="176"/>
      <c r="BC283" s="80"/>
      <c r="BD283" s="176"/>
      <c r="BE283" s="176"/>
      <c r="BF283" s="176"/>
      <c r="BG283" s="176"/>
      <c r="BH283" s="176"/>
      <c r="BI283" s="176"/>
      <c r="BJ283" s="80"/>
      <c r="BK283" s="176"/>
      <c r="BL283" s="176"/>
      <c r="BM283" s="176"/>
      <c r="BN283" s="176"/>
      <c r="BO283" s="176"/>
      <c r="BP283" s="176"/>
      <c r="BQ283" s="80"/>
      <c r="BR283" s="176"/>
      <c r="BS283" s="176"/>
      <c r="BT283" s="176"/>
      <c r="BU283" s="176"/>
      <c r="BV283" s="176"/>
      <c r="BW283" s="176"/>
      <c r="BX283" s="80"/>
      <c r="BY283" s="176"/>
      <c r="BZ283" s="176"/>
      <c r="CA283" s="176"/>
      <c r="CB283" s="176"/>
      <c r="CC283" s="176"/>
      <c r="CD283" s="176"/>
      <c r="CE283" s="80"/>
      <c r="CF283" s="176"/>
      <c r="CG283" s="176"/>
      <c r="CH283" s="176"/>
      <c r="CI283" s="176"/>
      <c r="CJ283" s="176"/>
      <c r="CK283" s="176"/>
      <c r="CL283" s="80"/>
      <c r="CM283" s="176"/>
      <c r="CN283" s="176"/>
      <c r="CO283" s="176"/>
      <c r="CP283" s="176"/>
      <c r="CQ283" s="176"/>
      <c r="CR283" s="176"/>
      <c r="CS283" s="80"/>
      <c r="CT283" s="176"/>
      <c r="CU283" s="176"/>
      <c r="CV283" s="176"/>
      <c r="CW283" s="176"/>
      <c r="CX283" s="176"/>
      <c r="CY283" s="176"/>
      <c r="CZ283" s="80"/>
      <c r="DA283" s="176"/>
      <c r="DB283" s="176"/>
      <c r="DC283" s="176"/>
      <c r="DD283" s="176"/>
      <c r="DE283" s="176"/>
      <c r="DF283" s="176"/>
      <c r="DG283" s="80"/>
      <c r="DH283" s="176"/>
      <c r="DI283" s="176"/>
      <c r="DJ283" s="176"/>
      <c r="DK283" s="176"/>
      <c r="DL283" s="176"/>
      <c r="DM283" s="176"/>
      <c r="DN283" s="80"/>
      <c r="DO283" s="176"/>
      <c r="DP283" s="176"/>
      <c r="DQ283" s="176"/>
      <c r="DR283" s="176"/>
      <c r="DS283" s="176"/>
      <c r="DT283" s="176"/>
      <c r="DU283" s="80"/>
      <c r="DV283" s="176"/>
      <c r="DW283" s="176"/>
      <c r="DX283" s="176"/>
      <c r="DY283" s="176"/>
      <c r="DZ283" s="176"/>
      <c r="EA283" s="176"/>
      <c r="EB283" s="80"/>
      <c r="EC283" s="176"/>
      <c r="ED283" s="176"/>
      <c r="EE283" s="176"/>
      <c r="EF283" s="176"/>
      <c r="EG283" s="176"/>
      <c r="EH283" s="176"/>
      <c r="EI283" s="80"/>
      <c r="EJ283" s="47"/>
      <c r="EK283" s="47"/>
      <c r="EL283" s="47"/>
      <c r="EM283" s="47"/>
      <c r="EN283" s="47"/>
      <c r="EO283" s="47"/>
      <c r="EP283" s="47"/>
      <c r="EQ283" s="47"/>
      <c r="ER283" s="47"/>
      <c r="ES283" s="47"/>
      <c r="ET283" s="47"/>
      <c r="EU283" s="47"/>
      <c r="EV283" s="47"/>
      <c r="EW283" s="47"/>
      <c r="EX283" s="47"/>
      <c r="EY283" s="47"/>
      <c r="EZ283" s="47"/>
      <c r="FA283" s="47"/>
      <c r="FB283" s="47"/>
      <c r="FC283" s="47"/>
      <c r="FD283" s="47"/>
      <c r="FE283" s="47"/>
      <c r="FF283" s="47"/>
      <c r="FG283" s="47"/>
      <c r="FH283" s="47"/>
      <c r="FI283" s="47"/>
      <c r="FJ283" s="47"/>
      <c r="FK283" s="47"/>
      <c r="FL283" s="47"/>
      <c r="FM283" s="47"/>
      <c r="FN283" s="47"/>
      <c r="FO283" s="47"/>
      <c r="FP283" s="47"/>
      <c r="FQ283" s="47"/>
      <c r="FR283" s="47"/>
      <c r="FS283" s="47"/>
      <c r="FT283" s="47"/>
      <c r="FU283" s="47"/>
      <c r="FV283" s="47"/>
      <c r="FW283" s="47"/>
      <c r="FX283" s="47"/>
      <c r="FY283" s="47"/>
      <c r="FZ283" s="47"/>
      <c r="GA283" s="47"/>
      <c r="GB283" s="47"/>
      <c r="GC283" s="47"/>
      <c r="GD283" s="47"/>
      <c r="GE283" s="47"/>
    </row>
    <row r="284" spans="1:187" ht="10.5" customHeight="1">
      <c r="A284" s="43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64"/>
      <c r="U284" s="191"/>
      <c r="V284" s="191"/>
      <c r="W284" s="191"/>
      <c r="X284" s="191"/>
      <c r="Y284" s="191"/>
      <c r="Z284" s="191"/>
      <c r="AA284" s="64"/>
      <c r="AB284" s="191"/>
      <c r="AC284" s="191"/>
      <c r="AD284" s="191"/>
      <c r="AE284" s="191"/>
      <c r="AF284" s="191"/>
      <c r="AG284" s="191"/>
      <c r="AH284" s="64"/>
      <c r="AI284" s="191"/>
      <c r="AJ284" s="191"/>
      <c r="AK284" s="191"/>
      <c r="AL284" s="191"/>
      <c r="AM284" s="191"/>
      <c r="AN284" s="191"/>
      <c r="AO284" s="64"/>
      <c r="AP284" s="191"/>
      <c r="AQ284" s="191"/>
      <c r="AR284" s="191"/>
      <c r="AS284" s="191"/>
      <c r="AT284" s="191"/>
      <c r="AU284" s="191"/>
      <c r="AV284" s="64"/>
      <c r="AW284" s="191"/>
      <c r="AX284" s="191"/>
      <c r="AY284" s="191"/>
      <c r="AZ284" s="191"/>
      <c r="BA284" s="191"/>
      <c r="BB284" s="191"/>
      <c r="BC284" s="64"/>
      <c r="BD284" s="191"/>
      <c r="BE284" s="191"/>
      <c r="BF284" s="191"/>
      <c r="BG284" s="191"/>
      <c r="BH284" s="191"/>
      <c r="BI284" s="191"/>
      <c r="BJ284" s="64"/>
      <c r="BK284" s="191"/>
      <c r="BL284" s="191"/>
      <c r="BM284" s="191"/>
      <c r="BN284" s="191"/>
      <c r="BO284" s="191"/>
      <c r="BP284" s="191"/>
      <c r="BQ284" s="64"/>
      <c r="BR284" s="191"/>
      <c r="BS284" s="191"/>
      <c r="BT284" s="191"/>
      <c r="BU284" s="191"/>
      <c r="BV284" s="191"/>
      <c r="BW284" s="191"/>
      <c r="BX284" s="64"/>
      <c r="BY284" s="191"/>
      <c r="BZ284" s="191"/>
      <c r="CA284" s="191"/>
      <c r="CB284" s="191"/>
      <c r="CC284" s="191"/>
      <c r="CD284" s="191"/>
      <c r="CE284" s="64"/>
      <c r="CF284" s="191"/>
      <c r="CG284" s="191"/>
      <c r="CH284" s="191"/>
      <c r="CI284" s="191"/>
      <c r="CJ284" s="191"/>
      <c r="CK284" s="191"/>
      <c r="CL284" s="64"/>
      <c r="CM284" s="191"/>
      <c r="CN284" s="191"/>
      <c r="CO284" s="191"/>
      <c r="CP284" s="191"/>
      <c r="CQ284" s="191"/>
      <c r="CR284" s="191"/>
      <c r="CS284" s="64"/>
      <c r="CT284" s="191"/>
      <c r="CU284" s="191"/>
      <c r="CV284" s="191"/>
      <c r="CW284" s="191"/>
      <c r="CX284" s="191"/>
      <c r="CY284" s="191"/>
      <c r="CZ284" s="64"/>
      <c r="DA284" s="191"/>
      <c r="DB284" s="191"/>
      <c r="DC284" s="191"/>
      <c r="DD284" s="191"/>
      <c r="DE284" s="191"/>
      <c r="DF284" s="191"/>
      <c r="DG284" s="64"/>
      <c r="DH284" s="191"/>
      <c r="DI284" s="191"/>
      <c r="DJ284" s="191"/>
      <c r="DK284" s="191"/>
      <c r="DL284" s="191"/>
      <c r="DM284" s="191"/>
      <c r="DN284" s="64"/>
      <c r="DO284" s="191"/>
      <c r="DP284" s="191"/>
      <c r="DQ284" s="191"/>
      <c r="DR284" s="191"/>
      <c r="DS284" s="191"/>
      <c r="DT284" s="191"/>
      <c r="DU284" s="64"/>
      <c r="DV284" s="191"/>
      <c r="DW284" s="191"/>
      <c r="DX284" s="191"/>
      <c r="DY284" s="191"/>
      <c r="DZ284" s="191"/>
      <c r="EA284" s="191"/>
      <c r="EB284" s="64"/>
      <c r="EC284" s="191"/>
      <c r="ED284" s="191"/>
      <c r="EE284" s="191"/>
      <c r="EF284" s="191"/>
      <c r="EG284" s="191"/>
      <c r="EH284" s="191"/>
      <c r="EI284" s="64"/>
      <c r="EJ284" s="47"/>
      <c r="EK284" s="47"/>
      <c r="EL284" s="47"/>
      <c r="EM284" s="47"/>
      <c r="EN284" s="47"/>
      <c r="EO284" s="47"/>
      <c r="EP284" s="47"/>
      <c r="EQ284" s="47"/>
      <c r="ER284" s="47"/>
      <c r="ES284" s="47"/>
      <c r="ET284" s="47"/>
      <c r="EU284" s="47"/>
      <c r="EV284" s="47"/>
      <c r="EW284" s="47"/>
      <c r="EX284" s="47"/>
      <c r="EY284" s="47"/>
      <c r="EZ284" s="47"/>
      <c r="FA284" s="47"/>
      <c r="FB284" s="47"/>
      <c r="FC284" s="47"/>
      <c r="FD284" s="47"/>
      <c r="FE284" s="47"/>
      <c r="FF284" s="47"/>
      <c r="FG284" s="47"/>
      <c r="FH284" s="47"/>
      <c r="FI284" s="47"/>
      <c r="FJ284" s="47"/>
      <c r="FK284" s="47"/>
      <c r="FL284" s="47"/>
      <c r="FM284" s="47"/>
      <c r="FN284" s="47"/>
      <c r="FO284" s="47"/>
      <c r="FP284" s="47"/>
      <c r="FQ284" s="47"/>
      <c r="FR284" s="47"/>
      <c r="FS284" s="47"/>
      <c r="FT284" s="47"/>
      <c r="FU284" s="47"/>
      <c r="FV284" s="47"/>
      <c r="FW284" s="47"/>
      <c r="FX284" s="47"/>
      <c r="FY284" s="47"/>
      <c r="FZ284" s="47"/>
      <c r="GA284" s="47"/>
      <c r="GB284" s="47"/>
      <c r="GC284" s="47"/>
      <c r="GD284" s="47"/>
      <c r="GE284" s="47"/>
    </row>
    <row r="285" spans="1:187" ht="10.5" customHeight="1">
      <c r="A285" s="43"/>
      <c r="B285" s="191"/>
      <c r="C285" s="191"/>
      <c r="D285" s="191"/>
      <c r="E285" s="191"/>
      <c r="F285" s="191"/>
      <c r="G285" s="191"/>
      <c r="H285" s="203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64"/>
      <c r="U285" s="191"/>
      <c r="V285" s="191"/>
      <c r="W285" s="191"/>
      <c r="X285" s="191"/>
      <c r="Y285" s="191"/>
      <c r="Z285" s="191"/>
      <c r="AA285" s="64"/>
      <c r="AB285" s="191"/>
      <c r="AC285" s="191"/>
      <c r="AD285" s="191"/>
      <c r="AE285" s="191"/>
      <c r="AF285" s="191"/>
      <c r="AG285" s="191"/>
      <c r="AH285" s="64"/>
      <c r="AI285" s="191"/>
      <c r="AJ285" s="191"/>
      <c r="AK285" s="191"/>
      <c r="AL285" s="191"/>
      <c r="AM285" s="191"/>
      <c r="AN285" s="191"/>
      <c r="AO285" s="64"/>
      <c r="AP285" s="191"/>
      <c r="AQ285" s="191"/>
      <c r="AR285" s="191"/>
      <c r="AS285" s="191"/>
      <c r="AT285" s="191"/>
      <c r="AU285" s="191"/>
      <c r="AV285" s="64"/>
      <c r="AW285" s="191"/>
      <c r="AX285" s="191"/>
      <c r="AY285" s="191"/>
      <c r="AZ285" s="191"/>
      <c r="BA285" s="191"/>
      <c r="BB285" s="191"/>
      <c r="BC285" s="64"/>
      <c r="BD285" s="191"/>
      <c r="BE285" s="191"/>
      <c r="BF285" s="191"/>
      <c r="BG285" s="191"/>
      <c r="BH285" s="191"/>
      <c r="BI285" s="191"/>
      <c r="BJ285" s="64"/>
      <c r="BK285" s="191"/>
      <c r="BL285" s="191"/>
      <c r="BM285" s="191"/>
      <c r="BN285" s="191"/>
      <c r="BO285" s="191"/>
      <c r="BP285" s="191"/>
      <c r="BQ285" s="64"/>
      <c r="BR285" s="191"/>
      <c r="BS285" s="191"/>
      <c r="BT285" s="191"/>
      <c r="BU285" s="191"/>
      <c r="BV285" s="191"/>
      <c r="BW285" s="191"/>
      <c r="BX285" s="64"/>
      <c r="BY285" s="191"/>
      <c r="BZ285" s="191"/>
      <c r="CA285" s="191"/>
      <c r="CB285" s="191"/>
      <c r="CC285" s="191"/>
      <c r="CD285" s="191"/>
      <c r="CE285" s="64"/>
      <c r="CF285" s="191"/>
      <c r="CG285" s="191"/>
      <c r="CH285" s="191"/>
      <c r="CI285" s="191"/>
      <c r="CJ285" s="191"/>
      <c r="CK285" s="191"/>
      <c r="CL285" s="64"/>
      <c r="CM285" s="191"/>
      <c r="CN285" s="191"/>
      <c r="CO285" s="191"/>
      <c r="CP285" s="191"/>
      <c r="CQ285" s="191"/>
      <c r="CR285" s="191"/>
      <c r="CS285" s="64"/>
      <c r="CT285" s="191"/>
      <c r="CU285" s="191"/>
      <c r="CV285" s="191"/>
      <c r="CW285" s="191"/>
      <c r="CX285" s="191"/>
      <c r="CY285" s="191"/>
      <c r="CZ285" s="64"/>
      <c r="DA285" s="191"/>
      <c r="DB285" s="191"/>
      <c r="DC285" s="191"/>
      <c r="DD285" s="191"/>
      <c r="DE285" s="191"/>
      <c r="DF285" s="191"/>
      <c r="DG285" s="64"/>
      <c r="DH285" s="191"/>
      <c r="DI285" s="191"/>
      <c r="DJ285" s="191"/>
      <c r="DK285" s="191"/>
      <c r="DL285" s="191"/>
      <c r="DM285" s="191"/>
      <c r="DN285" s="64"/>
      <c r="DO285" s="191"/>
      <c r="DP285" s="191"/>
      <c r="DQ285" s="191"/>
      <c r="DR285" s="191"/>
      <c r="DS285" s="191"/>
      <c r="DT285" s="191"/>
      <c r="DU285" s="64"/>
      <c r="DV285" s="191"/>
      <c r="DW285" s="191"/>
      <c r="DX285" s="191"/>
      <c r="DY285" s="191"/>
      <c r="DZ285" s="191"/>
      <c r="EA285" s="191"/>
      <c r="EB285" s="64"/>
      <c r="EC285" s="191"/>
      <c r="ED285" s="191"/>
      <c r="EE285" s="191"/>
      <c r="EF285" s="191"/>
      <c r="EG285" s="191"/>
      <c r="EH285" s="191"/>
      <c r="EI285" s="64"/>
      <c r="EJ285" s="47"/>
      <c r="EK285" s="47"/>
      <c r="EL285" s="47"/>
      <c r="EM285" s="47"/>
      <c r="EN285" s="47"/>
      <c r="EO285" s="47"/>
      <c r="EP285" s="47"/>
      <c r="EQ285" s="47"/>
      <c r="ER285" s="47"/>
      <c r="ES285" s="47"/>
      <c r="ET285" s="47"/>
      <c r="EU285" s="47"/>
      <c r="EV285" s="47"/>
      <c r="EW285" s="47"/>
      <c r="EX285" s="47"/>
      <c r="EY285" s="47"/>
      <c r="EZ285" s="47"/>
      <c r="FA285" s="47"/>
      <c r="FB285" s="47"/>
      <c r="FC285" s="47"/>
      <c r="FD285" s="47"/>
      <c r="FE285" s="47"/>
      <c r="FF285" s="47"/>
      <c r="FG285" s="47"/>
      <c r="FH285" s="47"/>
      <c r="FI285" s="47"/>
      <c r="FJ285" s="47"/>
      <c r="FK285" s="47"/>
      <c r="FL285" s="47"/>
      <c r="FM285" s="47"/>
      <c r="FN285" s="47"/>
      <c r="FO285" s="47"/>
      <c r="FP285" s="47"/>
      <c r="FQ285" s="47"/>
      <c r="FR285" s="47"/>
      <c r="FS285" s="47"/>
      <c r="FT285" s="47"/>
      <c r="FU285" s="47"/>
      <c r="FV285" s="47"/>
      <c r="FW285" s="47"/>
      <c r="FX285" s="47"/>
      <c r="FY285" s="47"/>
      <c r="FZ285" s="47"/>
      <c r="GA285" s="47"/>
      <c r="GB285" s="47"/>
      <c r="GC285" s="47"/>
      <c r="GD285" s="47"/>
      <c r="GE285" s="47"/>
    </row>
    <row r="286" spans="1:187" ht="10.5" customHeight="1">
      <c r="A286" s="43"/>
      <c r="B286" s="191"/>
      <c r="C286" s="191"/>
      <c r="D286" s="191"/>
      <c r="E286" s="191"/>
      <c r="F286" s="191"/>
      <c r="G286" s="191"/>
      <c r="H286" s="203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64"/>
      <c r="U286" s="191"/>
      <c r="V286" s="191"/>
      <c r="W286" s="191"/>
      <c r="X286" s="191"/>
      <c r="Y286" s="191"/>
      <c r="Z286" s="191"/>
      <c r="AA286" s="64"/>
      <c r="AB286" s="191"/>
      <c r="AC286" s="191"/>
      <c r="AD286" s="191"/>
      <c r="AE286" s="191"/>
      <c r="AF286" s="191"/>
      <c r="AG286" s="191"/>
      <c r="AH286" s="64"/>
      <c r="AI286" s="191"/>
      <c r="AJ286" s="191"/>
      <c r="AK286" s="191"/>
      <c r="AL286" s="191"/>
      <c r="AM286" s="191"/>
      <c r="AN286" s="191"/>
      <c r="AO286" s="64"/>
      <c r="AP286" s="191"/>
      <c r="AQ286" s="191"/>
      <c r="AR286" s="191"/>
      <c r="AS286" s="191"/>
      <c r="AT286" s="191"/>
      <c r="AU286" s="191"/>
      <c r="AV286" s="64"/>
      <c r="AW286" s="191"/>
      <c r="AX286" s="191"/>
      <c r="AY286" s="191"/>
      <c r="AZ286" s="191"/>
      <c r="BA286" s="191"/>
      <c r="BB286" s="191"/>
      <c r="BC286" s="64"/>
      <c r="BD286" s="191"/>
      <c r="BE286" s="191"/>
      <c r="BF286" s="191"/>
      <c r="BG286" s="191"/>
      <c r="BH286" s="191"/>
      <c r="BI286" s="191"/>
      <c r="BJ286" s="64"/>
      <c r="BK286" s="191"/>
      <c r="BL286" s="191"/>
      <c r="BM286" s="191"/>
      <c r="BN286" s="191"/>
      <c r="BO286" s="191"/>
      <c r="BP286" s="191"/>
      <c r="BQ286" s="64"/>
      <c r="BR286" s="191"/>
      <c r="BS286" s="191"/>
      <c r="BT286" s="191"/>
      <c r="BU286" s="191"/>
      <c r="BV286" s="191"/>
      <c r="BW286" s="191"/>
      <c r="BX286" s="64"/>
      <c r="BY286" s="191"/>
      <c r="BZ286" s="191"/>
      <c r="CA286" s="191"/>
      <c r="CB286" s="191"/>
      <c r="CC286" s="191"/>
      <c r="CD286" s="191"/>
      <c r="CE286" s="64"/>
      <c r="CF286" s="191"/>
      <c r="CG286" s="191"/>
      <c r="CH286" s="191"/>
      <c r="CI286" s="191"/>
      <c r="CJ286" s="191"/>
      <c r="CK286" s="191"/>
      <c r="CL286" s="64"/>
      <c r="CM286" s="191"/>
      <c r="CN286" s="191"/>
      <c r="CO286" s="191"/>
      <c r="CP286" s="191"/>
      <c r="CQ286" s="191"/>
      <c r="CR286" s="191"/>
      <c r="CS286" s="64"/>
      <c r="CT286" s="191"/>
      <c r="CU286" s="191"/>
      <c r="CV286" s="191"/>
      <c r="CW286" s="191"/>
      <c r="CX286" s="191"/>
      <c r="CY286" s="191"/>
      <c r="CZ286" s="64"/>
      <c r="DA286" s="191"/>
      <c r="DB286" s="191"/>
      <c r="DC286" s="191"/>
      <c r="DD286" s="191"/>
      <c r="DE286" s="191"/>
      <c r="DF286" s="191"/>
      <c r="DG286" s="64"/>
      <c r="DH286" s="191"/>
      <c r="DI286" s="191"/>
      <c r="DJ286" s="191"/>
      <c r="DK286" s="191"/>
      <c r="DL286" s="191"/>
      <c r="DM286" s="191"/>
      <c r="DN286" s="64"/>
      <c r="DO286" s="191"/>
      <c r="DP286" s="191"/>
      <c r="DQ286" s="191"/>
      <c r="DR286" s="191"/>
      <c r="DS286" s="191"/>
      <c r="DT286" s="191"/>
      <c r="DU286" s="64"/>
      <c r="DV286" s="191"/>
      <c r="DW286" s="191"/>
      <c r="DX286" s="191"/>
      <c r="DY286" s="191"/>
      <c r="DZ286" s="191"/>
      <c r="EA286" s="191"/>
      <c r="EB286" s="64"/>
      <c r="EC286" s="191"/>
      <c r="ED286" s="191"/>
      <c r="EE286" s="191"/>
      <c r="EF286" s="191"/>
      <c r="EG286" s="191"/>
      <c r="EH286" s="191"/>
      <c r="EI286" s="64"/>
      <c r="EJ286" s="47"/>
      <c r="EK286" s="47"/>
      <c r="EL286" s="47"/>
      <c r="EM286" s="47"/>
      <c r="EN286" s="47"/>
      <c r="EO286" s="47"/>
      <c r="EP286" s="47"/>
      <c r="EQ286" s="47"/>
      <c r="ER286" s="47"/>
      <c r="ES286" s="47"/>
      <c r="ET286" s="47"/>
      <c r="EU286" s="47"/>
      <c r="EV286" s="47"/>
      <c r="EW286" s="47"/>
      <c r="EX286" s="47"/>
      <c r="EY286" s="47"/>
      <c r="EZ286" s="47"/>
      <c r="FA286" s="47"/>
      <c r="FB286" s="47"/>
      <c r="FC286" s="47"/>
      <c r="FD286" s="47"/>
      <c r="FE286" s="47"/>
      <c r="FF286" s="47"/>
      <c r="FG286" s="47"/>
      <c r="FH286" s="47"/>
      <c r="FI286" s="47"/>
      <c r="FJ286" s="47"/>
      <c r="FK286" s="47"/>
      <c r="FL286" s="47"/>
      <c r="FM286" s="47"/>
      <c r="FN286" s="47"/>
      <c r="FO286" s="47"/>
      <c r="FP286" s="47"/>
      <c r="FQ286" s="47"/>
      <c r="FR286" s="47"/>
      <c r="FS286" s="47"/>
      <c r="FT286" s="47"/>
      <c r="FU286" s="47"/>
      <c r="FV286" s="47"/>
      <c r="FW286" s="47"/>
      <c r="FX286" s="47"/>
      <c r="FY286" s="47"/>
      <c r="FZ286" s="47"/>
      <c r="GA286" s="47"/>
      <c r="GB286" s="47"/>
      <c r="GC286" s="47"/>
      <c r="GD286" s="47"/>
      <c r="GE286" s="47"/>
    </row>
    <row r="287" spans="1:187" ht="10.5" customHeight="1">
      <c r="A287" s="43"/>
      <c r="B287" s="191"/>
      <c r="C287" s="191"/>
      <c r="D287" s="191"/>
      <c r="E287" s="191"/>
      <c r="F287" s="191"/>
      <c r="G287" s="191"/>
      <c r="H287" s="203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64"/>
      <c r="U287" s="191"/>
      <c r="V287" s="191"/>
      <c r="W287" s="191"/>
      <c r="X287" s="191"/>
      <c r="Y287" s="191"/>
      <c r="Z287" s="191"/>
      <c r="AA287" s="64"/>
      <c r="AB287" s="191"/>
      <c r="AC287" s="191"/>
      <c r="AD287" s="191"/>
      <c r="AE287" s="191"/>
      <c r="AF287" s="191"/>
      <c r="AG287" s="191"/>
      <c r="AH287" s="64"/>
      <c r="AI287" s="191"/>
      <c r="AJ287" s="191"/>
      <c r="AK287" s="191"/>
      <c r="AL287" s="191"/>
      <c r="AM287" s="191"/>
      <c r="AN287" s="191"/>
      <c r="AO287" s="64"/>
      <c r="AP287" s="191"/>
      <c r="AQ287" s="191"/>
      <c r="AR287" s="191"/>
      <c r="AS287" s="191"/>
      <c r="AT287" s="191"/>
      <c r="AU287" s="191"/>
      <c r="AV287" s="64"/>
      <c r="AW287" s="191"/>
      <c r="AX287" s="191"/>
      <c r="AY287" s="191"/>
      <c r="AZ287" s="191"/>
      <c r="BA287" s="191"/>
      <c r="BB287" s="191"/>
      <c r="BC287" s="64"/>
      <c r="BD287" s="191"/>
      <c r="BE287" s="191"/>
      <c r="BF287" s="191"/>
      <c r="BG287" s="191"/>
      <c r="BH287" s="191"/>
      <c r="BI287" s="191"/>
      <c r="BJ287" s="64"/>
      <c r="BK287" s="191"/>
      <c r="BL287" s="191"/>
      <c r="BM287" s="191"/>
      <c r="BN287" s="191"/>
      <c r="BO287" s="191"/>
      <c r="BP287" s="191"/>
      <c r="BQ287" s="64"/>
      <c r="BR287" s="191"/>
      <c r="BS287" s="191"/>
      <c r="BT287" s="191"/>
      <c r="BU287" s="191"/>
      <c r="BV287" s="191"/>
      <c r="BW287" s="191"/>
      <c r="BX287" s="64"/>
      <c r="BY287" s="191"/>
      <c r="BZ287" s="191"/>
      <c r="CA287" s="191"/>
      <c r="CB287" s="191"/>
      <c r="CC287" s="191"/>
      <c r="CD287" s="191"/>
      <c r="CE287" s="64"/>
      <c r="CF287" s="191"/>
      <c r="CG287" s="191"/>
      <c r="CH287" s="191"/>
      <c r="CI287" s="191"/>
      <c r="CJ287" s="191"/>
      <c r="CK287" s="191"/>
      <c r="CL287" s="64"/>
      <c r="CM287" s="191"/>
      <c r="CN287" s="191"/>
      <c r="CO287" s="191"/>
      <c r="CP287" s="191"/>
      <c r="CQ287" s="191"/>
      <c r="CR287" s="191"/>
      <c r="CS287" s="64"/>
      <c r="CT287" s="191"/>
      <c r="CU287" s="191"/>
      <c r="CV287" s="191"/>
      <c r="CW287" s="191"/>
      <c r="CX287" s="191"/>
      <c r="CY287" s="191"/>
      <c r="CZ287" s="64"/>
      <c r="DA287" s="191"/>
      <c r="DB287" s="191"/>
      <c r="DC287" s="191"/>
      <c r="DD287" s="191"/>
      <c r="DE287" s="191"/>
      <c r="DF287" s="191"/>
      <c r="DG287" s="64"/>
      <c r="DH287" s="191"/>
      <c r="DI287" s="191"/>
      <c r="DJ287" s="191"/>
      <c r="DK287" s="191"/>
      <c r="DL287" s="191"/>
      <c r="DM287" s="191"/>
      <c r="DN287" s="64"/>
      <c r="DO287" s="191"/>
      <c r="DP287" s="191"/>
      <c r="DQ287" s="191"/>
      <c r="DR287" s="191"/>
      <c r="DS287" s="191"/>
      <c r="DT287" s="191"/>
      <c r="DU287" s="64"/>
      <c r="DV287" s="191"/>
      <c r="DW287" s="191"/>
      <c r="DX287" s="191"/>
      <c r="DY287" s="191"/>
      <c r="DZ287" s="191"/>
      <c r="EA287" s="191"/>
      <c r="EB287" s="64"/>
      <c r="EC287" s="191"/>
      <c r="ED287" s="191"/>
      <c r="EE287" s="191"/>
      <c r="EF287" s="191"/>
      <c r="EG287" s="191"/>
      <c r="EH287" s="191"/>
      <c r="EI287" s="64"/>
      <c r="EJ287" s="47"/>
      <c r="EK287" s="47"/>
      <c r="EL287" s="47"/>
      <c r="EM287" s="47"/>
      <c r="EN287" s="47"/>
      <c r="EO287" s="47"/>
      <c r="EP287" s="47"/>
      <c r="EQ287" s="47"/>
      <c r="ER287" s="47"/>
      <c r="ES287" s="47"/>
      <c r="ET287" s="47"/>
      <c r="EU287" s="47"/>
      <c r="EV287" s="47"/>
      <c r="EW287" s="47"/>
      <c r="EX287" s="47"/>
      <c r="EY287" s="47"/>
      <c r="EZ287" s="47"/>
      <c r="FA287" s="47"/>
      <c r="FB287" s="47"/>
      <c r="FC287" s="47"/>
      <c r="FD287" s="47"/>
      <c r="FE287" s="47"/>
      <c r="FF287" s="47"/>
      <c r="FG287" s="47"/>
      <c r="FH287" s="47"/>
      <c r="FI287" s="47"/>
      <c r="FJ287" s="47"/>
      <c r="FK287" s="47"/>
      <c r="FL287" s="47"/>
      <c r="FM287" s="47"/>
      <c r="FN287" s="47"/>
      <c r="FO287" s="47"/>
      <c r="FP287" s="47"/>
      <c r="FQ287" s="47"/>
      <c r="FR287" s="47"/>
      <c r="FS287" s="47"/>
      <c r="FT287" s="47"/>
      <c r="FU287" s="47"/>
      <c r="FV287" s="47"/>
      <c r="FW287" s="47"/>
      <c r="FX287" s="47"/>
      <c r="FY287" s="47"/>
      <c r="FZ287" s="47"/>
      <c r="GA287" s="47"/>
      <c r="GB287" s="47"/>
      <c r="GC287" s="47"/>
      <c r="GD287" s="47"/>
      <c r="GE287" s="47"/>
    </row>
    <row r="288" spans="1:187" ht="10.5" customHeight="1">
      <c r="A288" s="43"/>
      <c r="B288" s="176"/>
      <c r="C288" s="176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64"/>
      <c r="U288" s="191"/>
      <c r="V288" s="191"/>
      <c r="W288" s="191"/>
      <c r="X288" s="191"/>
      <c r="Y288" s="191"/>
      <c r="Z288" s="191"/>
      <c r="AA288" s="64"/>
      <c r="AB288" s="191"/>
      <c r="AC288" s="191"/>
      <c r="AD288" s="191"/>
      <c r="AE288" s="191"/>
      <c r="AF288" s="191"/>
      <c r="AG288" s="191"/>
      <c r="AH288" s="64"/>
      <c r="AI288" s="191"/>
      <c r="AJ288" s="191"/>
      <c r="AK288" s="191"/>
      <c r="AL288" s="191"/>
      <c r="AM288" s="191"/>
      <c r="AN288" s="191"/>
      <c r="AO288" s="64"/>
      <c r="AP288" s="191"/>
      <c r="AQ288" s="191"/>
      <c r="AR288" s="191"/>
      <c r="AS288" s="191"/>
      <c r="AT288" s="191"/>
      <c r="AU288" s="191"/>
      <c r="AV288" s="64"/>
      <c r="AW288" s="191"/>
      <c r="AX288" s="191"/>
      <c r="AY288" s="191"/>
      <c r="AZ288" s="191"/>
      <c r="BA288" s="191"/>
      <c r="BB288" s="191"/>
      <c r="BC288" s="64"/>
      <c r="BD288" s="191"/>
      <c r="BE288" s="191"/>
      <c r="BF288" s="191"/>
      <c r="BG288" s="191"/>
      <c r="BH288" s="191"/>
      <c r="BI288" s="191"/>
      <c r="BJ288" s="64"/>
      <c r="BK288" s="191"/>
      <c r="BL288" s="191"/>
      <c r="BM288" s="191"/>
      <c r="BN288" s="191"/>
      <c r="BO288" s="191"/>
      <c r="BP288" s="191"/>
      <c r="BQ288" s="64"/>
      <c r="BR288" s="191"/>
      <c r="BS288" s="191"/>
      <c r="BT288" s="191"/>
      <c r="BU288" s="191"/>
      <c r="BV288" s="191"/>
      <c r="BW288" s="191"/>
      <c r="BX288" s="64"/>
      <c r="BY288" s="191"/>
      <c r="BZ288" s="191"/>
      <c r="CA288" s="191"/>
      <c r="CB288" s="191"/>
      <c r="CC288" s="191"/>
      <c r="CD288" s="191"/>
      <c r="CE288" s="64"/>
      <c r="CF288" s="191"/>
      <c r="CG288" s="191"/>
      <c r="CH288" s="191"/>
      <c r="CI288" s="191"/>
      <c r="CJ288" s="191"/>
      <c r="CK288" s="191"/>
      <c r="CL288" s="64"/>
      <c r="CM288" s="191"/>
      <c r="CN288" s="191"/>
      <c r="CO288" s="191"/>
      <c r="CP288" s="191"/>
      <c r="CQ288" s="191"/>
      <c r="CR288" s="191"/>
      <c r="CS288" s="64"/>
      <c r="CT288" s="191"/>
      <c r="CU288" s="191"/>
      <c r="CV288" s="191"/>
      <c r="CW288" s="191"/>
      <c r="CX288" s="191"/>
      <c r="CY288" s="191"/>
      <c r="CZ288" s="64"/>
      <c r="DA288" s="191"/>
      <c r="DB288" s="191"/>
      <c r="DC288" s="191"/>
      <c r="DD288" s="191"/>
      <c r="DE288" s="191"/>
      <c r="DF288" s="191"/>
      <c r="DG288" s="64"/>
      <c r="DH288" s="191"/>
      <c r="DI288" s="191"/>
      <c r="DJ288" s="191"/>
      <c r="DK288" s="191"/>
      <c r="DL288" s="191"/>
      <c r="DM288" s="191"/>
      <c r="DN288" s="64"/>
      <c r="DO288" s="191"/>
      <c r="DP288" s="191"/>
      <c r="DQ288" s="191"/>
      <c r="DR288" s="191"/>
      <c r="DS288" s="191"/>
      <c r="DT288" s="191"/>
      <c r="DU288" s="64"/>
      <c r="DV288" s="191"/>
      <c r="DW288" s="191"/>
      <c r="DX288" s="191"/>
      <c r="DY288" s="191"/>
      <c r="DZ288" s="191"/>
      <c r="EA288" s="191"/>
      <c r="EB288" s="64"/>
      <c r="EC288" s="191"/>
      <c r="ED288" s="191"/>
      <c r="EE288" s="191"/>
      <c r="EF288" s="191"/>
      <c r="EG288" s="191"/>
      <c r="EH288" s="191"/>
      <c r="EI288" s="64"/>
      <c r="EJ288" s="47"/>
      <c r="EK288" s="47"/>
      <c r="EL288" s="47"/>
      <c r="EM288" s="47"/>
      <c r="EN288" s="47"/>
      <c r="EO288" s="47"/>
      <c r="EP288" s="47"/>
      <c r="EQ288" s="47"/>
      <c r="ER288" s="47"/>
      <c r="ES288" s="47"/>
      <c r="ET288" s="47"/>
      <c r="EU288" s="47"/>
      <c r="EV288" s="47"/>
      <c r="EW288" s="47"/>
      <c r="EX288" s="47"/>
      <c r="EY288" s="47"/>
      <c r="EZ288" s="47"/>
      <c r="FA288" s="47"/>
      <c r="FB288" s="47"/>
      <c r="FC288" s="47"/>
      <c r="FD288" s="47"/>
      <c r="FE288" s="47"/>
      <c r="FF288" s="47"/>
      <c r="FG288" s="47"/>
      <c r="FH288" s="47"/>
      <c r="FI288" s="47"/>
      <c r="FJ288" s="47"/>
      <c r="FK288" s="47"/>
      <c r="FL288" s="47"/>
      <c r="FM288" s="47"/>
      <c r="FN288" s="47"/>
      <c r="FO288" s="47"/>
      <c r="FP288" s="47"/>
      <c r="FQ288" s="47"/>
      <c r="FR288" s="47"/>
      <c r="FS288" s="47"/>
      <c r="FT288" s="47"/>
      <c r="FU288" s="47"/>
      <c r="FV288" s="47"/>
      <c r="FW288" s="47"/>
      <c r="FX288" s="47"/>
      <c r="FY288" s="47"/>
      <c r="FZ288" s="47"/>
      <c r="GA288" s="47"/>
      <c r="GB288" s="47"/>
      <c r="GC288" s="47"/>
      <c r="GD288" s="47"/>
      <c r="GE288" s="47"/>
    </row>
    <row r="289" spans="1:187" ht="10.5" customHeight="1">
      <c r="A289" s="43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80"/>
      <c r="U289" s="176"/>
      <c r="V289" s="176"/>
      <c r="W289" s="176"/>
      <c r="X289" s="176"/>
      <c r="Y289" s="176"/>
      <c r="Z289" s="176"/>
      <c r="AA289" s="80"/>
      <c r="AB289" s="176"/>
      <c r="AC289" s="176"/>
      <c r="AD289" s="176"/>
      <c r="AE289" s="176"/>
      <c r="AF289" s="176"/>
      <c r="AG289" s="176"/>
      <c r="AH289" s="80"/>
      <c r="AI289" s="176"/>
      <c r="AJ289" s="176"/>
      <c r="AK289" s="176"/>
      <c r="AL289" s="176"/>
      <c r="AM289" s="176"/>
      <c r="AN289" s="176"/>
      <c r="AO289" s="80"/>
      <c r="AP289" s="176"/>
      <c r="AQ289" s="176"/>
      <c r="AR289" s="176"/>
      <c r="AS289" s="176"/>
      <c r="AT289" s="176"/>
      <c r="AU289" s="176"/>
      <c r="AV289" s="80"/>
      <c r="AW289" s="176"/>
      <c r="AX289" s="176"/>
      <c r="AY289" s="176"/>
      <c r="AZ289" s="176"/>
      <c r="BA289" s="176"/>
      <c r="BB289" s="176"/>
      <c r="BC289" s="80"/>
      <c r="BD289" s="176"/>
      <c r="BE289" s="176"/>
      <c r="BF289" s="176"/>
      <c r="BG289" s="176"/>
      <c r="BH289" s="176"/>
      <c r="BI289" s="176"/>
      <c r="BJ289" s="80"/>
      <c r="BK289" s="176"/>
      <c r="BL289" s="176"/>
      <c r="BM289" s="176"/>
      <c r="BN289" s="176"/>
      <c r="BO289" s="176"/>
      <c r="BP289" s="176"/>
      <c r="BQ289" s="80"/>
      <c r="BR289" s="176"/>
      <c r="BS289" s="176"/>
      <c r="BT289" s="176"/>
      <c r="BU289" s="176"/>
      <c r="BV289" s="176"/>
      <c r="BW289" s="176"/>
      <c r="BX289" s="80"/>
      <c r="BY289" s="176"/>
      <c r="BZ289" s="176"/>
      <c r="CA289" s="176"/>
      <c r="CB289" s="176"/>
      <c r="CC289" s="176"/>
      <c r="CD289" s="176"/>
      <c r="CE289" s="80"/>
      <c r="CF289" s="176"/>
      <c r="CG289" s="176"/>
      <c r="CH289" s="176"/>
      <c r="CI289" s="176"/>
      <c r="CJ289" s="176"/>
      <c r="CK289" s="176"/>
      <c r="CL289" s="80"/>
      <c r="CM289" s="176"/>
      <c r="CN289" s="176"/>
      <c r="CO289" s="176"/>
      <c r="CP289" s="176"/>
      <c r="CQ289" s="176"/>
      <c r="CR289" s="176"/>
      <c r="CS289" s="80"/>
      <c r="CT289" s="176"/>
      <c r="CU289" s="176"/>
      <c r="CV289" s="176"/>
      <c r="CW289" s="176"/>
      <c r="CX289" s="176"/>
      <c r="CY289" s="176"/>
      <c r="CZ289" s="80"/>
      <c r="DA289" s="176"/>
      <c r="DB289" s="176"/>
      <c r="DC289" s="176"/>
      <c r="DD289" s="176"/>
      <c r="DE289" s="176"/>
      <c r="DF289" s="176"/>
      <c r="DG289" s="80"/>
      <c r="DH289" s="176"/>
      <c r="DI289" s="176"/>
      <c r="DJ289" s="176"/>
      <c r="DK289" s="176"/>
      <c r="DL289" s="176"/>
      <c r="DM289" s="176"/>
      <c r="DN289" s="80"/>
      <c r="DO289" s="176"/>
      <c r="DP289" s="176"/>
      <c r="DQ289" s="176"/>
      <c r="DR289" s="176"/>
      <c r="DS289" s="176"/>
      <c r="DT289" s="176"/>
      <c r="DU289" s="80"/>
      <c r="DV289" s="176"/>
      <c r="DW289" s="176"/>
      <c r="DX289" s="176"/>
      <c r="DY289" s="176"/>
      <c r="DZ289" s="176"/>
      <c r="EA289" s="176"/>
      <c r="EB289" s="80"/>
      <c r="EC289" s="176"/>
      <c r="ED289" s="176"/>
      <c r="EE289" s="176"/>
      <c r="EF289" s="176"/>
      <c r="EG289" s="176"/>
      <c r="EH289" s="176"/>
      <c r="EI289" s="80"/>
      <c r="EJ289" s="47"/>
      <c r="EK289" s="47"/>
      <c r="EL289" s="47"/>
      <c r="EM289" s="47"/>
      <c r="EN289" s="47"/>
      <c r="EO289" s="47"/>
      <c r="EP289" s="47"/>
      <c r="EQ289" s="47"/>
      <c r="ER289" s="47"/>
      <c r="ES289" s="47"/>
      <c r="ET289" s="47"/>
      <c r="EU289" s="47"/>
      <c r="EV289" s="47"/>
      <c r="EW289" s="47"/>
      <c r="EX289" s="47"/>
      <c r="EY289" s="47"/>
      <c r="EZ289" s="47"/>
      <c r="FA289" s="47"/>
      <c r="FB289" s="47"/>
      <c r="FC289" s="47"/>
      <c r="FD289" s="47"/>
      <c r="FE289" s="47"/>
      <c r="FF289" s="47"/>
      <c r="FG289" s="47"/>
      <c r="FH289" s="47"/>
      <c r="FI289" s="47"/>
      <c r="FJ289" s="47"/>
      <c r="FK289" s="47"/>
      <c r="FL289" s="47"/>
      <c r="FM289" s="47"/>
      <c r="FN289" s="47"/>
      <c r="FO289" s="47"/>
      <c r="FP289" s="47"/>
      <c r="FQ289" s="47"/>
      <c r="FR289" s="47"/>
      <c r="FS289" s="47"/>
      <c r="FT289" s="47"/>
      <c r="FU289" s="47"/>
      <c r="FV289" s="47"/>
      <c r="FW289" s="47"/>
      <c r="FX289" s="47"/>
      <c r="FY289" s="47"/>
      <c r="FZ289" s="47"/>
      <c r="GA289" s="47"/>
      <c r="GB289" s="47"/>
      <c r="GC289" s="47"/>
      <c r="GD289" s="47"/>
      <c r="GE289" s="47"/>
    </row>
    <row r="290" spans="1:187" ht="10.5" customHeight="1">
      <c r="A290" s="43"/>
      <c r="B290" s="108"/>
      <c r="C290" s="108"/>
      <c r="D290" s="108"/>
      <c r="E290" s="108"/>
      <c r="F290" s="108"/>
      <c r="G290" s="108"/>
      <c r="H290" s="108"/>
      <c r="I290" s="108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80"/>
      <c r="U290" s="176"/>
      <c r="V290" s="176"/>
      <c r="W290" s="176"/>
      <c r="X290" s="176"/>
      <c r="Y290" s="176"/>
      <c r="Z290" s="176"/>
      <c r="AA290" s="80"/>
      <c r="AB290" s="176"/>
      <c r="AC290" s="176"/>
      <c r="AD290" s="176"/>
      <c r="AE290" s="176"/>
      <c r="AF290" s="176"/>
      <c r="AG290" s="176"/>
      <c r="AH290" s="80"/>
      <c r="AI290" s="176"/>
      <c r="AJ290" s="176"/>
      <c r="AK290" s="176"/>
      <c r="AL290" s="176"/>
      <c r="AM290" s="176"/>
      <c r="AN290" s="176"/>
      <c r="AO290" s="80"/>
      <c r="AP290" s="176"/>
      <c r="AQ290" s="176"/>
      <c r="AR290" s="176"/>
      <c r="AS290" s="176"/>
      <c r="AT290" s="176"/>
      <c r="AU290" s="176"/>
      <c r="AV290" s="80"/>
      <c r="AW290" s="176"/>
      <c r="AX290" s="176"/>
      <c r="AY290" s="176"/>
      <c r="AZ290" s="176"/>
      <c r="BA290" s="176"/>
      <c r="BB290" s="176"/>
      <c r="BC290" s="80"/>
      <c r="BD290" s="176"/>
      <c r="BE290" s="176"/>
      <c r="BF290" s="176"/>
      <c r="BG290" s="176"/>
      <c r="BH290" s="176"/>
      <c r="BI290" s="176"/>
      <c r="BJ290" s="80"/>
      <c r="BK290" s="176"/>
      <c r="BL290" s="176"/>
      <c r="BM290" s="176"/>
      <c r="BN290" s="176"/>
      <c r="BO290" s="176"/>
      <c r="BP290" s="176"/>
      <c r="BQ290" s="80"/>
      <c r="BR290" s="176"/>
      <c r="BS290" s="176"/>
      <c r="BT290" s="176"/>
      <c r="BU290" s="176"/>
      <c r="BV290" s="176"/>
      <c r="BW290" s="176"/>
      <c r="BX290" s="80"/>
      <c r="BY290" s="176"/>
      <c r="BZ290" s="176"/>
      <c r="CA290" s="176"/>
      <c r="CB290" s="176"/>
      <c r="CC290" s="176"/>
      <c r="CD290" s="176"/>
      <c r="CE290" s="80"/>
      <c r="CF290" s="176"/>
      <c r="CG290" s="176"/>
      <c r="CH290" s="176"/>
      <c r="CI290" s="176"/>
      <c r="CJ290" s="176"/>
      <c r="CK290" s="176"/>
      <c r="CL290" s="80"/>
      <c r="CM290" s="176"/>
      <c r="CN290" s="176"/>
      <c r="CO290" s="176"/>
      <c r="CP290" s="176"/>
      <c r="CQ290" s="176"/>
      <c r="CR290" s="176"/>
      <c r="CS290" s="80"/>
      <c r="CT290" s="176"/>
      <c r="CU290" s="176"/>
      <c r="CV290" s="176"/>
      <c r="CW290" s="176"/>
      <c r="CX290" s="176"/>
      <c r="CY290" s="176"/>
      <c r="CZ290" s="80"/>
      <c r="DA290" s="176"/>
      <c r="DB290" s="176"/>
      <c r="DC290" s="176"/>
      <c r="DD290" s="176"/>
      <c r="DE290" s="176"/>
      <c r="DF290" s="176"/>
      <c r="DG290" s="80"/>
      <c r="DH290" s="176"/>
      <c r="DI290" s="176"/>
      <c r="DJ290" s="176"/>
      <c r="DK290" s="176"/>
      <c r="DL290" s="176"/>
      <c r="DM290" s="176"/>
      <c r="DN290" s="80"/>
      <c r="DO290" s="176"/>
      <c r="DP290" s="176"/>
      <c r="DQ290" s="176"/>
      <c r="DR290" s="176"/>
      <c r="DS290" s="176"/>
      <c r="DT290" s="176"/>
      <c r="DU290" s="80"/>
      <c r="DV290" s="176"/>
      <c r="DW290" s="176"/>
      <c r="DX290" s="176"/>
      <c r="DY290" s="176"/>
      <c r="DZ290" s="176"/>
      <c r="EA290" s="176"/>
      <c r="EB290" s="80"/>
      <c r="EC290" s="176"/>
      <c r="ED290" s="176"/>
      <c r="EE290" s="176"/>
      <c r="EF290" s="176"/>
      <c r="EG290" s="176"/>
      <c r="EH290" s="176"/>
      <c r="EI290" s="80"/>
      <c r="EJ290" s="47"/>
      <c r="EK290" s="47"/>
      <c r="EL290" s="47"/>
      <c r="EM290" s="47"/>
      <c r="EN290" s="47"/>
      <c r="EO290" s="47"/>
      <c r="EP290" s="47"/>
      <c r="EQ290" s="47"/>
      <c r="ER290" s="47"/>
      <c r="ES290" s="47"/>
      <c r="ET290" s="47"/>
      <c r="EU290" s="47"/>
      <c r="EV290" s="47"/>
      <c r="EW290" s="47"/>
      <c r="EX290" s="47"/>
      <c r="EY290" s="47"/>
      <c r="EZ290" s="47"/>
      <c r="FA290" s="47"/>
      <c r="FB290" s="47"/>
      <c r="FC290" s="47"/>
      <c r="FD290" s="47"/>
      <c r="FE290" s="47"/>
      <c r="FF290" s="47"/>
      <c r="FG290" s="47"/>
      <c r="FH290" s="47"/>
      <c r="FI290" s="47"/>
      <c r="FJ290" s="47"/>
      <c r="FK290" s="47"/>
      <c r="FL290" s="47"/>
      <c r="FM290" s="47"/>
      <c r="FN290" s="47"/>
      <c r="FO290" s="47"/>
      <c r="FP290" s="47"/>
      <c r="FQ290" s="47"/>
      <c r="FR290" s="47"/>
      <c r="FS290" s="47"/>
      <c r="FT290" s="47"/>
      <c r="FU290" s="47"/>
      <c r="FV290" s="47"/>
      <c r="FW290" s="47"/>
      <c r="FX290" s="47"/>
      <c r="FY290" s="47"/>
      <c r="FZ290" s="47"/>
      <c r="GA290" s="47"/>
      <c r="GB290" s="47"/>
      <c r="GC290" s="47"/>
      <c r="GD290" s="47"/>
      <c r="GE290" s="47"/>
    </row>
    <row r="291" spans="1:187" ht="10.5" customHeight="1">
      <c r="A291" s="43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43"/>
      <c r="U291" s="108"/>
      <c r="V291" s="108"/>
      <c r="W291" s="108"/>
      <c r="X291" s="108"/>
      <c r="Y291" s="108"/>
      <c r="Z291" s="108"/>
      <c r="AA291" s="43"/>
      <c r="AB291" s="108"/>
      <c r="AC291" s="108"/>
      <c r="AD291" s="108"/>
      <c r="AE291" s="108"/>
      <c r="AF291" s="108"/>
      <c r="AG291" s="108"/>
      <c r="AH291" s="43"/>
      <c r="AI291" s="108"/>
      <c r="AJ291" s="108"/>
      <c r="AK291" s="108"/>
      <c r="AL291" s="108"/>
      <c r="AM291" s="108"/>
      <c r="AN291" s="108"/>
      <c r="AO291" s="43"/>
      <c r="AP291" s="108"/>
      <c r="AQ291" s="108"/>
      <c r="AR291" s="108"/>
      <c r="AS291" s="108"/>
      <c r="AT291" s="108"/>
      <c r="AU291" s="108"/>
      <c r="AV291" s="43"/>
      <c r="AW291" s="108"/>
      <c r="AX291" s="108"/>
      <c r="AY291" s="108"/>
      <c r="AZ291" s="108"/>
      <c r="BA291" s="108"/>
      <c r="BB291" s="108"/>
      <c r="BC291" s="43"/>
      <c r="BD291" s="108"/>
      <c r="BE291" s="108"/>
      <c r="BF291" s="108"/>
      <c r="BG291" s="108"/>
      <c r="BH291" s="108"/>
      <c r="BI291" s="108"/>
      <c r="BJ291" s="43"/>
      <c r="BK291" s="108"/>
      <c r="BL291" s="108"/>
      <c r="BM291" s="108"/>
      <c r="BN291" s="108"/>
      <c r="BO291" s="108"/>
      <c r="BP291" s="108"/>
      <c r="BQ291" s="43"/>
      <c r="BR291" s="108"/>
      <c r="BS291" s="108"/>
      <c r="BT291" s="108"/>
      <c r="BU291" s="108"/>
      <c r="BV291" s="108"/>
      <c r="BW291" s="108"/>
      <c r="BX291" s="43"/>
      <c r="BY291" s="108"/>
      <c r="BZ291" s="108"/>
      <c r="CA291" s="108"/>
      <c r="CB291" s="108"/>
      <c r="CC291" s="108"/>
      <c r="CD291" s="108"/>
      <c r="CE291" s="43"/>
      <c r="CF291" s="108"/>
      <c r="CG291" s="108"/>
      <c r="CH291" s="108"/>
      <c r="CI291" s="108"/>
      <c r="CJ291" s="108"/>
      <c r="CK291" s="108"/>
      <c r="CL291" s="43"/>
      <c r="CM291" s="108"/>
      <c r="CN291" s="108"/>
      <c r="CO291" s="108"/>
      <c r="CP291" s="108"/>
      <c r="CQ291" s="108"/>
      <c r="CR291" s="108"/>
      <c r="CS291" s="43"/>
      <c r="CT291" s="108"/>
      <c r="CU291" s="108"/>
      <c r="CV291" s="108"/>
      <c r="CW291" s="108"/>
      <c r="CX291" s="108"/>
      <c r="CY291" s="108"/>
      <c r="CZ291" s="43"/>
      <c r="DA291" s="108"/>
      <c r="DB291" s="108"/>
      <c r="DC291" s="108"/>
      <c r="DD291" s="108"/>
      <c r="DE291" s="108"/>
      <c r="DF291" s="108"/>
      <c r="DG291" s="43"/>
      <c r="DH291" s="108"/>
      <c r="DI291" s="108"/>
      <c r="DJ291" s="108"/>
      <c r="DK291" s="108"/>
      <c r="DL291" s="108"/>
      <c r="DM291" s="108"/>
      <c r="DN291" s="43"/>
      <c r="DO291" s="108"/>
      <c r="DP291" s="108"/>
      <c r="DQ291" s="108"/>
      <c r="DR291" s="108"/>
      <c r="DS291" s="108"/>
      <c r="DT291" s="108"/>
      <c r="DU291" s="43"/>
      <c r="DV291" s="108"/>
      <c r="DW291" s="108"/>
      <c r="DX291" s="108"/>
      <c r="DY291" s="108"/>
      <c r="DZ291" s="108"/>
      <c r="EA291" s="108"/>
      <c r="EB291" s="43"/>
      <c r="EC291" s="108"/>
      <c r="ED291" s="108"/>
      <c r="EE291" s="108"/>
      <c r="EF291" s="108"/>
      <c r="EG291" s="108"/>
      <c r="EH291" s="108"/>
      <c r="EI291" s="43"/>
      <c r="EJ291" s="47"/>
      <c r="EK291" s="47"/>
      <c r="EL291" s="47"/>
      <c r="EM291" s="47"/>
      <c r="EN291" s="47"/>
      <c r="EO291" s="47"/>
      <c r="EP291" s="47"/>
      <c r="EQ291" s="47"/>
      <c r="ER291" s="47"/>
      <c r="ES291" s="47"/>
      <c r="ET291" s="47"/>
      <c r="EU291" s="47"/>
      <c r="EV291" s="47"/>
      <c r="EW291" s="47"/>
      <c r="EX291" s="47"/>
      <c r="EY291" s="47"/>
      <c r="EZ291" s="47"/>
      <c r="FA291" s="47"/>
      <c r="FB291" s="47"/>
      <c r="FC291" s="47"/>
      <c r="FD291" s="47"/>
      <c r="FE291" s="47"/>
      <c r="FF291" s="47"/>
      <c r="FG291" s="47"/>
      <c r="FH291" s="47"/>
      <c r="FI291" s="47"/>
      <c r="FJ291" s="47"/>
      <c r="FK291" s="47"/>
      <c r="FL291" s="47"/>
      <c r="FM291" s="47"/>
      <c r="FN291" s="47"/>
      <c r="FO291" s="47"/>
      <c r="FP291" s="47"/>
      <c r="FQ291" s="47"/>
      <c r="FR291" s="47"/>
      <c r="FS291" s="47"/>
      <c r="FT291" s="47"/>
      <c r="FU291" s="47"/>
      <c r="FV291" s="47"/>
      <c r="FW291" s="47"/>
      <c r="FX291" s="47"/>
      <c r="FY291" s="47"/>
      <c r="FZ291" s="47"/>
      <c r="GA291" s="47"/>
      <c r="GB291" s="47"/>
      <c r="GC291" s="47"/>
      <c r="GD291" s="47"/>
      <c r="GE291" s="47"/>
    </row>
    <row r="292" spans="1:187" ht="10.5" customHeight="1">
      <c r="A292" s="4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43"/>
      <c r="U292" s="108"/>
      <c r="V292" s="108"/>
      <c r="W292" s="108"/>
      <c r="X292" s="108"/>
      <c r="Y292" s="108"/>
      <c r="Z292" s="108"/>
      <c r="AA292" s="43"/>
      <c r="AB292" s="108"/>
      <c r="AC292" s="108"/>
      <c r="AD292" s="108"/>
      <c r="AE292" s="108"/>
      <c r="AF292" s="108"/>
      <c r="AG292" s="108"/>
      <c r="AH292" s="43"/>
      <c r="AI292" s="108"/>
      <c r="AJ292" s="108"/>
      <c r="AK292" s="108"/>
      <c r="AL292" s="108"/>
      <c r="AM292" s="108"/>
      <c r="AN292" s="108"/>
      <c r="AO292" s="43"/>
      <c r="AP292" s="108"/>
      <c r="AQ292" s="108"/>
      <c r="AR292" s="108"/>
      <c r="AS292" s="108"/>
      <c r="AT292" s="108"/>
      <c r="AU292" s="108"/>
      <c r="AV292" s="43"/>
      <c r="AW292" s="108"/>
      <c r="AX292" s="108"/>
      <c r="AY292" s="108"/>
      <c r="AZ292" s="108"/>
      <c r="BA292" s="108"/>
      <c r="BB292" s="108"/>
      <c r="BC292" s="43"/>
      <c r="BD292" s="108"/>
      <c r="BE292" s="108"/>
      <c r="BF292" s="108"/>
      <c r="BG292" s="108"/>
      <c r="BH292" s="108"/>
      <c r="BI292" s="108"/>
      <c r="BJ292" s="43"/>
      <c r="BK292" s="108"/>
      <c r="BL292" s="108"/>
      <c r="BM292" s="108"/>
      <c r="BN292" s="108"/>
      <c r="BO292" s="108"/>
      <c r="BP292" s="108"/>
      <c r="BQ292" s="43"/>
      <c r="BR292" s="108"/>
      <c r="BS292" s="108"/>
      <c r="BT292" s="108"/>
      <c r="BU292" s="108"/>
      <c r="BV292" s="108"/>
      <c r="BW292" s="108"/>
      <c r="BX292" s="43"/>
      <c r="BY292" s="108"/>
      <c r="BZ292" s="108"/>
      <c r="CA292" s="108"/>
      <c r="CB292" s="108"/>
      <c r="CC292" s="108"/>
      <c r="CD292" s="108"/>
      <c r="CE292" s="43"/>
      <c r="CF292" s="108"/>
      <c r="CG292" s="108"/>
      <c r="CH292" s="108"/>
      <c r="CI292" s="108"/>
      <c r="CJ292" s="108"/>
      <c r="CK292" s="108"/>
      <c r="CL292" s="43"/>
      <c r="CM292" s="108"/>
      <c r="CN292" s="108"/>
      <c r="CO292" s="108"/>
      <c r="CP292" s="108"/>
      <c r="CQ292" s="108"/>
      <c r="CR292" s="108"/>
      <c r="CS292" s="43"/>
      <c r="CT292" s="108"/>
      <c r="CU292" s="108"/>
      <c r="CV292" s="108"/>
      <c r="CW292" s="108"/>
      <c r="CX292" s="108"/>
      <c r="CY292" s="108"/>
      <c r="CZ292" s="43"/>
      <c r="DA292" s="108"/>
      <c r="DB292" s="108"/>
      <c r="DC292" s="108"/>
      <c r="DD292" s="108"/>
      <c r="DE292" s="108"/>
      <c r="DF292" s="108"/>
      <c r="DG292" s="43"/>
      <c r="DH292" s="108"/>
      <c r="DI292" s="108"/>
      <c r="DJ292" s="108"/>
      <c r="DK292" s="108"/>
      <c r="DL292" s="108"/>
      <c r="DM292" s="108"/>
      <c r="DN292" s="43"/>
      <c r="DO292" s="108"/>
      <c r="DP292" s="108"/>
      <c r="DQ292" s="108"/>
      <c r="DR292" s="108"/>
      <c r="DS292" s="108"/>
      <c r="DT292" s="108"/>
      <c r="DU292" s="43"/>
      <c r="DV292" s="108"/>
      <c r="DW292" s="108"/>
      <c r="DX292" s="108"/>
      <c r="DY292" s="108"/>
      <c r="DZ292" s="108"/>
      <c r="EA292" s="108"/>
      <c r="EB292" s="43"/>
      <c r="EC292" s="108"/>
      <c r="ED292" s="108"/>
      <c r="EE292" s="108"/>
      <c r="EF292" s="108"/>
      <c r="EG292" s="108"/>
      <c r="EH292" s="108"/>
      <c r="EI292" s="43"/>
      <c r="EJ292" s="47"/>
      <c r="EK292" s="47"/>
      <c r="EL292" s="47"/>
      <c r="EM292" s="47"/>
      <c r="EN292" s="47"/>
      <c r="EO292" s="47"/>
      <c r="EP292" s="47"/>
      <c r="EQ292" s="47"/>
      <c r="ER292" s="47"/>
      <c r="ES292" s="47"/>
      <c r="ET292" s="47"/>
      <c r="EU292" s="47"/>
      <c r="EV292" s="47"/>
      <c r="EW292" s="47"/>
      <c r="EX292" s="47"/>
      <c r="EY292" s="47"/>
      <c r="EZ292" s="47"/>
      <c r="FA292" s="47"/>
      <c r="FB292" s="47"/>
      <c r="FC292" s="47"/>
      <c r="FD292" s="47"/>
      <c r="FE292" s="47"/>
      <c r="FF292" s="47"/>
      <c r="FG292" s="47"/>
      <c r="FH292" s="47"/>
      <c r="FI292" s="47"/>
      <c r="FJ292" s="47"/>
      <c r="FK292" s="47"/>
      <c r="FL292" s="47"/>
      <c r="FM292" s="47"/>
      <c r="FN292" s="47"/>
      <c r="FO292" s="47"/>
      <c r="FP292" s="47"/>
      <c r="FQ292" s="47"/>
      <c r="FR292" s="47"/>
      <c r="FS292" s="47"/>
      <c r="FT292" s="47"/>
      <c r="FU292" s="47"/>
      <c r="FV292" s="47"/>
      <c r="FW292" s="47"/>
      <c r="FX292" s="47"/>
      <c r="FY292" s="47"/>
      <c r="FZ292" s="47"/>
      <c r="GA292" s="47"/>
      <c r="GB292" s="47"/>
      <c r="GC292" s="47"/>
      <c r="GD292" s="47"/>
      <c r="GE292" s="47"/>
    </row>
    <row r="293" spans="1:187" ht="10.5" customHeight="1">
      <c r="A293" s="102"/>
      <c r="B293" s="239"/>
      <c r="C293" s="239"/>
      <c r="D293" s="239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43"/>
      <c r="U293" s="108"/>
      <c r="V293" s="108"/>
      <c r="W293" s="108"/>
      <c r="X293" s="108"/>
      <c r="Y293" s="108"/>
      <c r="Z293" s="108"/>
      <c r="AA293" s="43"/>
      <c r="AB293" s="108"/>
      <c r="AC293" s="108"/>
      <c r="AD293" s="108"/>
      <c r="AE293" s="108"/>
      <c r="AF293" s="108"/>
      <c r="AG293" s="108"/>
      <c r="AH293" s="43"/>
      <c r="AI293" s="108"/>
      <c r="AJ293" s="108"/>
      <c r="AK293" s="108"/>
      <c r="AL293" s="108"/>
      <c r="AM293" s="108"/>
      <c r="AN293" s="108"/>
      <c r="AO293" s="43"/>
      <c r="AP293" s="108"/>
      <c r="AQ293" s="108"/>
      <c r="AR293" s="108"/>
      <c r="AS293" s="108"/>
      <c r="AT293" s="108"/>
      <c r="AU293" s="108"/>
      <c r="AV293" s="43"/>
      <c r="AW293" s="108"/>
      <c r="AX293" s="108"/>
      <c r="AY293" s="108"/>
      <c r="AZ293" s="108"/>
      <c r="BA293" s="108"/>
      <c r="BB293" s="108"/>
      <c r="BC293" s="43"/>
      <c r="BD293" s="108"/>
      <c r="BE293" s="108"/>
      <c r="BF293" s="108"/>
      <c r="BG293" s="108"/>
      <c r="BH293" s="108"/>
      <c r="BI293" s="108"/>
      <c r="BJ293" s="43"/>
      <c r="BK293" s="108"/>
      <c r="BL293" s="108"/>
      <c r="BM293" s="108"/>
      <c r="BN293" s="108"/>
      <c r="BO293" s="108"/>
      <c r="BP293" s="108"/>
      <c r="BQ293" s="43"/>
      <c r="BR293" s="108"/>
      <c r="BS293" s="108"/>
      <c r="BT293" s="108"/>
      <c r="BU293" s="108"/>
      <c r="BV293" s="108"/>
      <c r="BW293" s="108"/>
      <c r="BX293" s="43"/>
      <c r="BY293" s="108"/>
      <c r="BZ293" s="108"/>
      <c r="CA293" s="108"/>
      <c r="CB293" s="108"/>
      <c r="CC293" s="108"/>
      <c r="CD293" s="108"/>
      <c r="CE293" s="43"/>
      <c r="CF293" s="108"/>
      <c r="CG293" s="108"/>
      <c r="CH293" s="108"/>
      <c r="CI293" s="108"/>
      <c r="CJ293" s="108"/>
      <c r="CK293" s="108"/>
      <c r="CL293" s="43"/>
      <c r="CM293" s="108"/>
      <c r="CN293" s="108"/>
      <c r="CO293" s="108"/>
      <c r="CP293" s="108"/>
      <c r="CQ293" s="108"/>
      <c r="CR293" s="108"/>
      <c r="CS293" s="43"/>
      <c r="CT293" s="108"/>
      <c r="CU293" s="108"/>
      <c r="CV293" s="108"/>
      <c r="CW293" s="108"/>
      <c r="CX293" s="108"/>
      <c r="CY293" s="108"/>
      <c r="CZ293" s="43"/>
      <c r="DA293" s="108"/>
      <c r="DB293" s="108"/>
      <c r="DC293" s="108"/>
      <c r="DD293" s="108"/>
      <c r="DE293" s="108"/>
      <c r="DF293" s="108"/>
      <c r="DG293" s="43"/>
      <c r="DH293" s="108"/>
      <c r="DI293" s="108"/>
      <c r="DJ293" s="108"/>
      <c r="DK293" s="108"/>
      <c r="DL293" s="108"/>
      <c r="DM293" s="108"/>
      <c r="DN293" s="43"/>
      <c r="DO293" s="108"/>
      <c r="DP293" s="108"/>
      <c r="DQ293" s="108"/>
      <c r="DR293" s="108"/>
      <c r="DS293" s="108"/>
      <c r="DT293" s="108"/>
      <c r="DU293" s="43"/>
      <c r="DV293" s="108"/>
      <c r="DW293" s="108"/>
      <c r="DX293" s="108"/>
      <c r="DY293" s="108"/>
      <c r="DZ293" s="108"/>
      <c r="EA293" s="108"/>
      <c r="EB293" s="43"/>
      <c r="EC293" s="108"/>
      <c r="ED293" s="108"/>
      <c r="EE293" s="108"/>
      <c r="EF293" s="108"/>
      <c r="EG293" s="108"/>
      <c r="EH293" s="108"/>
      <c r="EI293" s="43"/>
      <c r="EJ293" s="47"/>
      <c r="EK293" s="47"/>
      <c r="EL293" s="47"/>
      <c r="EM293" s="47"/>
      <c r="EN293" s="47"/>
      <c r="EO293" s="47"/>
      <c r="EP293" s="47"/>
      <c r="EQ293" s="47"/>
      <c r="ER293" s="47"/>
      <c r="ES293" s="47"/>
      <c r="ET293" s="47"/>
      <c r="EU293" s="47"/>
      <c r="EV293" s="47"/>
      <c r="EW293" s="47"/>
      <c r="EX293" s="47"/>
      <c r="EY293" s="47"/>
      <c r="EZ293" s="47"/>
      <c r="FA293" s="47"/>
      <c r="FB293" s="47"/>
      <c r="FC293" s="47"/>
      <c r="FD293" s="47"/>
      <c r="FE293" s="47"/>
      <c r="FF293" s="47"/>
      <c r="FG293" s="47"/>
      <c r="FH293" s="47"/>
      <c r="FI293" s="47"/>
      <c r="FJ293" s="47"/>
      <c r="FK293" s="47"/>
      <c r="FL293" s="47"/>
      <c r="FM293" s="47"/>
      <c r="FN293" s="47"/>
      <c r="FO293" s="47"/>
      <c r="FP293" s="47"/>
      <c r="FQ293" s="47"/>
      <c r="FR293" s="47"/>
      <c r="FS293" s="47"/>
      <c r="FT293" s="47"/>
      <c r="FU293" s="47"/>
      <c r="FV293" s="47"/>
      <c r="FW293" s="47"/>
      <c r="FX293" s="47"/>
      <c r="FY293" s="47"/>
      <c r="FZ293" s="47"/>
      <c r="GA293" s="47"/>
      <c r="GB293" s="47"/>
      <c r="GC293" s="47"/>
      <c r="GD293" s="47"/>
      <c r="GE293" s="47"/>
    </row>
    <row r="294" spans="1:187" ht="10.5" customHeight="1">
      <c r="A294" s="43"/>
      <c r="B294" s="176"/>
      <c r="C294" s="108"/>
      <c r="D294" s="176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43"/>
      <c r="U294" s="108"/>
      <c r="V294" s="108"/>
      <c r="W294" s="108"/>
      <c r="X294" s="108"/>
      <c r="Y294" s="108"/>
      <c r="Z294" s="108"/>
      <c r="AA294" s="43"/>
      <c r="AB294" s="108"/>
      <c r="AC294" s="108"/>
      <c r="AD294" s="108"/>
      <c r="AE294" s="108"/>
      <c r="AF294" s="108"/>
      <c r="AG294" s="108"/>
      <c r="AH294" s="43"/>
      <c r="AI294" s="108"/>
      <c r="AJ294" s="108"/>
      <c r="AK294" s="108"/>
      <c r="AL294" s="108"/>
      <c r="AM294" s="108"/>
      <c r="AN294" s="108"/>
      <c r="AO294" s="43"/>
      <c r="AP294" s="108"/>
      <c r="AQ294" s="108"/>
      <c r="AR294" s="108"/>
      <c r="AS294" s="108"/>
      <c r="AT294" s="108"/>
      <c r="AU294" s="108"/>
      <c r="AV294" s="43"/>
      <c r="AW294" s="108"/>
      <c r="AX294" s="108"/>
      <c r="AY294" s="108"/>
      <c r="AZ294" s="108"/>
      <c r="BA294" s="108"/>
      <c r="BB294" s="108"/>
      <c r="BC294" s="43"/>
      <c r="BD294" s="108"/>
      <c r="BE294" s="108"/>
      <c r="BF294" s="108"/>
      <c r="BG294" s="108"/>
      <c r="BH294" s="108"/>
      <c r="BI294" s="108"/>
      <c r="BJ294" s="43"/>
      <c r="BK294" s="108"/>
      <c r="BL294" s="108"/>
      <c r="BM294" s="108"/>
      <c r="BN294" s="108"/>
      <c r="BO294" s="108"/>
      <c r="BP294" s="108"/>
      <c r="BQ294" s="43"/>
      <c r="BR294" s="108"/>
      <c r="BS294" s="108"/>
      <c r="BT294" s="108"/>
      <c r="BU294" s="108"/>
      <c r="BV294" s="108"/>
      <c r="BW294" s="108"/>
      <c r="BX294" s="43"/>
      <c r="BY294" s="108"/>
      <c r="BZ294" s="108"/>
      <c r="CA294" s="108"/>
      <c r="CB294" s="108"/>
      <c r="CC294" s="108"/>
      <c r="CD294" s="108"/>
      <c r="CE294" s="43"/>
      <c r="CF294" s="108"/>
      <c r="CG294" s="108"/>
      <c r="CH294" s="108"/>
      <c r="CI294" s="108"/>
      <c r="CJ294" s="108"/>
      <c r="CK294" s="108"/>
      <c r="CL294" s="43"/>
      <c r="CM294" s="108"/>
      <c r="CN294" s="108"/>
      <c r="CO294" s="108"/>
      <c r="CP294" s="108"/>
      <c r="CQ294" s="108"/>
      <c r="CR294" s="108"/>
      <c r="CS294" s="43"/>
      <c r="CT294" s="108"/>
      <c r="CU294" s="108"/>
      <c r="CV294" s="108"/>
      <c r="CW294" s="108"/>
      <c r="CX294" s="108"/>
      <c r="CY294" s="108"/>
      <c r="CZ294" s="43"/>
      <c r="DA294" s="108"/>
      <c r="DB294" s="108"/>
      <c r="DC294" s="108"/>
      <c r="DD294" s="108"/>
      <c r="DE294" s="108"/>
      <c r="DF294" s="108"/>
      <c r="DG294" s="43"/>
      <c r="DH294" s="108"/>
      <c r="DI294" s="108"/>
      <c r="DJ294" s="108"/>
      <c r="DK294" s="108"/>
      <c r="DL294" s="108"/>
      <c r="DM294" s="108"/>
      <c r="DN294" s="43"/>
      <c r="DO294" s="108"/>
      <c r="DP294" s="108"/>
      <c r="DQ294" s="108"/>
      <c r="DR294" s="108"/>
      <c r="DS294" s="108"/>
      <c r="DT294" s="108"/>
      <c r="DU294" s="43"/>
      <c r="DV294" s="108"/>
      <c r="DW294" s="108"/>
      <c r="DX294" s="108"/>
      <c r="DY294" s="108"/>
      <c r="DZ294" s="108"/>
      <c r="EA294" s="108"/>
      <c r="EB294" s="43"/>
      <c r="EC294" s="108"/>
      <c r="ED294" s="108"/>
      <c r="EE294" s="108"/>
      <c r="EF294" s="108"/>
      <c r="EG294" s="108"/>
      <c r="EH294" s="108"/>
      <c r="EI294" s="43"/>
      <c r="EJ294" s="47"/>
      <c r="EK294" s="47"/>
      <c r="EL294" s="47"/>
      <c r="EM294" s="47"/>
      <c r="EN294" s="47"/>
      <c r="EO294" s="47"/>
      <c r="EP294" s="47"/>
      <c r="EQ294" s="47"/>
      <c r="ER294" s="47"/>
      <c r="ES294" s="47"/>
      <c r="ET294" s="47"/>
      <c r="EU294" s="47"/>
      <c r="EV294" s="47"/>
      <c r="EW294" s="47"/>
      <c r="EX294" s="47"/>
      <c r="EY294" s="47"/>
      <c r="EZ294" s="47"/>
      <c r="FA294" s="47"/>
      <c r="FB294" s="47"/>
      <c r="FC294" s="47"/>
      <c r="FD294" s="47"/>
      <c r="FE294" s="47"/>
      <c r="FF294" s="47"/>
      <c r="FG294" s="47"/>
      <c r="FH294" s="47"/>
      <c r="FI294" s="47"/>
      <c r="FJ294" s="47"/>
      <c r="FK294" s="47"/>
      <c r="FL294" s="47"/>
      <c r="FM294" s="47"/>
      <c r="FN294" s="47"/>
      <c r="FO294" s="47"/>
      <c r="FP294" s="47"/>
      <c r="FQ294" s="47"/>
      <c r="FR294" s="47"/>
      <c r="FS294" s="47"/>
      <c r="FT294" s="47"/>
      <c r="FU294" s="47"/>
      <c r="FV294" s="47"/>
      <c r="FW294" s="47"/>
      <c r="FX294" s="47"/>
      <c r="FY294" s="47"/>
      <c r="FZ294" s="47"/>
      <c r="GA294" s="47"/>
      <c r="GB294" s="47"/>
      <c r="GC294" s="47"/>
      <c r="GD294" s="47"/>
      <c r="GE294" s="47"/>
    </row>
    <row r="295" spans="1:187" ht="10.5" customHeight="1">
      <c r="A295" s="43"/>
      <c r="B295" s="176"/>
      <c r="C295" s="108"/>
      <c r="D295" s="176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43"/>
      <c r="U295" s="108"/>
      <c r="V295" s="108"/>
      <c r="W295" s="108"/>
      <c r="X295" s="108"/>
      <c r="Y295" s="108"/>
      <c r="Z295" s="108"/>
      <c r="AA295" s="43"/>
      <c r="AB295" s="108"/>
      <c r="AC295" s="108"/>
      <c r="AD295" s="108"/>
      <c r="AE295" s="108"/>
      <c r="AF295" s="108"/>
      <c r="AG295" s="108"/>
      <c r="AH295" s="43"/>
      <c r="AI295" s="108"/>
      <c r="AJ295" s="108"/>
      <c r="AK295" s="108"/>
      <c r="AL295" s="108"/>
      <c r="AM295" s="108"/>
      <c r="AN295" s="108"/>
      <c r="AO295" s="43"/>
      <c r="AP295" s="108"/>
      <c r="AQ295" s="108"/>
      <c r="AR295" s="108"/>
      <c r="AS295" s="108"/>
      <c r="AT295" s="108"/>
      <c r="AU295" s="108"/>
      <c r="AV295" s="43"/>
      <c r="AW295" s="108"/>
      <c r="AX295" s="108"/>
      <c r="AY295" s="108"/>
      <c r="AZ295" s="108"/>
      <c r="BA295" s="108"/>
      <c r="BB295" s="108"/>
      <c r="BC295" s="43"/>
      <c r="BD295" s="108"/>
      <c r="BE295" s="108"/>
      <c r="BF295" s="108"/>
      <c r="BG295" s="108"/>
      <c r="BH295" s="108"/>
      <c r="BI295" s="108"/>
      <c r="BJ295" s="43"/>
      <c r="BK295" s="108"/>
      <c r="BL295" s="108"/>
      <c r="BM295" s="108"/>
      <c r="BN295" s="108"/>
      <c r="BO295" s="108"/>
      <c r="BP295" s="108"/>
      <c r="BQ295" s="43"/>
      <c r="BR295" s="108"/>
      <c r="BS295" s="108"/>
      <c r="BT295" s="108"/>
      <c r="BU295" s="108"/>
      <c r="BV295" s="108"/>
      <c r="BW295" s="108"/>
      <c r="BX295" s="43"/>
      <c r="BY295" s="108"/>
      <c r="BZ295" s="108"/>
      <c r="CA295" s="108"/>
      <c r="CB295" s="108"/>
      <c r="CC295" s="108"/>
      <c r="CD295" s="108"/>
      <c r="CE295" s="43"/>
      <c r="CF295" s="108"/>
      <c r="CG295" s="108"/>
      <c r="CH295" s="108"/>
      <c r="CI295" s="108"/>
      <c r="CJ295" s="108"/>
      <c r="CK295" s="108"/>
      <c r="CL295" s="43"/>
      <c r="CM295" s="108"/>
      <c r="CN295" s="108"/>
      <c r="CO295" s="108"/>
      <c r="CP295" s="108"/>
      <c r="CQ295" s="108"/>
      <c r="CR295" s="108"/>
      <c r="CS295" s="43"/>
      <c r="CT295" s="108"/>
      <c r="CU295" s="108"/>
      <c r="CV295" s="108"/>
      <c r="CW295" s="108"/>
      <c r="CX295" s="108"/>
      <c r="CY295" s="108"/>
      <c r="CZ295" s="43"/>
      <c r="DA295" s="108"/>
      <c r="DB295" s="108"/>
      <c r="DC295" s="108"/>
      <c r="DD295" s="108"/>
      <c r="DE295" s="108"/>
      <c r="DF295" s="108"/>
      <c r="DG295" s="43"/>
      <c r="DH295" s="108"/>
      <c r="DI295" s="108"/>
      <c r="DJ295" s="108"/>
      <c r="DK295" s="108"/>
      <c r="DL295" s="108"/>
      <c r="DM295" s="108"/>
      <c r="DN295" s="43"/>
      <c r="DO295" s="108"/>
      <c r="DP295" s="108"/>
      <c r="DQ295" s="108"/>
      <c r="DR295" s="108"/>
      <c r="DS295" s="108"/>
      <c r="DT295" s="108"/>
      <c r="DU295" s="43"/>
      <c r="DV295" s="108"/>
      <c r="DW295" s="108"/>
      <c r="DX295" s="108"/>
      <c r="DY295" s="108"/>
      <c r="DZ295" s="108"/>
      <c r="EA295" s="108"/>
      <c r="EB295" s="43"/>
      <c r="EC295" s="108"/>
      <c r="ED295" s="108"/>
      <c r="EE295" s="108"/>
      <c r="EF295" s="108"/>
      <c r="EG295" s="108"/>
      <c r="EH295" s="108"/>
      <c r="EI295" s="43"/>
      <c r="EJ295" s="47"/>
      <c r="EK295" s="47"/>
      <c r="EL295" s="47"/>
      <c r="EM295" s="47"/>
      <c r="EN295" s="47"/>
      <c r="EO295" s="47"/>
      <c r="EP295" s="47"/>
      <c r="EQ295" s="47"/>
      <c r="ER295" s="47"/>
      <c r="ES295" s="47"/>
      <c r="ET295" s="47"/>
      <c r="EU295" s="47"/>
      <c r="EV295" s="47"/>
      <c r="EW295" s="47"/>
      <c r="EX295" s="47"/>
      <c r="EY295" s="47"/>
      <c r="EZ295" s="47"/>
      <c r="FA295" s="47"/>
      <c r="FB295" s="47"/>
      <c r="FC295" s="47"/>
      <c r="FD295" s="47"/>
      <c r="FE295" s="47"/>
      <c r="FF295" s="47"/>
      <c r="FG295" s="47"/>
      <c r="FH295" s="47"/>
      <c r="FI295" s="47"/>
      <c r="FJ295" s="47"/>
      <c r="FK295" s="47"/>
      <c r="FL295" s="47"/>
      <c r="FM295" s="47"/>
      <c r="FN295" s="47"/>
      <c r="FO295" s="47"/>
      <c r="FP295" s="47"/>
      <c r="FQ295" s="47"/>
      <c r="FR295" s="47"/>
      <c r="FS295" s="47"/>
      <c r="FT295" s="47"/>
      <c r="FU295" s="47"/>
      <c r="FV295" s="47"/>
      <c r="FW295" s="47"/>
      <c r="FX295" s="47"/>
      <c r="FY295" s="47"/>
      <c r="FZ295" s="47"/>
      <c r="GA295" s="47"/>
      <c r="GB295" s="47"/>
      <c r="GC295" s="47"/>
      <c r="GD295" s="47"/>
      <c r="GE295" s="47"/>
    </row>
    <row r="296" spans="1:187" ht="10.5" customHeight="1">
      <c r="A296" s="4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43"/>
      <c r="U296" s="108"/>
      <c r="V296" s="108"/>
      <c r="W296" s="108"/>
      <c r="X296" s="108"/>
      <c r="Y296" s="108"/>
      <c r="Z296" s="108"/>
      <c r="AA296" s="43"/>
      <c r="AB296" s="108"/>
      <c r="AC296" s="108"/>
      <c r="AD296" s="108"/>
      <c r="AE296" s="108"/>
      <c r="AF296" s="108"/>
      <c r="AG296" s="108"/>
      <c r="AH296" s="43"/>
      <c r="AI296" s="108"/>
      <c r="AJ296" s="108"/>
      <c r="AK296" s="108"/>
      <c r="AL296" s="108"/>
      <c r="AM296" s="108"/>
      <c r="AN296" s="108"/>
      <c r="AO296" s="43"/>
      <c r="AP296" s="108"/>
      <c r="AQ296" s="108"/>
      <c r="AR296" s="108"/>
      <c r="AS296" s="108"/>
      <c r="AT296" s="108"/>
      <c r="AU296" s="108"/>
      <c r="AV296" s="43"/>
      <c r="AW296" s="108"/>
      <c r="AX296" s="108"/>
      <c r="AY296" s="108"/>
      <c r="AZ296" s="108"/>
      <c r="BA296" s="108"/>
      <c r="BB296" s="108"/>
      <c r="BC296" s="43"/>
      <c r="BD296" s="108"/>
      <c r="BE296" s="108"/>
      <c r="BF296" s="108"/>
      <c r="BG296" s="108"/>
      <c r="BH296" s="108"/>
      <c r="BI296" s="108"/>
      <c r="BJ296" s="43"/>
      <c r="BK296" s="108"/>
      <c r="BL296" s="108"/>
      <c r="BM296" s="108"/>
      <c r="BN296" s="108"/>
      <c r="BO296" s="108"/>
      <c r="BP296" s="108"/>
      <c r="BQ296" s="43"/>
      <c r="BR296" s="108"/>
      <c r="BS296" s="108"/>
      <c r="BT296" s="108"/>
      <c r="BU296" s="108"/>
      <c r="BV296" s="108"/>
      <c r="BW296" s="108"/>
      <c r="BX296" s="43"/>
      <c r="BY296" s="108"/>
      <c r="BZ296" s="108"/>
      <c r="CA296" s="108"/>
      <c r="CB296" s="108"/>
      <c r="CC296" s="108"/>
      <c r="CD296" s="108"/>
      <c r="CE296" s="43"/>
      <c r="CF296" s="108"/>
      <c r="CG296" s="108"/>
      <c r="CH296" s="108"/>
      <c r="CI296" s="108"/>
      <c r="CJ296" s="108"/>
      <c r="CK296" s="108"/>
      <c r="CL296" s="43"/>
      <c r="CM296" s="108"/>
      <c r="CN296" s="108"/>
      <c r="CO296" s="108"/>
      <c r="CP296" s="108"/>
      <c r="CQ296" s="108"/>
      <c r="CR296" s="108"/>
      <c r="CS296" s="43"/>
      <c r="CT296" s="108"/>
      <c r="CU296" s="108"/>
      <c r="CV296" s="108"/>
      <c r="CW296" s="108"/>
      <c r="CX296" s="108"/>
      <c r="CY296" s="108"/>
      <c r="CZ296" s="43"/>
      <c r="DA296" s="108"/>
      <c r="DB296" s="108"/>
      <c r="DC296" s="108"/>
      <c r="DD296" s="108"/>
      <c r="DE296" s="108"/>
      <c r="DF296" s="108"/>
      <c r="DG296" s="43"/>
      <c r="DH296" s="108"/>
      <c r="DI296" s="108"/>
      <c r="DJ296" s="108"/>
      <c r="DK296" s="108"/>
      <c r="DL296" s="108"/>
      <c r="DM296" s="108"/>
      <c r="DN296" s="43"/>
      <c r="DO296" s="108"/>
      <c r="DP296" s="108"/>
      <c r="DQ296" s="108"/>
      <c r="DR296" s="108"/>
      <c r="DS296" s="108"/>
      <c r="DT296" s="108"/>
      <c r="DU296" s="43"/>
      <c r="DV296" s="108"/>
      <c r="DW296" s="108"/>
      <c r="DX296" s="108"/>
      <c r="DY296" s="108"/>
      <c r="DZ296" s="108"/>
      <c r="EA296" s="108"/>
      <c r="EB296" s="43"/>
      <c r="EC296" s="108"/>
      <c r="ED296" s="108"/>
      <c r="EE296" s="108"/>
      <c r="EF296" s="108"/>
      <c r="EG296" s="108"/>
      <c r="EH296" s="108"/>
      <c r="EI296" s="43"/>
      <c r="EJ296" s="47"/>
      <c r="EK296" s="47"/>
      <c r="EL296" s="47"/>
      <c r="EM296" s="47"/>
      <c r="EN296" s="47"/>
      <c r="EO296" s="47"/>
      <c r="EP296" s="47"/>
      <c r="EQ296" s="47"/>
      <c r="ER296" s="47"/>
      <c r="ES296" s="47"/>
      <c r="ET296" s="47"/>
      <c r="EU296" s="47"/>
      <c r="EV296" s="47"/>
      <c r="EW296" s="47"/>
      <c r="EX296" s="47"/>
      <c r="EY296" s="47"/>
      <c r="EZ296" s="47"/>
      <c r="FA296" s="47"/>
      <c r="FB296" s="47"/>
      <c r="FC296" s="47"/>
      <c r="FD296" s="47"/>
      <c r="FE296" s="47"/>
      <c r="FF296" s="47"/>
      <c r="FG296" s="47"/>
      <c r="FH296" s="47"/>
      <c r="FI296" s="47"/>
      <c r="FJ296" s="47"/>
      <c r="FK296" s="47"/>
      <c r="FL296" s="47"/>
      <c r="FM296" s="47"/>
      <c r="FN296" s="47"/>
      <c r="FO296" s="47"/>
      <c r="FP296" s="47"/>
      <c r="FQ296" s="47"/>
      <c r="FR296" s="47"/>
      <c r="FS296" s="47"/>
      <c r="FT296" s="47"/>
      <c r="FU296" s="47"/>
      <c r="FV296" s="47"/>
      <c r="FW296" s="47"/>
      <c r="FX296" s="47"/>
      <c r="FY296" s="47"/>
      <c r="FZ296" s="47"/>
      <c r="GA296" s="47"/>
      <c r="GB296" s="47"/>
      <c r="GC296" s="47"/>
      <c r="GD296" s="47"/>
      <c r="GE296" s="47"/>
    </row>
    <row r="297" spans="1:187" ht="10.5" customHeight="1">
      <c r="A297" s="51"/>
      <c r="B297" s="929"/>
      <c r="C297" s="929"/>
      <c r="D297" s="929"/>
      <c r="E297" s="929"/>
      <c r="F297" s="929"/>
      <c r="G297" s="929"/>
      <c r="H297" s="929"/>
      <c r="I297" s="929"/>
      <c r="J297" s="929"/>
      <c r="K297" s="929"/>
      <c r="L297" s="929"/>
      <c r="M297" s="929"/>
      <c r="N297" s="929"/>
      <c r="O297" s="929"/>
      <c r="P297" s="929"/>
      <c r="Q297" s="929"/>
      <c r="R297" s="929"/>
      <c r="S297" s="929"/>
      <c r="T297" s="65"/>
      <c r="U297" s="929"/>
      <c r="V297" s="929"/>
      <c r="W297" s="929"/>
      <c r="X297" s="929"/>
      <c r="Y297" s="929"/>
      <c r="Z297" s="929"/>
      <c r="AA297" s="65"/>
      <c r="AB297" s="929"/>
      <c r="AC297" s="929"/>
      <c r="AD297" s="929"/>
      <c r="AE297" s="929"/>
      <c r="AF297" s="929"/>
      <c r="AG297" s="929"/>
      <c r="AH297" s="65"/>
      <c r="AI297" s="929"/>
      <c r="AJ297" s="929"/>
      <c r="AK297" s="929"/>
      <c r="AL297" s="929"/>
      <c r="AM297" s="929"/>
      <c r="AN297" s="929"/>
      <c r="AO297" s="65"/>
      <c r="AP297" s="929"/>
      <c r="AQ297" s="929"/>
      <c r="AR297" s="929"/>
      <c r="AS297" s="929"/>
      <c r="AT297" s="929"/>
      <c r="AU297" s="929"/>
      <c r="AV297" s="65"/>
      <c r="AW297" s="929"/>
      <c r="AX297" s="929"/>
      <c r="AY297" s="929"/>
      <c r="AZ297" s="929"/>
      <c r="BA297" s="929"/>
      <c r="BB297" s="929"/>
      <c r="BC297" s="65"/>
      <c r="BD297" s="929"/>
      <c r="BE297" s="929"/>
      <c r="BF297" s="929"/>
      <c r="BG297" s="929"/>
      <c r="BH297" s="929"/>
      <c r="BI297" s="929"/>
      <c r="BJ297" s="65"/>
      <c r="BK297" s="929"/>
      <c r="BL297" s="929"/>
      <c r="BM297" s="929"/>
      <c r="BN297" s="929"/>
      <c r="BO297" s="929"/>
      <c r="BP297" s="929"/>
      <c r="BQ297" s="65"/>
      <c r="BR297" s="929"/>
      <c r="BS297" s="929"/>
      <c r="BT297" s="929"/>
      <c r="BU297" s="929"/>
      <c r="BV297" s="929"/>
      <c r="BW297" s="929"/>
      <c r="BX297" s="65"/>
      <c r="BY297" s="929"/>
      <c r="BZ297" s="929"/>
      <c r="CA297" s="929"/>
      <c r="CB297" s="929"/>
      <c r="CC297" s="929"/>
      <c r="CD297" s="929"/>
      <c r="CE297" s="65"/>
      <c r="CF297" s="929"/>
      <c r="CG297" s="929"/>
      <c r="CH297" s="929"/>
      <c r="CI297" s="929"/>
      <c r="CJ297" s="929"/>
      <c r="CK297" s="929"/>
      <c r="CL297" s="65"/>
      <c r="CM297" s="929"/>
      <c r="CN297" s="929"/>
      <c r="CO297" s="929"/>
      <c r="CP297" s="929"/>
      <c r="CQ297" s="929"/>
      <c r="CR297" s="929"/>
      <c r="CS297" s="65"/>
      <c r="CT297" s="929"/>
      <c r="CU297" s="929"/>
      <c r="CV297" s="929"/>
      <c r="CW297" s="929"/>
      <c r="CX297" s="929"/>
      <c r="CY297" s="929"/>
      <c r="CZ297" s="65"/>
      <c r="DA297" s="929"/>
      <c r="DB297" s="929"/>
      <c r="DC297" s="929"/>
      <c r="DD297" s="929"/>
      <c r="DE297" s="929"/>
      <c r="DF297" s="929"/>
      <c r="DG297" s="65"/>
      <c r="DH297" s="929"/>
      <c r="DI297" s="929"/>
      <c r="DJ297" s="929"/>
      <c r="DK297" s="929"/>
      <c r="DL297" s="929"/>
      <c r="DM297" s="929"/>
      <c r="DN297" s="65"/>
      <c r="DO297" s="929"/>
      <c r="DP297" s="929"/>
      <c r="DQ297" s="929"/>
      <c r="DR297" s="929"/>
      <c r="DS297" s="929"/>
      <c r="DT297" s="929"/>
      <c r="DU297" s="65"/>
      <c r="DV297" s="929"/>
      <c r="DW297" s="929"/>
      <c r="DX297" s="929"/>
      <c r="DY297" s="929"/>
      <c r="DZ297" s="929"/>
      <c r="EA297" s="929"/>
      <c r="EB297" s="65"/>
      <c r="EC297" s="929"/>
      <c r="ED297" s="929"/>
      <c r="EE297" s="929"/>
      <c r="EF297" s="929"/>
      <c r="EG297" s="929"/>
      <c r="EH297" s="929"/>
      <c r="EI297" s="65"/>
      <c r="EJ297" s="47"/>
      <c r="EK297" s="47"/>
      <c r="EL297" s="47"/>
      <c r="EM297" s="47"/>
      <c r="EN297" s="47"/>
      <c r="EO297" s="47"/>
      <c r="EP297" s="47"/>
      <c r="EQ297" s="47"/>
      <c r="ER297" s="47"/>
      <c r="ES297" s="47"/>
      <c r="ET297" s="47"/>
      <c r="EU297" s="47"/>
      <c r="EV297" s="47"/>
      <c r="EW297" s="47"/>
      <c r="EX297" s="47"/>
      <c r="EY297" s="47"/>
      <c r="EZ297" s="47"/>
      <c r="FA297" s="47"/>
      <c r="FB297" s="47"/>
      <c r="FC297" s="47"/>
      <c r="FD297" s="47"/>
      <c r="FE297" s="47"/>
      <c r="FF297" s="47"/>
      <c r="FG297" s="47"/>
      <c r="FH297" s="47"/>
      <c r="FI297" s="47"/>
      <c r="FJ297" s="47"/>
      <c r="FK297" s="47"/>
      <c r="FL297" s="47"/>
      <c r="FM297" s="47"/>
      <c r="FN297" s="47"/>
      <c r="FO297" s="47"/>
      <c r="FP297" s="47"/>
      <c r="FQ297" s="47"/>
      <c r="FR297" s="47"/>
      <c r="FS297" s="47"/>
      <c r="FT297" s="47"/>
      <c r="FU297" s="47"/>
      <c r="FV297" s="47"/>
      <c r="FW297" s="47"/>
      <c r="FX297" s="47"/>
      <c r="FY297" s="47"/>
      <c r="FZ297" s="47"/>
      <c r="GA297" s="47"/>
      <c r="GB297" s="47"/>
      <c r="GC297" s="47"/>
      <c r="GD297" s="47"/>
      <c r="GE297" s="47"/>
    </row>
    <row r="298" spans="1:187" ht="10.5" customHeight="1">
      <c r="A298" s="43"/>
      <c r="B298" s="929"/>
      <c r="C298" s="929"/>
      <c r="D298" s="929"/>
      <c r="E298" s="929"/>
      <c r="F298" s="929"/>
      <c r="G298" s="929"/>
      <c r="H298" s="929"/>
      <c r="I298" s="929"/>
      <c r="J298" s="929"/>
      <c r="K298" s="929"/>
      <c r="L298" s="929"/>
      <c r="M298" s="929"/>
      <c r="N298" s="929"/>
      <c r="O298" s="929"/>
      <c r="P298" s="929"/>
      <c r="Q298" s="929"/>
      <c r="R298" s="929"/>
      <c r="S298" s="929"/>
      <c r="T298" s="103"/>
      <c r="U298" s="929"/>
      <c r="V298" s="929"/>
      <c r="W298" s="929"/>
      <c r="X298" s="929"/>
      <c r="Y298" s="929"/>
      <c r="Z298" s="929"/>
      <c r="AA298" s="103"/>
      <c r="AB298" s="929"/>
      <c r="AC298" s="929"/>
      <c r="AD298" s="929"/>
      <c r="AE298" s="929"/>
      <c r="AF298" s="929"/>
      <c r="AG298" s="929"/>
      <c r="AH298" s="103"/>
      <c r="AI298" s="929"/>
      <c r="AJ298" s="929"/>
      <c r="AK298" s="929"/>
      <c r="AL298" s="929"/>
      <c r="AM298" s="929"/>
      <c r="AN298" s="929"/>
      <c r="AO298" s="103"/>
      <c r="AP298" s="929"/>
      <c r="AQ298" s="929"/>
      <c r="AR298" s="929"/>
      <c r="AS298" s="929"/>
      <c r="AT298" s="929"/>
      <c r="AU298" s="929"/>
      <c r="AV298" s="103"/>
      <c r="AW298" s="929"/>
      <c r="AX298" s="929"/>
      <c r="AY298" s="929"/>
      <c r="AZ298" s="929"/>
      <c r="BA298" s="929"/>
      <c r="BB298" s="929"/>
      <c r="BC298" s="103"/>
      <c r="BD298" s="929"/>
      <c r="BE298" s="929"/>
      <c r="BF298" s="929"/>
      <c r="BG298" s="929"/>
      <c r="BH298" s="929"/>
      <c r="BI298" s="929"/>
      <c r="BJ298" s="103"/>
      <c r="BK298" s="929"/>
      <c r="BL298" s="929"/>
      <c r="BM298" s="929"/>
      <c r="BN298" s="929"/>
      <c r="BO298" s="929"/>
      <c r="BP298" s="929"/>
      <c r="BQ298" s="103"/>
      <c r="BR298" s="929"/>
      <c r="BS298" s="929"/>
      <c r="BT298" s="929"/>
      <c r="BU298" s="929"/>
      <c r="BV298" s="929"/>
      <c r="BW298" s="929"/>
      <c r="BX298" s="103"/>
      <c r="BY298" s="929"/>
      <c r="BZ298" s="929"/>
      <c r="CA298" s="929"/>
      <c r="CB298" s="929"/>
      <c r="CC298" s="929"/>
      <c r="CD298" s="929"/>
      <c r="CE298" s="103"/>
      <c r="CF298" s="929"/>
      <c r="CG298" s="929"/>
      <c r="CH298" s="929"/>
      <c r="CI298" s="929"/>
      <c r="CJ298" s="929"/>
      <c r="CK298" s="929"/>
      <c r="CL298" s="103"/>
      <c r="CM298" s="929"/>
      <c r="CN298" s="929"/>
      <c r="CO298" s="929"/>
      <c r="CP298" s="929"/>
      <c r="CQ298" s="929"/>
      <c r="CR298" s="929"/>
      <c r="CS298" s="103"/>
      <c r="CT298" s="929"/>
      <c r="CU298" s="929"/>
      <c r="CV298" s="929"/>
      <c r="CW298" s="929"/>
      <c r="CX298" s="929"/>
      <c r="CY298" s="929"/>
      <c r="CZ298" s="103"/>
      <c r="DA298" s="929"/>
      <c r="DB298" s="929"/>
      <c r="DC298" s="929"/>
      <c r="DD298" s="929"/>
      <c r="DE298" s="929"/>
      <c r="DF298" s="929"/>
      <c r="DG298" s="103"/>
      <c r="DH298" s="929"/>
      <c r="DI298" s="929"/>
      <c r="DJ298" s="929"/>
      <c r="DK298" s="929"/>
      <c r="DL298" s="929"/>
      <c r="DM298" s="929"/>
      <c r="DN298" s="103"/>
      <c r="DO298" s="929"/>
      <c r="DP298" s="929"/>
      <c r="DQ298" s="929"/>
      <c r="DR298" s="929"/>
      <c r="DS298" s="929"/>
      <c r="DT298" s="929"/>
      <c r="DU298" s="103"/>
      <c r="DV298" s="929"/>
      <c r="DW298" s="929"/>
      <c r="DX298" s="929"/>
      <c r="DY298" s="929"/>
      <c r="DZ298" s="929"/>
      <c r="EA298" s="929"/>
      <c r="EB298" s="103"/>
      <c r="EC298" s="929"/>
      <c r="ED298" s="929"/>
      <c r="EE298" s="929"/>
      <c r="EF298" s="929"/>
      <c r="EG298" s="929"/>
      <c r="EH298" s="929"/>
      <c r="EI298" s="103"/>
      <c r="EJ298" s="47"/>
      <c r="EK298" s="47"/>
      <c r="EL298" s="47"/>
      <c r="EM298" s="47"/>
      <c r="EN298" s="47"/>
      <c r="EO298" s="47"/>
      <c r="EP298" s="47"/>
      <c r="EQ298" s="47"/>
      <c r="ER298" s="47"/>
      <c r="ES298" s="47"/>
      <c r="ET298" s="47"/>
      <c r="EU298" s="47"/>
      <c r="EV298" s="47"/>
      <c r="EW298" s="47"/>
      <c r="EX298" s="47"/>
      <c r="EY298" s="47"/>
      <c r="EZ298" s="47"/>
      <c r="FA298" s="47"/>
      <c r="FB298" s="47"/>
      <c r="FC298" s="47"/>
      <c r="FD298" s="47"/>
      <c r="FE298" s="47"/>
      <c r="FF298" s="47"/>
      <c r="FG298" s="47"/>
      <c r="FH298" s="47"/>
      <c r="FI298" s="47"/>
      <c r="FJ298" s="47"/>
      <c r="FK298" s="47"/>
      <c r="FL298" s="47"/>
      <c r="FM298" s="47"/>
      <c r="FN298" s="47"/>
      <c r="FO298" s="47"/>
      <c r="FP298" s="47"/>
      <c r="FQ298" s="47"/>
      <c r="FR298" s="47"/>
      <c r="FS298" s="47"/>
      <c r="FT298" s="47"/>
      <c r="FU298" s="47"/>
      <c r="FV298" s="47"/>
      <c r="FW298" s="47"/>
      <c r="FX298" s="47"/>
      <c r="FY298" s="47"/>
      <c r="FZ298" s="47"/>
      <c r="GA298" s="47"/>
      <c r="GB298" s="47"/>
      <c r="GC298" s="47"/>
      <c r="GD298" s="47"/>
      <c r="GE298" s="47"/>
    </row>
    <row r="299" spans="1:187" ht="10.5" customHeight="1">
      <c r="A299" s="51"/>
      <c r="B299" s="929"/>
      <c r="C299" s="929"/>
      <c r="D299" s="929"/>
      <c r="E299" s="929"/>
      <c r="F299" s="929"/>
      <c r="G299" s="929"/>
      <c r="H299" s="929"/>
      <c r="I299" s="929"/>
      <c r="J299" s="929"/>
      <c r="K299" s="929"/>
      <c r="L299" s="929"/>
      <c r="M299" s="929"/>
      <c r="N299" s="929"/>
      <c r="O299" s="929"/>
      <c r="P299" s="929"/>
      <c r="Q299" s="929"/>
      <c r="R299" s="929"/>
      <c r="S299" s="929"/>
      <c r="T299" s="65"/>
      <c r="U299" s="929"/>
      <c r="V299" s="929"/>
      <c r="W299" s="929"/>
      <c r="X299" s="929"/>
      <c r="Y299" s="929"/>
      <c r="Z299" s="929"/>
      <c r="AA299" s="65"/>
      <c r="AB299" s="929"/>
      <c r="AC299" s="929"/>
      <c r="AD299" s="929"/>
      <c r="AE299" s="929"/>
      <c r="AF299" s="929"/>
      <c r="AG299" s="929"/>
      <c r="AH299" s="65"/>
      <c r="AI299" s="929"/>
      <c r="AJ299" s="929"/>
      <c r="AK299" s="929"/>
      <c r="AL299" s="929"/>
      <c r="AM299" s="929"/>
      <c r="AN299" s="929"/>
      <c r="AO299" s="65"/>
      <c r="AP299" s="929"/>
      <c r="AQ299" s="929"/>
      <c r="AR299" s="929"/>
      <c r="AS299" s="929"/>
      <c r="AT299" s="929"/>
      <c r="AU299" s="929"/>
      <c r="AV299" s="65"/>
      <c r="AW299" s="929"/>
      <c r="AX299" s="929"/>
      <c r="AY299" s="929"/>
      <c r="AZ299" s="929"/>
      <c r="BA299" s="929"/>
      <c r="BB299" s="929"/>
      <c r="BC299" s="65"/>
      <c r="BD299" s="929"/>
      <c r="BE299" s="929"/>
      <c r="BF299" s="929"/>
      <c r="BG299" s="929"/>
      <c r="BH299" s="929"/>
      <c r="BI299" s="929"/>
      <c r="BJ299" s="65"/>
      <c r="BK299" s="929"/>
      <c r="BL299" s="929"/>
      <c r="BM299" s="929"/>
      <c r="BN299" s="929"/>
      <c r="BO299" s="929"/>
      <c r="BP299" s="929"/>
      <c r="BQ299" s="65"/>
      <c r="BR299" s="929"/>
      <c r="BS299" s="929"/>
      <c r="BT299" s="929"/>
      <c r="BU299" s="929"/>
      <c r="BV299" s="929"/>
      <c r="BW299" s="929"/>
      <c r="BX299" s="65"/>
      <c r="BY299" s="929"/>
      <c r="BZ299" s="929"/>
      <c r="CA299" s="929"/>
      <c r="CB299" s="929"/>
      <c r="CC299" s="929"/>
      <c r="CD299" s="929"/>
      <c r="CE299" s="65"/>
      <c r="CF299" s="929"/>
      <c r="CG299" s="929"/>
      <c r="CH299" s="929"/>
      <c r="CI299" s="929"/>
      <c r="CJ299" s="929"/>
      <c r="CK299" s="929"/>
      <c r="CL299" s="65"/>
      <c r="CM299" s="929"/>
      <c r="CN299" s="929"/>
      <c r="CO299" s="929"/>
      <c r="CP299" s="929"/>
      <c r="CQ299" s="929"/>
      <c r="CR299" s="929"/>
      <c r="CS299" s="65"/>
      <c r="CT299" s="929"/>
      <c r="CU299" s="929"/>
      <c r="CV299" s="929"/>
      <c r="CW299" s="929"/>
      <c r="CX299" s="929"/>
      <c r="CY299" s="929"/>
      <c r="CZ299" s="65"/>
      <c r="DA299" s="929"/>
      <c r="DB299" s="929"/>
      <c r="DC299" s="929"/>
      <c r="DD299" s="929"/>
      <c r="DE299" s="929"/>
      <c r="DF299" s="929"/>
      <c r="DG299" s="65"/>
      <c r="DH299" s="929"/>
      <c r="DI299" s="929"/>
      <c r="DJ299" s="929"/>
      <c r="DK299" s="929"/>
      <c r="DL299" s="929"/>
      <c r="DM299" s="929"/>
      <c r="DN299" s="65"/>
      <c r="DO299" s="929"/>
      <c r="DP299" s="929"/>
      <c r="DQ299" s="929"/>
      <c r="DR299" s="929"/>
      <c r="DS299" s="929"/>
      <c r="DT299" s="929"/>
      <c r="DU299" s="65"/>
      <c r="DV299" s="929"/>
      <c r="DW299" s="929"/>
      <c r="DX299" s="929"/>
      <c r="DY299" s="929"/>
      <c r="DZ299" s="929"/>
      <c r="EA299" s="929"/>
      <c r="EB299" s="65"/>
      <c r="EC299" s="929"/>
      <c r="ED299" s="929"/>
      <c r="EE299" s="929"/>
      <c r="EF299" s="929"/>
      <c r="EG299" s="929"/>
      <c r="EH299" s="929"/>
      <c r="EI299" s="65"/>
      <c r="EJ299" s="47"/>
      <c r="EK299" s="47"/>
      <c r="EL299" s="47"/>
      <c r="EM299" s="47"/>
      <c r="EN299" s="47"/>
      <c r="EO299" s="47"/>
      <c r="EP299" s="47"/>
      <c r="EQ299" s="47"/>
      <c r="ER299" s="47"/>
      <c r="ES299" s="47"/>
      <c r="ET299" s="47"/>
      <c r="EU299" s="47"/>
      <c r="EV299" s="47"/>
      <c r="EW299" s="47"/>
      <c r="EX299" s="47"/>
      <c r="EY299" s="47"/>
      <c r="EZ299" s="47"/>
      <c r="FA299" s="47"/>
      <c r="FB299" s="47"/>
      <c r="FC299" s="47"/>
      <c r="FD299" s="47"/>
      <c r="FE299" s="47"/>
      <c r="FF299" s="47"/>
      <c r="FG299" s="47"/>
      <c r="FH299" s="47"/>
      <c r="FI299" s="47"/>
      <c r="FJ299" s="47"/>
      <c r="FK299" s="47"/>
      <c r="FL299" s="47"/>
      <c r="FM299" s="47"/>
      <c r="FN299" s="47"/>
      <c r="FO299" s="47"/>
      <c r="FP299" s="47"/>
      <c r="FQ299" s="47"/>
      <c r="FR299" s="47"/>
      <c r="FS299" s="47"/>
      <c r="FT299" s="47"/>
      <c r="FU299" s="47"/>
      <c r="FV299" s="47"/>
      <c r="FW299" s="47"/>
      <c r="FX299" s="47"/>
      <c r="FY299" s="47"/>
      <c r="FZ299" s="47"/>
      <c r="GA299" s="47"/>
      <c r="GB299" s="47"/>
      <c r="GC299" s="47"/>
      <c r="GD299" s="47"/>
      <c r="GE299" s="47"/>
    </row>
    <row r="300" spans="1:187" ht="10.5" customHeight="1">
      <c r="A300" s="102"/>
      <c r="B300" s="929"/>
      <c r="C300" s="929"/>
      <c r="D300" s="929"/>
      <c r="E300" s="929"/>
      <c r="F300" s="929"/>
      <c r="G300" s="929"/>
      <c r="H300" s="929"/>
      <c r="I300" s="929"/>
      <c r="J300" s="929"/>
      <c r="K300" s="929"/>
      <c r="L300" s="929"/>
      <c r="M300" s="929"/>
      <c r="N300" s="929"/>
      <c r="O300" s="929"/>
      <c r="P300" s="929"/>
      <c r="Q300" s="929"/>
      <c r="R300" s="929"/>
      <c r="S300" s="929"/>
      <c r="T300" s="65"/>
      <c r="U300" s="929"/>
      <c r="V300" s="929"/>
      <c r="W300" s="929"/>
      <c r="X300" s="929"/>
      <c r="Y300" s="929"/>
      <c r="Z300" s="929"/>
      <c r="AA300" s="65"/>
      <c r="AB300" s="929"/>
      <c r="AC300" s="929"/>
      <c r="AD300" s="929"/>
      <c r="AE300" s="929"/>
      <c r="AF300" s="929"/>
      <c r="AG300" s="929"/>
      <c r="AH300" s="65"/>
      <c r="AI300" s="929"/>
      <c r="AJ300" s="929"/>
      <c r="AK300" s="929"/>
      <c r="AL300" s="929"/>
      <c r="AM300" s="929"/>
      <c r="AN300" s="929"/>
      <c r="AO300" s="65"/>
      <c r="AP300" s="929"/>
      <c r="AQ300" s="929"/>
      <c r="AR300" s="929"/>
      <c r="AS300" s="929"/>
      <c r="AT300" s="929"/>
      <c r="AU300" s="929"/>
      <c r="AV300" s="65"/>
      <c r="AW300" s="929"/>
      <c r="AX300" s="929"/>
      <c r="AY300" s="929"/>
      <c r="AZ300" s="929"/>
      <c r="BA300" s="929"/>
      <c r="BB300" s="929"/>
      <c r="BC300" s="65"/>
      <c r="BD300" s="929"/>
      <c r="BE300" s="929"/>
      <c r="BF300" s="929"/>
      <c r="BG300" s="929"/>
      <c r="BH300" s="929"/>
      <c r="BI300" s="929"/>
      <c r="BJ300" s="65"/>
      <c r="BK300" s="929"/>
      <c r="BL300" s="929"/>
      <c r="BM300" s="929"/>
      <c r="BN300" s="929"/>
      <c r="BO300" s="929"/>
      <c r="BP300" s="929"/>
      <c r="BQ300" s="65"/>
      <c r="BR300" s="929"/>
      <c r="BS300" s="929"/>
      <c r="BT300" s="929"/>
      <c r="BU300" s="929"/>
      <c r="BV300" s="929"/>
      <c r="BW300" s="929"/>
      <c r="BX300" s="65"/>
      <c r="BY300" s="929"/>
      <c r="BZ300" s="929"/>
      <c r="CA300" s="929"/>
      <c r="CB300" s="929"/>
      <c r="CC300" s="929"/>
      <c r="CD300" s="929"/>
      <c r="CE300" s="65"/>
      <c r="CF300" s="929"/>
      <c r="CG300" s="929"/>
      <c r="CH300" s="929"/>
      <c r="CI300" s="929"/>
      <c r="CJ300" s="929"/>
      <c r="CK300" s="929"/>
      <c r="CL300" s="65"/>
      <c r="CM300" s="929"/>
      <c r="CN300" s="929"/>
      <c r="CO300" s="929"/>
      <c r="CP300" s="929"/>
      <c r="CQ300" s="929"/>
      <c r="CR300" s="929"/>
      <c r="CS300" s="65"/>
      <c r="CT300" s="929"/>
      <c r="CU300" s="929"/>
      <c r="CV300" s="929"/>
      <c r="CW300" s="929"/>
      <c r="CX300" s="929"/>
      <c r="CY300" s="929"/>
      <c r="CZ300" s="65"/>
      <c r="DA300" s="929"/>
      <c r="DB300" s="929"/>
      <c r="DC300" s="929"/>
      <c r="DD300" s="929"/>
      <c r="DE300" s="929"/>
      <c r="DF300" s="929"/>
      <c r="DG300" s="65"/>
      <c r="DH300" s="929"/>
      <c r="DI300" s="929"/>
      <c r="DJ300" s="929"/>
      <c r="DK300" s="929"/>
      <c r="DL300" s="929"/>
      <c r="DM300" s="929"/>
      <c r="DN300" s="65"/>
      <c r="DO300" s="929"/>
      <c r="DP300" s="929"/>
      <c r="DQ300" s="929"/>
      <c r="DR300" s="929"/>
      <c r="DS300" s="929"/>
      <c r="DT300" s="929"/>
      <c r="DU300" s="65"/>
      <c r="DV300" s="929"/>
      <c r="DW300" s="929"/>
      <c r="DX300" s="929"/>
      <c r="DY300" s="929"/>
      <c r="DZ300" s="929"/>
      <c r="EA300" s="929"/>
      <c r="EB300" s="65"/>
      <c r="EC300" s="929"/>
      <c r="ED300" s="929"/>
      <c r="EE300" s="929"/>
      <c r="EF300" s="929"/>
      <c r="EG300" s="929"/>
      <c r="EH300" s="929"/>
      <c r="EI300" s="65"/>
      <c r="EJ300" s="47"/>
      <c r="EK300" s="47"/>
      <c r="EL300" s="47"/>
      <c r="EM300" s="47"/>
      <c r="EN300" s="47"/>
      <c r="EO300" s="47"/>
      <c r="EP300" s="47"/>
      <c r="EQ300" s="47"/>
      <c r="ER300" s="47"/>
      <c r="ES300" s="47"/>
      <c r="ET300" s="47"/>
      <c r="EU300" s="47"/>
      <c r="EV300" s="47"/>
      <c r="EW300" s="47"/>
      <c r="EX300" s="47"/>
      <c r="EY300" s="47"/>
      <c r="EZ300" s="47"/>
      <c r="FA300" s="47"/>
      <c r="FB300" s="47"/>
      <c r="FC300" s="47"/>
      <c r="FD300" s="47"/>
      <c r="FE300" s="47"/>
      <c r="FF300" s="47"/>
      <c r="FG300" s="47"/>
      <c r="FH300" s="47"/>
      <c r="FI300" s="47"/>
      <c r="FJ300" s="47"/>
      <c r="FK300" s="47"/>
      <c r="FL300" s="47"/>
      <c r="FM300" s="47"/>
      <c r="FN300" s="47"/>
      <c r="FO300" s="47"/>
      <c r="FP300" s="47"/>
      <c r="FQ300" s="47"/>
      <c r="FR300" s="47"/>
      <c r="FS300" s="47"/>
      <c r="FT300" s="47"/>
      <c r="FU300" s="47"/>
      <c r="FV300" s="47"/>
      <c r="FW300" s="47"/>
      <c r="FX300" s="47"/>
      <c r="FY300" s="47"/>
      <c r="FZ300" s="47"/>
      <c r="GA300" s="47"/>
      <c r="GB300" s="47"/>
      <c r="GC300" s="47"/>
      <c r="GD300" s="47"/>
      <c r="GE300" s="47"/>
    </row>
    <row r="301" spans="1:187" ht="10.5" customHeight="1">
      <c r="A301" s="43"/>
      <c r="B301" s="217"/>
      <c r="C301" s="108"/>
      <c r="D301" s="929"/>
      <c r="E301" s="929"/>
      <c r="F301" s="929"/>
      <c r="G301" s="929"/>
      <c r="H301" s="929"/>
      <c r="I301" s="929"/>
      <c r="J301" s="929"/>
      <c r="K301" s="929"/>
      <c r="L301" s="929"/>
      <c r="M301" s="929"/>
      <c r="N301" s="929"/>
      <c r="O301" s="929"/>
      <c r="P301" s="929"/>
      <c r="Q301" s="929"/>
      <c r="R301" s="929"/>
      <c r="S301" s="929"/>
      <c r="T301" s="103"/>
      <c r="U301" s="929"/>
      <c r="V301" s="929"/>
      <c r="W301" s="929"/>
      <c r="X301" s="929"/>
      <c r="Y301" s="929"/>
      <c r="Z301" s="929"/>
      <c r="AA301" s="103"/>
      <c r="AB301" s="929"/>
      <c r="AC301" s="929"/>
      <c r="AD301" s="929"/>
      <c r="AE301" s="929"/>
      <c r="AF301" s="929"/>
      <c r="AG301" s="929"/>
      <c r="AH301" s="103"/>
      <c r="AI301" s="929"/>
      <c r="AJ301" s="929"/>
      <c r="AK301" s="929"/>
      <c r="AL301" s="929"/>
      <c r="AM301" s="929"/>
      <c r="AN301" s="929"/>
      <c r="AO301" s="103"/>
      <c r="AP301" s="929"/>
      <c r="AQ301" s="929"/>
      <c r="AR301" s="929"/>
      <c r="AS301" s="929"/>
      <c r="AT301" s="929"/>
      <c r="AU301" s="929"/>
      <c r="AV301" s="103"/>
      <c r="AW301" s="929"/>
      <c r="AX301" s="929"/>
      <c r="AY301" s="929"/>
      <c r="AZ301" s="929"/>
      <c r="BA301" s="929"/>
      <c r="BB301" s="929"/>
      <c r="BC301" s="103"/>
      <c r="BD301" s="929"/>
      <c r="BE301" s="929"/>
      <c r="BF301" s="929"/>
      <c r="BG301" s="929"/>
      <c r="BH301" s="929"/>
      <c r="BI301" s="929"/>
      <c r="BJ301" s="103"/>
      <c r="BK301" s="929"/>
      <c r="BL301" s="929"/>
      <c r="BM301" s="929"/>
      <c r="BN301" s="929"/>
      <c r="BO301" s="929"/>
      <c r="BP301" s="929"/>
      <c r="BQ301" s="103"/>
      <c r="BR301" s="929"/>
      <c r="BS301" s="929"/>
      <c r="BT301" s="929"/>
      <c r="BU301" s="929"/>
      <c r="BV301" s="929"/>
      <c r="BW301" s="929"/>
      <c r="BX301" s="103"/>
      <c r="BY301" s="929"/>
      <c r="BZ301" s="929"/>
      <c r="CA301" s="929"/>
      <c r="CB301" s="929"/>
      <c r="CC301" s="929"/>
      <c r="CD301" s="929"/>
      <c r="CE301" s="103"/>
      <c r="CF301" s="929"/>
      <c r="CG301" s="929"/>
      <c r="CH301" s="929"/>
      <c r="CI301" s="929"/>
      <c r="CJ301" s="929"/>
      <c r="CK301" s="929"/>
      <c r="CL301" s="103"/>
      <c r="CM301" s="929"/>
      <c r="CN301" s="929"/>
      <c r="CO301" s="929"/>
      <c r="CP301" s="929"/>
      <c r="CQ301" s="929"/>
      <c r="CR301" s="929"/>
      <c r="CS301" s="103"/>
      <c r="CT301" s="929"/>
      <c r="CU301" s="929"/>
      <c r="CV301" s="929"/>
      <c r="CW301" s="929"/>
      <c r="CX301" s="929"/>
      <c r="CY301" s="929"/>
      <c r="CZ301" s="103"/>
      <c r="DA301" s="929"/>
      <c r="DB301" s="929"/>
      <c r="DC301" s="929"/>
      <c r="DD301" s="929"/>
      <c r="DE301" s="929"/>
      <c r="DF301" s="929"/>
      <c r="DG301" s="103"/>
      <c r="DH301" s="929"/>
      <c r="DI301" s="929"/>
      <c r="DJ301" s="929"/>
      <c r="DK301" s="929"/>
      <c r="DL301" s="929"/>
      <c r="DM301" s="929"/>
      <c r="DN301" s="103"/>
      <c r="DO301" s="929"/>
      <c r="DP301" s="929"/>
      <c r="DQ301" s="929"/>
      <c r="DR301" s="929"/>
      <c r="DS301" s="929"/>
      <c r="DT301" s="929"/>
      <c r="DU301" s="103"/>
      <c r="DV301" s="929"/>
      <c r="DW301" s="929"/>
      <c r="DX301" s="929"/>
      <c r="DY301" s="929"/>
      <c r="DZ301" s="929"/>
      <c r="EA301" s="929"/>
      <c r="EB301" s="103"/>
      <c r="EC301" s="929"/>
      <c r="ED301" s="929"/>
      <c r="EE301" s="929"/>
      <c r="EF301" s="929"/>
      <c r="EG301" s="929"/>
      <c r="EH301" s="929"/>
      <c r="EI301" s="103"/>
      <c r="EJ301" s="47"/>
      <c r="EK301" s="47"/>
      <c r="EL301" s="47"/>
      <c r="EM301" s="47"/>
      <c r="EN301" s="47"/>
      <c r="EO301" s="47"/>
      <c r="EP301" s="47"/>
      <c r="EQ301" s="47"/>
      <c r="ER301" s="47"/>
      <c r="ES301" s="47"/>
      <c r="ET301" s="47"/>
      <c r="EU301" s="47"/>
      <c r="EV301" s="47"/>
      <c r="EW301" s="47"/>
      <c r="EX301" s="47"/>
      <c r="EY301" s="47"/>
      <c r="EZ301" s="47"/>
      <c r="FA301" s="47"/>
      <c r="FB301" s="47"/>
      <c r="FC301" s="47"/>
      <c r="FD301" s="47"/>
      <c r="FE301" s="47"/>
      <c r="FF301" s="47"/>
      <c r="FG301" s="47"/>
      <c r="FH301" s="47"/>
      <c r="FI301" s="47"/>
      <c r="FJ301" s="47"/>
      <c r="FK301" s="47"/>
      <c r="FL301" s="47"/>
      <c r="FM301" s="47"/>
      <c r="FN301" s="47"/>
      <c r="FO301" s="47"/>
      <c r="FP301" s="47"/>
      <c r="FQ301" s="47"/>
      <c r="FR301" s="47"/>
      <c r="FS301" s="47"/>
      <c r="FT301" s="47"/>
      <c r="FU301" s="47"/>
      <c r="FV301" s="47"/>
      <c r="FW301" s="47"/>
      <c r="FX301" s="47"/>
      <c r="FY301" s="47"/>
      <c r="FZ301" s="47"/>
      <c r="GA301" s="47"/>
      <c r="GB301" s="47"/>
      <c r="GC301" s="47"/>
      <c r="GD301" s="47"/>
      <c r="GE301" s="47"/>
    </row>
    <row r="302" spans="1:187" ht="10.5" customHeight="1">
      <c r="A302" s="43"/>
      <c r="B302" s="217"/>
      <c r="C302" s="108"/>
      <c r="D302" s="929"/>
      <c r="E302" s="929"/>
      <c r="F302" s="929"/>
      <c r="G302" s="929"/>
      <c r="H302" s="929"/>
      <c r="I302" s="929"/>
      <c r="J302" s="929"/>
      <c r="K302" s="929"/>
      <c r="L302" s="929"/>
      <c r="M302" s="929"/>
      <c r="N302" s="929"/>
      <c r="O302" s="929"/>
      <c r="P302" s="929"/>
      <c r="Q302" s="929"/>
      <c r="R302" s="929"/>
      <c r="S302" s="929"/>
      <c r="T302" s="103"/>
      <c r="U302" s="929"/>
      <c r="V302" s="929"/>
      <c r="W302" s="929"/>
      <c r="X302" s="929"/>
      <c r="Y302" s="929"/>
      <c r="Z302" s="929"/>
      <c r="AA302" s="103"/>
      <c r="AB302" s="929"/>
      <c r="AC302" s="929"/>
      <c r="AD302" s="929"/>
      <c r="AE302" s="929"/>
      <c r="AF302" s="929"/>
      <c r="AG302" s="929"/>
      <c r="AH302" s="103"/>
      <c r="AI302" s="929"/>
      <c r="AJ302" s="929"/>
      <c r="AK302" s="929"/>
      <c r="AL302" s="929"/>
      <c r="AM302" s="929"/>
      <c r="AN302" s="929"/>
      <c r="AO302" s="103"/>
      <c r="AP302" s="929"/>
      <c r="AQ302" s="929"/>
      <c r="AR302" s="929"/>
      <c r="AS302" s="929"/>
      <c r="AT302" s="929"/>
      <c r="AU302" s="929"/>
      <c r="AV302" s="103"/>
      <c r="AW302" s="929"/>
      <c r="AX302" s="929"/>
      <c r="AY302" s="929"/>
      <c r="AZ302" s="929"/>
      <c r="BA302" s="929"/>
      <c r="BB302" s="929"/>
      <c r="BC302" s="103"/>
      <c r="BD302" s="929"/>
      <c r="BE302" s="929"/>
      <c r="BF302" s="929"/>
      <c r="BG302" s="929"/>
      <c r="BH302" s="929"/>
      <c r="BI302" s="929"/>
      <c r="BJ302" s="103"/>
      <c r="BK302" s="929"/>
      <c r="BL302" s="929"/>
      <c r="BM302" s="929"/>
      <c r="BN302" s="929"/>
      <c r="BO302" s="929"/>
      <c r="BP302" s="929"/>
      <c r="BQ302" s="103"/>
      <c r="BR302" s="929"/>
      <c r="BS302" s="929"/>
      <c r="BT302" s="929"/>
      <c r="BU302" s="929"/>
      <c r="BV302" s="929"/>
      <c r="BW302" s="929"/>
      <c r="BX302" s="103"/>
      <c r="BY302" s="929"/>
      <c r="BZ302" s="929"/>
      <c r="CA302" s="929"/>
      <c r="CB302" s="929"/>
      <c r="CC302" s="929"/>
      <c r="CD302" s="929"/>
      <c r="CE302" s="103"/>
      <c r="CF302" s="929"/>
      <c r="CG302" s="929"/>
      <c r="CH302" s="929"/>
      <c r="CI302" s="929"/>
      <c r="CJ302" s="929"/>
      <c r="CK302" s="929"/>
      <c r="CL302" s="103"/>
      <c r="CM302" s="929"/>
      <c r="CN302" s="929"/>
      <c r="CO302" s="929"/>
      <c r="CP302" s="929"/>
      <c r="CQ302" s="929"/>
      <c r="CR302" s="929"/>
      <c r="CS302" s="103"/>
      <c r="CT302" s="929"/>
      <c r="CU302" s="929"/>
      <c r="CV302" s="929"/>
      <c r="CW302" s="929"/>
      <c r="CX302" s="929"/>
      <c r="CY302" s="929"/>
      <c r="CZ302" s="103"/>
      <c r="DA302" s="929"/>
      <c r="DB302" s="929"/>
      <c r="DC302" s="929"/>
      <c r="DD302" s="929"/>
      <c r="DE302" s="929"/>
      <c r="DF302" s="929"/>
      <c r="DG302" s="103"/>
      <c r="DH302" s="929"/>
      <c r="DI302" s="929"/>
      <c r="DJ302" s="929"/>
      <c r="DK302" s="929"/>
      <c r="DL302" s="929"/>
      <c r="DM302" s="929"/>
      <c r="DN302" s="103"/>
      <c r="DO302" s="929"/>
      <c r="DP302" s="929"/>
      <c r="DQ302" s="929"/>
      <c r="DR302" s="929"/>
      <c r="DS302" s="929"/>
      <c r="DT302" s="929"/>
      <c r="DU302" s="103"/>
      <c r="DV302" s="929"/>
      <c r="DW302" s="929"/>
      <c r="DX302" s="929"/>
      <c r="DY302" s="929"/>
      <c r="DZ302" s="929"/>
      <c r="EA302" s="929"/>
      <c r="EB302" s="103"/>
      <c r="EC302" s="929"/>
      <c r="ED302" s="929"/>
      <c r="EE302" s="929"/>
      <c r="EF302" s="929"/>
      <c r="EG302" s="929"/>
      <c r="EH302" s="929"/>
      <c r="EI302" s="103"/>
      <c r="EJ302" s="47"/>
      <c r="EK302" s="47"/>
      <c r="EL302" s="47"/>
      <c r="EM302" s="47"/>
      <c r="EN302" s="47"/>
      <c r="EO302" s="47"/>
      <c r="EP302" s="47"/>
      <c r="EQ302" s="47"/>
      <c r="ER302" s="47"/>
      <c r="ES302" s="47"/>
      <c r="ET302" s="47"/>
      <c r="EU302" s="47"/>
      <c r="EV302" s="47"/>
      <c r="EW302" s="47"/>
      <c r="EX302" s="47"/>
      <c r="EY302" s="47"/>
      <c r="EZ302" s="47"/>
      <c r="FA302" s="47"/>
      <c r="FB302" s="47"/>
      <c r="FC302" s="47"/>
      <c r="FD302" s="47"/>
      <c r="FE302" s="47"/>
      <c r="FF302" s="47"/>
      <c r="FG302" s="47"/>
      <c r="FH302" s="47"/>
      <c r="FI302" s="47"/>
      <c r="FJ302" s="47"/>
      <c r="FK302" s="47"/>
      <c r="FL302" s="47"/>
      <c r="FM302" s="47"/>
      <c r="FN302" s="47"/>
      <c r="FO302" s="47"/>
      <c r="FP302" s="47"/>
      <c r="FQ302" s="47"/>
      <c r="FR302" s="47"/>
      <c r="FS302" s="47"/>
      <c r="FT302" s="47"/>
      <c r="FU302" s="47"/>
      <c r="FV302" s="47"/>
      <c r="FW302" s="47"/>
      <c r="FX302" s="47"/>
      <c r="FY302" s="47"/>
      <c r="FZ302" s="47"/>
      <c r="GA302" s="47"/>
      <c r="GB302" s="47"/>
      <c r="GC302" s="47"/>
      <c r="GD302" s="47"/>
      <c r="GE302" s="47"/>
    </row>
    <row r="303" spans="1:187" ht="10.5" customHeight="1">
      <c r="A303" s="43"/>
      <c r="B303" s="217"/>
      <c r="C303" s="108"/>
      <c r="D303" s="929"/>
      <c r="E303" s="929"/>
      <c r="F303" s="929"/>
      <c r="G303" s="929"/>
      <c r="H303" s="929"/>
      <c r="I303" s="929"/>
      <c r="J303" s="929"/>
      <c r="K303" s="929"/>
      <c r="L303" s="929"/>
      <c r="M303" s="929"/>
      <c r="N303" s="929"/>
      <c r="O303" s="929"/>
      <c r="P303" s="929"/>
      <c r="Q303" s="929"/>
      <c r="R303" s="929"/>
      <c r="S303" s="929"/>
      <c r="T303" s="103"/>
      <c r="U303" s="929"/>
      <c r="V303" s="929"/>
      <c r="W303" s="929"/>
      <c r="X303" s="929"/>
      <c r="Y303" s="929"/>
      <c r="Z303" s="929"/>
      <c r="AA303" s="103"/>
      <c r="AB303" s="929"/>
      <c r="AC303" s="929"/>
      <c r="AD303" s="929"/>
      <c r="AE303" s="929"/>
      <c r="AF303" s="929"/>
      <c r="AG303" s="929"/>
      <c r="AH303" s="103"/>
      <c r="AI303" s="929"/>
      <c r="AJ303" s="929"/>
      <c r="AK303" s="929"/>
      <c r="AL303" s="929"/>
      <c r="AM303" s="929"/>
      <c r="AN303" s="929"/>
      <c r="AO303" s="103"/>
      <c r="AP303" s="929"/>
      <c r="AQ303" s="929"/>
      <c r="AR303" s="929"/>
      <c r="AS303" s="929"/>
      <c r="AT303" s="929"/>
      <c r="AU303" s="929"/>
      <c r="AV303" s="103"/>
      <c r="AW303" s="929"/>
      <c r="AX303" s="929"/>
      <c r="AY303" s="929"/>
      <c r="AZ303" s="929"/>
      <c r="BA303" s="929"/>
      <c r="BB303" s="929"/>
      <c r="BC303" s="103"/>
      <c r="BD303" s="929"/>
      <c r="BE303" s="929"/>
      <c r="BF303" s="929"/>
      <c r="BG303" s="929"/>
      <c r="BH303" s="929"/>
      <c r="BI303" s="929"/>
      <c r="BJ303" s="103"/>
      <c r="BK303" s="929"/>
      <c r="BL303" s="929"/>
      <c r="BM303" s="929"/>
      <c r="BN303" s="929"/>
      <c r="BO303" s="929"/>
      <c r="BP303" s="929"/>
      <c r="BQ303" s="103"/>
      <c r="BR303" s="929"/>
      <c r="BS303" s="929"/>
      <c r="BT303" s="929"/>
      <c r="BU303" s="929"/>
      <c r="BV303" s="929"/>
      <c r="BW303" s="929"/>
      <c r="BX303" s="103"/>
      <c r="BY303" s="929"/>
      <c r="BZ303" s="929"/>
      <c r="CA303" s="929"/>
      <c r="CB303" s="929"/>
      <c r="CC303" s="929"/>
      <c r="CD303" s="929"/>
      <c r="CE303" s="103"/>
      <c r="CF303" s="929"/>
      <c r="CG303" s="929"/>
      <c r="CH303" s="929"/>
      <c r="CI303" s="929"/>
      <c r="CJ303" s="929"/>
      <c r="CK303" s="929"/>
      <c r="CL303" s="103"/>
      <c r="CM303" s="929"/>
      <c r="CN303" s="929"/>
      <c r="CO303" s="929"/>
      <c r="CP303" s="929"/>
      <c r="CQ303" s="929"/>
      <c r="CR303" s="929"/>
      <c r="CS303" s="103"/>
      <c r="CT303" s="929"/>
      <c r="CU303" s="929"/>
      <c r="CV303" s="929"/>
      <c r="CW303" s="929"/>
      <c r="CX303" s="929"/>
      <c r="CY303" s="929"/>
      <c r="CZ303" s="103"/>
      <c r="DA303" s="929"/>
      <c r="DB303" s="929"/>
      <c r="DC303" s="929"/>
      <c r="DD303" s="929"/>
      <c r="DE303" s="929"/>
      <c r="DF303" s="929"/>
      <c r="DG303" s="103"/>
      <c r="DH303" s="929"/>
      <c r="DI303" s="929"/>
      <c r="DJ303" s="929"/>
      <c r="DK303" s="929"/>
      <c r="DL303" s="929"/>
      <c r="DM303" s="929"/>
      <c r="DN303" s="103"/>
      <c r="DO303" s="929"/>
      <c r="DP303" s="929"/>
      <c r="DQ303" s="929"/>
      <c r="DR303" s="929"/>
      <c r="DS303" s="929"/>
      <c r="DT303" s="929"/>
      <c r="DU303" s="103"/>
      <c r="DV303" s="929"/>
      <c r="DW303" s="929"/>
      <c r="DX303" s="929"/>
      <c r="DY303" s="929"/>
      <c r="DZ303" s="929"/>
      <c r="EA303" s="929"/>
      <c r="EB303" s="103"/>
      <c r="EC303" s="929"/>
      <c r="ED303" s="929"/>
      <c r="EE303" s="929"/>
      <c r="EF303" s="929"/>
      <c r="EG303" s="929"/>
      <c r="EH303" s="929"/>
      <c r="EI303" s="103"/>
      <c r="EJ303" s="47"/>
      <c r="EK303" s="47"/>
      <c r="EL303" s="47"/>
      <c r="EM303" s="47"/>
      <c r="EN303" s="47"/>
      <c r="EO303" s="47"/>
      <c r="EP303" s="47"/>
      <c r="EQ303" s="47"/>
      <c r="ER303" s="47"/>
      <c r="ES303" s="47"/>
      <c r="ET303" s="47"/>
      <c r="EU303" s="47"/>
      <c r="EV303" s="47"/>
      <c r="EW303" s="47"/>
      <c r="EX303" s="47"/>
      <c r="EY303" s="47"/>
      <c r="EZ303" s="47"/>
      <c r="FA303" s="47"/>
      <c r="FB303" s="47"/>
      <c r="FC303" s="47"/>
      <c r="FD303" s="47"/>
      <c r="FE303" s="47"/>
      <c r="FF303" s="47"/>
      <c r="FG303" s="47"/>
      <c r="FH303" s="47"/>
      <c r="FI303" s="47"/>
      <c r="FJ303" s="47"/>
      <c r="FK303" s="47"/>
      <c r="FL303" s="47"/>
      <c r="FM303" s="47"/>
      <c r="FN303" s="47"/>
      <c r="FO303" s="47"/>
      <c r="FP303" s="47"/>
      <c r="FQ303" s="47"/>
      <c r="FR303" s="47"/>
      <c r="FS303" s="47"/>
      <c r="FT303" s="47"/>
      <c r="FU303" s="47"/>
      <c r="FV303" s="47"/>
      <c r="FW303" s="47"/>
      <c r="FX303" s="47"/>
      <c r="FY303" s="47"/>
      <c r="FZ303" s="47"/>
      <c r="GA303" s="47"/>
      <c r="GB303" s="47"/>
      <c r="GC303" s="47"/>
      <c r="GD303" s="47"/>
      <c r="GE303" s="47"/>
    </row>
    <row r="304" spans="1:187" ht="10.5" customHeight="1">
      <c r="A304" s="43"/>
      <c r="B304" s="217"/>
      <c r="C304" s="108"/>
      <c r="D304" s="929"/>
      <c r="E304" s="929"/>
      <c r="F304" s="929"/>
      <c r="G304" s="929"/>
      <c r="H304" s="929"/>
      <c r="I304" s="929"/>
      <c r="J304" s="929"/>
      <c r="K304" s="929"/>
      <c r="L304" s="929"/>
      <c r="M304" s="929"/>
      <c r="N304" s="929"/>
      <c r="O304" s="929"/>
      <c r="P304" s="929"/>
      <c r="Q304" s="929"/>
      <c r="R304" s="929"/>
      <c r="S304" s="929"/>
      <c r="T304" s="103"/>
      <c r="U304" s="929"/>
      <c r="V304" s="929"/>
      <c r="W304" s="929"/>
      <c r="X304" s="929"/>
      <c r="Y304" s="929"/>
      <c r="Z304" s="929"/>
      <c r="AA304" s="103"/>
      <c r="AB304" s="929"/>
      <c r="AC304" s="929"/>
      <c r="AD304" s="929"/>
      <c r="AE304" s="929"/>
      <c r="AF304" s="929"/>
      <c r="AG304" s="929"/>
      <c r="AH304" s="103"/>
      <c r="AI304" s="929"/>
      <c r="AJ304" s="929"/>
      <c r="AK304" s="929"/>
      <c r="AL304" s="929"/>
      <c r="AM304" s="929"/>
      <c r="AN304" s="929"/>
      <c r="AO304" s="103"/>
      <c r="AP304" s="929"/>
      <c r="AQ304" s="929"/>
      <c r="AR304" s="929"/>
      <c r="AS304" s="929"/>
      <c r="AT304" s="929"/>
      <c r="AU304" s="929"/>
      <c r="AV304" s="103"/>
      <c r="AW304" s="929"/>
      <c r="AX304" s="929"/>
      <c r="AY304" s="929"/>
      <c r="AZ304" s="929"/>
      <c r="BA304" s="929"/>
      <c r="BB304" s="929"/>
      <c r="BC304" s="103"/>
      <c r="BD304" s="929"/>
      <c r="BE304" s="929"/>
      <c r="BF304" s="929"/>
      <c r="BG304" s="929"/>
      <c r="BH304" s="929"/>
      <c r="BI304" s="929"/>
      <c r="BJ304" s="103"/>
      <c r="BK304" s="929"/>
      <c r="BL304" s="929"/>
      <c r="BM304" s="929"/>
      <c r="BN304" s="929"/>
      <c r="BO304" s="929"/>
      <c r="BP304" s="929"/>
      <c r="BQ304" s="103"/>
      <c r="BR304" s="929"/>
      <c r="BS304" s="929"/>
      <c r="BT304" s="929"/>
      <c r="BU304" s="929"/>
      <c r="BV304" s="929"/>
      <c r="BW304" s="929"/>
      <c r="BX304" s="103"/>
      <c r="BY304" s="929"/>
      <c r="BZ304" s="929"/>
      <c r="CA304" s="929"/>
      <c r="CB304" s="929"/>
      <c r="CC304" s="929"/>
      <c r="CD304" s="929"/>
      <c r="CE304" s="103"/>
      <c r="CF304" s="929"/>
      <c r="CG304" s="929"/>
      <c r="CH304" s="929"/>
      <c r="CI304" s="929"/>
      <c r="CJ304" s="929"/>
      <c r="CK304" s="929"/>
      <c r="CL304" s="103"/>
      <c r="CM304" s="929"/>
      <c r="CN304" s="929"/>
      <c r="CO304" s="929"/>
      <c r="CP304" s="929"/>
      <c r="CQ304" s="929"/>
      <c r="CR304" s="929"/>
      <c r="CS304" s="103"/>
      <c r="CT304" s="929"/>
      <c r="CU304" s="929"/>
      <c r="CV304" s="929"/>
      <c r="CW304" s="929"/>
      <c r="CX304" s="929"/>
      <c r="CY304" s="929"/>
      <c r="CZ304" s="103"/>
      <c r="DA304" s="929"/>
      <c r="DB304" s="929"/>
      <c r="DC304" s="929"/>
      <c r="DD304" s="929"/>
      <c r="DE304" s="929"/>
      <c r="DF304" s="929"/>
      <c r="DG304" s="103"/>
      <c r="DH304" s="929"/>
      <c r="DI304" s="929"/>
      <c r="DJ304" s="929"/>
      <c r="DK304" s="929"/>
      <c r="DL304" s="929"/>
      <c r="DM304" s="929"/>
      <c r="DN304" s="103"/>
      <c r="DO304" s="929"/>
      <c r="DP304" s="929"/>
      <c r="DQ304" s="929"/>
      <c r="DR304" s="929"/>
      <c r="DS304" s="929"/>
      <c r="DT304" s="929"/>
      <c r="DU304" s="103"/>
      <c r="DV304" s="929"/>
      <c r="DW304" s="929"/>
      <c r="DX304" s="929"/>
      <c r="DY304" s="929"/>
      <c r="DZ304" s="929"/>
      <c r="EA304" s="929"/>
      <c r="EB304" s="103"/>
      <c r="EC304" s="929"/>
      <c r="ED304" s="929"/>
      <c r="EE304" s="929"/>
      <c r="EF304" s="929"/>
      <c r="EG304" s="929"/>
      <c r="EH304" s="929"/>
      <c r="EI304" s="103"/>
      <c r="EJ304" s="47"/>
      <c r="EK304" s="47"/>
      <c r="EL304" s="47"/>
      <c r="EM304" s="47"/>
      <c r="EN304" s="47"/>
      <c r="EO304" s="47"/>
      <c r="EP304" s="47"/>
      <c r="EQ304" s="47"/>
      <c r="ER304" s="47"/>
      <c r="ES304" s="47"/>
      <c r="ET304" s="47"/>
      <c r="EU304" s="47"/>
      <c r="EV304" s="47"/>
      <c r="EW304" s="47"/>
      <c r="EX304" s="47"/>
      <c r="EY304" s="47"/>
      <c r="EZ304" s="47"/>
      <c r="FA304" s="47"/>
      <c r="FB304" s="47"/>
      <c r="FC304" s="47"/>
      <c r="FD304" s="47"/>
      <c r="FE304" s="47"/>
      <c r="FF304" s="47"/>
      <c r="FG304" s="47"/>
      <c r="FH304" s="47"/>
      <c r="FI304" s="47"/>
      <c r="FJ304" s="47"/>
      <c r="FK304" s="47"/>
      <c r="FL304" s="47"/>
      <c r="FM304" s="47"/>
      <c r="FN304" s="47"/>
      <c r="FO304" s="47"/>
      <c r="FP304" s="47"/>
      <c r="FQ304" s="47"/>
      <c r="FR304" s="47"/>
      <c r="FS304" s="47"/>
      <c r="FT304" s="47"/>
      <c r="FU304" s="47"/>
      <c r="FV304" s="47"/>
      <c r="FW304" s="47"/>
      <c r="FX304" s="47"/>
      <c r="FY304" s="47"/>
      <c r="FZ304" s="47"/>
      <c r="GA304" s="47"/>
      <c r="GB304" s="47"/>
      <c r="GC304" s="47"/>
      <c r="GD304" s="47"/>
      <c r="GE304" s="47"/>
    </row>
    <row r="305" spans="1:187" ht="10.5" customHeight="1">
      <c r="A305" s="43"/>
      <c r="B305" s="217"/>
      <c r="C305" s="929"/>
      <c r="D305" s="929"/>
      <c r="E305" s="929"/>
      <c r="F305" s="929"/>
      <c r="G305" s="929"/>
      <c r="H305" s="929"/>
      <c r="I305" s="929"/>
      <c r="J305" s="929"/>
      <c r="K305" s="929"/>
      <c r="L305" s="929"/>
      <c r="M305" s="929"/>
      <c r="N305" s="929"/>
      <c r="O305" s="929"/>
      <c r="P305" s="929"/>
      <c r="Q305" s="929"/>
      <c r="R305" s="929"/>
      <c r="S305" s="929"/>
      <c r="T305" s="103"/>
      <c r="U305" s="929"/>
      <c r="V305" s="929"/>
      <c r="W305" s="929"/>
      <c r="X305" s="929"/>
      <c r="Y305" s="929"/>
      <c r="Z305" s="929"/>
      <c r="AA305" s="103"/>
      <c r="AB305" s="929"/>
      <c r="AC305" s="929"/>
      <c r="AD305" s="929"/>
      <c r="AE305" s="929"/>
      <c r="AF305" s="929"/>
      <c r="AG305" s="929"/>
      <c r="AH305" s="103"/>
      <c r="AI305" s="929"/>
      <c r="AJ305" s="929"/>
      <c r="AK305" s="929"/>
      <c r="AL305" s="929"/>
      <c r="AM305" s="929"/>
      <c r="AN305" s="929"/>
      <c r="AO305" s="103"/>
      <c r="AP305" s="929"/>
      <c r="AQ305" s="929"/>
      <c r="AR305" s="929"/>
      <c r="AS305" s="929"/>
      <c r="AT305" s="929"/>
      <c r="AU305" s="929"/>
      <c r="AV305" s="103"/>
      <c r="AW305" s="929"/>
      <c r="AX305" s="929"/>
      <c r="AY305" s="929"/>
      <c r="AZ305" s="929"/>
      <c r="BA305" s="929"/>
      <c r="BB305" s="929"/>
      <c r="BC305" s="103"/>
      <c r="BD305" s="929"/>
      <c r="BE305" s="929"/>
      <c r="BF305" s="929"/>
      <c r="BG305" s="929"/>
      <c r="BH305" s="929"/>
      <c r="BI305" s="929"/>
      <c r="BJ305" s="103"/>
      <c r="BK305" s="929"/>
      <c r="BL305" s="929"/>
      <c r="BM305" s="929"/>
      <c r="BN305" s="929"/>
      <c r="BO305" s="929"/>
      <c r="BP305" s="929"/>
      <c r="BQ305" s="103"/>
      <c r="BR305" s="929"/>
      <c r="BS305" s="929"/>
      <c r="BT305" s="929"/>
      <c r="BU305" s="929"/>
      <c r="BV305" s="929"/>
      <c r="BW305" s="929"/>
      <c r="BX305" s="103"/>
      <c r="BY305" s="929"/>
      <c r="BZ305" s="929"/>
      <c r="CA305" s="929"/>
      <c r="CB305" s="929"/>
      <c r="CC305" s="929"/>
      <c r="CD305" s="929"/>
      <c r="CE305" s="103"/>
      <c r="CF305" s="929"/>
      <c r="CG305" s="929"/>
      <c r="CH305" s="929"/>
      <c r="CI305" s="929"/>
      <c r="CJ305" s="929"/>
      <c r="CK305" s="929"/>
      <c r="CL305" s="103"/>
      <c r="CM305" s="929"/>
      <c r="CN305" s="929"/>
      <c r="CO305" s="929"/>
      <c r="CP305" s="929"/>
      <c r="CQ305" s="929"/>
      <c r="CR305" s="929"/>
      <c r="CS305" s="103"/>
      <c r="CT305" s="929"/>
      <c r="CU305" s="929"/>
      <c r="CV305" s="929"/>
      <c r="CW305" s="929"/>
      <c r="CX305" s="929"/>
      <c r="CY305" s="929"/>
      <c r="CZ305" s="103"/>
      <c r="DA305" s="929"/>
      <c r="DB305" s="929"/>
      <c r="DC305" s="929"/>
      <c r="DD305" s="929"/>
      <c r="DE305" s="929"/>
      <c r="DF305" s="929"/>
      <c r="DG305" s="103"/>
      <c r="DH305" s="929"/>
      <c r="DI305" s="929"/>
      <c r="DJ305" s="929"/>
      <c r="DK305" s="929"/>
      <c r="DL305" s="929"/>
      <c r="DM305" s="929"/>
      <c r="DN305" s="103"/>
      <c r="DO305" s="929"/>
      <c r="DP305" s="929"/>
      <c r="DQ305" s="929"/>
      <c r="DR305" s="929"/>
      <c r="DS305" s="929"/>
      <c r="DT305" s="929"/>
      <c r="DU305" s="103"/>
      <c r="DV305" s="929"/>
      <c r="DW305" s="929"/>
      <c r="DX305" s="929"/>
      <c r="DY305" s="929"/>
      <c r="DZ305" s="929"/>
      <c r="EA305" s="929"/>
      <c r="EB305" s="103"/>
      <c r="EC305" s="929"/>
      <c r="ED305" s="929"/>
      <c r="EE305" s="929"/>
      <c r="EF305" s="929"/>
      <c r="EG305" s="929"/>
      <c r="EH305" s="929"/>
      <c r="EI305" s="103"/>
      <c r="EJ305" s="47"/>
      <c r="EK305" s="47"/>
      <c r="EL305" s="47"/>
      <c r="EM305" s="47"/>
      <c r="EN305" s="47"/>
      <c r="EO305" s="47"/>
      <c r="EP305" s="47"/>
      <c r="EQ305" s="47"/>
      <c r="ER305" s="47"/>
      <c r="ES305" s="47"/>
      <c r="ET305" s="47"/>
      <c r="EU305" s="47"/>
      <c r="EV305" s="47"/>
      <c r="EW305" s="47"/>
      <c r="EX305" s="47"/>
      <c r="EY305" s="47"/>
      <c r="EZ305" s="47"/>
      <c r="FA305" s="47"/>
      <c r="FB305" s="47"/>
      <c r="FC305" s="47"/>
      <c r="FD305" s="47"/>
      <c r="FE305" s="47"/>
      <c r="FF305" s="47"/>
      <c r="FG305" s="47"/>
      <c r="FH305" s="47"/>
      <c r="FI305" s="47"/>
      <c r="FJ305" s="47"/>
      <c r="FK305" s="47"/>
      <c r="FL305" s="47"/>
      <c r="FM305" s="47"/>
      <c r="FN305" s="47"/>
      <c r="FO305" s="47"/>
      <c r="FP305" s="47"/>
      <c r="FQ305" s="47"/>
      <c r="FR305" s="47"/>
      <c r="FS305" s="47"/>
      <c r="FT305" s="47"/>
      <c r="FU305" s="47"/>
      <c r="FV305" s="47"/>
      <c r="FW305" s="47"/>
      <c r="FX305" s="47"/>
      <c r="FY305" s="47"/>
      <c r="FZ305" s="47"/>
      <c r="GA305" s="47"/>
      <c r="GB305" s="47"/>
      <c r="GC305" s="47"/>
      <c r="GD305" s="47"/>
      <c r="GE305" s="47"/>
    </row>
    <row r="306" spans="1:187" ht="10.5" customHeight="1">
      <c r="A306" s="43"/>
      <c r="B306" s="217"/>
      <c r="C306" s="108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101"/>
      <c r="U306" s="217"/>
      <c r="V306" s="217"/>
      <c r="W306" s="217"/>
      <c r="X306" s="217"/>
      <c r="Y306" s="217"/>
      <c r="Z306" s="217"/>
      <c r="AA306" s="101"/>
      <c r="AB306" s="217"/>
      <c r="AC306" s="217"/>
      <c r="AD306" s="217"/>
      <c r="AE306" s="217"/>
      <c r="AF306" s="217"/>
      <c r="AG306" s="217"/>
      <c r="AH306" s="101"/>
      <c r="AI306" s="217"/>
      <c r="AJ306" s="217"/>
      <c r="AK306" s="217"/>
      <c r="AL306" s="217"/>
      <c r="AM306" s="217"/>
      <c r="AN306" s="217"/>
      <c r="AO306" s="101"/>
      <c r="AP306" s="217"/>
      <c r="AQ306" s="217"/>
      <c r="AR306" s="217"/>
      <c r="AS306" s="217"/>
      <c r="AT306" s="217"/>
      <c r="AU306" s="217"/>
      <c r="AV306" s="101"/>
      <c r="AW306" s="217"/>
      <c r="AX306" s="217"/>
      <c r="AY306" s="217"/>
      <c r="AZ306" s="217"/>
      <c r="BA306" s="217"/>
      <c r="BB306" s="217"/>
      <c r="BC306" s="101"/>
      <c r="BD306" s="217"/>
      <c r="BE306" s="217"/>
      <c r="BF306" s="217"/>
      <c r="BG306" s="217"/>
      <c r="BH306" s="217"/>
      <c r="BI306" s="217"/>
      <c r="BJ306" s="101"/>
      <c r="BK306" s="217"/>
      <c r="BL306" s="217"/>
      <c r="BM306" s="217"/>
      <c r="BN306" s="217"/>
      <c r="BO306" s="217"/>
      <c r="BP306" s="217"/>
      <c r="BQ306" s="101"/>
      <c r="BR306" s="217"/>
      <c r="BS306" s="217"/>
      <c r="BT306" s="217"/>
      <c r="BU306" s="217"/>
      <c r="BV306" s="217"/>
      <c r="BW306" s="217"/>
      <c r="BX306" s="101"/>
      <c r="BY306" s="217"/>
      <c r="BZ306" s="217"/>
      <c r="CA306" s="217"/>
      <c r="CB306" s="217"/>
      <c r="CC306" s="217"/>
      <c r="CD306" s="217"/>
      <c r="CE306" s="101"/>
      <c r="CF306" s="217"/>
      <c r="CG306" s="217"/>
      <c r="CH306" s="217"/>
      <c r="CI306" s="217"/>
      <c r="CJ306" s="217"/>
      <c r="CK306" s="217"/>
      <c r="CL306" s="101"/>
      <c r="CM306" s="217"/>
      <c r="CN306" s="217"/>
      <c r="CO306" s="217"/>
      <c r="CP306" s="217"/>
      <c r="CQ306" s="217"/>
      <c r="CR306" s="217"/>
      <c r="CS306" s="101"/>
      <c r="CT306" s="217"/>
      <c r="CU306" s="217"/>
      <c r="CV306" s="217"/>
      <c r="CW306" s="217"/>
      <c r="CX306" s="217"/>
      <c r="CY306" s="217"/>
      <c r="CZ306" s="101"/>
      <c r="DA306" s="217"/>
      <c r="DB306" s="217"/>
      <c r="DC306" s="217"/>
      <c r="DD306" s="217"/>
      <c r="DE306" s="217"/>
      <c r="DF306" s="217"/>
      <c r="DG306" s="101"/>
      <c r="DH306" s="217"/>
      <c r="DI306" s="217"/>
      <c r="DJ306" s="217"/>
      <c r="DK306" s="217"/>
      <c r="DL306" s="217"/>
      <c r="DM306" s="217"/>
      <c r="DN306" s="101"/>
      <c r="DO306" s="217"/>
      <c r="DP306" s="217"/>
      <c r="DQ306" s="217"/>
      <c r="DR306" s="217"/>
      <c r="DS306" s="217"/>
      <c r="DT306" s="217"/>
      <c r="DU306" s="101"/>
      <c r="DV306" s="217"/>
      <c r="DW306" s="217"/>
      <c r="DX306" s="217"/>
      <c r="DY306" s="217"/>
      <c r="DZ306" s="217"/>
      <c r="EA306" s="217"/>
      <c r="EB306" s="101"/>
      <c r="EC306" s="217"/>
      <c r="ED306" s="217"/>
      <c r="EE306" s="217"/>
      <c r="EF306" s="217"/>
      <c r="EG306" s="217"/>
      <c r="EH306" s="217"/>
      <c r="EI306" s="101"/>
      <c r="EJ306" s="47"/>
      <c r="EK306" s="47"/>
      <c r="EL306" s="47"/>
      <c r="EM306" s="47"/>
      <c r="EN306" s="47"/>
      <c r="EO306" s="47"/>
      <c r="EP306" s="47"/>
      <c r="EQ306" s="47"/>
      <c r="ER306" s="47"/>
      <c r="ES306" s="47"/>
      <c r="ET306" s="47"/>
      <c r="EU306" s="47"/>
      <c r="EV306" s="47"/>
      <c r="EW306" s="47"/>
      <c r="EX306" s="47"/>
      <c r="EY306" s="47"/>
      <c r="EZ306" s="47"/>
      <c r="FA306" s="47"/>
      <c r="FB306" s="47"/>
      <c r="FC306" s="47"/>
      <c r="FD306" s="47"/>
      <c r="FE306" s="47"/>
      <c r="FF306" s="47"/>
      <c r="FG306" s="47"/>
      <c r="FH306" s="47"/>
      <c r="FI306" s="47"/>
      <c r="FJ306" s="47"/>
      <c r="FK306" s="47"/>
      <c r="FL306" s="47"/>
      <c r="FM306" s="47"/>
      <c r="FN306" s="47"/>
      <c r="FO306" s="47"/>
      <c r="FP306" s="47"/>
      <c r="FQ306" s="47"/>
      <c r="FR306" s="47"/>
      <c r="FS306" s="47"/>
      <c r="FT306" s="47"/>
      <c r="FU306" s="47"/>
      <c r="FV306" s="47"/>
      <c r="FW306" s="47"/>
      <c r="FX306" s="47"/>
      <c r="FY306" s="47"/>
      <c r="FZ306" s="47"/>
      <c r="GA306" s="47"/>
      <c r="GB306" s="47"/>
      <c r="GC306" s="47"/>
      <c r="GD306" s="47"/>
      <c r="GE306" s="47"/>
    </row>
    <row r="307" spans="1:187" ht="10.5" customHeight="1">
      <c r="A307" s="43"/>
      <c r="B307" s="108"/>
      <c r="C307" s="108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81"/>
      <c r="U307" s="245"/>
      <c r="V307" s="245"/>
      <c r="W307" s="245"/>
      <c r="X307" s="245"/>
      <c r="Y307" s="245"/>
      <c r="Z307" s="245"/>
      <c r="AA307" s="81"/>
      <c r="AB307" s="245"/>
      <c r="AC307" s="245"/>
      <c r="AD307" s="245"/>
      <c r="AE307" s="245"/>
      <c r="AF307" s="245"/>
      <c r="AG307" s="245"/>
      <c r="AH307" s="81"/>
      <c r="AI307" s="245"/>
      <c r="AJ307" s="245"/>
      <c r="AK307" s="245"/>
      <c r="AL307" s="245"/>
      <c r="AM307" s="245"/>
      <c r="AN307" s="245"/>
      <c r="AO307" s="81"/>
      <c r="AP307" s="245"/>
      <c r="AQ307" s="245"/>
      <c r="AR307" s="245"/>
      <c r="AS307" s="245"/>
      <c r="AT307" s="245"/>
      <c r="AU307" s="245"/>
      <c r="AV307" s="81"/>
      <c r="AW307" s="245"/>
      <c r="AX307" s="245"/>
      <c r="AY307" s="245"/>
      <c r="AZ307" s="245"/>
      <c r="BA307" s="245"/>
      <c r="BB307" s="245"/>
      <c r="BC307" s="81"/>
      <c r="BD307" s="245"/>
      <c r="BE307" s="245"/>
      <c r="BF307" s="245"/>
      <c r="BG307" s="245"/>
      <c r="BH307" s="245"/>
      <c r="BI307" s="245"/>
      <c r="BJ307" s="81"/>
      <c r="BK307" s="245"/>
      <c r="BL307" s="245"/>
      <c r="BM307" s="245"/>
      <c r="BN307" s="245"/>
      <c r="BO307" s="245"/>
      <c r="BP307" s="245"/>
      <c r="BQ307" s="81"/>
      <c r="BR307" s="245"/>
      <c r="BS307" s="245"/>
      <c r="BT307" s="245"/>
      <c r="BU307" s="245"/>
      <c r="BV307" s="245"/>
      <c r="BW307" s="245"/>
      <c r="BX307" s="81"/>
      <c r="BY307" s="245"/>
      <c r="BZ307" s="245"/>
      <c r="CA307" s="245"/>
      <c r="CB307" s="245"/>
      <c r="CC307" s="245"/>
      <c r="CD307" s="245"/>
      <c r="CE307" s="81"/>
      <c r="CF307" s="245"/>
      <c r="CG307" s="245"/>
      <c r="CH307" s="245"/>
      <c r="CI307" s="245"/>
      <c r="CJ307" s="245"/>
      <c r="CK307" s="245"/>
      <c r="CL307" s="81"/>
      <c r="CM307" s="245"/>
      <c r="CN307" s="245"/>
      <c r="CO307" s="245"/>
      <c r="CP307" s="245"/>
      <c r="CQ307" s="245"/>
      <c r="CR307" s="245"/>
      <c r="CS307" s="81"/>
      <c r="CT307" s="245"/>
      <c r="CU307" s="245"/>
      <c r="CV307" s="245"/>
      <c r="CW307" s="245"/>
      <c r="CX307" s="245"/>
      <c r="CY307" s="245"/>
      <c r="CZ307" s="81"/>
      <c r="DA307" s="245"/>
      <c r="DB307" s="245"/>
      <c r="DC307" s="245"/>
      <c r="DD307" s="245"/>
      <c r="DE307" s="245"/>
      <c r="DF307" s="245"/>
      <c r="DG307" s="81"/>
      <c r="DH307" s="245"/>
      <c r="DI307" s="245"/>
      <c r="DJ307" s="245"/>
      <c r="DK307" s="245"/>
      <c r="DL307" s="245"/>
      <c r="DM307" s="245"/>
      <c r="DN307" s="81"/>
      <c r="DO307" s="245"/>
      <c r="DP307" s="245"/>
      <c r="DQ307" s="245"/>
      <c r="DR307" s="245"/>
      <c r="DS307" s="245"/>
      <c r="DT307" s="245"/>
      <c r="DU307" s="81"/>
      <c r="DV307" s="245"/>
      <c r="DW307" s="245"/>
      <c r="DX307" s="245"/>
      <c r="DY307" s="245"/>
      <c r="DZ307" s="245"/>
      <c r="EA307" s="245"/>
      <c r="EB307" s="81"/>
      <c r="EC307" s="245"/>
      <c r="ED307" s="245"/>
      <c r="EE307" s="245"/>
      <c r="EF307" s="245"/>
      <c r="EG307" s="245"/>
      <c r="EH307" s="245"/>
      <c r="EI307" s="81"/>
      <c r="EJ307" s="47"/>
      <c r="EK307" s="47"/>
      <c r="EL307" s="47"/>
      <c r="EM307" s="47"/>
      <c r="EN307" s="47"/>
      <c r="EO307" s="47"/>
      <c r="EP307" s="47"/>
      <c r="EQ307" s="47"/>
      <c r="ER307" s="47"/>
      <c r="ES307" s="47"/>
      <c r="ET307" s="47"/>
      <c r="EU307" s="47"/>
      <c r="EV307" s="47"/>
      <c r="EW307" s="47"/>
      <c r="EX307" s="47"/>
      <c r="EY307" s="47"/>
      <c r="EZ307" s="47"/>
      <c r="FA307" s="47"/>
      <c r="FB307" s="47"/>
      <c r="FC307" s="47"/>
      <c r="FD307" s="47"/>
      <c r="FE307" s="47"/>
      <c r="FF307" s="47"/>
      <c r="FG307" s="47"/>
      <c r="FH307" s="47"/>
      <c r="FI307" s="47"/>
      <c r="FJ307" s="47"/>
      <c r="FK307" s="47"/>
      <c r="FL307" s="47"/>
      <c r="FM307" s="47"/>
      <c r="FN307" s="47"/>
      <c r="FO307" s="47"/>
      <c r="FP307" s="47"/>
      <c r="FQ307" s="47"/>
      <c r="FR307" s="47"/>
      <c r="FS307" s="47"/>
      <c r="FT307" s="47"/>
      <c r="FU307" s="47"/>
      <c r="FV307" s="47"/>
      <c r="FW307" s="47"/>
      <c r="FX307" s="47"/>
      <c r="FY307" s="47"/>
      <c r="FZ307" s="47"/>
      <c r="GA307" s="47"/>
      <c r="GB307" s="47"/>
      <c r="GC307" s="47"/>
      <c r="GD307" s="47"/>
      <c r="GE307" s="47"/>
    </row>
    <row r="308" spans="1:187" ht="10.5" customHeight="1">
      <c r="A308" s="43"/>
      <c r="B308" s="108"/>
      <c r="C308" s="108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81"/>
      <c r="U308" s="245"/>
      <c r="V308" s="245"/>
      <c r="W308" s="245"/>
      <c r="X308" s="245"/>
      <c r="Y308" s="245"/>
      <c r="Z308" s="245"/>
      <c r="AA308" s="81"/>
      <c r="AB308" s="245"/>
      <c r="AC308" s="245"/>
      <c r="AD308" s="245"/>
      <c r="AE308" s="245"/>
      <c r="AF308" s="245"/>
      <c r="AG308" s="245"/>
      <c r="AH308" s="81"/>
      <c r="AI308" s="245"/>
      <c r="AJ308" s="245"/>
      <c r="AK308" s="245"/>
      <c r="AL308" s="245"/>
      <c r="AM308" s="245"/>
      <c r="AN308" s="245"/>
      <c r="AO308" s="81"/>
      <c r="AP308" s="245"/>
      <c r="AQ308" s="245"/>
      <c r="AR308" s="245"/>
      <c r="AS308" s="245"/>
      <c r="AT308" s="245"/>
      <c r="AU308" s="245"/>
      <c r="AV308" s="81"/>
      <c r="AW308" s="245"/>
      <c r="AX308" s="245"/>
      <c r="AY308" s="245"/>
      <c r="AZ308" s="245"/>
      <c r="BA308" s="245"/>
      <c r="BB308" s="245"/>
      <c r="BC308" s="81"/>
      <c r="BD308" s="245"/>
      <c r="BE308" s="245"/>
      <c r="BF308" s="245"/>
      <c r="BG308" s="245"/>
      <c r="BH308" s="245"/>
      <c r="BI308" s="245"/>
      <c r="BJ308" s="81"/>
      <c r="BK308" s="245"/>
      <c r="BL308" s="245"/>
      <c r="BM308" s="245"/>
      <c r="BN308" s="245"/>
      <c r="BO308" s="245"/>
      <c r="BP308" s="245"/>
      <c r="BQ308" s="81"/>
      <c r="BR308" s="245"/>
      <c r="BS308" s="245"/>
      <c r="BT308" s="245"/>
      <c r="BU308" s="245"/>
      <c r="BV308" s="245"/>
      <c r="BW308" s="245"/>
      <c r="BX308" s="81"/>
      <c r="BY308" s="245"/>
      <c r="BZ308" s="245"/>
      <c r="CA308" s="245"/>
      <c r="CB308" s="245"/>
      <c r="CC308" s="245"/>
      <c r="CD308" s="245"/>
      <c r="CE308" s="81"/>
      <c r="CF308" s="245"/>
      <c r="CG308" s="245"/>
      <c r="CH308" s="245"/>
      <c r="CI308" s="245"/>
      <c r="CJ308" s="245"/>
      <c r="CK308" s="245"/>
      <c r="CL308" s="81"/>
      <c r="CM308" s="245"/>
      <c r="CN308" s="245"/>
      <c r="CO308" s="245"/>
      <c r="CP308" s="245"/>
      <c r="CQ308" s="245"/>
      <c r="CR308" s="245"/>
      <c r="CS308" s="81"/>
      <c r="CT308" s="245"/>
      <c r="CU308" s="245"/>
      <c r="CV308" s="245"/>
      <c r="CW308" s="245"/>
      <c r="CX308" s="245"/>
      <c r="CY308" s="245"/>
      <c r="CZ308" s="81"/>
      <c r="DA308" s="245"/>
      <c r="DB308" s="245"/>
      <c r="DC308" s="245"/>
      <c r="DD308" s="245"/>
      <c r="DE308" s="245"/>
      <c r="DF308" s="245"/>
      <c r="DG308" s="81"/>
      <c r="DH308" s="245"/>
      <c r="DI308" s="245"/>
      <c r="DJ308" s="245"/>
      <c r="DK308" s="245"/>
      <c r="DL308" s="245"/>
      <c r="DM308" s="245"/>
      <c r="DN308" s="81"/>
      <c r="DO308" s="245"/>
      <c r="DP308" s="245"/>
      <c r="DQ308" s="245"/>
      <c r="DR308" s="245"/>
      <c r="DS308" s="245"/>
      <c r="DT308" s="245"/>
      <c r="DU308" s="81"/>
      <c r="DV308" s="245"/>
      <c r="DW308" s="245"/>
      <c r="DX308" s="245"/>
      <c r="DY308" s="245"/>
      <c r="DZ308" s="245"/>
      <c r="EA308" s="245"/>
      <c r="EB308" s="81"/>
      <c r="EC308" s="245"/>
      <c r="ED308" s="245"/>
      <c r="EE308" s="245"/>
      <c r="EF308" s="245"/>
      <c r="EG308" s="245"/>
      <c r="EH308" s="245"/>
      <c r="EI308" s="81"/>
      <c r="EJ308" s="47"/>
      <c r="EK308" s="47"/>
      <c r="EL308" s="47"/>
      <c r="EM308" s="47"/>
      <c r="EN308" s="47"/>
      <c r="EO308" s="47"/>
      <c r="EP308" s="47"/>
      <c r="EQ308" s="47"/>
      <c r="ER308" s="47"/>
      <c r="ES308" s="47"/>
      <c r="ET308" s="47"/>
      <c r="EU308" s="47"/>
      <c r="EV308" s="47"/>
      <c r="EW308" s="47"/>
      <c r="EX308" s="47"/>
      <c r="EY308" s="47"/>
      <c r="EZ308" s="47"/>
      <c r="FA308" s="47"/>
      <c r="FB308" s="47"/>
      <c r="FC308" s="47"/>
      <c r="FD308" s="47"/>
      <c r="FE308" s="47"/>
      <c r="FF308" s="47"/>
      <c r="FG308" s="47"/>
      <c r="FH308" s="47"/>
      <c r="FI308" s="47"/>
      <c r="FJ308" s="47"/>
      <c r="FK308" s="47"/>
      <c r="FL308" s="47"/>
      <c r="FM308" s="47"/>
      <c r="FN308" s="47"/>
      <c r="FO308" s="47"/>
      <c r="FP308" s="47"/>
      <c r="FQ308" s="47"/>
      <c r="FR308" s="47"/>
      <c r="FS308" s="47"/>
      <c r="FT308" s="47"/>
      <c r="FU308" s="47"/>
      <c r="FV308" s="47"/>
      <c r="FW308" s="47"/>
      <c r="FX308" s="47"/>
      <c r="FY308" s="47"/>
      <c r="FZ308" s="47"/>
      <c r="GA308" s="47"/>
      <c r="GB308" s="47"/>
      <c r="GC308" s="47"/>
      <c r="GD308" s="47"/>
      <c r="GE308" s="47"/>
    </row>
    <row r="309" spans="1:187" ht="10.5" customHeight="1">
      <c r="A309" s="43"/>
      <c r="B309" s="108"/>
      <c r="C309" s="108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80"/>
      <c r="U309" s="176"/>
      <c r="V309" s="176"/>
      <c r="W309" s="176"/>
      <c r="X309" s="176"/>
      <c r="Y309" s="176"/>
      <c r="Z309" s="176"/>
      <c r="AA309" s="80"/>
      <c r="AB309" s="176"/>
      <c r="AC309" s="176"/>
      <c r="AD309" s="176"/>
      <c r="AE309" s="176"/>
      <c r="AF309" s="176"/>
      <c r="AG309" s="176"/>
      <c r="AH309" s="80"/>
      <c r="AI309" s="176"/>
      <c r="AJ309" s="176"/>
      <c r="AK309" s="176"/>
      <c r="AL309" s="176"/>
      <c r="AM309" s="176"/>
      <c r="AN309" s="176"/>
      <c r="AO309" s="80"/>
      <c r="AP309" s="176"/>
      <c r="AQ309" s="176"/>
      <c r="AR309" s="176"/>
      <c r="AS309" s="176"/>
      <c r="AT309" s="176"/>
      <c r="AU309" s="176"/>
      <c r="AV309" s="80"/>
      <c r="AW309" s="176"/>
      <c r="AX309" s="176"/>
      <c r="AY309" s="176"/>
      <c r="AZ309" s="176"/>
      <c r="BA309" s="176"/>
      <c r="BB309" s="176"/>
      <c r="BC309" s="80"/>
      <c r="BD309" s="176"/>
      <c r="BE309" s="176"/>
      <c r="BF309" s="176"/>
      <c r="BG309" s="176"/>
      <c r="BH309" s="176"/>
      <c r="BI309" s="176"/>
      <c r="BJ309" s="80"/>
      <c r="BK309" s="176"/>
      <c r="BL309" s="176"/>
      <c r="BM309" s="176"/>
      <c r="BN309" s="176"/>
      <c r="BO309" s="176"/>
      <c r="BP309" s="176"/>
      <c r="BQ309" s="80"/>
      <c r="BR309" s="176"/>
      <c r="BS309" s="176"/>
      <c r="BT309" s="176"/>
      <c r="BU309" s="176"/>
      <c r="BV309" s="176"/>
      <c r="BW309" s="176"/>
      <c r="BX309" s="80"/>
      <c r="BY309" s="176"/>
      <c r="BZ309" s="176"/>
      <c r="CA309" s="176"/>
      <c r="CB309" s="176"/>
      <c r="CC309" s="176"/>
      <c r="CD309" s="176"/>
      <c r="CE309" s="80"/>
      <c r="CF309" s="176"/>
      <c r="CG309" s="176"/>
      <c r="CH309" s="176"/>
      <c r="CI309" s="176"/>
      <c r="CJ309" s="176"/>
      <c r="CK309" s="176"/>
      <c r="CL309" s="80"/>
      <c r="CM309" s="176"/>
      <c r="CN309" s="176"/>
      <c r="CO309" s="176"/>
      <c r="CP309" s="176"/>
      <c r="CQ309" s="176"/>
      <c r="CR309" s="176"/>
      <c r="CS309" s="80"/>
      <c r="CT309" s="176"/>
      <c r="CU309" s="176"/>
      <c r="CV309" s="176"/>
      <c r="CW309" s="176"/>
      <c r="CX309" s="176"/>
      <c r="CY309" s="176"/>
      <c r="CZ309" s="80"/>
      <c r="DA309" s="176"/>
      <c r="DB309" s="176"/>
      <c r="DC309" s="176"/>
      <c r="DD309" s="176"/>
      <c r="DE309" s="176"/>
      <c r="DF309" s="176"/>
      <c r="DG309" s="80"/>
      <c r="DH309" s="176"/>
      <c r="DI309" s="176"/>
      <c r="DJ309" s="176"/>
      <c r="DK309" s="176"/>
      <c r="DL309" s="176"/>
      <c r="DM309" s="176"/>
      <c r="DN309" s="80"/>
      <c r="DO309" s="176"/>
      <c r="DP309" s="176"/>
      <c r="DQ309" s="176"/>
      <c r="DR309" s="176"/>
      <c r="DS309" s="176"/>
      <c r="DT309" s="176"/>
      <c r="DU309" s="80"/>
      <c r="DV309" s="176"/>
      <c r="DW309" s="176"/>
      <c r="DX309" s="176"/>
      <c r="DY309" s="176"/>
      <c r="DZ309" s="176"/>
      <c r="EA309" s="176"/>
      <c r="EB309" s="80"/>
      <c r="EC309" s="176"/>
      <c r="ED309" s="176"/>
      <c r="EE309" s="176"/>
      <c r="EF309" s="176"/>
      <c r="EG309" s="176"/>
      <c r="EH309" s="176"/>
      <c r="EI309" s="80"/>
      <c r="EJ309" s="47"/>
      <c r="EK309" s="47"/>
      <c r="EL309" s="47"/>
      <c r="EM309" s="47"/>
      <c r="EN309" s="47"/>
      <c r="EO309" s="47"/>
      <c r="EP309" s="47"/>
      <c r="EQ309" s="47"/>
      <c r="ER309" s="47"/>
      <c r="ES309" s="47"/>
      <c r="ET309" s="47"/>
      <c r="EU309" s="47"/>
      <c r="EV309" s="47"/>
      <c r="EW309" s="47"/>
      <c r="EX309" s="47"/>
      <c r="EY309" s="47"/>
      <c r="EZ309" s="47"/>
      <c r="FA309" s="47"/>
      <c r="FB309" s="47"/>
      <c r="FC309" s="47"/>
      <c r="FD309" s="47"/>
      <c r="FE309" s="47"/>
      <c r="FF309" s="47"/>
      <c r="FG309" s="47"/>
      <c r="FH309" s="47"/>
      <c r="FI309" s="47"/>
      <c r="FJ309" s="47"/>
      <c r="FK309" s="47"/>
      <c r="FL309" s="47"/>
      <c r="FM309" s="47"/>
      <c r="FN309" s="47"/>
      <c r="FO309" s="47"/>
      <c r="FP309" s="47"/>
      <c r="FQ309" s="47"/>
      <c r="FR309" s="47"/>
      <c r="FS309" s="47"/>
      <c r="FT309" s="47"/>
      <c r="FU309" s="47"/>
      <c r="FV309" s="47"/>
      <c r="FW309" s="47"/>
      <c r="FX309" s="47"/>
      <c r="FY309" s="47"/>
      <c r="FZ309" s="47"/>
      <c r="GA309" s="47"/>
      <c r="GB309" s="47"/>
      <c r="GC309" s="47"/>
      <c r="GD309" s="47"/>
      <c r="GE309" s="47"/>
    </row>
    <row r="310" spans="1:187" ht="10.5" customHeight="1">
      <c r="A310" s="43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43"/>
      <c r="U310" s="108"/>
      <c r="V310" s="108"/>
      <c r="W310" s="108"/>
      <c r="X310" s="108"/>
      <c r="Y310" s="108"/>
      <c r="Z310" s="108"/>
      <c r="AA310" s="43"/>
      <c r="AB310" s="108"/>
      <c r="AC310" s="108"/>
      <c r="AD310" s="108"/>
      <c r="AE310" s="108"/>
      <c r="AF310" s="108"/>
      <c r="AG310" s="108"/>
      <c r="AH310" s="43"/>
      <c r="AI310" s="108"/>
      <c r="AJ310" s="108"/>
      <c r="AK310" s="108"/>
      <c r="AL310" s="108"/>
      <c r="AM310" s="108"/>
      <c r="AN310" s="108"/>
      <c r="AO310" s="43"/>
      <c r="AP310" s="108"/>
      <c r="AQ310" s="108"/>
      <c r="AR310" s="108"/>
      <c r="AS310" s="108"/>
      <c r="AT310" s="108"/>
      <c r="AU310" s="108"/>
      <c r="AV310" s="43"/>
      <c r="AW310" s="108"/>
      <c r="AX310" s="108"/>
      <c r="AY310" s="108"/>
      <c r="AZ310" s="108"/>
      <c r="BA310" s="108"/>
      <c r="BB310" s="108"/>
      <c r="BC310" s="43"/>
      <c r="BD310" s="108"/>
      <c r="BE310" s="108"/>
      <c r="BF310" s="108"/>
      <c r="BG310" s="108"/>
      <c r="BH310" s="108"/>
      <c r="BI310" s="108"/>
      <c r="BJ310" s="43"/>
      <c r="BK310" s="108"/>
      <c r="BL310" s="108"/>
      <c r="BM310" s="108"/>
      <c r="BN310" s="108"/>
      <c r="BO310" s="108"/>
      <c r="BP310" s="108"/>
      <c r="BQ310" s="43"/>
      <c r="BR310" s="108"/>
      <c r="BS310" s="108"/>
      <c r="BT310" s="108"/>
      <c r="BU310" s="108"/>
      <c r="BV310" s="108"/>
      <c r="BW310" s="108"/>
      <c r="BX310" s="43"/>
      <c r="BY310" s="108"/>
      <c r="BZ310" s="108"/>
      <c r="CA310" s="108"/>
      <c r="CB310" s="108"/>
      <c r="CC310" s="108"/>
      <c r="CD310" s="108"/>
      <c r="CE310" s="43"/>
      <c r="CF310" s="108"/>
      <c r="CG310" s="108"/>
      <c r="CH310" s="108"/>
      <c r="CI310" s="108"/>
      <c r="CJ310" s="108"/>
      <c r="CK310" s="108"/>
      <c r="CL310" s="43"/>
      <c r="CM310" s="108"/>
      <c r="CN310" s="108"/>
      <c r="CO310" s="108"/>
      <c r="CP310" s="108"/>
      <c r="CQ310" s="108"/>
      <c r="CR310" s="108"/>
      <c r="CS310" s="43"/>
      <c r="CT310" s="108"/>
      <c r="CU310" s="108"/>
      <c r="CV310" s="108"/>
      <c r="CW310" s="108"/>
      <c r="CX310" s="108"/>
      <c r="CY310" s="108"/>
      <c r="CZ310" s="43"/>
      <c r="DA310" s="108"/>
      <c r="DB310" s="108"/>
      <c r="DC310" s="108"/>
      <c r="DD310" s="108"/>
      <c r="DE310" s="108"/>
      <c r="DF310" s="108"/>
      <c r="DG310" s="43"/>
      <c r="DH310" s="108"/>
      <c r="DI310" s="108"/>
      <c r="DJ310" s="108"/>
      <c r="DK310" s="108"/>
      <c r="DL310" s="108"/>
      <c r="DM310" s="108"/>
      <c r="DN310" s="43"/>
      <c r="DO310" s="108"/>
      <c r="DP310" s="108"/>
      <c r="DQ310" s="108"/>
      <c r="DR310" s="108"/>
      <c r="DS310" s="108"/>
      <c r="DT310" s="108"/>
      <c r="DU310" s="43"/>
      <c r="DV310" s="108"/>
      <c r="DW310" s="108"/>
      <c r="DX310" s="108"/>
      <c r="DY310" s="108"/>
      <c r="DZ310" s="108"/>
      <c r="EA310" s="108"/>
      <c r="EB310" s="43"/>
      <c r="EC310" s="108"/>
      <c r="ED310" s="108"/>
      <c r="EE310" s="108"/>
      <c r="EF310" s="108"/>
      <c r="EG310" s="108"/>
      <c r="EH310" s="108"/>
      <c r="EI310" s="43"/>
      <c r="EJ310" s="47"/>
      <c r="EK310" s="47"/>
      <c r="EL310" s="47"/>
      <c r="EM310" s="47"/>
      <c r="EN310" s="47"/>
      <c r="EO310" s="47"/>
      <c r="EP310" s="47"/>
      <c r="EQ310" s="47"/>
      <c r="ER310" s="47"/>
      <c r="ES310" s="47"/>
      <c r="ET310" s="47"/>
      <c r="EU310" s="47"/>
      <c r="EV310" s="47"/>
      <c r="EW310" s="47"/>
      <c r="EX310" s="47"/>
      <c r="EY310" s="47"/>
      <c r="EZ310" s="47"/>
      <c r="FA310" s="47"/>
      <c r="FB310" s="47"/>
      <c r="FC310" s="47"/>
      <c r="FD310" s="47"/>
      <c r="FE310" s="47"/>
      <c r="FF310" s="47"/>
      <c r="FG310" s="47"/>
      <c r="FH310" s="47"/>
      <c r="FI310" s="47"/>
      <c r="FJ310" s="47"/>
      <c r="FK310" s="47"/>
      <c r="FL310" s="47"/>
      <c r="FM310" s="47"/>
      <c r="FN310" s="47"/>
      <c r="FO310" s="47"/>
      <c r="FP310" s="47"/>
      <c r="FQ310" s="47"/>
      <c r="FR310" s="47"/>
      <c r="FS310" s="47"/>
      <c r="FT310" s="47"/>
      <c r="FU310" s="47"/>
      <c r="FV310" s="47"/>
      <c r="FW310" s="47"/>
      <c r="FX310" s="47"/>
      <c r="FY310" s="47"/>
      <c r="FZ310" s="47"/>
      <c r="GA310" s="47"/>
      <c r="GB310" s="47"/>
      <c r="GC310" s="47"/>
      <c r="GD310" s="47"/>
      <c r="GE310" s="47"/>
    </row>
    <row r="311" spans="1:187" ht="10.5" customHeight="1">
      <c r="A311" s="43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43"/>
      <c r="U311" s="108"/>
      <c r="V311" s="108"/>
      <c r="W311" s="108"/>
      <c r="X311" s="108"/>
      <c r="Y311" s="108"/>
      <c r="Z311" s="108"/>
      <c r="AA311" s="43"/>
      <c r="AB311" s="108"/>
      <c r="AC311" s="108"/>
      <c r="AD311" s="108"/>
      <c r="AE311" s="108"/>
      <c r="AF311" s="108"/>
      <c r="AG311" s="108"/>
      <c r="AH311" s="43"/>
      <c r="AI311" s="108"/>
      <c r="AJ311" s="108"/>
      <c r="AK311" s="108"/>
      <c r="AL311" s="108"/>
      <c r="AM311" s="108"/>
      <c r="AN311" s="108"/>
      <c r="AO311" s="43"/>
      <c r="AP311" s="108"/>
      <c r="AQ311" s="108"/>
      <c r="AR311" s="108"/>
      <c r="AS311" s="108"/>
      <c r="AT311" s="108"/>
      <c r="AU311" s="108"/>
      <c r="AV311" s="43"/>
      <c r="AW311" s="108"/>
      <c r="AX311" s="108"/>
      <c r="AY311" s="108"/>
      <c r="AZ311" s="108"/>
      <c r="BA311" s="108"/>
      <c r="BB311" s="108"/>
      <c r="BC311" s="43"/>
      <c r="BD311" s="108"/>
      <c r="BE311" s="108"/>
      <c r="BF311" s="108"/>
      <c r="BG311" s="108"/>
      <c r="BH311" s="108"/>
      <c r="BI311" s="108"/>
      <c r="BJ311" s="43"/>
      <c r="BK311" s="108"/>
      <c r="BL311" s="108"/>
      <c r="BM311" s="108"/>
      <c r="BN311" s="108"/>
      <c r="BO311" s="108"/>
      <c r="BP311" s="108"/>
      <c r="BQ311" s="43"/>
      <c r="BR311" s="108"/>
      <c r="BS311" s="108"/>
      <c r="BT311" s="108"/>
      <c r="BU311" s="108"/>
      <c r="BV311" s="108"/>
      <c r="BW311" s="108"/>
      <c r="BX311" s="43"/>
      <c r="BY311" s="108"/>
      <c r="BZ311" s="108"/>
      <c r="CA311" s="108"/>
      <c r="CB311" s="108"/>
      <c r="CC311" s="108"/>
      <c r="CD311" s="108"/>
      <c r="CE311" s="43"/>
      <c r="CF311" s="108"/>
      <c r="CG311" s="108"/>
      <c r="CH311" s="108"/>
      <c r="CI311" s="108"/>
      <c r="CJ311" s="108"/>
      <c r="CK311" s="108"/>
      <c r="CL311" s="43"/>
      <c r="CM311" s="108"/>
      <c r="CN311" s="108"/>
      <c r="CO311" s="108"/>
      <c r="CP311" s="108"/>
      <c r="CQ311" s="108"/>
      <c r="CR311" s="108"/>
      <c r="CS311" s="43"/>
      <c r="CT311" s="108"/>
      <c r="CU311" s="108"/>
      <c r="CV311" s="108"/>
      <c r="CW311" s="108"/>
      <c r="CX311" s="108"/>
      <c r="CY311" s="108"/>
      <c r="CZ311" s="43"/>
      <c r="DA311" s="108"/>
      <c r="DB311" s="108"/>
      <c r="DC311" s="108"/>
      <c r="DD311" s="108"/>
      <c r="DE311" s="108"/>
      <c r="DF311" s="108"/>
      <c r="DG311" s="43"/>
      <c r="DH311" s="108"/>
      <c r="DI311" s="108"/>
      <c r="DJ311" s="108"/>
      <c r="DK311" s="108"/>
      <c r="DL311" s="108"/>
      <c r="DM311" s="108"/>
      <c r="DN311" s="43"/>
      <c r="DO311" s="108"/>
      <c r="DP311" s="108"/>
      <c r="DQ311" s="108"/>
      <c r="DR311" s="108"/>
      <c r="DS311" s="108"/>
      <c r="DT311" s="108"/>
      <c r="DU311" s="43"/>
      <c r="DV311" s="108"/>
      <c r="DW311" s="108"/>
      <c r="DX311" s="108"/>
      <c r="DY311" s="108"/>
      <c r="DZ311" s="108"/>
      <c r="EA311" s="108"/>
      <c r="EB311" s="43"/>
      <c r="EC311" s="108"/>
      <c r="ED311" s="108"/>
      <c r="EE311" s="108"/>
      <c r="EF311" s="108"/>
      <c r="EG311" s="108"/>
      <c r="EH311" s="108"/>
      <c r="EI311" s="43"/>
      <c r="EJ311" s="47"/>
      <c r="EK311" s="47"/>
      <c r="EL311" s="47"/>
      <c r="EM311" s="47"/>
      <c r="EN311" s="47"/>
      <c r="EO311" s="47"/>
      <c r="EP311" s="47"/>
      <c r="EQ311" s="47"/>
      <c r="ER311" s="47"/>
      <c r="ES311" s="47"/>
      <c r="ET311" s="47"/>
      <c r="EU311" s="47"/>
      <c r="EV311" s="47"/>
      <c r="EW311" s="47"/>
      <c r="EX311" s="47"/>
      <c r="EY311" s="47"/>
      <c r="EZ311" s="47"/>
      <c r="FA311" s="47"/>
      <c r="FB311" s="47"/>
      <c r="FC311" s="47"/>
      <c r="FD311" s="47"/>
      <c r="FE311" s="47"/>
      <c r="FF311" s="47"/>
      <c r="FG311" s="47"/>
      <c r="FH311" s="47"/>
      <c r="FI311" s="47"/>
      <c r="FJ311" s="47"/>
      <c r="FK311" s="47"/>
      <c r="FL311" s="47"/>
      <c r="FM311" s="47"/>
      <c r="FN311" s="47"/>
      <c r="FO311" s="47"/>
      <c r="FP311" s="47"/>
      <c r="FQ311" s="47"/>
      <c r="FR311" s="47"/>
      <c r="FS311" s="47"/>
      <c r="FT311" s="47"/>
      <c r="FU311" s="47"/>
      <c r="FV311" s="47"/>
      <c r="FW311" s="47"/>
      <c r="FX311" s="47"/>
      <c r="FY311" s="47"/>
      <c r="FZ311" s="47"/>
      <c r="GA311" s="47"/>
      <c r="GB311" s="47"/>
      <c r="GC311" s="47"/>
      <c r="GD311" s="47"/>
      <c r="GE311" s="47"/>
    </row>
    <row r="312" spans="1:187" ht="10.5" customHeight="1">
      <c r="A312" s="43"/>
      <c r="B312" s="108"/>
      <c r="C312" s="108"/>
      <c r="D312" s="108"/>
      <c r="E312" s="217"/>
      <c r="F312" s="21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43"/>
      <c r="U312" s="108"/>
      <c r="V312" s="108"/>
      <c r="W312" s="108"/>
      <c r="X312" s="108"/>
      <c r="Y312" s="108"/>
      <c r="Z312" s="108"/>
      <c r="AA312" s="43"/>
      <c r="AB312" s="108"/>
      <c r="AC312" s="108"/>
      <c r="AD312" s="108"/>
      <c r="AE312" s="108"/>
      <c r="AF312" s="108"/>
      <c r="AG312" s="108"/>
      <c r="AH312" s="43"/>
      <c r="AI312" s="108"/>
      <c r="AJ312" s="108"/>
      <c r="AK312" s="108"/>
      <c r="AL312" s="108"/>
      <c r="AM312" s="108"/>
      <c r="AN312" s="108"/>
      <c r="AO312" s="43"/>
      <c r="AP312" s="108"/>
      <c r="AQ312" s="108"/>
      <c r="AR312" s="108"/>
      <c r="AS312" s="108"/>
      <c r="AT312" s="108"/>
      <c r="AU312" s="108"/>
      <c r="AV312" s="43"/>
      <c r="AW312" s="108"/>
      <c r="AX312" s="108"/>
      <c r="AY312" s="108"/>
      <c r="AZ312" s="108"/>
      <c r="BA312" s="108"/>
      <c r="BB312" s="108"/>
      <c r="BC312" s="43"/>
      <c r="BD312" s="108"/>
      <c r="BE312" s="108"/>
      <c r="BF312" s="108"/>
      <c r="BG312" s="108"/>
      <c r="BH312" s="108"/>
      <c r="BI312" s="108"/>
      <c r="BJ312" s="43"/>
      <c r="BK312" s="108"/>
      <c r="BL312" s="108"/>
      <c r="BM312" s="108"/>
      <c r="BN312" s="108"/>
      <c r="BO312" s="108"/>
      <c r="BP312" s="108"/>
      <c r="BQ312" s="43"/>
      <c r="BR312" s="108"/>
      <c r="BS312" s="108"/>
      <c r="BT312" s="108"/>
      <c r="BU312" s="108"/>
      <c r="BV312" s="108"/>
      <c r="BW312" s="108"/>
      <c r="BX312" s="43"/>
      <c r="BY312" s="108"/>
      <c r="BZ312" s="108"/>
      <c r="CA312" s="108"/>
      <c r="CB312" s="108"/>
      <c r="CC312" s="108"/>
      <c r="CD312" s="108"/>
      <c r="CE312" s="43"/>
      <c r="CF312" s="108"/>
      <c r="CG312" s="108"/>
      <c r="CH312" s="108"/>
      <c r="CI312" s="108"/>
      <c r="CJ312" s="108"/>
      <c r="CK312" s="108"/>
      <c r="CL312" s="43"/>
      <c r="CM312" s="108"/>
      <c r="CN312" s="108"/>
      <c r="CO312" s="108"/>
      <c r="CP312" s="108"/>
      <c r="CQ312" s="108"/>
      <c r="CR312" s="108"/>
      <c r="CS312" s="43"/>
      <c r="CT312" s="108"/>
      <c r="CU312" s="108"/>
      <c r="CV312" s="108"/>
      <c r="CW312" s="108"/>
      <c r="CX312" s="108"/>
      <c r="CY312" s="108"/>
      <c r="CZ312" s="43"/>
      <c r="DA312" s="108"/>
      <c r="DB312" s="108"/>
      <c r="DC312" s="108"/>
      <c r="DD312" s="108"/>
      <c r="DE312" s="108"/>
      <c r="DF312" s="108"/>
      <c r="DG312" s="43"/>
      <c r="DH312" s="108"/>
      <c r="DI312" s="108"/>
      <c r="DJ312" s="108"/>
      <c r="DK312" s="108"/>
      <c r="DL312" s="108"/>
      <c r="DM312" s="108"/>
      <c r="DN312" s="43"/>
      <c r="DO312" s="108"/>
      <c r="DP312" s="108"/>
      <c r="DQ312" s="108"/>
      <c r="DR312" s="108"/>
      <c r="DS312" s="108"/>
      <c r="DT312" s="108"/>
      <c r="DU312" s="43"/>
      <c r="DV312" s="108"/>
      <c r="DW312" s="108"/>
      <c r="DX312" s="108"/>
      <c r="DY312" s="108"/>
      <c r="DZ312" s="108"/>
      <c r="EA312" s="108"/>
      <c r="EB312" s="43"/>
      <c r="EC312" s="108"/>
      <c r="ED312" s="108"/>
      <c r="EE312" s="108"/>
      <c r="EF312" s="108"/>
      <c r="EG312" s="108"/>
      <c r="EH312" s="108"/>
      <c r="EI312" s="43"/>
      <c r="EJ312" s="47"/>
      <c r="EK312" s="47"/>
      <c r="EL312" s="47"/>
      <c r="EM312" s="47"/>
      <c r="EN312" s="47"/>
      <c r="EO312" s="47"/>
      <c r="EP312" s="47"/>
      <c r="EQ312" s="47"/>
      <c r="ER312" s="47"/>
      <c r="ES312" s="47"/>
      <c r="ET312" s="47"/>
      <c r="EU312" s="47"/>
      <c r="EV312" s="47"/>
      <c r="EW312" s="47"/>
      <c r="EX312" s="47"/>
      <c r="EY312" s="47"/>
      <c r="EZ312" s="47"/>
      <c r="FA312" s="47"/>
      <c r="FB312" s="47"/>
      <c r="FC312" s="47"/>
      <c r="FD312" s="47"/>
      <c r="FE312" s="47"/>
      <c r="FF312" s="47"/>
      <c r="FG312" s="47"/>
      <c r="FH312" s="47"/>
      <c r="FI312" s="47"/>
      <c r="FJ312" s="47"/>
      <c r="FK312" s="47"/>
      <c r="FL312" s="47"/>
      <c r="FM312" s="47"/>
      <c r="FN312" s="47"/>
      <c r="FO312" s="47"/>
      <c r="FP312" s="47"/>
      <c r="FQ312" s="47"/>
      <c r="FR312" s="47"/>
      <c r="FS312" s="47"/>
      <c r="FT312" s="47"/>
      <c r="FU312" s="47"/>
      <c r="FV312" s="47"/>
      <c r="FW312" s="47"/>
      <c r="FX312" s="47"/>
      <c r="FY312" s="47"/>
      <c r="FZ312" s="47"/>
      <c r="GA312" s="47"/>
      <c r="GB312" s="47"/>
      <c r="GC312" s="47"/>
      <c r="GD312" s="47"/>
      <c r="GE312" s="47"/>
    </row>
    <row r="313" spans="1:187" ht="10.5" customHeight="1">
      <c r="A313" s="43"/>
      <c r="B313" s="108"/>
      <c r="C313" s="108"/>
      <c r="D313" s="931"/>
      <c r="E313" s="931"/>
      <c r="F313" s="931"/>
      <c r="G313" s="931"/>
      <c r="H313" s="931"/>
      <c r="I313" s="931"/>
      <c r="J313" s="931"/>
      <c r="K313" s="931"/>
      <c r="L313" s="931"/>
      <c r="M313" s="931"/>
      <c r="N313" s="931"/>
      <c r="O313" s="931"/>
      <c r="P313" s="931"/>
      <c r="Q313" s="931"/>
      <c r="R313" s="931"/>
      <c r="S313" s="931"/>
      <c r="T313" s="105"/>
      <c r="U313" s="931"/>
      <c r="V313" s="931"/>
      <c r="W313" s="931"/>
      <c r="X313" s="931"/>
      <c r="Y313" s="931"/>
      <c r="Z313" s="931"/>
      <c r="AA313" s="105"/>
      <c r="AB313" s="931"/>
      <c r="AC313" s="931"/>
      <c r="AD313" s="931"/>
      <c r="AE313" s="931"/>
      <c r="AF313" s="931"/>
      <c r="AG313" s="931"/>
      <c r="AH313" s="105"/>
      <c r="AI313" s="931"/>
      <c r="AJ313" s="931"/>
      <c r="AK313" s="931"/>
      <c r="AL313" s="931"/>
      <c r="AM313" s="931"/>
      <c r="AN313" s="931"/>
      <c r="AO313" s="105"/>
      <c r="AP313" s="931"/>
      <c r="AQ313" s="931"/>
      <c r="AR313" s="931"/>
      <c r="AS313" s="931"/>
      <c r="AT313" s="931"/>
      <c r="AU313" s="931"/>
      <c r="AV313" s="105"/>
      <c r="AW313" s="931"/>
      <c r="AX313" s="931"/>
      <c r="AY313" s="931"/>
      <c r="AZ313" s="931"/>
      <c r="BA313" s="931"/>
      <c r="BB313" s="931"/>
      <c r="BC313" s="105"/>
      <c r="BD313" s="931"/>
      <c r="BE313" s="931"/>
      <c r="BF313" s="931"/>
      <c r="BG313" s="931"/>
      <c r="BH313" s="931"/>
      <c r="BI313" s="931"/>
      <c r="BJ313" s="105"/>
      <c r="BK313" s="931"/>
      <c r="BL313" s="931"/>
      <c r="BM313" s="931"/>
      <c r="BN313" s="931"/>
      <c r="BO313" s="931"/>
      <c r="BP313" s="931"/>
      <c r="BQ313" s="105"/>
      <c r="BR313" s="931"/>
      <c r="BS313" s="931"/>
      <c r="BT313" s="931"/>
      <c r="BU313" s="931"/>
      <c r="BV313" s="931"/>
      <c r="BW313" s="931"/>
      <c r="BX313" s="105"/>
      <c r="BY313" s="931"/>
      <c r="BZ313" s="931"/>
      <c r="CA313" s="931"/>
      <c r="CB313" s="931"/>
      <c r="CC313" s="931"/>
      <c r="CD313" s="931"/>
      <c r="CE313" s="105"/>
      <c r="CF313" s="931"/>
      <c r="CG313" s="931"/>
      <c r="CH313" s="931"/>
      <c r="CI313" s="931"/>
      <c r="CJ313" s="931"/>
      <c r="CK313" s="931"/>
      <c r="CL313" s="105"/>
      <c r="CM313" s="931"/>
      <c r="CN313" s="931"/>
      <c r="CO313" s="931"/>
      <c r="CP313" s="931"/>
      <c r="CQ313" s="931"/>
      <c r="CR313" s="931"/>
      <c r="CS313" s="105"/>
      <c r="CT313" s="931"/>
      <c r="CU313" s="931"/>
      <c r="CV313" s="931"/>
      <c r="CW313" s="931"/>
      <c r="CX313" s="931"/>
      <c r="CY313" s="931"/>
      <c r="CZ313" s="105"/>
      <c r="DA313" s="931"/>
      <c r="DB313" s="931"/>
      <c r="DC313" s="931"/>
      <c r="DD313" s="931"/>
      <c r="DE313" s="931"/>
      <c r="DF313" s="931"/>
      <c r="DG313" s="105"/>
      <c r="DH313" s="931"/>
      <c r="DI313" s="931"/>
      <c r="DJ313" s="931"/>
      <c r="DK313" s="931"/>
      <c r="DL313" s="931"/>
      <c r="DM313" s="931"/>
      <c r="DN313" s="105"/>
      <c r="DO313" s="931"/>
      <c r="DP313" s="931"/>
      <c r="DQ313" s="931"/>
      <c r="DR313" s="931"/>
      <c r="DS313" s="931"/>
      <c r="DT313" s="931"/>
      <c r="DU313" s="105"/>
      <c r="DV313" s="931"/>
      <c r="DW313" s="931"/>
      <c r="DX313" s="931"/>
      <c r="DY313" s="931"/>
      <c r="DZ313" s="931"/>
      <c r="EA313" s="931"/>
      <c r="EB313" s="105"/>
      <c r="EC313" s="931"/>
      <c r="ED313" s="931"/>
      <c r="EE313" s="931"/>
      <c r="EF313" s="931"/>
      <c r="EG313" s="931"/>
      <c r="EH313" s="931"/>
      <c r="EI313" s="105"/>
      <c r="EJ313" s="47"/>
      <c r="EK313" s="47"/>
      <c r="EL313" s="47"/>
      <c r="EM313" s="47"/>
      <c r="EN313" s="47"/>
      <c r="EO313" s="47"/>
      <c r="EP313" s="47"/>
      <c r="EQ313" s="47"/>
      <c r="ER313" s="47"/>
      <c r="ES313" s="47"/>
      <c r="ET313" s="47"/>
      <c r="EU313" s="47"/>
      <c r="EV313" s="47"/>
      <c r="EW313" s="47"/>
      <c r="EX313" s="47"/>
      <c r="EY313" s="47"/>
      <c r="EZ313" s="47"/>
      <c r="FA313" s="47"/>
      <c r="FB313" s="47"/>
      <c r="FC313" s="47"/>
      <c r="FD313" s="47"/>
      <c r="FE313" s="47"/>
      <c r="FF313" s="47"/>
      <c r="FG313" s="47"/>
      <c r="FH313" s="47"/>
      <c r="FI313" s="47"/>
      <c r="FJ313" s="47"/>
      <c r="FK313" s="47"/>
      <c r="FL313" s="47"/>
      <c r="FM313" s="47"/>
      <c r="FN313" s="47"/>
      <c r="FO313" s="47"/>
      <c r="FP313" s="47"/>
      <c r="FQ313" s="47"/>
      <c r="FR313" s="47"/>
      <c r="FS313" s="47"/>
      <c r="FT313" s="47"/>
      <c r="FU313" s="47"/>
      <c r="FV313" s="47"/>
      <c r="FW313" s="47"/>
      <c r="FX313" s="47"/>
      <c r="FY313" s="47"/>
      <c r="FZ313" s="47"/>
      <c r="GA313" s="47"/>
      <c r="GB313" s="47"/>
      <c r="GC313" s="47"/>
      <c r="GD313" s="47"/>
      <c r="GE313" s="47"/>
    </row>
    <row r="314" spans="1:187" ht="10.5" customHeight="1">
      <c r="A314" s="43"/>
      <c r="B314" s="108"/>
      <c r="C314" s="108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80"/>
      <c r="U314" s="176"/>
      <c r="V314" s="176"/>
      <c r="W314" s="176"/>
      <c r="X314" s="176"/>
      <c r="Y314" s="176"/>
      <c r="Z314" s="176"/>
      <c r="AA314" s="80"/>
      <c r="AB314" s="176"/>
      <c r="AC314" s="176"/>
      <c r="AD314" s="176"/>
      <c r="AE314" s="176"/>
      <c r="AF314" s="176"/>
      <c r="AG314" s="176"/>
      <c r="AH314" s="80"/>
      <c r="AI314" s="176"/>
      <c r="AJ314" s="176"/>
      <c r="AK314" s="176"/>
      <c r="AL314" s="176"/>
      <c r="AM314" s="176"/>
      <c r="AN314" s="176"/>
      <c r="AO314" s="80"/>
      <c r="AP314" s="176"/>
      <c r="AQ314" s="176"/>
      <c r="AR314" s="176"/>
      <c r="AS314" s="176"/>
      <c r="AT314" s="176"/>
      <c r="AU314" s="176"/>
      <c r="AV314" s="80"/>
      <c r="AW314" s="176"/>
      <c r="AX314" s="176"/>
      <c r="AY314" s="176"/>
      <c r="AZ314" s="176"/>
      <c r="BA314" s="176"/>
      <c r="BB314" s="176"/>
      <c r="BC314" s="80"/>
      <c r="BD314" s="176"/>
      <c r="BE314" s="176"/>
      <c r="BF314" s="176"/>
      <c r="BG314" s="176"/>
      <c r="BH314" s="176"/>
      <c r="BI314" s="176"/>
      <c r="BJ314" s="80"/>
      <c r="BK314" s="176"/>
      <c r="BL314" s="176"/>
      <c r="BM314" s="176"/>
      <c r="BN314" s="176"/>
      <c r="BO314" s="176"/>
      <c r="BP314" s="176"/>
      <c r="BQ314" s="80"/>
      <c r="BR314" s="176"/>
      <c r="BS314" s="176"/>
      <c r="BT314" s="176"/>
      <c r="BU314" s="176"/>
      <c r="BV314" s="176"/>
      <c r="BW314" s="176"/>
      <c r="BX314" s="80"/>
      <c r="BY314" s="176"/>
      <c r="BZ314" s="176"/>
      <c r="CA314" s="176"/>
      <c r="CB314" s="176"/>
      <c r="CC314" s="176"/>
      <c r="CD314" s="176"/>
      <c r="CE314" s="80"/>
      <c r="CF314" s="176"/>
      <c r="CG314" s="176"/>
      <c r="CH314" s="176"/>
      <c r="CI314" s="176"/>
      <c r="CJ314" s="176"/>
      <c r="CK314" s="176"/>
      <c r="CL314" s="80"/>
      <c r="CM314" s="176"/>
      <c r="CN314" s="176"/>
      <c r="CO314" s="176"/>
      <c r="CP314" s="176"/>
      <c r="CQ314" s="176"/>
      <c r="CR314" s="176"/>
      <c r="CS314" s="80"/>
      <c r="CT314" s="176"/>
      <c r="CU314" s="176"/>
      <c r="CV314" s="176"/>
      <c r="CW314" s="176"/>
      <c r="CX314" s="176"/>
      <c r="CY314" s="176"/>
      <c r="CZ314" s="80"/>
      <c r="DA314" s="176"/>
      <c r="DB314" s="176"/>
      <c r="DC314" s="176"/>
      <c r="DD314" s="176"/>
      <c r="DE314" s="176"/>
      <c r="DF314" s="176"/>
      <c r="DG314" s="80"/>
      <c r="DH314" s="176"/>
      <c r="DI314" s="176"/>
      <c r="DJ314" s="176"/>
      <c r="DK314" s="176"/>
      <c r="DL314" s="176"/>
      <c r="DM314" s="176"/>
      <c r="DN314" s="80"/>
      <c r="DO314" s="176"/>
      <c r="DP314" s="176"/>
      <c r="DQ314" s="176"/>
      <c r="DR314" s="176"/>
      <c r="DS314" s="176"/>
      <c r="DT314" s="176"/>
      <c r="DU314" s="80"/>
      <c r="DV314" s="176"/>
      <c r="DW314" s="176"/>
      <c r="DX314" s="176"/>
      <c r="DY314" s="176"/>
      <c r="DZ314" s="176"/>
      <c r="EA314" s="176"/>
      <c r="EB314" s="80"/>
      <c r="EC314" s="176"/>
      <c r="ED314" s="176"/>
      <c r="EE314" s="176"/>
      <c r="EF314" s="176"/>
      <c r="EG314" s="176"/>
      <c r="EH314" s="176"/>
      <c r="EI314" s="80"/>
      <c r="EJ314" s="47"/>
      <c r="EK314" s="47"/>
      <c r="EL314" s="47"/>
      <c r="EM314" s="47"/>
      <c r="EN314" s="47"/>
      <c r="EO314" s="47"/>
      <c r="EP314" s="47"/>
      <c r="EQ314" s="47"/>
      <c r="ER314" s="47"/>
      <c r="ES314" s="47"/>
      <c r="ET314" s="47"/>
      <c r="EU314" s="47"/>
      <c r="EV314" s="47"/>
      <c r="EW314" s="47"/>
      <c r="EX314" s="47"/>
      <c r="EY314" s="47"/>
      <c r="EZ314" s="47"/>
      <c r="FA314" s="47"/>
      <c r="FB314" s="47"/>
      <c r="FC314" s="47"/>
      <c r="FD314" s="47"/>
      <c r="FE314" s="47"/>
      <c r="FF314" s="47"/>
      <c r="FG314" s="47"/>
      <c r="FH314" s="47"/>
      <c r="FI314" s="47"/>
      <c r="FJ314" s="47"/>
      <c r="FK314" s="47"/>
      <c r="FL314" s="47"/>
      <c r="FM314" s="47"/>
      <c r="FN314" s="47"/>
      <c r="FO314" s="47"/>
      <c r="FP314" s="47"/>
      <c r="FQ314" s="47"/>
      <c r="FR314" s="47"/>
      <c r="FS314" s="47"/>
      <c r="FT314" s="47"/>
      <c r="FU314" s="47"/>
      <c r="FV314" s="47"/>
      <c r="FW314" s="47"/>
      <c r="FX314" s="47"/>
      <c r="FY314" s="47"/>
      <c r="FZ314" s="47"/>
      <c r="GA314" s="47"/>
      <c r="GB314" s="47"/>
      <c r="GC314" s="47"/>
      <c r="GD314" s="47"/>
      <c r="GE314" s="47"/>
    </row>
    <row r="315" spans="1:187" ht="10.5" customHeight="1">
      <c r="A315" s="43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44"/>
      <c r="U315" s="135"/>
      <c r="V315" s="135"/>
      <c r="W315" s="135"/>
      <c r="X315" s="135"/>
      <c r="Y315" s="135"/>
      <c r="Z315" s="135"/>
      <c r="AA315" s="44"/>
      <c r="AB315" s="135"/>
      <c r="AC315" s="135"/>
      <c r="AD315" s="135"/>
      <c r="AE315" s="135"/>
      <c r="AF315" s="135"/>
      <c r="AG315" s="135"/>
      <c r="AH315" s="44"/>
      <c r="AI315" s="135"/>
      <c r="AJ315" s="135"/>
      <c r="AK315" s="135"/>
      <c r="AL315" s="135"/>
      <c r="AM315" s="135"/>
      <c r="AN315" s="135"/>
      <c r="AO315" s="44"/>
      <c r="AP315" s="135"/>
      <c r="AQ315" s="135"/>
      <c r="AR315" s="135"/>
      <c r="AS315" s="135"/>
      <c r="AT315" s="135"/>
      <c r="AU315" s="135"/>
      <c r="AV315" s="44"/>
      <c r="AW315" s="135"/>
      <c r="AX315" s="135"/>
      <c r="AY315" s="135"/>
      <c r="AZ315" s="135"/>
      <c r="BA315" s="135"/>
      <c r="BB315" s="135"/>
      <c r="BC315" s="44"/>
      <c r="BD315" s="135"/>
      <c r="BE315" s="135"/>
      <c r="BF315" s="135"/>
      <c r="BG315" s="135"/>
      <c r="BH315" s="135"/>
      <c r="BI315" s="135"/>
      <c r="BJ315" s="44"/>
      <c r="BK315" s="135"/>
      <c r="BL315" s="135"/>
      <c r="BM315" s="135"/>
      <c r="BN315" s="135"/>
      <c r="BO315" s="135"/>
      <c r="BP315" s="135"/>
      <c r="BQ315" s="44"/>
      <c r="BR315" s="135"/>
      <c r="BS315" s="135"/>
      <c r="BT315" s="135"/>
      <c r="BU315" s="135"/>
      <c r="BV315" s="135"/>
      <c r="BW315" s="135"/>
      <c r="BX315" s="44"/>
      <c r="BY315" s="135"/>
      <c r="BZ315" s="135"/>
      <c r="CA315" s="135"/>
      <c r="CB315" s="135"/>
      <c r="CC315" s="135"/>
      <c r="CD315" s="135"/>
      <c r="CE315" s="44"/>
      <c r="CF315" s="135"/>
      <c r="CG315" s="135"/>
      <c r="CH315" s="135"/>
      <c r="CI315" s="135"/>
      <c r="CJ315" s="135"/>
      <c r="CK315" s="135"/>
      <c r="CL315" s="44"/>
      <c r="CM315" s="135"/>
      <c r="CN315" s="135"/>
      <c r="CO315" s="135"/>
      <c r="CP315" s="135"/>
      <c r="CQ315" s="135"/>
      <c r="CR315" s="135"/>
      <c r="CS315" s="44"/>
      <c r="CT315" s="135"/>
      <c r="CU315" s="135"/>
      <c r="CV315" s="135"/>
      <c r="CW315" s="135"/>
      <c r="CX315" s="135"/>
      <c r="CY315" s="135"/>
      <c r="CZ315" s="44"/>
      <c r="DA315" s="135"/>
      <c r="DB315" s="135"/>
      <c r="DC315" s="135"/>
      <c r="DD315" s="135"/>
      <c r="DE315" s="135"/>
      <c r="DF315" s="135"/>
      <c r="DG315" s="44"/>
      <c r="DH315" s="135"/>
      <c r="DI315" s="135"/>
      <c r="DJ315" s="135"/>
      <c r="DK315" s="135"/>
      <c r="DL315" s="135"/>
      <c r="DM315" s="135"/>
      <c r="DN315" s="44"/>
      <c r="DO315" s="135"/>
      <c r="DP315" s="135"/>
      <c r="DQ315" s="135"/>
      <c r="DR315" s="135"/>
      <c r="DS315" s="135"/>
      <c r="DT315" s="135"/>
      <c r="DU315" s="44"/>
      <c r="DV315" s="135"/>
      <c r="DW315" s="135"/>
      <c r="DX315" s="135"/>
      <c r="DY315" s="135"/>
      <c r="DZ315" s="135"/>
      <c r="EA315" s="135"/>
      <c r="EB315" s="44"/>
      <c r="EC315" s="135"/>
      <c r="ED315" s="135"/>
      <c r="EE315" s="135"/>
      <c r="EF315" s="135"/>
      <c r="EG315" s="135"/>
      <c r="EH315" s="135"/>
      <c r="EI315" s="44"/>
      <c r="EJ315" s="47"/>
      <c r="EK315" s="47"/>
      <c r="EL315" s="47"/>
      <c r="EM315" s="47"/>
      <c r="EN315" s="47"/>
      <c r="EO315" s="47"/>
      <c r="EP315" s="47"/>
      <c r="EQ315" s="47"/>
      <c r="ER315" s="47"/>
      <c r="ES315" s="47"/>
      <c r="ET315" s="47"/>
      <c r="EU315" s="47"/>
      <c r="EV315" s="47"/>
      <c r="EW315" s="47"/>
      <c r="EX315" s="47"/>
      <c r="EY315" s="47"/>
      <c r="EZ315" s="47"/>
      <c r="FA315" s="47"/>
      <c r="FB315" s="47"/>
      <c r="FC315" s="47"/>
      <c r="FD315" s="47"/>
      <c r="FE315" s="47"/>
      <c r="FF315" s="47"/>
      <c r="FG315" s="47"/>
      <c r="FH315" s="47"/>
      <c r="FI315" s="47"/>
      <c r="FJ315" s="47"/>
      <c r="FK315" s="47"/>
      <c r="FL315" s="47"/>
      <c r="FM315" s="47"/>
      <c r="FN315" s="47"/>
      <c r="FO315" s="47"/>
      <c r="FP315" s="47"/>
      <c r="FQ315" s="47"/>
      <c r="FR315" s="47"/>
      <c r="FS315" s="47"/>
      <c r="FT315" s="47"/>
      <c r="FU315" s="47"/>
      <c r="FV315" s="47"/>
      <c r="FW315" s="47"/>
      <c r="FX315" s="47"/>
      <c r="FY315" s="47"/>
      <c r="FZ315" s="47"/>
      <c r="GA315" s="47"/>
      <c r="GB315" s="47"/>
      <c r="GC315" s="47"/>
      <c r="GD315" s="47"/>
      <c r="GE315" s="47"/>
    </row>
    <row r="316" spans="1:187" ht="10.5" customHeight="1">
      <c r="A316" s="43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43"/>
      <c r="U316" s="108"/>
      <c r="V316" s="108"/>
      <c r="W316" s="108"/>
      <c r="X316" s="108"/>
      <c r="Y316" s="108"/>
      <c r="Z316" s="108"/>
      <c r="AA316" s="43"/>
      <c r="AB316" s="108"/>
      <c r="AC316" s="108"/>
      <c r="AD316" s="108"/>
      <c r="AE316" s="108"/>
      <c r="AF316" s="108"/>
      <c r="AG316" s="108"/>
      <c r="AH316" s="43"/>
      <c r="AI316" s="108"/>
      <c r="AJ316" s="108"/>
      <c r="AK316" s="108"/>
      <c r="AL316" s="108"/>
      <c r="AM316" s="108"/>
      <c r="AN316" s="108"/>
      <c r="AO316" s="43"/>
      <c r="AP316" s="108"/>
      <c r="AQ316" s="108"/>
      <c r="AR316" s="108"/>
      <c r="AS316" s="108"/>
      <c r="AT316" s="108"/>
      <c r="AU316" s="108"/>
      <c r="AV316" s="43"/>
      <c r="AW316" s="108"/>
      <c r="AX316" s="108"/>
      <c r="AY316" s="108"/>
      <c r="AZ316" s="108"/>
      <c r="BA316" s="108"/>
      <c r="BB316" s="108"/>
      <c r="BC316" s="43"/>
      <c r="BD316" s="108"/>
      <c r="BE316" s="108"/>
      <c r="BF316" s="108"/>
      <c r="BG316" s="108"/>
      <c r="BH316" s="108"/>
      <c r="BI316" s="108"/>
      <c r="BJ316" s="43"/>
      <c r="BK316" s="108"/>
      <c r="BL316" s="108"/>
      <c r="BM316" s="108"/>
      <c r="BN316" s="108"/>
      <c r="BO316" s="108"/>
      <c r="BP316" s="108"/>
      <c r="BQ316" s="43"/>
      <c r="BR316" s="108"/>
      <c r="BS316" s="108"/>
      <c r="BT316" s="108"/>
      <c r="BU316" s="108"/>
      <c r="BV316" s="108"/>
      <c r="BW316" s="108"/>
      <c r="BX316" s="43"/>
      <c r="BY316" s="108"/>
      <c r="BZ316" s="108"/>
      <c r="CA316" s="108"/>
      <c r="CB316" s="108"/>
      <c r="CC316" s="108"/>
      <c r="CD316" s="108"/>
      <c r="CE316" s="43"/>
      <c r="CF316" s="108"/>
      <c r="CG316" s="108"/>
      <c r="CH316" s="108"/>
      <c r="CI316" s="108"/>
      <c r="CJ316" s="108"/>
      <c r="CK316" s="108"/>
      <c r="CL316" s="43"/>
      <c r="CM316" s="108"/>
      <c r="CN316" s="108"/>
      <c r="CO316" s="108"/>
      <c r="CP316" s="108"/>
      <c r="CQ316" s="108"/>
      <c r="CR316" s="108"/>
      <c r="CS316" s="43"/>
      <c r="CT316" s="108"/>
      <c r="CU316" s="108"/>
      <c r="CV316" s="108"/>
      <c r="CW316" s="108"/>
      <c r="CX316" s="108"/>
      <c r="CY316" s="108"/>
      <c r="CZ316" s="43"/>
      <c r="DA316" s="108"/>
      <c r="DB316" s="108"/>
      <c r="DC316" s="108"/>
      <c r="DD316" s="108"/>
      <c r="DE316" s="108"/>
      <c r="DF316" s="108"/>
      <c r="DG316" s="43"/>
      <c r="DH316" s="108"/>
      <c r="DI316" s="108"/>
      <c r="DJ316" s="108"/>
      <c r="DK316" s="108"/>
      <c r="DL316" s="108"/>
      <c r="DM316" s="108"/>
      <c r="DN316" s="43"/>
      <c r="DO316" s="108"/>
      <c r="DP316" s="108"/>
      <c r="DQ316" s="108"/>
      <c r="DR316" s="108"/>
      <c r="DS316" s="108"/>
      <c r="DT316" s="108"/>
      <c r="DU316" s="43"/>
      <c r="DV316" s="108"/>
      <c r="DW316" s="108"/>
      <c r="DX316" s="108"/>
      <c r="DY316" s="108"/>
      <c r="DZ316" s="108"/>
      <c r="EA316" s="108"/>
      <c r="EB316" s="43"/>
      <c r="EC316" s="108"/>
      <c r="ED316" s="108"/>
      <c r="EE316" s="108"/>
      <c r="EF316" s="108"/>
      <c r="EG316" s="108"/>
      <c r="EH316" s="108"/>
      <c r="EI316" s="43"/>
      <c r="EJ316" s="47"/>
      <c r="EK316" s="47"/>
      <c r="EL316" s="47"/>
      <c r="EM316" s="47"/>
      <c r="EN316" s="47"/>
      <c r="EO316" s="47"/>
      <c r="EP316" s="47"/>
      <c r="EQ316" s="47"/>
      <c r="ER316" s="47"/>
      <c r="ES316" s="47"/>
      <c r="ET316" s="47"/>
      <c r="EU316" s="47"/>
      <c r="EV316" s="47"/>
      <c r="EW316" s="47"/>
      <c r="EX316" s="47"/>
      <c r="EY316" s="47"/>
      <c r="EZ316" s="47"/>
      <c r="FA316" s="47"/>
      <c r="FB316" s="47"/>
      <c r="FC316" s="47"/>
      <c r="FD316" s="47"/>
      <c r="FE316" s="47"/>
      <c r="FF316" s="47"/>
      <c r="FG316" s="47"/>
      <c r="FH316" s="47"/>
      <c r="FI316" s="47"/>
      <c r="FJ316" s="47"/>
      <c r="FK316" s="47"/>
      <c r="FL316" s="47"/>
      <c r="FM316" s="47"/>
      <c r="FN316" s="47"/>
      <c r="FO316" s="47"/>
      <c r="FP316" s="47"/>
      <c r="FQ316" s="47"/>
      <c r="FR316" s="47"/>
      <c r="FS316" s="47"/>
      <c r="FT316" s="47"/>
      <c r="FU316" s="47"/>
      <c r="FV316" s="47"/>
      <c r="FW316" s="47"/>
      <c r="FX316" s="47"/>
      <c r="FY316" s="47"/>
      <c r="FZ316" s="47"/>
      <c r="GA316" s="47"/>
      <c r="GB316" s="47"/>
      <c r="GC316" s="47"/>
      <c r="GD316" s="47"/>
      <c r="GE316" s="47"/>
    </row>
    <row r="317" spans="1:187" ht="10.5" customHeight="1">
      <c r="A317" s="43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44"/>
      <c r="U317" s="135"/>
      <c r="V317" s="135"/>
      <c r="W317" s="135"/>
      <c r="X317" s="135"/>
      <c r="Y317" s="135"/>
      <c r="Z317" s="135"/>
      <c r="AA317" s="44"/>
      <c r="AB317" s="135"/>
      <c r="AC317" s="135"/>
      <c r="AD317" s="135"/>
      <c r="AE317" s="135"/>
      <c r="AF317" s="135"/>
      <c r="AG317" s="135"/>
      <c r="AH317" s="44"/>
      <c r="AI317" s="135"/>
      <c r="AJ317" s="135"/>
      <c r="AK317" s="135"/>
      <c r="AL317" s="135"/>
      <c r="AM317" s="135"/>
      <c r="AN317" s="135"/>
      <c r="AO317" s="44"/>
      <c r="AP317" s="135"/>
      <c r="AQ317" s="135"/>
      <c r="AR317" s="135"/>
      <c r="AS317" s="135"/>
      <c r="AT317" s="135"/>
      <c r="AU317" s="135"/>
      <c r="AV317" s="44"/>
      <c r="AW317" s="135"/>
      <c r="AX317" s="135"/>
      <c r="AY317" s="135"/>
      <c r="AZ317" s="135"/>
      <c r="BA317" s="135"/>
      <c r="BB317" s="135"/>
      <c r="BC317" s="44"/>
      <c r="BD317" s="135"/>
      <c r="BE317" s="135"/>
      <c r="BF317" s="135"/>
      <c r="BG317" s="135"/>
      <c r="BH317" s="135"/>
      <c r="BI317" s="135"/>
      <c r="BJ317" s="44"/>
      <c r="BK317" s="135"/>
      <c r="BL317" s="135"/>
      <c r="BM317" s="135"/>
      <c r="BN317" s="135"/>
      <c r="BO317" s="135"/>
      <c r="BP317" s="135"/>
      <c r="BQ317" s="44"/>
      <c r="BR317" s="135"/>
      <c r="BS317" s="135"/>
      <c r="BT317" s="135"/>
      <c r="BU317" s="135"/>
      <c r="BV317" s="135"/>
      <c r="BW317" s="135"/>
      <c r="BX317" s="44"/>
      <c r="BY317" s="135"/>
      <c r="BZ317" s="135"/>
      <c r="CA317" s="135"/>
      <c r="CB317" s="135"/>
      <c r="CC317" s="135"/>
      <c r="CD317" s="135"/>
      <c r="CE317" s="44"/>
      <c r="CF317" s="135"/>
      <c r="CG317" s="135"/>
      <c r="CH317" s="135"/>
      <c r="CI317" s="135"/>
      <c r="CJ317" s="135"/>
      <c r="CK317" s="135"/>
      <c r="CL317" s="44"/>
      <c r="CM317" s="135"/>
      <c r="CN317" s="135"/>
      <c r="CO317" s="135"/>
      <c r="CP317" s="135"/>
      <c r="CQ317" s="135"/>
      <c r="CR317" s="135"/>
      <c r="CS317" s="44"/>
      <c r="CT317" s="135"/>
      <c r="CU317" s="135"/>
      <c r="CV317" s="135"/>
      <c r="CW317" s="135"/>
      <c r="CX317" s="135"/>
      <c r="CY317" s="135"/>
      <c r="CZ317" s="44"/>
      <c r="DA317" s="135"/>
      <c r="DB317" s="135"/>
      <c r="DC317" s="135"/>
      <c r="DD317" s="135"/>
      <c r="DE317" s="135"/>
      <c r="DF317" s="135"/>
      <c r="DG317" s="44"/>
      <c r="DH317" s="135"/>
      <c r="DI317" s="135"/>
      <c r="DJ317" s="135"/>
      <c r="DK317" s="135"/>
      <c r="DL317" s="135"/>
      <c r="DM317" s="135"/>
      <c r="DN317" s="44"/>
      <c r="DO317" s="135"/>
      <c r="DP317" s="135"/>
      <c r="DQ317" s="135"/>
      <c r="DR317" s="135"/>
      <c r="DS317" s="135"/>
      <c r="DT317" s="135"/>
      <c r="DU317" s="44"/>
      <c r="DV317" s="135"/>
      <c r="DW317" s="135"/>
      <c r="DX317" s="135"/>
      <c r="DY317" s="135"/>
      <c r="DZ317" s="135"/>
      <c r="EA317" s="135"/>
      <c r="EB317" s="44"/>
      <c r="EC317" s="135"/>
      <c r="ED317" s="135"/>
      <c r="EE317" s="135"/>
      <c r="EF317" s="135"/>
      <c r="EG317" s="135"/>
      <c r="EH317" s="135"/>
      <c r="EI317" s="44"/>
      <c r="EJ317" s="47"/>
      <c r="EK317" s="47"/>
      <c r="EL317" s="47"/>
      <c r="EM317" s="47"/>
      <c r="EN317" s="47"/>
      <c r="EO317" s="47"/>
      <c r="EP317" s="47"/>
      <c r="EQ317" s="47"/>
      <c r="ER317" s="47"/>
      <c r="ES317" s="47"/>
      <c r="ET317" s="47"/>
      <c r="EU317" s="47"/>
      <c r="EV317" s="47"/>
      <c r="EW317" s="47"/>
      <c r="EX317" s="47"/>
      <c r="EY317" s="47"/>
      <c r="EZ317" s="47"/>
      <c r="FA317" s="47"/>
      <c r="FB317" s="47"/>
      <c r="FC317" s="47"/>
      <c r="FD317" s="47"/>
      <c r="FE317" s="47"/>
      <c r="FF317" s="47"/>
      <c r="FG317" s="47"/>
      <c r="FH317" s="47"/>
      <c r="FI317" s="47"/>
      <c r="FJ317" s="47"/>
      <c r="FK317" s="47"/>
      <c r="FL317" s="47"/>
      <c r="FM317" s="47"/>
      <c r="FN317" s="47"/>
      <c r="FO317" s="47"/>
      <c r="FP317" s="47"/>
      <c r="FQ317" s="47"/>
      <c r="FR317" s="47"/>
      <c r="FS317" s="47"/>
      <c r="FT317" s="47"/>
      <c r="FU317" s="47"/>
      <c r="FV317" s="47"/>
      <c r="FW317" s="47"/>
      <c r="FX317" s="47"/>
      <c r="FY317" s="47"/>
      <c r="FZ317" s="47"/>
      <c r="GA317" s="47"/>
      <c r="GB317" s="47"/>
      <c r="GC317" s="47"/>
      <c r="GD317" s="47"/>
      <c r="GE317" s="47"/>
    </row>
    <row r="318" spans="1:187" ht="10.5" customHeight="1">
      <c r="A318" s="43"/>
      <c r="B318" s="108"/>
      <c r="C318" s="108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44"/>
      <c r="U318" s="135"/>
      <c r="V318" s="135"/>
      <c r="W318" s="135"/>
      <c r="X318" s="135"/>
      <c r="Y318" s="135"/>
      <c r="Z318" s="135"/>
      <c r="AA318" s="44"/>
      <c r="AB318" s="135"/>
      <c r="AC318" s="135"/>
      <c r="AD318" s="135"/>
      <c r="AE318" s="135"/>
      <c r="AF318" s="135"/>
      <c r="AG318" s="135"/>
      <c r="AH318" s="44"/>
      <c r="AI318" s="135"/>
      <c r="AJ318" s="135"/>
      <c r="AK318" s="135"/>
      <c r="AL318" s="135"/>
      <c r="AM318" s="135"/>
      <c r="AN318" s="135"/>
      <c r="AO318" s="44"/>
      <c r="AP318" s="135"/>
      <c r="AQ318" s="135"/>
      <c r="AR318" s="135"/>
      <c r="AS318" s="135"/>
      <c r="AT318" s="135"/>
      <c r="AU318" s="135"/>
      <c r="AV318" s="44"/>
      <c r="AW318" s="135"/>
      <c r="AX318" s="135"/>
      <c r="AY318" s="135"/>
      <c r="AZ318" s="135"/>
      <c r="BA318" s="135"/>
      <c r="BB318" s="135"/>
      <c r="BC318" s="44"/>
      <c r="BD318" s="135"/>
      <c r="BE318" s="135"/>
      <c r="BF318" s="135"/>
      <c r="BG318" s="135"/>
      <c r="BH318" s="135"/>
      <c r="BI318" s="135"/>
      <c r="BJ318" s="44"/>
      <c r="BK318" s="135"/>
      <c r="BL318" s="135"/>
      <c r="BM318" s="135"/>
      <c r="BN318" s="135"/>
      <c r="BO318" s="135"/>
      <c r="BP318" s="135"/>
      <c r="BQ318" s="44"/>
      <c r="BR318" s="135"/>
      <c r="BS318" s="135"/>
      <c r="BT318" s="135"/>
      <c r="BU318" s="135"/>
      <c r="BV318" s="135"/>
      <c r="BW318" s="135"/>
      <c r="BX318" s="44"/>
      <c r="BY318" s="135"/>
      <c r="BZ318" s="135"/>
      <c r="CA318" s="135"/>
      <c r="CB318" s="135"/>
      <c r="CC318" s="135"/>
      <c r="CD318" s="135"/>
      <c r="CE318" s="44"/>
      <c r="CF318" s="135"/>
      <c r="CG318" s="135"/>
      <c r="CH318" s="135"/>
      <c r="CI318" s="135"/>
      <c r="CJ318" s="135"/>
      <c r="CK318" s="135"/>
      <c r="CL318" s="44"/>
      <c r="CM318" s="135"/>
      <c r="CN318" s="135"/>
      <c r="CO318" s="135"/>
      <c r="CP318" s="135"/>
      <c r="CQ318" s="135"/>
      <c r="CR318" s="135"/>
      <c r="CS318" s="44"/>
      <c r="CT318" s="135"/>
      <c r="CU318" s="135"/>
      <c r="CV318" s="135"/>
      <c r="CW318" s="135"/>
      <c r="CX318" s="135"/>
      <c r="CY318" s="135"/>
      <c r="CZ318" s="44"/>
      <c r="DA318" s="135"/>
      <c r="DB318" s="135"/>
      <c r="DC318" s="135"/>
      <c r="DD318" s="135"/>
      <c r="DE318" s="135"/>
      <c r="DF318" s="135"/>
      <c r="DG318" s="44"/>
      <c r="DH318" s="135"/>
      <c r="DI318" s="135"/>
      <c r="DJ318" s="135"/>
      <c r="DK318" s="135"/>
      <c r="DL318" s="135"/>
      <c r="DM318" s="135"/>
      <c r="DN318" s="44"/>
      <c r="DO318" s="135"/>
      <c r="DP318" s="135"/>
      <c r="DQ318" s="135"/>
      <c r="DR318" s="135"/>
      <c r="DS318" s="135"/>
      <c r="DT318" s="135"/>
      <c r="DU318" s="44"/>
      <c r="DV318" s="135"/>
      <c r="DW318" s="135"/>
      <c r="DX318" s="135"/>
      <c r="DY318" s="135"/>
      <c r="DZ318" s="135"/>
      <c r="EA318" s="135"/>
      <c r="EB318" s="44"/>
      <c r="EC318" s="135"/>
      <c r="ED318" s="135"/>
      <c r="EE318" s="135"/>
      <c r="EF318" s="135"/>
      <c r="EG318" s="135"/>
      <c r="EH318" s="135"/>
      <c r="EI318" s="44"/>
      <c r="EJ318" s="47"/>
      <c r="EK318" s="47"/>
      <c r="EL318" s="47"/>
      <c r="EM318" s="47"/>
      <c r="EN318" s="47"/>
      <c r="EO318" s="47"/>
      <c r="EP318" s="47"/>
      <c r="EQ318" s="47"/>
      <c r="ER318" s="47"/>
      <c r="ES318" s="47"/>
      <c r="ET318" s="47"/>
      <c r="EU318" s="47"/>
      <c r="EV318" s="47"/>
      <c r="EW318" s="47"/>
      <c r="EX318" s="47"/>
      <c r="EY318" s="47"/>
      <c r="EZ318" s="47"/>
      <c r="FA318" s="47"/>
      <c r="FB318" s="47"/>
      <c r="FC318" s="47"/>
      <c r="FD318" s="47"/>
      <c r="FE318" s="47"/>
      <c r="FF318" s="47"/>
      <c r="FG318" s="47"/>
      <c r="FH318" s="47"/>
      <c r="FI318" s="47"/>
      <c r="FJ318" s="47"/>
      <c r="FK318" s="47"/>
      <c r="FL318" s="47"/>
      <c r="FM318" s="47"/>
      <c r="FN318" s="47"/>
      <c r="FO318" s="47"/>
      <c r="FP318" s="47"/>
      <c r="FQ318" s="47"/>
      <c r="FR318" s="47"/>
      <c r="FS318" s="47"/>
      <c r="FT318" s="47"/>
      <c r="FU318" s="47"/>
      <c r="FV318" s="47"/>
      <c r="FW318" s="47"/>
      <c r="FX318" s="47"/>
      <c r="FY318" s="47"/>
      <c r="FZ318" s="47"/>
      <c r="GA318" s="47"/>
      <c r="GB318" s="47"/>
      <c r="GC318" s="47"/>
      <c r="GD318" s="47"/>
      <c r="GE318" s="47"/>
    </row>
    <row r="319" spans="1:187" ht="10.5" customHeight="1">
      <c r="A319" s="43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44"/>
      <c r="U319" s="135"/>
      <c r="V319" s="135"/>
      <c r="W319" s="135"/>
      <c r="X319" s="135"/>
      <c r="Y319" s="135"/>
      <c r="Z319" s="135"/>
      <c r="AA319" s="44"/>
      <c r="AB319" s="135"/>
      <c r="AC319" s="135"/>
      <c r="AD319" s="135"/>
      <c r="AE319" s="135"/>
      <c r="AF319" s="135"/>
      <c r="AG319" s="135"/>
      <c r="AH319" s="44"/>
      <c r="AI319" s="135"/>
      <c r="AJ319" s="135"/>
      <c r="AK319" s="135"/>
      <c r="AL319" s="135"/>
      <c r="AM319" s="135"/>
      <c r="AN319" s="135"/>
      <c r="AO319" s="44"/>
      <c r="AP319" s="135"/>
      <c r="AQ319" s="135"/>
      <c r="AR319" s="135"/>
      <c r="AS319" s="135"/>
      <c r="AT319" s="135"/>
      <c r="AU319" s="135"/>
      <c r="AV319" s="44"/>
      <c r="AW319" s="135"/>
      <c r="AX319" s="135"/>
      <c r="AY319" s="135"/>
      <c r="AZ319" s="135"/>
      <c r="BA319" s="135"/>
      <c r="BB319" s="135"/>
      <c r="BC319" s="44"/>
      <c r="BD319" s="135"/>
      <c r="BE319" s="135"/>
      <c r="BF319" s="135"/>
      <c r="BG319" s="135"/>
      <c r="BH319" s="135"/>
      <c r="BI319" s="135"/>
      <c r="BJ319" s="44"/>
      <c r="BK319" s="135"/>
      <c r="BL319" s="135"/>
      <c r="BM319" s="135"/>
      <c r="BN319" s="135"/>
      <c r="BO319" s="135"/>
      <c r="BP319" s="135"/>
      <c r="BQ319" s="44"/>
      <c r="BR319" s="135"/>
      <c r="BS319" s="135"/>
      <c r="BT319" s="135"/>
      <c r="BU319" s="135"/>
      <c r="BV319" s="135"/>
      <c r="BW319" s="135"/>
      <c r="BX319" s="44"/>
      <c r="BY319" s="135"/>
      <c r="BZ319" s="135"/>
      <c r="CA319" s="135"/>
      <c r="CB319" s="135"/>
      <c r="CC319" s="135"/>
      <c r="CD319" s="135"/>
      <c r="CE319" s="44"/>
      <c r="CF319" s="135"/>
      <c r="CG319" s="135"/>
      <c r="CH319" s="135"/>
      <c r="CI319" s="135"/>
      <c r="CJ319" s="135"/>
      <c r="CK319" s="135"/>
      <c r="CL319" s="44"/>
      <c r="CM319" s="135"/>
      <c r="CN319" s="135"/>
      <c r="CO319" s="135"/>
      <c r="CP319" s="135"/>
      <c r="CQ319" s="135"/>
      <c r="CR319" s="135"/>
      <c r="CS319" s="44"/>
      <c r="CT319" s="135"/>
      <c r="CU319" s="135"/>
      <c r="CV319" s="135"/>
      <c r="CW319" s="135"/>
      <c r="CX319" s="135"/>
      <c r="CY319" s="135"/>
      <c r="CZ319" s="44"/>
      <c r="DA319" s="135"/>
      <c r="DB319" s="135"/>
      <c r="DC319" s="135"/>
      <c r="DD319" s="135"/>
      <c r="DE319" s="135"/>
      <c r="DF319" s="135"/>
      <c r="DG319" s="44"/>
      <c r="DH319" s="135"/>
      <c r="DI319" s="135"/>
      <c r="DJ319" s="135"/>
      <c r="DK319" s="135"/>
      <c r="DL319" s="135"/>
      <c r="DM319" s="135"/>
      <c r="DN319" s="44"/>
      <c r="DO319" s="135"/>
      <c r="DP319" s="135"/>
      <c r="DQ319" s="135"/>
      <c r="DR319" s="135"/>
      <c r="DS319" s="135"/>
      <c r="DT319" s="135"/>
      <c r="DU319" s="44"/>
      <c r="DV319" s="135"/>
      <c r="DW319" s="135"/>
      <c r="DX319" s="135"/>
      <c r="DY319" s="135"/>
      <c r="DZ319" s="135"/>
      <c r="EA319" s="135"/>
      <c r="EB319" s="44"/>
      <c r="EC319" s="135"/>
      <c r="ED319" s="135"/>
      <c r="EE319" s="135"/>
      <c r="EF319" s="135"/>
      <c r="EG319" s="135"/>
      <c r="EH319" s="135"/>
      <c r="EI319" s="44"/>
      <c r="EJ319" s="47"/>
      <c r="EK319" s="47"/>
      <c r="EL319" s="47"/>
      <c r="EM319" s="47"/>
      <c r="EN319" s="47"/>
      <c r="EO319" s="47"/>
      <c r="EP319" s="47"/>
      <c r="EQ319" s="47"/>
      <c r="ER319" s="47"/>
      <c r="ES319" s="47"/>
      <c r="ET319" s="47"/>
      <c r="EU319" s="47"/>
      <c r="EV319" s="47"/>
      <c r="EW319" s="47"/>
      <c r="EX319" s="47"/>
      <c r="EY319" s="47"/>
      <c r="EZ319" s="47"/>
      <c r="FA319" s="47"/>
      <c r="FB319" s="47"/>
      <c r="FC319" s="47"/>
      <c r="FD319" s="47"/>
      <c r="FE319" s="47"/>
      <c r="FF319" s="47"/>
      <c r="FG319" s="47"/>
      <c r="FH319" s="47"/>
      <c r="FI319" s="47"/>
      <c r="FJ319" s="47"/>
      <c r="FK319" s="47"/>
      <c r="FL319" s="47"/>
      <c r="FM319" s="47"/>
      <c r="FN319" s="47"/>
      <c r="FO319" s="47"/>
      <c r="FP319" s="47"/>
      <c r="FQ319" s="47"/>
      <c r="FR319" s="47"/>
      <c r="FS319" s="47"/>
      <c r="FT319" s="47"/>
      <c r="FU319" s="47"/>
      <c r="FV319" s="47"/>
      <c r="FW319" s="47"/>
      <c r="FX319" s="47"/>
      <c r="FY319" s="47"/>
      <c r="FZ319" s="47"/>
      <c r="GA319" s="47"/>
      <c r="GB319" s="47"/>
      <c r="GC319" s="47"/>
      <c r="GD319" s="47"/>
      <c r="GE319" s="47"/>
    </row>
    <row r="320" spans="1:187" ht="10.5" customHeight="1">
      <c r="A320" s="43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44"/>
      <c r="U320" s="135"/>
      <c r="V320" s="135"/>
      <c r="W320" s="135"/>
      <c r="X320" s="135"/>
      <c r="Y320" s="135"/>
      <c r="Z320" s="135"/>
      <c r="AA320" s="44"/>
      <c r="AB320" s="135"/>
      <c r="AC320" s="135"/>
      <c r="AD320" s="135"/>
      <c r="AE320" s="135"/>
      <c r="AF320" s="135"/>
      <c r="AG320" s="135"/>
      <c r="AH320" s="44"/>
      <c r="AI320" s="135"/>
      <c r="AJ320" s="135"/>
      <c r="AK320" s="135"/>
      <c r="AL320" s="135"/>
      <c r="AM320" s="135"/>
      <c r="AN320" s="135"/>
      <c r="AO320" s="44"/>
      <c r="AP320" s="135"/>
      <c r="AQ320" s="135"/>
      <c r="AR320" s="135"/>
      <c r="AS320" s="135"/>
      <c r="AT320" s="135"/>
      <c r="AU320" s="135"/>
      <c r="AV320" s="44"/>
      <c r="AW320" s="135"/>
      <c r="AX320" s="135"/>
      <c r="AY320" s="135"/>
      <c r="AZ320" s="135"/>
      <c r="BA320" s="135"/>
      <c r="BB320" s="135"/>
      <c r="BC320" s="44"/>
      <c r="BD320" s="135"/>
      <c r="BE320" s="135"/>
      <c r="BF320" s="135"/>
      <c r="BG320" s="135"/>
      <c r="BH320" s="135"/>
      <c r="BI320" s="135"/>
      <c r="BJ320" s="44"/>
      <c r="BK320" s="135"/>
      <c r="BL320" s="135"/>
      <c r="BM320" s="135"/>
      <c r="BN320" s="135"/>
      <c r="BO320" s="135"/>
      <c r="BP320" s="135"/>
      <c r="BQ320" s="44"/>
      <c r="BR320" s="135"/>
      <c r="BS320" s="135"/>
      <c r="BT320" s="135"/>
      <c r="BU320" s="135"/>
      <c r="BV320" s="135"/>
      <c r="BW320" s="135"/>
      <c r="BX320" s="44"/>
      <c r="BY320" s="135"/>
      <c r="BZ320" s="135"/>
      <c r="CA320" s="135"/>
      <c r="CB320" s="135"/>
      <c r="CC320" s="135"/>
      <c r="CD320" s="135"/>
      <c r="CE320" s="44"/>
      <c r="CF320" s="135"/>
      <c r="CG320" s="135"/>
      <c r="CH320" s="135"/>
      <c r="CI320" s="135"/>
      <c r="CJ320" s="135"/>
      <c r="CK320" s="135"/>
      <c r="CL320" s="44"/>
      <c r="CM320" s="135"/>
      <c r="CN320" s="135"/>
      <c r="CO320" s="135"/>
      <c r="CP320" s="135"/>
      <c r="CQ320" s="135"/>
      <c r="CR320" s="135"/>
      <c r="CS320" s="44"/>
      <c r="CT320" s="135"/>
      <c r="CU320" s="135"/>
      <c r="CV320" s="135"/>
      <c r="CW320" s="135"/>
      <c r="CX320" s="135"/>
      <c r="CY320" s="135"/>
      <c r="CZ320" s="44"/>
      <c r="DA320" s="135"/>
      <c r="DB320" s="135"/>
      <c r="DC320" s="135"/>
      <c r="DD320" s="135"/>
      <c r="DE320" s="135"/>
      <c r="DF320" s="135"/>
      <c r="DG320" s="44"/>
      <c r="DH320" s="135"/>
      <c r="DI320" s="135"/>
      <c r="DJ320" s="135"/>
      <c r="DK320" s="135"/>
      <c r="DL320" s="135"/>
      <c r="DM320" s="135"/>
      <c r="DN320" s="44"/>
      <c r="DO320" s="135"/>
      <c r="DP320" s="135"/>
      <c r="DQ320" s="135"/>
      <c r="DR320" s="135"/>
      <c r="DS320" s="135"/>
      <c r="DT320" s="135"/>
      <c r="DU320" s="44"/>
      <c r="DV320" s="135"/>
      <c r="DW320" s="135"/>
      <c r="DX320" s="135"/>
      <c r="DY320" s="135"/>
      <c r="DZ320" s="135"/>
      <c r="EA320" s="135"/>
      <c r="EB320" s="44"/>
      <c r="EC320" s="135"/>
      <c r="ED320" s="135"/>
      <c r="EE320" s="135"/>
      <c r="EF320" s="135"/>
      <c r="EG320" s="135"/>
      <c r="EH320" s="135"/>
      <c r="EI320" s="44"/>
      <c r="EJ320" s="47"/>
      <c r="EK320" s="47"/>
      <c r="EL320" s="47"/>
      <c r="EM320" s="47"/>
      <c r="EN320" s="47"/>
      <c r="EO320" s="47"/>
      <c r="EP320" s="47"/>
      <c r="EQ320" s="47"/>
      <c r="ER320" s="47"/>
      <c r="ES320" s="47"/>
      <c r="ET320" s="47"/>
      <c r="EU320" s="47"/>
      <c r="EV320" s="47"/>
      <c r="EW320" s="47"/>
      <c r="EX320" s="47"/>
      <c r="EY320" s="47"/>
      <c r="EZ320" s="47"/>
      <c r="FA320" s="47"/>
      <c r="FB320" s="47"/>
      <c r="FC320" s="47"/>
      <c r="FD320" s="47"/>
      <c r="FE320" s="47"/>
      <c r="FF320" s="47"/>
      <c r="FG320" s="47"/>
      <c r="FH320" s="47"/>
      <c r="FI320" s="47"/>
      <c r="FJ320" s="47"/>
      <c r="FK320" s="47"/>
      <c r="FL320" s="47"/>
      <c r="FM320" s="47"/>
      <c r="FN320" s="47"/>
      <c r="FO320" s="47"/>
      <c r="FP320" s="47"/>
      <c r="FQ320" s="47"/>
      <c r="FR320" s="47"/>
      <c r="FS320" s="47"/>
      <c r="FT320" s="47"/>
      <c r="FU320" s="47"/>
      <c r="FV320" s="47"/>
      <c r="FW320" s="47"/>
      <c r="FX320" s="47"/>
      <c r="FY320" s="47"/>
      <c r="FZ320" s="47"/>
      <c r="GA320" s="47"/>
      <c r="GB320" s="47"/>
      <c r="GC320" s="47"/>
      <c r="GD320" s="47"/>
      <c r="GE320" s="47"/>
    </row>
    <row r="321" spans="1:187" ht="10.5" customHeight="1">
      <c r="A321" s="43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74"/>
      <c r="U321" s="251"/>
      <c r="V321" s="251"/>
      <c r="W321" s="251"/>
      <c r="X321" s="251"/>
      <c r="Y321" s="251"/>
      <c r="Z321" s="251"/>
      <c r="AA321" s="74"/>
      <c r="AB321" s="251"/>
      <c r="AC321" s="251"/>
      <c r="AD321" s="251"/>
      <c r="AE321" s="251"/>
      <c r="AF321" s="251"/>
      <c r="AG321" s="251"/>
      <c r="AH321" s="74"/>
      <c r="AI321" s="251"/>
      <c r="AJ321" s="251"/>
      <c r="AK321" s="251"/>
      <c r="AL321" s="251"/>
      <c r="AM321" s="251"/>
      <c r="AN321" s="251"/>
      <c r="AO321" s="74"/>
      <c r="AP321" s="251"/>
      <c r="AQ321" s="251"/>
      <c r="AR321" s="251"/>
      <c r="AS321" s="251"/>
      <c r="AT321" s="251"/>
      <c r="AU321" s="251"/>
      <c r="AV321" s="74"/>
      <c r="AW321" s="251"/>
      <c r="AX321" s="251"/>
      <c r="AY321" s="251"/>
      <c r="AZ321" s="251"/>
      <c r="BA321" s="251"/>
      <c r="BB321" s="251"/>
      <c r="BC321" s="74"/>
      <c r="BD321" s="251"/>
      <c r="BE321" s="251"/>
      <c r="BF321" s="251"/>
      <c r="BG321" s="251"/>
      <c r="BH321" s="251"/>
      <c r="BI321" s="251"/>
      <c r="BJ321" s="74"/>
      <c r="BK321" s="251"/>
      <c r="BL321" s="251"/>
      <c r="BM321" s="251"/>
      <c r="BN321" s="251"/>
      <c r="BO321" s="251"/>
      <c r="BP321" s="251"/>
      <c r="BQ321" s="74"/>
      <c r="BR321" s="251"/>
      <c r="BS321" s="251"/>
      <c r="BT321" s="251"/>
      <c r="BU321" s="251"/>
      <c r="BV321" s="251"/>
      <c r="BW321" s="251"/>
      <c r="BX321" s="74"/>
      <c r="BY321" s="251"/>
      <c r="BZ321" s="251"/>
      <c r="CA321" s="251"/>
      <c r="CB321" s="251"/>
      <c r="CC321" s="251"/>
      <c r="CD321" s="251"/>
      <c r="CE321" s="74"/>
      <c r="CF321" s="251"/>
      <c r="CG321" s="251"/>
      <c r="CH321" s="251"/>
      <c r="CI321" s="251"/>
      <c r="CJ321" s="251"/>
      <c r="CK321" s="251"/>
      <c r="CL321" s="74"/>
      <c r="CM321" s="251"/>
      <c r="CN321" s="251"/>
      <c r="CO321" s="251"/>
      <c r="CP321" s="251"/>
      <c r="CQ321" s="251"/>
      <c r="CR321" s="251"/>
      <c r="CS321" s="74"/>
      <c r="CT321" s="251"/>
      <c r="CU321" s="251"/>
      <c r="CV321" s="251"/>
      <c r="CW321" s="251"/>
      <c r="CX321" s="251"/>
      <c r="CY321" s="251"/>
      <c r="CZ321" s="74"/>
      <c r="DA321" s="251"/>
      <c r="DB321" s="251"/>
      <c r="DC321" s="251"/>
      <c r="DD321" s="251"/>
      <c r="DE321" s="251"/>
      <c r="DF321" s="251"/>
      <c r="DG321" s="74"/>
      <c r="DH321" s="251"/>
      <c r="DI321" s="251"/>
      <c r="DJ321" s="251"/>
      <c r="DK321" s="251"/>
      <c r="DL321" s="251"/>
      <c r="DM321" s="251"/>
      <c r="DN321" s="74"/>
      <c r="DO321" s="251"/>
      <c r="DP321" s="251"/>
      <c r="DQ321" s="251"/>
      <c r="DR321" s="251"/>
      <c r="DS321" s="251"/>
      <c r="DT321" s="251"/>
      <c r="DU321" s="74"/>
      <c r="DV321" s="251"/>
      <c r="DW321" s="251"/>
      <c r="DX321" s="251"/>
      <c r="DY321" s="251"/>
      <c r="DZ321" s="251"/>
      <c r="EA321" s="251"/>
      <c r="EB321" s="74"/>
      <c r="EC321" s="251"/>
      <c r="ED321" s="251"/>
      <c r="EE321" s="251"/>
      <c r="EF321" s="251"/>
      <c r="EG321" s="251"/>
      <c r="EH321" s="251"/>
      <c r="EI321" s="74"/>
      <c r="EJ321" s="47"/>
      <c r="EK321" s="47"/>
      <c r="EL321" s="47"/>
      <c r="EM321" s="47"/>
      <c r="EN321" s="47"/>
      <c r="EO321" s="47"/>
      <c r="EP321" s="47"/>
      <c r="EQ321" s="47"/>
      <c r="ER321" s="47"/>
      <c r="ES321" s="47"/>
      <c r="ET321" s="47"/>
      <c r="EU321" s="47"/>
      <c r="EV321" s="47"/>
      <c r="EW321" s="47"/>
      <c r="EX321" s="47"/>
      <c r="EY321" s="47"/>
      <c r="EZ321" s="47"/>
      <c r="FA321" s="47"/>
      <c r="FB321" s="47"/>
      <c r="FC321" s="47"/>
      <c r="FD321" s="47"/>
      <c r="FE321" s="47"/>
      <c r="FF321" s="47"/>
      <c r="FG321" s="47"/>
      <c r="FH321" s="47"/>
      <c r="FI321" s="47"/>
      <c r="FJ321" s="47"/>
      <c r="FK321" s="47"/>
      <c r="FL321" s="47"/>
      <c r="FM321" s="47"/>
      <c r="FN321" s="47"/>
      <c r="FO321" s="47"/>
      <c r="FP321" s="47"/>
      <c r="FQ321" s="47"/>
      <c r="FR321" s="47"/>
      <c r="FS321" s="47"/>
      <c r="FT321" s="47"/>
      <c r="FU321" s="47"/>
      <c r="FV321" s="47"/>
      <c r="FW321" s="47"/>
      <c r="FX321" s="47"/>
      <c r="FY321" s="47"/>
      <c r="FZ321" s="47"/>
      <c r="GA321" s="47"/>
      <c r="GB321" s="47"/>
      <c r="GC321" s="47"/>
      <c r="GD321" s="47"/>
      <c r="GE321" s="47"/>
    </row>
    <row r="322" spans="1:187" ht="10.5" customHeight="1">
      <c r="A322" s="43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74"/>
      <c r="U322" s="251"/>
      <c r="V322" s="251"/>
      <c r="W322" s="251"/>
      <c r="X322" s="251"/>
      <c r="Y322" s="251"/>
      <c r="Z322" s="251"/>
      <c r="AA322" s="74"/>
      <c r="AB322" s="251"/>
      <c r="AC322" s="251"/>
      <c r="AD322" s="251"/>
      <c r="AE322" s="251"/>
      <c r="AF322" s="251"/>
      <c r="AG322" s="251"/>
      <c r="AH322" s="74"/>
      <c r="AI322" s="251"/>
      <c r="AJ322" s="251"/>
      <c r="AK322" s="251"/>
      <c r="AL322" s="251"/>
      <c r="AM322" s="251"/>
      <c r="AN322" s="251"/>
      <c r="AO322" s="74"/>
      <c r="AP322" s="251"/>
      <c r="AQ322" s="251"/>
      <c r="AR322" s="251"/>
      <c r="AS322" s="251"/>
      <c r="AT322" s="251"/>
      <c r="AU322" s="251"/>
      <c r="AV322" s="74"/>
      <c r="AW322" s="251"/>
      <c r="AX322" s="251"/>
      <c r="AY322" s="251"/>
      <c r="AZ322" s="251"/>
      <c r="BA322" s="251"/>
      <c r="BB322" s="251"/>
      <c r="BC322" s="74"/>
      <c r="BD322" s="251"/>
      <c r="BE322" s="251"/>
      <c r="BF322" s="251"/>
      <c r="BG322" s="251"/>
      <c r="BH322" s="251"/>
      <c r="BI322" s="251"/>
      <c r="BJ322" s="74"/>
      <c r="BK322" s="251"/>
      <c r="BL322" s="251"/>
      <c r="BM322" s="251"/>
      <c r="BN322" s="251"/>
      <c r="BO322" s="251"/>
      <c r="BP322" s="251"/>
      <c r="BQ322" s="74"/>
      <c r="BR322" s="251"/>
      <c r="BS322" s="251"/>
      <c r="BT322" s="251"/>
      <c r="BU322" s="251"/>
      <c r="BV322" s="251"/>
      <c r="BW322" s="251"/>
      <c r="BX322" s="74"/>
      <c r="BY322" s="251"/>
      <c r="BZ322" s="251"/>
      <c r="CA322" s="251"/>
      <c r="CB322" s="251"/>
      <c r="CC322" s="251"/>
      <c r="CD322" s="251"/>
      <c r="CE322" s="74"/>
      <c r="CF322" s="251"/>
      <c r="CG322" s="251"/>
      <c r="CH322" s="251"/>
      <c r="CI322" s="251"/>
      <c r="CJ322" s="251"/>
      <c r="CK322" s="251"/>
      <c r="CL322" s="74"/>
      <c r="CM322" s="251"/>
      <c r="CN322" s="251"/>
      <c r="CO322" s="251"/>
      <c r="CP322" s="251"/>
      <c r="CQ322" s="251"/>
      <c r="CR322" s="251"/>
      <c r="CS322" s="74"/>
      <c r="CT322" s="251"/>
      <c r="CU322" s="251"/>
      <c r="CV322" s="251"/>
      <c r="CW322" s="251"/>
      <c r="CX322" s="251"/>
      <c r="CY322" s="251"/>
      <c r="CZ322" s="74"/>
      <c r="DA322" s="251"/>
      <c r="DB322" s="251"/>
      <c r="DC322" s="251"/>
      <c r="DD322" s="251"/>
      <c r="DE322" s="251"/>
      <c r="DF322" s="251"/>
      <c r="DG322" s="74"/>
      <c r="DH322" s="251"/>
      <c r="DI322" s="251"/>
      <c r="DJ322" s="251"/>
      <c r="DK322" s="251"/>
      <c r="DL322" s="251"/>
      <c r="DM322" s="251"/>
      <c r="DN322" s="74"/>
      <c r="DO322" s="251"/>
      <c r="DP322" s="251"/>
      <c r="DQ322" s="251"/>
      <c r="DR322" s="251"/>
      <c r="DS322" s="251"/>
      <c r="DT322" s="251"/>
      <c r="DU322" s="74"/>
      <c r="DV322" s="251"/>
      <c r="DW322" s="251"/>
      <c r="DX322" s="251"/>
      <c r="DY322" s="251"/>
      <c r="DZ322" s="251"/>
      <c r="EA322" s="251"/>
      <c r="EB322" s="74"/>
      <c r="EC322" s="251"/>
      <c r="ED322" s="251"/>
      <c r="EE322" s="251"/>
      <c r="EF322" s="251"/>
      <c r="EG322" s="251"/>
      <c r="EH322" s="251"/>
      <c r="EI322" s="74"/>
      <c r="EJ322" s="47"/>
      <c r="EK322" s="47"/>
      <c r="EL322" s="47"/>
      <c r="EM322" s="47"/>
      <c r="EN322" s="47"/>
      <c r="EO322" s="47"/>
      <c r="EP322" s="47"/>
      <c r="EQ322" s="47"/>
      <c r="ER322" s="47"/>
      <c r="ES322" s="47"/>
      <c r="ET322" s="47"/>
      <c r="EU322" s="47"/>
      <c r="EV322" s="47"/>
      <c r="EW322" s="47"/>
      <c r="EX322" s="47"/>
      <c r="EY322" s="47"/>
      <c r="EZ322" s="47"/>
      <c r="FA322" s="47"/>
      <c r="FB322" s="47"/>
      <c r="FC322" s="47"/>
      <c r="FD322" s="47"/>
      <c r="FE322" s="47"/>
      <c r="FF322" s="47"/>
      <c r="FG322" s="47"/>
      <c r="FH322" s="47"/>
      <c r="FI322" s="47"/>
      <c r="FJ322" s="47"/>
      <c r="FK322" s="47"/>
      <c r="FL322" s="47"/>
      <c r="FM322" s="47"/>
      <c r="FN322" s="47"/>
      <c r="FO322" s="47"/>
      <c r="FP322" s="47"/>
      <c r="FQ322" s="47"/>
      <c r="FR322" s="47"/>
      <c r="FS322" s="47"/>
      <c r="FT322" s="47"/>
      <c r="FU322" s="47"/>
      <c r="FV322" s="47"/>
      <c r="FW322" s="47"/>
      <c r="FX322" s="47"/>
      <c r="FY322" s="47"/>
      <c r="FZ322" s="47"/>
      <c r="GA322" s="47"/>
      <c r="GB322" s="47"/>
      <c r="GC322" s="47"/>
      <c r="GD322" s="47"/>
      <c r="GE322" s="47"/>
    </row>
    <row r="323" spans="1:187" ht="10.5" customHeight="1">
      <c r="A323" s="4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06"/>
      <c r="U323" s="193"/>
      <c r="V323" s="193"/>
      <c r="W323" s="193"/>
      <c r="X323" s="193"/>
      <c r="Y323" s="193"/>
      <c r="Z323" s="193"/>
      <c r="AA323" s="106"/>
      <c r="AB323" s="193"/>
      <c r="AC323" s="193"/>
      <c r="AD323" s="193"/>
      <c r="AE323" s="193"/>
      <c r="AF323" s="193"/>
      <c r="AG323" s="193"/>
      <c r="AH323" s="106"/>
      <c r="AI323" s="193"/>
      <c r="AJ323" s="193"/>
      <c r="AK323" s="193"/>
      <c r="AL323" s="193"/>
      <c r="AM323" s="193"/>
      <c r="AN323" s="193"/>
      <c r="AO323" s="106"/>
      <c r="AP323" s="193"/>
      <c r="AQ323" s="193"/>
      <c r="AR323" s="193"/>
      <c r="AS323" s="193"/>
      <c r="AT323" s="193"/>
      <c r="AU323" s="193"/>
      <c r="AV323" s="106"/>
      <c r="AW323" s="193"/>
      <c r="AX323" s="193"/>
      <c r="AY323" s="193"/>
      <c r="AZ323" s="193"/>
      <c r="BA323" s="193"/>
      <c r="BB323" s="193"/>
      <c r="BC323" s="106"/>
      <c r="BD323" s="193"/>
      <c r="BE323" s="193"/>
      <c r="BF323" s="193"/>
      <c r="BG323" s="193"/>
      <c r="BH323" s="193"/>
      <c r="BI323" s="193"/>
      <c r="BJ323" s="106"/>
      <c r="BK323" s="193"/>
      <c r="BL323" s="193"/>
      <c r="BM323" s="193"/>
      <c r="BN323" s="193"/>
      <c r="BO323" s="193"/>
      <c r="BP323" s="193"/>
      <c r="BQ323" s="106"/>
      <c r="BR323" s="193"/>
      <c r="BS323" s="193"/>
      <c r="BT323" s="193"/>
      <c r="BU323" s="193"/>
      <c r="BV323" s="193"/>
      <c r="BW323" s="193"/>
      <c r="BX323" s="106"/>
      <c r="BY323" s="193"/>
      <c r="BZ323" s="193"/>
      <c r="CA323" s="193"/>
      <c r="CB323" s="193"/>
      <c r="CC323" s="193"/>
      <c r="CD323" s="193"/>
      <c r="CE323" s="106"/>
      <c r="CF323" s="193"/>
      <c r="CG323" s="193"/>
      <c r="CH323" s="193"/>
      <c r="CI323" s="193"/>
      <c r="CJ323" s="193"/>
      <c r="CK323" s="193"/>
      <c r="CL323" s="106"/>
      <c r="CM323" s="193"/>
      <c r="CN323" s="193"/>
      <c r="CO323" s="193"/>
      <c r="CP323" s="193"/>
      <c r="CQ323" s="193"/>
      <c r="CR323" s="193"/>
      <c r="CS323" s="106"/>
      <c r="CT323" s="193"/>
      <c r="CU323" s="193"/>
      <c r="CV323" s="193"/>
      <c r="CW323" s="193"/>
      <c r="CX323" s="193"/>
      <c r="CY323" s="193"/>
      <c r="CZ323" s="106"/>
      <c r="DA323" s="193"/>
      <c r="DB323" s="193"/>
      <c r="DC323" s="193"/>
      <c r="DD323" s="193"/>
      <c r="DE323" s="193"/>
      <c r="DF323" s="193"/>
      <c r="DG323" s="106"/>
      <c r="DH323" s="193"/>
      <c r="DI323" s="193"/>
      <c r="DJ323" s="193"/>
      <c r="DK323" s="193"/>
      <c r="DL323" s="193"/>
      <c r="DM323" s="193"/>
      <c r="DN323" s="106"/>
      <c r="DO323" s="193"/>
      <c r="DP323" s="193"/>
      <c r="DQ323" s="193"/>
      <c r="DR323" s="193"/>
      <c r="DS323" s="193"/>
      <c r="DT323" s="193"/>
      <c r="DU323" s="106"/>
      <c r="DV323" s="193"/>
      <c r="DW323" s="193"/>
      <c r="DX323" s="193"/>
      <c r="DY323" s="193"/>
      <c r="DZ323" s="193"/>
      <c r="EA323" s="193"/>
      <c r="EB323" s="106"/>
      <c r="EC323" s="193"/>
      <c r="ED323" s="193"/>
      <c r="EE323" s="193"/>
      <c r="EF323" s="193"/>
      <c r="EG323" s="193"/>
      <c r="EH323" s="193"/>
      <c r="EI323" s="106"/>
      <c r="EJ323" s="47"/>
      <c r="EK323" s="47"/>
      <c r="EL323" s="47"/>
      <c r="EM323" s="47"/>
      <c r="EN323" s="47"/>
      <c r="EO323" s="47"/>
      <c r="EP323" s="47"/>
      <c r="EQ323" s="47"/>
      <c r="ER323" s="47"/>
      <c r="ES323" s="47"/>
      <c r="ET323" s="47"/>
      <c r="EU323" s="47"/>
      <c r="EV323" s="47"/>
      <c r="EW323" s="47"/>
      <c r="EX323" s="47"/>
      <c r="EY323" s="47"/>
      <c r="EZ323" s="47"/>
      <c r="FA323" s="47"/>
      <c r="FB323" s="47"/>
      <c r="FC323" s="47"/>
      <c r="FD323" s="47"/>
      <c r="FE323" s="47"/>
      <c r="FF323" s="47"/>
      <c r="FG323" s="47"/>
      <c r="FH323" s="47"/>
      <c r="FI323" s="47"/>
      <c r="FJ323" s="47"/>
      <c r="FK323" s="47"/>
      <c r="FL323" s="47"/>
      <c r="FM323" s="47"/>
      <c r="FN323" s="47"/>
      <c r="FO323" s="47"/>
      <c r="FP323" s="47"/>
      <c r="FQ323" s="47"/>
      <c r="FR323" s="47"/>
      <c r="FS323" s="47"/>
      <c r="FT323" s="47"/>
      <c r="FU323" s="47"/>
      <c r="FV323" s="47"/>
      <c r="FW323" s="47"/>
      <c r="FX323" s="47"/>
      <c r="FY323" s="47"/>
      <c r="FZ323" s="47"/>
      <c r="GA323" s="47"/>
      <c r="GB323" s="47"/>
      <c r="GC323" s="47"/>
      <c r="GD323" s="47"/>
      <c r="GE323" s="47"/>
    </row>
    <row r="324" spans="1:187" ht="10.5" customHeight="1">
      <c r="A324" s="4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06"/>
      <c r="U324" s="193"/>
      <c r="V324" s="193"/>
      <c r="W324" s="193"/>
      <c r="X324" s="193"/>
      <c r="Y324" s="193"/>
      <c r="Z324" s="193"/>
      <c r="AA324" s="106"/>
      <c r="AB324" s="193"/>
      <c r="AC324" s="193"/>
      <c r="AD324" s="193"/>
      <c r="AE324" s="193"/>
      <c r="AF324" s="193"/>
      <c r="AG324" s="193"/>
      <c r="AH324" s="106"/>
      <c r="AI324" s="193"/>
      <c r="AJ324" s="193"/>
      <c r="AK324" s="193"/>
      <c r="AL324" s="193"/>
      <c r="AM324" s="193"/>
      <c r="AN324" s="193"/>
      <c r="AO324" s="106"/>
      <c r="AP324" s="193"/>
      <c r="AQ324" s="193"/>
      <c r="AR324" s="193"/>
      <c r="AS324" s="193"/>
      <c r="AT324" s="193"/>
      <c r="AU324" s="193"/>
      <c r="AV324" s="106"/>
      <c r="AW324" s="193"/>
      <c r="AX324" s="193"/>
      <c r="AY324" s="193"/>
      <c r="AZ324" s="193"/>
      <c r="BA324" s="193"/>
      <c r="BB324" s="193"/>
      <c r="BC324" s="106"/>
      <c r="BD324" s="193"/>
      <c r="BE324" s="193"/>
      <c r="BF324" s="193"/>
      <c r="BG324" s="193"/>
      <c r="BH324" s="193"/>
      <c r="BI324" s="193"/>
      <c r="BJ324" s="106"/>
      <c r="BK324" s="193"/>
      <c r="BL324" s="193"/>
      <c r="BM324" s="193"/>
      <c r="BN324" s="193"/>
      <c r="BO324" s="193"/>
      <c r="BP324" s="193"/>
      <c r="BQ324" s="106"/>
      <c r="BR324" s="193"/>
      <c r="BS324" s="193"/>
      <c r="BT324" s="193"/>
      <c r="BU324" s="193"/>
      <c r="BV324" s="193"/>
      <c r="BW324" s="193"/>
      <c r="BX324" s="106"/>
      <c r="BY324" s="193"/>
      <c r="BZ324" s="193"/>
      <c r="CA324" s="193"/>
      <c r="CB324" s="193"/>
      <c r="CC324" s="193"/>
      <c r="CD324" s="193"/>
      <c r="CE324" s="106"/>
      <c r="CF324" s="193"/>
      <c r="CG324" s="193"/>
      <c r="CH324" s="193"/>
      <c r="CI324" s="193"/>
      <c r="CJ324" s="193"/>
      <c r="CK324" s="193"/>
      <c r="CL324" s="106"/>
      <c r="CM324" s="193"/>
      <c r="CN324" s="193"/>
      <c r="CO324" s="193"/>
      <c r="CP324" s="193"/>
      <c r="CQ324" s="193"/>
      <c r="CR324" s="193"/>
      <c r="CS324" s="106"/>
      <c r="CT324" s="193"/>
      <c r="CU324" s="193"/>
      <c r="CV324" s="193"/>
      <c r="CW324" s="193"/>
      <c r="CX324" s="193"/>
      <c r="CY324" s="193"/>
      <c r="CZ324" s="106"/>
      <c r="DA324" s="193"/>
      <c r="DB324" s="193"/>
      <c r="DC324" s="193"/>
      <c r="DD324" s="193"/>
      <c r="DE324" s="193"/>
      <c r="DF324" s="193"/>
      <c r="DG324" s="106"/>
      <c r="DH324" s="193"/>
      <c r="DI324" s="193"/>
      <c r="DJ324" s="193"/>
      <c r="DK324" s="193"/>
      <c r="DL324" s="193"/>
      <c r="DM324" s="193"/>
      <c r="DN324" s="106"/>
      <c r="DO324" s="193"/>
      <c r="DP324" s="193"/>
      <c r="DQ324" s="193"/>
      <c r="DR324" s="193"/>
      <c r="DS324" s="193"/>
      <c r="DT324" s="193"/>
      <c r="DU324" s="106"/>
      <c r="DV324" s="193"/>
      <c r="DW324" s="193"/>
      <c r="DX324" s="193"/>
      <c r="DY324" s="193"/>
      <c r="DZ324" s="193"/>
      <c r="EA324" s="193"/>
      <c r="EB324" s="106"/>
      <c r="EC324" s="193"/>
      <c r="ED324" s="193"/>
      <c r="EE324" s="193"/>
      <c r="EF324" s="193"/>
      <c r="EG324" s="193"/>
      <c r="EH324" s="193"/>
      <c r="EI324" s="106"/>
      <c r="EJ324" s="47"/>
      <c r="EK324" s="47"/>
      <c r="EL324" s="47"/>
      <c r="EM324" s="47"/>
      <c r="EN324" s="47"/>
      <c r="EO324" s="47"/>
      <c r="EP324" s="47"/>
      <c r="EQ324" s="47"/>
      <c r="ER324" s="47"/>
      <c r="ES324" s="47"/>
      <c r="ET324" s="47"/>
      <c r="EU324" s="47"/>
      <c r="EV324" s="47"/>
      <c r="EW324" s="47"/>
      <c r="EX324" s="47"/>
      <c r="EY324" s="47"/>
      <c r="EZ324" s="47"/>
      <c r="FA324" s="47"/>
      <c r="FB324" s="47"/>
      <c r="FC324" s="47"/>
      <c r="FD324" s="47"/>
      <c r="FE324" s="47"/>
      <c r="FF324" s="47"/>
      <c r="FG324" s="47"/>
      <c r="FH324" s="47"/>
      <c r="FI324" s="47"/>
      <c r="FJ324" s="47"/>
      <c r="FK324" s="47"/>
      <c r="FL324" s="47"/>
      <c r="FM324" s="47"/>
      <c r="FN324" s="47"/>
      <c r="FO324" s="47"/>
      <c r="FP324" s="47"/>
      <c r="FQ324" s="47"/>
      <c r="FR324" s="47"/>
      <c r="FS324" s="47"/>
      <c r="FT324" s="47"/>
      <c r="FU324" s="47"/>
      <c r="FV324" s="47"/>
      <c r="FW324" s="47"/>
      <c r="FX324" s="47"/>
      <c r="FY324" s="47"/>
      <c r="FZ324" s="47"/>
      <c r="GA324" s="47"/>
      <c r="GB324" s="47"/>
      <c r="GC324" s="47"/>
      <c r="GD324" s="47"/>
      <c r="GE324" s="47"/>
    </row>
    <row r="325" spans="1:187" ht="10.5" customHeight="1">
      <c r="A325" s="4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06"/>
      <c r="U325" s="193"/>
      <c r="V325" s="193"/>
      <c r="W325" s="193"/>
      <c r="X325" s="193"/>
      <c r="Y325" s="193"/>
      <c r="Z325" s="193"/>
      <c r="AA325" s="106"/>
      <c r="AB325" s="193"/>
      <c r="AC325" s="193"/>
      <c r="AD325" s="193"/>
      <c r="AE325" s="193"/>
      <c r="AF325" s="193"/>
      <c r="AG325" s="193"/>
      <c r="AH325" s="106"/>
      <c r="AI325" s="193"/>
      <c r="AJ325" s="193"/>
      <c r="AK325" s="193"/>
      <c r="AL325" s="193"/>
      <c r="AM325" s="193"/>
      <c r="AN325" s="193"/>
      <c r="AO325" s="106"/>
      <c r="AP325" s="193"/>
      <c r="AQ325" s="193"/>
      <c r="AR325" s="193"/>
      <c r="AS325" s="193"/>
      <c r="AT325" s="193"/>
      <c r="AU325" s="193"/>
      <c r="AV325" s="106"/>
      <c r="AW325" s="193"/>
      <c r="AX325" s="193"/>
      <c r="AY325" s="193"/>
      <c r="AZ325" s="193"/>
      <c r="BA325" s="193"/>
      <c r="BB325" s="193"/>
      <c r="BC325" s="106"/>
      <c r="BD325" s="193"/>
      <c r="BE325" s="193"/>
      <c r="BF325" s="193"/>
      <c r="BG325" s="193"/>
      <c r="BH325" s="193"/>
      <c r="BI325" s="193"/>
      <c r="BJ325" s="106"/>
      <c r="BK325" s="193"/>
      <c r="BL325" s="193"/>
      <c r="BM325" s="193"/>
      <c r="BN325" s="193"/>
      <c r="BO325" s="193"/>
      <c r="BP325" s="193"/>
      <c r="BQ325" s="106"/>
      <c r="BR325" s="193"/>
      <c r="BS325" s="193"/>
      <c r="BT325" s="193"/>
      <c r="BU325" s="193"/>
      <c r="BV325" s="193"/>
      <c r="BW325" s="193"/>
      <c r="BX325" s="106"/>
      <c r="BY325" s="193"/>
      <c r="BZ325" s="193"/>
      <c r="CA325" s="193"/>
      <c r="CB325" s="193"/>
      <c r="CC325" s="193"/>
      <c r="CD325" s="193"/>
      <c r="CE325" s="106"/>
      <c r="CF325" s="193"/>
      <c r="CG325" s="193"/>
      <c r="CH325" s="193"/>
      <c r="CI325" s="193"/>
      <c r="CJ325" s="193"/>
      <c r="CK325" s="193"/>
      <c r="CL325" s="106"/>
      <c r="CM325" s="193"/>
      <c r="CN325" s="193"/>
      <c r="CO325" s="193"/>
      <c r="CP325" s="193"/>
      <c r="CQ325" s="193"/>
      <c r="CR325" s="193"/>
      <c r="CS325" s="106"/>
      <c r="CT325" s="193"/>
      <c r="CU325" s="193"/>
      <c r="CV325" s="193"/>
      <c r="CW325" s="193"/>
      <c r="CX325" s="193"/>
      <c r="CY325" s="193"/>
      <c r="CZ325" s="106"/>
      <c r="DA325" s="193"/>
      <c r="DB325" s="193"/>
      <c r="DC325" s="193"/>
      <c r="DD325" s="193"/>
      <c r="DE325" s="193"/>
      <c r="DF325" s="193"/>
      <c r="DG325" s="106"/>
      <c r="DH325" s="193"/>
      <c r="DI325" s="193"/>
      <c r="DJ325" s="193"/>
      <c r="DK325" s="193"/>
      <c r="DL325" s="193"/>
      <c r="DM325" s="193"/>
      <c r="DN325" s="106"/>
      <c r="DO325" s="193"/>
      <c r="DP325" s="193"/>
      <c r="DQ325" s="193"/>
      <c r="DR325" s="193"/>
      <c r="DS325" s="193"/>
      <c r="DT325" s="193"/>
      <c r="DU325" s="106"/>
      <c r="DV325" s="193"/>
      <c r="DW325" s="193"/>
      <c r="DX325" s="193"/>
      <c r="DY325" s="193"/>
      <c r="DZ325" s="193"/>
      <c r="EA325" s="193"/>
      <c r="EB325" s="106"/>
      <c r="EC325" s="193"/>
      <c r="ED325" s="193"/>
      <c r="EE325" s="193"/>
      <c r="EF325" s="193"/>
      <c r="EG325" s="193"/>
      <c r="EH325" s="193"/>
      <c r="EI325" s="106"/>
      <c r="EJ325" s="47"/>
      <c r="EK325" s="47"/>
      <c r="EL325" s="47"/>
      <c r="EM325" s="47"/>
      <c r="EN325" s="47"/>
      <c r="EO325" s="47"/>
      <c r="EP325" s="47"/>
      <c r="EQ325" s="47"/>
      <c r="ER325" s="47"/>
      <c r="ES325" s="47"/>
      <c r="ET325" s="47"/>
      <c r="EU325" s="47"/>
      <c r="EV325" s="47"/>
      <c r="EW325" s="47"/>
      <c r="EX325" s="47"/>
      <c r="EY325" s="47"/>
      <c r="EZ325" s="47"/>
      <c r="FA325" s="47"/>
      <c r="FB325" s="47"/>
      <c r="FC325" s="47"/>
      <c r="FD325" s="47"/>
      <c r="FE325" s="47"/>
      <c r="FF325" s="47"/>
      <c r="FG325" s="47"/>
      <c r="FH325" s="47"/>
      <c r="FI325" s="47"/>
      <c r="FJ325" s="47"/>
      <c r="FK325" s="47"/>
      <c r="FL325" s="47"/>
      <c r="FM325" s="47"/>
      <c r="FN325" s="47"/>
      <c r="FO325" s="47"/>
      <c r="FP325" s="47"/>
      <c r="FQ325" s="47"/>
      <c r="FR325" s="47"/>
      <c r="FS325" s="47"/>
      <c r="FT325" s="47"/>
      <c r="FU325" s="47"/>
      <c r="FV325" s="47"/>
      <c r="FW325" s="47"/>
      <c r="FX325" s="47"/>
      <c r="FY325" s="47"/>
      <c r="FZ325" s="47"/>
      <c r="GA325" s="47"/>
      <c r="GB325" s="47"/>
      <c r="GC325" s="47"/>
      <c r="GD325" s="47"/>
      <c r="GE325" s="47"/>
    </row>
    <row r="326" spans="1:187" ht="10.5" customHeight="1">
      <c r="A326" s="43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43"/>
      <c r="U326" s="108"/>
      <c r="V326" s="108"/>
      <c r="W326" s="108"/>
      <c r="X326" s="108"/>
      <c r="Y326" s="108"/>
      <c r="Z326" s="108"/>
      <c r="AA326" s="43"/>
      <c r="AB326" s="108"/>
      <c r="AC326" s="108"/>
      <c r="AD326" s="108"/>
      <c r="AE326" s="108"/>
      <c r="AF326" s="108"/>
      <c r="AG326" s="108"/>
      <c r="AH326" s="43"/>
      <c r="AI326" s="108"/>
      <c r="AJ326" s="108"/>
      <c r="AK326" s="108"/>
      <c r="AL326" s="108"/>
      <c r="AM326" s="108"/>
      <c r="AN326" s="108"/>
      <c r="AO326" s="43"/>
      <c r="AP326" s="108"/>
      <c r="AQ326" s="108"/>
      <c r="AR326" s="108"/>
      <c r="AS326" s="108"/>
      <c r="AT326" s="108"/>
      <c r="AU326" s="108"/>
      <c r="AV326" s="43"/>
      <c r="AW326" s="108"/>
      <c r="AX326" s="108"/>
      <c r="AY326" s="108"/>
      <c r="AZ326" s="108"/>
      <c r="BA326" s="108"/>
      <c r="BB326" s="108"/>
      <c r="BC326" s="43"/>
      <c r="BD326" s="108"/>
      <c r="BE326" s="108"/>
      <c r="BF326" s="108"/>
      <c r="BG326" s="108"/>
      <c r="BH326" s="108"/>
      <c r="BI326" s="108"/>
      <c r="BJ326" s="43"/>
      <c r="BK326" s="108"/>
      <c r="BL326" s="108"/>
      <c r="BM326" s="108"/>
      <c r="BN326" s="108"/>
      <c r="BO326" s="108"/>
      <c r="BP326" s="108"/>
      <c r="BQ326" s="43"/>
      <c r="BR326" s="108"/>
      <c r="BS326" s="108"/>
      <c r="BT326" s="108"/>
      <c r="BU326" s="108"/>
      <c r="BV326" s="108"/>
      <c r="BW326" s="108"/>
      <c r="BX326" s="43"/>
      <c r="BY326" s="108"/>
      <c r="BZ326" s="108"/>
      <c r="CA326" s="108"/>
      <c r="CB326" s="108"/>
      <c r="CC326" s="108"/>
      <c r="CD326" s="108"/>
      <c r="CE326" s="43"/>
      <c r="CF326" s="108"/>
      <c r="CG326" s="108"/>
      <c r="CH326" s="108"/>
      <c r="CI326" s="108"/>
      <c r="CJ326" s="108"/>
      <c r="CK326" s="108"/>
      <c r="CL326" s="43"/>
      <c r="CM326" s="108"/>
      <c r="CN326" s="108"/>
      <c r="CO326" s="108"/>
      <c r="CP326" s="108"/>
      <c r="CQ326" s="108"/>
      <c r="CR326" s="108"/>
      <c r="CS326" s="43"/>
      <c r="CT326" s="108"/>
      <c r="CU326" s="108"/>
      <c r="CV326" s="108"/>
      <c r="CW326" s="108"/>
      <c r="CX326" s="108"/>
      <c r="CY326" s="108"/>
      <c r="CZ326" s="43"/>
      <c r="DA326" s="108"/>
      <c r="DB326" s="108"/>
      <c r="DC326" s="108"/>
      <c r="DD326" s="108"/>
      <c r="DE326" s="108"/>
      <c r="DF326" s="108"/>
      <c r="DG326" s="43"/>
      <c r="DH326" s="108"/>
      <c r="DI326" s="108"/>
      <c r="DJ326" s="108"/>
      <c r="DK326" s="108"/>
      <c r="DL326" s="108"/>
      <c r="DM326" s="108"/>
      <c r="DN326" s="43"/>
      <c r="DO326" s="108"/>
      <c r="DP326" s="108"/>
      <c r="DQ326" s="108"/>
      <c r="DR326" s="108"/>
      <c r="DS326" s="108"/>
      <c r="DT326" s="108"/>
      <c r="DU326" s="43"/>
      <c r="DV326" s="108"/>
      <c r="DW326" s="108"/>
      <c r="DX326" s="108"/>
      <c r="DY326" s="108"/>
      <c r="DZ326" s="108"/>
      <c r="EA326" s="108"/>
      <c r="EB326" s="43"/>
      <c r="EC326" s="108"/>
      <c r="ED326" s="108"/>
      <c r="EE326" s="108"/>
      <c r="EF326" s="108"/>
      <c r="EG326" s="108"/>
      <c r="EH326" s="108"/>
      <c r="EI326" s="43"/>
      <c r="EJ326" s="47"/>
      <c r="EK326" s="47"/>
      <c r="EL326" s="47"/>
      <c r="EM326" s="47"/>
      <c r="EN326" s="47"/>
      <c r="EO326" s="47"/>
      <c r="EP326" s="47"/>
      <c r="EQ326" s="47"/>
      <c r="ER326" s="47"/>
      <c r="ES326" s="47"/>
      <c r="ET326" s="47"/>
      <c r="EU326" s="47"/>
      <c r="EV326" s="47"/>
      <c r="EW326" s="47"/>
      <c r="EX326" s="47"/>
      <c r="EY326" s="47"/>
      <c r="EZ326" s="47"/>
      <c r="FA326" s="47"/>
      <c r="FB326" s="47"/>
      <c r="FC326" s="47"/>
      <c r="FD326" s="47"/>
      <c r="FE326" s="47"/>
      <c r="FF326" s="47"/>
      <c r="FG326" s="47"/>
      <c r="FH326" s="47"/>
      <c r="FI326" s="47"/>
      <c r="FJ326" s="47"/>
      <c r="FK326" s="47"/>
      <c r="FL326" s="47"/>
      <c r="FM326" s="47"/>
      <c r="FN326" s="47"/>
      <c r="FO326" s="47"/>
      <c r="FP326" s="47"/>
      <c r="FQ326" s="47"/>
      <c r="FR326" s="47"/>
      <c r="FS326" s="47"/>
      <c r="FT326" s="47"/>
      <c r="FU326" s="47"/>
      <c r="FV326" s="47"/>
      <c r="FW326" s="47"/>
      <c r="FX326" s="47"/>
      <c r="FY326" s="47"/>
      <c r="FZ326" s="47"/>
      <c r="GA326" s="47"/>
      <c r="GB326" s="47"/>
      <c r="GC326" s="47"/>
      <c r="GD326" s="47"/>
      <c r="GE326" s="47"/>
    </row>
    <row r="327" spans="1:187" ht="10.5" customHeight="1">
      <c r="A327" s="43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203"/>
      <c r="N327" s="203"/>
      <c r="O327" s="203"/>
      <c r="P327" s="203"/>
      <c r="Q327" s="203"/>
      <c r="R327" s="203"/>
      <c r="S327" s="203"/>
      <c r="T327" s="93"/>
      <c r="U327" s="203"/>
      <c r="V327" s="203"/>
      <c r="W327" s="203"/>
      <c r="X327" s="203"/>
      <c r="Y327" s="203"/>
      <c r="Z327" s="203"/>
      <c r="AA327" s="93"/>
      <c r="AB327" s="203"/>
      <c r="AC327" s="203"/>
      <c r="AD327" s="203"/>
      <c r="AE327" s="203"/>
      <c r="AF327" s="203"/>
      <c r="AG327" s="203"/>
      <c r="AH327" s="93"/>
      <c r="AI327" s="203"/>
      <c r="AJ327" s="203"/>
      <c r="AK327" s="203"/>
      <c r="AL327" s="203"/>
      <c r="AM327" s="203"/>
      <c r="AN327" s="203"/>
      <c r="AO327" s="93"/>
      <c r="AP327" s="203"/>
      <c r="AQ327" s="203"/>
      <c r="AR327" s="203"/>
      <c r="AS327" s="203"/>
      <c r="AT327" s="203"/>
      <c r="AU327" s="203"/>
      <c r="AV327" s="93"/>
      <c r="AW327" s="203"/>
      <c r="AX327" s="203"/>
      <c r="AY327" s="203"/>
      <c r="AZ327" s="203"/>
      <c r="BA327" s="203"/>
      <c r="BB327" s="203"/>
      <c r="BC327" s="93"/>
      <c r="BD327" s="203"/>
      <c r="BE327" s="203"/>
      <c r="BF327" s="203"/>
      <c r="BG327" s="203"/>
      <c r="BH327" s="203"/>
      <c r="BI327" s="203"/>
      <c r="BJ327" s="93"/>
      <c r="BK327" s="203"/>
      <c r="BL327" s="203"/>
      <c r="BM327" s="203"/>
      <c r="BN327" s="203"/>
      <c r="BO327" s="203"/>
      <c r="BP327" s="203"/>
      <c r="BQ327" s="93"/>
      <c r="BR327" s="203"/>
      <c r="BS327" s="203"/>
      <c r="BT327" s="203"/>
      <c r="BU327" s="203"/>
      <c r="BV327" s="203"/>
      <c r="BW327" s="203"/>
      <c r="BX327" s="93"/>
      <c r="BY327" s="203"/>
      <c r="BZ327" s="203"/>
      <c r="CA327" s="203"/>
      <c r="CB327" s="203"/>
      <c r="CC327" s="203"/>
      <c r="CD327" s="203"/>
      <c r="CE327" s="93"/>
      <c r="CF327" s="203"/>
      <c r="CG327" s="203"/>
      <c r="CH327" s="203"/>
      <c r="CI327" s="203"/>
      <c r="CJ327" s="203"/>
      <c r="CK327" s="203"/>
      <c r="CL327" s="93"/>
      <c r="CM327" s="203"/>
      <c r="CN327" s="203"/>
      <c r="CO327" s="203"/>
      <c r="CP327" s="203"/>
      <c r="CQ327" s="203"/>
      <c r="CR327" s="203"/>
      <c r="CS327" s="93"/>
      <c r="CT327" s="203"/>
      <c r="CU327" s="203"/>
      <c r="CV327" s="203"/>
      <c r="CW327" s="203"/>
      <c r="CX327" s="203"/>
      <c r="CY327" s="203"/>
      <c r="CZ327" s="93"/>
      <c r="DA327" s="203"/>
      <c r="DB327" s="203"/>
      <c r="DC327" s="203"/>
      <c r="DD327" s="203"/>
      <c r="DE327" s="203"/>
      <c r="DF327" s="203"/>
      <c r="DG327" s="93"/>
      <c r="DH327" s="203"/>
      <c r="DI327" s="203"/>
      <c r="DJ327" s="203"/>
      <c r="DK327" s="203"/>
      <c r="DL327" s="203"/>
      <c r="DM327" s="203"/>
      <c r="DN327" s="93"/>
      <c r="DO327" s="203"/>
      <c r="DP327" s="203"/>
      <c r="DQ327" s="203"/>
      <c r="DR327" s="203"/>
      <c r="DS327" s="203"/>
      <c r="DT327" s="203"/>
      <c r="DU327" s="93"/>
      <c r="DV327" s="203"/>
      <c r="DW327" s="203"/>
      <c r="DX327" s="203"/>
      <c r="DY327" s="203"/>
      <c r="DZ327" s="203"/>
      <c r="EA327" s="203"/>
      <c r="EB327" s="93"/>
      <c r="EC327" s="203"/>
      <c r="ED327" s="203"/>
      <c r="EE327" s="203"/>
      <c r="EF327" s="203"/>
      <c r="EG327" s="203"/>
      <c r="EH327" s="203"/>
      <c r="EI327" s="93"/>
      <c r="EJ327" s="47"/>
      <c r="EK327" s="47"/>
      <c r="EL327" s="47"/>
      <c r="EM327" s="47"/>
      <c r="EN327" s="47"/>
      <c r="EO327" s="47"/>
      <c r="EP327" s="47"/>
      <c r="EQ327" s="47"/>
      <c r="ER327" s="47"/>
      <c r="ES327" s="47"/>
      <c r="ET327" s="47"/>
      <c r="EU327" s="47"/>
      <c r="EV327" s="47"/>
      <c r="EW327" s="47"/>
      <c r="EX327" s="47"/>
      <c r="EY327" s="47"/>
      <c r="EZ327" s="47"/>
      <c r="FA327" s="47"/>
      <c r="FB327" s="47"/>
      <c r="FC327" s="47"/>
      <c r="FD327" s="47"/>
      <c r="FE327" s="47"/>
      <c r="FF327" s="47"/>
      <c r="FG327" s="47"/>
      <c r="FH327" s="47"/>
      <c r="FI327" s="47"/>
      <c r="FJ327" s="47"/>
      <c r="FK327" s="47"/>
      <c r="FL327" s="47"/>
      <c r="FM327" s="47"/>
      <c r="FN327" s="47"/>
      <c r="FO327" s="47"/>
      <c r="FP327" s="47"/>
      <c r="FQ327" s="47"/>
      <c r="FR327" s="47"/>
      <c r="FS327" s="47"/>
      <c r="FT327" s="47"/>
      <c r="FU327" s="47"/>
      <c r="FV327" s="47"/>
      <c r="FW327" s="47"/>
      <c r="FX327" s="47"/>
      <c r="FY327" s="47"/>
      <c r="FZ327" s="47"/>
      <c r="GA327" s="47"/>
      <c r="GB327" s="47"/>
      <c r="GC327" s="47"/>
      <c r="GD327" s="47"/>
      <c r="GE327" s="47"/>
    </row>
    <row r="328" spans="1:187" ht="10.5" customHeight="1">
      <c r="A328" s="43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43"/>
      <c r="U328" s="108"/>
      <c r="V328" s="108"/>
      <c r="W328" s="108"/>
      <c r="X328" s="108"/>
      <c r="Y328" s="108"/>
      <c r="Z328" s="108"/>
      <c r="AA328" s="43"/>
      <c r="AB328" s="108"/>
      <c r="AC328" s="108"/>
      <c r="AD328" s="108"/>
      <c r="AE328" s="108"/>
      <c r="AF328" s="108"/>
      <c r="AG328" s="108"/>
      <c r="AH328" s="43"/>
      <c r="AI328" s="108"/>
      <c r="AJ328" s="108"/>
      <c r="AK328" s="108"/>
      <c r="AL328" s="108"/>
      <c r="AM328" s="108"/>
      <c r="AN328" s="108"/>
      <c r="AO328" s="43"/>
      <c r="AP328" s="108"/>
      <c r="AQ328" s="108"/>
      <c r="AR328" s="108"/>
      <c r="AS328" s="108"/>
      <c r="AT328" s="108"/>
      <c r="AU328" s="108"/>
      <c r="AV328" s="43"/>
      <c r="AW328" s="108"/>
      <c r="AX328" s="108"/>
      <c r="AY328" s="108"/>
      <c r="AZ328" s="108"/>
      <c r="BA328" s="108"/>
      <c r="BB328" s="108"/>
      <c r="BC328" s="43"/>
      <c r="BD328" s="108"/>
      <c r="BE328" s="108"/>
      <c r="BF328" s="108"/>
      <c r="BG328" s="108"/>
      <c r="BH328" s="108"/>
      <c r="BI328" s="108"/>
      <c r="BJ328" s="43"/>
      <c r="BK328" s="108"/>
      <c r="BL328" s="108"/>
      <c r="BM328" s="108"/>
      <c r="BN328" s="108"/>
      <c r="BO328" s="108"/>
      <c r="BP328" s="108"/>
      <c r="BQ328" s="43"/>
      <c r="BR328" s="108"/>
      <c r="BS328" s="108"/>
      <c r="BT328" s="108"/>
      <c r="BU328" s="108"/>
      <c r="BV328" s="108"/>
      <c r="BW328" s="108"/>
      <c r="BX328" s="43"/>
      <c r="BY328" s="108"/>
      <c r="BZ328" s="108"/>
      <c r="CA328" s="108"/>
      <c r="CB328" s="108"/>
      <c r="CC328" s="108"/>
      <c r="CD328" s="108"/>
      <c r="CE328" s="43"/>
      <c r="CF328" s="108"/>
      <c r="CG328" s="108"/>
      <c r="CH328" s="108"/>
      <c r="CI328" s="108"/>
      <c r="CJ328" s="108"/>
      <c r="CK328" s="108"/>
      <c r="CL328" s="43"/>
      <c r="CM328" s="108"/>
      <c r="CN328" s="108"/>
      <c r="CO328" s="108"/>
      <c r="CP328" s="108"/>
      <c r="CQ328" s="108"/>
      <c r="CR328" s="108"/>
      <c r="CS328" s="43"/>
      <c r="CT328" s="108"/>
      <c r="CU328" s="108"/>
      <c r="CV328" s="108"/>
      <c r="CW328" s="108"/>
      <c r="CX328" s="108"/>
      <c r="CY328" s="108"/>
      <c r="CZ328" s="43"/>
      <c r="DA328" s="108"/>
      <c r="DB328" s="108"/>
      <c r="DC328" s="108"/>
      <c r="DD328" s="108"/>
      <c r="DE328" s="108"/>
      <c r="DF328" s="108"/>
      <c r="DG328" s="43"/>
      <c r="DH328" s="108"/>
      <c r="DI328" s="108"/>
      <c r="DJ328" s="108"/>
      <c r="DK328" s="108"/>
      <c r="DL328" s="108"/>
      <c r="DM328" s="108"/>
      <c r="DN328" s="43"/>
      <c r="DO328" s="108"/>
      <c r="DP328" s="108"/>
      <c r="DQ328" s="108"/>
      <c r="DR328" s="108"/>
      <c r="DS328" s="108"/>
      <c r="DT328" s="108"/>
      <c r="DU328" s="43"/>
      <c r="DV328" s="108"/>
      <c r="DW328" s="108"/>
      <c r="DX328" s="108"/>
      <c r="DY328" s="108"/>
      <c r="DZ328" s="108"/>
      <c r="EA328" s="108"/>
      <c r="EB328" s="43"/>
      <c r="EC328" s="108"/>
      <c r="ED328" s="108"/>
      <c r="EE328" s="108"/>
      <c r="EF328" s="108"/>
      <c r="EG328" s="108"/>
      <c r="EH328" s="108"/>
      <c r="EI328" s="43"/>
      <c r="EJ328" s="47"/>
      <c r="EK328" s="47"/>
      <c r="EL328" s="47"/>
      <c r="EM328" s="47"/>
      <c r="EN328" s="47"/>
      <c r="EO328" s="47"/>
      <c r="EP328" s="47"/>
      <c r="EQ328" s="47"/>
      <c r="ER328" s="47"/>
      <c r="ES328" s="47"/>
      <c r="ET328" s="47"/>
      <c r="EU328" s="47"/>
      <c r="EV328" s="47"/>
      <c r="EW328" s="47"/>
      <c r="EX328" s="47"/>
      <c r="EY328" s="47"/>
      <c r="EZ328" s="47"/>
      <c r="FA328" s="47"/>
      <c r="FB328" s="47"/>
      <c r="FC328" s="47"/>
      <c r="FD328" s="47"/>
      <c r="FE328" s="47"/>
      <c r="FF328" s="47"/>
      <c r="FG328" s="47"/>
      <c r="FH328" s="47"/>
      <c r="FI328" s="47"/>
      <c r="FJ328" s="47"/>
      <c r="FK328" s="47"/>
      <c r="FL328" s="47"/>
      <c r="FM328" s="47"/>
      <c r="FN328" s="47"/>
      <c r="FO328" s="47"/>
      <c r="FP328" s="47"/>
      <c r="FQ328" s="47"/>
      <c r="FR328" s="47"/>
      <c r="FS328" s="47"/>
      <c r="FT328" s="47"/>
      <c r="FU328" s="47"/>
      <c r="FV328" s="47"/>
      <c r="FW328" s="47"/>
      <c r="FX328" s="47"/>
      <c r="FY328" s="47"/>
      <c r="FZ328" s="47"/>
      <c r="GA328" s="47"/>
      <c r="GB328" s="47"/>
      <c r="GC328" s="47"/>
      <c r="GD328" s="47"/>
      <c r="GE328" s="47"/>
    </row>
    <row r="329" spans="1:187" ht="10.5" customHeight="1">
      <c r="A329" s="43"/>
      <c r="B329" s="108"/>
      <c r="C329" s="108"/>
      <c r="D329" s="108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93"/>
      <c r="U329" s="203"/>
      <c r="V329" s="203"/>
      <c r="W329" s="203"/>
      <c r="X329" s="203"/>
      <c r="Y329" s="203"/>
      <c r="Z329" s="203"/>
      <c r="AA329" s="93"/>
      <c r="AB329" s="203"/>
      <c r="AC329" s="203"/>
      <c r="AD329" s="203"/>
      <c r="AE329" s="203"/>
      <c r="AF329" s="203"/>
      <c r="AG329" s="203"/>
      <c r="AH329" s="93"/>
      <c r="AI329" s="203"/>
      <c r="AJ329" s="203"/>
      <c r="AK329" s="203"/>
      <c r="AL329" s="203"/>
      <c r="AM329" s="203"/>
      <c r="AN329" s="203"/>
      <c r="AO329" s="93"/>
      <c r="AP329" s="203"/>
      <c r="AQ329" s="203"/>
      <c r="AR329" s="203"/>
      <c r="AS329" s="203"/>
      <c r="AT329" s="203"/>
      <c r="AU329" s="203"/>
      <c r="AV329" s="93"/>
      <c r="AW329" s="203"/>
      <c r="AX329" s="203"/>
      <c r="AY329" s="203"/>
      <c r="AZ329" s="203"/>
      <c r="BA329" s="203"/>
      <c r="BB329" s="203"/>
      <c r="BC329" s="93"/>
      <c r="BD329" s="203"/>
      <c r="BE329" s="203"/>
      <c r="BF329" s="203"/>
      <c r="BG329" s="203"/>
      <c r="BH329" s="203"/>
      <c r="BI329" s="203"/>
      <c r="BJ329" s="93"/>
      <c r="BK329" s="203"/>
      <c r="BL329" s="203"/>
      <c r="BM329" s="203"/>
      <c r="BN329" s="203"/>
      <c r="BO329" s="203"/>
      <c r="BP329" s="203"/>
      <c r="BQ329" s="93"/>
      <c r="BR329" s="203"/>
      <c r="BS329" s="203"/>
      <c r="BT329" s="203"/>
      <c r="BU329" s="203"/>
      <c r="BV329" s="203"/>
      <c r="BW329" s="203"/>
      <c r="BX329" s="93"/>
      <c r="BY329" s="203"/>
      <c r="BZ329" s="203"/>
      <c r="CA329" s="203"/>
      <c r="CB329" s="203"/>
      <c r="CC329" s="203"/>
      <c r="CD329" s="203"/>
      <c r="CE329" s="93"/>
      <c r="CF329" s="203"/>
      <c r="CG329" s="203"/>
      <c r="CH329" s="203"/>
      <c r="CI329" s="203"/>
      <c r="CJ329" s="203"/>
      <c r="CK329" s="203"/>
      <c r="CL329" s="93"/>
      <c r="CM329" s="203"/>
      <c r="CN329" s="203"/>
      <c r="CO329" s="203"/>
      <c r="CP329" s="203"/>
      <c r="CQ329" s="203"/>
      <c r="CR329" s="203"/>
      <c r="CS329" s="93"/>
      <c r="CT329" s="203"/>
      <c r="CU329" s="203"/>
      <c r="CV329" s="203"/>
      <c r="CW329" s="203"/>
      <c r="CX329" s="203"/>
      <c r="CY329" s="203"/>
      <c r="CZ329" s="93"/>
      <c r="DA329" s="203"/>
      <c r="DB329" s="203"/>
      <c r="DC329" s="203"/>
      <c r="DD329" s="203"/>
      <c r="DE329" s="203"/>
      <c r="DF329" s="203"/>
      <c r="DG329" s="93"/>
      <c r="DH329" s="203"/>
      <c r="DI329" s="203"/>
      <c r="DJ329" s="203"/>
      <c r="DK329" s="203"/>
      <c r="DL329" s="203"/>
      <c r="DM329" s="203"/>
      <c r="DN329" s="93"/>
      <c r="DO329" s="203"/>
      <c r="DP329" s="203"/>
      <c r="DQ329" s="203"/>
      <c r="DR329" s="203"/>
      <c r="DS329" s="203"/>
      <c r="DT329" s="203"/>
      <c r="DU329" s="93"/>
      <c r="DV329" s="203"/>
      <c r="DW329" s="203"/>
      <c r="DX329" s="203"/>
      <c r="DY329" s="203"/>
      <c r="DZ329" s="203"/>
      <c r="EA329" s="203"/>
      <c r="EB329" s="93"/>
      <c r="EC329" s="203"/>
      <c r="ED329" s="203"/>
      <c r="EE329" s="203"/>
      <c r="EF329" s="203"/>
      <c r="EG329" s="203"/>
      <c r="EH329" s="203"/>
      <c r="EI329" s="93"/>
      <c r="EJ329" s="47"/>
      <c r="EK329" s="47"/>
      <c r="EL329" s="47"/>
      <c r="EM329" s="47"/>
      <c r="EN329" s="47"/>
      <c r="EO329" s="47"/>
      <c r="EP329" s="47"/>
      <c r="EQ329" s="47"/>
      <c r="ER329" s="47"/>
      <c r="ES329" s="47"/>
      <c r="ET329" s="47"/>
      <c r="EU329" s="47"/>
      <c r="EV329" s="47"/>
      <c r="EW329" s="47"/>
      <c r="EX329" s="47"/>
      <c r="EY329" s="47"/>
      <c r="EZ329" s="47"/>
      <c r="FA329" s="47"/>
      <c r="FB329" s="47"/>
      <c r="FC329" s="47"/>
      <c r="FD329" s="47"/>
      <c r="FE329" s="47"/>
      <c r="FF329" s="47"/>
      <c r="FG329" s="47"/>
      <c r="FH329" s="47"/>
      <c r="FI329" s="47"/>
      <c r="FJ329" s="47"/>
      <c r="FK329" s="47"/>
      <c r="FL329" s="47"/>
      <c r="FM329" s="47"/>
      <c r="FN329" s="47"/>
      <c r="FO329" s="47"/>
      <c r="FP329" s="47"/>
      <c r="FQ329" s="47"/>
      <c r="FR329" s="47"/>
      <c r="FS329" s="47"/>
      <c r="FT329" s="47"/>
      <c r="FU329" s="47"/>
      <c r="FV329" s="47"/>
      <c r="FW329" s="47"/>
      <c r="FX329" s="47"/>
      <c r="FY329" s="47"/>
      <c r="FZ329" s="47"/>
      <c r="GA329" s="47"/>
      <c r="GB329" s="47"/>
      <c r="GC329" s="47"/>
      <c r="GD329" s="47"/>
      <c r="GE329" s="47"/>
    </row>
    <row r="330" spans="1:187" ht="10.5" customHeight="1">
      <c r="A330" s="43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43"/>
      <c r="U330" s="108"/>
      <c r="V330" s="108"/>
      <c r="W330" s="108"/>
      <c r="X330" s="108"/>
      <c r="Y330" s="108"/>
      <c r="Z330" s="108"/>
      <c r="AA330" s="43"/>
      <c r="AB330" s="108"/>
      <c r="AC330" s="108"/>
      <c r="AD330" s="108"/>
      <c r="AE330" s="108"/>
      <c r="AF330" s="108"/>
      <c r="AG330" s="108"/>
      <c r="AH330" s="43"/>
      <c r="AI330" s="108"/>
      <c r="AJ330" s="108"/>
      <c r="AK330" s="108"/>
      <c r="AL330" s="108"/>
      <c r="AM330" s="108"/>
      <c r="AN330" s="108"/>
      <c r="AO330" s="43"/>
      <c r="AP330" s="108"/>
      <c r="AQ330" s="108"/>
      <c r="AR330" s="108"/>
      <c r="AS330" s="108"/>
      <c r="AT330" s="108"/>
      <c r="AU330" s="108"/>
      <c r="AV330" s="43"/>
      <c r="AW330" s="108"/>
      <c r="AX330" s="108"/>
      <c r="AY330" s="108"/>
      <c r="AZ330" s="108"/>
      <c r="BA330" s="108"/>
      <c r="BB330" s="108"/>
      <c r="BC330" s="43"/>
      <c r="BD330" s="108"/>
      <c r="BE330" s="108"/>
      <c r="BF330" s="108"/>
      <c r="BG330" s="108"/>
      <c r="BH330" s="108"/>
      <c r="BI330" s="108"/>
      <c r="BJ330" s="43"/>
      <c r="BK330" s="108"/>
      <c r="BL330" s="108"/>
      <c r="BM330" s="108"/>
      <c r="BN330" s="108"/>
      <c r="BO330" s="108"/>
      <c r="BP330" s="108"/>
      <c r="BQ330" s="43"/>
      <c r="BR330" s="108"/>
      <c r="BS330" s="108"/>
      <c r="BT330" s="108"/>
      <c r="BU330" s="108"/>
      <c r="BV330" s="108"/>
      <c r="BW330" s="108"/>
      <c r="BX330" s="43"/>
      <c r="BY330" s="108"/>
      <c r="BZ330" s="108"/>
      <c r="CA330" s="108"/>
      <c r="CB330" s="108"/>
      <c r="CC330" s="108"/>
      <c r="CD330" s="108"/>
      <c r="CE330" s="43"/>
      <c r="CF330" s="108"/>
      <c r="CG330" s="108"/>
      <c r="CH330" s="108"/>
      <c r="CI330" s="108"/>
      <c r="CJ330" s="108"/>
      <c r="CK330" s="108"/>
      <c r="CL330" s="43"/>
      <c r="CM330" s="108"/>
      <c r="CN330" s="108"/>
      <c r="CO330" s="108"/>
      <c r="CP330" s="108"/>
      <c r="CQ330" s="108"/>
      <c r="CR330" s="108"/>
      <c r="CS330" s="43"/>
      <c r="CT330" s="108"/>
      <c r="CU330" s="108"/>
      <c r="CV330" s="108"/>
      <c r="CW330" s="108"/>
      <c r="CX330" s="108"/>
      <c r="CY330" s="108"/>
      <c r="CZ330" s="43"/>
      <c r="DA330" s="108"/>
      <c r="DB330" s="108"/>
      <c r="DC330" s="108"/>
      <c r="DD330" s="108"/>
      <c r="DE330" s="108"/>
      <c r="DF330" s="108"/>
      <c r="DG330" s="43"/>
      <c r="DH330" s="108"/>
      <c r="DI330" s="108"/>
      <c r="DJ330" s="108"/>
      <c r="DK330" s="108"/>
      <c r="DL330" s="108"/>
      <c r="DM330" s="108"/>
      <c r="DN330" s="43"/>
      <c r="DO330" s="108"/>
      <c r="DP330" s="108"/>
      <c r="DQ330" s="108"/>
      <c r="DR330" s="108"/>
      <c r="DS330" s="108"/>
      <c r="DT330" s="108"/>
      <c r="DU330" s="43"/>
      <c r="DV330" s="108"/>
      <c r="DW330" s="108"/>
      <c r="DX330" s="108"/>
      <c r="DY330" s="108"/>
      <c r="DZ330" s="108"/>
      <c r="EA330" s="108"/>
      <c r="EB330" s="43"/>
      <c r="EC330" s="108"/>
      <c r="ED330" s="108"/>
      <c r="EE330" s="108"/>
      <c r="EF330" s="108"/>
      <c r="EG330" s="108"/>
      <c r="EH330" s="108"/>
      <c r="EI330" s="43"/>
      <c r="EJ330" s="47"/>
      <c r="EK330" s="47"/>
      <c r="EL330" s="47"/>
      <c r="EM330" s="47"/>
      <c r="EN330" s="47"/>
      <c r="EO330" s="47"/>
      <c r="EP330" s="47"/>
      <c r="EQ330" s="47"/>
      <c r="ER330" s="47"/>
      <c r="ES330" s="47"/>
      <c r="ET330" s="47"/>
      <c r="EU330" s="47"/>
      <c r="EV330" s="47"/>
      <c r="EW330" s="47"/>
      <c r="EX330" s="47"/>
      <c r="EY330" s="47"/>
      <c r="EZ330" s="47"/>
      <c r="FA330" s="47"/>
      <c r="FB330" s="47"/>
      <c r="FC330" s="47"/>
      <c r="FD330" s="47"/>
      <c r="FE330" s="47"/>
      <c r="FF330" s="47"/>
      <c r="FG330" s="47"/>
      <c r="FH330" s="47"/>
      <c r="FI330" s="47"/>
      <c r="FJ330" s="47"/>
      <c r="FK330" s="47"/>
      <c r="FL330" s="47"/>
      <c r="FM330" s="47"/>
      <c r="FN330" s="47"/>
      <c r="FO330" s="47"/>
      <c r="FP330" s="47"/>
      <c r="FQ330" s="47"/>
      <c r="FR330" s="47"/>
      <c r="FS330" s="47"/>
      <c r="FT330" s="47"/>
      <c r="FU330" s="47"/>
      <c r="FV330" s="47"/>
      <c r="FW330" s="47"/>
      <c r="FX330" s="47"/>
      <c r="FY330" s="47"/>
      <c r="FZ330" s="47"/>
      <c r="GA330" s="47"/>
      <c r="GB330" s="47"/>
      <c r="GC330" s="47"/>
      <c r="GD330" s="47"/>
      <c r="GE330" s="47"/>
    </row>
    <row r="331" spans="1:187" ht="10.5" customHeight="1">
      <c r="A331" s="43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203"/>
      <c r="M331" s="203"/>
      <c r="N331" s="203"/>
      <c r="O331" s="203"/>
      <c r="P331" s="203"/>
      <c r="Q331" s="203"/>
      <c r="R331" s="203"/>
      <c r="S331" s="203"/>
      <c r="T331" s="93"/>
      <c r="U331" s="203"/>
      <c r="V331" s="203"/>
      <c r="W331" s="203"/>
      <c r="X331" s="203"/>
      <c r="Y331" s="203"/>
      <c r="Z331" s="203"/>
      <c r="AA331" s="93"/>
      <c r="AB331" s="203"/>
      <c r="AC331" s="203"/>
      <c r="AD331" s="203"/>
      <c r="AE331" s="203"/>
      <c r="AF331" s="203"/>
      <c r="AG331" s="203"/>
      <c r="AH331" s="93"/>
      <c r="AI331" s="203"/>
      <c r="AJ331" s="203"/>
      <c r="AK331" s="203"/>
      <c r="AL331" s="203"/>
      <c r="AM331" s="203"/>
      <c r="AN331" s="203"/>
      <c r="AO331" s="93"/>
      <c r="AP331" s="203"/>
      <c r="AQ331" s="203"/>
      <c r="AR331" s="203"/>
      <c r="AS331" s="203"/>
      <c r="AT331" s="203"/>
      <c r="AU331" s="203"/>
      <c r="AV331" s="93"/>
      <c r="AW331" s="203"/>
      <c r="AX331" s="203"/>
      <c r="AY331" s="203"/>
      <c r="AZ331" s="203"/>
      <c r="BA331" s="203"/>
      <c r="BB331" s="203"/>
      <c r="BC331" s="93"/>
      <c r="BD331" s="203"/>
      <c r="BE331" s="203"/>
      <c r="BF331" s="203"/>
      <c r="BG331" s="203"/>
      <c r="BH331" s="203"/>
      <c r="BI331" s="203"/>
      <c r="BJ331" s="93"/>
      <c r="BK331" s="203"/>
      <c r="BL331" s="203"/>
      <c r="BM331" s="203"/>
      <c r="BN331" s="203"/>
      <c r="BO331" s="203"/>
      <c r="BP331" s="203"/>
      <c r="BQ331" s="93"/>
      <c r="BR331" s="203"/>
      <c r="BS331" s="203"/>
      <c r="BT331" s="203"/>
      <c r="BU331" s="203"/>
      <c r="BV331" s="203"/>
      <c r="BW331" s="203"/>
      <c r="BX331" s="93"/>
      <c r="BY331" s="203"/>
      <c r="BZ331" s="203"/>
      <c r="CA331" s="203"/>
      <c r="CB331" s="203"/>
      <c r="CC331" s="203"/>
      <c r="CD331" s="203"/>
      <c r="CE331" s="93"/>
      <c r="CF331" s="203"/>
      <c r="CG331" s="203"/>
      <c r="CH331" s="203"/>
      <c r="CI331" s="203"/>
      <c r="CJ331" s="203"/>
      <c r="CK331" s="203"/>
      <c r="CL331" s="93"/>
      <c r="CM331" s="203"/>
      <c r="CN331" s="203"/>
      <c r="CO331" s="203"/>
      <c r="CP331" s="203"/>
      <c r="CQ331" s="203"/>
      <c r="CR331" s="203"/>
      <c r="CS331" s="93"/>
      <c r="CT331" s="203"/>
      <c r="CU331" s="203"/>
      <c r="CV331" s="203"/>
      <c r="CW331" s="203"/>
      <c r="CX331" s="203"/>
      <c r="CY331" s="203"/>
      <c r="CZ331" s="93"/>
      <c r="DA331" s="203"/>
      <c r="DB331" s="203"/>
      <c r="DC331" s="203"/>
      <c r="DD331" s="203"/>
      <c r="DE331" s="203"/>
      <c r="DF331" s="203"/>
      <c r="DG331" s="93"/>
      <c r="DH331" s="203"/>
      <c r="DI331" s="203"/>
      <c r="DJ331" s="203"/>
      <c r="DK331" s="203"/>
      <c r="DL331" s="203"/>
      <c r="DM331" s="203"/>
      <c r="DN331" s="93"/>
      <c r="DO331" s="203"/>
      <c r="DP331" s="203"/>
      <c r="DQ331" s="203"/>
      <c r="DR331" s="203"/>
      <c r="DS331" s="203"/>
      <c r="DT331" s="203"/>
      <c r="DU331" s="93"/>
      <c r="DV331" s="203"/>
      <c r="DW331" s="203"/>
      <c r="DX331" s="203"/>
      <c r="DY331" s="203"/>
      <c r="DZ331" s="203"/>
      <c r="EA331" s="203"/>
      <c r="EB331" s="93"/>
      <c r="EC331" s="203"/>
      <c r="ED331" s="203"/>
      <c r="EE331" s="203"/>
      <c r="EF331" s="203"/>
      <c r="EG331" s="203"/>
      <c r="EH331" s="203"/>
      <c r="EI331" s="93"/>
      <c r="EJ331" s="47"/>
      <c r="EK331" s="47"/>
      <c r="EL331" s="47"/>
      <c r="EM331" s="47"/>
      <c r="EN331" s="47"/>
      <c r="EO331" s="47"/>
      <c r="EP331" s="47"/>
      <c r="EQ331" s="47"/>
      <c r="ER331" s="47"/>
      <c r="ES331" s="47"/>
      <c r="ET331" s="47"/>
      <c r="EU331" s="47"/>
      <c r="EV331" s="47"/>
      <c r="EW331" s="47"/>
      <c r="EX331" s="47"/>
      <c r="EY331" s="47"/>
      <c r="EZ331" s="47"/>
      <c r="FA331" s="47"/>
      <c r="FB331" s="47"/>
      <c r="FC331" s="47"/>
      <c r="FD331" s="47"/>
      <c r="FE331" s="47"/>
      <c r="FF331" s="47"/>
      <c r="FG331" s="47"/>
      <c r="FH331" s="47"/>
      <c r="FI331" s="47"/>
      <c r="FJ331" s="47"/>
      <c r="FK331" s="47"/>
      <c r="FL331" s="47"/>
      <c r="FM331" s="47"/>
      <c r="FN331" s="47"/>
      <c r="FO331" s="47"/>
      <c r="FP331" s="47"/>
      <c r="FQ331" s="47"/>
      <c r="FR331" s="47"/>
      <c r="FS331" s="47"/>
      <c r="FT331" s="47"/>
      <c r="FU331" s="47"/>
      <c r="FV331" s="47"/>
      <c r="FW331" s="47"/>
      <c r="FX331" s="47"/>
      <c r="FY331" s="47"/>
      <c r="FZ331" s="47"/>
      <c r="GA331" s="47"/>
      <c r="GB331" s="47"/>
      <c r="GC331" s="47"/>
      <c r="GD331" s="47"/>
      <c r="GE331" s="47"/>
    </row>
    <row r="332" spans="1:187" ht="10.5" customHeight="1">
      <c r="A332" s="43"/>
      <c r="B332" s="108"/>
      <c r="C332" s="135"/>
      <c r="D332" s="135"/>
      <c r="E332" s="135"/>
      <c r="F332" s="135"/>
      <c r="G332" s="135"/>
      <c r="H332" s="135"/>
      <c r="I332" s="135"/>
      <c r="J332" s="135"/>
      <c r="K332" s="135"/>
      <c r="L332" s="203"/>
      <c r="M332" s="203"/>
      <c r="N332" s="203"/>
      <c r="O332" s="203"/>
      <c r="P332" s="203"/>
      <c r="Q332" s="203"/>
      <c r="R332" s="203"/>
      <c r="S332" s="203"/>
      <c r="T332" s="93"/>
      <c r="U332" s="203"/>
      <c r="V332" s="203"/>
      <c r="W332" s="203"/>
      <c r="X332" s="203"/>
      <c r="Y332" s="203"/>
      <c r="Z332" s="203"/>
      <c r="AA332" s="93"/>
      <c r="AB332" s="203"/>
      <c r="AC332" s="203"/>
      <c r="AD332" s="203"/>
      <c r="AE332" s="203"/>
      <c r="AF332" s="203"/>
      <c r="AG332" s="203"/>
      <c r="AH332" s="93"/>
      <c r="AI332" s="203"/>
      <c r="AJ332" s="203"/>
      <c r="AK332" s="203"/>
      <c r="AL332" s="203"/>
      <c r="AM332" s="203"/>
      <c r="AN332" s="203"/>
      <c r="AO332" s="93"/>
      <c r="AP332" s="203"/>
      <c r="AQ332" s="203"/>
      <c r="AR332" s="203"/>
      <c r="AS332" s="203"/>
      <c r="AT332" s="203"/>
      <c r="AU332" s="203"/>
      <c r="AV332" s="93"/>
      <c r="AW332" s="203"/>
      <c r="AX332" s="203"/>
      <c r="AY332" s="203"/>
      <c r="AZ332" s="203"/>
      <c r="BA332" s="203"/>
      <c r="BB332" s="203"/>
      <c r="BC332" s="93"/>
      <c r="BD332" s="203"/>
      <c r="BE332" s="203"/>
      <c r="BF332" s="203"/>
      <c r="BG332" s="203"/>
      <c r="BH332" s="203"/>
      <c r="BI332" s="203"/>
      <c r="BJ332" s="93"/>
      <c r="BK332" s="203"/>
      <c r="BL332" s="203"/>
      <c r="BM332" s="203"/>
      <c r="BN332" s="203"/>
      <c r="BO332" s="203"/>
      <c r="BP332" s="203"/>
      <c r="BQ332" s="93"/>
      <c r="BR332" s="203"/>
      <c r="BS332" s="203"/>
      <c r="BT332" s="203"/>
      <c r="BU332" s="203"/>
      <c r="BV332" s="203"/>
      <c r="BW332" s="203"/>
      <c r="BX332" s="93"/>
      <c r="BY332" s="203"/>
      <c r="BZ332" s="203"/>
      <c r="CA332" s="203"/>
      <c r="CB332" s="203"/>
      <c r="CC332" s="203"/>
      <c r="CD332" s="203"/>
      <c r="CE332" s="93"/>
      <c r="CF332" s="203"/>
      <c r="CG332" s="203"/>
      <c r="CH332" s="203"/>
      <c r="CI332" s="203"/>
      <c r="CJ332" s="203"/>
      <c r="CK332" s="203"/>
      <c r="CL332" s="93"/>
      <c r="CM332" s="203"/>
      <c r="CN332" s="203"/>
      <c r="CO332" s="203"/>
      <c r="CP332" s="203"/>
      <c r="CQ332" s="203"/>
      <c r="CR332" s="203"/>
      <c r="CS332" s="93"/>
      <c r="CT332" s="203"/>
      <c r="CU332" s="203"/>
      <c r="CV332" s="203"/>
      <c r="CW332" s="203"/>
      <c r="CX332" s="203"/>
      <c r="CY332" s="203"/>
      <c r="CZ332" s="93"/>
      <c r="DA332" s="203"/>
      <c r="DB332" s="203"/>
      <c r="DC332" s="203"/>
      <c r="DD332" s="203"/>
      <c r="DE332" s="203"/>
      <c r="DF332" s="203"/>
      <c r="DG332" s="93"/>
      <c r="DH332" s="203"/>
      <c r="DI332" s="203"/>
      <c r="DJ332" s="203"/>
      <c r="DK332" s="203"/>
      <c r="DL332" s="203"/>
      <c r="DM332" s="203"/>
      <c r="DN332" s="93"/>
      <c r="DO332" s="203"/>
      <c r="DP332" s="203"/>
      <c r="DQ332" s="203"/>
      <c r="DR332" s="203"/>
      <c r="DS332" s="203"/>
      <c r="DT332" s="203"/>
      <c r="DU332" s="93"/>
      <c r="DV332" s="203"/>
      <c r="DW332" s="203"/>
      <c r="DX332" s="203"/>
      <c r="DY332" s="203"/>
      <c r="DZ332" s="203"/>
      <c r="EA332" s="203"/>
      <c r="EB332" s="93"/>
      <c r="EC332" s="203"/>
      <c r="ED332" s="203"/>
      <c r="EE332" s="203"/>
      <c r="EF332" s="203"/>
      <c r="EG332" s="203"/>
      <c r="EH332" s="203"/>
      <c r="EI332" s="93"/>
      <c r="EJ332" s="47"/>
      <c r="EK332" s="47"/>
      <c r="EL332" s="47"/>
      <c r="EM332" s="47"/>
      <c r="EN332" s="47"/>
      <c r="EO332" s="47"/>
      <c r="EP332" s="47"/>
      <c r="EQ332" s="47"/>
      <c r="ER332" s="47"/>
      <c r="ES332" s="47"/>
      <c r="ET332" s="47"/>
      <c r="EU332" s="47"/>
      <c r="EV332" s="47"/>
      <c r="EW332" s="47"/>
      <c r="EX332" s="47"/>
      <c r="EY332" s="47"/>
      <c r="EZ332" s="47"/>
      <c r="FA332" s="47"/>
      <c r="FB332" s="47"/>
      <c r="FC332" s="47"/>
      <c r="FD332" s="47"/>
      <c r="FE332" s="47"/>
      <c r="FF332" s="47"/>
      <c r="FG332" s="47"/>
      <c r="FH332" s="47"/>
      <c r="FI332" s="47"/>
      <c r="FJ332" s="47"/>
      <c r="FK332" s="47"/>
      <c r="FL332" s="47"/>
      <c r="FM332" s="47"/>
      <c r="FN332" s="47"/>
      <c r="FO332" s="47"/>
      <c r="FP332" s="47"/>
      <c r="FQ332" s="47"/>
      <c r="FR332" s="47"/>
      <c r="FS332" s="47"/>
      <c r="FT332" s="47"/>
      <c r="FU332" s="47"/>
      <c r="FV332" s="47"/>
      <c r="FW332" s="47"/>
      <c r="FX332" s="47"/>
      <c r="FY332" s="47"/>
      <c r="FZ332" s="47"/>
      <c r="GA332" s="47"/>
      <c r="GB332" s="47"/>
      <c r="GC332" s="47"/>
      <c r="GD332" s="47"/>
      <c r="GE332" s="47"/>
    </row>
    <row r="333" spans="1:187" ht="10.5" customHeight="1">
      <c r="A333" s="43"/>
      <c r="B333" s="108"/>
      <c r="C333" s="135"/>
      <c r="D333" s="176"/>
      <c r="E333" s="176"/>
      <c r="F333" s="176"/>
      <c r="G333" s="176"/>
      <c r="H333" s="176"/>
      <c r="I333" s="176"/>
      <c r="J333" s="176"/>
      <c r="K333" s="176"/>
      <c r="L333" s="203"/>
      <c r="M333" s="203"/>
      <c r="N333" s="203"/>
      <c r="O333" s="203"/>
      <c r="P333" s="203"/>
      <c r="Q333" s="203"/>
      <c r="R333" s="203"/>
      <c r="S333" s="203"/>
      <c r="T333" s="93"/>
      <c r="U333" s="203"/>
      <c r="V333" s="203"/>
      <c r="W333" s="203"/>
      <c r="X333" s="203"/>
      <c r="Y333" s="203"/>
      <c r="Z333" s="203"/>
      <c r="AA333" s="93"/>
      <c r="AB333" s="203"/>
      <c r="AC333" s="203"/>
      <c r="AD333" s="203"/>
      <c r="AE333" s="203"/>
      <c r="AF333" s="203"/>
      <c r="AG333" s="203"/>
      <c r="AH333" s="93"/>
      <c r="AI333" s="203"/>
      <c r="AJ333" s="203"/>
      <c r="AK333" s="203"/>
      <c r="AL333" s="203"/>
      <c r="AM333" s="203"/>
      <c r="AN333" s="203"/>
      <c r="AO333" s="93"/>
      <c r="AP333" s="203"/>
      <c r="AQ333" s="203"/>
      <c r="AR333" s="203"/>
      <c r="AS333" s="203"/>
      <c r="AT333" s="203"/>
      <c r="AU333" s="203"/>
      <c r="AV333" s="93"/>
      <c r="AW333" s="203"/>
      <c r="AX333" s="203"/>
      <c r="AY333" s="203"/>
      <c r="AZ333" s="203"/>
      <c r="BA333" s="203"/>
      <c r="BB333" s="203"/>
      <c r="BC333" s="93"/>
      <c r="BD333" s="203"/>
      <c r="BE333" s="203"/>
      <c r="BF333" s="203"/>
      <c r="BG333" s="203"/>
      <c r="BH333" s="203"/>
      <c r="BI333" s="203"/>
      <c r="BJ333" s="93"/>
      <c r="BK333" s="203"/>
      <c r="BL333" s="203"/>
      <c r="BM333" s="203"/>
      <c r="BN333" s="203"/>
      <c r="BO333" s="203"/>
      <c r="BP333" s="203"/>
      <c r="BQ333" s="93"/>
      <c r="BR333" s="203"/>
      <c r="BS333" s="203"/>
      <c r="BT333" s="203"/>
      <c r="BU333" s="203"/>
      <c r="BV333" s="203"/>
      <c r="BW333" s="203"/>
      <c r="BX333" s="93"/>
      <c r="BY333" s="203"/>
      <c r="BZ333" s="203"/>
      <c r="CA333" s="203"/>
      <c r="CB333" s="203"/>
      <c r="CC333" s="203"/>
      <c r="CD333" s="203"/>
      <c r="CE333" s="93"/>
      <c r="CF333" s="203"/>
      <c r="CG333" s="203"/>
      <c r="CH333" s="203"/>
      <c r="CI333" s="203"/>
      <c r="CJ333" s="203"/>
      <c r="CK333" s="203"/>
      <c r="CL333" s="93"/>
      <c r="CM333" s="203"/>
      <c r="CN333" s="203"/>
      <c r="CO333" s="203"/>
      <c r="CP333" s="203"/>
      <c r="CQ333" s="203"/>
      <c r="CR333" s="203"/>
      <c r="CS333" s="93"/>
      <c r="CT333" s="203"/>
      <c r="CU333" s="203"/>
      <c r="CV333" s="203"/>
      <c r="CW333" s="203"/>
      <c r="CX333" s="203"/>
      <c r="CY333" s="203"/>
      <c r="CZ333" s="93"/>
      <c r="DA333" s="203"/>
      <c r="DB333" s="203"/>
      <c r="DC333" s="203"/>
      <c r="DD333" s="203"/>
      <c r="DE333" s="203"/>
      <c r="DF333" s="203"/>
      <c r="DG333" s="93"/>
      <c r="DH333" s="203"/>
      <c r="DI333" s="203"/>
      <c r="DJ333" s="203"/>
      <c r="DK333" s="203"/>
      <c r="DL333" s="203"/>
      <c r="DM333" s="203"/>
      <c r="DN333" s="93"/>
      <c r="DO333" s="203"/>
      <c r="DP333" s="203"/>
      <c r="DQ333" s="203"/>
      <c r="DR333" s="203"/>
      <c r="DS333" s="203"/>
      <c r="DT333" s="203"/>
      <c r="DU333" s="93"/>
      <c r="DV333" s="203"/>
      <c r="DW333" s="203"/>
      <c r="DX333" s="203"/>
      <c r="DY333" s="203"/>
      <c r="DZ333" s="203"/>
      <c r="EA333" s="203"/>
      <c r="EB333" s="93"/>
      <c r="EC333" s="203"/>
      <c r="ED333" s="203"/>
      <c r="EE333" s="203"/>
      <c r="EF333" s="203"/>
      <c r="EG333" s="203"/>
      <c r="EH333" s="203"/>
      <c r="EI333" s="93"/>
      <c r="EJ333" s="47"/>
      <c r="EK333" s="47"/>
      <c r="EL333" s="47"/>
      <c r="EM333" s="47"/>
      <c r="EN333" s="47"/>
      <c r="EO333" s="47"/>
      <c r="EP333" s="47"/>
      <c r="EQ333" s="47"/>
      <c r="ER333" s="47"/>
      <c r="ES333" s="47"/>
      <c r="ET333" s="47"/>
      <c r="EU333" s="47"/>
      <c r="EV333" s="47"/>
      <c r="EW333" s="47"/>
      <c r="EX333" s="47"/>
      <c r="EY333" s="47"/>
      <c r="EZ333" s="47"/>
      <c r="FA333" s="47"/>
      <c r="FB333" s="47"/>
      <c r="FC333" s="47"/>
      <c r="FD333" s="47"/>
      <c r="FE333" s="47"/>
      <c r="FF333" s="47"/>
      <c r="FG333" s="47"/>
      <c r="FH333" s="47"/>
      <c r="FI333" s="47"/>
      <c r="FJ333" s="47"/>
      <c r="FK333" s="47"/>
      <c r="FL333" s="47"/>
      <c r="FM333" s="47"/>
      <c r="FN333" s="47"/>
      <c r="FO333" s="47"/>
      <c r="FP333" s="47"/>
      <c r="FQ333" s="47"/>
      <c r="FR333" s="47"/>
      <c r="FS333" s="47"/>
      <c r="FT333" s="47"/>
      <c r="FU333" s="47"/>
      <c r="FV333" s="47"/>
      <c r="FW333" s="47"/>
      <c r="FX333" s="47"/>
      <c r="FY333" s="47"/>
      <c r="FZ333" s="47"/>
      <c r="GA333" s="47"/>
      <c r="GB333" s="47"/>
      <c r="GC333" s="47"/>
      <c r="GD333" s="47"/>
      <c r="GE333" s="47"/>
    </row>
    <row r="334" spans="1:187" ht="10.5" customHeight="1">
      <c r="A334" s="43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43"/>
      <c r="U334" s="108"/>
      <c r="V334" s="108"/>
      <c r="W334" s="108"/>
      <c r="X334" s="108"/>
      <c r="Y334" s="108"/>
      <c r="Z334" s="108"/>
      <c r="AA334" s="43"/>
      <c r="AB334" s="108"/>
      <c r="AC334" s="108"/>
      <c r="AD334" s="108"/>
      <c r="AE334" s="108"/>
      <c r="AF334" s="108"/>
      <c r="AG334" s="108"/>
      <c r="AH334" s="43"/>
      <c r="AI334" s="108"/>
      <c r="AJ334" s="108"/>
      <c r="AK334" s="108"/>
      <c r="AL334" s="108"/>
      <c r="AM334" s="108"/>
      <c r="AN334" s="108"/>
      <c r="AO334" s="43"/>
      <c r="AP334" s="108"/>
      <c r="AQ334" s="108"/>
      <c r="AR334" s="108"/>
      <c r="AS334" s="108"/>
      <c r="AT334" s="108"/>
      <c r="AU334" s="108"/>
      <c r="AV334" s="43"/>
      <c r="AW334" s="108"/>
      <c r="AX334" s="108"/>
      <c r="AY334" s="108"/>
      <c r="AZ334" s="108"/>
      <c r="BA334" s="108"/>
      <c r="BB334" s="108"/>
      <c r="BC334" s="43"/>
      <c r="BD334" s="108"/>
      <c r="BE334" s="108"/>
      <c r="BF334" s="108"/>
      <c r="BG334" s="108"/>
      <c r="BH334" s="108"/>
      <c r="BI334" s="108"/>
      <c r="BJ334" s="43"/>
      <c r="BK334" s="108"/>
      <c r="BL334" s="108"/>
      <c r="BM334" s="108"/>
      <c r="BN334" s="108"/>
      <c r="BO334" s="108"/>
      <c r="BP334" s="108"/>
      <c r="BQ334" s="43"/>
      <c r="BR334" s="108"/>
      <c r="BS334" s="108"/>
      <c r="BT334" s="108"/>
      <c r="BU334" s="108"/>
      <c r="BV334" s="108"/>
      <c r="BW334" s="108"/>
      <c r="BX334" s="43"/>
      <c r="BY334" s="108"/>
      <c r="BZ334" s="108"/>
      <c r="CA334" s="108"/>
      <c r="CB334" s="108"/>
      <c r="CC334" s="108"/>
      <c r="CD334" s="108"/>
      <c r="CE334" s="43"/>
      <c r="CF334" s="108"/>
      <c r="CG334" s="108"/>
      <c r="CH334" s="108"/>
      <c r="CI334" s="108"/>
      <c r="CJ334" s="108"/>
      <c r="CK334" s="108"/>
      <c r="CL334" s="43"/>
      <c r="CM334" s="108"/>
      <c r="CN334" s="108"/>
      <c r="CO334" s="108"/>
      <c r="CP334" s="108"/>
      <c r="CQ334" s="108"/>
      <c r="CR334" s="108"/>
      <c r="CS334" s="43"/>
      <c r="CT334" s="108"/>
      <c r="CU334" s="108"/>
      <c r="CV334" s="108"/>
      <c r="CW334" s="108"/>
      <c r="CX334" s="108"/>
      <c r="CY334" s="108"/>
      <c r="CZ334" s="43"/>
      <c r="DA334" s="108"/>
      <c r="DB334" s="108"/>
      <c r="DC334" s="108"/>
      <c r="DD334" s="108"/>
      <c r="DE334" s="108"/>
      <c r="DF334" s="108"/>
      <c r="DG334" s="43"/>
      <c r="DH334" s="108"/>
      <c r="DI334" s="108"/>
      <c r="DJ334" s="108"/>
      <c r="DK334" s="108"/>
      <c r="DL334" s="108"/>
      <c r="DM334" s="108"/>
      <c r="DN334" s="43"/>
      <c r="DO334" s="108"/>
      <c r="DP334" s="108"/>
      <c r="DQ334" s="108"/>
      <c r="DR334" s="108"/>
      <c r="DS334" s="108"/>
      <c r="DT334" s="108"/>
      <c r="DU334" s="43"/>
      <c r="DV334" s="108"/>
      <c r="DW334" s="108"/>
      <c r="DX334" s="108"/>
      <c r="DY334" s="108"/>
      <c r="DZ334" s="108"/>
      <c r="EA334" s="108"/>
      <c r="EB334" s="43"/>
      <c r="EC334" s="108"/>
      <c r="ED334" s="108"/>
      <c r="EE334" s="108"/>
      <c r="EF334" s="108"/>
      <c r="EG334" s="108"/>
      <c r="EH334" s="108"/>
      <c r="EI334" s="43"/>
      <c r="EJ334" s="47"/>
      <c r="EK334" s="47"/>
      <c r="EL334" s="47"/>
      <c r="EM334" s="47"/>
      <c r="EN334" s="47"/>
      <c r="EO334" s="47"/>
      <c r="EP334" s="47"/>
      <c r="EQ334" s="47"/>
      <c r="ER334" s="47"/>
      <c r="ES334" s="47"/>
      <c r="ET334" s="47"/>
      <c r="EU334" s="47"/>
      <c r="EV334" s="47"/>
      <c r="EW334" s="47"/>
      <c r="EX334" s="47"/>
      <c r="EY334" s="47"/>
      <c r="EZ334" s="47"/>
      <c r="FA334" s="47"/>
      <c r="FB334" s="47"/>
      <c r="FC334" s="47"/>
      <c r="FD334" s="47"/>
      <c r="FE334" s="47"/>
      <c r="FF334" s="47"/>
      <c r="FG334" s="47"/>
      <c r="FH334" s="47"/>
      <c r="FI334" s="47"/>
      <c r="FJ334" s="47"/>
      <c r="FK334" s="47"/>
      <c r="FL334" s="47"/>
      <c r="FM334" s="47"/>
      <c r="FN334" s="47"/>
      <c r="FO334" s="47"/>
      <c r="FP334" s="47"/>
      <c r="FQ334" s="47"/>
      <c r="FR334" s="47"/>
      <c r="FS334" s="47"/>
      <c r="FT334" s="47"/>
      <c r="FU334" s="47"/>
      <c r="FV334" s="47"/>
      <c r="FW334" s="47"/>
      <c r="FX334" s="47"/>
      <c r="FY334" s="47"/>
      <c r="FZ334" s="47"/>
      <c r="GA334" s="47"/>
      <c r="GB334" s="47"/>
      <c r="GC334" s="47"/>
      <c r="GD334" s="47"/>
      <c r="GE334" s="47"/>
    </row>
    <row r="335" spans="1:187" ht="10.5" customHeight="1">
      <c r="A335" s="4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43"/>
      <c r="U335" s="108"/>
      <c r="V335" s="108"/>
      <c r="W335" s="108"/>
      <c r="X335" s="108"/>
      <c r="Y335" s="108"/>
      <c r="Z335" s="108"/>
      <c r="AA335" s="43"/>
      <c r="AB335" s="108"/>
      <c r="AC335" s="108"/>
      <c r="AD335" s="108"/>
      <c r="AE335" s="108"/>
      <c r="AF335" s="108"/>
      <c r="AG335" s="108"/>
      <c r="AH335" s="43"/>
      <c r="AI335" s="108"/>
      <c r="AJ335" s="108"/>
      <c r="AK335" s="108"/>
      <c r="AL335" s="108"/>
      <c r="AM335" s="108"/>
      <c r="AN335" s="108"/>
      <c r="AO335" s="43"/>
      <c r="AP335" s="108"/>
      <c r="AQ335" s="108"/>
      <c r="AR335" s="108"/>
      <c r="AS335" s="108"/>
      <c r="AT335" s="108"/>
      <c r="AU335" s="108"/>
      <c r="AV335" s="43"/>
      <c r="AW335" s="108"/>
      <c r="AX335" s="108"/>
      <c r="AY335" s="108"/>
      <c r="AZ335" s="108"/>
      <c r="BA335" s="108"/>
      <c r="BB335" s="108"/>
      <c r="BC335" s="43"/>
      <c r="BD335" s="108"/>
      <c r="BE335" s="108"/>
      <c r="BF335" s="108"/>
      <c r="BG335" s="108"/>
      <c r="BH335" s="108"/>
      <c r="BI335" s="108"/>
      <c r="BJ335" s="43"/>
      <c r="BK335" s="108"/>
      <c r="BL335" s="108"/>
      <c r="BM335" s="108"/>
      <c r="BN335" s="108"/>
      <c r="BO335" s="108"/>
      <c r="BP335" s="108"/>
      <c r="BQ335" s="43"/>
      <c r="BR335" s="108"/>
      <c r="BS335" s="108"/>
      <c r="BT335" s="108"/>
      <c r="BU335" s="108"/>
      <c r="BV335" s="108"/>
      <c r="BW335" s="108"/>
      <c r="BX335" s="43"/>
      <c r="BY335" s="108"/>
      <c r="BZ335" s="108"/>
      <c r="CA335" s="108"/>
      <c r="CB335" s="108"/>
      <c r="CC335" s="108"/>
      <c r="CD335" s="108"/>
      <c r="CE335" s="43"/>
      <c r="CF335" s="108"/>
      <c r="CG335" s="108"/>
      <c r="CH335" s="108"/>
      <c r="CI335" s="108"/>
      <c r="CJ335" s="108"/>
      <c r="CK335" s="108"/>
      <c r="CL335" s="43"/>
      <c r="CM335" s="108"/>
      <c r="CN335" s="108"/>
      <c r="CO335" s="108"/>
      <c r="CP335" s="108"/>
      <c r="CQ335" s="108"/>
      <c r="CR335" s="108"/>
      <c r="CS335" s="43"/>
      <c r="CT335" s="108"/>
      <c r="CU335" s="108"/>
      <c r="CV335" s="108"/>
      <c r="CW335" s="108"/>
      <c r="CX335" s="108"/>
      <c r="CY335" s="108"/>
      <c r="CZ335" s="43"/>
      <c r="DA335" s="108"/>
      <c r="DB335" s="108"/>
      <c r="DC335" s="108"/>
      <c r="DD335" s="108"/>
      <c r="DE335" s="108"/>
      <c r="DF335" s="108"/>
      <c r="DG335" s="43"/>
      <c r="DH335" s="108"/>
      <c r="DI335" s="108"/>
      <c r="DJ335" s="108"/>
      <c r="DK335" s="108"/>
      <c r="DL335" s="108"/>
      <c r="DM335" s="108"/>
      <c r="DN335" s="43"/>
      <c r="DO335" s="108"/>
      <c r="DP335" s="108"/>
      <c r="DQ335" s="108"/>
      <c r="DR335" s="108"/>
      <c r="DS335" s="108"/>
      <c r="DT335" s="108"/>
      <c r="DU335" s="43"/>
      <c r="DV335" s="108"/>
      <c r="DW335" s="108"/>
      <c r="DX335" s="108"/>
      <c r="DY335" s="108"/>
      <c r="DZ335" s="108"/>
      <c r="EA335" s="108"/>
      <c r="EB335" s="43"/>
      <c r="EC335" s="108"/>
      <c r="ED335" s="108"/>
      <c r="EE335" s="108"/>
      <c r="EF335" s="108"/>
      <c r="EG335" s="108"/>
      <c r="EH335" s="108"/>
      <c r="EI335" s="43"/>
      <c r="EJ335" s="47"/>
      <c r="EK335" s="47"/>
      <c r="EL335" s="47"/>
      <c r="EM335" s="47"/>
      <c r="EN335" s="47"/>
      <c r="EO335" s="47"/>
      <c r="EP335" s="47"/>
      <c r="EQ335" s="47"/>
      <c r="ER335" s="47"/>
      <c r="ES335" s="47"/>
      <c r="ET335" s="47"/>
      <c r="EU335" s="47"/>
      <c r="EV335" s="47"/>
      <c r="EW335" s="47"/>
      <c r="EX335" s="47"/>
      <c r="EY335" s="47"/>
      <c r="EZ335" s="47"/>
      <c r="FA335" s="47"/>
      <c r="FB335" s="47"/>
      <c r="FC335" s="47"/>
      <c r="FD335" s="47"/>
      <c r="FE335" s="47"/>
      <c r="FF335" s="47"/>
      <c r="FG335" s="47"/>
      <c r="FH335" s="47"/>
      <c r="FI335" s="47"/>
      <c r="FJ335" s="47"/>
      <c r="FK335" s="47"/>
      <c r="FL335" s="47"/>
      <c r="FM335" s="47"/>
      <c r="FN335" s="47"/>
      <c r="FO335" s="47"/>
      <c r="FP335" s="47"/>
      <c r="FQ335" s="47"/>
      <c r="FR335" s="47"/>
      <c r="FS335" s="47"/>
      <c r="FT335" s="47"/>
      <c r="FU335" s="47"/>
      <c r="FV335" s="47"/>
      <c r="FW335" s="47"/>
      <c r="FX335" s="47"/>
      <c r="FY335" s="47"/>
      <c r="FZ335" s="47"/>
      <c r="GA335" s="47"/>
      <c r="GB335" s="47"/>
      <c r="GC335" s="47"/>
      <c r="GD335" s="47"/>
      <c r="GE335" s="47"/>
    </row>
    <row r="336" spans="1:187" ht="10.5" customHeight="1">
      <c r="A336" s="43"/>
      <c r="B336" s="108"/>
      <c r="C336" s="108"/>
      <c r="D336" s="108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93"/>
      <c r="U336" s="203"/>
      <c r="V336" s="203"/>
      <c r="W336" s="203"/>
      <c r="X336" s="203"/>
      <c r="Y336" s="203"/>
      <c r="Z336" s="203"/>
      <c r="AA336" s="93"/>
      <c r="AB336" s="203"/>
      <c r="AC336" s="203"/>
      <c r="AD336" s="203"/>
      <c r="AE336" s="203"/>
      <c r="AF336" s="203"/>
      <c r="AG336" s="203"/>
      <c r="AH336" s="93"/>
      <c r="AI336" s="203"/>
      <c r="AJ336" s="203"/>
      <c r="AK336" s="203"/>
      <c r="AL336" s="203"/>
      <c r="AM336" s="203"/>
      <c r="AN336" s="203"/>
      <c r="AO336" s="93"/>
      <c r="AP336" s="203"/>
      <c r="AQ336" s="203"/>
      <c r="AR336" s="203"/>
      <c r="AS336" s="203"/>
      <c r="AT336" s="203"/>
      <c r="AU336" s="203"/>
      <c r="AV336" s="93"/>
      <c r="AW336" s="203"/>
      <c r="AX336" s="203"/>
      <c r="AY336" s="203"/>
      <c r="AZ336" s="203"/>
      <c r="BA336" s="203"/>
      <c r="BB336" s="203"/>
      <c r="BC336" s="93"/>
      <c r="BD336" s="203"/>
      <c r="BE336" s="203"/>
      <c r="BF336" s="203"/>
      <c r="BG336" s="203"/>
      <c r="BH336" s="203"/>
      <c r="BI336" s="203"/>
      <c r="BJ336" s="93"/>
      <c r="BK336" s="203"/>
      <c r="BL336" s="203"/>
      <c r="BM336" s="203"/>
      <c r="BN336" s="203"/>
      <c r="BO336" s="203"/>
      <c r="BP336" s="203"/>
      <c r="BQ336" s="93"/>
      <c r="BR336" s="203"/>
      <c r="BS336" s="203"/>
      <c r="BT336" s="203"/>
      <c r="BU336" s="203"/>
      <c r="BV336" s="203"/>
      <c r="BW336" s="203"/>
      <c r="BX336" s="93"/>
      <c r="BY336" s="203"/>
      <c r="BZ336" s="203"/>
      <c r="CA336" s="203"/>
      <c r="CB336" s="203"/>
      <c r="CC336" s="203"/>
      <c r="CD336" s="203"/>
      <c r="CE336" s="93"/>
      <c r="CF336" s="203"/>
      <c r="CG336" s="203"/>
      <c r="CH336" s="203"/>
      <c r="CI336" s="203"/>
      <c r="CJ336" s="203"/>
      <c r="CK336" s="203"/>
      <c r="CL336" s="93"/>
      <c r="CM336" s="203"/>
      <c r="CN336" s="203"/>
      <c r="CO336" s="203"/>
      <c r="CP336" s="203"/>
      <c r="CQ336" s="203"/>
      <c r="CR336" s="203"/>
      <c r="CS336" s="93"/>
      <c r="CT336" s="203"/>
      <c r="CU336" s="203"/>
      <c r="CV336" s="203"/>
      <c r="CW336" s="203"/>
      <c r="CX336" s="203"/>
      <c r="CY336" s="203"/>
      <c r="CZ336" s="93"/>
      <c r="DA336" s="203"/>
      <c r="DB336" s="203"/>
      <c r="DC336" s="203"/>
      <c r="DD336" s="203"/>
      <c r="DE336" s="203"/>
      <c r="DF336" s="203"/>
      <c r="DG336" s="93"/>
      <c r="DH336" s="203"/>
      <c r="DI336" s="203"/>
      <c r="DJ336" s="203"/>
      <c r="DK336" s="203"/>
      <c r="DL336" s="203"/>
      <c r="DM336" s="203"/>
      <c r="DN336" s="93"/>
      <c r="DO336" s="203"/>
      <c r="DP336" s="203"/>
      <c r="DQ336" s="203"/>
      <c r="DR336" s="203"/>
      <c r="DS336" s="203"/>
      <c r="DT336" s="203"/>
      <c r="DU336" s="93"/>
      <c r="DV336" s="203"/>
      <c r="DW336" s="203"/>
      <c r="DX336" s="203"/>
      <c r="DY336" s="203"/>
      <c r="DZ336" s="203"/>
      <c r="EA336" s="203"/>
      <c r="EB336" s="93"/>
      <c r="EC336" s="203"/>
      <c r="ED336" s="203"/>
      <c r="EE336" s="203"/>
      <c r="EF336" s="203"/>
      <c r="EG336" s="203"/>
      <c r="EH336" s="203"/>
      <c r="EI336" s="93"/>
      <c r="EJ336" s="47"/>
      <c r="EK336" s="47"/>
      <c r="EL336" s="47"/>
      <c r="EM336" s="47"/>
      <c r="EN336" s="47"/>
      <c r="EO336" s="47"/>
      <c r="EP336" s="47"/>
      <c r="EQ336" s="47"/>
      <c r="ER336" s="47"/>
      <c r="ES336" s="47"/>
      <c r="ET336" s="47"/>
      <c r="EU336" s="47"/>
      <c r="EV336" s="47"/>
      <c r="EW336" s="47"/>
      <c r="EX336" s="47"/>
      <c r="EY336" s="47"/>
      <c r="EZ336" s="47"/>
      <c r="FA336" s="47"/>
      <c r="FB336" s="47"/>
      <c r="FC336" s="47"/>
      <c r="FD336" s="47"/>
      <c r="FE336" s="47"/>
      <c r="FF336" s="47"/>
      <c r="FG336" s="47"/>
      <c r="FH336" s="47"/>
      <c r="FI336" s="47"/>
      <c r="FJ336" s="47"/>
      <c r="FK336" s="47"/>
      <c r="FL336" s="47"/>
      <c r="FM336" s="47"/>
      <c r="FN336" s="47"/>
      <c r="FO336" s="47"/>
      <c r="FP336" s="47"/>
      <c r="FQ336" s="47"/>
      <c r="FR336" s="47"/>
      <c r="FS336" s="47"/>
      <c r="FT336" s="47"/>
      <c r="FU336" s="47"/>
      <c r="FV336" s="47"/>
      <c r="FW336" s="47"/>
      <c r="FX336" s="47"/>
      <c r="FY336" s="47"/>
      <c r="FZ336" s="47"/>
      <c r="GA336" s="47"/>
      <c r="GB336" s="47"/>
      <c r="GC336" s="47"/>
      <c r="GD336" s="47"/>
      <c r="GE336" s="47"/>
    </row>
    <row r="337" spans="1:187" ht="10.5" customHeight="1">
      <c r="A337" s="43"/>
      <c r="B337" s="108"/>
      <c r="C337" s="108"/>
      <c r="D337" s="108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93"/>
      <c r="U337" s="203"/>
      <c r="V337" s="203"/>
      <c r="W337" s="203"/>
      <c r="X337" s="203"/>
      <c r="Y337" s="203"/>
      <c r="Z337" s="203"/>
      <c r="AA337" s="93"/>
      <c r="AB337" s="203"/>
      <c r="AC337" s="203"/>
      <c r="AD337" s="203"/>
      <c r="AE337" s="203"/>
      <c r="AF337" s="203"/>
      <c r="AG337" s="203"/>
      <c r="AH337" s="93"/>
      <c r="AI337" s="203"/>
      <c r="AJ337" s="203"/>
      <c r="AK337" s="203"/>
      <c r="AL337" s="203"/>
      <c r="AM337" s="203"/>
      <c r="AN337" s="203"/>
      <c r="AO337" s="93"/>
      <c r="AP337" s="203"/>
      <c r="AQ337" s="203"/>
      <c r="AR337" s="203"/>
      <c r="AS337" s="203"/>
      <c r="AT337" s="203"/>
      <c r="AU337" s="203"/>
      <c r="AV337" s="93"/>
      <c r="AW337" s="203"/>
      <c r="AX337" s="203"/>
      <c r="AY337" s="203"/>
      <c r="AZ337" s="203"/>
      <c r="BA337" s="203"/>
      <c r="BB337" s="203"/>
      <c r="BC337" s="93"/>
      <c r="BD337" s="203"/>
      <c r="BE337" s="203"/>
      <c r="BF337" s="203"/>
      <c r="BG337" s="203"/>
      <c r="BH337" s="203"/>
      <c r="BI337" s="203"/>
      <c r="BJ337" s="93"/>
      <c r="BK337" s="203"/>
      <c r="BL337" s="203"/>
      <c r="BM337" s="203"/>
      <c r="BN337" s="203"/>
      <c r="BO337" s="203"/>
      <c r="BP337" s="203"/>
      <c r="BQ337" s="93"/>
      <c r="BR337" s="203"/>
      <c r="BS337" s="203"/>
      <c r="BT337" s="203"/>
      <c r="BU337" s="203"/>
      <c r="BV337" s="203"/>
      <c r="BW337" s="203"/>
      <c r="BX337" s="93"/>
      <c r="BY337" s="203"/>
      <c r="BZ337" s="203"/>
      <c r="CA337" s="203"/>
      <c r="CB337" s="203"/>
      <c r="CC337" s="203"/>
      <c r="CD337" s="203"/>
      <c r="CE337" s="93"/>
      <c r="CF337" s="203"/>
      <c r="CG337" s="203"/>
      <c r="CH337" s="203"/>
      <c r="CI337" s="203"/>
      <c r="CJ337" s="203"/>
      <c r="CK337" s="203"/>
      <c r="CL337" s="93"/>
      <c r="CM337" s="203"/>
      <c r="CN337" s="203"/>
      <c r="CO337" s="203"/>
      <c r="CP337" s="203"/>
      <c r="CQ337" s="203"/>
      <c r="CR337" s="203"/>
      <c r="CS337" s="93"/>
      <c r="CT337" s="203"/>
      <c r="CU337" s="203"/>
      <c r="CV337" s="203"/>
      <c r="CW337" s="203"/>
      <c r="CX337" s="203"/>
      <c r="CY337" s="203"/>
      <c r="CZ337" s="93"/>
      <c r="DA337" s="203"/>
      <c r="DB337" s="203"/>
      <c r="DC337" s="203"/>
      <c r="DD337" s="203"/>
      <c r="DE337" s="203"/>
      <c r="DF337" s="203"/>
      <c r="DG337" s="93"/>
      <c r="DH337" s="203"/>
      <c r="DI337" s="203"/>
      <c r="DJ337" s="203"/>
      <c r="DK337" s="203"/>
      <c r="DL337" s="203"/>
      <c r="DM337" s="203"/>
      <c r="DN337" s="93"/>
      <c r="DO337" s="203"/>
      <c r="DP337" s="203"/>
      <c r="DQ337" s="203"/>
      <c r="DR337" s="203"/>
      <c r="DS337" s="203"/>
      <c r="DT337" s="203"/>
      <c r="DU337" s="93"/>
      <c r="DV337" s="203"/>
      <c r="DW337" s="203"/>
      <c r="DX337" s="203"/>
      <c r="DY337" s="203"/>
      <c r="DZ337" s="203"/>
      <c r="EA337" s="203"/>
      <c r="EB337" s="93"/>
      <c r="EC337" s="203"/>
      <c r="ED337" s="203"/>
      <c r="EE337" s="203"/>
      <c r="EF337" s="203"/>
      <c r="EG337" s="203"/>
      <c r="EH337" s="203"/>
      <c r="EI337" s="93"/>
      <c r="EJ337" s="47"/>
      <c r="EK337" s="47"/>
      <c r="EL337" s="47"/>
      <c r="EM337" s="47"/>
      <c r="EN337" s="47"/>
      <c r="EO337" s="47"/>
      <c r="EP337" s="47"/>
      <c r="EQ337" s="47"/>
      <c r="ER337" s="47"/>
      <c r="ES337" s="47"/>
      <c r="ET337" s="47"/>
      <c r="EU337" s="47"/>
      <c r="EV337" s="47"/>
      <c r="EW337" s="47"/>
      <c r="EX337" s="47"/>
      <c r="EY337" s="47"/>
      <c r="EZ337" s="47"/>
      <c r="FA337" s="47"/>
      <c r="FB337" s="47"/>
      <c r="FC337" s="47"/>
      <c r="FD337" s="47"/>
      <c r="FE337" s="47"/>
      <c r="FF337" s="47"/>
      <c r="FG337" s="47"/>
      <c r="FH337" s="47"/>
      <c r="FI337" s="47"/>
      <c r="FJ337" s="47"/>
      <c r="FK337" s="47"/>
      <c r="FL337" s="47"/>
      <c r="FM337" s="47"/>
      <c r="FN337" s="47"/>
      <c r="FO337" s="47"/>
      <c r="FP337" s="47"/>
      <c r="FQ337" s="47"/>
      <c r="FR337" s="47"/>
      <c r="FS337" s="47"/>
      <c r="FT337" s="47"/>
      <c r="FU337" s="47"/>
      <c r="FV337" s="47"/>
      <c r="FW337" s="47"/>
      <c r="FX337" s="47"/>
      <c r="FY337" s="47"/>
      <c r="FZ337" s="47"/>
      <c r="GA337" s="47"/>
      <c r="GB337" s="47"/>
      <c r="GC337" s="47"/>
      <c r="GD337" s="47"/>
      <c r="GE337" s="47"/>
    </row>
    <row r="338" spans="1:187" ht="10.5" customHeight="1">
      <c r="A338" s="43"/>
      <c r="B338" s="108"/>
      <c r="C338" s="108"/>
      <c r="D338" s="108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93"/>
      <c r="U338" s="203"/>
      <c r="V338" s="203"/>
      <c r="W338" s="203"/>
      <c r="X338" s="203"/>
      <c r="Y338" s="203"/>
      <c r="Z338" s="203"/>
      <c r="AA338" s="93"/>
      <c r="AB338" s="203"/>
      <c r="AC338" s="203"/>
      <c r="AD338" s="203"/>
      <c r="AE338" s="203"/>
      <c r="AF338" s="203"/>
      <c r="AG338" s="203"/>
      <c r="AH338" s="93"/>
      <c r="AI338" s="203"/>
      <c r="AJ338" s="203"/>
      <c r="AK338" s="203"/>
      <c r="AL338" s="203"/>
      <c r="AM338" s="203"/>
      <c r="AN338" s="203"/>
      <c r="AO338" s="93"/>
      <c r="AP338" s="203"/>
      <c r="AQ338" s="203"/>
      <c r="AR338" s="203"/>
      <c r="AS338" s="203"/>
      <c r="AT338" s="203"/>
      <c r="AU338" s="203"/>
      <c r="AV338" s="93"/>
      <c r="AW338" s="203"/>
      <c r="AX338" s="203"/>
      <c r="AY338" s="203"/>
      <c r="AZ338" s="203"/>
      <c r="BA338" s="203"/>
      <c r="BB338" s="203"/>
      <c r="BC338" s="93"/>
      <c r="BD338" s="203"/>
      <c r="BE338" s="203"/>
      <c r="BF338" s="203"/>
      <c r="BG338" s="203"/>
      <c r="BH338" s="203"/>
      <c r="BI338" s="203"/>
      <c r="BJ338" s="93"/>
      <c r="BK338" s="203"/>
      <c r="BL338" s="203"/>
      <c r="BM338" s="203"/>
      <c r="BN338" s="203"/>
      <c r="BO338" s="203"/>
      <c r="BP338" s="203"/>
      <c r="BQ338" s="93"/>
      <c r="BR338" s="203"/>
      <c r="BS338" s="203"/>
      <c r="BT338" s="203"/>
      <c r="BU338" s="203"/>
      <c r="BV338" s="203"/>
      <c r="BW338" s="203"/>
      <c r="BX338" s="93"/>
      <c r="BY338" s="203"/>
      <c r="BZ338" s="203"/>
      <c r="CA338" s="203"/>
      <c r="CB338" s="203"/>
      <c r="CC338" s="203"/>
      <c r="CD338" s="203"/>
      <c r="CE338" s="93"/>
      <c r="CF338" s="203"/>
      <c r="CG338" s="203"/>
      <c r="CH338" s="203"/>
      <c r="CI338" s="203"/>
      <c r="CJ338" s="203"/>
      <c r="CK338" s="203"/>
      <c r="CL338" s="93"/>
      <c r="CM338" s="203"/>
      <c r="CN338" s="203"/>
      <c r="CO338" s="203"/>
      <c r="CP338" s="203"/>
      <c r="CQ338" s="203"/>
      <c r="CR338" s="203"/>
      <c r="CS338" s="93"/>
      <c r="CT338" s="203"/>
      <c r="CU338" s="203"/>
      <c r="CV338" s="203"/>
      <c r="CW338" s="203"/>
      <c r="CX338" s="203"/>
      <c r="CY338" s="203"/>
      <c r="CZ338" s="93"/>
      <c r="DA338" s="203"/>
      <c r="DB338" s="203"/>
      <c r="DC338" s="203"/>
      <c r="DD338" s="203"/>
      <c r="DE338" s="203"/>
      <c r="DF338" s="203"/>
      <c r="DG338" s="93"/>
      <c r="DH338" s="203"/>
      <c r="DI338" s="203"/>
      <c r="DJ338" s="203"/>
      <c r="DK338" s="203"/>
      <c r="DL338" s="203"/>
      <c r="DM338" s="203"/>
      <c r="DN338" s="93"/>
      <c r="DO338" s="203"/>
      <c r="DP338" s="203"/>
      <c r="DQ338" s="203"/>
      <c r="DR338" s="203"/>
      <c r="DS338" s="203"/>
      <c r="DT338" s="203"/>
      <c r="DU338" s="93"/>
      <c r="DV338" s="203"/>
      <c r="DW338" s="203"/>
      <c r="DX338" s="203"/>
      <c r="DY338" s="203"/>
      <c r="DZ338" s="203"/>
      <c r="EA338" s="203"/>
      <c r="EB338" s="93"/>
      <c r="EC338" s="203"/>
      <c r="ED338" s="203"/>
      <c r="EE338" s="203"/>
      <c r="EF338" s="203"/>
      <c r="EG338" s="203"/>
      <c r="EH338" s="203"/>
      <c r="EI338" s="93"/>
      <c r="EJ338" s="47"/>
      <c r="EK338" s="47"/>
      <c r="EL338" s="47"/>
      <c r="EM338" s="47"/>
      <c r="EN338" s="47"/>
      <c r="EO338" s="47"/>
      <c r="EP338" s="47"/>
      <c r="EQ338" s="47"/>
      <c r="ER338" s="47"/>
      <c r="ES338" s="47"/>
      <c r="ET338" s="47"/>
      <c r="EU338" s="47"/>
      <c r="EV338" s="47"/>
      <c r="EW338" s="47"/>
      <c r="EX338" s="47"/>
      <c r="EY338" s="47"/>
      <c r="EZ338" s="47"/>
      <c r="FA338" s="47"/>
      <c r="FB338" s="47"/>
      <c r="FC338" s="47"/>
      <c r="FD338" s="47"/>
      <c r="FE338" s="47"/>
      <c r="FF338" s="47"/>
      <c r="FG338" s="47"/>
      <c r="FH338" s="47"/>
      <c r="FI338" s="47"/>
      <c r="FJ338" s="47"/>
      <c r="FK338" s="47"/>
      <c r="FL338" s="47"/>
      <c r="FM338" s="47"/>
      <c r="FN338" s="47"/>
      <c r="FO338" s="47"/>
      <c r="FP338" s="47"/>
      <c r="FQ338" s="47"/>
      <c r="FR338" s="47"/>
      <c r="FS338" s="47"/>
      <c r="FT338" s="47"/>
      <c r="FU338" s="47"/>
      <c r="FV338" s="47"/>
      <c r="FW338" s="47"/>
      <c r="FX338" s="47"/>
      <c r="FY338" s="47"/>
      <c r="FZ338" s="47"/>
      <c r="GA338" s="47"/>
      <c r="GB338" s="47"/>
      <c r="GC338" s="47"/>
      <c r="GD338" s="47"/>
      <c r="GE338" s="47"/>
    </row>
    <row r="339" spans="1:187" ht="10.5" customHeight="1">
      <c r="A339" s="43"/>
      <c r="B339" s="108"/>
      <c r="C339" s="108"/>
      <c r="D339" s="108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93"/>
      <c r="U339" s="203"/>
      <c r="V339" s="203"/>
      <c r="W339" s="203"/>
      <c r="X339" s="203"/>
      <c r="Y339" s="203"/>
      <c r="Z339" s="203"/>
      <c r="AA339" s="93"/>
      <c r="AB339" s="203"/>
      <c r="AC339" s="203"/>
      <c r="AD339" s="203"/>
      <c r="AE339" s="203"/>
      <c r="AF339" s="203"/>
      <c r="AG339" s="203"/>
      <c r="AH339" s="93"/>
      <c r="AI339" s="203"/>
      <c r="AJ339" s="203"/>
      <c r="AK339" s="203"/>
      <c r="AL339" s="203"/>
      <c r="AM339" s="203"/>
      <c r="AN339" s="203"/>
      <c r="AO339" s="93"/>
      <c r="AP339" s="203"/>
      <c r="AQ339" s="203"/>
      <c r="AR339" s="203"/>
      <c r="AS339" s="203"/>
      <c r="AT339" s="203"/>
      <c r="AU339" s="203"/>
      <c r="AV339" s="93"/>
      <c r="AW339" s="203"/>
      <c r="AX339" s="203"/>
      <c r="AY339" s="203"/>
      <c r="AZ339" s="203"/>
      <c r="BA339" s="203"/>
      <c r="BB339" s="203"/>
      <c r="BC339" s="93"/>
      <c r="BD339" s="203"/>
      <c r="BE339" s="203"/>
      <c r="BF339" s="203"/>
      <c r="BG339" s="203"/>
      <c r="BH339" s="203"/>
      <c r="BI339" s="203"/>
      <c r="BJ339" s="93"/>
      <c r="BK339" s="203"/>
      <c r="BL339" s="203"/>
      <c r="BM339" s="203"/>
      <c r="BN339" s="203"/>
      <c r="BO339" s="203"/>
      <c r="BP339" s="203"/>
      <c r="BQ339" s="93"/>
      <c r="BR339" s="203"/>
      <c r="BS339" s="203"/>
      <c r="BT339" s="203"/>
      <c r="BU339" s="203"/>
      <c r="BV339" s="203"/>
      <c r="BW339" s="203"/>
      <c r="BX339" s="93"/>
      <c r="BY339" s="203"/>
      <c r="BZ339" s="203"/>
      <c r="CA339" s="203"/>
      <c r="CB339" s="203"/>
      <c r="CC339" s="203"/>
      <c r="CD339" s="203"/>
      <c r="CE339" s="93"/>
      <c r="CF339" s="203"/>
      <c r="CG339" s="203"/>
      <c r="CH339" s="203"/>
      <c r="CI339" s="203"/>
      <c r="CJ339" s="203"/>
      <c r="CK339" s="203"/>
      <c r="CL339" s="93"/>
      <c r="CM339" s="203"/>
      <c r="CN339" s="203"/>
      <c r="CO339" s="203"/>
      <c r="CP339" s="203"/>
      <c r="CQ339" s="203"/>
      <c r="CR339" s="203"/>
      <c r="CS339" s="93"/>
      <c r="CT339" s="203"/>
      <c r="CU339" s="203"/>
      <c r="CV339" s="203"/>
      <c r="CW339" s="203"/>
      <c r="CX339" s="203"/>
      <c r="CY339" s="203"/>
      <c r="CZ339" s="93"/>
      <c r="DA339" s="203"/>
      <c r="DB339" s="203"/>
      <c r="DC339" s="203"/>
      <c r="DD339" s="203"/>
      <c r="DE339" s="203"/>
      <c r="DF339" s="203"/>
      <c r="DG339" s="93"/>
      <c r="DH339" s="203"/>
      <c r="DI339" s="203"/>
      <c r="DJ339" s="203"/>
      <c r="DK339" s="203"/>
      <c r="DL339" s="203"/>
      <c r="DM339" s="203"/>
      <c r="DN339" s="93"/>
      <c r="DO339" s="203"/>
      <c r="DP339" s="203"/>
      <c r="DQ339" s="203"/>
      <c r="DR339" s="203"/>
      <c r="DS339" s="203"/>
      <c r="DT339" s="203"/>
      <c r="DU339" s="93"/>
      <c r="DV339" s="203"/>
      <c r="DW339" s="203"/>
      <c r="DX339" s="203"/>
      <c r="DY339" s="203"/>
      <c r="DZ339" s="203"/>
      <c r="EA339" s="203"/>
      <c r="EB339" s="93"/>
      <c r="EC339" s="203"/>
      <c r="ED339" s="203"/>
      <c r="EE339" s="203"/>
      <c r="EF339" s="203"/>
      <c r="EG339" s="203"/>
      <c r="EH339" s="203"/>
      <c r="EI339" s="93"/>
      <c r="EJ339" s="47"/>
      <c r="EK339" s="47"/>
      <c r="EL339" s="47"/>
      <c r="EM339" s="47"/>
      <c r="EN339" s="47"/>
      <c r="EO339" s="47"/>
      <c r="EP339" s="47"/>
      <c r="EQ339" s="47"/>
      <c r="ER339" s="47"/>
      <c r="ES339" s="47"/>
      <c r="ET339" s="47"/>
      <c r="EU339" s="47"/>
      <c r="EV339" s="47"/>
      <c r="EW339" s="47"/>
      <c r="EX339" s="47"/>
      <c r="EY339" s="47"/>
      <c r="EZ339" s="47"/>
      <c r="FA339" s="47"/>
      <c r="FB339" s="47"/>
      <c r="FC339" s="47"/>
      <c r="FD339" s="47"/>
      <c r="FE339" s="47"/>
      <c r="FF339" s="47"/>
      <c r="FG339" s="47"/>
      <c r="FH339" s="47"/>
      <c r="FI339" s="47"/>
      <c r="FJ339" s="47"/>
      <c r="FK339" s="47"/>
      <c r="FL339" s="47"/>
      <c r="FM339" s="47"/>
      <c r="FN339" s="47"/>
      <c r="FO339" s="47"/>
      <c r="FP339" s="47"/>
      <c r="FQ339" s="47"/>
      <c r="FR339" s="47"/>
      <c r="FS339" s="47"/>
      <c r="FT339" s="47"/>
      <c r="FU339" s="47"/>
      <c r="FV339" s="47"/>
      <c r="FW339" s="47"/>
      <c r="FX339" s="47"/>
      <c r="FY339" s="47"/>
      <c r="FZ339" s="47"/>
      <c r="GA339" s="47"/>
      <c r="GB339" s="47"/>
      <c r="GC339" s="47"/>
      <c r="GD339" s="47"/>
      <c r="GE339" s="47"/>
    </row>
    <row r="340" spans="1:187" ht="10.5" customHeight="1">
      <c r="A340" s="43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43"/>
      <c r="U340" s="108"/>
      <c r="V340" s="108"/>
      <c r="W340" s="108"/>
      <c r="X340" s="108"/>
      <c r="Y340" s="108"/>
      <c r="Z340" s="108"/>
      <c r="AA340" s="43"/>
      <c r="AB340" s="108"/>
      <c r="AC340" s="108"/>
      <c r="AD340" s="108"/>
      <c r="AE340" s="108"/>
      <c r="AF340" s="108"/>
      <c r="AG340" s="108"/>
      <c r="AH340" s="43"/>
      <c r="AI340" s="108"/>
      <c r="AJ340" s="108"/>
      <c r="AK340" s="108"/>
      <c r="AL340" s="108"/>
      <c r="AM340" s="108"/>
      <c r="AN340" s="108"/>
      <c r="AO340" s="43"/>
      <c r="AP340" s="108"/>
      <c r="AQ340" s="108"/>
      <c r="AR340" s="108"/>
      <c r="AS340" s="108"/>
      <c r="AT340" s="108"/>
      <c r="AU340" s="108"/>
      <c r="AV340" s="43"/>
      <c r="AW340" s="108"/>
      <c r="AX340" s="108"/>
      <c r="AY340" s="108"/>
      <c r="AZ340" s="108"/>
      <c r="BA340" s="108"/>
      <c r="BB340" s="108"/>
      <c r="BC340" s="43"/>
      <c r="BD340" s="108"/>
      <c r="BE340" s="108"/>
      <c r="BF340" s="108"/>
      <c r="BG340" s="108"/>
      <c r="BH340" s="108"/>
      <c r="BI340" s="108"/>
      <c r="BJ340" s="43"/>
      <c r="BK340" s="108"/>
      <c r="BL340" s="108"/>
      <c r="BM340" s="108"/>
      <c r="BN340" s="108"/>
      <c r="BO340" s="108"/>
      <c r="BP340" s="108"/>
      <c r="BQ340" s="43"/>
      <c r="BR340" s="108"/>
      <c r="BS340" s="108"/>
      <c r="BT340" s="108"/>
      <c r="BU340" s="108"/>
      <c r="BV340" s="108"/>
      <c r="BW340" s="108"/>
      <c r="BX340" s="43"/>
      <c r="BY340" s="108"/>
      <c r="BZ340" s="108"/>
      <c r="CA340" s="108"/>
      <c r="CB340" s="108"/>
      <c r="CC340" s="108"/>
      <c r="CD340" s="108"/>
      <c r="CE340" s="43"/>
      <c r="CF340" s="108"/>
      <c r="CG340" s="108"/>
      <c r="CH340" s="108"/>
      <c r="CI340" s="108"/>
      <c r="CJ340" s="108"/>
      <c r="CK340" s="108"/>
      <c r="CL340" s="43"/>
      <c r="CM340" s="108"/>
      <c r="CN340" s="108"/>
      <c r="CO340" s="108"/>
      <c r="CP340" s="108"/>
      <c r="CQ340" s="108"/>
      <c r="CR340" s="108"/>
      <c r="CS340" s="43"/>
      <c r="CT340" s="108"/>
      <c r="CU340" s="108"/>
      <c r="CV340" s="108"/>
      <c r="CW340" s="108"/>
      <c r="CX340" s="108"/>
      <c r="CY340" s="108"/>
      <c r="CZ340" s="43"/>
      <c r="DA340" s="108"/>
      <c r="DB340" s="108"/>
      <c r="DC340" s="108"/>
      <c r="DD340" s="108"/>
      <c r="DE340" s="108"/>
      <c r="DF340" s="108"/>
      <c r="DG340" s="43"/>
      <c r="DH340" s="108"/>
      <c r="DI340" s="108"/>
      <c r="DJ340" s="108"/>
      <c r="DK340" s="108"/>
      <c r="DL340" s="108"/>
      <c r="DM340" s="108"/>
      <c r="DN340" s="43"/>
      <c r="DO340" s="108"/>
      <c r="DP340" s="108"/>
      <c r="DQ340" s="108"/>
      <c r="DR340" s="108"/>
      <c r="DS340" s="108"/>
      <c r="DT340" s="108"/>
      <c r="DU340" s="43"/>
      <c r="DV340" s="108"/>
      <c r="DW340" s="108"/>
      <c r="DX340" s="108"/>
      <c r="DY340" s="108"/>
      <c r="DZ340" s="108"/>
      <c r="EA340" s="108"/>
      <c r="EB340" s="43"/>
      <c r="EC340" s="108"/>
      <c r="ED340" s="108"/>
      <c r="EE340" s="108"/>
      <c r="EF340" s="108"/>
      <c r="EG340" s="108"/>
      <c r="EH340" s="108"/>
      <c r="EI340" s="43"/>
      <c r="EJ340" s="47"/>
      <c r="EK340" s="47"/>
      <c r="EL340" s="47"/>
      <c r="EM340" s="47"/>
      <c r="EN340" s="47"/>
      <c r="EO340" s="47"/>
      <c r="EP340" s="47"/>
      <c r="EQ340" s="47"/>
      <c r="ER340" s="47"/>
      <c r="ES340" s="47"/>
      <c r="ET340" s="47"/>
      <c r="EU340" s="47"/>
      <c r="EV340" s="47"/>
      <c r="EW340" s="47"/>
      <c r="EX340" s="47"/>
      <c r="EY340" s="47"/>
      <c r="EZ340" s="47"/>
      <c r="FA340" s="47"/>
      <c r="FB340" s="47"/>
      <c r="FC340" s="47"/>
      <c r="FD340" s="47"/>
      <c r="FE340" s="47"/>
      <c r="FF340" s="47"/>
      <c r="FG340" s="47"/>
      <c r="FH340" s="47"/>
      <c r="FI340" s="47"/>
      <c r="FJ340" s="47"/>
      <c r="FK340" s="47"/>
      <c r="FL340" s="47"/>
      <c r="FM340" s="47"/>
      <c r="FN340" s="47"/>
      <c r="FO340" s="47"/>
      <c r="FP340" s="47"/>
      <c r="FQ340" s="47"/>
      <c r="FR340" s="47"/>
      <c r="FS340" s="47"/>
      <c r="FT340" s="47"/>
      <c r="FU340" s="47"/>
      <c r="FV340" s="47"/>
      <c r="FW340" s="47"/>
      <c r="FX340" s="47"/>
      <c r="FY340" s="47"/>
      <c r="FZ340" s="47"/>
      <c r="GA340" s="47"/>
      <c r="GB340" s="47"/>
      <c r="GC340" s="47"/>
      <c r="GD340" s="47"/>
      <c r="GE340" s="47"/>
    </row>
    <row r="341" spans="1:187" ht="10.5" customHeight="1">
      <c r="A341" s="43"/>
      <c r="B341" s="108"/>
      <c r="C341" s="108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80"/>
      <c r="U341" s="176"/>
      <c r="V341" s="176"/>
      <c r="W341" s="176"/>
      <c r="X341" s="176"/>
      <c r="Y341" s="176"/>
      <c r="Z341" s="176"/>
      <c r="AA341" s="80"/>
      <c r="AB341" s="176"/>
      <c r="AC341" s="176"/>
      <c r="AD341" s="176"/>
      <c r="AE341" s="176"/>
      <c r="AF341" s="176"/>
      <c r="AG341" s="176"/>
      <c r="AH341" s="80"/>
      <c r="AI341" s="176"/>
      <c r="AJ341" s="176"/>
      <c r="AK341" s="176"/>
      <c r="AL341" s="176"/>
      <c r="AM341" s="176"/>
      <c r="AN341" s="176"/>
      <c r="AO341" s="80"/>
      <c r="AP341" s="176"/>
      <c r="AQ341" s="176"/>
      <c r="AR341" s="176"/>
      <c r="AS341" s="176"/>
      <c r="AT341" s="176"/>
      <c r="AU341" s="176"/>
      <c r="AV341" s="80"/>
      <c r="AW341" s="176"/>
      <c r="AX341" s="176"/>
      <c r="AY341" s="176"/>
      <c r="AZ341" s="176"/>
      <c r="BA341" s="176"/>
      <c r="BB341" s="176"/>
      <c r="BC341" s="80"/>
      <c r="BD341" s="176"/>
      <c r="BE341" s="176"/>
      <c r="BF341" s="176"/>
      <c r="BG341" s="176"/>
      <c r="BH341" s="176"/>
      <c r="BI341" s="176"/>
      <c r="BJ341" s="80"/>
      <c r="BK341" s="176"/>
      <c r="BL341" s="176"/>
      <c r="BM341" s="176"/>
      <c r="BN341" s="176"/>
      <c r="BO341" s="176"/>
      <c r="BP341" s="176"/>
      <c r="BQ341" s="80"/>
      <c r="BR341" s="176"/>
      <c r="BS341" s="176"/>
      <c r="BT341" s="176"/>
      <c r="BU341" s="176"/>
      <c r="BV341" s="176"/>
      <c r="BW341" s="176"/>
      <c r="BX341" s="80"/>
      <c r="BY341" s="176"/>
      <c r="BZ341" s="176"/>
      <c r="CA341" s="176"/>
      <c r="CB341" s="176"/>
      <c r="CC341" s="176"/>
      <c r="CD341" s="176"/>
      <c r="CE341" s="80"/>
      <c r="CF341" s="176"/>
      <c r="CG341" s="176"/>
      <c r="CH341" s="176"/>
      <c r="CI341" s="176"/>
      <c r="CJ341" s="176"/>
      <c r="CK341" s="176"/>
      <c r="CL341" s="80"/>
      <c r="CM341" s="176"/>
      <c r="CN341" s="176"/>
      <c r="CO341" s="176"/>
      <c r="CP341" s="176"/>
      <c r="CQ341" s="176"/>
      <c r="CR341" s="176"/>
      <c r="CS341" s="80"/>
      <c r="CT341" s="176"/>
      <c r="CU341" s="176"/>
      <c r="CV341" s="176"/>
      <c r="CW341" s="176"/>
      <c r="CX341" s="176"/>
      <c r="CY341" s="176"/>
      <c r="CZ341" s="80"/>
      <c r="DA341" s="176"/>
      <c r="DB341" s="176"/>
      <c r="DC341" s="176"/>
      <c r="DD341" s="176"/>
      <c r="DE341" s="176"/>
      <c r="DF341" s="176"/>
      <c r="DG341" s="80"/>
      <c r="DH341" s="176"/>
      <c r="DI341" s="176"/>
      <c r="DJ341" s="176"/>
      <c r="DK341" s="176"/>
      <c r="DL341" s="176"/>
      <c r="DM341" s="176"/>
      <c r="DN341" s="80"/>
      <c r="DO341" s="176"/>
      <c r="DP341" s="176"/>
      <c r="DQ341" s="176"/>
      <c r="DR341" s="176"/>
      <c r="DS341" s="176"/>
      <c r="DT341" s="176"/>
      <c r="DU341" s="80"/>
      <c r="DV341" s="176"/>
      <c r="DW341" s="176"/>
      <c r="DX341" s="176"/>
      <c r="DY341" s="176"/>
      <c r="DZ341" s="176"/>
      <c r="EA341" s="176"/>
      <c r="EB341" s="80"/>
      <c r="EC341" s="176"/>
      <c r="ED341" s="176"/>
      <c r="EE341" s="176"/>
      <c r="EF341" s="176"/>
      <c r="EG341" s="176"/>
      <c r="EH341" s="176"/>
      <c r="EI341" s="80"/>
      <c r="EJ341" s="47"/>
      <c r="EK341" s="47"/>
      <c r="EL341" s="47"/>
      <c r="EM341" s="47"/>
      <c r="EN341" s="47"/>
      <c r="EO341" s="47"/>
      <c r="EP341" s="47"/>
      <c r="EQ341" s="47"/>
      <c r="ER341" s="47"/>
      <c r="ES341" s="47"/>
      <c r="ET341" s="47"/>
      <c r="EU341" s="47"/>
      <c r="EV341" s="47"/>
      <c r="EW341" s="47"/>
      <c r="EX341" s="47"/>
      <c r="EY341" s="47"/>
      <c r="EZ341" s="47"/>
      <c r="FA341" s="47"/>
      <c r="FB341" s="47"/>
      <c r="FC341" s="47"/>
      <c r="FD341" s="47"/>
      <c r="FE341" s="47"/>
      <c r="FF341" s="47"/>
      <c r="FG341" s="47"/>
      <c r="FH341" s="47"/>
      <c r="FI341" s="47"/>
      <c r="FJ341" s="47"/>
      <c r="FK341" s="47"/>
      <c r="FL341" s="47"/>
      <c r="FM341" s="47"/>
      <c r="FN341" s="47"/>
      <c r="FO341" s="47"/>
      <c r="FP341" s="47"/>
      <c r="FQ341" s="47"/>
      <c r="FR341" s="47"/>
      <c r="FS341" s="47"/>
      <c r="FT341" s="47"/>
      <c r="FU341" s="47"/>
      <c r="FV341" s="47"/>
      <c r="FW341" s="47"/>
      <c r="FX341" s="47"/>
      <c r="FY341" s="47"/>
      <c r="FZ341" s="47"/>
      <c r="GA341" s="47"/>
      <c r="GB341" s="47"/>
      <c r="GC341" s="47"/>
      <c r="GD341" s="47"/>
      <c r="GE341" s="47"/>
    </row>
    <row r="342" spans="1:187" ht="10.5" customHeight="1">
      <c r="A342" s="43"/>
      <c r="B342" s="108"/>
      <c r="C342" s="108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80"/>
      <c r="U342" s="176"/>
      <c r="V342" s="176"/>
      <c r="W342" s="176"/>
      <c r="X342" s="176"/>
      <c r="Y342" s="176"/>
      <c r="Z342" s="176"/>
      <c r="AA342" s="80"/>
      <c r="AB342" s="176"/>
      <c r="AC342" s="176"/>
      <c r="AD342" s="176"/>
      <c r="AE342" s="176"/>
      <c r="AF342" s="176"/>
      <c r="AG342" s="176"/>
      <c r="AH342" s="80"/>
      <c r="AI342" s="176"/>
      <c r="AJ342" s="176"/>
      <c r="AK342" s="176"/>
      <c r="AL342" s="176"/>
      <c r="AM342" s="176"/>
      <c r="AN342" s="176"/>
      <c r="AO342" s="80"/>
      <c r="AP342" s="176"/>
      <c r="AQ342" s="176"/>
      <c r="AR342" s="176"/>
      <c r="AS342" s="176"/>
      <c r="AT342" s="176"/>
      <c r="AU342" s="176"/>
      <c r="AV342" s="80"/>
      <c r="AW342" s="176"/>
      <c r="AX342" s="176"/>
      <c r="AY342" s="176"/>
      <c r="AZ342" s="176"/>
      <c r="BA342" s="176"/>
      <c r="BB342" s="176"/>
      <c r="BC342" s="80"/>
      <c r="BD342" s="176"/>
      <c r="BE342" s="176"/>
      <c r="BF342" s="176"/>
      <c r="BG342" s="176"/>
      <c r="BH342" s="176"/>
      <c r="BI342" s="176"/>
      <c r="BJ342" s="80"/>
      <c r="BK342" s="176"/>
      <c r="BL342" s="176"/>
      <c r="BM342" s="176"/>
      <c r="BN342" s="176"/>
      <c r="BO342" s="176"/>
      <c r="BP342" s="176"/>
      <c r="BQ342" s="80"/>
      <c r="BR342" s="176"/>
      <c r="BS342" s="176"/>
      <c r="BT342" s="176"/>
      <c r="BU342" s="176"/>
      <c r="BV342" s="176"/>
      <c r="BW342" s="176"/>
      <c r="BX342" s="80"/>
      <c r="BY342" s="176"/>
      <c r="BZ342" s="176"/>
      <c r="CA342" s="176"/>
      <c r="CB342" s="176"/>
      <c r="CC342" s="176"/>
      <c r="CD342" s="176"/>
      <c r="CE342" s="80"/>
      <c r="CF342" s="176"/>
      <c r="CG342" s="176"/>
      <c r="CH342" s="176"/>
      <c r="CI342" s="176"/>
      <c r="CJ342" s="176"/>
      <c r="CK342" s="176"/>
      <c r="CL342" s="80"/>
      <c r="CM342" s="176"/>
      <c r="CN342" s="176"/>
      <c r="CO342" s="176"/>
      <c r="CP342" s="176"/>
      <c r="CQ342" s="176"/>
      <c r="CR342" s="176"/>
      <c r="CS342" s="80"/>
      <c r="CT342" s="176"/>
      <c r="CU342" s="176"/>
      <c r="CV342" s="176"/>
      <c r="CW342" s="176"/>
      <c r="CX342" s="176"/>
      <c r="CY342" s="176"/>
      <c r="CZ342" s="80"/>
      <c r="DA342" s="176"/>
      <c r="DB342" s="176"/>
      <c r="DC342" s="176"/>
      <c r="DD342" s="176"/>
      <c r="DE342" s="176"/>
      <c r="DF342" s="176"/>
      <c r="DG342" s="80"/>
      <c r="DH342" s="176"/>
      <c r="DI342" s="176"/>
      <c r="DJ342" s="176"/>
      <c r="DK342" s="176"/>
      <c r="DL342" s="176"/>
      <c r="DM342" s="176"/>
      <c r="DN342" s="80"/>
      <c r="DO342" s="176"/>
      <c r="DP342" s="176"/>
      <c r="DQ342" s="176"/>
      <c r="DR342" s="176"/>
      <c r="DS342" s="176"/>
      <c r="DT342" s="176"/>
      <c r="DU342" s="80"/>
      <c r="DV342" s="176"/>
      <c r="DW342" s="176"/>
      <c r="DX342" s="176"/>
      <c r="DY342" s="176"/>
      <c r="DZ342" s="176"/>
      <c r="EA342" s="176"/>
      <c r="EB342" s="80"/>
      <c r="EC342" s="176"/>
      <c r="ED342" s="176"/>
      <c r="EE342" s="176"/>
      <c r="EF342" s="176"/>
      <c r="EG342" s="176"/>
      <c r="EH342" s="176"/>
      <c r="EI342" s="80"/>
      <c r="EJ342" s="47"/>
      <c r="EK342" s="47"/>
      <c r="EL342" s="47"/>
      <c r="EM342" s="47"/>
      <c r="EN342" s="47"/>
      <c r="EO342" s="47"/>
      <c r="EP342" s="47"/>
      <c r="EQ342" s="47"/>
      <c r="ER342" s="47"/>
      <c r="ES342" s="47"/>
      <c r="ET342" s="47"/>
      <c r="EU342" s="47"/>
      <c r="EV342" s="47"/>
      <c r="EW342" s="47"/>
      <c r="EX342" s="47"/>
      <c r="EY342" s="47"/>
      <c r="EZ342" s="47"/>
      <c r="FA342" s="47"/>
      <c r="FB342" s="47"/>
      <c r="FC342" s="47"/>
      <c r="FD342" s="47"/>
      <c r="FE342" s="47"/>
      <c r="FF342" s="47"/>
      <c r="FG342" s="47"/>
      <c r="FH342" s="47"/>
      <c r="FI342" s="47"/>
      <c r="FJ342" s="47"/>
      <c r="FK342" s="47"/>
      <c r="FL342" s="47"/>
      <c r="FM342" s="47"/>
      <c r="FN342" s="47"/>
      <c r="FO342" s="47"/>
      <c r="FP342" s="47"/>
      <c r="FQ342" s="47"/>
      <c r="FR342" s="47"/>
      <c r="FS342" s="47"/>
      <c r="FT342" s="47"/>
      <c r="FU342" s="47"/>
      <c r="FV342" s="47"/>
      <c r="FW342" s="47"/>
      <c r="FX342" s="47"/>
      <c r="FY342" s="47"/>
      <c r="FZ342" s="47"/>
      <c r="GA342" s="47"/>
      <c r="GB342" s="47"/>
      <c r="GC342" s="47"/>
      <c r="GD342" s="47"/>
      <c r="GE342" s="47"/>
    </row>
    <row r="343" spans="1:187" ht="10.5" customHeight="1">
      <c r="A343" s="43"/>
      <c r="B343" s="108"/>
      <c r="C343" s="108"/>
      <c r="D343" s="933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44"/>
      <c r="U343" s="135"/>
      <c r="V343" s="135"/>
      <c r="W343" s="135"/>
      <c r="X343" s="135"/>
      <c r="Y343" s="135"/>
      <c r="Z343" s="135"/>
      <c r="AA343" s="44"/>
      <c r="AB343" s="135"/>
      <c r="AC343" s="135"/>
      <c r="AD343" s="135"/>
      <c r="AE343" s="135"/>
      <c r="AF343" s="135"/>
      <c r="AG343" s="135"/>
      <c r="AH343" s="44"/>
      <c r="AI343" s="135"/>
      <c r="AJ343" s="135"/>
      <c r="AK343" s="135"/>
      <c r="AL343" s="135"/>
      <c r="AM343" s="135"/>
      <c r="AN343" s="135"/>
      <c r="AO343" s="44"/>
      <c r="AP343" s="135"/>
      <c r="AQ343" s="135"/>
      <c r="AR343" s="135"/>
      <c r="AS343" s="135"/>
      <c r="AT343" s="135"/>
      <c r="AU343" s="135"/>
      <c r="AV343" s="44"/>
      <c r="AW343" s="135"/>
      <c r="AX343" s="135"/>
      <c r="AY343" s="135"/>
      <c r="AZ343" s="135"/>
      <c r="BA343" s="135"/>
      <c r="BB343" s="135"/>
      <c r="BC343" s="44"/>
      <c r="BD343" s="135"/>
      <c r="BE343" s="135"/>
      <c r="BF343" s="135"/>
      <c r="BG343" s="135"/>
      <c r="BH343" s="135"/>
      <c r="BI343" s="135"/>
      <c r="BJ343" s="44"/>
      <c r="BK343" s="135"/>
      <c r="BL343" s="135"/>
      <c r="BM343" s="135"/>
      <c r="BN343" s="135"/>
      <c r="BO343" s="135"/>
      <c r="BP343" s="135"/>
      <c r="BQ343" s="44"/>
      <c r="BR343" s="135"/>
      <c r="BS343" s="135"/>
      <c r="BT343" s="135"/>
      <c r="BU343" s="135"/>
      <c r="BV343" s="135"/>
      <c r="BW343" s="135"/>
      <c r="BX343" s="44"/>
      <c r="BY343" s="135"/>
      <c r="BZ343" s="135"/>
      <c r="CA343" s="135"/>
      <c r="CB343" s="135"/>
      <c r="CC343" s="135"/>
      <c r="CD343" s="135"/>
      <c r="CE343" s="44"/>
      <c r="CF343" s="135"/>
      <c r="CG343" s="135"/>
      <c r="CH343" s="135"/>
      <c r="CI343" s="135"/>
      <c r="CJ343" s="135"/>
      <c r="CK343" s="135"/>
      <c r="CL343" s="44"/>
      <c r="CM343" s="135"/>
      <c r="CN343" s="135"/>
      <c r="CO343" s="135"/>
      <c r="CP343" s="135"/>
      <c r="CQ343" s="135"/>
      <c r="CR343" s="135"/>
      <c r="CS343" s="44"/>
      <c r="CT343" s="135"/>
      <c r="CU343" s="135"/>
      <c r="CV343" s="135"/>
      <c r="CW343" s="135"/>
      <c r="CX343" s="135"/>
      <c r="CY343" s="135"/>
      <c r="CZ343" s="44"/>
      <c r="DA343" s="135"/>
      <c r="DB343" s="135"/>
      <c r="DC343" s="135"/>
      <c r="DD343" s="135"/>
      <c r="DE343" s="135"/>
      <c r="DF343" s="135"/>
      <c r="DG343" s="44"/>
      <c r="DH343" s="135"/>
      <c r="DI343" s="135"/>
      <c r="DJ343" s="135"/>
      <c r="DK343" s="135"/>
      <c r="DL343" s="135"/>
      <c r="DM343" s="135"/>
      <c r="DN343" s="44"/>
      <c r="DO343" s="135"/>
      <c r="DP343" s="135"/>
      <c r="DQ343" s="135"/>
      <c r="DR343" s="135"/>
      <c r="DS343" s="135"/>
      <c r="DT343" s="135"/>
      <c r="DU343" s="44"/>
      <c r="DV343" s="135"/>
      <c r="DW343" s="135"/>
      <c r="DX343" s="135"/>
      <c r="DY343" s="135"/>
      <c r="DZ343" s="135"/>
      <c r="EA343" s="135"/>
      <c r="EB343" s="44"/>
      <c r="EC343" s="135"/>
      <c r="ED343" s="135"/>
      <c r="EE343" s="135"/>
      <c r="EF343" s="135"/>
      <c r="EG343" s="135"/>
      <c r="EH343" s="135"/>
      <c r="EI343" s="44"/>
      <c r="EJ343" s="47"/>
      <c r="EK343" s="47"/>
      <c r="EL343" s="47"/>
      <c r="EM343" s="47"/>
      <c r="EN343" s="47"/>
      <c r="EO343" s="47"/>
      <c r="EP343" s="47"/>
      <c r="EQ343" s="47"/>
      <c r="ER343" s="47"/>
      <c r="ES343" s="47"/>
      <c r="ET343" s="47"/>
      <c r="EU343" s="47"/>
      <c r="EV343" s="47"/>
      <c r="EW343" s="47"/>
      <c r="EX343" s="47"/>
      <c r="EY343" s="47"/>
      <c r="EZ343" s="47"/>
      <c r="FA343" s="47"/>
      <c r="FB343" s="47"/>
      <c r="FC343" s="47"/>
      <c r="FD343" s="47"/>
      <c r="FE343" s="47"/>
      <c r="FF343" s="47"/>
      <c r="FG343" s="47"/>
      <c r="FH343" s="47"/>
      <c r="FI343" s="47"/>
      <c r="FJ343" s="47"/>
      <c r="FK343" s="47"/>
      <c r="FL343" s="47"/>
      <c r="FM343" s="47"/>
      <c r="FN343" s="47"/>
      <c r="FO343" s="47"/>
      <c r="FP343" s="47"/>
      <c r="FQ343" s="47"/>
      <c r="FR343" s="47"/>
      <c r="FS343" s="47"/>
      <c r="FT343" s="47"/>
      <c r="FU343" s="47"/>
      <c r="FV343" s="47"/>
      <c r="FW343" s="47"/>
      <c r="FX343" s="47"/>
      <c r="FY343" s="47"/>
      <c r="FZ343" s="47"/>
      <c r="GA343" s="47"/>
      <c r="GB343" s="47"/>
      <c r="GC343" s="47"/>
      <c r="GD343" s="47"/>
      <c r="GE343" s="47"/>
    </row>
    <row r="344" spans="1:187" ht="10.5" customHeight="1">
      <c r="A344" s="43"/>
      <c r="B344" s="108"/>
      <c r="C344" s="108"/>
      <c r="D344" s="933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44"/>
      <c r="U344" s="135"/>
      <c r="V344" s="135"/>
      <c r="W344" s="135"/>
      <c r="X344" s="135"/>
      <c r="Y344" s="135"/>
      <c r="Z344" s="135"/>
      <c r="AA344" s="44"/>
      <c r="AB344" s="135"/>
      <c r="AC344" s="135"/>
      <c r="AD344" s="135"/>
      <c r="AE344" s="135"/>
      <c r="AF344" s="135"/>
      <c r="AG344" s="135"/>
      <c r="AH344" s="44"/>
      <c r="AI344" s="135"/>
      <c r="AJ344" s="135"/>
      <c r="AK344" s="135"/>
      <c r="AL344" s="135"/>
      <c r="AM344" s="135"/>
      <c r="AN344" s="135"/>
      <c r="AO344" s="44"/>
      <c r="AP344" s="135"/>
      <c r="AQ344" s="135"/>
      <c r="AR344" s="135"/>
      <c r="AS344" s="135"/>
      <c r="AT344" s="135"/>
      <c r="AU344" s="135"/>
      <c r="AV344" s="44"/>
      <c r="AW344" s="135"/>
      <c r="AX344" s="135"/>
      <c r="AY344" s="135"/>
      <c r="AZ344" s="135"/>
      <c r="BA344" s="135"/>
      <c r="BB344" s="135"/>
      <c r="BC344" s="44"/>
      <c r="BD344" s="135"/>
      <c r="BE344" s="135"/>
      <c r="BF344" s="135"/>
      <c r="BG344" s="135"/>
      <c r="BH344" s="135"/>
      <c r="BI344" s="135"/>
      <c r="BJ344" s="44"/>
      <c r="BK344" s="135"/>
      <c r="BL344" s="135"/>
      <c r="BM344" s="135"/>
      <c r="BN344" s="135"/>
      <c r="BO344" s="135"/>
      <c r="BP344" s="135"/>
      <c r="BQ344" s="44"/>
      <c r="BR344" s="135"/>
      <c r="BS344" s="135"/>
      <c r="BT344" s="135"/>
      <c r="BU344" s="135"/>
      <c r="BV344" s="135"/>
      <c r="BW344" s="135"/>
      <c r="BX344" s="44"/>
      <c r="BY344" s="135"/>
      <c r="BZ344" s="135"/>
      <c r="CA344" s="135"/>
      <c r="CB344" s="135"/>
      <c r="CC344" s="135"/>
      <c r="CD344" s="135"/>
      <c r="CE344" s="44"/>
      <c r="CF344" s="135"/>
      <c r="CG344" s="135"/>
      <c r="CH344" s="135"/>
      <c r="CI344" s="135"/>
      <c r="CJ344" s="135"/>
      <c r="CK344" s="135"/>
      <c r="CL344" s="44"/>
      <c r="CM344" s="135"/>
      <c r="CN344" s="135"/>
      <c r="CO344" s="135"/>
      <c r="CP344" s="135"/>
      <c r="CQ344" s="135"/>
      <c r="CR344" s="135"/>
      <c r="CS344" s="44"/>
      <c r="CT344" s="135"/>
      <c r="CU344" s="135"/>
      <c r="CV344" s="135"/>
      <c r="CW344" s="135"/>
      <c r="CX344" s="135"/>
      <c r="CY344" s="135"/>
      <c r="CZ344" s="44"/>
      <c r="DA344" s="135"/>
      <c r="DB344" s="135"/>
      <c r="DC344" s="135"/>
      <c r="DD344" s="135"/>
      <c r="DE344" s="135"/>
      <c r="DF344" s="135"/>
      <c r="DG344" s="44"/>
      <c r="DH344" s="135"/>
      <c r="DI344" s="135"/>
      <c r="DJ344" s="135"/>
      <c r="DK344" s="135"/>
      <c r="DL344" s="135"/>
      <c r="DM344" s="135"/>
      <c r="DN344" s="44"/>
      <c r="DO344" s="135"/>
      <c r="DP344" s="135"/>
      <c r="DQ344" s="135"/>
      <c r="DR344" s="135"/>
      <c r="DS344" s="135"/>
      <c r="DT344" s="135"/>
      <c r="DU344" s="44"/>
      <c r="DV344" s="135"/>
      <c r="DW344" s="135"/>
      <c r="DX344" s="135"/>
      <c r="DY344" s="135"/>
      <c r="DZ344" s="135"/>
      <c r="EA344" s="135"/>
      <c r="EB344" s="44"/>
      <c r="EC344" s="135"/>
      <c r="ED344" s="135"/>
      <c r="EE344" s="135"/>
      <c r="EF344" s="135"/>
      <c r="EG344" s="135"/>
      <c r="EH344" s="135"/>
      <c r="EI344" s="44"/>
      <c r="EJ344" s="47"/>
      <c r="EK344" s="47"/>
      <c r="EL344" s="47"/>
      <c r="EM344" s="47"/>
      <c r="EN344" s="47"/>
      <c r="EO344" s="47"/>
      <c r="EP344" s="47"/>
      <c r="EQ344" s="47"/>
      <c r="ER344" s="47"/>
      <c r="ES344" s="47"/>
      <c r="ET344" s="47"/>
      <c r="EU344" s="47"/>
      <c r="EV344" s="47"/>
      <c r="EW344" s="47"/>
      <c r="EX344" s="47"/>
      <c r="EY344" s="47"/>
      <c r="EZ344" s="47"/>
      <c r="FA344" s="47"/>
      <c r="FB344" s="47"/>
      <c r="FC344" s="47"/>
      <c r="FD344" s="47"/>
      <c r="FE344" s="47"/>
      <c r="FF344" s="47"/>
      <c r="FG344" s="47"/>
      <c r="FH344" s="47"/>
      <c r="FI344" s="47"/>
      <c r="FJ344" s="47"/>
      <c r="FK344" s="47"/>
      <c r="FL344" s="47"/>
      <c r="FM344" s="47"/>
      <c r="FN344" s="47"/>
      <c r="FO344" s="47"/>
      <c r="FP344" s="47"/>
      <c r="FQ344" s="47"/>
      <c r="FR344" s="47"/>
      <c r="FS344" s="47"/>
      <c r="FT344" s="47"/>
      <c r="FU344" s="47"/>
      <c r="FV344" s="47"/>
      <c r="FW344" s="47"/>
      <c r="FX344" s="47"/>
      <c r="FY344" s="47"/>
      <c r="FZ344" s="47"/>
      <c r="GA344" s="47"/>
      <c r="GB344" s="47"/>
      <c r="GC344" s="47"/>
      <c r="GD344" s="47"/>
      <c r="GE344" s="47"/>
    </row>
    <row r="345" spans="1:187" ht="10.5" customHeight="1">
      <c r="A345" s="43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43"/>
      <c r="U345" s="108"/>
      <c r="V345" s="108"/>
      <c r="W345" s="108"/>
      <c r="X345" s="108"/>
      <c r="Y345" s="108"/>
      <c r="Z345" s="108"/>
      <c r="AA345" s="43"/>
      <c r="AB345" s="108"/>
      <c r="AC345" s="108"/>
      <c r="AD345" s="108"/>
      <c r="AE345" s="108"/>
      <c r="AF345" s="108"/>
      <c r="AG345" s="108"/>
      <c r="AH345" s="43"/>
      <c r="AI345" s="108"/>
      <c r="AJ345" s="108"/>
      <c r="AK345" s="108"/>
      <c r="AL345" s="108"/>
      <c r="AM345" s="108"/>
      <c r="AN345" s="108"/>
      <c r="AO345" s="43"/>
      <c r="AP345" s="108"/>
      <c r="AQ345" s="108"/>
      <c r="AR345" s="108"/>
      <c r="AS345" s="108"/>
      <c r="AT345" s="108"/>
      <c r="AU345" s="108"/>
      <c r="AV345" s="43"/>
      <c r="AW345" s="108"/>
      <c r="AX345" s="108"/>
      <c r="AY345" s="108"/>
      <c r="AZ345" s="108"/>
      <c r="BA345" s="108"/>
      <c r="BB345" s="108"/>
      <c r="BC345" s="43"/>
      <c r="BD345" s="108"/>
      <c r="BE345" s="108"/>
      <c r="BF345" s="108"/>
      <c r="BG345" s="108"/>
      <c r="BH345" s="108"/>
      <c r="BI345" s="108"/>
      <c r="BJ345" s="43"/>
      <c r="BK345" s="108"/>
      <c r="BL345" s="108"/>
      <c r="BM345" s="108"/>
      <c r="BN345" s="108"/>
      <c r="BO345" s="108"/>
      <c r="BP345" s="108"/>
      <c r="BQ345" s="43"/>
      <c r="BR345" s="108"/>
      <c r="BS345" s="108"/>
      <c r="BT345" s="108"/>
      <c r="BU345" s="108"/>
      <c r="BV345" s="108"/>
      <c r="BW345" s="108"/>
      <c r="BX345" s="43"/>
      <c r="BY345" s="108"/>
      <c r="BZ345" s="108"/>
      <c r="CA345" s="108"/>
      <c r="CB345" s="108"/>
      <c r="CC345" s="108"/>
      <c r="CD345" s="108"/>
      <c r="CE345" s="43"/>
      <c r="CF345" s="108"/>
      <c r="CG345" s="108"/>
      <c r="CH345" s="108"/>
      <c r="CI345" s="108"/>
      <c r="CJ345" s="108"/>
      <c r="CK345" s="108"/>
      <c r="CL345" s="43"/>
      <c r="CM345" s="108"/>
      <c r="CN345" s="108"/>
      <c r="CO345" s="108"/>
      <c r="CP345" s="108"/>
      <c r="CQ345" s="108"/>
      <c r="CR345" s="108"/>
      <c r="CS345" s="43"/>
      <c r="CT345" s="108"/>
      <c r="CU345" s="108"/>
      <c r="CV345" s="108"/>
      <c r="CW345" s="108"/>
      <c r="CX345" s="108"/>
      <c r="CY345" s="108"/>
      <c r="CZ345" s="43"/>
      <c r="DA345" s="108"/>
      <c r="DB345" s="108"/>
      <c r="DC345" s="108"/>
      <c r="DD345" s="108"/>
      <c r="DE345" s="108"/>
      <c r="DF345" s="108"/>
      <c r="DG345" s="43"/>
      <c r="DH345" s="108"/>
      <c r="DI345" s="108"/>
      <c r="DJ345" s="108"/>
      <c r="DK345" s="108"/>
      <c r="DL345" s="108"/>
      <c r="DM345" s="108"/>
      <c r="DN345" s="43"/>
      <c r="DO345" s="108"/>
      <c r="DP345" s="108"/>
      <c r="DQ345" s="108"/>
      <c r="DR345" s="108"/>
      <c r="DS345" s="108"/>
      <c r="DT345" s="108"/>
      <c r="DU345" s="43"/>
      <c r="DV345" s="108"/>
      <c r="DW345" s="108"/>
      <c r="DX345" s="108"/>
      <c r="DY345" s="108"/>
      <c r="DZ345" s="108"/>
      <c r="EA345" s="108"/>
      <c r="EB345" s="43"/>
      <c r="EC345" s="108"/>
      <c r="ED345" s="108"/>
      <c r="EE345" s="108"/>
      <c r="EF345" s="108"/>
      <c r="EG345" s="108"/>
      <c r="EH345" s="108"/>
      <c r="EI345" s="43"/>
      <c r="EJ345" s="47"/>
      <c r="EK345" s="47"/>
      <c r="EL345" s="47"/>
      <c r="EM345" s="47"/>
      <c r="EN345" s="47"/>
      <c r="EO345" s="47"/>
      <c r="EP345" s="47"/>
      <c r="EQ345" s="47"/>
      <c r="ER345" s="47"/>
      <c r="ES345" s="47"/>
      <c r="ET345" s="47"/>
      <c r="EU345" s="47"/>
      <c r="EV345" s="47"/>
      <c r="EW345" s="47"/>
      <c r="EX345" s="47"/>
      <c r="EY345" s="47"/>
      <c r="EZ345" s="47"/>
      <c r="FA345" s="47"/>
      <c r="FB345" s="47"/>
      <c r="FC345" s="47"/>
      <c r="FD345" s="47"/>
      <c r="FE345" s="47"/>
      <c r="FF345" s="47"/>
      <c r="FG345" s="47"/>
      <c r="FH345" s="47"/>
      <c r="FI345" s="47"/>
      <c r="FJ345" s="47"/>
      <c r="FK345" s="47"/>
      <c r="FL345" s="47"/>
      <c r="FM345" s="47"/>
      <c r="FN345" s="47"/>
      <c r="FO345" s="47"/>
      <c r="FP345" s="47"/>
      <c r="FQ345" s="47"/>
      <c r="FR345" s="47"/>
      <c r="FS345" s="47"/>
      <c r="FT345" s="47"/>
      <c r="FU345" s="47"/>
      <c r="FV345" s="47"/>
      <c r="FW345" s="47"/>
      <c r="FX345" s="47"/>
      <c r="FY345" s="47"/>
      <c r="FZ345" s="47"/>
      <c r="GA345" s="47"/>
      <c r="GB345" s="47"/>
      <c r="GC345" s="47"/>
      <c r="GD345" s="47"/>
      <c r="GE345" s="47"/>
    </row>
    <row r="346" spans="1:187" ht="10.5" customHeight="1">
      <c r="A346" s="43"/>
      <c r="B346" s="229"/>
      <c r="C346" s="108"/>
      <c r="D346" s="108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44"/>
      <c r="U346" s="135"/>
      <c r="V346" s="135"/>
      <c r="W346" s="135"/>
      <c r="X346" s="135"/>
      <c r="Y346" s="135"/>
      <c r="Z346" s="135"/>
      <c r="AA346" s="44"/>
      <c r="AB346" s="135"/>
      <c r="AC346" s="135"/>
      <c r="AD346" s="135"/>
      <c r="AE346" s="135"/>
      <c r="AF346" s="135"/>
      <c r="AG346" s="135"/>
      <c r="AH346" s="44"/>
      <c r="AI346" s="135"/>
      <c r="AJ346" s="135"/>
      <c r="AK346" s="135"/>
      <c r="AL346" s="135"/>
      <c r="AM346" s="135"/>
      <c r="AN346" s="135"/>
      <c r="AO346" s="44"/>
      <c r="AP346" s="135"/>
      <c r="AQ346" s="135"/>
      <c r="AR346" s="135"/>
      <c r="AS346" s="135"/>
      <c r="AT346" s="135"/>
      <c r="AU346" s="135"/>
      <c r="AV346" s="44"/>
      <c r="AW346" s="135"/>
      <c r="AX346" s="135"/>
      <c r="AY346" s="135"/>
      <c r="AZ346" s="135"/>
      <c r="BA346" s="135"/>
      <c r="BB346" s="135"/>
      <c r="BC346" s="44"/>
      <c r="BD346" s="135"/>
      <c r="BE346" s="135"/>
      <c r="BF346" s="135"/>
      <c r="BG346" s="135"/>
      <c r="BH346" s="135"/>
      <c r="BI346" s="135"/>
      <c r="BJ346" s="44"/>
      <c r="BK346" s="135"/>
      <c r="BL346" s="135"/>
      <c r="BM346" s="135"/>
      <c r="BN346" s="135"/>
      <c r="BO346" s="135"/>
      <c r="BP346" s="135"/>
      <c r="BQ346" s="44"/>
      <c r="BR346" s="135"/>
      <c r="BS346" s="135"/>
      <c r="BT346" s="135"/>
      <c r="BU346" s="135"/>
      <c r="BV346" s="135"/>
      <c r="BW346" s="135"/>
      <c r="BX346" s="44"/>
      <c r="BY346" s="135"/>
      <c r="BZ346" s="135"/>
      <c r="CA346" s="135"/>
      <c r="CB346" s="135"/>
      <c r="CC346" s="135"/>
      <c r="CD346" s="135"/>
      <c r="CE346" s="44"/>
      <c r="CF346" s="135"/>
      <c r="CG346" s="135"/>
      <c r="CH346" s="135"/>
      <c r="CI346" s="135"/>
      <c r="CJ346" s="135"/>
      <c r="CK346" s="135"/>
      <c r="CL346" s="44"/>
      <c r="CM346" s="135"/>
      <c r="CN346" s="135"/>
      <c r="CO346" s="135"/>
      <c r="CP346" s="135"/>
      <c r="CQ346" s="135"/>
      <c r="CR346" s="135"/>
      <c r="CS346" s="44"/>
      <c r="CT346" s="135"/>
      <c r="CU346" s="135"/>
      <c r="CV346" s="135"/>
      <c r="CW346" s="135"/>
      <c r="CX346" s="135"/>
      <c r="CY346" s="135"/>
      <c r="CZ346" s="44"/>
      <c r="DA346" s="135"/>
      <c r="DB346" s="135"/>
      <c r="DC346" s="135"/>
      <c r="DD346" s="135"/>
      <c r="DE346" s="135"/>
      <c r="DF346" s="135"/>
      <c r="DG346" s="44"/>
      <c r="DH346" s="135"/>
      <c r="DI346" s="135"/>
      <c r="DJ346" s="135"/>
      <c r="DK346" s="135"/>
      <c r="DL346" s="135"/>
      <c r="DM346" s="135"/>
      <c r="DN346" s="44"/>
      <c r="DO346" s="135"/>
      <c r="DP346" s="135"/>
      <c r="DQ346" s="135"/>
      <c r="DR346" s="135"/>
      <c r="DS346" s="135"/>
      <c r="DT346" s="135"/>
      <c r="DU346" s="44"/>
      <c r="DV346" s="135"/>
      <c r="DW346" s="135"/>
      <c r="DX346" s="135"/>
      <c r="DY346" s="135"/>
      <c r="DZ346" s="135"/>
      <c r="EA346" s="135"/>
      <c r="EB346" s="44"/>
      <c r="EC346" s="135"/>
      <c r="ED346" s="135"/>
      <c r="EE346" s="135"/>
      <c r="EF346" s="135"/>
      <c r="EG346" s="135"/>
      <c r="EH346" s="135"/>
      <c r="EI346" s="44"/>
      <c r="EJ346" s="47"/>
      <c r="EK346" s="47"/>
      <c r="EL346" s="47"/>
      <c r="EM346" s="47"/>
      <c r="EN346" s="47"/>
      <c r="EO346" s="47"/>
      <c r="EP346" s="47"/>
      <c r="EQ346" s="47"/>
      <c r="ER346" s="47"/>
      <c r="ES346" s="47"/>
      <c r="ET346" s="47"/>
      <c r="EU346" s="47"/>
      <c r="EV346" s="47"/>
      <c r="EW346" s="47"/>
      <c r="EX346" s="47"/>
      <c r="EY346" s="47"/>
      <c r="EZ346" s="47"/>
      <c r="FA346" s="47"/>
      <c r="FB346" s="47"/>
      <c r="FC346" s="47"/>
      <c r="FD346" s="47"/>
      <c r="FE346" s="47"/>
      <c r="FF346" s="47"/>
      <c r="FG346" s="47"/>
      <c r="FH346" s="47"/>
      <c r="FI346" s="47"/>
      <c r="FJ346" s="47"/>
      <c r="FK346" s="47"/>
      <c r="FL346" s="47"/>
      <c r="FM346" s="47"/>
      <c r="FN346" s="47"/>
      <c r="FO346" s="47"/>
      <c r="FP346" s="47"/>
      <c r="FQ346" s="47"/>
      <c r="FR346" s="47"/>
      <c r="FS346" s="47"/>
      <c r="FT346" s="47"/>
      <c r="FU346" s="47"/>
      <c r="FV346" s="47"/>
      <c r="FW346" s="47"/>
      <c r="FX346" s="47"/>
      <c r="FY346" s="47"/>
      <c r="FZ346" s="47"/>
      <c r="GA346" s="47"/>
      <c r="GB346" s="47"/>
      <c r="GC346" s="47"/>
      <c r="GD346" s="47"/>
      <c r="GE346" s="47"/>
    </row>
    <row r="347" spans="1:187" ht="10.5" customHeight="1">
      <c r="A347" s="43"/>
      <c r="B347" s="229"/>
      <c r="C347" s="108"/>
      <c r="D347" s="108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44"/>
      <c r="U347" s="135"/>
      <c r="V347" s="135"/>
      <c r="W347" s="135"/>
      <c r="X347" s="135"/>
      <c r="Y347" s="135"/>
      <c r="Z347" s="135"/>
      <c r="AA347" s="44"/>
      <c r="AB347" s="135"/>
      <c r="AC347" s="135"/>
      <c r="AD347" s="135"/>
      <c r="AE347" s="135"/>
      <c r="AF347" s="135"/>
      <c r="AG347" s="135"/>
      <c r="AH347" s="44"/>
      <c r="AI347" s="135"/>
      <c r="AJ347" s="135"/>
      <c r="AK347" s="135"/>
      <c r="AL347" s="135"/>
      <c r="AM347" s="135"/>
      <c r="AN347" s="135"/>
      <c r="AO347" s="44"/>
      <c r="AP347" s="135"/>
      <c r="AQ347" s="135"/>
      <c r="AR347" s="135"/>
      <c r="AS347" s="135"/>
      <c r="AT347" s="135"/>
      <c r="AU347" s="135"/>
      <c r="AV347" s="44"/>
      <c r="AW347" s="135"/>
      <c r="AX347" s="135"/>
      <c r="AY347" s="135"/>
      <c r="AZ347" s="135"/>
      <c r="BA347" s="135"/>
      <c r="BB347" s="135"/>
      <c r="BC347" s="44"/>
      <c r="BD347" s="135"/>
      <c r="BE347" s="135"/>
      <c r="BF347" s="135"/>
      <c r="BG347" s="135"/>
      <c r="BH347" s="135"/>
      <c r="BI347" s="135"/>
      <c r="BJ347" s="44"/>
      <c r="BK347" s="135"/>
      <c r="BL347" s="135"/>
      <c r="BM347" s="135"/>
      <c r="BN347" s="135"/>
      <c r="BO347" s="135"/>
      <c r="BP347" s="135"/>
      <c r="BQ347" s="44"/>
      <c r="BR347" s="135"/>
      <c r="BS347" s="135"/>
      <c r="BT347" s="135"/>
      <c r="BU347" s="135"/>
      <c r="BV347" s="135"/>
      <c r="BW347" s="135"/>
      <c r="BX347" s="44"/>
      <c r="BY347" s="135"/>
      <c r="BZ347" s="135"/>
      <c r="CA347" s="135"/>
      <c r="CB347" s="135"/>
      <c r="CC347" s="135"/>
      <c r="CD347" s="135"/>
      <c r="CE347" s="44"/>
      <c r="CF347" s="135"/>
      <c r="CG347" s="135"/>
      <c r="CH347" s="135"/>
      <c r="CI347" s="135"/>
      <c r="CJ347" s="135"/>
      <c r="CK347" s="135"/>
      <c r="CL347" s="44"/>
      <c r="CM347" s="135"/>
      <c r="CN347" s="135"/>
      <c r="CO347" s="135"/>
      <c r="CP347" s="135"/>
      <c r="CQ347" s="135"/>
      <c r="CR347" s="135"/>
      <c r="CS347" s="44"/>
      <c r="CT347" s="135"/>
      <c r="CU347" s="135"/>
      <c r="CV347" s="135"/>
      <c r="CW347" s="135"/>
      <c r="CX347" s="135"/>
      <c r="CY347" s="135"/>
      <c r="CZ347" s="44"/>
      <c r="DA347" s="135"/>
      <c r="DB347" s="135"/>
      <c r="DC347" s="135"/>
      <c r="DD347" s="135"/>
      <c r="DE347" s="135"/>
      <c r="DF347" s="135"/>
      <c r="DG347" s="44"/>
      <c r="DH347" s="135"/>
      <c r="DI347" s="135"/>
      <c r="DJ347" s="135"/>
      <c r="DK347" s="135"/>
      <c r="DL347" s="135"/>
      <c r="DM347" s="135"/>
      <c r="DN347" s="44"/>
      <c r="DO347" s="135"/>
      <c r="DP347" s="135"/>
      <c r="DQ347" s="135"/>
      <c r="DR347" s="135"/>
      <c r="DS347" s="135"/>
      <c r="DT347" s="135"/>
      <c r="DU347" s="44"/>
      <c r="DV347" s="135"/>
      <c r="DW347" s="135"/>
      <c r="DX347" s="135"/>
      <c r="DY347" s="135"/>
      <c r="DZ347" s="135"/>
      <c r="EA347" s="135"/>
      <c r="EB347" s="44"/>
      <c r="EC347" s="135"/>
      <c r="ED347" s="135"/>
      <c r="EE347" s="135"/>
      <c r="EF347" s="135"/>
      <c r="EG347" s="135"/>
      <c r="EH347" s="135"/>
      <c r="EI347" s="44"/>
      <c r="EJ347" s="47"/>
      <c r="EK347" s="47"/>
      <c r="EL347" s="47"/>
      <c r="EM347" s="47"/>
      <c r="EN347" s="47"/>
      <c r="EO347" s="47"/>
      <c r="EP347" s="47"/>
      <c r="EQ347" s="47"/>
      <c r="ER347" s="47"/>
      <c r="ES347" s="47"/>
      <c r="ET347" s="47"/>
      <c r="EU347" s="47"/>
      <c r="EV347" s="47"/>
      <c r="EW347" s="47"/>
      <c r="EX347" s="47"/>
      <c r="EY347" s="47"/>
      <c r="EZ347" s="47"/>
      <c r="FA347" s="47"/>
      <c r="FB347" s="47"/>
      <c r="FC347" s="47"/>
      <c r="FD347" s="47"/>
      <c r="FE347" s="47"/>
      <c r="FF347" s="47"/>
      <c r="FG347" s="47"/>
      <c r="FH347" s="47"/>
      <c r="FI347" s="47"/>
      <c r="FJ347" s="47"/>
      <c r="FK347" s="47"/>
      <c r="FL347" s="47"/>
      <c r="FM347" s="47"/>
      <c r="FN347" s="47"/>
      <c r="FO347" s="47"/>
      <c r="FP347" s="47"/>
      <c r="FQ347" s="47"/>
      <c r="FR347" s="47"/>
      <c r="FS347" s="47"/>
      <c r="FT347" s="47"/>
      <c r="FU347" s="47"/>
      <c r="FV347" s="47"/>
      <c r="FW347" s="47"/>
      <c r="FX347" s="47"/>
      <c r="FY347" s="47"/>
      <c r="FZ347" s="47"/>
      <c r="GA347" s="47"/>
      <c r="GB347" s="47"/>
      <c r="GC347" s="47"/>
      <c r="GD347" s="47"/>
      <c r="GE347" s="47"/>
    </row>
    <row r="348" spans="1:187" ht="10.5" customHeight="1">
      <c r="A348" s="43"/>
      <c r="B348" s="108"/>
      <c r="C348" s="108"/>
      <c r="D348" s="108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44"/>
      <c r="U348" s="135"/>
      <c r="V348" s="135"/>
      <c r="W348" s="135"/>
      <c r="X348" s="135"/>
      <c r="Y348" s="135"/>
      <c r="Z348" s="135"/>
      <c r="AA348" s="44"/>
      <c r="AB348" s="135"/>
      <c r="AC348" s="135"/>
      <c r="AD348" s="135"/>
      <c r="AE348" s="135"/>
      <c r="AF348" s="135"/>
      <c r="AG348" s="135"/>
      <c r="AH348" s="44"/>
      <c r="AI348" s="135"/>
      <c r="AJ348" s="135"/>
      <c r="AK348" s="135"/>
      <c r="AL348" s="135"/>
      <c r="AM348" s="135"/>
      <c r="AN348" s="135"/>
      <c r="AO348" s="44"/>
      <c r="AP348" s="135"/>
      <c r="AQ348" s="135"/>
      <c r="AR348" s="135"/>
      <c r="AS348" s="135"/>
      <c r="AT348" s="135"/>
      <c r="AU348" s="135"/>
      <c r="AV348" s="44"/>
      <c r="AW348" s="135"/>
      <c r="AX348" s="135"/>
      <c r="AY348" s="135"/>
      <c r="AZ348" s="135"/>
      <c r="BA348" s="135"/>
      <c r="BB348" s="135"/>
      <c r="BC348" s="44"/>
      <c r="BD348" s="135"/>
      <c r="BE348" s="135"/>
      <c r="BF348" s="135"/>
      <c r="BG348" s="135"/>
      <c r="BH348" s="135"/>
      <c r="BI348" s="135"/>
      <c r="BJ348" s="44"/>
      <c r="BK348" s="135"/>
      <c r="BL348" s="135"/>
      <c r="BM348" s="135"/>
      <c r="BN348" s="135"/>
      <c r="BO348" s="135"/>
      <c r="BP348" s="135"/>
      <c r="BQ348" s="44"/>
      <c r="BR348" s="135"/>
      <c r="BS348" s="135"/>
      <c r="BT348" s="135"/>
      <c r="BU348" s="135"/>
      <c r="BV348" s="135"/>
      <c r="BW348" s="135"/>
      <c r="BX348" s="44"/>
      <c r="BY348" s="135"/>
      <c r="BZ348" s="135"/>
      <c r="CA348" s="135"/>
      <c r="CB348" s="135"/>
      <c r="CC348" s="135"/>
      <c r="CD348" s="135"/>
      <c r="CE348" s="44"/>
      <c r="CF348" s="135"/>
      <c r="CG348" s="135"/>
      <c r="CH348" s="135"/>
      <c r="CI348" s="135"/>
      <c r="CJ348" s="135"/>
      <c r="CK348" s="135"/>
      <c r="CL348" s="44"/>
      <c r="CM348" s="135"/>
      <c r="CN348" s="135"/>
      <c r="CO348" s="135"/>
      <c r="CP348" s="135"/>
      <c r="CQ348" s="135"/>
      <c r="CR348" s="135"/>
      <c r="CS348" s="44"/>
      <c r="CT348" s="135"/>
      <c r="CU348" s="135"/>
      <c r="CV348" s="135"/>
      <c r="CW348" s="135"/>
      <c r="CX348" s="135"/>
      <c r="CY348" s="135"/>
      <c r="CZ348" s="44"/>
      <c r="DA348" s="135"/>
      <c r="DB348" s="135"/>
      <c r="DC348" s="135"/>
      <c r="DD348" s="135"/>
      <c r="DE348" s="135"/>
      <c r="DF348" s="135"/>
      <c r="DG348" s="44"/>
      <c r="DH348" s="135"/>
      <c r="DI348" s="135"/>
      <c r="DJ348" s="135"/>
      <c r="DK348" s="135"/>
      <c r="DL348" s="135"/>
      <c r="DM348" s="135"/>
      <c r="DN348" s="44"/>
      <c r="DO348" s="135"/>
      <c r="DP348" s="135"/>
      <c r="DQ348" s="135"/>
      <c r="DR348" s="135"/>
      <c r="DS348" s="135"/>
      <c r="DT348" s="135"/>
      <c r="DU348" s="44"/>
      <c r="DV348" s="135"/>
      <c r="DW348" s="135"/>
      <c r="DX348" s="135"/>
      <c r="DY348" s="135"/>
      <c r="DZ348" s="135"/>
      <c r="EA348" s="135"/>
      <c r="EB348" s="44"/>
      <c r="EC348" s="135"/>
      <c r="ED348" s="135"/>
      <c r="EE348" s="135"/>
      <c r="EF348" s="135"/>
      <c r="EG348" s="135"/>
      <c r="EH348" s="135"/>
      <c r="EI348" s="44"/>
      <c r="EJ348" s="47"/>
      <c r="EK348" s="47"/>
      <c r="EL348" s="47"/>
      <c r="EM348" s="47"/>
      <c r="EN348" s="47"/>
      <c r="EO348" s="47"/>
      <c r="EP348" s="47"/>
      <c r="EQ348" s="47"/>
      <c r="ER348" s="47"/>
      <c r="ES348" s="47"/>
      <c r="ET348" s="47"/>
      <c r="EU348" s="47"/>
      <c r="EV348" s="47"/>
      <c r="EW348" s="47"/>
      <c r="EX348" s="47"/>
      <c r="EY348" s="47"/>
      <c r="EZ348" s="47"/>
      <c r="FA348" s="47"/>
      <c r="FB348" s="47"/>
      <c r="FC348" s="47"/>
      <c r="FD348" s="47"/>
      <c r="FE348" s="47"/>
      <c r="FF348" s="47"/>
      <c r="FG348" s="47"/>
      <c r="FH348" s="47"/>
      <c r="FI348" s="47"/>
      <c r="FJ348" s="47"/>
      <c r="FK348" s="47"/>
      <c r="FL348" s="47"/>
      <c r="FM348" s="47"/>
      <c r="FN348" s="47"/>
      <c r="FO348" s="47"/>
      <c r="FP348" s="47"/>
      <c r="FQ348" s="47"/>
      <c r="FR348" s="47"/>
      <c r="FS348" s="47"/>
      <c r="FT348" s="47"/>
      <c r="FU348" s="47"/>
      <c r="FV348" s="47"/>
      <c r="FW348" s="47"/>
      <c r="FX348" s="47"/>
      <c r="FY348" s="47"/>
      <c r="FZ348" s="47"/>
      <c r="GA348" s="47"/>
      <c r="GB348" s="47"/>
      <c r="GC348" s="47"/>
      <c r="GD348" s="47"/>
      <c r="GE348" s="47"/>
    </row>
    <row r="349" spans="1:187" ht="10.5" customHeight="1">
      <c r="A349" s="43"/>
      <c r="B349" s="108"/>
      <c r="C349" s="108"/>
      <c r="D349" s="108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44"/>
      <c r="U349" s="135"/>
      <c r="V349" s="135"/>
      <c r="W349" s="135"/>
      <c r="X349" s="135"/>
      <c r="Y349" s="135"/>
      <c r="Z349" s="135"/>
      <c r="AA349" s="44"/>
      <c r="AB349" s="135"/>
      <c r="AC349" s="135"/>
      <c r="AD349" s="135"/>
      <c r="AE349" s="135"/>
      <c r="AF349" s="135"/>
      <c r="AG349" s="135"/>
      <c r="AH349" s="44"/>
      <c r="AI349" s="135"/>
      <c r="AJ349" s="135"/>
      <c r="AK349" s="135"/>
      <c r="AL349" s="135"/>
      <c r="AM349" s="135"/>
      <c r="AN349" s="135"/>
      <c r="AO349" s="44"/>
      <c r="AP349" s="135"/>
      <c r="AQ349" s="135"/>
      <c r="AR349" s="135"/>
      <c r="AS349" s="135"/>
      <c r="AT349" s="135"/>
      <c r="AU349" s="135"/>
      <c r="AV349" s="44"/>
      <c r="AW349" s="135"/>
      <c r="AX349" s="135"/>
      <c r="AY349" s="135"/>
      <c r="AZ349" s="135"/>
      <c r="BA349" s="135"/>
      <c r="BB349" s="135"/>
      <c r="BC349" s="44"/>
      <c r="BD349" s="135"/>
      <c r="BE349" s="135"/>
      <c r="BF349" s="135"/>
      <c r="BG349" s="135"/>
      <c r="BH349" s="135"/>
      <c r="BI349" s="135"/>
      <c r="BJ349" s="44"/>
      <c r="BK349" s="135"/>
      <c r="BL349" s="135"/>
      <c r="BM349" s="135"/>
      <c r="BN349" s="135"/>
      <c r="BO349" s="135"/>
      <c r="BP349" s="135"/>
      <c r="BQ349" s="44"/>
      <c r="BR349" s="135"/>
      <c r="BS349" s="135"/>
      <c r="BT349" s="135"/>
      <c r="BU349" s="135"/>
      <c r="BV349" s="135"/>
      <c r="BW349" s="135"/>
      <c r="BX349" s="44"/>
      <c r="BY349" s="135"/>
      <c r="BZ349" s="135"/>
      <c r="CA349" s="135"/>
      <c r="CB349" s="135"/>
      <c r="CC349" s="135"/>
      <c r="CD349" s="135"/>
      <c r="CE349" s="44"/>
      <c r="CF349" s="135"/>
      <c r="CG349" s="135"/>
      <c r="CH349" s="135"/>
      <c r="CI349" s="135"/>
      <c r="CJ349" s="135"/>
      <c r="CK349" s="135"/>
      <c r="CL349" s="44"/>
      <c r="CM349" s="135"/>
      <c r="CN349" s="135"/>
      <c r="CO349" s="135"/>
      <c r="CP349" s="135"/>
      <c r="CQ349" s="135"/>
      <c r="CR349" s="135"/>
      <c r="CS349" s="44"/>
      <c r="CT349" s="135"/>
      <c r="CU349" s="135"/>
      <c r="CV349" s="135"/>
      <c r="CW349" s="135"/>
      <c r="CX349" s="135"/>
      <c r="CY349" s="135"/>
      <c r="CZ349" s="44"/>
      <c r="DA349" s="135"/>
      <c r="DB349" s="135"/>
      <c r="DC349" s="135"/>
      <c r="DD349" s="135"/>
      <c r="DE349" s="135"/>
      <c r="DF349" s="135"/>
      <c r="DG349" s="44"/>
      <c r="DH349" s="135"/>
      <c r="DI349" s="135"/>
      <c r="DJ349" s="135"/>
      <c r="DK349" s="135"/>
      <c r="DL349" s="135"/>
      <c r="DM349" s="135"/>
      <c r="DN349" s="44"/>
      <c r="DO349" s="135"/>
      <c r="DP349" s="135"/>
      <c r="DQ349" s="135"/>
      <c r="DR349" s="135"/>
      <c r="DS349" s="135"/>
      <c r="DT349" s="135"/>
      <c r="DU349" s="44"/>
      <c r="DV349" s="135"/>
      <c r="DW349" s="135"/>
      <c r="DX349" s="135"/>
      <c r="DY349" s="135"/>
      <c r="DZ349" s="135"/>
      <c r="EA349" s="135"/>
      <c r="EB349" s="44"/>
      <c r="EC349" s="135"/>
      <c r="ED349" s="135"/>
      <c r="EE349" s="135"/>
      <c r="EF349" s="135"/>
      <c r="EG349" s="135"/>
      <c r="EH349" s="135"/>
      <c r="EI349" s="44"/>
      <c r="EJ349" s="47"/>
      <c r="EK349" s="47"/>
      <c r="EL349" s="47"/>
      <c r="EM349" s="47"/>
      <c r="EN349" s="47"/>
      <c r="EO349" s="47"/>
      <c r="EP349" s="47"/>
      <c r="EQ349" s="47"/>
      <c r="ER349" s="47"/>
      <c r="ES349" s="47"/>
      <c r="ET349" s="47"/>
      <c r="EU349" s="47"/>
      <c r="EV349" s="47"/>
      <c r="EW349" s="47"/>
      <c r="EX349" s="47"/>
      <c r="EY349" s="47"/>
      <c r="EZ349" s="47"/>
      <c r="FA349" s="47"/>
      <c r="FB349" s="47"/>
      <c r="FC349" s="47"/>
      <c r="FD349" s="47"/>
      <c r="FE349" s="47"/>
      <c r="FF349" s="47"/>
      <c r="FG349" s="47"/>
      <c r="FH349" s="47"/>
      <c r="FI349" s="47"/>
      <c r="FJ349" s="47"/>
      <c r="FK349" s="47"/>
      <c r="FL349" s="47"/>
      <c r="FM349" s="47"/>
      <c r="FN349" s="47"/>
      <c r="FO349" s="47"/>
      <c r="FP349" s="47"/>
      <c r="FQ349" s="47"/>
      <c r="FR349" s="47"/>
      <c r="FS349" s="47"/>
      <c r="FT349" s="47"/>
      <c r="FU349" s="47"/>
      <c r="FV349" s="47"/>
      <c r="FW349" s="47"/>
      <c r="FX349" s="47"/>
      <c r="FY349" s="47"/>
      <c r="FZ349" s="47"/>
      <c r="GA349" s="47"/>
      <c r="GB349" s="47"/>
      <c r="GC349" s="47"/>
      <c r="GD349" s="47"/>
      <c r="GE349" s="47"/>
    </row>
    <row r="350" spans="1:187" ht="10.5" customHeight="1">
      <c r="A350" s="43"/>
      <c r="B350" s="108"/>
      <c r="C350" s="108"/>
      <c r="D350" s="108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44"/>
      <c r="U350" s="135"/>
      <c r="V350" s="135"/>
      <c r="W350" s="135"/>
      <c r="X350" s="135"/>
      <c r="Y350" s="135"/>
      <c r="Z350" s="135"/>
      <c r="AA350" s="44"/>
      <c r="AB350" s="135"/>
      <c r="AC350" s="135"/>
      <c r="AD350" s="135"/>
      <c r="AE350" s="135"/>
      <c r="AF350" s="135"/>
      <c r="AG350" s="135"/>
      <c r="AH350" s="44"/>
      <c r="AI350" s="135"/>
      <c r="AJ350" s="135"/>
      <c r="AK350" s="135"/>
      <c r="AL350" s="135"/>
      <c r="AM350" s="135"/>
      <c r="AN350" s="135"/>
      <c r="AO350" s="44"/>
      <c r="AP350" s="135"/>
      <c r="AQ350" s="135"/>
      <c r="AR350" s="135"/>
      <c r="AS350" s="135"/>
      <c r="AT350" s="135"/>
      <c r="AU350" s="135"/>
      <c r="AV350" s="44"/>
      <c r="AW350" s="135"/>
      <c r="AX350" s="135"/>
      <c r="AY350" s="135"/>
      <c r="AZ350" s="135"/>
      <c r="BA350" s="135"/>
      <c r="BB350" s="135"/>
      <c r="BC350" s="44"/>
      <c r="BD350" s="135"/>
      <c r="BE350" s="135"/>
      <c r="BF350" s="135"/>
      <c r="BG350" s="135"/>
      <c r="BH350" s="135"/>
      <c r="BI350" s="135"/>
      <c r="BJ350" s="44"/>
      <c r="BK350" s="135"/>
      <c r="BL350" s="135"/>
      <c r="BM350" s="135"/>
      <c r="BN350" s="135"/>
      <c r="BO350" s="135"/>
      <c r="BP350" s="135"/>
      <c r="BQ350" s="44"/>
      <c r="BR350" s="135"/>
      <c r="BS350" s="135"/>
      <c r="BT350" s="135"/>
      <c r="BU350" s="135"/>
      <c r="BV350" s="135"/>
      <c r="BW350" s="135"/>
      <c r="BX350" s="44"/>
      <c r="BY350" s="135"/>
      <c r="BZ350" s="135"/>
      <c r="CA350" s="135"/>
      <c r="CB350" s="135"/>
      <c r="CC350" s="135"/>
      <c r="CD350" s="135"/>
      <c r="CE350" s="44"/>
      <c r="CF350" s="135"/>
      <c r="CG350" s="135"/>
      <c r="CH350" s="135"/>
      <c r="CI350" s="135"/>
      <c r="CJ350" s="135"/>
      <c r="CK350" s="135"/>
      <c r="CL350" s="44"/>
      <c r="CM350" s="135"/>
      <c r="CN350" s="135"/>
      <c r="CO350" s="135"/>
      <c r="CP350" s="135"/>
      <c r="CQ350" s="135"/>
      <c r="CR350" s="135"/>
      <c r="CS350" s="44"/>
      <c r="CT350" s="135"/>
      <c r="CU350" s="135"/>
      <c r="CV350" s="135"/>
      <c r="CW350" s="135"/>
      <c r="CX350" s="135"/>
      <c r="CY350" s="135"/>
      <c r="CZ350" s="44"/>
      <c r="DA350" s="135"/>
      <c r="DB350" s="135"/>
      <c r="DC350" s="135"/>
      <c r="DD350" s="135"/>
      <c r="DE350" s="135"/>
      <c r="DF350" s="135"/>
      <c r="DG350" s="44"/>
      <c r="DH350" s="135"/>
      <c r="DI350" s="135"/>
      <c r="DJ350" s="135"/>
      <c r="DK350" s="135"/>
      <c r="DL350" s="135"/>
      <c r="DM350" s="135"/>
      <c r="DN350" s="44"/>
      <c r="DO350" s="135"/>
      <c r="DP350" s="135"/>
      <c r="DQ350" s="135"/>
      <c r="DR350" s="135"/>
      <c r="DS350" s="135"/>
      <c r="DT350" s="135"/>
      <c r="DU350" s="44"/>
      <c r="DV350" s="135"/>
      <c r="DW350" s="135"/>
      <c r="DX350" s="135"/>
      <c r="DY350" s="135"/>
      <c r="DZ350" s="135"/>
      <c r="EA350" s="135"/>
      <c r="EB350" s="44"/>
      <c r="EC350" s="135"/>
      <c r="ED350" s="135"/>
      <c r="EE350" s="135"/>
      <c r="EF350" s="135"/>
      <c r="EG350" s="135"/>
      <c r="EH350" s="135"/>
      <c r="EI350" s="44"/>
      <c r="EJ350" s="47"/>
      <c r="EK350" s="47"/>
      <c r="EL350" s="47"/>
      <c r="EM350" s="47"/>
      <c r="EN350" s="47"/>
      <c r="EO350" s="47"/>
      <c r="EP350" s="47"/>
      <c r="EQ350" s="47"/>
      <c r="ER350" s="47"/>
      <c r="ES350" s="47"/>
      <c r="ET350" s="47"/>
      <c r="EU350" s="47"/>
      <c r="EV350" s="47"/>
      <c r="EW350" s="47"/>
      <c r="EX350" s="47"/>
      <c r="EY350" s="47"/>
      <c r="EZ350" s="47"/>
      <c r="FA350" s="47"/>
      <c r="FB350" s="47"/>
      <c r="FC350" s="47"/>
      <c r="FD350" s="47"/>
      <c r="FE350" s="47"/>
      <c r="FF350" s="47"/>
      <c r="FG350" s="47"/>
      <c r="FH350" s="47"/>
      <c r="FI350" s="47"/>
      <c r="FJ350" s="47"/>
      <c r="FK350" s="47"/>
      <c r="FL350" s="47"/>
      <c r="FM350" s="47"/>
      <c r="FN350" s="47"/>
      <c r="FO350" s="47"/>
      <c r="FP350" s="47"/>
      <c r="FQ350" s="47"/>
      <c r="FR350" s="47"/>
      <c r="FS350" s="47"/>
      <c r="FT350" s="47"/>
      <c r="FU350" s="47"/>
      <c r="FV350" s="47"/>
      <c r="FW350" s="47"/>
      <c r="FX350" s="47"/>
      <c r="FY350" s="47"/>
      <c r="FZ350" s="47"/>
      <c r="GA350" s="47"/>
      <c r="GB350" s="47"/>
      <c r="GC350" s="47"/>
      <c r="GD350" s="47"/>
      <c r="GE350" s="47"/>
    </row>
    <row r="351" spans="1:187" ht="10.5" customHeight="1">
      <c r="A351" s="48"/>
      <c r="B351" s="48"/>
      <c r="C351" s="108"/>
      <c r="D351" s="108"/>
      <c r="E351" s="770"/>
      <c r="F351" s="770"/>
      <c r="G351" s="770"/>
      <c r="H351" s="770"/>
      <c r="I351" s="770"/>
      <c r="J351" s="770"/>
      <c r="K351" s="934"/>
      <c r="L351" s="934"/>
      <c r="M351" s="934"/>
      <c r="N351" s="135"/>
      <c r="O351" s="135"/>
      <c r="P351" s="135"/>
      <c r="Q351" s="135"/>
      <c r="R351" s="135"/>
      <c r="S351" s="135"/>
      <c r="T351" s="44"/>
      <c r="U351" s="135"/>
      <c r="V351" s="135"/>
      <c r="W351" s="135"/>
      <c r="X351" s="135"/>
      <c r="Y351" s="135"/>
      <c r="Z351" s="135"/>
      <c r="AA351" s="44"/>
      <c r="AB351" s="135"/>
      <c r="AC351" s="135"/>
      <c r="AD351" s="135"/>
      <c r="AE351" s="135"/>
      <c r="AF351" s="135"/>
      <c r="AG351" s="135"/>
      <c r="AH351" s="44"/>
      <c r="AI351" s="135"/>
      <c r="AJ351" s="135"/>
      <c r="AK351" s="135"/>
      <c r="AL351" s="135"/>
      <c r="AM351" s="135"/>
      <c r="AN351" s="135"/>
      <c r="AO351" s="44"/>
      <c r="AP351" s="135"/>
      <c r="AQ351" s="135"/>
      <c r="AR351" s="135"/>
      <c r="AS351" s="135"/>
      <c r="AT351" s="135"/>
      <c r="AU351" s="135"/>
      <c r="AV351" s="44"/>
      <c r="AW351" s="135"/>
      <c r="AX351" s="135"/>
      <c r="AY351" s="135"/>
      <c r="AZ351" s="135"/>
      <c r="BA351" s="135"/>
      <c r="BB351" s="135"/>
      <c r="BC351" s="44"/>
      <c r="BD351" s="135"/>
      <c r="BE351" s="135"/>
      <c r="BF351" s="135"/>
      <c r="BG351" s="135"/>
      <c r="BH351" s="135"/>
      <c r="BI351" s="135"/>
      <c r="BJ351" s="44"/>
      <c r="BK351" s="135"/>
      <c r="BL351" s="135"/>
      <c r="BM351" s="135"/>
      <c r="BN351" s="135"/>
      <c r="BO351" s="135"/>
      <c r="BP351" s="135"/>
      <c r="BQ351" s="44"/>
      <c r="BR351" s="135"/>
      <c r="BS351" s="135"/>
      <c r="BT351" s="135"/>
      <c r="BU351" s="135"/>
      <c r="BV351" s="135"/>
      <c r="BW351" s="135"/>
      <c r="BX351" s="44"/>
      <c r="BY351" s="135"/>
      <c r="BZ351" s="135"/>
      <c r="CA351" s="135"/>
      <c r="CB351" s="135"/>
      <c r="CC351" s="135"/>
      <c r="CD351" s="135"/>
      <c r="CE351" s="44"/>
      <c r="CF351" s="135"/>
      <c r="CG351" s="135"/>
      <c r="CH351" s="135"/>
      <c r="CI351" s="135"/>
      <c r="CJ351" s="135"/>
      <c r="CK351" s="135"/>
      <c r="CL351" s="44"/>
      <c r="CM351" s="135"/>
      <c r="CN351" s="135"/>
      <c r="CO351" s="135"/>
      <c r="CP351" s="135"/>
      <c r="CQ351" s="135"/>
      <c r="CR351" s="135"/>
      <c r="CS351" s="44"/>
      <c r="CT351" s="135"/>
      <c r="CU351" s="135"/>
      <c r="CV351" s="135"/>
      <c r="CW351" s="135"/>
      <c r="CX351" s="135"/>
      <c r="CY351" s="135"/>
      <c r="CZ351" s="44"/>
      <c r="DA351" s="135"/>
      <c r="DB351" s="135"/>
      <c r="DC351" s="135"/>
      <c r="DD351" s="135"/>
      <c r="DE351" s="135"/>
      <c r="DF351" s="135"/>
      <c r="DG351" s="44"/>
      <c r="DH351" s="135"/>
      <c r="DI351" s="135"/>
      <c r="DJ351" s="135"/>
      <c r="DK351" s="135"/>
      <c r="DL351" s="135"/>
      <c r="DM351" s="135"/>
      <c r="DN351" s="44"/>
      <c r="DO351" s="135"/>
      <c r="DP351" s="135"/>
      <c r="DQ351" s="135"/>
      <c r="DR351" s="135"/>
      <c r="DS351" s="135"/>
      <c r="DT351" s="135"/>
      <c r="DU351" s="44"/>
      <c r="DV351" s="135"/>
      <c r="DW351" s="135"/>
      <c r="DX351" s="135"/>
      <c r="DY351" s="135"/>
      <c r="DZ351" s="135"/>
      <c r="EA351" s="135"/>
      <c r="EB351" s="44"/>
      <c r="EC351" s="135"/>
      <c r="ED351" s="135"/>
      <c r="EE351" s="135"/>
      <c r="EF351" s="135"/>
      <c r="EG351" s="135"/>
      <c r="EH351" s="135"/>
      <c r="EI351" s="44"/>
      <c r="EJ351" s="47"/>
      <c r="EK351" s="47"/>
      <c r="EL351" s="47"/>
      <c r="EM351" s="47"/>
      <c r="EN351" s="47"/>
      <c r="EO351" s="47"/>
      <c r="EP351" s="47"/>
      <c r="EQ351" s="47"/>
      <c r="ER351" s="47"/>
      <c r="ES351" s="47"/>
      <c r="ET351" s="47"/>
      <c r="EU351" s="47"/>
      <c r="EV351" s="47"/>
      <c r="EW351" s="47"/>
      <c r="EX351" s="47"/>
      <c r="EY351" s="47"/>
      <c r="EZ351" s="47"/>
      <c r="FA351" s="47"/>
      <c r="FB351" s="47"/>
      <c r="FC351" s="47"/>
      <c r="FD351" s="47"/>
      <c r="FE351" s="47"/>
      <c r="FF351" s="47"/>
      <c r="FG351" s="47"/>
      <c r="FH351" s="47"/>
      <c r="FI351" s="47"/>
      <c r="FJ351" s="47"/>
      <c r="FK351" s="47"/>
      <c r="FL351" s="47"/>
      <c r="FM351" s="47"/>
      <c r="FN351" s="47"/>
      <c r="FO351" s="47"/>
      <c r="FP351" s="47"/>
      <c r="FQ351" s="47"/>
      <c r="FR351" s="47"/>
      <c r="FS351" s="47"/>
      <c r="FT351" s="47"/>
      <c r="FU351" s="47"/>
      <c r="FV351" s="47"/>
      <c r="FW351" s="47"/>
      <c r="FX351" s="47"/>
      <c r="FY351" s="47"/>
      <c r="FZ351" s="47"/>
      <c r="GA351" s="47"/>
      <c r="GB351" s="47"/>
      <c r="GC351" s="47"/>
      <c r="GD351" s="47"/>
      <c r="GE351" s="47"/>
    </row>
    <row r="352" spans="1:187" ht="10.5" customHeight="1">
      <c r="A352" s="43"/>
      <c r="B352" s="108"/>
      <c r="C352" s="108"/>
      <c r="D352" s="108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44"/>
      <c r="U352" s="135"/>
      <c r="V352" s="135"/>
      <c r="W352" s="135"/>
      <c r="X352" s="135"/>
      <c r="Y352" s="135"/>
      <c r="Z352" s="135"/>
      <c r="AA352" s="44"/>
      <c r="AB352" s="135"/>
      <c r="AC352" s="135"/>
      <c r="AD352" s="135"/>
      <c r="AE352" s="135"/>
      <c r="AF352" s="135"/>
      <c r="AG352" s="135"/>
      <c r="AH352" s="44"/>
      <c r="AI352" s="135"/>
      <c r="AJ352" s="135"/>
      <c r="AK352" s="135"/>
      <c r="AL352" s="135"/>
      <c r="AM352" s="135"/>
      <c r="AN352" s="135"/>
      <c r="AO352" s="44"/>
      <c r="AP352" s="135"/>
      <c r="AQ352" s="135"/>
      <c r="AR352" s="135"/>
      <c r="AS352" s="135"/>
      <c r="AT352" s="135"/>
      <c r="AU352" s="135"/>
      <c r="AV352" s="44"/>
      <c r="AW352" s="135"/>
      <c r="AX352" s="135"/>
      <c r="AY352" s="135"/>
      <c r="AZ352" s="135"/>
      <c r="BA352" s="135"/>
      <c r="BB352" s="135"/>
      <c r="BC352" s="44"/>
      <c r="BD352" s="135"/>
      <c r="BE352" s="135"/>
      <c r="BF352" s="135"/>
      <c r="BG352" s="135"/>
      <c r="BH352" s="135"/>
      <c r="BI352" s="135"/>
      <c r="BJ352" s="44"/>
      <c r="BK352" s="135"/>
      <c r="BL352" s="135"/>
      <c r="BM352" s="135"/>
      <c r="BN352" s="135"/>
      <c r="BO352" s="135"/>
      <c r="BP352" s="135"/>
      <c r="BQ352" s="44"/>
      <c r="BR352" s="135"/>
      <c r="BS352" s="135"/>
      <c r="BT352" s="135"/>
      <c r="BU352" s="135"/>
      <c r="BV352" s="135"/>
      <c r="BW352" s="135"/>
      <c r="BX352" s="44"/>
      <c r="BY352" s="135"/>
      <c r="BZ352" s="135"/>
      <c r="CA352" s="135"/>
      <c r="CB352" s="135"/>
      <c r="CC352" s="135"/>
      <c r="CD352" s="135"/>
      <c r="CE352" s="44"/>
      <c r="CF352" s="135"/>
      <c r="CG352" s="135"/>
      <c r="CH352" s="135"/>
      <c r="CI352" s="135"/>
      <c r="CJ352" s="135"/>
      <c r="CK352" s="135"/>
      <c r="CL352" s="44"/>
      <c r="CM352" s="135"/>
      <c r="CN352" s="135"/>
      <c r="CO352" s="135"/>
      <c r="CP352" s="135"/>
      <c r="CQ352" s="135"/>
      <c r="CR352" s="135"/>
      <c r="CS352" s="44"/>
      <c r="CT352" s="135"/>
      <c r="CU352" s="135"/>
      <c r="CV352" s="135"/>
      <c r="CW352" s="135"/>
      <c r="CX352" s="135"/>
      <c r="CY352" s="135"/>
      <c r="CZ352" s="44"/>
      <c r="DA352" s="135"/>
      <c r="DB352" s="135"/>
      <c r="DC352" s="135"/>
      <c r="DD352" s="135"/>
      <c r="DE352" s="135"/>
      <c r="DF352" s="135"/>
      <c r="DG352" s="44"/>
      <c r="DH352" s="135"/>
      <c r="DI352" s="135"/>
      <c r="DJ352" s="135"/>
      <c r="DK352" s="135"/>
      <c r="DL352" s="135"/>
      <c r="DM352" s="135"/>
      <c r="DN352" s="44"/>
      <c r="DO352" s="135"/>
      <c r="DP352" s="135"/>
      <c r="DQ352" s="135"/>
      <c r="DR352" s="135"/>
      <c r="DS352" s="135"/>
      <c r="DT352" s="135"/>
      <c r="DU352" s="44"/>
      <c r="DV352" s="135"/>
      <c r="DW352" s="135"/>
      <c r="DX352" s="135"/>
      <c r="DY352" s="135"/>
      <c r="DZ352" s="135"/>
      <c r="EA352" s="135"/>
      <c r="EB352" s="44"/>
      <c r="EC352" s="135"/>
      <c r="ED352" s="135"/>
      <c r="EE352" s="135"/>
      <c r="EF352" s="135"/>
      <c r="EG352" s="135"/>
      <c r="EH352" s="135"/>
      <c r="EI352" s="44"/>
      <c r="EJ352" s="47"/>
      <c r="EK352" s="47"/>
      <c r="EL352" s="47"/>
      <c r="EM352" s="47"/>
      <c r="EN352" s="47"/>
      <c r="EO352" s="47"/>
      <c r="EP352" s="47"/>
      <c r="EQ352" s="47"/>
      <c r="ER352" s="47"/>
      <c r="ES352" s="47"/>
      <c r="ET352" s="47"/>
      <c r="EU352" s="47"/>
      <c r="EV352" s="47"/>
      <c r="EW352" s="47"/>
      <c r="EX352" s="47"/>
      <c r="EY352" s="47"/>
      <c r="EZ352" s="47"/>
      <c r="FA352" s="47"/>
      <c r="FB352" s="47"/>
      <c r="FC352" s="47"/>
      <c r="FD352" s="47"/>
      <c r="FE352" s="47"/>
      <c r="FF352" s="47"/>
      <c r="FG352" s="47"/>
      <c r="FH352" s="47"/>
      <c r="FI352" s="47"/>
      <c r="FJ352" s="47"/>
      <c r="FK352" s="47"/>
      <c r="FL352" s="47"/>
      <c r="FM352" s="47"/>
      <c r="FN352" s="47"/>
      <c r="FO352" s="47"/>
      <c r="FP352" s="47"/>
      <c r="FQ352" s="47"/>
      <c r="FR352" s="47"/>
      <c r="FS352" s="47"/>
      <c r="FT352" s="47"/>
      <c r="FU352" s="47"/>
      <c r="FV352" s="47"/>
      <c r="FW352" s="47"/>
      <c r="FX352" s="47"/>
      <c r="FY352" s="47"/>
      <c r="FZ352" s="47"/>
      <c r="GA352" s="47"/>
      <c r="GB352" s="47"/>
      <c r="GC352" s="47"/>
      <c r="GD352" s="47"/>
      <c r="GE352" s="47"/>
    </row>
    <row r="353" spans="1:187" ht="10.5" customHeight="1">
      <c r="A353" s="43"/>
      <c r="B353" s="108"/>
      <c r="C353" s="108"/>
      <c r="D353" s="108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44"/>
      <c r="U353" s="135"/>
      <c r="V353" s="135"/>
      <c r="W353" s="135"/>
      <c r="X353" s="135"/>
      <c r="Y353" s="135"/>
      <c r="Z353" s="135"/>
      <c r="AA353" s="44"/>
      <c r="AB353" s="135"/>
      <c r="AC353" s="135"/>
      <c r="AD353" s="135"/>
      <c r="AE353" s="135"/>
      <c r="AF353" s="135"/>
      <c r="AG353" s="135"/>
      <c r="AH353" s="44"/>
      <c r="AI353" s="135"/>
      <c r="AJ353" s="135"/>
      <c r="AK353" s="135"/>
      <c r="AL353" s="135"/>
      <c r="AM353" s="135"/>
      <c r="AN353" s="135"/>
      <c r="AO353" s="44"/>
      <c r="AP353" s="135"/>
      <c r="AQ353" s="135"/>
      <c r="AR353" s="135"/>
      <c r="AS353" s="135"/>
      <c r="AT353" s="135"/>
      <c r="AU353" s="135"/>
      <c r="AV353" s="44"/>
      <c r="AW353" s="135"/>
      <c r="AX353" s="135"/>
      <c r="AY353" s="135"/>
      <c r="AZ353" s="135"/>
      <c r="BA353" s="135"/>
      <c r="BB353" s="135"/>
      <c r="BC353" s="44"/>
      <c r="BD353" s="135"/>
      <c r="BE353" s="135"/>
      <c r="BF353" s="135"/>
      <c r="BG353" s="135"/>
      <c r="BH353" s="135"/>
      <c r="BI353" s="135"/>
      <c r="BJ353" s="44"/>
      <c r="BK353" s="135"/>
      <c r="BL353" s="135"/>
      <c r="BM353" s="135"/>
      <c r="BN353" s="135"/>
      <c r="BO353" s="135"/>
      <c r="BP353" s="135"/>
      <c r="BQ353" s="44"/>
      <c r="BR353" s="135"/>
      <c r="BS353" s="135"/>
      <c r="BT353" s="135"/>
      <c r="BU353" s="135"/>
      <c r="BV353" s="135"/>
      <c r="BW353" s="135"/>
      <c r="BX353" s="44"/>
      <c r="BY353" s="135"/>
      <c r="BZ353" s="135"/>
      <c r="CA353" s="135"/>
      <c r="CB353" s="135"/>
      <c r="CC353" s="135"/>
      <c r="CD353" s="135"/>
      <c r="CE353" s="44"/>
      <c r="CF353" s="135"/>
      <c r="CG353" s="135"/>
      <c r="CH353" s="135"/>
      <c r="CI353" s="135"/>
      <c r="CJ353" s="135"/>
      <c r="CK353" s="135"/>
      <c r="CL353" s="44"/>
      <c r="CM353" s="135"/>
      <c r="CN353" s="135"/>
      <c r="CO353" s="135"/>
      <c r="CP353" s="135"/>
      <c r="CQ353" s="135"/>
      <c r="CR353" s="135"/>
      <c r="CS353" s="44"/>
      <c r="CT353" s="135"/>
      <c r="CU353" s="135"/>
      <c r="CV353" s="135"/>
      <c r="CW353" s="135"/>
      <c r="CX353" s="135"/>
      <c r="CY353" s="135"/>
      <c r="CZ353" s="44"/>
      <c r="DA353" s="135"/>
      <c r="DB353" s="135"/>
      <c r="DC353" s="135"/>
      <c r="DD353" s="135"/>
      <c r="DE353" s="135"/>
      <c r="DF353" s="135"/>
      <c r="DG353" s="44"/>
      <c r="DH353" s="135"/>
      <c r="DI353" s="135"/>
      <c r="DJ353" s="135"/>
      <c r="DK353" s="135"/>
      <c r="DL353" s="135"/>
      <c r="DM353" s="135"/>
      <c r="DN353" s="44"/>
      <c r="DO353" s="135"/>
      <c r="DP353" s="135"/>
      <c r="DQ353" s="135"/>
      <c r="DR353" s="135"/>
      <c r="DS353" s="135"/>
      <c r="DT353" s="135"/>
      <c r="DU353" s="44"/>
      <c r="DV353" s="135"/>
      <c r="DW353" s="135"/>
      <c r="DX353" s="135"/>
      <c r="DY353" s="135"/>
      <c r="DZ353" s="135"/>
      <c r="EA353" s="135"/>
      <c r="EB353" s="44"/>
      <c r="EC353" s="135"/>
      <c r="ED353" s="135"/>
      <c r="EE353" s="135"/>
      <c r="EF353" s="135"/>
      <c r="EG353" s="135"/>
      <c r="EH353" s="135"/>
      <c r="EI353" s="44"/>
      <c r="EJ353" s="47"/>
      <c r="EK353" s="47"/>
      <c r="EL353" s="47"/>
      <c r="EM353" s="47"/>
      <c r="EN353" s="47"/>
      <c r="EO353" s="47"/>
      <c r="EP353" s="47"/>
      <c r="EQ353" s="47"/>
      <c r="ER353" s="47"/>
      <c r="ES353" s="47"/>
      <c r="ET353" s="47"/>
      <c r="EU353" s="47"/>
      <c r="EV353" s="47"/>
      <c r="EW353" s="47"/>
      <c r="EX353" s="47"/>
      <c r="EY353" s="47"/>
      <c r="EZ353" s="47"/>
      <c r="FA353" s="47"/>
      <c r="FB353" s="47"/>
      <c r="FC353" s="47"/>
      <c r="FD353" s="47"/>
      <c r="FE353" s="47"/>
      <c r="FF353" s="47"/>
      <c r="FG353" s="47"/>
      <c r="FH353" s="47"/>
      <c r="FI353" s="47"/>
      <c r="FJ353" s="47"/>
      <c r="FK353" s="47"/>
      <c r="FL353" s="47"/>
      <c r="FM353" s="47"/>
      <c r="FN353" s="47"/>
      <c r="FO353" s="47"/>
      <c r="FP353" s="47"/>
      <c r="FQ353" s="47"/>
      <c r="FR353" s="47"/>
      <c r="FS353" s="47"/>
      <c r="FT353" s="47"/>
      <c r="FU353" s="47"/>
      <c r="FV353" s="47"/>
      <c r="FW353" s="47"/>
      <c r="FX353" s="47"/>
      <c r="FY353" s="47"/>
      <c r="FZ353" s="47"/>
      <c r="GA353" s="47"/>
      <c r="GB353" s="47"/>
      <c r="GC353" s="47"/>
      <c r="GD353" s="47"/>
      <c r="GE353" s="47"/>
    </row>
    <row r="354" spans="1:187" ht="10.5" customHeight="1">
      <c r="A354" s="43"/>
      <c r="B354" s="108"/>
      <c r="C354" s="108"/>
      <c r="D354" s="108"/>
      <c r="E354" s="223"/>
      <c r="F354" s="223"/>
      <c r="G354" s="223"/>
      <c r="H354" s="223"/>
      <c r="I354" s="223"/>
      <c r="J354" s="223"/>
      <c r="K354" s="223"/>
      <c r="L354" s="223"/>
      <c r="M354" s="223"/>
      <c r="N354" s="135"/>
      <c r="O354" s="135"/>
      <c r="P354" s="135"/>
      <c r="Q354" s="135"/>
      <c r="R354" s="135"/>
      <c r="S354" s="135"/>
      <c r="T354" s="44"/>
      <c r="U354" s="135"/>
      <c r="V354" s="135"/>
      <c r="W354" s="135"/>
      <c r="X354" s="135"/>
      <c r="Y354" s="135"/>
      <c r="Z354" s="135"/>
      <c r="AA354" s="44"/>
      <c r="AB354" s="135"/>
      <c r="AC354" s="135"/>
      <c r="AD354" s="135"/>
      <c r="AE354" s="135"/>
      <c r="AF354" s="135"/>
      <c r="AG354" s="135"/>
      <c r="AH354" s="44"/>
      <c r="AI354" s="135"/>
      <c r="AJ354" s="135"/>
      <c r="AK354" s="135"/>
      <c r="AL354" s="135"/>
      <c r="AM354" s="135"/>
      <c r="AN354" s="135"/>
      <c r="AO354" s="44"/>
      <c r="AP354" s="135"/>
      <c r="AQ354" s="135"/>
      <c r="AR354" s="135"/>
      <c r="AS354" s="135"/>
      <c r="AT354" s="135"/>
      <c r="AU354" s="135"/>
      <c r="AV354" s="44"/>
      <c r="AW354" s="135"/>
      <c r="AX354" s="135"/>
      <c r="AY354" s="135"/>
      <c r="AZ354" s="135"/>
      <c r="BA354" s="135"/>
      <c r="BB354" s="135"/>
      <c r="BC354" s="44"/>
      <c r="BD354" s="135"/>
      <c r="BE354" s="135"/>
      <c r="BF354" s="135"/>
      <c r="BG354" s="135"/>
      <c r="BH354" s="135"/>
      <c r="BI354" s="135"/>
      <c r="BJ354" s="44"/>
      <c r="BK354" s="135"/>
      <c r="BL354" s="135"/>
      <c r="BM354" s="135"/>
      <c r="BN354" s="135"/>
      <c r="BO354" s="135"/>
      <c r="BP354" s="135"/>
      <c r="BQ354" s="44"/>
      <c r="BR354" s="135"/>
      <c r="BS354" s="135"/>
      <c r="BT354" s="135"/>
      <c r="BU354" s="135"/>
      <c r="BV354" s="135"/>
      <c r="BW354" s="135"/>
      <c r="BX354" s="44"/>
      <c r="BY354" s="135"/>
      <c r="BZ354" s="135"/>
      <c r="CA354" s="135"/>
      <c r="CB354" s="135"/>
      <c r="CC354" s="135"/>
      <c r="CD354" s="135"/>
      <c r="CE354" s="44"/>
      <c r="CF354" s="135"/>
      <c r="CG354" s="135"/>
      <c r="CH354" s="135"/>
      <c r="CI354" s="135"/>
      <c r="CJ354" s="135"/>
      <c r="CK354" s="135"/>
      <c r="CL354" s="44"/>
      <c r="CM354" s="135"/>
      <c r="CN354" s="135"/>
      <c r="CO354" s="135"/>
      <c r="CP354" s="135"/>
      <c r="CQ354" s="135"/>
      <c r="CR354" s="135"/>
      <c r="CS354" s="44"/>
      <c r="CT354" s="135"/>
      <c r="CU354" s="135"/>
      <c r="CV354" s="135"/>
      <c r="CW354" s="135"/>
      <c r="CX354" s="135"/>
      <c r="CY354" s="135"/>
      <c r="CZ354" s="44"/>
      <c r="DA354" s="135"/>
      <c r="DB354" s="135"/>
      <c r="DC354" s="135"/>
      <c r="DD354" s="135"/>
      <c r="DE354" s="135"/>
      <c r="DF354" s="135"/>
      <c r="DG354" s="44"/>
      <c r="DH354" s="135"/>
      <c r="DI354" s="135"/>
      <c r="DJ354" s="135"/>
      <c r="DK354" s="135"/>
      <c r="DL354" s="135"/>
      <c r="DM354" s="135"/>
      <c r="DN354" s="44"/>
      <c r="DO354" s="135"/>
      <c r="DP354" s="135"/>
      <c r="DQ354" s="135"/>
      <c r="DR354" s="135"/>
      <c r="DS354" s="135"/>
      <c r="DT354" s="135"/>
      <c r="DU354" s="44"/>
      <c r="DV354" s="135"/>
      <c r="DW354" s="135"/>
      <c r="DX354" s="135"/>
      <c r="DY354" s="135"/>
      <c r="DZ354" s="135"/>
      <c r="EA354" s="135"/>
      <c r="EB354" s="44"/>
      <c r="EC354" s="135"/>
      <c r="ED354" s="135"/>
      <c r="EE354" s="135"/>
      <c r="EF354" s="135"/>
      <c r="EG354" s="135"/>
      <c r="EH354" s="135"/>
      <c r="EI354" s="44"/>
      <c r="EJ354" s="47"/>
      <c r="EK354" s="47"/>
      <c r="EL354" s="47"/>
      <c r="EM354" s="47"/>
      <c r="EN354" s="47"/>
      <c r="EO354" s="47"/>
      <c r="EP354" s="47"/>
      <c r="EQ354" s="47"/>
      <c r="ER354" s="47"/>
      <c r="ES354" s="47"/>
      <c r="ET354" s="47"/>
      <c r="EU354" s="47"/>
      <c r="EV354" s="47"/>
      <c r="EW354" s="47"/>
      <c r="EX354" s="47"/>
      <c r="EY354" s="47"/>
      <c r="EZ354" s="47"/>
      <c r="FA354" s="47"/>
      <c r="FB354" s="47"/>
      <c r="FC354" s="47"/>
      <c r="FD354" s="47"/>
      <c r="FE354" s="47"/>
      <c r="FF354" s="47"/>
      <c r="FG354" s="47"/>
      <c r="FH354" s="47"/>
      <c r="FI354" s="47"/>
      <c r="FJ354" s="47"/>
      <c r="FK354" s="47"/>
      <c r="FL354" s="47"/>
      <c r="FM354" s="47"/>
      <c r="FN354" s="47"/>
      <c r="FO354" s="47"/>
      <c r="FP354" s="47"/>
      <c r="FQ354" s="47"/>
      <c r="FR354" s="47"/>
      <c r="FS354" s="47"/>
      <c r="FT354" s="47"/>
      <c r="FU354" s="47"/>
      <c r="FV354" s="47"/>
      <c r="FW354" s="47"/>
      <c r="FX354" s="47"/>
      <c r="FY354" s="47"/>
      <c r="FZ354" s="47"/>
      <c r="GA354" s="47"/>
      <c r="GB354" s="47"/>
      <c r="GC354" s="47"/>
      <c r="GD354" s="47"/>
      <c r="GE354" s="47"/>
    </row>
    <row r="355" spans="1:187" ht="10.5" customHeight="1">
      <c r="A355" s="43"/>
      <c r="B355" s="108"/>
      <c r="C355" s="108"/>
      <c r="D355" s="108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44"/>
      <c r="U355" s="135"/>
      <c r="V355" s="135"/>
      <c r="W355" s="135"/>
      <c r="X355" s="135"/>
      <c r="Y355" s="135"/>
      <c r="Z355" s="135"/>
      <c r="AA355" s="44"/>
      <c r="AB355" s="135"/>
      <c r="AC355" s="135"/>
      <c r="AD355" s="135"/>
      <c r="AE355" s="135"/>
      <c r="AF355" s="135"/>
      <c r="AG355" s="135"/>
      <c r="AH355" s="44"/>
      <c r="AI355" s="135"/>
      <c r="AJ355" s="135"/>
      <c r="AK355" s="135"/>
      <c r="AL355" s="135"/>
      <c r="AM355" s="135"/>
      <c r="AN355" s="135"/>
      <c r="AO355" s="44"/>
      <c r="AP355" s="135"/>
      <c r="AQ355" s="135"/>
      <c r="AR355" s="135"/>
      <c r="AS355" s="135"/>
      <c r="AT355" s="135"/>
      <c r="AU355" s="135"/>
      <c r="AV355" s="44"/>
      <c r="AW355" s="135"/>
      <c r="AX355" s="135"/>
      <c r="AY355" s="135"/>
      <c r="AZ355" s="135"/>
      <c r="BA355" s="135"/>
      <c r="BB355" s="135"/>
      <c r="BC355" s="44"/>
      <c r="BD355" s="135"/>
      <c r="BE355" s="135"/>
      <c r="BF355" s="135"/>
      <c r="BG355" s="135"/>
      <c r="BH355" s="135"/>
      <c r="BI355" s="135"/>
      <c r="BJ355" s="44"/>
      <c r="BK355" s="135"/>
      <c r="BL355" s="135"/>
      <c r="BM355" s="135"/>
      <c r="BN355" s="135"/>
      <c r="BO355" s="135"/>
      <c r="BP355" s="135"/>
      <c r="BQ355" s="44"/>
      <c r="BR355" s="135"/>
      <c r="BS355" s="135"/>
      <c r="BT355" s="135"/>
      <c r="BU355" s="135"/>
      <c r="BV355" s="135"/>
      <c r="BW355" s="135"/>
      <c r="BX355" s="44"/>
      <c r="BY355" s="135"/>
      <c r="BZ355" s="135"/>
      <c r="CA355" s="135"/>
      <c r="CB355" s="135"/>
      <c r="CC355" s="135"/>
      <c r="CD355" s="135"/>
      <c r="CE355" s="44"/>
      <c r="CF355" s="135"/>
      <c r="CG355" s="135"/>
      <c r="CH355" s="135"/>
      <c r="CI355" s="135"/>
      <c r="CJ355" s="135"/>
      <c r="CK355" s="135"/>
      <c r="CL355" s="44"/>
      <c r="CM355" s="135"/>
      <c r="CN355" s="135"/>
      <c r="CO355" s="135"/>
      <c r="CP355" s="135"/>
      <c r="CQ355" s="135"/>
      <c r="CR355" s="135"/>
      <c r="CS355" s="44"/>
      <c r="CT355" s="135"/>
      <c r="CU355" s="135"/>
      <c r="CV355" s="135"/>
      <c r="CW355" s="135"/>
      <c r="CX355" s="135"/>
      <c r="CY355" s="135"/>
      <c r="CZ355" s="44"/>
      <c r="DA355" s="135"/>
      <c r="DB355" s="135"/>
      <c r="DC355" s="135"/>
      <c r="DD355" s="135"/>
      <c r="DE355" s="135"/>
      <c r="DF355" s="135"/>
      <c r="DG355" s="44"/>
      <c r="DH355" s="135"/>
      <c r="DI355" s="135"/>
      <c r="DJ355" s="135"/>
      <c r="DK355" s="135"/>
      <c r="DL355" s="135"/>
      <c r="DM355" s="135"/>
      <c r="DN355" s="44"/>
      <c r="DO355" s="135"/>
      <c r="DP355" s="135"/>
      <c r="DQ355" s="135"/>
      <c r="DR355" s="135"/>
      <c r="DS355" s="135"/>
      <c r="DT355" s="135"/>
      <c r="DU355" s="44"/>
      <c r="DV355" s="135"/>
      <c r="DW355" s="135"/>
      <c r="DX355" s="135"/>
      <c r="DY355" s="135"/>
      <c r="DZ355" s="135"/>
      <c r="EA355" s="135"/>
      <c r="EB355" s="44"/>
      <c r="EC355" s="135"/>
      <c r="ED355" s="135"/>
      <c r="EE355" s="135"/>
      <c r="EF355" s="135"/>
      <c r="EG355" s="135"/>
      <c r="EH355" s="135"/>
      <c r="EI355" s="44"/>
      <c r="EJ355" s="47"/>
      <c r="EK355" s="47"/>
      <c r="EL355" s="47"/>
      <c r="EM355" s="47"/>
      <c r="EN355" s="47"/>
      <c r="EO355" s="47"/>
      <c r="EP355" s="47"/>
      <c r="EQ355" s="47"/>
      <c r="ER355" s="47"/>
      <c r="ES355" s="47"/>
      <c r="ET355" s="47"/>
      <c r="EU355" s="47"/>
      <c r="EV355" s="47"/>
      <c r="EW355" s="47"/>
      <c r="EX355" s="47"/>
      <c r="EY355" s="47"/>
      <c r="EZ355" s="47"/>
      <c r="FA355" s="47"/>
      <c r="FB355" s="47"/>
      <c r="FC355" s="47"/>
      <c r="FD355" s="47"/>
      <c r="FE355" s="47"/>
      <c r="FF355" s="47"/>
      <c r="FG355" s="47"/>
      <c r="FH355" s="47"/>
      <c r="FI355" s="47"/>
      <c r="FJ355" s="47"/>
      <c r="FK355" s="47"/>
      <c r="FL355" s="47"/>
      <c r="FM355" s="47"/>
      <c r="FN355" s="47"/>
      <c r="FO355" s="47"/>
      <c r="FP355" s="47"/>
      <c r="FQ355" s="47"/>
      <c r="FR355" s="47"/>
      <c r="FS355" s="47"/>
      <c r="FT355" s="47"/>
      <c r="FU355" s="47"/>
      <c r="FV355" s="47"/>
      <c r="FW355" s="47"/>
      <c r="FX355" s="47"/>
      <c r="FY355" s="47"/>
      <c r="FZ355" s="47"/>
      <c r="GA355" s="47"/>
      <c r="GB355" s="47"/>
      <c r="GC355" s="47"/>
      <c r="GD355" s="47"/>
      <c r="GE355" s="47"/>
    </row>
    <row r="356" spans="1:187" ht="10.5" customHeight="1">
      <c r="A356" s="43"/>
      <c r="B356" s="108"/>
      <c r="C356" s="108"/>
      <c r="D356" s="108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44"/>
      <c r="U356" s="135"/>
      <c r="V356" s="135"/>
      <c r="W356" s="135"/>
      <c r="X356" s="135"/>
      <c r="Y356" s="135"/>
      <c r="Z356" s="135"/>
      <c r="AA356" s="44"/>
      <c r="AB356" s="135"/>
      <c r="AC356" s="135"/>
      <c r="AD356" s="135"/>
      <c r="AE356" s="135"/>
      <c r="AF356" s="135"/>
      <c r="AG356" s="135"/>
      <c r="AH356" s="44"/>
      <c r="AI356" s="135"/>
      <c r="AJ356" s="135"/>
      <c r="AK356" s="135"/>
      <c r="AL356" s="135"/>
      <c r="AM356" s="135"/>
      <c r="AN356" s="135"/>
      <c r="AO356" s="44"/>
      <c r="AP356" s="135"/>
      <c r="AQ356" s="135"/>
      <c r="AR356" s="135"/>
      <c r="AS356" s="135"/>
      <c r="AT356" s="135"/>
      <c r="AU356" s="135"/>
      <c r="AV356" s="44"/>
      <c r="AW356" s="135"/>
      <c r="AX356" s="135"/>
      <c r="AY356" s="135"/>
      <c r="AZ356" s="135"/>
      <c r="BA356" s="135"/>
      <c r="BB356" s="135"/>
      <c r="BC356" s="44"/>
      <c r="BD356" s="135"/>
      <c r="BE356" s="135"/>
      <c r="BF356" s="135"/>
      <c r="BG356" s="135"/>
      <c r="BH356" s="135"/>
      <c r="BI356" s="135"/>
      <c r="BJ356" s="44"/>
      <c r="BK356" s="135"/>
      <c r="BL356" s="135"/>
      <c r="BM356" s="135"/>
      <c r="BN356" s="135"/>
      <c r="BO356" s="135"/>
      <c r="BP356" s="135"/>
      <c r="BQ356" s="44"/>
      <c r="BR356" s="135"/>
      <c r="BS356" s="135"/>
      <c r="BT356" s="135"/>
      <c r="BU356" s="135"/>
      <c r="BV356" s="135"/>
      <c r="BW356" s="135"/>
      <c r="BX356" s="44"/>
      <c r="BY356" s="135"/>
      <c r="BZ356" s="135"/>
      <c r="CA356" s="135"/>
      <c r="CB356" s="135"/>
      <c r="CC356" s="135"/>
      <c r="CD356" s="135"/>
      <c r="CE356" s="44"/>
      <c r="CF356" s="135"/>
      <c r="CG356" s="135"/>
      <c r="CH356" s="135"/>
      <c r="CI356" s="135"/>
      <c r="CJ356" s="135"/>
      <c r="CK356" s="135"/>
      <c r="CL356" s="44"/>
      <c r="CM356" s="135"/>
      <c r="CN356" s="135"/>
      <c r="CO356" s="135"/>
      <c r="CP356" s="135"/>
      <c r="CQ356" s="135"/>
      <c r="CR356" s="135"/>
      <c r="CS356" s="44"/>
      <c r="CT356" s="135"/>
      <c r="CU356" s="135"/>
      <c r="CV356" s="135"/>
      <c r="CW356" s="135"/>
      <c r="CX356" s="135"/>
      <c r="CY356" s="135"/>
      <c r="CZ356" s="44"/>
      <c r="DA356" s="135"/>
      <c r="DB356" s="135"/>
      <c r="DC356" s="135"/>
      <c r="DD356" s="135"/>
      <c r="DE356" s="135"/>
      <c r="DF356" s="135"/>
      <c r="DG356" s="44"/>
      <c r="DH356" s="135"/>
      <c r="DI356" s="135"/>
      <c r="DJ356" s="135"/>
      <c r="DK356" s="135"/>
      <c r="DL356" s="135"/>
      <c r="DM356" s="135"/>
      <c r="DN356" s="44"/>
      <c r="DO356" s="135"/>
      <c r="DP356" s="135"/>
      <c r="DQ356" s="135"/>
      <c r="DR356" s="135"/>
      <c r="DS356" s="135"/>
      <c r="DT356" s="135"/>
      <c r="DU356" s="44"/>
      <c r="DV356" s="135"/>
      <c r="DW356" s="135"/>
      <c r="DX356" s="135"/>
      <c r="DY356" s="135"/>
      <c r="DZ356" s="135"/>
      <c r="EA356" s="135"/>
      <c r="EB356" s="44"/>
      <c r="EC356" s="135"/>
      <c r="ED356" s="135"/>
      <c r="EE356" s="135"/>
      <c r="EF356" s="135"/>
      <c r="EG356" s="135"/>
      <c r="EH356" s="135"/>
      <c r="EI356" s="44"/>
      <c r="EJ356" s="47"/>
      <c r="EK356" s="47"/>
      <c r="EL356" s="47"/>
      <c r="EM356" s="47"/>
      <c r="EN356" s="47"/>
      <c r="EO356" s="47"/>
      <c r="EP356" s="47"/>
      <c r="EQ356" s="47"/>
      <c r="ER356" s="47"/>
      <c r="ES356" s="47"/>
      <c r="ET356" s="47"/>
      <c r="EU356" s="47"/>
      <c r="EV356" s="47"/>
      <c r="EW356" s="47"/>
      <c r="EX356" s="47"/>
      <c r="EY356" s="47"/>
      <c r="EZ356" s="47"/>
      <c r="FA356" s="47"/>
      <c r="FB356" s="47"/>
      <c r="FC356" s="47"/>
      <c r="FD356" s="47"/>
      <c r="FE356" s="47"/>
      <c r="FF356" s="47"/>
      <c r="FG356" s="47"/>
      <c r="FH356" s="47"/>
      <c r="FI356" s="47"/>
      <c r="FJ356" s="47"/>
      <c r="FK356" s="47"/>
      <c r="FL356" s="47"/>
      <c r="FM356" s="47"/>
      <c r="FN356" s="47"/>
      <c r="FO356" s="47"/>
      <c r="FP356" s="47"/>
      <c r="FQ356" s="47"/>
      <c r="FR356" s="47"/>
      <c r="FS356" s="47"/>
      <c r="FT356" s="47"/>
      <c r="FU356" s="47"/>
      <c r="FV356" s="47"/>
      <c r="FW356" s="47"/>
      <c r="FX356" s="47"/>
      <c r="FY356" s="47"/>
      <c r="FZ356" s="47"/>
      <c r="GA356" s="47"/>
      <c r="GB356" s="47"/>
      <c r="GC356" s="47"/>
      <c r="GD356" s="47"/>
      <c r="GE356" s="47"/>
    </row>
    <row r="357" spans="1:187" ht="10.5" customHeight="1">
      <c r="A357" s="43"/>
      <c r="B357" s="108"/>
      <c r="C357" s="108"/>
      <c r="D357" s="108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44"/>
      <c r="U357" s="135"/>
      <c r="V357" s="135"/>
      <c r="W357" s="135"/>
      <c r="X357" s="135"/>
      <c r="Y357" s="135"/>
      <c r="Z357" s="135"/>
      <c r="AA357" s="44"/>
      <c r="AB357" s="135"/>
      <c r="AC357" s="135"/>
      <c r="AD357" s="135"/>
      <c r="AE357" s="135"/>
      <c r="AF357" s="135"/>
      <c r="AG357" s="135"/>
      <c r="AH357" s="44"/>
      <c r="AI357" s="135"/>
      <c r="AJ357" s="135"/>
      <c r="AK357" s="135"/>
      <c r="AL357" s="135"/>
      <c r="AM357" s="135"/>
      <c r="AN357" s="135"/>
      <c r="AO357" s="44"/>
      <c r="AP357" s="135"/>
      <c r="AQ357" s="135"/>
      <c r="AR357" s="135"/>
      <c r="AS357" s="135"/>
      <c r="AT357" s="135"/>
      <c r="AU357" s="135"/>
      <c r="AV357" s="44"/>
      <c r="AW357" s="135"/>
      <c r="AX357" s="135"/>
      <c r="AY357" s="135"/>
      <c r="AZ357" s="135"/>
      <c r="BA357" s="135"/>
      <c r="BB357" s="135"/>
      <c r="BC357" s="44"/>
      <c r="BD357" s="135"/>
      <c r="BE357" s="135"/>
      <c r="BF357" s="135"/>
      <c r="BG357" s="135"/>
      <c r="BH357" s="135"/>
      <c r="BI357" s="135"/>
      <c r="BJ357" s="44"/>
      <c r="BK357" s="135"/>
      <c r="BL357" s="135"/>
      <c r="BM357" s="135"/>
      <c r="BN357" s="135"/>
      <c r="BO357" s="135"/>
      <c r="BP357" s="135"/>
      <c r="BQ357" s="44"/>
      <c r="BR357" s="135"/>
      <c r="BS357" s="135"/>
      <c r="BT357" s="135"/>
      <c r="BU357" s="135"/>
      <c r="BV357" s="135"/>
      <c r="BW357" s="135"/>
      <c r="BX357" s="44"/>
      <c r="BY357" s="135"/>
      <c r="BZ357" s="135"/>
      <c r="CA357" s="135"/>
      <c r="CB357" s="135"/>
      <c r="CC357" s="135"/>
      <c r="CD357" s="135"/>
      <c r="CE357" s="44"/>
      <c r="CF357" s="135"/>
      <c r="CG357" s="135"/>
      <c r="CH357" s="135"/>
      <c r="CI357" s="135"/>
      <c r="CJ357" s="135"/>
      <c r="CK357" s="135"/>
      <c r="CL357" s="44"/>
      <c r="CM357" s="135"/>
      <c r="CN357" s="135"/>
      <c r="CO357" s="135"/>
      <c r="CP357" s="135"/>
      <c r="CQ357" s="135"/>
      <c r="CR357" s="135"/>
      <c r="CS357" s="44"/>
      <c r="CT357" s="135"/>
      <c r="CU357" s="135"/>
      <c r="CV357" s="135"/>
      <c r="CW357" s="135"/>
      <c r="CX357" s="135"/>
      <c r="CY357" s="135"/>
      <c r="CZ357" s="44"/>
      <c r="DA357" s="135"/>
      <c r="DB357" s="135"/>
      <c r="DC357" s="135"/>
      <c r="DD357" s="135"/>
      <c r="DE357" s="135"/>
      <c r="DF357" s="135"/>
      <c r="DG357" s="44"/>
      <c r="DH357" s="135"/>
      <c r="DI357" s="135"/>
      <c r="DJ357" s="135"/>
      <c r="DK357" s="135"/>
      <c r="DL357" s="135"/>
      <c r="DM357" s="135"/>
      <c r="DN357" s="44"/>
      <c r="DO357" s="135"/>
      <c r="DP357" s="135"/>
      <c r="DQ357" s="135"/>
      <c r="DR357" s="135"/>
      <c r="DS357" s="135"/>
      <c r="DT357" s="135"/>
      <c r="DU357" s="44"/>
      <c r="DV357" s="135"/>
      <c r="DW357" s="135"/>
      <c r="DX357" s="135"/>
      <c r="DY357" s="135"/>
      <c r="DZ357" s="135"/>
      <c r="EA357" s="135"/>
      <c r="EB357" s="44"/>
      <c r="EC357" s="135"/>
      <c r="ED357" s="135"/>
      <c r="EE357" s="135"/>
      <c r="EF357" s="135"/>
      <c r="EG357" s="135"/>
      <c r="EH357" s="135"/>
      <c r="EI357" s="44"/>
      <c r="EJ357" s="47"/>
      <c r="EK357" s="47"/>
      <c r="EL357" s="47"/>
      <c r="EM357" s="47"/>
      <c r="EN357" s="47"/>
      <c r="EO357" s="47"/>
      <c r="EP357" s="47"/>
      <c r="EQ357" s="47"/>
      <c r="ER357" s="47"/>
      <c r="ES357" s="47"/>
      <c r="ET357" s="47"/>
      <c r="EU357" s="47"/>
      <c r="EV357" s="47"/>
      <c r="EW357" s="47"/>
      <c r="EX357" s="47"/>
      <c r="EY357" s="47"/>
      <c r="EZ357" s="47"/>
      <c r="FA357" s="47"/>
      <c r="FB357" s="47"/>
      <c r="FC357" s="47"/>
      <c r="FD357" s="47"/>
      <c r="FE357" s="47"/>
      <c r="FF357" s="47"/>
      <c r="FG357" s="47"/>
      <c r="FH357" s="47"/>
      <c r="FI357" s="47"/>
      <c r="FJ357" s="47"/>
      <c r="FK357" s="47"/>
      <c r="FL357" s="47"/>
      <c r="FM357" s="47"/>
      <c r="FN357" s="47"/>
      <c r="FO357" s="47"/>
      <c r="FP357" s="47"/>
      <c r="FQ357" s="47"/>
      <c r="FR357" s="47"/>
      <c r="FS357" s="47"/>
      <c r="FT357" s="47"/>
      <c r="FU357" s="47"/>
      <c r="FV357" s="47"/>
      <c r="FW357" s="47"/>
      <c r="FX357" s="47"/>
      <c r="FY357" s="47"/>
      <c r="FZ357" s="47"/>
      <c r="GA357" s="47"/>
      <c r="GB357" s="47"/>
      <c r="GC357" s="47"/>
      <c r="GD357" s="47"/>
      <c r="GE357" s="47"/>
    </row>
    <row r="358" spans="1:187" ht="10.5" customHeight="1">
      <c r="A358" s="43"/>
      <c r="B358" s="108"/>
      <c r="C358" s="108"/>
      <c r="D358" s="108"/>
      <c r="E358" s="223"/>
      <c r="F358" s="223"/>
      <c r="G358" s="223"/>
      <c r="H358" s="223"/>
      <c r="I358" s="223"/>
      <c r="J358" s="223"/>
      <c r="K358" s="223"/>
      <c r="L358" s="223"/>
      <c r="M358" s="223"/>
      <c r="N358" s="135"/>
      <c r="O358" s="135"/>
      <c r="P358" s="135"/>
      <c r="Q358" s="135"/>
      <c r="R358" s="135"/>
      <c r="S358" s="135"/>
      <c r="T358" s="44"/>
      <c r="U358" s="135"/>
      <c r="V358" s="135"/>
      <c r="W358" s="135"/>
      <c r="X358" s="135"/>
      <c r="Y358" s="135"/>
      <c r="Z358" s="135"/>
      <c r="AA358" s="44"/>
      <c r="AB358" s="135"/>
      <c r="AC358" s="135"/>
      <c r="AD358" s="135"/>
      <c r="AE358" s="135"/>
      <c r="AF358" s="135"/>
      <c r="AG358" s="135"/>
      <c r="AH358" s="44"/>
      <c r="AI358" s="135"/>
      <c r="AJ358" s="135"/>
      <c r="AK358" s="135"/>
      <c r="AL358" s="135"/>
      <c r="AM358" s="135"/>
      <c r="AN358" s="135"/>
      <c r="AO358" s="44"/>
      <c r="AP358" s="135"/>
      <c r="AQ358" s="135"/>
      <c r="AR358" s="135"/>
      <c r="AS358" s="135"/>
      <c r="AT358" s="135"/>
      <c r="AU358" s="135"/>
      <c r="AV358" s="44"/>
      <c r="AW358" s="135"/>
      <c r="AX358" s="135"/>
      <c r="AY358" s="135"/>
      <c r="AZ358" s="135"/>
      <c r="BA358" s="135"/>
      <c r="BB358" s="135"/>
      <c r="BC358" s="44"/>
      <c r="BD358" s="135"/>
      <c r="BE358" s="135"/>
      <c r="BF358" s="135"/>
      <c r="BG358" s="135"/>
      <c r="BH358" s="135"/>
      <c r="BI358" s="135"/>
      <c r="BJ358" s="44"/>
      <c r="BK358" s="135"/>
      <c r="BL358" s="135"/>
      <c r="BM358" s="135"/>
      <c r="BN358" s="135"/>
      <c r="BO358" s="135"/>
      <c r="BP358" s="135"/>
      <c r="BQ358" s="44"/>
      <c r="BR358" s="135"/>
      <c r="BS358" s="135"/>
      <c r="BT358" s="135"/>
      <c r="BU358" s="135"/>
      <c r="BV358" s="135"/>
      <c r="BW358" s="135"/>
      <c r="BX358" s="44"/>
      <c r="BY358" s="135"/>
      <c r="BZ358" s="135"/>
      <c r="CA358" s="135"/>
      <c r="CB358" s="135"/>
      <c r="CC358" s="135"/>
      <c r="CD358" s="135"/>
      <c r="CE358" s="44"/>
      <c r="CF358" s="135"/>
      <c r="CG358" s="135"/>
      <c r="CH358" s="135"/>
      <c r="CI358" s="135"/>
      <c r="CJ358" s="135"/>
      <c r="CK358" s="135"/>
      <c r="CL358" s="44"/>
      <c r="CM358" s="135"/>
      <c r="CN358" s="135"/>
      <c r="CO358" s="135"/>
      <c r="CP358" s="135"/>
      <c r="CQ358" s="135"/>
      <c r="CR358" s="135"/>
      <c r="CS358" s="44"/>
      <c r="CT358" s="135"/>
      <c r="CU358" s="135"/>
      <c r="CV358" s="135"/>
      <c r="CW358" s="135"/>
      <c r="CX358" s="135"/>
      <c r="CY358" s="135"/>
      <c r="CZ358" s="44"/>
      <c r="DA358" s="135"/>
      <c r="DB358" s="135"/>
      <c r="DC358" s="135"/>
      <c r="DD358" s="135"/>
      <c r="DE358" s="135"/>
      <c r="DF358" s="135"/>
      <c r="DG358" s="44"/>
      <c r="DH358" s="135"/>
      <c r="DI358" s="135"/>
      <c r="DJ358" s="135"/>
      <c r="DK358" s="135"/>
      <c r="DL358" s="135"/>
      <c r="DM358" s="135"/>
      <c r="DN358" s="44"/>
      <c r="DO358" s="135"/>
      <c r="DP358" s="135"/>
      <c r="DQ358" s="135"/>
      <c r="DR358" s="135"/>
      <c r="DS358" s="135"/>
      <c r="DT358" s="135"/>
      <c r="DU358" s="44"/>
      <c r="DV358" s="135"/>
      <c r="DW358" s="135"/>
      <c r="DX358" s="135"/>
      <c r="DY358" s="135"/>
      <c r="DZ358" s="135"/>
      <c r="EA358" s="135"/>
      <c r="EB358" s="44"/>
      <c r="EC358" s="135"/>
      <c r="ED358" s="135"/>
      <c r="EE358" s="135"/>
      <c r="EF358" s="135"/>
      <c r="EG358" s="135"/>
      <c r="EH358" s="135"/>
      <c r="EI358" s="44"/>
      <c r="EJ358" s="47"/>
      <c r="EK358" s="47"/>
      <c r="EL358" s="47"/>
      <c r="EM358" s="47"/>
      <c r="EN358" s="47"/>
      <c r="EO358" s="47"/>
      <c r="EP358" s="47"/>
      <c r="EQ358" s="47"/>
      <c r="ER358" s="47"/>
      <c r="ES358" s="47"/>
      <c r="ET358" s="47"/>
      <c r="EU358" s="47"/>
      <c r="EV358" s="47"/>
      <c r="EW358" s="47"/>
      <c r="EX358" s="47"/>
      <c r="EY358" s="47"/>
      <c r="EZ358" s="47"/>
      <c r="FA358" s="47"/>
      <c r="FB358" s="47"/>
      <c r="FC358" s="47"/>
      <c r="FD358" s="47"/>
      <c r="FE358" s="47"/>
      <c r="FF358" s="47"/>
      <c r="FG358" s="47"/>
      <c r="FH358" s="47"/>
      <c r="FI358" s="47"/>
      <c r="FJ358" s="47"/>
      <c r="FK358" s="47"/>
      <c r="FL358" s="47"/>
      <c r="FM358" s="47"/>
      <c r="FN358" s="47"/>
      <c r="FO358" s="47"/>
      <c r="FP358" s="47"/>
      <c r="FQ358" s="47"/>
      <c r="FR358" s="47"/>
      <c r="FS358" s="47"/>
      <c r="FT358" s="47"/>
      <c r="FU358" s="47"/>
      <c r="FV358" s="47"/>
      <c r="FW358" s="47"/>
      <c r="FX358" s="47"/>
      <c r="FY358" s="47"/>
      <c r="FZ358" s="47"/>
      <c r="GA358" s="47"/>
      <c r="GB358" s="47"/>
      <c r="GC358" s="47"/>
      <c r="GD358" s="47"/>
      <c r="GE358" s="47"/>
    </row>
    <row r="359" spans="1:187" ht="10.5" customHeight="1">
      <c r="A359" s="43"/>
      <c r="B359" s="108"/>
      <c r="C359" s="108"/>
      <c r="D359" s="108"/>
      <c r="E359" s="223"/>
      <c r="F359" s="223"/>
      <c r="G359" s="223"/>
      <c r="H359" s="223"/>
      <c r="I359" s="223"/>
      <c r="J359" s="223"/>
      <c r="K359" s="223"/>
      <c r="L359" s="223"/>
      <c r="M359" s="223"/>
      <c r="N359" s="135"/>
      <c r="O359" s="135"/>
      <c r="P359" s="135"/>
      <c r="Q359" s="135"/>
      <c r="R359" s="135"/>
      <c r="S359" s="135"/>
      <c r="T359" s="44"/>
      <c r="U359" s="135"/>
      <c r="V359" s="135"/>
      <c r="W359" s="135"/>
      <c r="X359" s="135"/>
      <c r="Y359" s="135"/>
      <c r="Z359" s="135"/>
      <c r="AA359" s="44"/>
      <c r="AB359" s="135"/>
      <c r="AC359" s="135"/>
      <c r="AD359" s="135"/>
      <c r="AE359" s="135"/>
      <c r="AF359" s="135"/>
      <c r="AG359" s="135"/>
      <c r="AH359" s="44"/>
      <c r="AI359" s="135"/>
      <c r="AJ359" s="135"/>
      <c r="AK359" s="135"/>
      <c r="AL359" s="135"/>
      <c r="AM359" s="135"/>
      <c r="AN359" s="135"/>
      <c r="AO359" s="44"/>
      <c r="AP359" s="135"/>
      <c r="AQ359" s="135"/>
      <c r="AR359" s="135"/>
      <c r="AS359" s="135"/>
      <c r="AT359" s="135"/>
      <c r="AU359" s="135"/>
      <c r="AV359" s="44"/>
      <c r="AW359" s="135"/>
      <c r="AX359" s="135"/>
      <c r="AY359" s="135"/>
      <c r="AZ359" s="135"/>
      <c r="BA359" s="135"/>
      <c r="BB359" s="135"/>
      <c r="BC359" s="44"/>
      <c r="BD359" s="135"/>
      <c r="BE359" s="135"/>
      <c r="BF359" s="135"/>
      <c r="BG359" s="135"/>
      <c r="BH359" s="135"/>
      <c r="BI359" s="135"/>
      <c r="BJ359" s="44"/>
      <c r="BK359" s="135"/>
      <c r="BL359" s="135"/>
      <c r="BM359" s="135"/>
      <c r="BN359" s="135"/>
      <c r="BO359" s="135"/>
      <c r="BP359" s="135"/>
      <c r="BQ359" s="44"/>
      <c r="BR359" s="135"/>
      <c r="BS359" s="135"/>
      <c r="BT359" s="135"/>
      <c r="BU359" s="135"/>
      <c r="BV359" s="135"/>
      <c r="BW359" s="135"/>
      <c r="BX359" s="44"/>
      <c r="BY359" s="135"/>
      <c r="BZ359" s="135"/>
      <c r="CA359" s="135"/>
      <c r="CB359" s="135"/>
      <c r="CC359" s="135"/>
      <c r="CD359" s="135"/>
      <c r="CE359" s="44"/>
      <c r="CF359" s="135"/>
      <c r="CG359" s="135"/>
      <c r="CH359" s="135"/>
      <c r="CI359" s="135"/>
      <c r="CJ359" s="135"/>
      <c r="CK359" s="135"/>
      <c r="CL359" s="44"/>
      <c r="CM359" s="135"/>
      <c r="CN359" s="135"/>
      <c r="CO359" s="135"/>
      <c r="CP359" s="135"/>
      <c r="CQ359" s="135"/>
      <c r="CR359" s="135"/>
      <c r="CS359" s="44"/>
      <c r="CT359" s="135"/>
      <c r="CU359" s="135"/>
      <c r="CV359" s="135"/>
      <c r="CW359" s="135"/>
      <c r="CX359" s="135"/>
      <c r="CY359" s="135"/>
      <c r="CZ359" s="44"/>
      <c r="DA359" s="135"/>
      <c r="DB359" s="135"/>
      <c r="DC359" s="135"/>
      <c r="DD359" s="135"/>
      <c r="DE359" s="135"/>
      <c r="DF359" s="135"/>
      <c r="DG359" s="44"/>
      <c r="DH359" s="135"/>
      <c r="DI359" s="135"/>
      <c r="DJ359" s="135"/>
      <c r="DK359" s="135"/>
      <c r="DL359" s="135"/>
      <c r="DM359" s="135"/>
      <c r="DN359" s="44"/>
      <c r="DO359" s="135"/>
      <c r="DP359" s="135"/>
      <c r="DQ359" s="135"/>
      <c r="DR359" s="135"/>
      <c r="DS359" s="135"/>
      <c r="DT359" s="135"/>
      <c r="DU359" s="44"/>
      <c r="DV359" s="135"/>
      <c r="DW359" s="135"/>
      <c r="DX359" s="135"/>
      <c r="DY359" s="135"/>
      <c r="DZ359" s="135"/>
      <c r="EA359" s="135"/>
      <c r="EB359" s="44"/>
      <c r="EC359" s="135"/>
      <c r="ED359" s="135"/>
      <c r="EE359" s="135"/>
      <c r="EF359" s="135"/>
      <c r="EG359" s="135"/>
      <c r="EH359" s="135"/>
      <c r="EI359" s="44"/>
      <c r="EJ359" s="47"/>
      <c r="EK359" s="47"/>
      <c r="EL359" s="47"/>
      <c r="EM359" s="47"/>
      <c r="EN359" s="47"/>
      <c r="EO359" s="47"/>
      <c r="EP359" s="47"/>
      <c r="EQ359" s="47"/>
      <c r="ER359" s="47"/>
      <c r="ES359" s="47"/>
      <c r="ET359" s="47"/>
      <c r="EU359" s="47"/>
      <c r="EV359" s="47"/>
      <c r="EW359" s="47"/>
      <c r="EX359" s="47"/>
      <c r="EY359" s="47"/>
      <c r="EZ359" s="47"/>
      <c r="FA359" s="47"/>
      <c r="FB359" s="47"/>
      <c r="FC359" s="47"/>
      <c r="FD359" s="47"/>
      <c r="FE359" s="47"/>
      <c r="FF359" s="47"/>
      <c r="FG359" s="47"/>
      <c r="FH359" s="47"/>
      <c r="FI359" s="47"/>
      <c r="FJ359" s="47"/>
      <c r="FK359" s="47"/>
      <c r="FL359" s="47"/>
      <c r="FM359" s="47"/>
      <c r="FN359" s="47"/>
      <c r="FO359" s="47"/>
      <c r="FP359" s="47"/>
      <c r="FQ359" s="47"/>
      <c r="FR359" s="47"/>
      <c r="FS359" s="47"/>
      <c r="FT359" s="47"/>
      <c r="FU359" s="47"/>
      <c r="FV359" s="47"/>
      <c r="FW359" s="47"/>
      <c r="FX359" s="47"/>
      <c r="FY359" s="47"/>
      <c r="FZ359" s="47"/>
      <c r="GA359" s="47"/>
      <c r="GB359" s="47"/>
      <c r="GC359" s="47"/>
      <c r="GD359" s="47"/>
      <c r="GE359" s="47"/>
    </row>
    <row r="360" spans="1:187" ht="10.5" customHeight="1">
      <c r="A360" s="43"/>
      <c r="B360" s="78"/>
      <c r="C360" s="78"/>
      <c r="D360" s="245"/>
      <c r="E360" s="203"/>
      <c r="F360" s="203"/>
      <c r="G360" s="203"/>
      <c r="H360" s="203"/>
      <c r="I360" s="203"/>
      <c r="J360" s="203"/>
      <c r="K360" s="203"/>
      <c r="L360" s="203"/>
      <c r="M360" s="203"/>
      <c r="N360" s="108"/>
      <c r="O360" s="108"/>
      <c r="P360" s="108"/>
      <c r="Q360" s="108"/>
      <c r="R360" s="108"/>
      <c r="S360" s="108"/>
      <c r="T360" s="43"/>
      <c r="U360" s="108"/>
      <c r="V360" s="108"/>
      <c r="W360" s="108"/>
      <c r="X360" s="108"/>
      <c r="Y360" s="108"/>
      <c r="Z360" s="108"/>
      <c r="AA360" s="43"/>
      <c r="AB360" s="108"/>
      <c r="AC360" s="108"/>
      <c r="AD360" s="108"/>
      <c r="AE360" s="108"/>
      <c r="AF360" s="108"/>
      <c r="AG360" s="108"/>
      <c r="AH360" s="43"/>
      <c r="AI360" s="108"/>
      <c r="AJ360" s="108"/>
      <c r="AK360" s="108"/>
      <c r="AL360" s="108"/>
      <c r="AM360" s="108"/>
      <c r="AN360" s="108"/>
      <c r="AO360" s="43"/>
      <c r="AP360" s="108"/>
      <c r="AQ360" s="108"/>
      <c r="AR360" s="108"/>
      <c r="AS360" s="108"/>
      <c r="AT360" s="108"/>
      <c r="AU360" s="108"/>
      <c r="AV360" s="43"/>
      <c r="AW360" s="108"/>
      <c r="AX360" s="108"/>
      <c r="AY360" s="108"/>
      <c r="AZ360" s="108"/>
      <c r="BA360" s="108"/>
      <c r="BB360" s="108"/>
      <c r="BC360" s="43"/>
      <c r="BD360" s="108"/>
      <c r="BE360" s="108"/>
      <c r="BF360" s="108"/>
      <c r="BG360" s="108"/>
      <c r="BH360" s="108"/>
      <c r="BI360" s="108"/>
      <c r="BJ360" s="43"/>
      <c r="BK360" s="108"/>
      <c r="BL360" s="108"/>
      <c r="BM360" s="108"/>
      <c r="BN360" s="108"/>
      <c r="BO360" s="108"/>
      <c r="BP360" s="108"/>
      <c r="BQ360" s="43"/>
      <c r="BR360" s="108"/>
      <c r="BS360" s="108"/>
      <c r="BT360" s="108"/>
      <c r="BU360" s="108"/>
      <c r="BV360" s="108"/>
      <c r="BW360" s="108"/>
      <c r="BX360" s="43"/>
      <c r="BY360" s="108"/>
      <c r="BZ360" s="108"/>
      <c r="CA360" s="108"/>
      <c r="CB360" s="108"/>
      <c r="CC360" s="108"/>
      <c r="CD360" s="108"/>
      <c r="CE360" s="43"/>
      <c r="CF360" s="108"/>
      <c r="CG360" s="108"/>
      <c r="CH360" s="108"/>
      <c r="CI360" s="108"/>
      <c r="CJ360" s="108"/>
      <c r="CK360" s="108"/>
      <c r="CL360" s="43"/>
      <c r="CM360" s="108"/>
      <c r="CN360" s="108"/>
      <c r="CO360" s="108"/>
      <c r="CP360" s="108"/>
      <c r="CQ360" s="108"/>
      <c r="CR360" s="108"/>
      <c r="CS360" s="43"/>
      <c r="CT360" s="108"/>
      <c r="CU360" s="108"/>
      <c r="CV360" s="108"/>
      <c r="CW360" s="108"/>
      <c r="CX360" s="108"/>
      <c r="CY360" s="108"/>
      <c r="CZ360" s="43"/>
      <c r="DA360" s="108"/>
      <c r="DB360" s="108"/>
      <c r="DC360" s="108"/>
      <c r="DD360" s="108"/>
      <c r="DE360" s="108"/>
      <c r="DF360" s="108"/>
      <c r="DG360" s="43"/>
      <c r="DH360" s="108"/>
      <c r="DI360" s="108"/>
      <c r="DJ360" s="108"/>
      <c r="DK360" s="108"/>
      <c r="DL360" s="108"/>
      <c r="DM360" s="108"/>
      <c r="DN360" s="43"/>
      <c r="DO360" s="108"/>
      <c r="DP360" s="108"/>
      <c r="DQ360" s="108"/>
      <c r="DR360" s="108"/>
      <c r="DS360" s="108"/>
      <c r="DT360" s="108"/>
      <c r="DU360" s="43"/>
      <c r="DV360" s="108"/>
      <c r="DW360" s="108"/>
      <c r="DX360" s="108"/>
      <c r="DY360" s="108"/>
      <c r="DZ360" s="108"/>
      <c r="EA360" s="108"/>
      <c r="EB360" s="43"/>
      <c r="EC360" s="108"/>
      <c r="ED360" s="108"/>
      <c r="EE360" s="108"/>
      <c r="EF360" s="108"/>
      <c r="EG360" s="108"/>
      <c r="EH360" s="108"/>
      <c r="EI360" s="43"/>
      <c r="EJ360" s="47"/>
      <c r="EK360" s="47"/>
      <c r="EL360" s="47"/>
      <c r="EM360" s="47"/>
      <c r="EN360" s="47"/>
      <c r="EO360" s="47"/>
      <c r="EP360" s="47"/>
      <c r="EQ360" s="47"/>
      <c r="ER360" s="47"/>
      <c r="ES360" s="47"/>
      <c r="ET360" s="47"/>
      <c r="EU360" s="47"/>
      <c r="EV360" s="47"/>
      <c r="EW360" s="47"/>
      <c r="EX360" s="47"/>
      <c r="EY360" s="47"/>
      <c r="EZ360" s="47"/>
      <c r="FA360" s="47"/>
      <c r="FB360" s="47"/>
      <c r="FC360" s="47"/>
      <c r="FD360" s="47"/>
      <c r="FE360" s="47"/>
      <c r="FF360" s="47"/>
      <c r="FG360" s="47"/>
      <c r="FH360" s="47"/>
      <c r="FI360" s="47"/>
      <c r="FJ360" s="47"/>
      <c r="FK360" s="47"/>
      <c r="FL360" s="47"/>
      <c r="FM360" s="47"/>
      <c r="FN360" s="47"/>
      <c r="FO360" s="47"/>
      <c r="FP360" s="47"/>
      <c r="FQ360" s="47"/>
      <c r="FR360" s="47"/>
      <c r="FS360" s="47"/>
      <c r="FT360" s="47"/>
      <c r="FU360" s="47"/>
      <c r="FV360" s="47"/>
      <c r="FW360" s="47"/>
      <c r="FX360" s="47"/>
      <c r="FY360" s="47"/>
      <c r="FZ360" s="47"/>
      <c r="GA360" s="47"/>
      <c r="GB360" s="47"/>
      <c r="GC360" s="47"/>
      <c r="GD360" s="47"/>
      <c r="GE360" s="47"/>
    </row>
    <row r="361" spans="1:187" ht="10.5" customHeight="1">
      <c r="A361" s="43"/>
      <c r="B361" s="108"/>
      <c r="C361" s="108"/>
      <c r="D361" s="108"/>
      <c r="E361" s="203"/>
      <c r="F361" s="223"/>
      <c r="G361" s="223"/>
      <c r="H361" s="223"/>
      <c r="I361" s="223"/>
      <c r="J361" s="223"/>
      <c r="K361" s="223"/>
      <c r="L361" s="223"/>
      <c r="M361" s="223"/>
      <c r="N361" s="108"/>
      <c r="O361" s="108"/>
      <c r="P361" s="108"/>
      <c r="Q361" s="108"/>
      <c r="R361" s="108"/>
      <c r="S361" s="108"/>
      <c r="T361" s="43"/>
      <c r="U361" s="108"/>
      <c r="V361" s="108"/>
      <c r="W361" s="108"/>
      <c r="X361" s="108"/>
      <c r="Y361" s="108"/>
      <c r="Z361" s="108"/>
      <c r="AA361" s="43"/>
      <c r="AB361" s="108"/>
      <c r="AC361" s="108"/>
      <c r="AD361" s="108"/>
      <c r="AE361" s="108"/>
      <c r="AF361" s="108"/>
      <c r="AG361" s="108"/>
      <c r="AH361" s="43"/>
      <c r="AI361" s="108"/>
      <c r="AJ361" s="108"/>
      <c r="AK361" s="108"/>
      <c r="AL361" s="108"/>
      <c r="AM361" s="108"/>
      <c r="AN361" s="108"/>
      <c r="AO361" s="43"/>
      <c r="AP361" s="108"/>
      <c r="AQ361" s="108"/>
      <c r="AR361" s="108"/>
      <c r="AS361" s="108"/>
      <c r="AT361" s="108"/>
      <c r="AU361" s="108"/>
      <c r="AV361" s="43"/>
      <c r="AW361" s="108"/>
      <c r="AX361" s="108"/>
      <c r="AY361" s="108"/>
      <c r="AZ361" s="108"/>
      <c r="BA361" s="108"/>
      <c r="BB361" s="108"/>
      <c r="BC361" s="43"/>
      <c r="BD361" s="108"/>
      <c r="BE361" s="108"/>
      <c r="BF361" s="108"/>
      <c r="BG361" s="108"/>
      <c r="BH361" s="108"/>
      <c r="BI361" s="108"/>
      <c r="BJ361" s="43"/>
      <c r="BK361" s="108"/>
      <c r="BL361" s="108"/>
      <c r="BM361" s="108"/>
      <c r="BN361" s="108"/>
      <c r="BO361" s="108"/>
      <c r="BP361" s="108"/>
      <c r="BQ361" s="43"/>
      <c r="BR361" s="108"/>
      <c r="BS361" s="108"/>
      <c r="BT361" s="108"/>
      <c r="BU361" s="108"/>
      <c r="BV361" s="108"/>
      <c r="BW361" s="108"/>
      <c r="BX361" s="43"/>
      <c r="BY361" s="108"/>
      <c r="BZ361" s="108"/>
      <c r="CA361" s="108"/>
      <c r="CB361" s="108"/>
      <c r="CC361" s="108"/>
      <c r="CD361" s="108"/>
      <c r="CE361" s="43"/>
      <c r="CF361" s="108"/>
      <c r="CG361" s="108"/>
      <c r="CH361" s="108"/>
      <c r="CI361" s="108"/>
      <c r="CJ361" s="108"/>
      <c r="CK361" s="108"/>
      <c r="CL361" s="43"/>
      <c r="CM361" s="108"/>
      <c r="CN361" s="108"/>
      <c r="CO361" s="108"/>
      <c r="CP361" s="108"/>
      <c r="CQ361" s="108"/>
      <c r="CR361" s="108"/>
      <c r="CS361" s="43"/>
      <c r="CT361" s="108"/>
      <c r="CU361" s="108"/>
      <c r="CV361" s="108"/>
      <c r="CW361" s="108"/>
      <c r="CX361" s="108"/>
      <c r="CY361" s="108"/>
      <c r="CZ361" s="43"/>
      <c r="DA361" s="108"/>
      <c r="DB361" s="108"/>
      <c r="DC361" s="108"/>
      <c r="DD361" s="108"/>
      <c r="DE361" s="108"/>
      <c r="DF361" s="108"/>
      <c r="DG361" s="43"/>
      <c r="DH361" s="108"/>
      <c r="DI361" s="108"/>
      <c r="DJ361" s="108"/>
      <c r="DK361" s="108"/>
      <c r="DL361" s="108"/>
      <c r="DM361" s="108"/>
      <c r="DN361" s="43"/>
      <c r="DO361" s="108"/>
      <c r="DP361" s="108"/>
      <c r="DQ361" s="108"/>
      <c r="DR361" s="108"/>
      <c r="DS361" s="108"/>
      <c r="DT361" s="108"/>
      <c r="DU361" s="43"/>
      <c r="DV361" s="108"/>
      <c r="DW361" s="108"/>
      <c r="DX361" s="108"/>
      <c r="DY361" s="108"/>
      <c r="DZ361" s="108"/>
      <c r="EA361" s="108"/>
      <c r="EB361" s="43"/>
      <c r="EC361" s="108"/>
      <c r="ED361" s="108"/>
      <c r="EE361" s="108"/>
      <c r="EF361" s="108"/>
      <c r="EG361" s="108"/>
      <c r="EH361" s="108"/>
      <c r="EI361" s="43"/>
      <c r="EJ361" s="47"/>
      <c r="EK361" s="47"/>
      <c r="EL361" s="47"/>
      <c r="EM361" s="47"/>
      <c r="EN361" s="47"/>
      <c r="EO361" s="47"/>
      <c r="EP361" s="47"/>
      <c r="EQ361" s="47"/>
      <c r="ER361" s="47"/>
      <c r="ES361" s="47"/>
      <c r="ET361" s="47"/>
      <c r="EU361" s="47"/>
      <c r="EV361" s="47"/>
      <c r="EW361" s="47"/>
      <c r="EX361" s="47"/>
      <c r="EY361" s="47"/>
      <c r="EZ361" s="47"/>
      <c r="FA361" s="47"/>
      <c r="FB361" s="47"/>
      <c r="FC361" s="47"/>
      <c r="FD361" s="47"/>
      <c r="FE361" s="47"/>
      <c r="FF361" s="47"/>
      <c r="FG361" s="47"/>
      <c r="FH361" s="47"/>
      <c r="FI361" s="47"/>
      <c r="FJ361" s="47"/>
      <c r="FK361" s="47"/>
      <c r="FL361" s="47"/>
      <c r="FM361" s="47"/>
      <c r="FN361" s="47"/>
      <c r="FO361" s="47"/>
      <c r="FP361" s="47"/>
      <c r="FQ361" s="47"/>
      <c r="FR361" s="47"/>
      <c r="FS361" s="47"/>
      <c r="FT361" s="47"/>
      <c r="FU361" s="47"/>
      <c r="FV361" s="47"/>
      <c r="FW361" s="47"/>
      <c r="FX361" s="47"/>
      <c r="FY361" s="47"/>
      <c r="FZ361" s="47"/>
      <c r="GA361" s="47"/>
      <c r="GB361" s="47"/>
      <c r="GC361" s="47"/>
      <c r="GD361" s="47"/>
      <c r="GE361" s="47"/>
    </row>
    <row r="362" spans="1:187" ht="10.5" customHeight="1">
      <c r="A362" s="43"/>
      <c r="B362" s="108"/>
      <c r="C362" s="108"/>
      <c r="D362" s="108"/>
      <c r="E362" s="203"/>
      <c r="F362" s="203"/>
      <c r="G362" s="203"/>
      <c r="H362" s="203"/>
      <c r="I362" s="203"/>
      <c r="J362" s="203"/>
      <c r="K362" s="203"/>
      <c r="L362" s="203"/>
      <c r="M362" s="203"/>
      <c r="N362" s="108"/>
      <c r="O362" s="108"/>
      <c r="P362" s="108"/>
      <c r="Q362" s="108"/>
      <c r="R362" s="108"/>
      <c r="S362" s="108"/>
      <c r="T362" s="43"/>
      <c r="U362" s="108"/>
      <c r="V362" s="108"/>
      <c r="W362" s="108"/>
      <c r="X362" s="108"/>
      <c r="Y362" s="108"/>
      <c r="Z362" s="108"/>
      <c r="AA362" s="43"/>
      <c r="AB362" s="108"/>
      <c r="AC362" s="108"/>
      <c r="AD362" s="108"/>
      <c r="AE362" s="108"/>
      <c r="AF362" s="108"/>
      <c r="AG362" s="108"/>
      <c r="AH362" s="43"/>
      <c r="AI362" s="108"/>
      <c r="AJ362" s="108"/>
      <c r="AK362" s="108"/>
      <c r="AL362" s="108"/>
      <c r="AM362" s="108"/>
      <c r="AN362" s="108"/>
      <c r="AO362" s="43"/>
      <c r="AP362" s="108"/>
      <c r="AQ362" s="108"/>
      <c r="AR362" s="108"/>
      <c r="AS362" s="108"/>
      <c r="AT362" s="108"/>
      <c r="AU362" s="108"/>
      <c r="AV362" s="43"/>
      <c r="AW362" s="108"/>
      <c r="AX362" s="108"/>
      <c r="AY362" s="108"/>
      <c r="AZ362" s="108"/>
      <c r="BA362" s="108"/>
      <c r="BB362" s="108"/>
      <c r="BC362" s="43"/>
      <c r="BD362" s="108"/>
      <c r="BE362" s="108"/>
      <c r="BF362" s="108"/>
      <c r="BG362" s="108"/>
      <c r="BH362" s="108"/>
      <c r="BI362" s="108"/>
      <c r="BJ362" s="43"/>
      <c r="BK362" s="108"/>
      <c r="BL362" s="108"/>
      <c r="BM362" s="108"/>
      <c r="BN362" s="108"/>
      <c r="BO362" s="108"/>
      <c r="BP362" s="108"/>
      <c r="BQ362" s="43"/>
      <c r="BR362" s="108"/>
      <c r="BS362" s="108"/>
      <c r="BT362" s="108"/>
      <c r="BU362" s="108"/>
      <c r="BV362" s="108"/>
      <c r="BW362" s="108"/>
      <c r="BX362" s="43"/>
      <c r="BY362" s="108"/>
      <c r="BZ362" s="108"/>
      <c r="CA362" s="108"/>
      <c r="CB362" s="108"/>
      <c r="CC362" s="108"/>
      <c r="CD362" s="108"/>
      <c r="CE362" s="43"/>
      <c r="CF362" s="108"/>
      <c r="CG362" s="108"/>
      <c r="CH362" s="108"/>
      <c r="CI362" s="108"/>
      <c r="CJ362" s="108"/>
      <c r="CK362" s="108"/>
      <c r="CL362" s="43"/>
      <c r="CM362" s="108"/>
      <c r="CN362" s="108"/>
      <c r="CO362" s="108"/>
      <c r="CP362" s="108"/>
      <c r="CQ362" s="108"/>
      <c r="CR362" s="108"/>
      <c r="CS362" s="43"/>
      <c r="CT362" s="108"/>
      <c r="CU362" s="108"/>
      <c r="CV362" s="108"/>
      <c r="CW362" s="108"/>
      <c r="CX362" s="108"/>
      <c r="CY362" s="108"/>
      <c r="CZ362" s="43"/>
      <c r="DA362" s="108"/>
      <c r="DB362" s="108"/>
      <c r="DC362" s="108"/>
      <c r="DD362" s="108"/>
      <c r="DE362" s="108"/>
      <c r="DF362" s="108"/>
      <c r="DG362" s="43"/>
      <c r="DH362" s="108"/>
      <c r="DI362" s="108"/>
      <c r="DJ362" s="108"/>
      <c r="DK362" s="108"/>
      <c r="DL362" s="108"/>
      <c r="DM362" s="108"/>
      <c r="DN362" s="43"/>
      <c r="DO362" s="108"/>
      <c r="DP362" s="108"/>
      <c r="DQ362" s="108"/>
      <c r="DR362" s="108"/>
      <c r="DS362" s="108"/>
      <c r="DT362" s="108"/>
      <c r="DU362" s="43"/>
      <c r="DV362" s="108"/>
      <c r="DW362" s="108"/>
      <c r="DX362" s="108"/>
      <c r="DY362" s="108"/>
      <c r="DZ362" s="108"/>
      <c r="EA362" s="108"/>
      <c r="EB362" s="43"/>
      <c r="EC362" s="108"/>
      <c r="ED362" s="108"/>
      <c r="EE362" s="108"/>
      <c r="EF362" s="108"/>
      <c r="EG362" s="108"/>
      <c r="EH362" s="108"/>
      <c r="EI362" s="43"/>
      <c r="EJ362" s="47"/>
      <c r="EK362" s="47"/>
      <c r="EL362" s="47"/>
      <c r="EM362" s="47"/>
      <c r="EN362" s="47"/>
      <c r="EO362" s="47"/>
      <c r="EP362" s="47"/>
      <c r="EQ362" s="47"/>
      <c r="ER362" s="47"/>
      <c r="ES362" s="47"/>
      <c r="ET362" s="47"/>
      <c r="EU362" s="47"/>
      <c r="EV362" s="47"/>
      <c r="EW362" s="47"/>
      <c r="EX362" s="47"/>
      <c r="EY362" s="47"/>
      <c r="EZ362" s="47"/>
      <c r="FA362" s="47"/>
      <c r="FB362" s="47"/>
      <c r="FC362" s="47"/>
      <c r="FD362" s="47"/>
      <c r="FE362" s="47"/>
      <c r="FF362" s="47"/>
      <c r="FG362" s="47"/>
      <c r="FH362" s="47"/>
      <c r="FI362" s="47"/>
      <c r="FJ362" s="47"/>
      <c r="FK362" s="47"/>
      <c r="FL362" s="47"/>
      <c r="FM362" s="47"/>
      <c r="FN362" s="47"/>
      <c r="FO362" s="47"/>
      <c r="FP362" s="47"/>
      <c r="FQ362" s="47"/>
      <c r="FR362" s="47"/>
      <c r="FS362" s="47"/>
      <c r="FT362" s="47"/>
      <c r="FU362" s="47"/>
      <c r="FV362" s="47"/>
      <c r="FW362" s="47"/>
      <c r="FX362" s="47"/>
      <c r="FY362" s="47"/>
      <c r="FZ362" s="47"/>
      <c r="GA362" s="47"/>
      <c r="GB362" s="47"/>
      <c r="GC362" s="47"/>
      <c r="GD362" s="47"/>
      <c r="GE362" s="47"/>
    </row>
    <row r="363" spans="1:187" ht="10.5" customHeight="1">
      <c r="A363" s="43"/>
      <c r="B363" s="78"/>
      <c r="C363" s="78"/>
      <c r="D363" s="245"/>
      <c r="E363" s="223"/>
      <c r="F363" s="223"/>
      <c r="G363" s="223"/>
      <c r="H363" s="223"/>
      <c r="I363" s="223"/>
      <c r="J363" s="223"/>
      <c r="K363" s="223"/>
      <c r="L363" s="223"/>
      <c r="M363" s="223"/>
      <c r="N363" s="108"/>
      <c r="O363" s="108"/>
      <c r="P363" s="108"/>
      <c r="Q363" s="108"/>
      <c r="R363" s="108"/>
      <c r="S363" s="108"/>
      <c r="T363" s="43"/>
      <c r="U363" s="108"/>
      <c r="V363" s="108"/>
      <c r="W363" s="108"/>
      <c r="X363" s="108"/>
      <c r="Y363" s="108"/>
      <c r="Z363" s="108"/>
      <c r="AA363" s="43"/>
      <c r="AB363" s="108"/>
      <c r="AC363" s="108"/>
      <c r="AD363" s="108"/>
      <c r="AE363" s="108"/>
      <c r="AF363" s="108"/>
      <c r="AG363" s="108"/>
      <c r="AH363" s="43"/>
      <c r="AI363" s="108"/>
      <c r="AJ363" s="108"/>
      <c r="AK363" s="108"/>
      <c r="AL363" s="108"/>
      <c r="AM363" s="108"/>
      <c r="AN363" s="108"/>
      <c r="AO363" s="43"/>
      <c r="AP363" s="108"/>
      <c r="AQ363" s="108"/>
      <c r="AR363" s="108"/>
      <c r="AS363" s="108"/>
      <c r="AT363" s="108"/>
      <c r="AU363" s="108"/>
      <c r="AV363" s="43"/>
      <c r="AW363" s="108"/>
      <c r="AX363" s="108"/>
      <c r="AY363" s="108"/>
      <c r="AZ363" s="108"/>
      <c r="BA363" s="108"/>
      <c r="BB363" s="108"/>
      <c r="BC363" s="43"/>
      <c r="BD363" s="108"/>
      <c r="BE363" s="108"/>
      <c r="BF363" s="108"/>
      <c r="BG363" s="108"/>
      <c r="BH363" s="108"/>
      <c r="BI363" s="108"/>
      <c r="BJ363" s="43"/>
      <c r="BK363" s="108"/>
      <c r="BL363" s="108"/>
      <c r="BM363" s="108"/>
      <c r="BN363" s="108"/>
      <c r="BO363" s="108"/>
      <c r="BP363" s="108"/>
      <c r="BQ363" s="43"/>
      <c r="BR363" s="108"/>
      <c r="BS363" s="108"/>
      <c r="BT363" s="108"/>
      <c r="BU363" s="108"/>
      <c r="BV363" s="108"/>
      <c r="BW363" s="108"/>
      <c r="BX363" s="43"/>
      <c r="BY363" s="108"/>
      <c r="BZ363" s="108"/>
      <c r="CA363" s="108"/>
      <c r="CB363" s="108"/>
      <c r="CC363" s="108"/>
      <c r="CD363" s="108"/>
      <c r="CE363" s="43"/>
      <c r="CF363" s="108"/>
      <c r="CG363" s="108"/>
      <c r="CH363" s="108"/>
      <c r="CI363" s="108"/>
      <c r="CJ363" s="108"/>
      <c r="CK363" s="108"/>
      <c r="CL363" s="43"/>
      <c r="CM363" s="108"/>
      <c r="CN363" s="108"/>
      <c r="CO363" s="108"/>
      <c r="CP363" s="108"/>
      <c r="CQ363" s="108"/>
      <c r="CR363" s="108"/>
      <c r="CS363" s="43"/>
      <c r="CT363" s="108"/>
      <c r="CU363" s="108"/>
      <c r="CV363" s="108"/>
      <c r="CW363" s="108"/>
      <c r="CX363" s="108"/>
      <c r="CY363" s="108"/>
      <c r="CZ363" s="43"/>
      <c r="DA363" s="108"/>
      <c r="DB363" s="108"/>
      <c r="DC363" s="108"/>
      <c r="DD363" s="108"/>
      <c r="DE363" s="108"/>
      <c r="DF363" s="108"/>
      <c r="DG363" s="43"/>
      <c r="DH363" s="108"/>
      <c r="DI363" s="108"/>
      <c r="DJ363" s="108"/>
      <c r="DK363" s="108"/>
      <c r="DL363" s="108"/>
      <c r="DM363" s="108"/>
      <c r="DN363" s="43"/>
      <c r="DO363" s="108"/>
      <c r="DP363" s="108"/>
      <c r="DQ363" s="108"/>
      <c r="DR363" s="108"/>
      <c r="DS363" s="108"/>
      <c r="DT363" s="108"/>
      <c r="DU363" s="43"/>
      <c r="DV363" s="108"/>
      <c r="DW363" s="108"/>
      <c r="DX363" s="108"/>
      <c r="DY363" s="108"/>
      <c r="DZ363" s="108"/>
      <c r="EA363" s="108"/>
      <c r="EB363" s="43"/>
      <c r="EC363" s="108"/>
      <c r="ED363" s="108"/>
      <c r="EE363" s="108"/>
      <c r="EF363" s="108"/>
      <c r="EG363" s="108"/>
      <c r="EH363" s="108"/>
      <c r="EI363" s="43"/>
      <c r="EJ363" s="47"/>
      <c r="EK363" s="47"/>
      <c r="EL363" s="47"/>
      <c r="EM363" s="47"/>
      <c r="EN363" s="47"/>
      <c r="EO363" s="47"/>
      <c r="EP363" s="47"/>
      <c r="EQ363" s="47"/>
      <c r="ER363" s="47"/>
      <c r="ES363" s="47"/>
      <c r="ET363" s="47"/>
      <c r="EU363" s="47"/>
      <c r="EV363" s="47"/>
      <c r="EW363" s="47"/>
      <c r="EX363" s="47"/>
      <c r="EY363" s="47"/>
      <c r="EZ363" s="47"/>
      <c r="FA363" s="47"/>
      <c r="FB363" s="47"/>
      <c r="FC363" s="47"/>
      <c r="FD363" s="47"/>
      <c r="FE363" s="47"/>
      <c r="FF363" s="47"/>
      <c r="FG363" s="47"/>
      <c r="FH363" s="47"/>
      <c r="FI363" s="47"/>
      <c r="FJ363" s="47"/>
      <c r="FK363" s="47"/>
      <c r="FL363" s="47"/>
      <c r="FM363" s="47"/>
      <c r="FN363" s="47"/>
      <c r="FO363" s="47"/>
      <c r="FP363" s="47"/>
      <c r="FQ363" s="47"/>
      <c r="FR363" s="47"/>
      <c r="FS363" s="47"/>
      <c r="FT363" s="47"/>
      <c r="FU363" s="47"/>
      <c r="FV363" s="47"/>
      <c r="FW363" s="47"/>
      <c r="FX363" s="47"/>
      <c r="FY363" s="47"/>
      <c r="FZ363" s="47"/>
      <c r="GA363" s="47"/>
      <c r="GB363" s="47"/>
      <c r="GC363" s="47"/>
      <c r="GD363" s="47"/>
      <c r="GE363" s="47"/>
    </row>
    <row r="364" spans="1:187" ht="10.5" customHeight="1">
      <c r="A364" s="43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43"/>
      <c r="U364" s="108"/>
      <c r="V364" s="108"/>
      <c r="W364" s="108"/>
      <c r="X364" s="108"/>
      <c r="Y364" s="108"/>
      <c r="Z364" s="108"/>
      <c r="AA364" s="43"/>
      <c r="AB364" s="108"/>
      <c r="AC364" s="108"/>
      <c r="AD364" s="108"/>
      <c r="AE364" s="108"/>
      <c r="AF364" s="108"/>
      <c r="AG364" s="108"/>
      <c r="AH364" s="43"/>
      <c r="AI364" s="108"/>
      <c r="AJ364" s="108"/>
      <c r="AK364" s="108"/>
      <c r="AL364" s="108"/>
      <c r="AM364" s="108"/>
      <c r="AN364" s="108"/>
      <c r="AO364" s="43"/>
      <c r="AP364" s="108"/>
      <c r="AQ364" s="108"/>
      <c r="AR364" s="108"/>
      <c r="AS364" s="108"/>
      <c r="AT364" s="108"/>
      <c r="AU364" s="108"/>
      <c r="AV364" s="43"/>
      <c r="AW364" s="108"/>
      <c r="AX364" s="108"/>
      <c r="AY364" s="108"/>
      <c r="AZ364" s="108"/>
      <c r="BA364" s="108"/>
      <c r="BB364" s="108"/>
      <c r="BC364" s="43"/>
      <c r="BD364" s="108"/>
      <c r="BE364" s="108"/>
      <c r="BF364" s="108"/>
      <c r="BG364" s="108"/>
      <c r="BH364" s="108"/>
      <c r="BI364" s="108"/>
      <c r="BJ364" s="43"/>
      <c r="BK364" s="108"/>
      <c r="BL364" s="108"/>
      <c r="BM364" s="108"/>
      <c r="BN364" s="108"/>
      <c r="BO364" s="108"/>
      <c r="BP364" s="108"/>
      <c r="BQ364" s="43"/>
      <c r="BR364" s="108"/>
      <c r="BS364" s="108"/>
      <c r="BT364" s="108"/>
      <c r="BU364" s="108"/>
      <c r="BV364" s="108"/>
      <c r="BW364" s="108"/>
      <c r="BX364" s="43"/>
      <c r="BY364" s="108"/>
      <c r="BZ364" s="108"/>
      <c r="CA364" s="108"/>
      <c r="CB364" s="108"/>
      <c r="CC364" s="108"/>
      <c r="CD364" s="108"/>
      <c r="CE364" s="43"/>
      <c r="CF364" s="108"/>
      <c r="CG364" s="108"/>
      <c r="CH364" s="108"/>
      <c r="CI364" s="108"/>
      <c r="CJ364" s="108"/>
      <c r="CK364" s="108"/>
      <c r="CL364" s="43"/>
      <c r="CM364" s="108"/>
      <c r="CN364" s="108"/>
      <c r="CO364" s="108"/>
      <c r="CP364" s="108"/>
      <c r="CQ364" s="108"/>
      <c r="CR364" s="108"/>
      <c r="CS364" s="43"/>
      <c r="CT364" s="108"/>
      <c r="CU364" s="108"/>
      <c r="CV364" s="108"/>
      <c r="CW364" s="108"/>
      <c r="CX364" s="108"/>
      <c r="CY364" s="108"/>
      <c r="CZ364" s="43"/>
      <c r="DA364" s="108"/>
      <c r="DB364" s="108"/>
      <c r="DC364" s="108"/>
      <c r="DD364" s="108"/>
      <c r="DE364" s="108"/>
      <c r="DF364" s="108"/>
      <c r="DG364" s="43"/>
      <c r="DH364" s="108"/>
      <c r="DI364" s="108"/>
      <c r="DJ364" s="108"/>
      <c r="DK364" s="108"/>
      <c r="DL364" s="108"/>
      <c r="DM364" s="108"/>
      <c r="DN364" s="43"/>
      <c r="DO364" s="108"/>
      <c r="DP364" s="108"/>
      <c r="DQ364" s="108"/>
      <c r="DR364" s="108"/>
      <c r="DS364" s="108"/>
      <c r="DT364" s="108"/>
      <c r="DU364" s="43"/>
      <c r="DV364" s="108"/>
      <c r="DW364" s="108"/>
      <c r="DX364" s="108"/>
      <c r="DY364" s="108"/>
      <c r="DZ364" s="108"/>
      <c r="EA364" s="108"/>
      <c r="EB364" s="43"/>
      <c r="EC364" s="108"/>
      <c r="ED364" s="108"/>
      <c r="EE364" s="108"/>
      <c r="EF364" s="108"/>
      <c r="EG364" s="108"/>
      <c r="EH364" s="108"/>
      <c r="EI364" s="43"/>
      <c r="EJ364" s="47"/>
      <c r="EK364" s="47"/>
      <c r="EL364" s="47"/>
      <c r="EM364" s="47"/>
      <c r="EN364" s="47"/>
      <c r="EO364" s="47"/>
      <c r="EP364" s="47"/>
      <c r="EQ364" s="47"/>
      <c r="ER364" s="47"/>
      <c r="ES364" s="47"/>
      <c r="ET364" s="47"/>
      <c r="EU364" s="47"/>
      <c r="EV364" s="47"/>
      <c r="EW364" s="47"/>
      <c r="EX364" s="47"/>
      <c r="EY364" s="47"/>
      <c r="EZ364" s="47"/>
      <c r="FA364" s="47"/>
      <c r="FB364" s="47"/>
      <c r="FC364" s="47"/>
      <c r="FD364" s="47"/>
      <c r="FE364" s="47"/>
      <c r="FF364" s="47"/>
      <c r="FG364" s="47"/>
      <c r="FH364" s="47"/>
      <c r="FI364" s="47"/>
      <c r="FJ364" s="47"/>
      <c r="FK364" s="47"/>
      <c r="FL364" s="47"/>
      <c r="FM364" s="47"/>
      <c r="FN364" s="47"/>
      <c r="FO364" s="47"/>
      <c r="FP364" s="47"/>
      <c r="FQ364" s="47"/>
      <c r="FR364" s="47"/>
      <c r="FS364" s="47"/>
      <c r="FT364" s="47"/>
      <c r="FU364" s="47"/>
      <c r="FV364" s="47"/>
      <c r="FW364" s="47"/>
      <c r="FX364" s="47"/>
      <c r="FY364" s="47"/>
      <c r="FZ364" s="47"/>
      <c r="GA364" s="47"/>
      <c r="GB364" s="47"/>
      <c r="GC364" s="47"/>
      <c r="GD364" s="47"/>
      <c r="GE364" s="47"/>
    </row>
    <row r="365" spans="1:187" ht="10.5" customHeight="1">
      <c r="A365" s="43"/>
      <c r="B365" s="108"/>
      <c r="C365" s="108"/>
      <c r="D365" s="108"/>
      <c r="E365" s="203"/>
      <c r="F365" s="203"/>
      <c r="G365" s="203"/>
      <c r="H365" s="203"/>
      <c r="I365" s="203"/>
      <c r="J365" s="203"/>
      <c r="K365" s="203"/>
      <c r="L365" s="203"/>
      <c r="M365" s="203"/>
      <c r="N365" s="108"/>
      <c r="O365" s="108"/>
      <c r="P365" s="108"/>
      <c r="Q365" s="108"/>
      <c r="R365" s="108"/>
      <c r="S365" s="108"/>
      <c r="T365" s="43"/>
      <c r="U365" s="108"/>
      <c r="V365" s="108"/>
      <c r="W365" s="108"/>
      <c r="X365" s="108"/>
      <c r="Y365" s="108"/>
      <c r="Z365" s="108"/>
      <c r="AA365" s="43"/>
      <c r="AB365" s="108"/>
      <c r="AC365" s="108"/>
      <c r="AD365" s="108"/>
      <c r="AE365" s="108"/>
      <c r="AF365" s="108"/>
      <c r="AG365" s="108"/>
      <c r="AH365" s="43"/>
      <c r="AI365" s="108"/>
      <c r="AJ365" s="108"/>
      <c r="AK365" s="108"/>
      <c r="AL365" s="108"/>
      <c r="AM365" s="108"/>
      <c r="AN365" s="108"/>
      <c r="AO365" s="43"/>
      <c r="AP365" s="108"/>
      <c r="AQ365" s="108"/>
      <c r="AR365" s="108"/>
      <c r="AS365" s="108"/>
      <c r="AT365" s="108"/>
      <c r="AU365" s="108"/>
      <c r="AV365" s="43"/>
      <c r="AW365" s="108"/>
      <c r="AX365" s="108"/>
      <c r="AY365" s="108"/>
      <c r="AZ365" s="108"/>
      <c r="BA365" s="108"/>
      <c r="BB365" s="108"/>
      <c r="BC365" s="43"/>
      <c r="BD365" s="108"/>
      <c r="BE365" s="108"/>
      <c r="BF365" s="108"/>
      <c r="BG365" s="108"/>
      <c r="BH365" s="108"/>
      <c r="BI365" s="108"/>
      <c r="BJ365" s="43"/>
      <c r="BK365" s="108"/>
      <c r="BL365" s="108"/>
      <c r="BM365" s="108"/>
      <c r="BN365" s="108"/>
      <c r="BO365" s="108"/>
      <c r="BP365" s="108"/>
      <c r="BQ365" s="43"/>
      <c r="BR365" s="108"/>
      <c r="BS365" s="108"/>
      <c r="BT365" s="108"/>
      <c r="BU365" s="108"/>
      <c r="BV365" s="108"/>
      <c r="BW365" s="108"/>
      <c r="BX365" s="43"/>
      <c r="BY365" s="108"/>
      <c r="BZ365" s="108"/>
      <c r="CA365" s="108"/>
      <c r="CB365" s="108"/>
      <c r="CC365" s="108"/>
      <c r="CD365" s="108"/>
      <c r="CE365" s="43"/>
      <c r="CF365" s="108"/>
      <c r="CG365" s="108"/>
      <c r="CH365" s="108"/>
      <c r="CI365" s="108"/>
      <c r="CJ365" s="108"/>
      <c r="CK365" s="108"/>
      <c r="CL365" s="43"/>
      <c r="CM365" s="108"/>
      <c r="CN365" s="108"/>
      <c r="CO365" s="108"/>
      <c r="CP365" s="108"/>
      <c r="CQ365" s="108"/>
      <c r="CR365" s="108"/>
      <c r="CS365" s="43"/>
      <c r="CT365" s="108"/>
      <c r="CU365" s="108"/>
      <c r="CV365" s="108"/>
      <c r="CW365" s="108"/>
      <c r="CX365" s="108"/>
      <c r="CY365" s="108"/>
      <c r="CZ365" s="43"/>
      <c r="DA365" s="108"/>
      <c r="DB365" s="108"/>
      <c r="DC365" s="108"/>
      <c r="DD365" s="108"/>
      <c r="DE365" s="108"/>
      <c r="DF365" s="108"/>
      <c r="DG365" s="43"/>
      <c r="DH365" s="108"/>
      <c r="DI365" s="108"/>
      <c r="DJ365" s="108"/>
      <c r="DK365" s="108"/>
      <c r="DL365" s="108"/>
      <c r="DM365" s="108"/>
      <c r="DN365" s="43"/>
      <c r="DO365" s="108"/>
      <c r="DP365" s="108"/>
      <c r="DQ365" s="108"/>
      <c r="DR365" s="108"/>
      <c r="DS365" s="108"/>
      <c r="DT365" s="108"/>
      <c r="DU365" s="43"/>
      <c r="DV365" s="108"/>
      <c r="DW365" s="108"/>
      <c r="DX365" s="108"/>
      <c r="DY365" s="108"/>
      <c r="DZ365" s="108"/>
      <c r="EA365" s="108"/>
      <c r="EB365" s="43"/>
      <c r="EC365" s="108"/>
      <c r="ED365" s="108"/>
      <c r="EE365" s="108"/>
      <c r="EF365" s="108"/>
      <c r="EG365" s="108"/>
      <c r="EH365" s="108"/>
      <c r="EI365" s="43"/>
      <c r="EJ365" s="47"/>
      <c r="EK365" s="47"/>
      <c r="EL365" s="47"/>
      <c r="EM365" s="47"/>
      <c r="EN365" s="47"/>
      <c r="EO365" s="47"/>
      <c r="EP365" s="47"/>
      <c r="EQ365" s="47"/>
      <c r="ER365" s="47"/>
      <c r="ES365" s="47"/>
      <c r="ET365" s="47"/>
      <c r="EU365" s="47"/>
      <c r="EV365" s="47"/>
      <c r="EW365" s="47"/>
      <c r="EX365" s="47"/>
      <c r="EY365" s="47"/>
      <c r="EZ365" s="47"/>
      <c r="FA365" s="47"/>
      <c r="FB365" s="47"/>
      <c r="FC365" s="47"/>
      <c r="FD365" s="47"/>
      <c r="FE365" s="47"/>
      <c r="FF365" s="47"/>
      <c r="FG365" s="47"/>
      <c r="FH365" s="47"/>
      <c r="FI365" s="47"/>
      <c r="FJ365" s="47"/>
      <c r="FK365" s="47"/>
      <c r="FL365" s="47"/>
      <c r="FM365" s="47"/>
      <c r="FN365" s="47"/>
      <c r="FO365" s="47"/>
      <c r="FP365" s="47"/>
      <c r="FQ365" s="47"/>
      <c r="FR365" s="47"/>
      <c r="FS365" s="47"/>
      <c r="FT365" s="47"/>
      <c r="FU365" s="47"/>
      <c r="FV365" s="47"/>
      <c r="FW365" s="47"/>
      <c r="FX365" s="47"/>
      <c r="FY365" s="47"/>
      <c r="FZ365" s="47"/>
      <c r="GA365" s="47"/>
      <c r="GB365" s="47"/>
      <c r="GC365" s="47"/>
      <c r="GD365" s="47"/>
      <c r="GE365" s="47"/>
    </row>
    <row r="366" spans="1:187" ht="10.5" customHeight="1">
      <c r="A366" s="43"/>
      <c r="B366" s="108"/>
      <c r="C366" s="108"/>
      <c r="D366" s="108"/>
      <c r="E366" s="203"/>
      <c r="F366" s="223"/>
      <c r="G366" s="223"/>
      <c r="H366" s="223"/>
      <c r="I366" s="223"/>
      <c r="J366" s="223"/>
      <c r="K366" s="223"/>
      <c r="L366" s="223"/>
      <c r="M366" s="223"/>
      <c r="N366" s="108"/>
      <c r="O366" s="108"/>
      <c r="P366" s="108"/>
      <c r="Q366" s="108"/>
      <c r="R366" s="108"/>
      <c r="S366" s="108"/>
      <c r="T366" s="43"/>
      <c r="U366" s="108"/>
      <c r="V366" s="108"/>
      <c r="W366" s="108"/>
      <c r="X366" s="108"/>
      <c r="Y366" s="108"/>
      <c r="Z366" s="108"/>
      <c r="AA366" s="43"/>
      <c r="AB366" s="108"/>
      <c r="AC366" s="108"/>
      <c r="AD366" s="108"/>
      <c r="AE366" s="108"/>
      <c r="AF366" s="108"/>
      <c r="AG366" s="108"/>
      <c r="AH366" s="43"/>
      <c r="AI366" s="108"/>
      <c r="AJ366" s="108"/>
      <c r="AK366" s="108"/>
      <c r="AL366" s="108"/>
      <c r="AM366" s="108"/>
      <c r="AN366" s="108"/>
      <c r="AO366" s="43"/>
      <c r="AP366" s="108"/>
      <c r="AQ366" s="108"/>
      <c r="AR366" s="108"/>
      <c r="AS366" s="108"/>
      <c r="AT366" s="108"/>
      <c r="AU366" s="108"/>
      <c r="AV366" s="43"/>
      <c r="AW366" s="108"/>
      <c r="AX366" s="108"/>
      <c r="AY366" s="108"/>
      <c r="AZ366" s="108"/>
      <c r="BA366" s="108"/>
      <c r="BB366" s="108"/>
      <c r="BC366" s="43"/>
      <c r="BD366" s="108"/>
      <c r="BE366" s="108"/>
      <c r="BF366" s="108"/>
      <c r="BG366" s="108"/>
      <c r="BH366" s="108"/>
      <c r="BI366" s="108"/>
      <c r="BJ366" s="43"/>
      <c r="BK366" s="108"/>
      <c r="BL366" s="108"/>
      <c r="BM366" s="108"/>
      <c r="BN366" s="108"/>
      <c r="BO366" s="108"/>
      <c r="BP366" s="108"/>
      <c r="BQ366" s="43"/>
      <c r="BR366" s="108"/>
      <c r="BS366" s="108"/>
      <c r="BT366" s="108"/>
      <c r="BU366" s="108"/>
      <c r="BV366" s="108"/>
      <c r="BW366" s="108"/>
      <c r="BX366" s="43"/>
      <c r="BY366" s="108"/>
      <c r="BZ366" s="108"/>
      <c r="CA366" s="108"/>
      <c r="CB366" s="108"/>
      <c r="CC366" s="108"/>
      <c r="CD366" s="108"/>
      <c r="CE366" s="43"/>
      <c r="CF366" s="108"/>
      <c r="CG366" s="108"/>
      <c r="CH366" s="108"/>
      <c r="CI366" s="108"/>
      <c r="CJ366" s="108"/>
      <c r="CK366" s="108"/>
      <c r="CL366" s="43"/>
      <c r="CM366" s="108"/>
      <c r="CN366" s="108"/>
      <c r="CO366" s="108"/>
      <c r="CP366" s="108"/>
      <c r="CQ366" s="108"/>
      <c r="CR366" s="108"/>
      <c r="CS366" s="43"/>
      <c r="CT366" s="108"/>
      <c r="CU366" s="108"/>
      <c r="CV366" s="108"/>
      <c r="CW366" s="108"/>
      <c r="CX366" s="108"/>
      <c r="CY366" s="108"/>
      <c r="CZ366" s="43"/>
      <c r="DA366" s="108"/>
      <c r="DB366" s="108"/>
      <c r="DC366" s="108"/>
      <c r="DD366" s="108"/>
      <c r="DE366" s="108"/>
      <c r="DF366" s="108"/>
      <c r="DG366" s="43"/>
      <c r="DH366" s="108"/>
      <c r="DI366" s="108"/>
      <c r="DJ366" s="108"/>
      <c r="DK366" s="108"/>
      <c r="DL366" s="108"/>
      <c r="DM366" s="108"/>
      <c r="DN366" s="43"/>
      <c r="DO366" s="108"/>
      <c r="DP366" s="108"/>
      <c r="DQ366" s="108"/>
      <c r="DR366" s="108"/>
      <c r="DS366" s="108"/>
      <c r="DT366" s="108"/>
      <c r="DU366" s="43"/>
      <c r="DV366" s="108"/>
      <c r="DW366" s="108"/>
      <c r="DX366" s="108"/>
      <c r="DY366" s="108"/>
      <c r="DZ366" s="108"/>
      <c r="EA366" s="108"/>
      <c r="EB366" s="43"/>
      <c r="EC366" s="108"/>
      <c r="ED366" s="108"/>
      <c r="EE366" s="108"/>
      <c r="EF366" s="108"/>
      <c r="EG366" s="108"/>
      <c r="EH366" s="108"/>
      <c r="EI366" s="43"/>
      <c r="EJ366" s="47"/>
      <c r="EK366" s="47"/>
      <c r="EL366" s="47"/>
      <c r="EM366" s="47"/>
      <c r="EN366" s="47"/>
      <c r="EO366" s="47"/>
      <c r="EP366" s="47"/>
      <c r="EQ366" s="47"/>
      <c r="ER366" s="47"/>
      <c r="ES366" s="47"/>
      <c r="ET366" s="47"/>
      <c r="EU366" s="47"/>
      <c r="EV366" s="47"/>
      <c r="EW366" s="47"/>
      <c r="EX366" s="47"/>
      <c r="EY366" s="47"/>
      <c r="EZ366" s="47"/>
      <c r="FA366" s="47"/>
      <c r="FB366" s="47"/>
      <c r="FC366" s="47"/>
      <c r="FD366" s="47"/>
      <c r="FE366" s="47"/>
      <c r="FF366" s="47"/>
      <c r="FG366" s="47"/>
      <c r="FH366" s="47"/>
      <c r="FI366" s="47"/>
      <c r="FJ366" s="47"/>
      <c r="FK366" s="47"/>
      <c r="FL366" s="47"/>
      <c r="FM366" s="47"/>
      <c r="FN366" s="47"/>
      <c r="FO366" s="47"/>
      <c r="FP366" s="47"/>
      <c r="FQ366" s="47"/>
      <c r="FR366" s="47"/>
      <c r="FS366" s="47"/>
      <c r="FT366" s="47"/>
      <c r="FU366" s="47"/>
      <c r="FV366" s="47"/>
      <c r="FW366" s="47"/>
      <c r="FX366" s="47"/>
      <c r="FY366" s="47"/>
      <c r="FZ366" s="47"/>
      <c r="GA366" s="47"/>
      <c r="GB366" s="47"/>
      <c r="GC366" s="47"/>
      <c r="GD366" s="47"/>
      <c r="GE366" s="47"/>
    </row>
    <row r="367" spans="1:187" ht="10.5" customHeight="1">
      <c r="A367" s="43"/>
      <c r="B367" s="108"/>
      <c r="C367" s="108"/>
      <c r="D367" s="108"/>
      <c r="E367" s="203"/>
      <c r="F367" s="203"/>
      <c r="G367" s="203"/>
      <c r="H367" s="203"/>
      <c r="I367" s="203"/>
      <c r="J367" s="203"/>
      <c r="K367" s="203"/>
      <c r="L367" s="203"/>
      <c r="M367" s="203"/>
      <c r="N367" s="108"/>
      <c r="O367" s="108"/>
      <c r="P367" s="108"/>
      <c r="Q367" s="108"/>
      <c r="R367" s="108"/>
      <c r="S367" s="108"/>
      <c r="T367" s="43"/>
      <c r="U367" s="108"/>
      <c r="V367" s="108"/>
      <c r="W367" s="108"/>
      <c r="X367" s="108"/>
      <c r="Y367" s="108"/>
      <c r="Z367" s="108"/>
      <c r="AA367" s="43"/>
      <c r="AB367" s="108"/>
      <c r="AC367" s="108"/>
      <c r="AD367" s="108"/>
      <c r="AE367" s="108"/>
      <c r="AF367" s="108"/>
      <c r="AG367" s="108"/>
      <c r="AH367" s="43"/>
      <c r="AI367" s="108"/>
      <c r="AJ367" s="108"/>
      <c r="AK367" s="108"/>
      <c r="AL367" s="108"/>
      <c r="AM367" s="108"/>
      <c r="AN367" s="108"/>
      <c r="AO367" s="43"/>
      <c r="AP367" s="108"/>
      <c r="AQ367" s="108"/>
      <c r="AR367" s="108"/>
      <c r="AS367" s="108"/>
      <c r="AT367" s="108"/>
      <c r="AU367" s="108"/>
      <c r="AV367" s="43"/>
      <c r="AW367" s="108"/>
      <c r="AX367" s="108"/>
      <c r="AY367" s="108"/>
      <c r="AZ367" s="108"/>
      <c r="BA367" s="108"/>
      <c r="BB367" s="108"/>
      <c r="BC367" s="43"/>
      <c r="BD367" s="108"/>
      <c r="BE367" s="108"/>
      <c r="BF367" s="108"/>
      <c r="BG367" s="108"/>
      <c r="BH367" s="108"/>
      <c r="BI367" s="108"/>
      <c r="BJ367" s="43"/>
      <c r="BK367" s="108"/>
      <c r="BL367" s="108"/>
      <c r="BM367" s="108"/>
      <c r="BN367" s="108"/>
      <c r="BO367" s="108"/>
      <c r="BP367" s="108"/>
      <c r="BQ367" s="43"/>
      <c r="BR367" s="108"/>
      <c r="BS367" s="108"/>
      <c r="BT367" s="108"/>
      <c r="BU367" s="108"/>
      <c r="BV367" s="108"/>
      <c r="BW367" s="108"/>
      <c r="BX367" s="43"/>
      <c r="BY367" s="108"/>
      <c r="BZ367" s="108"/>
      <c r="CA367" s="108"/>
      <c r="CB367" s="108"/>
      <c r="CC367" s="108"/>
      <c r="CD367" s="108"/>
      <c r="CE367" s="43"/>
      <c r="CF367" s="108"/>
      <c r="CG367" s="108"/>
      <c r="CH367" s="108"/>
      <c r="CI367" s="108"/>
      <c r="CJ367" s="108"/>
      <c r="CK367" s="108"/>
      <c r="CL367" s="43"/>
      <c r="CM367" s="108"/>
      <c r="CN367" s="108"/>
      <c r="CO367" s="108"/>
      <c r="CP367" s="108"/>
      <c r="CQ367" s="108"/>
      <c r="CR367" s="108"/>
      <c r="CS367" s="43"/>
      <c r="CT367" s="108"/>
      <c r="CU367" s="108"/>
      <c r="CV367" s="108"/>
      <c r="CW367" s="108"/>
      <c r="CX367" s="108"/>
      <c r="CY367" s="108"/>
      <c r="CZ367" s="43"/>
      <c r="DA367" s="108"/>
      <c r="DB367" s="108"/>
      <c r="DC367" s="108"/>
      <c r="DD367" s="108"/>
      <c r="DE367" s="108"/>
      <c r="DF367" s="108"/>
      <c r="DG367" s="43"/>
      <c r="DH367" s="108"/>
      <c r="DI367" s="108"/>
      <c r="DJ367" s="108"/>
      <c r="DK367" s="108"/>
      <c r="DL367" s="108"/>
      <c r="DM367" s="108"/>
      <c r="DN367" s="43"/>
      <c r="DO367" s="108"/>
      <c r="DP367" s="108"/>
      <c r="DQ367" s="108"/>
      <c r="DR367" s="108"/>
      <c r="DS367" s="108"/>
      <c r="DT367" s="108"/>
      <c r="DU367" s="43"/>
      <c r="DV367" s="108"/>
      <c r="DW367" s="108"/>
      <c r="DX367" s="108"/>
      <c r="DY367" s="108"/>
      <c r="DZ367" s="108"/>
      <c r="EA367" s="108"/>
      <c r="EB367" s="43"/>
      <c r="EC367" s="108"/>
      <c r="ED367" s="108"/>
      <c r="EE367" s="108"/>
      <c r="EF367" s="108"/>
      <c r="EG367" s="108"/>
      <c r="EH367" s="108"/>
      <c r="EI367" s="43"/>
      <c r="EJ367" s="47"/>
      <c r="EK367" s="47"/>
      <c r="EL367" s="47"/>
      <c r="EM367" s="47"/>
      <c r="EN367" s="47"/>
      <c r="EO367" s="47"/>
      <c r="EP367" s="47"/>
      <c r="EQ367" s="47"/>
      <c r="ER367" s="47"/>
      <c r="ES367" s="47"/>
      <c r="ET367" s="47"/>
      <c r="EU367" s="47"/>
      <c r="EV367" s="47"/>
      <c r="EW367" s="47"/>
      <c r="EX367" s="47"/>
      <c r="EY367" s="47"/>
      <c r="EZ367" s="47"/>
      <c r="FA367" s="47"/>
      <c r="FB367" s="47"/>
      <c r="FC367" s="47"/>
      <c r="FD367" s="47"/>
      <c r="FE367" s="47"/>
      <c r="FF367" s="47"/>
      <c r="FG367" s="47"/>
      <c r="FH367" s="47"/>
      <c r="FI367" s="47"/>
      <c r="FJ367" s="47"/>
      <c r="FK367" s="47"/>
      <c r="FL367" s="47"/>
      <c r="FM367" s="47"/>
      <c r="FN367" s="47"/>
      <c r="FO367" s="47"/>
      <c r="FP367" s="47"/>
      <c r="FQ367" s="47"/>
      <c r="FR367" s="47"/>
      <c r="FS367" s="47"/>
      <c r="FT367" s="47"/>
      <c r="FU367" s="47"/>
      <c r="FV367" s="47"/>
      <c r="FW367" s="47"/>
      <c r="FX367" s="47"/>
      <c r="FY367" s="47"/>
      <c r="FZ367" s="47"/>
      <c r="GA367" s="47"/>
      <c r="GB367" s="47"/>
      <c r="GC367" s="47"/>
      <c r="GD367" s="47"/>
      <c r="GE367" s="47"/>
    </row>
    <row r="368" spans="1:187" ht="10.5" customHeight="1">
      <c r="A368" s="43"/>
      <c r="B368" s="108"/>
      <c r="C368" s="108"/>
      <c r="D368" s="108"/>
      <c r="E368" s="227"/>
      <c r="F368" s="227"/>
      <c r="G368" s="227"/>
      <c r="H368" s="227"/>
      <c r="I368" s="227"/>
      <c r="J368" s="227"/>
      <c r="K368" s="227"/>
      <c r="L368" s="227"/>
      <c r="M368" s="227"/>
      <c r="N368" s="108"/>
      <c r="O368" s="108"/>
      <c r="P368" s="108"/>
      <c r="Q368" s="108"/>
      <c r="R368" s="108"/>
      <c r="S368" s="108"/>
      <c r="T368" s="43"/>
      <c r="U368" s="108"/>
      <c r="V368" s="108"/>
      <c r="W368" s="108"/>
      <c r="X368" s="108"/>
      <c r="Y368" s="108"/>
      <c r="Z368" s="108"/>
      <c r="AA368" s="43"/>
      <c r="AB368" s="108"/>
      <c r="AC368" s="108"/>
      <c r="AD368" s="108"/>
      <c r="AE368" s="108"/>
      <c r="AF368" s="108"/>
      <c r="AG368" s="108"/>
      <c r="AH368" s="43"/>
      <c r="AI368" s="108"/>
      <c r="AJ368" s="108"/>
      <c r="AK368" s="108"/>
      <c r="AL368" s="108"/>
      <c r="AM368" s="108"/>
      <c r="AN368" s="108"/>
      <c r="AO368" s="43"/>
      <c r="AP368" s="108"/>
      <c r="AQ368" s="108"/>
      <c r="AR368" s="108"/>
      <c r="AS368" s="108"/>
      <c r="AT368" s="108"/>
      <c r="AU368" s="108"/>
      <c r="AV368" s="43"/>
      <c r="AW368" s="108"/>
      <c r="AX368" s="108"/>
      <c r="AY368" s="108"/>
      <c r="AZ368" s="108"/>
      <c r="BA368" s="108"/>
      <c r="BB368" s="108"/>
      <c r="BC368" s="43"/>
      <c r="BD368" s="108"/>
      <c r="BE368" s="108"/>
      <c r="BF368" s="108"/>
      <c r="BG368" s="108"/>
      <c r="BH368" s="108"/>
      <c r="BI368" s="108"/>
      <c r="BJ368" s="43"/>
      <c r="BK368" s="108"/>
      <c r="BL368" s="108"/>
      <c r="BM368" s="108"/>
      <c r="BN368" s="108"/>
      <c r="BO368" s="108"/>
      <c r="BP368" s="108"/>
      <c r="BQ368" s="43"/>
      <c r="BR368" s="108"/>
      <c r="BS368" s="108"/>
      <c r="BT368" s="108"/>
      <c r="BU368" s="108"/>
      <c r="BV368" s="108"/>
      <c r="BW368" s="108"/>
      <c r="BX368" s="43"/>
      <c r="BY368" s="108"/>
      <c r="BZ368" s="108"/>
      <c r="CA368" s="108"/>
      <c r="CB368" s="108"/>
      <c r="CC368" s="108"/>
      <c r="CD368" s="108"/>
      <c r="CE368" s="43"/>
      <c r="CF368" s="108"/>
      <c r="CG368" s="108"/>
      <c r="CH368" s="108"/>
      <c r="CI368" s="108"/>
      <c r="CJ368" s="108"/>
      <c r="CK368" s="108"/>
      <c r="CL368" s="43"/>
      <c r="CM368" s="108"/>
      <c r="CN368" s="108"/>
      <c r="CO368" s="108"/>
      <c r="CP368" s="108"/>
      <c r="CQ368" s="108"/>
      <c r="CR368" s="108"/>
      <c r="CS368" s="43"/>
      <c r="CT368" s="108"/>
      <c r="CU368" s="108"/>
      <c r="CV368" s="108"/>
      <c r="CW368" s="108"/>
      <c r="CX368" s="108"/>
      <c r="CY368" s="108"/>
      <c r="CZ368" s="43"/>
      <c r="DA368" s="108"/>
      <c r="DB368" s="108"/>
      <c r="DC368" s="108"/>
      <c r="DD368" s="108"/>
      <c r="DE368" s="108"/>
      <c r="DF368" s="108"/>
      <c r="DG368" s="43"/>
      <c r="DH368" s="108"/>
      <c r="DI368" s="108"/>
      <c r="DJ368" s="108"/>
      <c r="DK368" s="108"/>
      <c r="DL368" s="108"/>
      <c r="DM368" s="108"/>
      <c r="DN368" s="43"/>
      <c r="DO368" s="108"/>
      <c r="DP368" s="108"/>
      <c r="DQ368" s="108"/>
      <c r="DR368" s="108"/>
      <c r="DS368" s="108"/>
      <c r="DT368" s="108"/>
      <c r="DU368" s="43"/>
      <c r="DV368" s="108"/>
      <c r="DW368" s="108"/>
      <c r="DX368" s="108"/>
      <c r="DY368" s="108"/>
      <c r="DZ368" s="108"/>
      <c r="EA368" s="108"/>
      <c r="EB368" s="43"/>
      <c r="EC368" s="108"/>
      <c r="ED368" s="108"/>
      <c r="EE368" s="108"/>
      <c r="EF368" s="108"/>
      <c r="EG368" s="108"/>
      <c r="EH368" s="108"/>
      <c r="EI368" s="43"/>
      <c r="EJ368" s="47"/>
      <c r="EK368" s="47"/>
      <c r="EL368" s="47"/>
      <c r="EM368" s="47"/>
      <c r="EN368" s="47"/>
      <c r="EO368" s="47"/>
      <c r="EP368" s="47"/>
      <c r="EQ368" s="47"/>
      <c r="ER368" s="47"/>
      <c r="ES368" s="47"/>
      <c r="ET368" s="47"/>
      <c r="EU368" s="47"/>
      <c r="EV368" s="47"/>
      <c r="EW368" s="47"/>
      <c r="EX368" s="47"/>
      <c r="EY368" s="47"/>
      <c r="EZ368" s="47"/>
      <c r="FA368" s="47"/>
      <c r="FB368" s="47"/>
      <c r="FC368" s="47"/>
      <c r="FD368" s="47"/>
      <c r="FE368" s="47"/>
      <c r="FF368" s="47"/>
      <c r="FG368" s="47"/>
      <c r="FH368" s="47"/>
      <c r="FI368" s="47"/>
      <c r="FJ368" s="47"/>
      <c r="FK368" s="47"/>
      <c r="FL368" s="47"/>
      <c r="FM368" s="47"/>
      <c r="FN368" s="47"/>
      <c r="FO368" s="47"/>
      <c r="FP368" s="47"/>
      <c r="FQ368" s="47"/>
      <c r="FR368" s="47"/>
      <c r="FS368" s="47"/>
      <c r="FT368" s="47"/>
      <c r="FU368" s="47"/>
      <c r="FV368" s="47"/>
      <c r="FW368" s="47"/>
      <c r="FX368" s="47"/>
      <c r="FY368" s="47"/>
      <c r="FZ368" s="47"/>
      <c r="GA368" s="47"/>
      <c r="GB368" s="47"/>
      <c r="GC368" s="47"/>
      <c r="GD368" s="47"/>
      <c r="GE368" s="47"/>
    </row>
    <row r="369" spans="1:187" ht="10.5" customHeight="1">
      <c r="A369" s="43"/>
      <c r="B369" s="108"/>
      <c r="C369" s="108"/>
      <c r="D369" s="108"/>
      <c r="E369" s="203"/>
      <c r="F369" s="203"/>
      <c r="G369" s="203"/>
      <c r="H369" s="203"/>
      <c r="I369" s="203"/>
      <c r="J369" s="203"/>
      <c r="K369" s="203"/>
      <c r="L369" s="203"/>
      <c r="M369" s="203"/>
      <c r="N369" s="108"/>
      <c r="O369" s="108"/>
      <c r="P369" s="108"/>
      <c r="Q369" s="108"/>
      <c r="R369" s="108"/>
      <c r="S369" s="108"/>
      <c r="T369" s="43"/>
      <c r="U369" s="108"/>
      <c r="V369" s="108"/>
      <c r="W369" s="108"/>
      <c r="X369" s="108"/>
      <c r="Y369" s="108"/>
      <c r="Z369" s="108"/>
      <c r="AA369" s="43"/>
      <c r="AB369" s="108"/>
      <c r="AC369" s="108"/>
      <c r="AD369" s="108"/>
      <c r="AE369" s="108"/>
      <c r="AF369" s="108"/>
      <c r="AG369" s="108"/>
      <c r="AH369" s="43"/>
      <c r="AI369" s="108"/>
      <c r="AJ369" s="108"/>
      <c r="AK369" s="108"/>
      <c r="AL369" s="108"/>
      <c r="AM369" s="108"/>
      <c r="AN369" s="108"/>
      <c r="AO369" s="43"/>
      <c r="AP369" s="108"/>
      <c r="AQ369" s="108"/>
      <c r="AR369" s="108"/>
      <c r="AS369" s="108"/>
      <c r="AT369" s="108"/>
      <c r="AU369" s="108"/>
      <c r="AV369" s="43"/>
      <c r="AW369" s="108"/>
      <c r="AX369" s="108"/>
      <c r="AY369" s="108"/>
      <c r="AZ369" s="108"/>
      <c r="BA369" s="108"/>
      <c r="BB369" s="108"/>
      <c r="BC369" s="43"/>
      <c r="BD369" s="108"/>
      <c r="BE369" s="108"/>
      <c r="BF369" s="108"/>
      <c r="BG369" s="108"/>
      <c r="BH369" s="108"/>
      <c r="BI369" s="108"/>
      <c r="BJ369" s="43"/>
      <c r="BK369" s="108"/>
      <c r="BL369" s="108"/>
      <c r="BM369" s="108"/>
      <c r="BN369" s="108"/>
      <c r="BO369" s="108"/>
      <c r="BP369" s="108"/>
      <c r="BQ369" s="43"/>
      <c r="BR369" s="108"/>
      <c r="BS369" s="108"/>
      <c r="BT369" s="108"/>
      <c r="BU369" s="108"/>
      <c r="BV369" s="108"/>
      <c r="BW369" s="108"/>
      <c r="BX369" s="43"/>
      <c r="BY369" s="108"/>
      <c r="BZ369" s="108"/>
      <c r="CA369" s="108"/>
      <c r="CB369" s="108"/>
      <c r="CC369" s="108"/>
      <c r="CD369" s="108"/>
      <c r="CE369" s="43"/>
      <c r="CF369" s="108"/>
      <c r="CG369" s="108"/>
      <c r="CH369" s="108"/>
      <c r="CI369" s="108"/>
      <c r="CJ369" s="108"/>
      <c r="CK369" s="108"/>
      <c r="CL369" s="43"/>
      <c r="CM369" s="108"/>
      <c r="CN369" s="108"/>
      <c r="CO369" s="108"/>
      <c r="CP369" s="108"/>
      <c r="CQ369" s="108"/>
      <c r="CR369" s="108"/>
      <c r="CS369" s="43"/>
      <c r="CT369" s="108"/>
      <c r="CU369" s="108"/>
      <c r="CV369" s="108"/>
      <c r="CW369" s="108"/>
      <c r="CX369" s="108"/>
      <c r="CY369" s="108"/>
      <c r="CZ369" s="43"/>
      <c r="DA369" s="108"/>
      <c r="DB369" s="108"/>
      <c r="DC369" s="108"/>
      <c r="DD369" s="108"/>
      <c r="DE369" s="108"/>
      <c r="DF369" s="108"/>
      <c r="DG369" s="43"/>
      <c r="DH369" s="108"/>
      <c r="DI369" s="108"/>
      <c r="DJ369" s="108"/>
      <c r="DK369" s="108"/>
      <c r="DL369" s="108"/>
      <c r="DM369" s="108"/>
      <c r="DN369" s="43"/>
      <c r="DO369" s="108"/>
      <c r="DP369" s="108"/>
      <c r="DQ369" s="108"/>
      <c r="DR369" s="108"/>
      <c r="DS369" s="108"/>
      <c r="DT369" s="108"/>
      <c r="DU369" s="43"/>
      <c r="DV369" s="108"/>
      <c r="DW369" s="108"/>
      <c r="DX369" s="108"/>
      <c r="DY369" s="108"/>
      <c r="DZ369" s="108"/>
      <c r="EA369" s="108"/>
      <c r="EB369" s="43"/>
      <c r="EC369" s="108"/>
      <c r="ED369" s="108"/>
      <c r="EE369" s="108"/>
      <c r="EF369" s="108"/>
      <c r="EG369" s="108"/>
      <c r="EH369" s="108"/>
      <c r="EI369" s="43"/>
      <c r="EJ369" s="47"/>
      <c r="EK369" s="47"/>
      <c r="EL369" s="47"/>
      <c r="EM369" s="47"/>
      <c r="EN369" s="47"/>
      <c r="EO369" s="47"/>
      <c r="EP369" s="47"/>
      <c r="EQ369" s="47"/>
      <c r="ER369" s="47"/>
      <c r="ES369" s="47"/>
      <c r="ET369" s="47"/>
      <c r="EU369" s="47"/>
      <c r="EV369" s="47"/>
      <c r="EW369" s="47"/>
      <c r="EX369" s="47"/>
      <c r="EY369" s="47"/>
      <c r="EZ369" s="47"/>
      <c r="FA369" s="47"/>
      <c r="FB369" s="47"/>
      <c r="FC369" s="47"/>
      <c r="FD369" s="47"/>
      <c r="FE369" s="47"/>
      <c r="FF369" s="47"/>
      <c r="FG369" s="47"/>
      <c r="FH369" s="47"/>
      <c r="FI369" s="47"/>
      <c r="FJ369" s="47"/>
      <c r="FK369" s="47"/>
      <c r="FL369" s="47"/>
      <c r="FM369" s="47"/>
      <c r="FN369" s="47"/>
      <c r="FO369" s="47"/>
      <c r="FP369" s="47"/>
      <c r="FQ369" s="47"/>
      <c r="FR369" s="47"/>
      <c r="FS369" s="47"/>
      <c r="FT369" s="47"/>
      <c r="FU369" s="47"/>
      <c r="FV369" s="47"/>
      <c r="FW369" s="47"/>
      <c r="FX369" s="47"/>
      <c r="FY369" s="47"/>
      <c r="FZ369" s="47"/>
      <c r="GA369" s="47"/>
      <c r="GB369" s="47"/>
      <c r="GC369" s="47"/>
      <c r="GD369" s="47"/>
      <c r="GE369" s="47"/>
    </row>
    <row r="370" spans="1:187" ht="10.5" customHeight="1">
      <c r="A370" s="43"/>
      <c r="B370" s="108"/>
      <c r="C370" s="108"/>
      <c r="D370" s="108"/>
      <c r="E370" s="223"/>
      <c r="F370" s="223"/>
      <c r="G370" s="223"/>
      <c r="H370" s="223"/>
      <c r="I370" s="223"/>
      <c r="J370" s="223"/>
      <c r="K370" s="223"/>
      <c r="L370" s="223"/>
      <c r="M370" s="223"/>
      <c r="N370" s="108"/>
      <c r="O370" s="108"/>
      <c r="P370" s="108"/>
      <c r="Q370" s="108"/>
      <c r="R370" s="108"/>
      <c r="S370" s="108"/>
      <c r="T370" s="43"/>
      <c r="U370" s="108"/>
      <c r="V370" s="108"/>
      <c r="W370" s="108"/>
      <c r="X370" s="108"/>
      <c r="Y370" s="108"/>
      <c r="Z370" s="108"/>
      <c r="AA370" s="43"/>
      <c r="AB370" s="108"/>
      <c r="AC370" s="108"/>
      <c r="AD370" s="108"/>
      <c r="AE370" s="108"/>
      <c r="AF370" s="108"/>
      <c r="AG370" s="108"/>
      <c r="AH370" s="43"/>
      <c r="AI370" s="108"/>
      <c r="AJ370" s="108"/>
      <c r="AK370" s="108"/>
      <c r="AL370" s="108"/>
      <c r="AM370" s="108"/>
      <c r="AN370" s="108"/>
      <c r="AO370" s="43"/>
      <c r="AP370" s="108"/>
      <c r="AQ370" s="108"/>
      <c r="AR370" s="108"/>
      <c r="AS370" s="108"/>
      <c r="AT370" s="108"/>
      <c r="AU370" s="108"/>
      <c r="AV370" s="43"/>
      <c r="AW370" s="108"/>
      <c r="AX370" s="108"/>
      <c r="AY370" s="108"/>
      <c r="AZ370" s="108"/>
      <c r="BA370" s="108"/>
      <c r="BB370" s="108"/>
      <c r="BC370" s="43"/>
      <c r="BD370" s="108"/>
      <c r="BE370" s="108"/>
      <c r="BF370" s="108"/>
      <c r="BG370" s="108"/>
      <c r="BH370" s="108"/>
      <c r="BI370" s="108"/>
      <c r="BJ370" s="43"/>
      <c r="BK370" s="108"/>
      <c r="BL370" s="108"/>
      <c r="BM370" s="108"/>
      <c r="BN370" s="108"/>
      <c r="BO370" s="108"/>
      <c r="BP370" s="108"/>
      <c r="BQ370" s="43"/>
      <c r="BR370" s="108"/>
      <c r="BS370" s="108"/>
      <c r="BT370" s="108"/>
      <c r="BU370" s="108"/>
      <c r="BV370" s="108"/>
      <c r="BW370" s="108"/>
      <c r="BX370" s="43"/>
      <c r="BY370" s="108"/>
      <c r="BZ370" s="108"/>
      <c r="CA370" s="108"/>
      <c r="CB370" s="108"/>
      <c r="CC370" s="108"/>
      <c r="CD370" s="108"/>
      <c r="CE370" s="43"/>
      <c r="CF370" s="108"/>
      <c r="CG370" s="108"/>
      <c r="CH370" s="108"/>
      <c r="CI370" s="108"/>
      <c r="CJ370" s="108"/>
      <c r="CK370" s="108"/>
      <c r="CL370" s="43"/>
      <c r="CM370" s="108"/>
      <c r="CN370" s="108"/>
      <c r="CO370" s="108"/>
      <c r="CP370" s="108"/>
      <c r="CQ370" s="108"/>
      <c r="CR370" s="108"/>
      <c r="CS370" s="43"/>
      <c r="CT370" s="108"/>
      <c r="CU370" s="108"/>
      <c r="CV370" s="108"/>
      <c r="CW370" s="108"/>
      <c r="CX370" s="108"/>
      <c r="CY370" s="108"/>
      <c r="CZ370" s="43"/>
      <c r="DA370" s="108"/>
      <c r="DB370" s="108"/>
      <c r="DC370" s="108"/>
      <c r="DD370" s="108"/>
      <c r="DE370" s="108"/>
      <c r="DF370" s="108"/>
      <c r="DG370" s="43"/>
      <c r="DH370" s="108"/>
      <c r="DI370" s="108"/>
      <c r="DJ370" s="108"/>
      <c r="DK370" s="108"/>
      <c r="DL370" s="108"/>
      <c r="DM370" s="108"/>
      <c r="DN370" s="43"/>
      <c r="DO370" s="108"/>
      <c r="DP370" s="108"/>
      <c r="DQ370" s="108"/>
      <c r="DR370" s="108"/>
      <c r="DS370" s="108"/>
      <c r="DT370" s="108"/>
      <c r="DU370" s="43"/>
      <c r="DV370" s="108"/>
      <c r="DW370" s="108"/>
      <c r="DX370" s="108"/>
      <c r="DY370" s="108"/>
      <c r="DZ370" s="108"/>
      <c r="EA370" s="108"/>
      <c r="EB370" s="43"/>
      <c r="EC370" s="108"/>
      <c r="ED370" s="108"/>
      <c r="EE370" s="108"/>
      <c r="EF370" s="108"/>
      <c r="EG370" s="108"/>
      <c r="EH370" s="108"/>
      <c r="EI370" s="43"/>
      <c r="EJ370" s="47"/>
      <c r="EK370" s="47"/>
      <c r="EL370" s="47"/>
      <c r="EM370" s="47"/>
      <c r="EN370" s="47"/>
      <c r="EO370" s="47"/>
      <c r="EP370" s="47"/>
      <c r="EQ370" s="47"/>
      <c r="ER370" s="47"/>
      <c r="ES370" s="47"/>
      <c r="ET370" s="47"/>
      <c r="EU370" s="47"/>
      <c r="EV370" s="47"/>
      <c r="EW370" s="47"/>
      <c r="EX370" s="47"/>
      <c r="EY370" s="47"/>
      <c r="EZ370" s="47"/>
      <c r="FA370" s="47"/>
      <c r="FB370" s="47"/>
      <c r="FC370" s="47"/>
      <c r="FD370" s="47"/>
      <c r="FE370" s="47"/>
      <c r="FF370" s="47"/>
      <c r="FG370" s="47"/>
      <c r="FH370" s="47"/>
      <c r="FI370" s="47"/>
      <c r="FJ370" s="47"/>
      <c r="FK370" s="47"/>
      <c r="FL370" s="47"/>
      <c r="FM370" s="47"/>
      <c r="FN370" s="47"/>
      <c r="FO370" s="47"/>
      <c r="FP370" s="47"/>
      <c r="FQ370" s="47"/>
      <c r="FR370" s="47"/>
      <c r="FS370" s="47"/>
      <c r="FT370" s="47"/>
      <c r="FU370" s="47"/>
      <c r="FV370" s="47"/>
      <c r="FW370" s="47"/>
      <c r="FX370" s="47"/>
      <c r="FY370" s="47"/>
      <c r="FZ370" s="47"/>
      <c r="GA370" s="47"/>
      <c r="GB370" s="47"/>
      <c r="GC370" s="47"/>
      <c r="GD370" s="47"/>
      <c r="GE370" s="47"/>
    </row>
    <row r="371" spans="1:187" ht="10.5" customHeight="1">
      <c r="A371" s="43"/>
      <c r="B371" s="108"/>
      <c r="C371" s="108"/>
      <c r="D371" s="108"/>
      <c r="E371" s="229"/>
      <c r="F371" s="223"/>
      <c r="G371" s="229"/>
      <c r="H371" s="223"/>
      <c r="I371" s="223"/>
      <c r="J371" s="223"/>
      <c r="K371" s="223"/>
      <c r="L371" s="223"/>
      <c r="M371" s="223"/>
      <c r="N371" s="108"/>
      <c r="O371" s="108"/>
      <c r="P371" s="108"/>
      <c r="Q371" s="108"/>
      <c r="R371" s="108"/>
      <c r="S371" s="108"/>
      <c r="T371" s="43"/>
      <c r="U371" s="108"/>
      <c r="V371" s="108"/>
      <c r="W371" s="108"/>
      <c r="X371" s="108"/>
      <c r="Y371" s="108"/>
      <c r="Z371" s="108"/>
      <c r="AA371" s="43"/>
      <c r="AB371" s="108"/>
      <c r="AC371" s="108"/>
      <c r="AD371" s="108"/>
      <c r="AE371" s="108"/>
      <c r="AF371" s="108"/>
      <c r="AG371" s="108"/>
      <c r="AH371" s="43"/>
      <c r="AI371" s="108"/>
      <c r="AJ371" s="108"/>
      <c r="AK371" s="108"/>
      <c r="AL371" s="108"/>
      <c r="AM371" s="108"/>
      <c r="AN371" s="108"/>
      <c r="AO371" s="43"/>
      <c r="AP371" s="108"/>
      <c r="AQ371" s="108"/>
      <c r="AR371" s="108"/>
      <c r="AS371" s="108"/>
      <c r="AT371" s="108"/>
      <c r="AU371" s="108"/>
      <c r="AV371" s="43"/>
      <c r="AW371" s="108"/>
      <c r="AX371" s="108"/>
      <c r="AY371" s="108"/>
      <c r="AZ371" s="108"/>
      <c r="BA371" s="108"/>
      <c r="BB371" s="108"/>
      <c r="BC371" s="43"/>
      <c r="BD371" s="108"/>
      <c r="BE371" s="108"/>
      <c r="BF371" s="108"/>
      <c r="BG371" s="108"/>
      <c r="BH371" s="108"/>
      <c r="BI371" s="108"/>
      <c r="BJ371" s="43"/>
      <c r="BK371" s="108"/>
      <c r="BL371" s="108"/>
      <c r="BM371" s="108"/>
      <c r="BN371" s="108"/>
      <c r="BO371" s="108"/>
      <c r="BP371" s="108"/>
      <c r="BQ371" s="43"/>
      <c r="BR371" s="108"/>
      <c r="BS371" s="108"/>
      <c r="BT371" s="108"/>
      <c r="BU371" s="108"/>
      <c r="BV371" s="108"/>
      <c r="BW371" s="108"/>
      <c r="BX371" s="43"/>
      <c r="BY371" s="108"/>
      <c r="BZ371" s="108"/>
      <c r="CA371" s="108"/>
      <c r="CB371" s="108"/>
      <c r="CC371" s="108"/>
      <c r="CD371" s="108"/>
      <c r="CE371" s="43"/>
      <c r="CF371" s="108"/>
      <c r="CG371" s="108"/>
      <c r="CH371" s="108"/>
      <c r="CI371" s="108"/>
      <c r="CJ371" s="108"/>
      <c r="CK371" s="108"/>
      <c r="CL371" s="43"/>
      <c r="CM371" s="108"/>
      <c r="CN371" s="108"/>
      <c r="CO371" s="108"/>
      <c r="CP371" s="108"/>
      <c r="CQ371" s="108"/>
      <c r="CR371" s="108"/>
      <c r="CS371" s="43"/>
      <c r="CT371" s="108"/>
      <c r="CU371" s="108"/>
      <c r="CV371" s="108"/>
      <c r="CW371" s="108"/>
      <c r="CX371" s="108"/>
      <c r="CY371" s="108"/>
      <c r="CZ371" s="43"/>
      <c r="DA371" s="108"/>
      <c r="DB371" s="108"/>
      <c r="DC371" s="108"/>
      <c r="DD371" s="108"/>
      <c r="DE371" s="108"/>
      <c r="DF371" s="108"/>
      <c r="DG371" s="43"/>
      <c r="DH371" s="108"/>
      <c r="DI371" s="108"/>
      <c r="DJ371" s="108"/>
      <c r="DK371" s="108"/>
      <c r="DL371" s="108"/>
      <c r="DM371" s="108"/>
      <c r="DN371" s="43"/>
      <c r="DO371" s="108"/>
      <c r="DP371" s="108"/>
      <c r="DQ371" s="108"/>
      <c r="DR371" s="108"/>
      <c r="DS371" s="108"/>
      <c r="DT371" s="108"/>
      <c r="DU371" s="43"/>
      <c r="DV371" s="108"/>
      <c r="DW371" s="108"/>
      <c r="DX371" s="108"/>
      <c r="DY371" s="108"/>
      <c r="DZ371" s="108"/>
      <c r="EA371" s="108"/>
      <c r="EB371" s="43"/>
      <c r="EC371" s="108"/>
      <c r="ED371" s="108"/>
      <c r="EE371" s="108"/>
      <c r="EF371" s="108"/>
      <c r="EG371" s="108"/>
      <c r="EH371" s="108"/>
      <c r="EI371" s="43"/>
      <c r="EJ371" s="47"/>
      <c r="EK371" s="47"/>
      <c r="EL371" s="47"/>
      <c r="EM371" s="47"/>
      <c r="EN371" s="47"/>
      <c r="EO371" s="47"/>
      <c r="EP371" s="47"/>
      <c r="EQ371" s="47"/>
      <c r="ER371" s="47"/>
      <c r="ES371" s="47"/>
      <c r="ET371" s="47"/>
      <c r="EU371" s="47"/>
      <c r="EV371" s="47"/>
      <c r="EW371" s="47"/>
      <c r="EX371" s="47"/>
      <c r="EY371" s="47"/>
      <c r="EZ371" s="47"/>
      <c r="FA371" s="47"/>
      <c r="FB371" s="47"/>
      <c r="FC371" s="47"/>
      <c r="FD371" s="47"/>
      <c r="FE371" s="47"/>
      <c r="FF371" s="47"/>
      <c r="FG371" s="47"/>
      <c r="FH371" s="47"/>
      <c r="FI371" s="47"/>
      <c r="FJ371" s="47"/>
      <c r="FK371" s="47"/>
      <c r="FL371" s="47"/>
      <c r="FM371" s="47"/>
      <c r="FN371" s="47"/>
      <c r="FO371" s="47"/>
      <c r="FP371" s="47"/>
      <c r="FQ371" s="47"/>
      <c r="FR371" s="47"/>
      <c r="FS371" s="47"/>
      <c r="FT371" s="47"/>
      <c r="FU371" s="47"/>
      <c r="FV371" s="47"/>
      <c r="FW371" s="47"/>
      <c r="FX371" s="47"/>
      <c r="FY371" s="47"/>
      <c r="FZ371" s="47"/>
      <c r="GA371" s="47"/>
      <c r="GB371" s="47"/>
      <c r="GC371" s="47"/>
      <c r="GD371" s="47"/>
      <c r="GE371" s="47"/>
    </row>
    <row r="372" spans="1:187" ht="10.5" customHeight="1">
      <c r="A372" s="43"/>
      <c r="B372" s="108"/>
      <c r="C372" s="108"/>
      <c r="D372" s="108"/>
      <c r="E372" s="229"/>
      <c r="F372" s="108"/>
      <c r="G372" s="229"/>
      <c r="H372" s="223"/>
      <c r="I372" s="223"/>
      <c r="J372" s="223"/>
      <c r="K372" s="223"/>
      <c r="L372" s="223"/>
      <c r="M372" s="223"/>
      <c r="N372" s="108"/>
      <c r="O372" s="108"/>
      <c r="P372" s="108"/>
      <c r="Q372" s="108"/>
      <c r="R372" s="108"/>
      <c r="S372" s="108"/>
      <c r="T372" s="43"/>
      <c r="U372" s="108"/>
      <c r="V372" s="108"/>
      <c r="W372" s="108"/>
      <c r="X372" s="108"/>
      <c r="Y372" s="108"/>
      <c r="Z372" s="108"/>
      <c r="AA372" s="43"/>
      <c r="AB372" s="108"/>
      <c r="AC372" s="108"/>
      <c r="AD372" s="108"/>
      <c r="AE372" s="108"/>
      <c r="AF372" s="108"/>
      <c r="AG372" s="108"/>
      <c r="AH372" s="43"/>
      <c r="AI372" s="108"/>
      <c r="AJ372" s="108"/>
      <c r="AK372" s="108"/>
      <c r="AL372" s="108"/>
      <c r="AM372" s="108"/>
      <c r="AN372" s="108"/>
      <c r="AO372" s="43"/>
      <c r="AP372" s="108"/>
      <c r="AQ372" s="108"/>
      <c r="AR372" s="108"/>
      <c r="AS372" s="108"/>
      <c r="AT372" s="108"/>
      <c r="AU372" s="108"/>
      <c r="AV372" s="43"/>
      <c r="AW372" s="108"/>
      <c r="AX372" s="108"/>
      <c r="AY372" s="108"/>
      <c r="AZ372" s="108"/>
      <c r="BA372" s="108"/>
      <c r="BB372" s="108"/>
      <c r="BC372" s="43"/>
      <c r="BD372" s="108"/>
      <c r="BE372" s="108"/>
      <c r="BF372" s="108"/>
      <c r="BG372" s="108"/>
      <c r="BH372" s="108"/>
      <c r="BI372" s="108"/>
      <c r="BJ372" s="43"/>
      <c r="BK372" s="108"/>
      <c r="BL372" s="108"/>
      <c r="BM372" s="108"/>
      <c r="BN372" s="108"/>
      <c r="BO372" s="108"/>
      <c r="BP372" s="108"/>
      <c r="BQ372" s="43"/>
      <c r="BR372" s="108"/>
      <c r="BS372" s="108"/>
      <c r="BT372" s="108"/>
      <c r="BU372" s="108"/>
      <c r="BV372" s="108"/>
      <c r="BW372" s="108"/>
      <c r="BX372" s="43"/>
      <c r="BY372" s="108"/>
      <c r="BZ372" s="108"/>
      <c r="CA372" s="108"/>
      <c r="CB372" s="108"/>
      <c r="CC372" s="108"/>
      <c r="CD372" s="108"/>
      <c r="CE372" s="43"/>
      <c r="CF372" s="108"/>
      <c r="CG372" s="108"/>
      <c r="CH372" s="108"/>
      <c r="CI372" s="108"/>
      <c r="CJ372" s="108"/>
      <c r="CK372" s="108"/>
      <c r="CL372" s="43"/>
      <c r="CM372" s="108"/>
      <c r="CN372" s="108"/>
      <c r="CO372" s="108"/>
      <c r="CP372" s="108"/>
      <c r="CQ372" s="108"/>
      <c r="CR372" s="108"/>
      <c r="CS372" s="43"/>
      <c r="CT372" s="108"/>
      <c r="CU372" s="108"/>
      <c r="CV372" s="108"/>
      <c r="CW372" s="108"/>
      <c r="CX372" s="108"/>
      <c r="CY372" s="108"/>
      <c r="CZ372" s="43"/>
      <c r="DA372" s="108"/>
      <c r="DB372" s="108"/>
      <c r="DC372" s="108"/>
      <c r="DD372" s="108"/>
      <c r="DE372" s="108"/>
      <c r="DF372" s="108"/>
      <c r="DG372" s="43"/>
      <c r="DH372" s="108"/>
      <c r="DI372" s="108"/>
      <c r="DJ372" s="108"/>
      <c r="DK372" s="108"/>
      <c r="DL372" s="108"/>
      <c r="DM372" s="108"/>
      <c r="DN372" s="43"/>
      <c r="DO372" s="108"/>
      <c r="DP372" s="108"/>
      <c r="DQ372" s="108"/>
      <c r="DR372" s="108"/>
      <c r="DS372" s="108"/>
      <c r="DT372" s="108"/>
      <c r="DU372" s="43"/>
      <c r="DV372" s="108"/>
      <c r="DW372" s="108"/>
      <c r="DX372" s="108"/>
      <c r="DY372" s="108"/>
      <c r="DZ372" s="108"/>
      <c r="EA372" s="108"/>
      <c r="EB372" s="43"/>
      <c r="EC372" s="108"/>
      <c r="ED372" s="108"/>
      <c r="EE372" s="108"/>
      <c r="EF372" s="108"/>
      <c r="EG372" s="108"/>
      <c r="EH372" s="108"/>
      <c r="EI372" s="43"/>
      <c r="EJ372" s="47"/>
      <c r="EK372" s="47"/>
      <c r="EL372" s="47"/>
      <c r="EM372" s="47"/>
      <c r="EN372" s="47"/>
      <c r="EO372" s="47"/>
      <c r="EP372" s="47"/>
      <c r="EQ372" s="47"/>
      <c r="ER372" s="47"/>
      <c r="ES372" s="47"/>
      <c r="ET372" s="47"/>
      <c r="EU372" s="47"/>
      <c r="EV372" s="47"/>
      <c r="EW372" s="47"/>
      <c r="EX372" s="47"/>
      <c r="EY372" s="47"/>
      <c r="EZ372" s="47"/>
      <c r="FA372" s="47"/>
      <c r="FB372" s="47"/>
      <c r="FC372" s="47"/>
      <c r="FD372" s="47"/>
      <c r="FE372" s="47"/>
      <c r="FF372" s="47"/>
      <c r="FG372" s="47"/>
      <c r="FH372" s="47"/>
      <c r="FI372" s="47"/>
      <c r="FJ372" s="47"/>
      <c r="FK372" s="47"/>
      <c r="FL372" s="47"/>
      <c r="FM372" s="47"/>
      <c r="FN372" s="47"/>
      <c r="FO372" s="47"/>
      <c r="FP372" s="47"/>
      <c r="FQ372" s="47"/>
      <c r="FR372" s="47"/>
      <c r="FS372" s="47"/>
      <c r="FT372" s="47"/>
      <c r="FU372" s="47"/>
      <c r="FV372" s="47"/>
      <c r="FW372" s="47"/>
      <c r="FX372" s="47"/>
      <c r="FY372" s="47"/>
      <c r="FZ372" s="47"/>
      <c r="GA372" s="47"/>
      <c r="GB372" s="47"/>
      <c r="GC372" s="47"/>
      <c r="GD372" s="47"/>
      <c r="GE372" s="47"/>
    </row>
    <row r="373" spans="1:187" ht="10.5" customHeight="1">
      <c r="A373" s="43"/>
      <c r="B373" s="108"/>
      <c r="C373" s="108"/>
      <c r="D373" s="108"/>
      <c r="E373" s="108"/>
      <c r="F373" s="223"/>
      <c r="G373" s="223"/>
      <c r="H373" s="223"/>
      <c r="I373" s="223"/>
      <c r="J373" s="223"/>
      <c r="K373" s="223"/>
      <c r="L373" s="223"/>
      <c r="M373" s="223"/>
      <c r="N373" s="108"/>
      <c r="O373" s="108"/>
      <c r="P373" s="108"/>
      <c r="Q373" s="108"/>
      <c r="R373" s="108"/>
      <c r="S373" s="108"/>
      <c r="T373" s="43"/>
      <c r="U373" s="108"/>
      <c r="V373" s="108"/>
      <c r="W373" s="108"/>
      <c r="X373" s="108"/>
      <c r="Y373" s="108"/>
      <c r="Z373" s="108"/>
      <c r="AA373" s="43"/>
      <c r="AB373" s="108"/>
      <c r="AC373" s="108"/>
      <c r="AD373" s="108"/>
      <c r="AE373" s="108"/>
      <c r="AF373" s="108"/>
      <c r="AG373" s="108"/>
      <c r="AH373" s="43"/>
      <c r="AI373" s="108"/>
      <c r="AJ373" s="108"/>
      <c r="AK373" s="108"/>
      <c r="AL373" s="108"/>
      <c r="AM373" s="108"/>
      <c r="AN373" s="108"/>
      <c r="AO373" s="43"/>
      <c r="AP373" s="108"/>
      <c r="AQ373" s="108"/>
      <c r="AR373" s="108"/>
      <c r="AS373" s="108"/>
      <c r="AT373" s="108"/>
      <c r="AU373" s="108"/>
      <c r="AV373" s="43"/>
      <c r="AW373" s="108"/>
      <c r="AX373" s="108"/>
      <c r="AY373" s="108"/>
      <c r="AZ373" s="108"/>
      <c r="BA373" s="108"/>
      <c r="BB373" s="108"/>
      <c r="BC373" s="43"/>
      <c r="BD373" s="108"/>
      <c r="BE373" s="108"/>
      <c r="BF373" s="108"/>
      <c r="BG373" s="108"/>
      <c r="BH373" s="108"/>
      <c r="BI373" s="108"/>
      <c r="BJ373" s="43"/>
      <c r="BK373" s="108"/>
      <c r="BL373" s="108"/>
      <c r="BM373" s="108"/>
      <c r="BN373" s="108"/>
      <c r="BO373" s="108"/>
      <c r="BP373" s="108"/>
      <c r="BQ373" s="43"/>
      <c r="BR373" s="108"/>
      <c r="BS373" s="108"/>
      <c r="BT373" s="108"/>
      <c r="BU373" s="108"/>
      <c r="BV373" s="108"/>
      <c r="BW373" s="108"/>
      <c r="BX373" s="43"/>
      <c r="BY373" s="108"/>
      <c r="BZ373" s="108"/>
      <c r="CA373" s="108"/>
      <c r="CB373" s="108"/>
      <c r="CC373" s="108"/>
      <c r="CD373" s="108"/>
      <c r="CE373" s="43"/>
      <c r="CF373" s="108"/>
      <c r="CG373" s="108"/>
      <c r="CH373" s="108"/>
      <c r="CI373" s="108"/>
      <c r="CJ373" s="108"/>
      <c r="CK373" s="108"/>
      <c r="CL373" s="43"/>
      <c r="CM373" s="108"/>
      <c r="CN373" s="108"/>
      <c r="CO373" s="108"/>
      <c r="CP373" s="108"/>
      <c r="CQ373" s="108"/>
      <c r="CR373" s="108"/>
      <c r="CS373" s="43"/>
      <c r="CT373" s="108"/>
      <c r="CU373" s="108"/>
      <c r="CV373" s="108"/>
      <c r="CW373" s="108"/>
      <c r="CX373" s="108"/>
      <c r="CY373" s="108"/>
      <c r="CZ373" s="43"/>
      <c r="DA373" s="108"/>
      <c r="DB373" s="108"/>
      <c r="DC373" s="108"/>
      <c r="DD373" s="108"/>
      <c r="DE373" s="108"/>
      <c r="DF373" s="108"/>
      <c r="DG373" s="43"/>
      <c r="DH373" s="108"/>
      <c r="DI373" s="108"/>
      <c r="DJ373" s="108"/>
      <c r="DK373" s="108"/>
      <c r="DL373" s="108"/>
      <c r="DM373" s="108"/>
      <c r="DN373" s="43"/>
      <c r="DO373" s="108"/>
      <c r="DP373" s="108"/>
      <c r="DQ373" s="108"/>
      <c r="DR373" s="108"/>
      <c r="DS373" s="108"/>
      <c r="DT373" s="108"/>
      <c r="DU373" s="43"/>
      <c r="DV373" s="108"/>
      <c r="DW373" s="108"/>
      <c r="DX373" s="108"/>
      <c r="DY373" s="108"/>
      <c r="DZ373" s="108"/>
      <c r="EA373" s="108"/>
      <c r="EB373" s="43"/>
      <c r="EC373" s="108"/>
      <c r="ED373" s="108"/>
      <c r="EE373" s="108"/>
      <c r="EF373" s="108"/>
      <c r="EG373" s="108"/>
      <c r="EH373" s="108"/>
      <c r="EI373" s="43"/>
      <c r="EJ373" s="47"/>
      <c r="EK373" s="47"/>
      <c r="EL373" s="47"/>
      <c r="EM373" s="47"/>
      <c r="EN373" s="47"/>
      <c r="EO373" s="47"/>
      <c r="EP373" s="47"/>
      <c r="EQ373" s="47"/>
      <c r="ER373" s="47"/>
      <c r="ES373" s="47"/>
      <c r="ET373" s="47"/>
      <c r="EU373" s="47"/>
      <c r="EV373" s="47"/>
      <c r="EW373" s="47"/>
      <c r="EX373" s="47"/>
      <c r="EY373" s="47"/>
      <c r="EZ373" s="47"/>
      <c r="FA373" s="47"/>
      <c r="FB373" s="47"/>
      <c r="FC373" s="47"/>
      <c r="FD373" s="47"/>
      <c r="FE373" s="47"/>
      <c r="FF373" s="47"/>
      <c r="FG373" s="47"/>
      <c r="FH373" s="47"/>
      <c r="FI373" s="47"/>
      <c r="FJ373" s="47"/>
      <c r="FK373" s="47"/>
      <c r="FL373" s="47"/>
      <c r="FM373" s="47"/>
      <c r="FN373" s="47"/>
      <c r="FO373" s="47"/>
      <c r="FP373" s="47"/>
      <c r="FQ373" s="47"/>
      <c r="FR373" s="47"/>
      <c r="FS373" s="47"/>
      <c r="FT373" s="47"/>
      <c r="FU373" s="47"/>
      <c r="FV373" s="47"/>
      <c r="FW373" s="47"/>
      <c r="FX373" s="47"/>
      <c r="FY373" s="47"/>
      <c r="FZ373" s="47"/>
      <c r="GA373" s="47"/>
      <c r="GB373" s="47"/>
      <c r="GC373" s="47"/>
      <c r="GD373" s="47"/>
      <c r="GE373" s="47"/>
    </row>
    <row r="374" spans="1:187" ht="10.5" customHeight="1">
      <c r="A374" s="43"/>
      <c r="B374" s="108"/>
      <c r="C374" s="108"/>
      <c r="D374" s="108"/>
      <c r="E374" s="108"/>
      <c r="F374" s="223"/>
      <c r="G374" s="223"/>
      <c r="H374" s="223"/>
      <c r="I374" s="223"/>
      <c r="J374" s="223"/>
      <c r="K374" s="223"/>
      <c r="L374" s="223"/>
      <c r="M374" s="223"/>
      <c r="N374" s="108"/>
      <c r="O374" s="108"/>
      <c r="P374" s="108"/>
      <c r="Q374" s="108"/>
      <c r="R374" s="108"/>
      <c r="S374" s="108"/>
      <c r="T374" s="43"/>
      <c r="U374" s="108"/>
      <c r="V374" s="108"/>
      <c r="W374" s="108"/>
      <c r="X374" s="108"/>
      <c r="Y374" s="108"/>
      <c r="Z374" s="108"/>
      <c r="AA374" s="43"/>
      <c r="AB374" s="108"/>
      <c r="AC374" s="108"/>
      <c r="AD374" s="108"/>
      <c r="AE374" s="108"/>
      <c r="AF374" s="108"/>
      <c r="AG374" s="108"/>
      <c r="AH374" s="43"/>
      <c r="AI374" s="108"/>
      <c r="AJ374" s="108"/>
      <c r="AK374" s="108"/>
      <c r="AL374" s="108"/>
      <c r="AM374" s="108"/>
      <c r="AN374" s="108"/>
      <c r="AO374" s="43"/>
      <c r="AP374" s="108"/>
      <c r="AQ374" s="108"/>
      <c r="AR374" s="108"/>
      <c r="AS374" s="108"/>
      <c r="AT374" s="108"/>
      <c r="AU374" s="108"/>
      <c r="AV374" s="43"/>
      <c r="AW374" s="108"/>
      <c r="AX374" s="108"/>
      <c r="AY374" s="108"/>
      <c r="AZ374" s="108"/>
      <c r="BA374" s="108"/>
      <c r="BB374" s="108"/>
      <c r="BC374" s="43"/>
      <c r="BD374" s="108"/>
      <c r="BE374" s="108"/>
      <c r="BF374" s="108"/>
      <c r="BG374" s="108"/>
      <c r="BH374" s="108"/>
      <c r="BI374" s="108"/>
      <c r="BJ374" s="43"/>
      <c r="BK374" s="108"/>
      <c r="BL374" s="108"/>
      <c r="BM374" s="108"/>
      <c r="BN374" s="108"/>
      <c r="BO374" s="108"/>
      <c r="BP374" s="108"/>
      <c r="BQ374" s="43"/>
      <c r="BR374" s="108"/>
      <c r="BS374" s="108"/>
      <c r="BT374" s="108"/>
      <c r="BU374" s="108"/>
      <c r="BV374" s="108"/>
      <c r="BW374" s="108"/>
      <c r="BX374" s="43"/>
      <c r="BY374" s="108"/>
      <c r="BZ374" s="108"/>
      <c r="CA374" s="108"/>
      <c r="CB374" s="108"/>
      <c r="CC374" s="108"/>
      <c r="CD374" s="108"/>
      <c r="CE374" s="43"/>
      <c r="CF374" s="108"/>
      <c r="CG374" s="108"/>
      <c r="CH374" s="108"/>
      <c r="CI374" s="108"/>
      <c r="CJ374" s="108"/>
      <c r="CK374" s="108"/>
      <c r="CL374" s="43"/>
      <c r="CM374" s="108"/>
      <c r="CN374" s="108"/>
      <c r="CO374" s="108"/>
      <c r="CP374" s="108"/>
      <c r="CQ374" s="108"/>
      <c r="CR374" s="108"/>
      <c r="CS374" s="43"/>
      <c r="CT374" s="108"/>
      <c r="CU374" s="108"/>
      <c r="CV374" s="108"/>
      <c r="CW374" s="108"/>
      <c r="CX374" s="108"/>
      <c r="CY374" s="108"/>
      <c r="CZ374" s="43"/>
      <c r="DA374" s="108"/>
      <c r="DB374" s="108"/>
      <c r="DC374" s="108"/>
      <c r="DD374" s="108"/>
      <c r="DE374" s="108"/>
      <c r="DF374" s="108"/>
      <c r="DG374" s="43"/>
      <c r="DH374" s="108"/>
      <c r="DI374" s="108"/>
      <c r="DJ374" s="108"/>
      <c r="DK374" s="108"/>
      <c r="DL374" s="108"/>
      <c r="DM374" s="108"/>
      <c r="DN374" s="43"/>
      <c r="DO374" s="108"/>
      <c r="DP374" s="108"/>
      <c r="DQ374" s="108"/>
      <c r="DR374" s="108"/>
      <c r="DS374" s="108"/>
      <c r="DT374" s="108"/>
      <c r="DU374" s="43"/>
      <c r="DV374" s="108"/>
      <c r="DW374" s="108"/>
      <c r="DX374" s="108"/>
      <c r="DY374" s="108"/>
      <c r="DZ374" s="108"/>
      <c r="EA374" s="108"/>
      <c r="EB374" s="43"/>
      <c r="EC374" s="108"/>
      <c r="ED374" s="108"/>
      <c r="EE374" s="108"/>
      <c r="EF374" s="108"/>
      <c r="EG374" s="108"/>
      <c r="EH374" s="108"/>
      <c r="EI374" s="43"/>
      <c r="EJ374" s="47"/>
      <c r="EK374" s="47"/>
      <c r="EL374" s="47"/>
      <c r="EM374" s="47"/>
      <c r="EN374" s="47"/>
      <c r="EO374" s="47"/>
      <c r="EP374" s="47"/>
      <c r="EQ374" s="47"/>
      <c r="ER374" s="47"/>
      <c r="ES374" s="47"/>
      <c r="ET374" s="47"/>
      <c r="EU374" s="47"/>
      <c r="EV374" s="47"/>
      <c r="EW374" s="47"/>
      <c r="EX374" s="47"/>
      <c r="EY374" s="47"/>
      <c r="EZ374" s="47"/>
      <c r="FA374" s="47"/>
      <c r="FB374" s="47"/>
      <c r="FC374" s="47"/>
      <c r="FD374" s="47"/>
      <c r="FE374" s="47"/>
      <c r="FF374" s="47"/>
      <c r="FG374" s="47"/>
      <c r="FH374" s="47"/>
      <c r="FI374" s="47"/>
      <c r="FJ374" s="47"/>
      <c r="FK374" s="47"/>
      <c r="FL374" s="47"/>
      <c r="FM374" s="47"/>
      <c r="FN374" s="47"/>
      <c r="FO374" s="47"/>
      <c r="FP374" s="47"/>
      <c r="FQ374" s="47"/>
      <c r="FR374" s="47"/>
      <c r="FS374" s="47"/>
      <c r="FT374" s="47"/>
      <c r="FU374" s="47"/>
      <c r="FV374" s="47"/>
      <c r="FW374" s="47"/>
      <c r="FX374" s="47"/>
      <c r="FY374" s="47"/>
      <c r="FZ374" s="47"/>
      <c r="GA374" s="47"/>
      <c r="GB374" s="47"/>
      <c r="GC374" s="47"/>
      <c r="GD374" s="47"/>
      <c r="GE374" s="47"/>
    </row>
    <row r="375" spans="1:187" ht="10.5" customHeight="1">
      <c r="A375" s="43"/>
      <c r="B375" s="108"/>
      <c r="C375" s="108"/>
      <c r="D375" s="108"/>
      <c r="E375" s="108"/>
      <c r="F375" s="223"/>
      <c r="G375" s="223"/>
      <c r="H375" s="223"/>
      <c r="I375" s="223"/>
      <c r="J375" s="223"/>
      <c r="K375" s="223"/>
      <c r="L375" s="223"/>
      <c r="M375" s="223"/>
      <c r="N375" s="108"/>
      <c r="O375" s="108"/>
      <c r="P375" s="108"/>
      <c r="Q375" s="108"/>
      <c r="R375" s="108"/>
      <c r="S375" s="108"/>
      <c r="T375" s="43"/>
      <c r="U375" s="108"/>
      <c r="V375" s="108"/>
      <c r="W375" s="108"/>
      <c r="X375" s="108"/>
      <c r="Y375" s="108"/>
      <c r="Z375" s="108"/>
      <c r="AA375" s="43"/>
      <c r="AB375" s="108"/>
      <c r="AC375" s="108"/>
      <c r="AD375" s="108"/>
      <c r="AE375" s="108"/>
      <c r="AF375" s="108"/>
      <c r="AG375" s="108"/>
      <c r="AH375" s="43"/>
      <c r="AI375" s="108"/>
      <c r="AJ375" s="108"/>
      <c r="AK375" s="108"/>
      <c r="AL375" s="108"/>
      <c r="AM375" s="108"/>
      <c r="AN375" s="108"/>
      <c r="AO375" s="43"/>
      <c r="AP375" s="108"/>
      <c r="AQ375" s="108"/>
      <c r="AR375" s="108"/>
      <c r="AS375" s="108"/>
      <c r="AT375" s="108"/>
      <c r="AU375" s="108"/>
      <c r="AV375" s="43"/>
      <c r="AW375" s="108"/>
      <c r="AX375" s="108"/>
      <c r="AY375" s="108"/>
      <c r="AZ375" s="108"/>
      <c r="BA375" s="108"/>
      <c r="BB375" s="108"/>
      <c r="BC375" s="43"/>
      <c r="BD375" s="108"/>
      <c r="BE375" s="108"/>
      <c r="BF375" s="108"/>
      <c r="BG375" s="108"/>
      <c r="BH375" s="108"/>
      <c r="BI375" s="108"/>
      <c r="BJ375" s="43"/>
      <c r="BK375" s="108"/>
      <c r="BL375" s="108"/>
      <c r="BM375" s="108"/>
      <c r="BN375" s="108"/>
      <c r="BO375" s="108"/>
      <c r="BP375" s="108"/>
      <c r="BQ375" s="43"/>
      <c r="BR375" s="108"/>
      <c r="BS375" s="108"/>
      <c r="BT375" s="108"/>
      <c r="BU375" s="108"/>
      <c r="BV375" s="108"/>
      <c r="BW375" s="108"/>
      <c r="BX375" s="43"/>
      <c r="BY375" s="108"/>
      <c r="BZ375" s="108"/>
      <c r="CA375" s="108"/>
      <c r="CB375" s="108"/>
      <c r="CC375" s="108"/>
      <c r="CD375" s="108"/>
      <c r="CE375" s="43"/>
      <c r="CF375" s="108"/>
      <c r="CG375" s="108"/>
      <c r="CH375" s="108"/>
      <c r="CI375" s="108"/>
      <c r="CJ375" s="108"/>
      <c r="CK375" s="108"/>
      <c r="CL375" s="43"/>
      <c r="CM375" s="108"/>
      <c r="CN375" s="108"/>
      <c r="CO375" s="108"/>
      <c r="CP375" s="108"/>
      <c r="CQ375" s="108"/>
      <c r="CR375" s="108"/>
      <c r="CS375" s="43"/>
      <c r="CT375" s="108"/>
      <c r="CU375" s="108"/>
      <c r="CV375" s="108"/>
      <c r="CW375" s="108"/>
      <c r="CX375" s="108"/>
      <c r="CY375" s="108"/>
      <c r="CZ375" s="43"/>
      <c r="DA375" s="108"/>
      <c r="DB375" s="108"/>
      <c r="DC375" s="108"/>
      <c r="DD375" s="108"/>
      <c r="DE375" s="108"/>
      <c r="DF375" s="108"/>
      <c r="DG375" s="43"/>
      <c r="DH375" s="108"/>
      <c r="DI375" s="108"/>
      <c r="DJ375" s="108"/>
      <c r="DK375" s="108"/>
      <c r="DL375" s="108"/>
      <c r="DM375" s="108"/>
      <c r="DN375" s="43"/>
      <c r="DO375" s="108"/>
      <c r="DP375" s="108"/>
      <c r="DQ375" s="108"/>
      <c r="DR375" s="108"/>
      <c r="DS375" s="108"/>
      <c r="DT375" s="108"/>
      <c r="DU375" s="43"/>
      <c r="DV375" s="108"/>
      <c r="DW375" s="108"/>
      <c r="DX375" s="108"/>
      <c r="DY375" s="108"/>
      <c r="DZ375" s="108"/>
      <c r="EA375" s="108"/>
      <c r="EB375" s="43"/>
      <c r="EC375" s="108"/>
      <c r="ED375" s="108"/>
      <c r="EE375" s="108"/>
      <c r="EF375" s="108"/>
      <c r="EG375" s="108"/>
      <c r="EH375" s="108"/>
      <c r="EI375" s="43"/>
      <c r="EJ375" s="47"/>
      <c r="EK375" s="47"/>
      <c r="EL375" s="47"/>
      <c r="EM375" s="47"/>
      <c r="EN375" s="47"/>
      <c r="EO375" s="47"/>
      <c r="EP375" s="47"/>
      <c r="EQ375" s="47"/>
      <c r="ER375" s="47"/>
      <c r="ES375" s="47"/>
      <c r="ET375" s="47"/>
      <c r="EU375" s="47"/>
      <c r="EV375" s="47"/>
      <c r="EW375" s="47"/>
      <c r="EX375" s="47"/>
      <c r="EY375" s="47"/>
      <c r="EZ375" s="47"/>
      <c r="FA375" s="47"/>
      <c r="FB375" s="47"/>
      <c r="FC375" s="47"/>
      <c r="FD375" s="47"/>
      <c r="FE375" s="47"/>
      <c r="FF375" s="47"/>
      <c r="FG375" s="47"/>
      <c r="FH375" s="47"/>
      <c r="FI375" s="47"/>
      <c r="FJ375" s="47"/>
      <c r="FK375" s="47"/>
      <c r="FL375" s="47"/>
      <c r="FM375" s="47"/>
      <c r="FN375" s="47"/>
      <c r="FO375" s="47"/>
      <c r="FP375" s="47"/>
      <c r="FQ375" s="47"/>
      <c r="FR375" s="47"/>
      <c r="FS375" s="47"/>
      <c r="FT375" s="47"/>
      <c r="FU375" s="47"/>
      <c r="FV375" s="47"/>
      <c r="FW375" s="47"/>
      <c r="FX375" s="47"/>
      <c r="FY375" s="47"/>
      <c r="FZ375" s="47"/>
      <c r="GA375" s="47"/>
      <c r="GB375" s="47"/>
      <c r="GC375" s="47"/>
      <c r="GD375" s="47"/>
      <c r="GE375" s="47"/>
    </row>
    <row r="376" spans="1:187" ht="10.5" customHeight="1">
      <c r="A376" s="43"/>
      <c r="B376" s="108"/>
      <c r="C376" s="108"/>
      <c r="D376" s="108"/>
      <c r="E376" s="108"/>
      <c r="F376" s="223"/>
      <c r="G376" s="223"/>
      <c r="H376" s="223"/>
      <c r="I376" s="223"/>
      <c r="J376" s="223"/>
      <c r="K376" s="223"/>
      <c r="L376" s="223"/>
      <c r="M376" s="223"/>
      <c r="N376" s="108"/>
      <c r="O376" s="108"/>
      <c r="P376" s="108"/>
      <c r="Q376" s="108"/>
      <c r="R376" s="108"/>
      <c r="S376" s="108"/>
      <c r="T376" s="43"/>
      <c r="U376" s="108"/>
      <c r="V376" s="108"/>
      <c r="W376" s="108"/>
      <c r="X376" s="108"/>
      <c r="Y376" s="108"/>
      <c r="Z376" s="108"/>
      <c r="AA376" s="43"/>
      <c r="AB376" s="108"/>
      <c r="AC376" s="108"/>
      <c r="AD376" s="108"/>
      <c r="AE376" s="108"/>
      <c r="AF376" s="108"/>
      <c r="AG376" s="108"/>
      <c r="AH376" s="43"/>
      <c r="AI376" s="108"/>
      <c r="AJ376" s="108"/>
      <c r="AK376" s="108"/>
      <c r="AL376" s="108"/>
      <c r="AM376" s="108"/>
      <c r="AN376" s="108"/>
      <c r="AO376" s="43"/>
      <c r="AP376" s="108"/>
      <c r="AQ376" s="108"/>
      <c r="AR376" s="108"/>
      <c r="AS376" s="108"/>
      <c r="AT376" s="108"/>
      <c r="AU376" s="108"/>
      <c r="AV376" s="43"/>
      <c r="AW376" s="108"/>
      <c r="AX376" s="108"/>
      <c r="AY376" s="108"/>
      <c r="AZ376" s="108"/>
      <c r="BA376" s="108"/>
      <c r="BB376" s="108"/>
      <c r="BC376" s="43"/>
      <c r="BD376" s="108"/>
      <c r="BE376" s="108"/>
      <c r="BF376" s="108"/>
      <c r="BG376" s="108"/>
      <c r="BH376" s="108"/>
      <c r="BI376" s="108"/>
      <c r="BJ376" s="43"/>
      <c r="BK376" s="108"/>
      <c r="BL376" s="108"/>
      <c r="BM376" s="108"/>
      <c r="BN376" s="108"/>
      <c r="BO376" s="108"/>
      <c r="BP376" s="108"/>
      <c r="BQ376" s="43"/>
      <c r="BR376" s="108"/>
      <c r="BS376" s="108"/>
      <c r="BT376" s="108"/>
      <c r="BU376" s="108"/>
      <c r="BV376" s="108"/>
      <c r="BW376" s="108"/>
      <c r="BX376" s="43"/>
      <c r="BY376" s="108"/>
      <c r="BZ376" s="108"/>
      <c r="CA376" s="108"/>
      <c r="CB376" s="108"/>
      <c r="CC376" s="108"/>
      <c r="CD376" s="108"/>
      <c r="CE376" s="43"/>
      <c r="CF376" s="108"/>
      <c r="CG376" s="108"/>
      <c r="CH376" s="108"/>
      <c r="CI376" s="108"/>
      <c r="CJ376" s="108"/>
      <c r="CK376" s="108"/>
      <c r="CL376" s="43"/>
      <c r="CM376" s="108"/>
      <c r="CN376" s="108"/>
      <c r="CO376" s="108"/>
      <c r="CP376" s="108"/>
      <c r="CQ376" s="108"/>
      <c r="CR376" s="108"/>
      <c r="CS376" s="43"/>
      <c r="CT376" s="108"/>
      <c r="CU376" s="108"/>
      <c r="CV376" s="108"/>
      <c r="CW376" s="108"/>
      <c r="CX376" s="108"/>
      <c r="CY376" s="108"/>
      <c r="CZ376" s="43"/>
      <c r="DA376" s="108"/>
      <c r="DB376" s="108"/>
      <c r="DC376" s="108"/>
      <c r="DD376" s="108"/>
      <c r="DE376" s="108"/>
      <c r="DF376" s="108"/>
      <c r="DG376" s="43"/>
      <c r="DH376" s="108"/>
      <c r="DI376" s="108"/>
      <c r="DJ376" s="108"/>
      <c r="DK376" s="108"/>
      <c r="DL376" s="108"/>
      <c r="DM376" s="108"/>
      <c r="DN376" s="43"/>
      <c r="DO376" s="108"/>
      <c r="DP376" s="108"/>
      <c r="DQ376" s="108"/>
      <c r="DR376" s="108"/>
      <c r="DS376" s="108"/>
      <c r="DT376" s="108"/>
      <c r="DU376" s="43"/>
      <c r="DV376" s="108"/>
      <c r="DW376" s="108"/>
      <c r="DX376" s="108"/>
      <c r="DY376" s="108"/>
      <c r="DZ376" s="108"/>
      <c r="EA376" s="108"/>
      <c r="EB376" s="43"/>
      <c r="EC376" s="108"/>
      <c r="ED376" s="108"/>
      <c r="EE376" s="108"/>
      <c r="EF376" s="108"/>
      <c r="EG376" s="108"/>
      <c r="EH376" s="108"/>
      <c r="EI376" s="43"/>
      <c r="EJ376" s="47"/>
      <c r="EK376" s="47"/>
      <c r="EL376" s="47"/>
      <c r="EM376" s="47"/>
      <c r="EN376" s="47"/>
      <c r="EO376" s="47"/>
      <c r="EP376" s="47"/>
      <c r="EQ376" s="47"/>
      <c r="ER376" s="47"/>
      <c r="ES376" s="47"/>
      <c r="ET376" s="47"/>
      <c r="EU376" s="47"/>
      <c r="EV376" s="47"/>
      <c r="EW376" s="47"/>
      <c r="EX376" s="47"/>
      <c r="EY376" s="47"/>
      <c r="EZ376" s="47"/>
      <c r="FA376" s="47"/>
      <c r="FB376" s="47"/>
      <c r="FC376" s="47"/>
      <c r="FD376" s="47"/>
      <c r="FE376" s="47"/>
      <c r="FF376" s="47"/>
      <c r="FG376" s="47"/>
      <c r="FH376" s="47"/>
      <c r="FI376" s="47"/>
      <c r="FJ376" s="47"/>
      <c r="FK376" s="47"/>
      <c r="FL376" s="47"/>
      <c r="FM376" s="47"/>
      <c r="FN376" s="47"/>
      <c r="FO376" s="47"/>
      <c r="FP376" s="47"/>
      <c r="FQ376" s="47"/>
      <c r="FR376" s="47"/>
      <c r="FS376" s="47"/>
      <c r="FT376" s="47"/>
      <c r="FU376" s="47"/>
      <c r="FV376" s="47"/>
      <c r="FW376" s="47"/>
      <c r="FX376" s="47"/>
      <c r="FY376" s="47"/>
      <c r="FZ376" s="47"/>
      <c r="GA376" s="47"/>
      <c r="GB376" s="47"/>
      <c r="GC376" s="47"/>
      <c r="GD376" s="47"/>
      <c r="GE376" s="47"/>
    </row>
    <row r="377" spans="1:187" ht="10.5" customHeight="1">
      <c r="A377" s="43"/>
      <c r="B377" s="108"/>
      <c r="C377" s="108"/>
      <c r="D377" s="108"/>
      <c r="E377" s="108"/>
      <c r="F377" s="223"/>
      <c r="G377" s="223"/>
      <c r="H377" s="223"/>
      <c r="I377" s="223"/>
      <c r="J377" s="223"/>
      <c r="K377" s="223"/>
      <c r="L377" s="223"/>
      <c r="M377" s="223"/>
      <c r="N377" s="108"/>
      <c r="O377" s="108"/>
      <c r="P377" s="108"/>
      <c r="Q377" s="108"/>
      <c r="R377" s="108"/>
      <c r="S377" s="108"/>
      <c r="T377" s="43"/>
      <c r="U377" s="108"/>
      <c r="V377" s="108"/>
      <c r="W377" s="108"/>
      <c r="X377" s="108"/>
      <c r="Y377" s="108"/>
      <c r="Z377" s="108"/>
      <c r="AA377" s="43"/>
      <c r="AB377" s="108"/>
      <c r="AC377" s="108"/>
      <c r="AD377" s="108"/>
      <c r="AE377" s="108"/>
      <c r="AF377" s="108"/>
      <c r="AG377" s="108"/>
      <c r="AH377" s="43"/>
      <c r="AI377" s="108"/>
      <c r="AJ377" s="108"/>
      <c r="AK377" s="108"/>
      <c r="AL377" s="108"/>
      <c r="AM377" s="108"/>
      <c r="AN377" s="108"/>
      <c r="AO377" s="43"/>
      <c r="AP377" s="108"/>
      <c r="AQ377" s="108"/>
      <c r="AR377" s="108"/>
      <c r="AS377" s="108"/>
      <c r="AT377" s="108"/>
      <c r="AU377" s="108"/>
      <c r="AV377" s="43"/>
      <c r="AW377" s="108"/>
      <c r="AX377" s="108"/>
      <c r="AY377" s="108"/>
      <c r="AZ377" s="108"/>
      <c r="BA377" s="108"/>
      <c r="BB377" s="108"/>
      <c r="BC377" s="43"/>
      <c r="BD377" s="108"/>
      <c r="BE377" s="108"/>
      <c r="BF377" s="108"/>
      <c r="BG377" s="108"/>
      <c r="BH377" s="108"/>
      <c r="BI377" s="108"/>
      <c r="BJ377" s="43"/>
      <c r="BK377" s="108"/>
      <c r="BL377" s="108"/>
      <c r="BM377" s="108"/>
      <c r="BN377" s="108"/>
      <c r="BO377" s="108"/>
      <c r="BP377" s="108"/>
      <c r="BQ377" s="43"/>
      <c r="BR377" s="108"/>
      <c r="BS377" s="108"/>
      <c r="BT377" s="108"/>
      <c r="BU377" s="108"/>
      <c r="BV377" s="108"/>
      <c r="BW377" s="108"/>
      <c r="BX377" s="43"/>
      <c r="BY377" s="108"/>
      <c r="BZ377" s="108"/>
      <c r="CA377" s="108"/>
      <c r="CB377" s="108"/>
      <c r="CC377" s="108"/>
      <c r="CD377" s="108"/>
      <c r="CE377" s="43"/>
      <c r="CF377" s="108"/>
      <c r="CG377" s="108"/>
      <c r="CH377" s="108"/>
      <c r="CI377" s="108"/>
      <c r="CJ377" s="108"/>
      <c r="CK377" s="108"/>
      <c r="CL377" s="43"/>
      <c r="CM377" s="108"/>
      <c r="CN377" s="108"/>
      <c r="CO377" s="108"/>
      <c r="CP377" s="108"/>
      <c r="CQ377" s="108"/>
      <c r="CR377" s="108"/>
      <c r="CS377" s="43"/>
      <c r="CT377" s="108"/>
      <c r="CU377" s="108"/>
      <c r="CV377" s="108"/>
      <c r="CW377" s="108"/>
      <c r="CX377" s="108"/>
      <c r="CY377" s="108"/>
      <c r="CZ377" s="43"/>
      <c r="DA377" s="108"/>
      <c r="DB377" s="108"/>
      <c r="DC377" s="108"/>
      <c r="DD377" s="108"/>
      <c r="DE377" s="108"/>
      <c r="DF377" s="108"/>
      <c r="DG377" s="43"/>
      <c r="DH377" s="108"/>
      <c r="DI377" s="108"/>
      <c r="DJ377" s="108"/>
      <c r="DK377" s="108"/>
      <c r="DL377" s="108"/>
      <c r="DM377" s="108"/>
      <c r="DN377" s="43"/>
      <c r="DO377" s="108"/>
      <c r="DP377" s="108"/>
      <c r="DQ377" s="108"/>
      <c r="DR377" s="108"/>
      <c r="DS377" s="108"/>
      <c r="DT377" s="108"/>
      <c r="DU377" s="43"/>
      <c r="DV377" s="108"/>
      <c r="DW377" s="108"/>
      <c r="DX377" s="108"/>
      <c r="DY377" s="108"/>
      <c r="DZ377" s="108"/>
      <c r="EA377" s="108"/>
      <c r="EB377" s="43"/>
      <c r="EC377" s="108"/>
      <c r="ED377" s="108"/>
      <c r="EE377" s="108"/>
      <c r="EF377" s="108"/>
      <c r="EG377" s="108"/>
      <c r="EH377" s="108"/>
      <c r="EI377" s="43"/>
      <c r="EJ377" s="47"/>
      <c r="EK377" s="47"/>
      <c r="EL377" s="47"/>
      <c r="EM377" s="47"/>
      <c r="EN377" s="47"/>
      <c r="EO377" s="47"/>
      <c r="EP377" s="47"/>
      <c r="EQ377" s="47"/>
      <c r="ER377" s="47"/>
      <c r="ES377" s="47"/>
      <c r="ET377" s="47"/>
      <c r="EU377" s="47"/>
      <c r="EV377" s="47"/>
      <c r="EW377" s="47"/>
      <c r="EX377" s="47"/>
      <c r="EY377" s="47"/>
      <c r="EZ377" s="47"/>
      <c r="FA377" s="47"/>
      <c r="FB377" s="47"/>
      <c r="FC377" s="47"/>
      <c r="FD377" s="47"/>
      <c r="FE377" s="47"/>
      <c r="FF377" s="47"/>
      <c r="FG377" s="47"/>
      <c r="FH377" s="47"/>
      <c r="FI377" s="47"/>
      <c r="FJ377" s="47"/>
      <c r="FK377" s="47"/>
      <c r="FL377" s="47"/>
      <c r="FM377" s="47"/>
      <c r="FN377" s="47"/>
      <c r="FO377" s="47"/>
      <c r="FP377" s="47"/>
      <c r="FQ377" s="47"/>
      <c r="FR377" s="47"/>
      <c r="FS377" s="47"/>
      <c r="FT377" s="47"/>
      <c r="FU377" s="47"/>
      <c r="FV377" s="47"/>
      <c r="FW377" s="47"/>
      <c r="FX377" s="47"/>
      <c r="FY377" s="47"/>
      <c r="FZ377" s="47"/>
      <c r="GA377" s="47"/>
      <c r="GB377" s="47"/>
      <c r="GC377" s="47"/>
      <c r="GD377" s="47"/>
      <c r="GE377" s="47"/>
    </row>
    <row r="378" spans="1:187" ht="10.5" customHeight="1">
      <c r="A378" s="43"/>
      <c r="B378" s="108"/>
      <c r="C378" s="108"/>
      <c r="D378" s="108"/>
      <c r="E378" s="108"/>
      <c r="F378" s="223"/>
      <c r="G378" s="223"/>
      <c r="H378" s="223"/>
      <c r="I378" s="223"/>
      <c r="J378" s="223"/>
      <c r="K378" s="223"/>
      <c r="L378" s="223"/>
      <c r="M378" s="223"/>
      <c r="N378" s="108"/>
      <c r="O378" s="108"/>
      <c r="P378" s="108"/>
      <c r="Q378" s="108"/>
      <c r="R378" s="108"/>
      <c r="S378" s="108"/>
      <c r="T378" s="43"/>
      <c r="U378" s="108"/>
      <c r="V378" s="108"/>
      <c r="W378" s="108"/>
      <c r="X378" s="108"/>
      <c r="Y378" s="108"/>
      <c r="Z378" s="108"/>
      <c r="AA378" s="43"/>
      <c r="AB378" s="108"/>
      <c r="AC378" s="108"/>
      <c r="AD378" s="108"/>
      <c r="AE378" s="108"/>
      <c r="AF378" s="108"/>
      <c r="AG378" s="108"/>
      <c r="AH378" s="43"/>
      <c r="AI378" s="108"/>
      <c r="AJ378" s="108"/>
      <c r="AK378" s="108"/>
      <c r="AL378" s="108"/>
      <c r="AM378" s="108"/>
      <c r="AN378" s="108"/>
      <c r="AO378" s="43"/>
      <c r="AP378" s="108"/>
      <c r="AQ378" s="108"/>
      <c r="AR378" s="108"/>
      <c r="AS378" s="108"/>
      <c r="AT378" s="108"/>
      <c r="AU378" s="108"/>
      <c r="AV378" s="43"/>
      <c r="AW378" s="108"/>
      <c r="AX378" s="108"/>
      <c r="AY378" s="108"/>
      <c r="AZ378" s="108"/>
      <c r="BA378" s="108"/>
      <c r="BB378" s="108"/>
      <c r="BC378" s="43"/>
      <c r="BD378" s="108"/>
      <c r="BE378" s="108"/>
      <c r="BF378" s="108"/>
      <c r="BG378" s="108"/>
      <c r="BH378" s="108"/>
      <c r="BI378" s="108"/>
      <c r="BJ378" s="43"/>
      <c r="BK378" s="108"/>
      <c r="BL378" s="108"/>
      <c r="BM378" s="108"/>
      <c r="BN378" s="108"/>
      <c r="BO378" s="108"/>
      <c r="BP378" s="108"/>
      <c r="BQ378" s="43"/>
      <c r="BR378" s="108"/>
      <c r="BS378" s="108"/>
      <c r="BT378" s="108"/>
      <c r="BU378" s="108"/>
      <c r="BV378" s="108"/>
      <c r="BW378" s="108"/>
      <c r="BX378" s="43"/>
      <c r="BY378" s="108"/>
      <c r="BZ378" s="108"/>
      <c r="CA378" s="108"/>
      <c r="CB378" s="108"/>
      <c r="CC378" s="108"/>
      <c r="CD378" s="108"/>
      <c r="CE378" s="43"/>
      <c r="CF378" s="108"/>
      <c r="CG378" s="108"/>
      <c r="CH378" s="108"/>
      <c r="CI378" s="108"/>
      <c r="CJ378" s="108"/>
      <c r="CK378" s="108"/>
      <c r="CL378" s="43"/>
      <c r="CM378" s="108"/>
      <c r="CN378" s="108"/>
      <c r="CO378" s="108"/>
      <c r="CP378" s="108"/>
      <c r="CQ378" s="108"/>
      <c r="CR378" s="108"/>
      <c r="CS378" s="43"/>
      <c r="CT378" s="108"/>
      <c r="CU378" s="108"/>
      <c r="CV378" s="108"/>
      <c r="CW378" s="108"/>
      <c r="CX378" s="108"/>
      <c r="CY378" s="108"/>
      <c r="CZ378" s="43"/>
      <c r="DA378" s="108"/>
      <c r="DB378" s="108"/>
      <c r="DC378" s="108"/>
      <c r="DD378" s="108"/>
      <c r="DE378" s="108"/>
      <c r="DF378" s="108"/>
      <c r="DG378" s="43"/>
      <c r="DH378" s="108"/>
      <c r="DI378" s="108"/>
      <c r="DJ378" s="108"/>
      <c r="DK378" s="108"/>
      <c r="DL378" s="108"/>
      <c r="DM378" s="108"/>
      <c r="DN378" s="43"/>
      <c r="DO378" s="108"/>
      <c r="DP378" s="108"/>
      <c r="DQ378" s="108"/>
      <c r="DR378" s="108"/>
      <c r="DS378" s="108"/>
      <c r="DT378" s="108"/>
      <c r="DU378" s="43"/>
      <c r="DV378" s="108"/>
      <c r="DW378" s="108"/>
      <c r="DX378" s="108"/>
      <c r="DY378" s="108"/>
      <c r="DZ378" s="108"/>
      <c r="EA378" s="108"/>
      <c r="EB378" s="43"/>
      <c r="EC378" s="108"/>
      <c r="ED378" s="108"/>
      <c r="EE378" s="108"/>
      <c r="EF378" s="108"/>
      <c r="EG378" s="108"/>
      <c r="EH378" s="108"/>
      <c r="EI378" s="43"/>
      <c r="EJ378" s="47"/>
      <c r="EK378" s="47"/>
      <c r="EL378" s="47"/>
      <c r="EM378" s="47"/>
      <c r="EN378" s="47"/>
      <c r="EO378" s="47"/>
      <c r="EP378" s="47"/>
      <c r="EQ378" s="47"/>
      <c r="ER378" s="47"/>
      <c r="ES378" s="47"/>
      <c r="ET378" s="47"/>
      <c r="EU378" s="47"/>
      <c r="EV378" s="47"/>
      <c r="EW378" s="47"/>
      <c r="EX378" s="47"/>
      <c r="EY378" s="47"/>
      <c r="EZ378" s="47"/>
      <c r="FA378" s="47"/>
      <c r="FB378" s="47"/>
      <c r="FC378" s="47"/>
      <c r="FD378" s="47"/>
      <c r="FE378" s="47"/>
      <c r="FF378" s="47"/>
      <c r="FG378" s="47"/>
      <c r="FH378" s="47"/>
      <c r="FI378" s="47"/>
      <c r="FJ378" s="47"/>
      <c r="FK378" s="47"/>
      <c r="FL378" s="47"/>
      <c r="FM378" s="47"/>
      <c r="FN378" s="47"/>
      <c r="FO378" s="47"/>
      <c r="FP378" s="47"/>
      <c r="FQ378" s="47"/>
      <c r="FR378" s="47"/>
      <c r="FS378" s="47"/>
      <c r="FT378" s="47"/>
      <c r="FU378" s="47"/>
      <c r="FV378" s="47"/>
      <c r="FW378" s="47"/>
      <c r="FX378" s="47"/>
      <c r="FY378" s="47"/>
      <c r="FZ378" s="47"/>
      <c r="GA378" s="47"/>
      <c r="GB378" s="47"/>
      <c r="GC378" s="47"/>
      <c r="GD378" s="47"/>
      <c r="GE378" s="47"/>
    </row>
    <row r="379" spans="1:187" ht="10.5" customHeight="1">
      <c r="A379" s="43"/>
      <c r="B379" s="108"/>
      <c r="C379" s="108"/>
      <c r="D379" s="108"/>
      <c r="E379" s="223"/>
      <c r="F379" s="223"/>
      <c r="G379" s="223"/>
      <c r="H379" s="223"/>
      <c r="I379" s="223"/>
      <c r="J379" s="223"/>
      <c r="K379" s="223"/>
      <c r="L379" s="223"/>
      <c r="M379" s="223"/>
      <c r="N379" s="108"/>
      <c r="O379" s="108"/>
      <c r="P379" s="108"/>
      <c r="Q379" s="108"/>
      <c r="R379" s="108"/>
      <c r="S379" s="108"/>
      <c r="T379" s="43"/>
      <c r="U379" s="108"/>
      <c r="V379" s="108"/>
      <c r="W379" s="108"/>
      <c r="X379" s="108"/>
      <c r="Y379" s="108"/>
      <c r="Z379" s="108"/>
      <c r="AA379" s="43"/>
      <c r="AB379" s="108"/>
      <c r="AC379" s="108"/>
      <c r="AD379" s="108"/>
      <c r="AE379" s="108"/>
      <c r="AF379" s="108"/>
      <c r="AG379" s="108"/>
      <c r="AH379" s="43"/>
      <c r="AI379" s="108"/>
      <c r="AJ379" s="108"/>
      <c r="AK379" s="108"/>
      <c r="AL379" s="108"/>
      <c r="AM379" s="108"/>
      <c r="AN379" s="108"/>
      <c r="AO379" s="43"/>
      <c r="AP379" s="108"/>
      <c r="AQ379" s="108"/>
      <c r="AR379" s="108"/>
      <c r="AS379" s="108"/>
      <c r="AT379" s="108"/>
      <c r="AU379" s="108"/>
      <c r="AV379" s="43"/>
      <c r="AW379" s="108"/>
      <c r="AX379" s="108"/>
      <c r="AY379" s="108"/>
      <c r="AZ379" s="108"/>
      <c r="BA379" s="108"/>
      <c r="BB379" s="108"/>
      <c r="BC379" s="43"/>
      <c r="BD379" s="108"/>
      <c r="BE379" s="108"/>
      <c r="BF379" s="108"/>
      <c r="BG379" s="108"/>
      <c r="BH379" s="108"/>
      <c r="BI379" s="108"/>
      <c r="BJ379" s="43"/>
      <c r="BK379" s="108"/>
      <c r="BL379" s="108"/>
      <c r="BM379" s="108"/>
      <c r="BN379" s="108"/>
      <c r="BO379" s="108"/>
      <c r="BP379" s="108"/>
      <c r="BQ379" s="43"/>
      <c r="BR379" s="108"/>
      <c r="BS379" s="108"/>
      <c r="BT379" s="108"/>
      <c r="BU379" s="108"/>
      <c r="BV379" s="108"/>
      <c r="BW379" s="108"/>
      <c r="BX379" s="43"/>
      <c r="BY379" s="108"/>
      <c r="BZ379" s="108"/>
      <c r="CA379" s="108"/>
      <c r="CB379" s="108"/>
      <c r="CC379" s="108"/>
      <c r="CD379" s="108"/>
      <c r="CE379" s="43"/>
      <c r="CF379" s="108"/>
      <c r="CG379" s="108"/>
      <c r="CH379" s="108"/>
      <c r="CI379" s="108"/>
      <c r="CJ379" s="108"/>
      <c r="CK379" s="108"/>
      <c r="CL379" s="43"/>
      <c r="CM379" s="108"/>
      <c r="CN379" s="108"/>
      <c r="CO379" s="108"/>
      <c r="CP379" s="108"/>
      <c r="CQ379" s="108"/>
      <c r="CR379" s="108"/>
      <c r="CS379" s="43"/>
      <c r="CT379" s="108"/>
      <c r="CU379" s="108"/>
      <c r="CV379" s="108"/>
      <c r="CW379" s="108"/>
      <c r="CX379" s="108"/>
      <c r="CY379" s="108"/>
      <c r="CZ379" s="43"/>
      <c r="DA379" s="108"/>
      <c r="DB379" s="108"/>
      <c r="DC379" s="108"/>
      <c r="DD379" s="108"/>
      <c r="DE379" s="108"/>
      <c r="DF379" s="108"/>
      <c r="DG379" s="43"/>
      <c r="DH379" s="108"/>
      <c r="DI379" s="108"/>
      <c r="DJ379" s="108"/>
      <c r="DK379" s="108"/>
      <c r="DL379" s="108"/>
      <c r="DM379" s="108"/>
      <c r="DN379" s="43"/>
      <c r="DO379" s="108"/>
      <c r="DP379" s="108"/>
      <c r="DQ379" s="108"/>
      <c r="DR379" s="108"/>
      <c r="DS379" s="108"/>
      <c r="DT379" s="108"/>
      <c r="DU379" s="43"/>
      <c r="DV379" s="108"/>
      <c r="DW379" s="108"/>
      <c r="DX379" s="108"/>
      <c r="DY379" s="108"/>
      <c r="DZ379" s="108"/>
      <c r="EA379" s="108"/>
      <c r="EB379" s="43"/>
      <c r="EC379" s="108"/>
      <c r="ED379" s="108"/>
      <c r="EE379" s="108"/>
      <c r="EF379" s="108"/>
      <c r="EG379" s="108"/>
      <c r="EH379" s="108"/>
      <c r="EI379" s="43"/>
      <c r="EJ379" s="47"/>
      <c r="EK379" s="47"/>
      <c r="EL379" s="47"/>
      <c r="EM379" s="47"/>
      <c r="EN379" s="47"/>
      <c r="EO379" s="47"/>
      <c r="EP379" s="47"/>
      <c r="EQ379" s="47"/>
      <c r="ER379" s="47"/>
      <c r="ES379" s="47"/>
      <c r="ET379" s="47"/>
      <c r="EU379" s="47"/>
      <c r="EV379" s="47"/>
      <c r="EW379" s="47"/>
      <c r="EX379" s="47"/>
      <c r="EY379" s="47"/>
      <c r="EZ379" s="47"/>
      <c r="FA379" s="47"/>
      <c r="FB379" s="47"/>
      <c r="FC379" s="47"/>
      <c r="FD379" s="47"/>
      <c r="FE379" s="47"/>
      <c r="FF379" s="47"/>
      <c r="FG379" s="47"/>
      <c r="FH379" s="47"/>
      <c r="FI379" s="47"/>
      <c r="FJ379" s="47"/>
      <c r="FK379" s="47"/>
      <c r="FL379" s="47"/>
      <c r="FM379" s="47"/>
      <c r="FN379" s="47"/>
      <c r="FO379" s="47"/>
      <c r="FP379" s="47"/>
      <c r="FQ379" s="47"/>
      <c r="FR379" s="47"/>
      <c r="FS379" s="47"/>
      <c r="FT379" s="47"/>
      <c r="FU379" s="47"/>
      <c r="FV379" s="47"/>
      <c r="FW379" s="47"/>
      <c r="FX379" s="47"/>
      <c r="FY379" s="47"/>
      <c r="FZ379" s="47"/>
      <c r="GA379" s="47"/>
      <c r="GB379" s="47"/>
      <c r="GC379" s="47"/>
      <c r="GD379" s="47"/>
      <c r="GE379" s="47"/>
    </row>
    <row r="380" spans="1:187" ht="10.5" customHeight="1">
      <c r="A380" s="43"/>
      <c r="B380" s="108"/>
      <c r="C380" s="108"/>
      <c r="D380" s="108"/>
      <c r="E380" s="223"/>
      <c r="F380" s="223"/>
      <c r="G380" s="223"/>
      <c r="H380" s="223"/>
      <c r="I380" s="223"/>
      <c r="J380" s="223"/>
      <c r="K380" s="223"/>
      <c r="L380" s="223"/>
      <c r="M380" s="223"/>
      <c r="N380" s="108"/>
      <c r="O380" s="108"/>
      <c r="P380" s="108"/>
      <c r="Q380" s="108"/>
      <c r="R380" s="108"/>
      <c r="S380" s="108"/>
      <c r="T380" s="43"/>
      <c r="U380" s="108"/>
      <c r="V380" s="108"/>
      <c r="W380" s="108"/>
      <c r="X380" s="108"/>
      <c r="Y380" s="108"/>
      <c r="Z380" s="108"/>
      <c r="AA380" s="43"/>
      <c r="AB380" s="108"/>
      <c r="AC380" s="108"/>
      <c r="AD380" s="108"/>
      <c r="AE380" s="108"/>
      <c r="AF380" s="108"/>
      <c r="AG380" s="108"/>
      <c r="AH380" s="43"/>
      <c r="AI380" s="108"/>
      <c r="AJ380" s="108"/>
      <c r="AK380" s="108"/>
      <c r="AL380" s="108"/>
      <c r="AM380" s="108"/>
      <c r="AN380" s="108"/>
      <c r="AO380" s="43"/>
      <c r="AP380" s="108"/>
      <c r="AQ380" s="108"/>
      <c r="AR380" s="108"/>
      <c r="AS380" s="108"/>
      <c r="AT380" s="108"/>
      <c r="AU380" s="108"/>
      <c r="AV380" s="43"/>
      <c r="AW380" s="108"/>
      <c r="AX380" s="108"/>
      <c r="AY380" s="108"/>
      <c r="AZ380" s="108"/>
      <c r="BA380" s="108"/>
      <c r="BB380" s="108"/>
      <c r="BC380" s="43"/>
      <c r="BD380" s="108"/>
      <c r="BE380" s="108"/>
      <c r="BF380" s="108"/>
      <c r="BG380" s="108"/>
      <c r="BH380" s="108"/>
      <c r="BI380" s="108"/>
      <c r="BJ380" s="43"/>
      <c r="BK380" s="108"/>
      <c r="BL380" s="108"/>
      <c r="BM380" s="108"/>
      <c r="BN380" s="108"/>
      <c r="BO380" s="108"/>
      <c r="BP380" s="108"/>
      <c r="BQ380" s="43"/>
      <c r="BR380" s="108"/>
      <c r="BS380" s="108"/>
      <c r="BT380" s="108"/>
      <c r="BU380" s="108"/>
      <c r="BV380" s="108"/>
      <c r="BW380" s="108"/>
      <c r="BX380" s="43"/>
      <c r="BY380" s="108"/>
      <c r="BZ380" s="108"/>
      <c r="CA380" s="108"/>
      <c r="CB380" s="108"/>
      <c r="CC380" s="108"/>
      <c r="CD380" s="108"/>
      <c r="CE380" s="43"/>
      <c r="CF380" s="108"/>
      <c r="CG380" s="108"/>
      <c r="CH380" s="108"/>
      <c r="CI380" s="108"/>
      <c r="CJ380" s="108"/>
      <c r="CK380" s="108"/>
      <c r="CL380" s="43"/>
      <c r="CM380" s="108"/>
      <c r="CN380" s="108"/>
      <c r="CO380" s="108"/>
      <c r="CP380" s="108"/>
      <c r="CQ380" s="108"/>
      <c r="CR380" s="108"/>
      <c r="CS380" s="43"/>
      <c r="CT380" s="108"/>
      <c r="CU380" s="108"/>
      <c r="CV380" s="108"/>
      <c r="CW380" s="108"/>
      <c r="CX380" s="108"/>
      <c r="CY380" s="108"/>
      <c r="CZ380" s="43"/>
      <c r="DA380" s="108"/>
      <c r="DB380" s="108"/>
      <c r="DC380" s="108"/>
      <c r="DD380" s="108"/>
      <c r="DE380" s="108"/>
      <c r="DF380" s="108"/>
      <c r="DG380" s="43"/>
      <c r="DH380" s="108"/>
      <c r="DI380" s="108"/>
      <c r="DJ380" s="108"/>
      <c r="DK380" s="108"/>
      <c r="DL380" s="108"/>
      <c r="DM380" s="108"/>
      <c r="DN380" s="43"/>
      <c r="DO380" s="108"/>
      <c r="DP380" s="108"/>
      <c r="DQ380" s="108"/>
      <c r="DR380" s="108"/>
      <c r="DS380" s="108"/>
      <c r="DT380" s="108"/>
      <c r="DU380" s="43"/>
      <c r="DV380" s="108"/>
      <c r="DW380" s="108"/>
      <c r="DX380" s="108"/>
      <c r="DY380" s="108"/>
      <c r="DZ380" s="108"/>
      <c r="EA380" s="108"/>
      <c r="EB380" s="43"/>
      <c r="EC380" s="108"/>
      <c r="ED380" s="108"/>
      <c r="EE380" s="108"/>
      <c r="EF380" s="108"/>
      <c r="EG380" s="108"/>
      <c r="EH380" s="108"/>
      <c r="EI380" s="43"/>
      <c r="EJ380" s="47"/>
      <c r="EK380" s="47"/>
      <c r="EL380" s="47"/>
      <c r="EM380" s="47"/>
      <c r="EN380" s="47"/>
      <c r="EO380" s="47"/>
      <c r="EP380" s="47"/>
      <c r="EQ380" s="47"/>
      <c r="ER380" s="47"/>
      <c r="ES380" s="47"/>
      <c r="ET380" s="47"/>
      <c r="EU380" s="47"/>
      <c r="EV380" s="47"/>
      <c r="EW380" s="47"/>
      <c r="EX380" s="47"/>
      <c r="EY380" s="47"/>
      <c r="EZ380" s="47"/>
      <c r="FA380" s="47"/>
      <c r="FB380" s="47"/>
      <c r="FC380" s="47"/>
      <c r="FD380" s="47"/>
      <c r="FE380" s="47"/>
      <c r="FF380" s="47"/>
      <c r="FG380" s="47"/>
      <c r="FH380" s="47"/>
      <c r="FI380" s="47"/>
      <c r="FJ380" s="47"/>
      <c r="FK380" s="47"/>
      <c r="FL380" s="47"/>
      <c r="FM380" s="47"/>
      <c r="FN380" s="47"/>
      <c r="FO380" s="47"/>
      <c r="FP380" s="47"/>
      <c r="FQ380" s="47"/>
      <c r="FR380" s="47"/>
      <c r="FS380" s="47"/>
      <c r="FT380" s="47"/>
      <c r="FU380" s="47"/>
      <c r="FV380" s="47"/>
      <c r="FW380" s="47"/>
      <c r="FX380" s="47"/>
      <c r="FY380" s="47"/>
      <c r="FZ380" s="47"/>
      <c r="GA380" s="47"/>
      <c r="GB380" s="47"/>
      <c r="GC380" s="47"/>
      <c r="GD380" s="47"/>
      <c r="GE380" s="47"/>
    </row>
    <row r="381" spans="1:187" ht="10.5" customHeight="1">
      <c r="A381" s="43"/>
      <c r="B381" s="108"/>
      <c r="C381" s="108"/>
      <c r="D381" s="108"/>
      <c r="E381" s="223"/>
      <c r="F381" s="223"/>
      <c r="G381" s="223"/>
      <c r="H381" s="223"/>
      <c r="I381" s="223"/>
      <c r="J381" s="223"/>
      <c r="K381" s="223"/>
      <c r="L381" s="223"/>
      <c r="M381" s="223"/>
      <c r="N381" s="108"/>
      <c r="O381" s="108"/>
      <c r="P381" s="108"/>
      <c r="Q381" s="108"/>
      <c r="R381" s="108"/>
      <c r="S381" s="108"/>
      <c r="T381" s="43"/>
      <c r="U381" s="108"/>
      <c r="V381" s="108"/>
      <c r="W381" s="108"/>
      <c r="X381" s="108"/>
      <c r="Y381" s="108"/>
      <c r="Z381" s="108"/>
      <c r="AA381" s="43"/>
      <c r="AB381" s="108"/>
      <c r="AC381" s="108"/>
      <c r="AD381" s="108"/>
      <c r="AE381" s="108"/>
      <c r="AF381" s="108"/>
      <c r="AG381" s="108"/>
      <c r="AH381" s="43"/>
      <c r="AI381" s="108"/>
      <c r="AJ381" s="108"/>
      <c r="AK381" s="108"/>
      <c r="AL381" s="108"/>
      <c r="AM381" s="108"/>
      <c r="AN381" s="108"/>
      <c r="AO381" s="43"/>
      <c r="AP381" s="108"/>
      <c r="AQ381" s="108"/>
      <c r="AR381" s="108"/>
      <c r="AS381" s="108"/>
      <c r="AT381" s="108"/>
      <c r="AU381" s="108"/>
      <c r="AV381" s="43"/>
      <c r="AW381" s="108"/>
      <c r="AX381" s="108"/>
      <c r="AY381" s="108"/>
      <c r="AZ381" s="108"/>
      <c r="BA381" s="108"/>
      <c r="BB381" s="108"/>
      <c r="BC381" s="43"/>
      <c r="BD381" s="108"/>
      <c r="BE381" s="108"/>
      <c r="BF381" s="108"/>
      <c r="BG381" s="108"/>
      <c r="BH381" s="108"/>
      <c r="BI381" s="108"/>
      <c r="BJ381" s="43"/>
      <c r="BK381" s="108"/>
      <c r="BL381" s="108"/>
      <c r="BM381" s="108"/>
      <c r="BN381" s="108"/>
      <c r="BO381" s="108"/>
      <c r="BP381" s="108"/>
      <c r="BQ381" s="43"/>
      <c r="BR381" s="108"/>
      <c r="BS381" s="108"/>
      <c r="BT381" s="108"/>
      <c r="BU381" s="108"/>
      <c r="BV381" s="108"/>
      <c r="BW381" s="108"/>
      <c r="BX381" s="43"/>
      <c r="BY381" s="108"/>
      <c r="BZ381" s="108"/>
      <c r="CA381" s="108"/>
      <c r="CB381" s="108"/>
      <c r="CC381" s="108"/>
      <c r="CD381" s="108"/>
      <c r="CE381" s="43"/>
      <c r="CF381" s="108"/>
      <c r="CG381" s="108"/>
      <c r="CH381" s="108"/>
      <c r="CI381" s="108"/>
      <c r="CJ381" s="108"/>
      <c r="CK381" s="108"/>
      <c r="CL381" s="43"/>
      <c r="CM381" s="108"/>
      <c r="CN381" s="108"/>
      <c r="CO381" s="108"/>
      <c r="CP381" s="108"/>
      <c r="CQ381" s="108"/>
      <c r="CR381" s="108"/>
      <c r="CS381" s="43"/>
      <c r="CT381" s="108"/>
      <c r="CU381" s="108"/>
      <c r="CV381" s="108"/>
      <c r="CW381" s="108"/>
      <c r="CX381" s="108"/>
      <c r="CY381" s="108"/>
      <c r="CZ381" s="43"/>
      <c r="DA381" s="108"/>
      <c r="DB381" s="108"/>
      <c r="DC381" s="108"/>
      <c r="DD381" s="108"/>
      <c r="DE381" s="108"/>
      <c r="DF381" s="108"/>
      <c r="DG381" s="43"/>
      <c r="DH381" s="108"/>
      <c r="DI381" s="108"/>
      <c r="DJ381" s="108"/>
      <c r="DK381" s="108"/>
      <c r="DL381" s="108"/>
      <c r="DM381" s="108"/>
      <c r="DN381" s="43"/>
      <c r="DO381" s="108"/>
      <c r="DP381" s="108"/>
      <c r="DQ381" s="108"/>
      <c r="DR381" s="108"/>
      <c r="DS381" s="108"/>
      <c r="DT381" s="108"/>
      <c r="DU381" s="43"/>
      <c r="DV381" s="108"/>
      <c r="DW381" s="108"/>
      <c r="DX381" s="108"/>
      <c r="DY381" s="108"/>
      <c r="DZ381" s="108"/>
      <c r="EA381" s="108"/>
      <c r="EB381" s="43"/>
      <c r="EC381" s="108"/>
      <c r="ED381" s="108"/>
      <c r="EE381" s="108"/>
      <c r="EF381" s="108"/>
      <c r="EG381" s="108"/>
      <c r="EH381" s="108"/>
      <c r="EI381" s="43"/>
      <c r="EJ381" s="47"/>
      <c r="EK381" s="47"/>
      <c r="EL381" s="47"/>
      <c r="EM381" s="47"/>
      <c r="EN381" s="47"/>
      <c r="EO381" s="47"/>
      <c r="EP381" s="47"/>
      <c r="EQ381" s="47"/>
      <c r="ER381" s="47"/>
      <c r="ES381" s="47"/>
      <c r="ET381" s="47"/>
      <c r="EU381" s="47"/>
      <c r="EV381" s="47"/>
      <c r="EW381" s="47"/>
      <c r="EX381" s="47"/>
      <c r="EY381" s="47"/>
      <c r="EZ381" s="47"/>
      <c r="FA381" s="47"/>
      <c r="FB381" s="47"/>
      <c r="FC381" s="47"/>
      <c r="FD381" s="47"/>
      <c r="FE381" s="47"/>
      <c r="FF381" s="47"/>
      <c r="FG381" s="47"/>
      <c r="FH381" s="47"/>
      <c r="FI381" s="47"/>
      <c r="FJ381" s="47"/>
      <c r="FK381" s="47"/>
      <c r="FL381" s="47"/>
      <c r="FM381" s="47"/>
      <c r="FN381" s="47"/>
      <c r="FO381" s="47"/>
      <c r="FP381" s="47"/>
      <c r="FQ381" s="47"/>
      <c r="FR381" s="47"/>
      <c r="FS381" s="47"/>
      <c r="FT381" s="47"/>
      <c r="FU381" s="47"/>
      <c r="FV381" s="47"/>
      <c r="FW381" s="47"/>
      <c r="FX381" s="47"/>
      <c r="FY381" s="47"/>
      <c r="FZ381" s="47"/>
      <c r="GA381" s="47"/>
      <c r="GB381" s="47"/>
      <c r="GC381" s="47"/>
      <c r="GD381" s="47"/>
      <c r="GE381" s="47"/>
    </row>
    <row r="382" spans="1:187" ht="10.5" customHeight="1">
      <c r="A382" s="43"/>
      <c r="B382" s="108"/>
      <c r="C382" s="108"/>
      <c r="D382" s="108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44"/>
      <c r="U382" s="135"/>
      <c r="V382" s="135"/>
      <c r="W382" s="135"/>
      <c r="X382" s="135"/>
      <c r="Y382" s="135"/>
      <c r="Z382" s="135"/>
      <c r="AA382" s="44"/>
      <c r="AB382" s="135"/>
      <c r="AC382" s="135"/>
      <c r="AD382" s="135"/>
      <c r="AE382" s="135"/>
      <c r="AF382" s="135"/>
      <c r="AG382" s="135"/>
      <c r="AH382" s="44"/>
      <c r="AI382" s="135"/>
      <c r="AJ382" s="135"/>
      <c r="AK382" s="135"/>
      <c r="AL382" s="135"/>
      <c r="AM382" s="135"/>
      <c r="AN382" s="135"/>
      <c r="AO382" s="44"/>
      <c r="AP382" s="135"/>
      <c r="AQ382" s="135"/>
      <c r="AR382" s="135"/>
      <c r="AS382" s="135"/>
      <c r="AT382" s="135"/>
      <c r="AU382" s="135"/>
      <c r="AV382" s="44"/>
      <c r="AW382" s="135"/>
      <c r="AX382" s="135"/>
      <c r="AY382" s="135"/>
      <c r="AZ382" s="135"/>
      <c r="BA382" s="135"/>
      <c r="BB382" s="135"/>
      <c r="BC382" s="44"/>
      <c r="BD382" s="135"/>
      <c r="BE382" s="135"/>
      <c r="BF382" s="135"/>
      <c r="BG382" s="135"/>
      <c r="BH382" s="135"/>
      <c r="BI382" s="135"/>
      <c r="BJ382" s="44"/>
      <c r="BK382" s="135"/>
      <c r="BL382" s="135"/>
      <c r="BM382" s="135"/>
      <c r="BN382" s="135"/>
      <c r="BO382" s="135"/>
      <c r="BP382" s="135"/>
      <c r="BQ382" s="44"/>
      <c r="BR382" s="135"/>
      <c r="BS382" s="135"/>
      <c r="BT382" s="135"/>
      <c r="BU382" s="135"/>
      <c r="BV382" s="135"/>
      <c r="BW382" s="135"/>
      <c r="BX382" s="44"/>
      <c r="BY382" s="135"/>
      <c r="BZ382" s="135"/>
      <c r="CA382" s="135"/>
      <c r="CB382" s="135"/>
      <c r="CC382" s="135"/>
      <c r="CD382" s="135"/>
      <c r="CE382" s="44"/>
      <c r="CF382" s="135"/>
      <c r="CG382" s="135"/>
      <c r="CH382" s="135"/>
      <c r="CI382" s="135"/>
      <c r="CJ382" s="135"/>
      <c r="CK382" s="135"/>
      <c r="CL382" s="44"/>
      <c r="CM382" s="135"/>
      <c r="CN382" s="135"/>
      <c r="CO382" s="135"/>
      <c r="CP382" s="135"/>
      <c r="CQ382" s="135"/>
      <c r="CR382" s="135"/>
      <c r="CS382" s="44"/>
      <c r="CT382" s="135"/>
      <c r="CU382" s="135"/>
      <c r="CV382" s="135"/>
      <c r="CW382" s="135"/>
      <c r="CX382" s="135"/>
      <c r="CY382" s="135"/>
      <c r="CZ382" s="44"/>
      <c r="DA382" s="135"/>
      <c r="DB382" s="135"/>
      <c r="DC382" s="135"/>
      <c r="DD382" s="135"/>
      <c r="DE382" s="135"/>
      <c r="DF382" s="135"/>
      <c r="DG382" s="44"/>
      <c r="DH382" s="135"/>
      <c r="DI382" s="135"/>
      <c r="DJ382" s="135"/>
      <c r="DK382" s="135"/>
      <c r="DL382" s="135"/>
      <c r="DM382" s="135"/>
      <c r="DN382" s="44"/>
      <c r="DO382" s="135"/>
      <c r="DP382" s="135"/>
      <c r="DQ382" s="135"/>
      <c r="DR382" s="135"/>
      <c r="DS382" s="135"/>
      <c r="DT382" s="135"/>
      <c r="DU382" s="44"/>
      <c r="DV382" s="135"/>
      <c r="DW382" s="135"/>
      <c r="DX382" s="135"/>
      <c r="DY382" s="135"/>
      <c r="DZ382" s="135"/>
      <c r="EA382" s="135"/>
      <c r="EB382" s="44"/>
      <c r="EC382" s="135"/>
      <c r="ED382" s="135"/>
      <c r="EE382" s="135"/>
      <c r="EF382" s="135"/>
      <c r="EG382" s="135"/>
      <c r="EH382" s="135"/>
      <c r="EI382" s="44"/>
      <c r="EJ382" s="47"/>
      <c r="EK382" s="47"/>
      <c r="EL382" s="47"/>
      <c r="EM382" s="47"/>
      <c r="EN382" s="47"/>
      <c r="EO382" s="47"/>
      <c r="EP382" s="47"/>
      <c r="EQ382" s="47"/>
      <c r="ER382" s="47"/>
      <c r="ES382" s="47"/>
      <c r="ET382" s="47"/>
      <c r="EU382" s="47"/>
      <c r="EV382" s="47"/>
      <c r="EW382" s="47"/>
      <c r="EX382" s="47"/>
      <c r="EY382" s="47"/>
      <c r="EZ382" s="47"/>
      <c r="FA382" s="47"/>
      <c r="FB382" s="47"/>
      <c r="FC382" s="47"/>
      <c r="FD382" s="47"/>
      <c r="FE382" s="47"/>
      <c r="FF382" s="47"/>
      <c r="FG382" s="47"/>
      <c r="FH382" s="47"/>
      <c r="FI382" s="47"/>
      <c r="FJ382" s="47"/>
      <c r="FK382" s="47"/>
      <c r="FL382" s="47"/>
      <c r="FM382" s="47"/>
      <c r="FN382" s="47"/>
      <c r="FO382" s="47"/>
      <c r="FP382" s="47"/>
      <c r="FQ382" s="47"/>
      <c r="FR382" s="47"/>
      <c r="FS382" s="47"/>
      <c r="FT382" s="47"/>
      <c r="FU382" s="47"/>
      <c r="FV382" s="47"/>
      <c r="FW382" s="47"/>
      <c r="FX382" s="47"/>
      <c r="FY382" s="47"/>
      <c r="FZ382" s="47"/>
      <c r="GA382" s="47"/>
      <c r="GB382" s="47"/>
      <c r="GC382" s="47"/>
      <c r="GD382" s="47"/>
      <c r="GE382" s="47"/>
    </row>
    <row r="383" spans="1:187" ht="10.5" customHeight="1">
      <c r="A383" s="48"/>
      <c r="B383" s="108"/>
      <c r="C383" s="108"/>
      <c r="D383" s="108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44"/>
      <c r="U383" s="135"/>
      <c r="V383" s="135"/>
      <c r="W383" s="135"/>
      <c r="X383" s="135"/>
      <c r="Y383" s="135"/>
      <c r="Z383" s="135"/>
      <c r="AA383" s="44"/>
      <c r="AB383" s="135"/>
      <c r="AC383" s="135"/>
      <c r="AD383" s="135"/>
      <c r="AE383" s="135"/>
      <c r="AF383" s="135"/>
      <c r="AG383" s="135"/>
      <c r="AH383" s="44"/>
      <c r="AI383" s="135"/>
      <c r="AJ383" s="135"/>
      <c r="AK383" s="135"/>
      <c r="AL383" s="135"/>
      <c r="AM383" s="135"/>
      <c r="AN383" s="135"/>
      <c r="AO383" s="44"/>
      <c r="AP383" s="135"/>
      <c r="AQ383" s="135"/>
      <c r="AR383" s="135"/>
      <c r="AS383" s="135"/>
      <c r="AT383" s="135"/>
      <c r="AU383" s="135"/>
      <c r="AV383" s="44"/>
      <c r="AW383" s="135"/>
      <c r="AX383" s="135"/>
      <c r="AY383" s="135"/>
      <c r="AZ383" s="135"/>
      <c r="BA383" s="135"/>
      <c r="BB383" s="135"/>
      <c r="BC383" s="44"/>
      <c r="BD383" s="135"/>
      <c r="BE383" s="135"/>
      <c r="BF383" s="135"/>
      <c r="BG383" s="135"/>
      <c r="BH383" s="135"/>
      <c r="BI383" s="135"/>
      <c r="BJ383" s="44"/>
      <c r="BK383" s="135"/>
      <c r="BL383" s="135"/>
      <c r="BM383" s="135"/>
      <c r="BN383" s="135"/>
      <c r="BO383" s="135"/>
      <c r="BP383" s="135"/>
      <c r="BQ383" s="44"/>
      <c r="BR383" s="135"/>
      <c r="BS383" s="135"/>
      <c r="BT383" s="135"/>
      <c r="BU383" s="135"/>
      <c r="BV383" s="135"/>
      <c r="BW383" s="135"/>
      <c r="BX383" s="44"/>
      <c r="BY383" s="135"/>
      <c r="BZ383" s="135"/>
      <c r="CA383" s="135"/>
      <c r="CB383" s="135"/>
      <c r="CC383" s="135"/>
      <c r="CD383" s="135"/>
      <c r="CE383" s="44"/>
      <c r="CF383" s="135"/>
      <c r="CG383" s="135"/>
      <c r="CH383" s="135"/>
      <c r="CI383" s="135"/>
      <c r="CJ383" s="135"/>
      <c r="CK383" s="135"/>
      <c r="CL383" s="44"/>
      <c r="CM383" s="135"/>
      <c r="CN383" s="135"/>
      <c r="CO383" s="135"/>
      <c r="CP383" s="135"/>
      <c r="CQ383" s="135"/>
      <c r="CR383" s="135"/>
      <c r="CS383" s="44"/>
      <c r="CT383" s="135"/>
      <c r="CU383" s="135"/>
      <c r="CV383" s="135"/>
      <c r="CW383" s="135"/>
      <c r="CX383" s="135"/>
      <c r="CY383" s="135"/>
      <c r="CZ383" s="44"/>
      <c r="DA383" s="135"/>
      <c r="DB383" s="135"/>
      <c r="DC383" s="135"/>
      <c r="DD383" s="135"/>
      <c r="DE383" s="135"/>
      <c r="DF383" s="135"/>
      <c r="DG383" s="44"/>
      <c r="DH383" s="135"/>
      <c r="DI383" s="135"/>
      <c r="DJ383" s="135"/>
      <c r="DK383" s="135"/>
      <c r="DL383" s="135"/>
      <c r="DM383" s="135"/>
      <c r="DN383" s="44"/>
      <c r="DO383" s="135"/>
      <c r="DP383" s="135"/>
      <c r="DQ383" s="135"/>
      <c r="DR383" s="135"/>
      <c r="DS383" s="135"/>
      <c r="DT383" s="135"/>
      <c r="DU383" s="44"/>
      <c r="DV383" s="135"/>
      <c r="DW383" s="135"/>
      <c r="DX383" s="135"/>
      <c r="DY383" s="135"/>
      <c r="DZ383" s="135"/>
      <c r="EA383" s="135"/>
      <c r="EB383" s="44"/>
      <c r="EC383" s="135"/>
      <c r="ED383" s="135"/>
      <c r="EE383" s="135"/>
      <c r="EF383" s="135"/>
      <c r="EG383" s="135"/>
      <c r="EH383" s="135"/>
      <c r="EI383" s="44"/>
      <c r="EJ383" s="47"/>
      <c r="EK383" s="47"/>
      <c r="EL383" s="47"/>
      <c r="EM383" s="47"/>
      <c r="EN383" s="47"/>
      <c r="EO383" s="47"/>
      <c r="EP383" s="47"/>
      <c r="EQ383" s="47"/>
      <c r="ER383" s="47"/>
      <c r="ES383" s="47"/>
      <c r="ET383" s="47"/>
      <c r="EU383" s="47"/>
      <c r="EV383" s="47"/>
      <c r="EW383" s="47"/>
      <c r="EX383" s="47"/>
      <c r="EY383" s="47"/>
      <c r="EZ383" s="47"/>
      <c r="FA383" s="47"/>
      <c r="FB383" s="47"/>
      <c r="FC383" s="47"/>
      <c r="FD383" s="47"/>
      <c r="FE383" s="47"/>
      <c r="FF383" s="47"/>
      <c r="FG383" s="47"/>
      <c r="FH383" s="47"/>
      <c r="FI383" s="47"/>
      <c r="FJ383" s="47"/>
      <c r="FK383" s="47"/>
      <c r="FL383" s="47"/>
      <c r="FM383" s="47"/>
      <c r="FN383" s="47"/>
      <c r="FO383" s="47"/>
      <c r="FP383" s="47"/>
      <c r="FQ383" s="47"/>
      <c r="FR383" s="47"/>
      <c r="FS383" s="47"/>
      <c r="FT383" s="47"/>
      <c r="FU383" s="47"/>
      <c r="FV383" s="47"/>
      <c r="FW383" s="47"/>
      <c r="FX383" s="47"/>
      <c r="FY383" s="47"/>
      <c r="FZ383" s="47"/>
      <c r="GA383" s="47"/>
      <c r="GB383" s="47"/>
      <c r="GC383" s="47"/>
      <c r="GD383" s="47"/>
      <c r="GE383" s="47"/>
    </row>
    <row r="384" spans="1:187" ht="10.5" customHeight="1">
      <c r="A384" s="43"/>
      <c r="B384" s="108"/>
      <c r="C384" s="108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44"/>
      <c r="U384" s="135"/>
      <c r="V384" s="135"/>
      <c r="W384" s="135"/>
      <c r="X384" s="135"/>
      <c r="Y384" s="135"/>
      <c r="Z384" s="135"/>
      <c r="AA384" s="44"/>
      <c r="AB384" s="135"/>
      <c r="AC384" s="135"/>
      <c r="AD384" s="135"/>
      <c r="AE384" s="135"/>
      <c r="AF384" s="135"/>
      <c r="AG384" s="135"/>
      <c r="AH384" s="44"/>
      <c r="AI384" s="135"/>
      <c r="AJ384" s="135"/>
      <c r="AK384" s="135"/>
      <c r="AL384" s="135"/>
      <c r="AM384" s="135"/>
      <c r="AN384" s="135"/>
      <c r="AO384" s="44"/>
      <c r="AP384" s="135"/>
      <c r="AQ384" s="135"/>
      <c r="AR384" s="135"/>
      <c r="AS384" s="135"/>
      <c r="AT384" s="135"/>
      <c r="AU384" s="135"/>
      <c r="AV384" s="44"/>
      <c r="AW384" s="135"/>
      <c r="AX384" s="135"/>
      <c r="AY384" s="135"/>
      <c r="AZ384" s="135"/>
      <c r="BA384" s="135"/>
      <c r="BB384" s="135"/>
      <c r="BC384" s="44"/>
      <c r="BD384" s="135"/>
      <c r="BE384" s="135"/>
      <c r="BF384" s="135"/>
      <c r="BG384" s="135"/>
      <c r="BH384" s="135"/>
      <c r="BI384" s="135"/>
      <c r="BJ384" s="44"/>
      <c r="BK384" s="135"/>
      <c r="BL384" s="135"/>
      <c r="BM384" s="135"/>
      <c r="BN384" s="135"/>
      <c r="BO384" s="135"/>
      <c r="BP384" s="135"/>
      <c r="BQ384" s="44"/>
      <c r="BR384" s="135"/>
      <c r="BS384" s="135"/>
      <c r="BT384" s="135"/>
      <c r="BU384" s="135"/>
      <c r="BV384" s="135"/>
      <c r="BW384" s="135"/>
      <c r="BX384" s="44"/>
      <c r="BY384" s="135"/>
      <c r="BZ384" s="135"/>
      <c r="CA384" s="135"/>
      <c r="CB384" s="135"/>
      <c r="CC384" s="135"/>
      <c r="CD384" s="135"/>
      <c r="CE384" s="44"/>
      <c r="CF384" s="135"/>
      <c r="CG384" s="135"/>
      <c r="CH384" s="135"/>
      <c r="CI384" s="135"/>
      <c r="CJ384" s="135"/>
      <c r="CK384" s="135"/>
      <c r="CL384" s="44"/>
      <c r="CM384" s="135"/>
      <c r="CN384" s="135"/>
      <c r="CO384" s="135"/>
      <c r="CP384" s="135"/>
      <c r="CQ384" s="135"/>
      <c r="CR384" s="135"/>
      <c r="CS384" s="44"/>
      <c r="CT384" s="135"/>
      <c r="CU384" s="135"/>
      <c r="CV384" s="135"/>
      <c r="CW384" s="135"/>
      <c r="CX384" s="135"/>
      <c r="CY384" s="135"/>
      <c r="CZ384" s="44"/>
      <c r="DA384" s="135"/>
      <c r="DB384" s="135"/>
      <c r="DC384" s="135"/>
      <c r="DD384" s="135"/>
      <c r="DE384" s="135"/>
      <c r="DF384" s="135"/>
      <c r="DG384" s="44"/>
      <c r="DH384" s="135"/>
      <c r="DI384" s="135"/>
      <c r="DJ384" s="135"/>
      <c r="DK384" s="135"/>
      <c r="DL384" s="135"/>
      <c r="DM384" s="135"/>
      <c r="DN384" s="44"/>
      <c r="DO384" s="135"/>
      <c r="DP384" s="135"/>
      <c r="DQ384" s="135"/>
      <c r="DR384" s="135"/>
      <c r="DS384" s="135"/>
      <c r="DT384" s="135"/>
      <c r="DU384" s="44"/>
      <c r="DV384" s="135"/>
      <c r="DW384" s="135"/>
      <c r="DX384" s="135"/>
      <c r="DY384" s="135"/>
      <c r="DZ384" s="135"/>
      <c r="EA384" s="135"/>
      <c r="EB384" s="44"/>
      <c r="EC384" s="135"/>
      <c r="ED384" s="135"/>
      <c r="EE384" s="135"/>
      <c r="EF384" s="135"/>
      <c r="EG384" s="135"/>
      <c r="EH384" s="135"/>
      <c r="EI384" s="44"/>
      <c r="EJ384" s="47"/>
      <c r="EK384" s="47"/>
      <c r="EL384" s="47"/>
      <c r="EM384" s="47"/>
      <c r="EN384" s="47"/>
      <c r="EO384" s="47"/>
      <c r="EP384" s="47"/>
      <c r="EQ384" s="47"/>
      <c r="ER384" s="47"/>
      <c r="ES384" s="47"/>
      <c r="ET384" s="47"/>
      <c r="EU384" s="47"/>
      <c r="EV384" s="47"/>
      <c r="EW384" s="47"/>
      <c r="EX384" s="47"/>
      <c r="EY384" s="47"/>
      <c r="EZ384" s="47"/>
      <c r="FA384" s="47"/>
      <c r="FB384" s="47"/>
      <c r="FC384" s="47"/>
      <c r="FD384" s="47"/>
      <c r="FE384" s="47"/>
      <c r="FF384" s="47"/>
      <c r="FG384" s="47"/>
      <c r="FH384" s="47"/>
      <c r="FI384" s="47"/>
      <c r="FJ384" s="47"/>
      <c r="FK384" s="47"/>
      <c r="FL384" s="47"/>
      <c r="FM384" s="47"/>
      <c r="FN384" s="47"/>
      <c r="FO384" s="47"/>
      <c r="FP384" s="47"/>
      <c r="FQ384" s="47"/>
      <c r="FR384" s="47"/>
      <c r="FS384" s="47"/>
      <c r="FT384" s="47"/>
      <c r="FU384" s="47"/>
      <c r="FV384" s="47"/>
      <c r="FW384" s="47"/>
      <c r="FX384" s="47"/>
      <c r="FY384" s="47"/>
      <c r="FZ384" s="47"/>
      <c r="GA384" s="47"/>
      <c r="GB384" s="47"/>
      <c r="GC384" s="47"/>
      <c r="GD384" s="47"/>
      <c r="GE384" s="47"/>
    </row>
    <row r="385" spans="1:187" ht="10.5" customHeight="1">
      <c r="A385" s="43"/>
      <c r="B385" s="108"/>
      <c r="C385" s="108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44"/>
      <c r="U385" s="135"/>
      <c r="V385" s="135"/>
      <c r="W385" s="135"/>
      <c r="X385" s="135"/>
      <c r="Y385" s="135"/>
      <c r="Z385" s="135"/>
      <c r="AA385" s="44"/>
      <c r="AB385" s="135"/>
      <c r="AC385" s="135"/>
      <c r="AD385" s="135"/>
      <c r="AE385" s="135"/>
      <c r="AF385" s="135"/>
      <c r="AG385" s="135"/>
      <c r="AH385" s="44"/>
      <c r="AI385" s="135"/>
      <c r="AJ385" s="135"/>
      <c r="AK385" s="135"/>
      <c r="AL385" s="135"/>
      <c r="AM385" s="135"/>
      <c r="AN385" s="135"/>
      <c r="AO385" s="44"/>
      <c r="AP385" s="135"/>
      <c r="AQ385" s="135"/>
      <c r="AR385" s="135"/>
      <c r="AS385" s="135"/>
      <c r="AT385" s="135"/>
      <c r="AU385" s="135"/>
      <c r="AV385" s="44"/>
      <c r="AW385" s="135"/>
      <c r="AX385" s="135"/>
      <c r="AY385" s="135"/>
      <c r="AZ385" s="135"/>
      <c r="BA385" s="135"/>
      <c r="BB385" s="135"/>
      <c r="BC385" s="44"/>
      <c r="BD385" s="135"/>
      <c r="BE385" s="135"/>
      <c r="BF385" s="135"/>
      <c r="BG385" s="135"/>
      <c r="BH385" s="135"/>
      <c r="BI385" s="135"/>
      <c r="BJ385" s="44"/>
      <c r="BK385" s="135"/>
      <c r="BL385" s="135"/>
      <c r="BM385" s="135"/>
      <c r="BN385" s="135"/>
      <c r="BO385" s="135"/>
      <c r="BP385" s="135"/>
      <c r="BQ385" s="44"/>
      <c r="BR385" s="135"/>
      <c r="BS385" s="135"/>
      <c r="BT385" s="135"/>
      <c r="BU385" s="135"/>
      <c r="BV385" s="135"/>
      <c r="BW385" s="135"/>
      <c r="BX385" s="44"/>
      <c r="BY385" s="135"/>
      <c r="BZ385" s="135"/>
      <c r="CA385" s="135"/>
      <c r="CB385" s="135"/>
      <c r="CC385" s="135"/>
      <c r="CD385" s="135"/>
      <c r="CE385" s="44"/>
      <c r="CF385" s="135"/>
      <c r="CG385" s="135"/>
      <c r="CH385" s="135"/>
      <c r="CI385" s="135"/>
      <c r="CJ385" s="135"/>
      <c r="CK385" s="135"/>
      <c r="CL385" s="44"/>
      <c r="CM385" s="135"/>
      <c r="CN385" s="135"/>
      <c r="CO385" s="135"/>
      <c r="CP385" s="135"/>
      <c r="CQ385" s="135"/>
      <c r="CR385" s="135"/>
      <c r="CS385" s="44"/>
      <c r="CT385" s="135"/>
      <c r="CU385" s="135"/>
      <c r="CV385" s="135"/>
      <c r="CW385" s="135"/>
      <c r="CX385" s="135"/>
      <c r="CY385" s="135"/>
      <c r="CZ385" s="44"/>
      <c r="DA385" s="135"/>
      <c r="DB385" s="135"/>
      <c r="DC385" s="135"/>
      <c r="DD385" s="135"/>
      <c r="DE385" s="135"/>
      <c r="DF385" s="135"/>
      <c r="DG385" s="44"/>
      <c r="DH385" s="135"/>
      <c r="DI385" s="135"/>
      <c r="DJ385" s="135"/>
      <c r="DK385" s="135"/>
      <c r="DL385" s="135"/>
      <c r="DM385" s="135"/>
      <c r="DN385" s="44"/>
      <c r="DO385" s="135"/>
      <c r="DP385" s="135"/>
      <c r="DQ385" s="135"/>
      <c r="DR385" s="135"/>
      <c r="DS385" s="135"/>
      <c r="DT385" s="135"/>
      <c r="DU385" s="44"/>
      <c r="DV385" s="135"/>
      <c r="DW385" s="135"/>
      <c r="DX385" s="135"/>
      <c r="DY385" s="135"/>
      <c r="DZ385" s="135"/>
      <c r="EA385" s="135"/>
      <c r="EB385" s="44"/>
      <c r="EC385" s="135"/>
      <c r="ED385" s="135"/>
      <c r="EE385" s="135"/>
      <c r="EF385" s="135"/>
      <c r="EG385" s="135"/>
      <c r="EH385" s="135"/>
      <c r="EI385" s="44"/>
      <c r="EJ385" s="47"/>
      <c r="EK385" s="47"/>
      <c r="EL385" s="47"/>
      <c r="EM385" s="47"/>
      <c r="EN385" s="47"/>
      <c r="EO385" s="47"/>
      <c r="EP385" s="47"/>
      <c r="EQ385" s="47"/>
      <c r="ER385" s="47"/>
      <c r="ES385" s="47"/>
      <c r="ET385" s="47"/>
      <c r="EU385" s="47"/>
      <c r="EV385" s="47"/>
      <c r="EW385" s="47"/>
      <c r="EX385" s="47"/>
      <c r="EY385" s="47"/>
      <c r="EZ385" s="47"/>
      <c r="FA385" s="47"/>
      <c r="FB385" s="47"/>
      <c r="FC385" s="47"/>
      <c r="FD385" s="47"/>
      <c r="FE385" s="47"/>
      <c r="FF385" s="47"/>
      <c r="FG385" s="47"/>
      <c r="FH385" s="47"/>
      <c r="FI385" s="47"/>
      <c r="FJ385" s="47"/>
      <c r="FK385" s="47"/>
      <c r="FL385" s="47"/>
      <c r="FM385" s="47"/>
      <c r="FN385" s="47"/>
      <c r="FO385" s="47"/>
      <c r="FP385" s="47"/>
      <c r="FQ385" s="47"/>
      <c r="FR385" s="47"/>
      <c r="FS385" s="47"/>
      <c r="FT385" s="47"/>
      <c r="FU385" s="47"/>
      <c r="FV385" s="47"/>
      <c r="FW385" s="47"/>
      <c r="FX385" s="47"/>
      <c r="FY385" s="47"/>
      <c r="FZ385" s="47"/>
      <c r="GA385" s="47"/>
      <c r="GB385" s="47"/>
      <c r="GC385" s="47"/>
      <c r="GD385" s="47"/>
      <c r="GE385" s="47"/>
    </row>
    <row r="386" spans="1:187" ht="10.5" customHeight="1">
      <c r="A386" s="43"/>
      <c r="B386" s="108"/>
      <c r="C386" s="108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44"/>
      <c r="U386" s="135"/>
      <c r="V386" s="135"/>
      <c r="W386" s="135"/>
      <c r="X386" s="135"/>
      <c r="Y386" s="135"/>
      <c r="Z386" s="135"/>
      <c r="AA386" s="44"/>
      <c r="AB386" s="135"/>
      <c r="AC386" s="135"/>
      <c r="AD386" s="135"/>
      <c r="AE386" s="135"/>
      <c r="AF386" s="135"/>
      <c r="AG386" s="135"/>
      <c r="AH386" s="44"/>
      <c r="AI386" s="135"/>
      <c r="AJ386" s="135"/>
      <c r="AK386" s="135"/>
      <c r="AL386" s="135"/>
      <c r="AM386" s="135"/>
      <c r="AN386" s="135"/>
      <c r="AO386" s="44"/>
      <c r="AP386" s="135"/>
      <c r="AQ386" s="135"/>
      <c r="AR386" s="135"/>
      <c r="AS386" s="135"/>
      <c r="AT386" s="135"/>
      <c r="AU386" s="135"/>
      <c r="AV386" s="44"/>
      <c r="AW386" s="135"/>
      <c r="AX386" s="135"/>
      <c r="AY386" s="135"/>
      <c r="AZ386" s="135"/>
      <c r="BA386" s="135"/>
      <c r="BB386" s="135"/>
      <c r="BC386" s="44"/>
      <c r="BD386" s="135"/>
      <c r="BE386" s="135"/>
      <c r="BF386" s="135"/>
      <c r="BG386" s="135"/>
      <c r="BH386" s="135"/>
      <c r="BI386" s="135"/>
      <c r="BJ386" s="44"/>
      <c r="BK386" s="135"/>
      <c r="BL386" s="135"/>
      <c r="BM386" s="135"/>
      <c r="BN386" s="135"/>
      <c r="BO386" s="135"/>
      <c r="BP386" s="135"/>
      <c r="BQ386" s="44"/>
      <c r="BR386" s="135"/>
      <c r="BS386" s="135"/>
      <c r="BT386" s="135"/>
      <c r="BU386" s="135"/>
      <c r="BV386" s="135"/>
      <c r="BW386" s="135"/>
      <c r="BX386" s="44"/>
      <c r="BY386" s="135"/>
      <c r="BZ386" s="135"/>
      <c r="CA386" s="135"/>
      <c r="CB386" s="135"/>
      <c r="CC386" s="135"/>
      <c r="CD386" s="135"/>
      <c r="CE386" s="44"/>
      <c r="CF386" s="135"/>
      <c r="CG386" s="135"/>
      <c r="CH386" s="135"/>
      <c r="CI386" s="135"/>
      <c r="CJ386" s="135"/>
      <c r="CK386" s="135"/>
      <c r="CL386" s="44"/>
      <c r="CM386" s="135"/>
      <c r="CN386" s="135"/>
      <c r="CO386" s="135"/>
      <c r="CP386" s="135"/>
      <c r="CQ386" s="135"/>
      <c r="CR386" s="135"/>
      <c r="CS386" s="44"/>
      <c r="CT386" s="135"/>
      <c r="CU386" s="135"/>
      <c r="CV386" s="135"/>
      <c r="CW386" s="135"/>
      <c r="CX386" s="135"/>
      <c r="CY386" s="135"/>
      <c r="CZ386" s="44"/>
      <c r="DA386" s="135"/>
      <c r="DB386" s="135"/>
      <c r="DC386" s="135"/>
      <c r="DD386" s="135"/>
      <c r="DE386" s="135"/>
      <c r="DF386" s="135"/>
      <c r="DG386" s="44"/>
      <c r="DH386" s="135"/>
      <c r="DI386" s="135"/>
      <c r="DJ386" s="135"/>
      <c r="DK386" s="135"/>
      <c r="DL386" s="135"/>
      <c r="DM386" s="135"/>
      <c r="DN386" s="44"/>
      <c r="DO386" s="135"/>
      <c r="DP386" s="135"/>
      <c r="DQ386" s="135"/>
      <c r="DR386" s="135"/>
      <c r="DS386" s="135"/>
      <c r="DT386" s="135"/>
      <c r="DU386" s="44"/>
      <c r="DV386" s="135"/>
      <c r="DW386" s="135"/>
      <c r="DX386" s="135"/>
      <c r="DY386" s="135"/>
      <c r="DZ386" s="135"/>
      <c r="EA386" s="135"/>
      <c r="EB386" s="44"/>
      <c r="EC386" s="135"/>
      <c r="ED386" s="135"/>
      <c r="EE386" s="135"/>
      <c r="EF386" s="135"/>
      <c r="EG386" s="135"/>
      <c r="EH386" s="135"/>
      <c r="EI386" s="44"/>
      <c r="EJ386" s="47"/>
      <c r="EK386" s="47"/>
      <c r="EL386" s="47"/>
      <c r="EM386" s="47"/>
      <c r="EN386" s="47"/>
      <c r="EO386" s="47"/>
      <c r="EP386" s="47"/>
      <c r="EQ386" s="47"/>
      <c r="ER386" s="47"/>
      <c r="ES386" s="47"/>
      <c r="ET386" s="47"/>
      <c r="EU386" s="47"/>
      <c r="EV386" s="47"/>
      <c r="EW386" s="47"/>
      <c r="EX386" s="47"/>
      <c r="EY386" s="47"/>
      <c r="EZ386" s="47"/>
      <c r="FA386" s="47"/>
      <c r="FB386" s="47"/>
      <c r="FC386" s="47"/>
      <c r="FD386" s="47"/>
      <c r="FE386" s="47"/>
      <c r="FF386" s="47"/>
      <c r="FG386" s="47"/>
      <c r="FH386" s="47"/>
      <c r="FI386" s="47"/>
      <c r="FJ386" s="47"/>
      <c r="FK386" s="47"/>
      <c r="FL386" s="47"/>
      <c r="FM386" s="47"/>
      <c r="FN386" s="47"/>
      <c r="FO386" s="47"/>
      <c r="FP386" s="47"/>
      <c r="FQ386" s="47"/>
      <c r="FR386" s="47"/>
      <c r="FS386" s="47"/>
      <c r="FT386" s="47"/>
      <c r="FU386" s="47"/>
      <c r="FV386" s="47"/>
      <c r="FW386" s="47"/>
      <c r="FX386" s="47"/>
      <c r="FY386" s="47"/>
      <c r="FZ386" s="47"/>
      <c r="GA386" s="47"/>
      <c r="GB386" s="47"/>
      <c r="GC386" s="47"/>
      <c r="GD386" s="47"/>
      <c r="GE386" s="47"/>
    </row>
    <row r="387" spans="1:187" ht="10.5" customHeight="1">
      <c r="A387" s="43"/>
      <c r="B387" s="108"/>
      <c r="C387" s="108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44"/>
      <c r="U387" s="135"/>
      <c r="V387" s="135"/>
      <c r="W387" s="135"/>
      <c r="X387" s="135"/>
      <c r="Y387" s="135"/>
      <c r="Z387" s="135"/>
      <c r="AA387" s="44"/>
      <c r="AB387" s="135"/>
      <c r="AC387" s="135"/>
      <c r="AD387" s="135"/>
      <c r="AE387" s="135"/>
      <c r="AF387" s="135"/>
      <c r="AG387" s="135"/>
      <c r="AH387" s="44"/>
      <c r="AI387" s="135"/>
      <c r="AJ387" s="135"/>
      <c r="AK387" s="135"/>
      <c r="AL387" s="135"/>
      <c r="AM387" s="135"/>
      <c r="AN387" s="135"/>
      <c r="AO387" s="44"/>
      <c r="AP387" s="135"/>
      <c r="AQ387" s="135"/>
      <c r="AR387" s="135"/>
      <c r="AS387" s="135"/>
      <c r="AT387" s="135"/>
      <c r="AU387" s="135"/>
      <c r="AV387" s="44"/>
      <c r="AW387" s="135"/>
      <c r="AX387" s="135"/>
      <c r="AY387" s="135"/>
      <c r="AZ387" s="135"/>
      <c r="BA387" s="135"/>
      <c r="BB387" s="135"/>
      <c r="BC387" s="44"/>
      <c r="BD387" s="135"/>
      <c r="BE387" s="135"/>
      <c r="BF387" s="135"/>
      <c r="BG387" s="135"/>
      <c r="BH387" s="135"/>
      <c r="BI387" s="135"/>
      <c r="BJ387" s="44"/>
      <c r="BK387" s="135"/>
      <c r="BL387" s="135"/>
      <c r="BM387" s="135"/>
      <c r="BN387" s="135"/>
      <c r="BO387" s="135"/>
      <c r="BP387" s="135"/>
      <c r="BQ387" s="44"/>
      <c r="BR387" s="135"/>
      <c r="BS387" s="135"/>
      <c r="BT387" s="135"/>
      <c r="BU387" s="135"/>
      <c r="BV387" s="135"/>
      <c r="BW387" s="135"/>
      <c r="BX387" s="44"/>
      <c r="BY387" s="135"/>
      <c r="BZ387" s="135"/>
      <c r="CA387" s="135"/>
      <c r="CB387" s="135"/>
      <c r="CC387" s="135"/>
      <c r="CD387" s="135"/>
      <c r="CE387" s="44"/>
      <c r="CF387" s="135"/>
      <c r="CG387" s="135"/>
      <c r="CH387" s="135"/>
      <c r="CI387" s="135"/>
      <c r="CJ387" s="135"/>
      <c r="CK387" s="135"/>
      <c r="CL387" s="44"/>
      <c r="CM387" s="135"/>
      <c r="CN387" s="135"/>
      <c r="CO387" s="135"/>
      <c r="CP387" s="135"/>
      <c r="CQ387" s="135"/>
      <c r="CR387" s="135"/>
      <c r="CS387" s="44"/>
      <c r="CT387" s="135"/>
      <c r="CU387" s="135"/>
      <c r="CV387" s="135"/>
      <c r="CW387" s="135"/>
      <c r="CX387" s="135"/>
      <c r="CY387" s="135"/>
      <c r="CZ387" s="44"/>
      <c r="DA387" s="135"/>
      <c r="DB387" s="135"/>
      <c r="DC387" s="135"/>
      <c r="DD387" s="135"/>
      <c r="DE387" s="135"/>
      <c r="DF387" s="135"/>
      <c r="DG387" s="44"/>
      <c r="DH387" s="135"/>
      <c r="DI387" s="135"/>
      <c r="DJ387" s="135"/>
      <c r="DK387" s="135"/>
      <c r="DL387" s="135"/>
      <c r="DM387" s="135"/>
      <c r="DN387" s="44"/>
      <c r="DO387" s="135"/>
      <c r="DP387" s="135"/>
      <c r="DQ387" s="135"/>
      <c r="DR387" s="135"/>
      <c r="DS387" s="135"/>
      <c r="DT387" s="135"/>
      <c r="DU387" s="44"/>
      <c r="DV387" s="135"/>
      <c r="DW387" s="135"/>
      <c r="DX387" s="135"/>
      <c r="DY387" s="135"/>
      <c r="DZ387" s="135"/>
      <c r="EA387" s="135"/>
      <c r="EB387" s="44"/>
      <c r="EC387" s="135"/>
      <c r="ED387" s="135"/>
      <c r="EE387" s="135"/>
      <c r="EF387" s="135"/>
      <c r="EG387" s="135"/>
      <c r="EH387" s="135"/>
      <c r="EI387" s="44"/>
      <c r="EJ387" s="47"/>
      <c r="EK387" s="47"/>
      <c r="EL387" s="47"/>
      <c r="EM387" s="47"/>
      <c r="EN387" s="47"/>
      <c r="EO387" s="47"/>
      <c r="EP387" s="47"/>
      <c r="EQ387" s="47"/>
      <c r="ER387" s="47"/>
      <c r="ES387" s="47"/>
      <c r="ET387" s="47"/>
      <c r="EU387" s="47"/>
      <c r="EV387" s="47"/>
      <c r="EW387" s="47"/>
      <c r="EX387" s="47"/>
      <c r="EY387" s="47"/>
      <c r="EZ387" s="47"/>
      <c r="FA387" s="47"/>
      <c r="FB387" s="47"/>
      <c r="FC387" s="47"/>
      <c r="FD387" s="47"/>
      <c r="FE387" s="47"/>
      <c r="FF387" s="47"/>
      <c r="FG387" s="47"/>
      <c r="FH387" s="47"/>
      <c r="FI387" s="47"/>
      <c r="FJ387" s="47"/>
      <c r="FK387" s="47"/>
      <c r="FL387" s="47"/>
      <c r="FM387" s="47"/>
      <c r="FN387" s="47"/>
      <c r="FO387" s="47"/>
      <c r="FP387" s="47"/>
      <c r="FQ387" s="47"/>
      <c r="FR387" s="47"/>
      <c r="FS387" s="47"/>
      <c r="FT387" s="47"/>
      <c r="FU387" s="47"/>
      <c r="FV387" s="47"/>
      <c r="FW387" s="47"/>
      <c r="FX387" s="47"/>
      <c r="FY387" s="47"/>
      <c r="FZ387" s="47"/>
      <c r="GA387" s="47"/>
      <c r="GB387" s="47"/>
      <c r="GC387" s="47"/>
      <c r="GD387" s="47"/>
      <c r="GE387" s="47"/>
    </row>
    <row r="388" spans="1:187" ht="10.5" customHeight="1">
      <c r="A388" s="43"/>
      <c r="B388" s="108"/>
      <c r="C388" s="108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44"/>
      <c r="U388" s="135"/>
      <c r="V388" s="135"/>
      <c r="W388" s="135"/>
      <c r="X388" s="135"/>
      <c r="Y388" s="135"/>
      <c r="Z388" s="135"/>
      <c r="AA388" s="44"/>
      <c r="AB388" s="135"/>
      <c r="AC388" s="135"/>
      <c r="AD388" s="135"/>
      <c r="AE388" s="135"/>
      <c r="AF388" s="135"/>
      <c r="AG388" s="135"/>
      <c r="AH388" s="44"/>
      <c r="AI388" s="135"/>
      <c r="AJ388" s="135"/>
      <c r="AK388" s="135"/>
      <c r="AL388" s="135"/>
      <c r="AM388" s="135"/>
      <c r="AN388" s="135"/>
      <c r="AO388" s="44"/>
      <c r="AP388" s="135"/>
      <c r="AQ388" s="135"/>
      <c r="AR388" s="135"/>
      <c r="AS388" s="135"/>
      <c r="AT388" s="135"/>
      <c r="AU388" s="135"/>
      <c r="AV388" s="44"/>
      <c r="AW388" s="135"/>
      <c r="AX388" s="135"/>
      <c r="AY388" s="135"/>
      <c r="AZ388" s="135"/>
      <c r="BA388" s="135"/>
      <c r="BB388" s="135"/>
      <c r="BC388" s="44"/>
      <c r="BD388" s="135"/>
      <c r="BE388" s="135"/>
      <c r="BF388" s="135"/>
      <c r="BG388" s="135"/>
      <c r="BH388" s="135"/>
      <c r="BI388" s="135"/>
      <c r="BJ388" s="44"/>
      <c r="BK388" s="135"/>
      <c r="BL388" s="135"/>
      <c r="BM388" s="135"/>
      <c r="BN388" s="135"/>
      <c r="BO388" s="135"/>
      <c r="BP388" s="135"/>
      <c r="BQ388" s="44"/>
      <c r="BR388" s="135"/>
      <c r="BS388" s="135"/>
      <c r="BT388" s="135"/>
      <c r="BU388" s="135"/>
      <c r="BV388" s="135"/>
      <c r="BW388" s="135"/>
      <c r="BX388" s="44"/>
      <c r="BY388" s="135"/>
      <c r="BZ388" s="135"/>
      <c r="CA388" s="135"/>
      <c r="CB388" s="135"/>
      <c r="CC388" s="135"/>
      <c r="CD388" s="135"/>
      <c r="CE388" s="44"/>
      <c r="CF388" s="135"/>
      <c r="CG388" s="135"/>
      <c r="CH388" s="135"/>
      <c r="CI388" s="135"/>
      <c r="CJ388" s="135"/>
      <c r="CK388" s="135"/>
      <c r="CL388" s="44"/>
      <c r="CM388" s="135"/>
      <c r="CN388" s="135"/>
      <c r="CO388" s="135"/>
      <c r="CP388" s="135"/>
      <c r="CQ388" s="135"/>
      <c r="CR388" s="135"/>
      <c r="CS388" s="44"/>
      <c r="CT388" s="135"/>
      <c r="CU388" s="135"/>
      <c r="CV388" s="135"/>
      <c r="CW388" s="135"/>
      <c r="CX388" s="135"/>
      <c r="CY388" s="135"/>
      <c r="CZ388" s="44"/>
      <c r="DA388" s="135"/>
      <c r="DB388" s="135"/>
      <c r="DC388" s="135"/>
      <c r="DD388" s="135"/>
      <c r="DE388" s="135"/>
      <c r="DF388" s="135"/>
      <c r="DG388" s="44"/>
      <c r="DH388" s="135"/>
      <c r="DI388" s="135"/>
      <c r="DJ388" s="135"/>
      <c r="DK388" s="135"/>
      <c r="DL388" s="135"/>
      <c r="DM388" s="135"/>
      <c r="DN388" s="44"/>
      <c r="DO388" s="135"/>
      <c r="DP388" s="135"/>
      <c r="DQ388" s="135"/>
      <c r="DR388" s="135"/>
      <c r="DS388" s="135"/>
      <c r="DT388" s="135"/>
      <c r="DU388" s="44"/>
      <c r="DV388" s="135"/>
      <c r="DW388" s="135"/>
      <c r="DX388" s="135"/>
      <c r="DY388" s="135"/>
      <c r="DZ388" s="135"/>
      <c r="EA388" s="135"/>
      <c r="EB388" s="44"/>
      <c r="EC388" s="135"/>
      <c r="ED388" s="135"/>
      <c r="EE388" s="135"/>
      <c r="EF388" s="135"/>
      <c r="EG388" s="135"/>
      <c r="EH388" s="135"/>
      <c r="EI388" s="44"/>
      <c r="EJ388" s="47"/>
      <c r="EK388" s="47"/>
      <c r="EL388" s="47"/>
      <c r="EM388" s="47"/>
      <c r="EN388" s="47"/>
      <c r="EO388" s="47"/>
      <c r="EP388" s="47"/>
      <c r="EQ388" s="47"/>
      <c r="ER388" s="47"/>
      <c r="ES388" s="47"/>
      <c r="ET388" s="47"/>
      <c r="EU388" s="47"/>
      <c r="EV388" s="47"/>
      <c r="EW388" s="47"/>
      <c r="EX388" s="47"/>
      <c r="EY388" s="47"/>
      <c r="EZ388" s="47"/>
      <c r="FA388" s="47"/>
      <c r="FB388" s="47"/>
      <c r="FC388" s="47"/>
      <c r="FD388" s="47"/>
      <c r="FE388" s="47"/>
      <c r="FF388" s="47"/>
      <c r="FG388" s="47"/>
      <c r="FH388" s="47"/>
      <c r="FI388" s="47"/>
      <c r="FJ388" s="47"/>
      <c r="FK388" s="47"/>
      <c r="FL388" s="47"/>
      <c r="FM388" s="47"/>
      <c r="FN388" s="47"/>
      <c r="FO388" s="47"/>
      <c r="FP388" s="47"/>
      <c r="FQ388" s="47"/>
      <c r="FR388" s="47"/>
      <c r="FS388" s="47"/>
      <c r="FT388" s="47"/>
      <c r="FU388" s="47"/>
      <c r="FV388" s="47"/>
      <c r="FW388" s="47"/>
      <c r="FX388" s="47"/>
      <c r="FY388" s="47"/>
      <c r="FZ388" s="47"/>
      <c r="GA388" s="47"/>
      <c r="GB388" s="47"/>
      <c r="GC388" s="47"/>
      <c r="GD388" s="47"/>
      <c r="GE388" s="47"/>
    </row>
    <row r="389" spans="1:187" ht="10.5" customHeight="1">
      <c r="A389" s="43"/>
      <c r="B389" s="108"/>
      <c r="C389" s="108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5"/>
      <c r="O389" s="135"/>
      <c r="P389" s="135"/>
      <c r="Q389" s="135"/>
      <c r="R389" s="135"/>
      <c r="S389" s="135"/>
      <c r="T389" s="44"/>
      <c r="U389" s="135"/>
      <c r="V389" s="135"/>
      <c r="W389" s="135"/>
      <c r="X389" s="135"/>
      <c r="Y389" s="135"/>
      <c r="Z389" s="135"/>
      <c r="AA389" s="44"/>
      <c r="AB389" s="135"/>
      <c r="AC389" s="135"/>
      <c r="AD389" s="135"/>
      <c r="AE389" s="135"/>
      <c r="AF389" s="135"/>
      <c r="AG389" s="135"/>
      <c r="AH389" s="44"/>
      <c r="AI389" s="135"/>
      <c r="AJ389" s="135"/>
      <c r="AK389" s="135"/>
      <c r="AL389" s="135"/>
      <c r="AM389" s="135"/>
      <c r="AN389" s="135"/>
      <c r="AO389" s="44"/>
      <c r="AP389" s="135"/>
      <c r="AQ389" s="135"/>
      <c r="AR389" s="135"/>
      <c r="AS389" s="135"/>
      <c r="AT389" s="135"/>
      <c r="AU389" s="135"/>
      <c r="AV389" s="44"/>
      <c r="AW389" s="135"/>
      <c r="AX389" s="135"/>
      <c r="AY389" s="135"/>
      <c r="AZ389" s="135"/>
      <c r="BA389" s="135"/>
      <c r="BB389" s="135"/>
      <c r="BC389" s="44"/>
      <c r="BD389" s="135"/>
      <c r="BE389" s="135"/>
      <c r="BF389" s="135"/>
      <c r="BG389" s="135"/>
      <c r="BH389" s="135"/>
      <c r="BI389" s="135"/>
      <c r="BJ389" s="44"/>
      <c r="BK389" s="135"/>
      <c r="BL389" s="135"/>
      <c r="BM389" s="135"/>
      <c r="BN389" s="135"/>
      <c r="BO389" s="135"/>
      <c r="BP389" s="135"/>
      <c r="BQ389" s="44"/>
      <c r="BR389" s="135"/>
      <c r="BS389" s="135"/>
      <c r="BT389" s="135"/>
      <c r="BU389" s="135"/>
      <c r="BV389" s="135"/>
      <c r="BW389" s="135"/>
      <c r="BX389" s="44"/>
      <c r="BY389" s="135"/>
      <c r="BZ389" s="135"/>
      <c r="CA389" s="135"/>
      <c r="CB389" s="135"/>
      <c r="CC389" s="135"/>
      <c r="CD389" s="135"/>
      <c r="CE389" s="44"/>
      <c r="CF389" s="135"/>
      <c r="CG389" s="135"/>
      <c r="CH389" s="135"/>
      <c r="CI389" s="135"/>
      <c r="CJ389" s="135"/>
      <c r="CK389" s="135"/>
      <c r="CL389" s="44"/>
      <c r="CM389" s="135"/>
      <c r="CN389" s="135"/>
      <c r="CO389" s="135"/>
      <c r="CP389" s="135"/>
      <c r="CQ389" s="135"/>
      <c r="CR389" s="135"/>
      <c r="CS389" s="44"/>
      <c r="CT389" s="135"/>
      <c r="CU389" s="135"/>
      <c r="CV389" s="135"/>
      <c r="CW389" s="135"/>
      <c r="CX389" s="135"/>
      <c r="CY389" s="135"/>
      <c r="CZ389" s="44"/>
      <c r="DA389" s="135"/>
      <c r="DB389" s="135"/>
      <c r="DC389" s="135"/>
      <c r="DD389" s="135"/>
      <c r="DE389" s="135"/>
      <c r="DF389" s="135"/>
      <c r="DG389" s="44"/>
      <c r="DH389" s="135"/>
      <c r="DI389" s="135"/>
      <c r="DJ389" s="135"/>
      <c r="DK389" s="135"/>
      <c r="DL389" s="135"/>
      <c r="DM389" s="135"/>
      <c r="DN389" s="44"/>
      <c r="DO389" s="135"/>
      <c r="DP389" s="135"/>
      <c r="DQ389" s="135"/>
      <c r="DR389" s="135"/>
      <c r="DS389" s="135"/>
      <c r="DT389" s="135"/>
      <c r="DU389" s="44"/>
      <c r="DV389" s="135"/>
      <c r="DW389" s="135"/>
      <c r="DX389" s="135"/>
      <c r="DY389" s="135"/>
      <c r="DZ389" s="135"/>
      <c r="EA389" s="135"/>
      <c r="EB389" s="44"/>
      <c r="EC389" s="135"/>
      <c r="ED389" s="135"/>
      <c r="EE389" s="135"/>
      <c r="EF389" s="135"/>
      <c r="EG389" s="135"/>
      <c r="EH389" s="135"/>
      <c r="EI389" s="44"/>
      <c r="EJ389" s="47"/>
      <c r="EK389" s="47"/>
      <c r="EL389" s="47"/>
      <c r="EM389" s="47"/>
      <c r="EN389" s="47"/>
      <c r="EO389" s="47"/>
      <c r="EP389" s="47"/>
      <c r="EQ389" s="47"/>
      <c r="ER389" s="47"/>
      <c r="ES389" s="47"/>
      <c r="ET389" s="47"/>
      <c r="EU389" s="47"/>
      <c r="EV389" s="47"/>
      <c r="EW389" s="47"/>
      <c r="EX389" s="47"/>
      <c r="EY389" s="47"/>
      <c r="EZ389" s="47"/>
      <c r="FA389" s="47"/>
      <c r="FB389" s="47"/>
      <c r="FC389" s="47"/>
      <c r="FD389" s="47"/>
      <c r="FE389" s="47"/>
      <c r="FF389" s="47"/>
      <c r="FG389" s="47"/>
      <c r="FH389" s="47"/>
      <c r="FI389" s="47"/>
      <c r="FJ389" s="47"/>
      <c r="FK389" s="47"/>
      <c r="FL389" s="47"/>
      <c r="FM389" s="47"/>
      <c r="FN389" s="47"/>
      <c r="FO389" s="47"/>
      <c r="FP389" s="47"/>
      <c r="FQ389" s="47"/>
      <c r="FR389" s="47"/>
      <c r="FS389" s="47"/>
      <c r="FT389" s="47"/>
      <c r="FU389" s="47"/>
      <c r="FV389" s="47"/>
      <c r="FW389" s="47"/>
      <c r="FX389" s="47"/>
      <c r="FY389" s="47"/>
      <c r="FZ389" s="47"/>
      <c r="GA389" s="47"/>
      <c r="GB389" s="47"/>
      <c r="GC389" s="47"/>
      <c r="GD389" s="47"/>
      <c r="GE389" s="47"/>
    </row>
    <row r="390" spans="1:187" ht="10.5" customHeight="1">
      <c r="A390" s="48"/>
      <c r="B390" s="108"/>
      <c r="C390" s="108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5"/>
      <c r="O390" s="135"/>
      <c r="P390" s="135"/>
      <c r="Q390" s="135"/>
      <c r="R390" s="135"/>
      <c r="S390" s="135"/>
      <c r="T390" s="44"/>
      <c r="U390" s="135"/>
      <c r="V390" s="135"/>
      <c r="W390" s="135"/>
      <c r="X390" s="135"/>
      <c r="Y390" s="135"/>
      <c r="Z390" s="135"/>
      <c r="AA390" s="44"/>
      <c r="AB390" s="135"/>
      <c r="AC390" s="135"/>
      <c r="AD390" s="135"/>
      <c r="AE390" s="135"/>
      <c r="AF390" s="135"/>
      <c r="AG390" s="135"/>
      <c r="AH390" s="44"/>
      <c r="AI390" s="135"/>
      <c r="AJ390" s="135"/>
      <c r="AK390" s="135"/>
      <c r="AL390" s="135"/>
      <c r="AM390" s="135"/>
      <c r="AN390" s="135"/>
      <c r="AO390" s="44"/>
      <c r="AP390" s="135"/>
      <c r="AQ390" s="135"/>
      <c r="AR390" s="135"/>
      <c r="AS390" s="135"/>
      <c r="AT390" s="135"/>
      <c r="AU390" s="135"/>
      <c r="AV390" s="44"/>
      <c r="AW390" s="135"/>
      <c r="AX390" s="135"/>
      <c r="AY390" s="135"/>
      <c r="AZ390" s="135"/>
      <c r="BA390" s="135"/>
      <c r="BB390" s="135"/>
      <c r="BC390" s="44"/>
      <c r="BD390" s="135"/>
      <c r="BE390" s="135"/>
      <c r="BF390" s="135"/>
      <c r="BG390" s="135"/>
      <c r="BH390" s="135"/>
      <c r="BI390" s="135"/>
      <c r="BJ390" s="44"/>
      <c r="BK390" s="135"/>
      <c r="BL390" s="135"/>
      <c r="BM390" s="135"/>
      <c r="BN390" s="135"/>
      <c r="BO390" s="135"/>
      <c r="BP390" s="135"/>
      <c r="BQ390" s="44"/>
      <c r="BR390" s="135"/>
      <c r="BS390" s="135"/>
      <c r="BT390" s="135"/>
      <c r="BU390" s="135"/>
      <c r="BV390" s="135"/>
      <c r="BW390" s="135"/>
      <c r="BX390" s="44"/>
      <c r="BY390" s="135"/>
      <c r="BZ390" s="135"/>
      <c r="CA390" s="135"/>
      <c r="CB390" s="135"/>
      <c r="CC390" s="135"/>
      <c r="CD390" s="135"/>
      <c r="CE390" s="44"/>
      <c r="CF390" s="135"/>
      <c r="CG390" s="135"/>
      <c r="CH390" s="135"/>
      <c r="CI390" s="135"/>
      <c r="CJ390" s="135"/>
      <c r="CK390" s="135"/>
      <c r="CL390" s="44"/>
      <c r="CM390" s="135"/>
      <c r="CN390" s="135"/>
      <c r="CO390" s="135"/>
      <c r="CP390" s="135"/>
      <c r="CQ390" s="135"/>
      <c r="CR390" s="135"/>
      <c r="CS390" s="44"/>
      <c r="CT390" s="135"/>
      <c r="CU390" s="135"/>
      <c r="CV390" s="135"/>
      <c r="CW390" s="135"/>
      <c r="CX390" s="135"/>
      <c r="CY390" s="135"/>
      <c r="CZ390" s="44"/>
      <c r="DA390" s="135"/>
      <c r="DB390" s="135"/>
      <c r="DC390" s="135"/>
      <c r="DD390" s="135"/>
      <c r="DE390" s="135"/>
      <c r="DF390" s="135"/>
      <c r="DG390" s="44"/>
      <c r="DH390" s="135"/>
      <c r="DI390" s="135"/>
      <c r="DJ390" s="135"/>
      <c r="DK390" s="135"/>
      <c r="DL390" s="135"/>
      <c r="DM390" s="135"/>
      <c r="DN390" s="44"/>
      <c r="DO390" s="135"/>
      <c r="DP390" s="135"/>
      <c r="DQ390" s="135"/>
      <c r="DR390" s="135"/>
      <c r="DS390" s="135"/>
      <c r="DT390" s="135"/>
      <c r="DU390" s="44"/>
      <c r="DV390" s="135"/>
      <c r="DW390" s="135"/>
      <c r="DX390" s="135"/>
      <c r="DY390" s="135"/>
      <c r="DZ390" s="135"/>
      <c r="EA390" s="135"/>
      <c r="EB390" s="44"/>
      <c r="EC390" s="135"/>
      <c r="ED390" s="135"/>
      <c r="EE390" s="135"/>
      <c r="EF390" s="135"/>
      <c r="EG390" s="135"/>
      <c r="EH390" s="135"/>
      <c r="EI390" s="44"/>
      <c r="EJ390" s="47"/>
      <c r="EK390" s="47"/>
      <c r="EL390" s="47"/>
      <c r="EM390" s="47"/>
      <c r="EN390" s="47"/>
      <c r="EO390" s="47"/>
      <c r="EP390" s="47"/>
      <c r="EQ390" s="47"/>
      <c r="ER390" s="47"/>
      <c r="ES390" s="47"/>
      <c r="ET390" s="47"/>
      <c r="EU390" s="47"/>
      <c r="EV390" s="47"/>
      <c r="EW390" s="47"/>
      <c r="EX390" s="47"/>
      <c r="EY390" s="47"/>
      <c r="EZ390" s="47"/>
      <c r="FA390" s="47"/>
      <c r="FB390" s="47"/>
      <c r="FC390" s="47"/>
      <c r="FD390" s="47"/>
      <c r="FE390" s="47"/>
      <c r="FF390" s="47"/>
      <c r="FG390" s="47"/>
      <c r="FH390" s="47"/>
      <c r="FI390" s="47"/>
      <c r="FJ390" s="47"/>
      <c r="FK390" s="47"/>
      <c r="FL390" s="47"/>
      <c r="FM390" s="47"/>
      <c r="FN390" s="47"/>
      <c r="FO390" s="47"/>
      <c r="FP390" s="47"/>
      <c r="FQ390" s="47"/>
      <c r="FR390" s="47"/>
      <c r="FS390" s="47"/>
      <c r="FT390" s="47"/>
      <c r="FU390" s="47"/>
      <c r="FV390" s="47"/>
      <c r="FW390" s="47"/>
      <c r="FX390" s="47"/>
      <c r="FY390" s="47"/>
      <c r="FZ390" s="47"/>
      <c r="GA390" s="47"/>
      <c r="GB390" s="47"/>
      <c r="GC390" s="47"/>
      <c r="GD390" s="47"/>
      <c r="GE390" s="47"/>
    </row>
    <row r="391" spans="1:187" ht="10.5" customHeight="1">
      <c r="A391" s="43"/>
      <c r="B391" s="108"/>
      <c r="C391" s="108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135"/>
      <c r="O391" s="135"/>
      <c r="P391" s="135"/>
      <c r="Q391" s="135"/>
      <c r="R391" s="135"/>
      <c r="S391" s="135"/>
      <c r="T391" s="44"/>
      <c r="U391" s="135"/>
      <c r="V391" s="135"/>
      <c r="W391" s="135"/>
      <c r="X391" s="135"/>
      <c r="Y391" s="135"/>
      <c r="Z391" s="135"/>
      <c r="AA391" s="44"/>
      <c r="AB391" s="135"/>
      <c r="AC391" s="135"/>
      <c r="AD391" s="135"/>
      <c r="AE391" s="135"/>
      <c r="AF391" s="135"/>
      <c r="AG391" s="135"/>
      <c r="AH391" s="44"/>
      <c r="AI391" s="135"/>
      <c r="AJ391" s="135"/>
      <c r="AK391" s="135"/>
      <c r="AL391" s="135"/>
      <c r="AM391" s="135"/>
      <c r="AN391" s="135"/>
      <c r="AO391" s="44"/>
      <c r="AP391" s="135"/>
      <c r="AQ391" s="135"/>
      <c r="AR391" s="135"/>
      <c r="AS391" s="135"/>
      <c r="AT391" s="135"/>
      <c r="AU391" s="135"/>
      <c r="AV391" s="44"/>
      <c r="AW391" s="135"/>
      <c r="AX391" s="135"/>
      <c r="AY391" s="135"/>
      <c r="AZ391" s="135"/>
      <c r="BA391" s="135"/>
      <c r="BB391" s="135"/>
      <c r="BC391" s="44"/>
      <c r="BD391" s="135"/>
      <c r="BE391" s="135"/>
      <c r="BF391" s="135"/>
      <c r="BG391" s="135"/>
      <c r="BH391" s="135"/>
      <c r="BI391" s="135"/>
      <c r="BJ391" s="44"/>
      <c r="BK391" s="135"/>
      <c r="BL391" s="135"/>
      <c r="BM391" s="135"/>
      <c r="BN391" s="135"/>
      <c r="BO391" s="135"/>
      <c r="BP391" s="135"/>
      <c r="BQ391" s="44"/>
      <c r="BR391" s="135"/>
      <c r="BS391" s="135"/>
      <c r="BT391" s="135"/>
      <c r="BU391" s="135"/>
      <c r="BV391" s="135"/>
      <c r="BW391" s="135"/>
      <c r="BX391" s="44"/>
      <c r="BY391" s="135"/>
      <c r="BZ391" s="135"/>
      <c r="CA391" s="135"/>
      <c r="CB391" s="135"/>
      <c r="CC391" s="135"/>
      <c r="CD391" s="135"/>
      <c r="CE391" s="44"/>
      <c r="CF391" s="135"/>
      <c r="CG391" s="135"/>
      <c r="CH391" s="135"/>
      <c r="CI391" s="135"/>
      <c r="CJ391" s="135"/>
      <c r="CK391" s="135"/>
      <c r="CL391" s="44"/>
      <c r="CM391" s="135"/>
      <c r="CN391" s="135"/>
      <c r="CO391" s="135"/>
      <c r="CP391" s="135"/>
      <c r="CQ391" s="135"/>
      <c r="CR391" s="135"/>
      <c r="CS391" s="44"/>
      <c r="CT391" s="135"/>
      <c r="CU391" s="135"/>
      <c r="CV391" s="135"/>
      <c r="CW391" s="135"/>
      <c r="CX391" s="135"/>
      <c r="CY391" s="135"/>
      <c r="CZ391" s="44"/>
      <c r="DA391" s="135"/>
      <c r="DB391" s="135"/>
      <c r="DC391" s="135"/>
      <c r="DD391" s="135"/>
      <c r="DE391" s="135"/>
      <c r="DF391" s="135"/>
      <c r="DG391" s="44"/>
      <c r="DH391" s="135"/>
      <c r="DI391" s="135"/>
      <c r="DJ391" s="135"/>
      <c r="DK391" s="135"/>
      <c r="DL391" s="135"/>
      <c r="DM391" s="135"/>
      <c r="DN391" s="44"/>
      <c r="DO391" s="135"/>
      <c r="DP391" s="135"/>
      <c r="DQ391" s="135"/>
      <c r="DR391" s="135"/>
      <c r="DS391" s="135"/>
      <c r="DT391" s="135"/>
      <c r="DU391" s="44"/>
      <c r="DV391" s="135"/>
      <c r="DW391" s="135"/>
      <c r="DX391" s="135"/>
      <c r="DY391" s="135"/>
      <c r="DZ391" s="135"/>
      <c r="EA391" s="135"/>
      <c r="EB391" s="44"/>
      <c r="EC391" s="135"/>
      <c r="ED391" s="135"/>
      <c r="EE391" s="135"/>
      <c r="EF391" s="135"/>
      <c r="EG391" s="135"/>
      <c r="EH391" s="135"/>
      <c r="EI391" s="44"/>
      <c r="EJ391" s="47"/>
      <c r="EK391" s="47"/>
      <c r="EL391" s="47"/>
      <c r="EM391" s="47"/>
      <c r="EN391" s="47"/>
      <c r="EO391" s="47"/>
      <c r="EP391" s="47"/>
      <c r="EQ391" s="47"/>
      <c r="ER391" s="47"/>
      <c r="ES391" s="47"/>
      <c r="ET391" s="47"/>
      <c r="EU391" s="47"/>
      <c r="EV391" s="47"/>
      <c r="EW391" s="47"/>
      <c r="EX391" s="47"/>
      <c r="EY391" s="47"/>
      <c r="EZ391" s="47"/>
      <c r="FA391" s="47"/>
      <c r="FB391" s="47"/>
      <c r="FC391" s="47"/>
      <c r="FD391" s="47"/>
      <c r="FE391" s="47"/>
      <c r="FF391" s="47"/>
      <c r="FG391" s="47"/>
      <c r="FH391" s="47"/>
      <c r="FI391" s="47"/>
      <c r="FJ391" s="47"/>
      <c r="FK391" s="47"/>
      <c r="FL391" s="47"/>
      <c r="FM391" s="47"/>
      <c r="FN391" s="47"/>
      <c r="FO391" s="47"/>
      <c r="FP391" s="47"/>
      <c r="FQ391" s="47"/>
      <c r="FR391" s="47"/>
      <c r="FS391" s="47"/>
      <c r="FT391" s="47"/>
      <c r="FU391" s="47"/>
      <c r="FV391" s="47"/>
      <c r="FW391" s="47"/>
      <c r="FX391" s="47"/>
      <c r="FY391" s="47"/>
      <c r="FZ391" s="47"/>
      <c r="GA391" s="47"/>
      <c r="GB391" s="47"/>
      <c r="GC391" s="47"/>
      <c r="GD391" s="47"/>
      <c r="GE391" s="47"/>
    </row>
    <row r="392" spans="1:187" ht="10.5" customHeight="1">
      <c r="A392" s="43"/>
      <c r="B392" s="108"/>
      <c r="C392" s="108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135"/>
      <c r="O392" s="135"/>
      <c r="P392" s="135"/>
      <c r="Q392" s="135"/>
      <c r="R392" s="135"/>
      <c r="S392" s="135"/>
      <c r="T392" s="44"/>
      <c r="U392" s="135"/>
      <c r="V392" s="135"/>
      <c r="W392" s="135"/>
      <c r="X392" s="135"/>
      <c r="Y392" s="135"/>
      <c r="Z392" s="135"/>
      <c r="AA392" s="44"/>
      <c r="AB392" s="135"/>
      <c r="AC392" s="135"/>
      <c r="AD392" s="135"/>
      <c r="AE392" s="135"/>
      <c r="AF392" s="135"/>
      <c r="AG392" s="135"/>
      <c r="AH392" s="44"/>
      <c r="AI392" s="135"/>
      <c r="AJ392" s="135"/>
      <c r="AK392" s="135"/>
      <c r="AL392" s="135"/>
      <c r="AM392" s="135"/>
      <c r="AN392" s="135"/>
      <c r="AO392" s="44"/>
      <c r="AP392" s="135"/>
      <c r="AQ392" s="135"/>
      <c r="AR392" s="135"/>
      <c r="AS392" s="135"/>
      <c r="AT392" s="135"/>
      <c r="AU392" s="135"/>
      <c r="AV392" s="44"/>
      <c r="AW392" s="135"/>
      <c r="AX392" s="135"/>
      <c r="AY392" s="135"/>
      <c r="AZ392" s="135"/>
      <c r="BA392" s="135"/>
      <c r="BB392" s="135"/>
      <c r="BC392" s="44"/>
      <c r="BD392" s="135"/>
      <c r="BE392" s="135"/>
      <c r="BF392" s="135"/>
      <c r="BG392" s="135"/>
      <c r="BH392" s="135"/>
      <c r="BI392" s="135"/>
      <c r="BJ392" s="44"/>
      <c r="BK392" s="135"/>
      <c r="BL392" s="135"/>
      <c r="BM392" s="135"/>
      <c r="BN392" s="135"/>
      <c r="BO392" s="135"/>
      <c r="BP392" s="135"/>
      <c r="BQ392" s="44"/>
      <c r="BR392" s="135"/>
      <c r="BS392" s="135"/>
      <c r="BT392" s="135"/>
      <c r="BU392" s="135"/>
      <c r="BV392" s="135"/>
      <c r="BW392" s="135"/>
      <c r="BX392" s="44"/>
      <c r="BY392" s="135"/>
      <c r="BZ392" s="135"/>
      <c r="CA392" s="135"/>
      <c r="CB392" s="135"/>
      <c r="CC392" s="135"/>
      <c r="CD392" s="135"/>
      <c r="CE392" s="44"/>
      <c r="CF392" s="135"/>
      <c r="CG392" s="135"/>
      <c r="CH392" s="135"/>
      <c r="CI392" s="135"/>
      <c r="CJ392" s="135"/>
      <c r="CK392" s="135"/>
      <c r="CL392" s="44"/>
      <c r="CM392" s="135"/>
      <c r="CN392" s="135"/>
      <c r="CO392" s="135"/>
      <c r="CP392" s="135"/>
      <c r="CQ392" s="135"/>
      <c r="CR392" s="135"/>
      <c r="CS392" s="44"/>
      <c r="CT392" s="135"/>
      <c r="CU392" s="135"/>
      <c r="CV392" s="135"/>
      <c r="CW392" s="135"/>
      <c r="CX392" s="135"/>
      <c r="CY392" s="135"/>
      <c r="CZ392" s="44"/>
      <c r="DA392" s="135"/>
      <c r="DB392" s="135"/>
      <c r="DC392" s="135"/>
      <c r="DD392" s="135"/>
      <c r="DE392" s="135"/>
      <c r="DF392" s="135"/>
      <c r="DG392" s="44"/>
      <c r="DH392" s="135"/>
      <c r="DI392" s="135"/>
      <c r="DJ392" s="135"/>
      <c r="DK392" s="135"/>
      <c r="DL392" s="135"/>
      <c r="DM392" s="135"/>
      <c r="DN392" s="44"/>
      <c r="DO392" s="135"/>
      <c r="DP392" s="135"/>
      <c r="DQ392" s="135"/>
      <c r="DR392" s="135"/>
      <c r="DS392" s="135"/>
      <c r="DT392" s="135"/>
      <c r="DU392" s="44"/>
      <c r="DV392" s="135"/>
      <c r="DW392" s="135"/>
      <c r="DX392" s="135"/>
      <c r="DY392" s="135"/>
      <c r="DZ392" s="135"/>
      <c r="EA392" s="135"/>
      <c r="EB392" s="44"/>
      <c r="EC392" s="135"/>
      <c r="ED392" s="135"/>
      <c r="EE392" s="135"/>
      <c r="EF392" s="135"/>
      <c r="EG392" s="135"/>
      <c r="EH392" s="135"/>
      <c r="EI392" s="44"/>
      <c r="EJ392" s="47"/>
      <c r="EK392" s="47"/>
      <c r="EL392" s="47"/>
      <c r="EM392" s="47"/>
      <c r="EN392" s="47"/>
      <c r="EO392" s="47"/>
      <c r="EP392" s="47"/>
      <c r="EQ392" s="47"/>
      <c r="ER392" s="47"/>
      <c r="ES392" s="47"/>
      <c r="ET392" s="47"/>
      <c r="EU392" s="47"/>
      <c r="EV392" s="47"/>
      <c r="EW392" s="47"/>
      <c r="EX392" s="47"/>
      <c r="EY392" s="47"/>
      <c r="EZ392" s="47"/>
      <c r="FA392" s="47"/>
      <c r="FB392" s="47"/>
      <c r="FC392" s="47"/>
      <c r="FD392" s="47"/>
      <c r="FE392" s="47"/>
      <c r="FF392" s="47"/>
      <c r="FG392" s="47"/>
      <c r="FH392" s="47"/>
      <c r="FI392" s="47"/>
      <c r="FJ392" s="47"/>
      <c r="FK392" s="47"/>
      <c r="FL392" s="47"/>
      <c r="FM392" s="47"/>
      <c r="FN392" s="47"/>
      <c r="FO392" s="47"/>
      <c r="FP392" s="47"/>
      <c r="FQ392" s="47"/>
      <c r="FR392" s="47"/>
      <c r="FS392" s="47"/>
      <c r="FT392" s="47"/>
      <c r="FU392" s="47"/>
      <c r="FV392" s="47"/>
      <c r="FW392" s="47"/>
      <c r="FX392" s="47"/>
      <c r="FY392" s="47"/>
      <c r="FZ392" s="47"/>
      <c r="GA392" s="47"/>
      <c r="GB392" s="47"/>
      <c r="GC392" s="47"/>
      <c r="GD392" s="47"/>
      <c r="GE392" s="47"/>
    </row>
    <row r="393" spans="1:187" ht="10.5" customHeight="1">
      <c r="A393" s="43"/>
      <c r="B393" s="108"/>
      <c r="C393" s="108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135"/>
      <c r="O393" s="135"/>
      <c r="P393" s="135"/>
      <c r="Q393" s="135"/>
      <c r="R393" s="135"/>
      <c r="S393" s="135"/>
      <c r="T393" s="44"/>
      <c r="U393" s="135"/>
      <c r="V393" s="135"/>
      <c r="W393" s="135"/>
      <c r="X393" s="135"/>
      <c r="Y393" s="135"/>
      <c r="Z393" s="135"/>
      <c r="AA393" s="44"/>
      <c r="AB393" s="135"/>
      <c r="AC393" s="135"/>
      <c r="AD393" s="135"/>
      <c r="AE393" s="135"/>
      <c r="AF393" s="135"/>
      <c r="AG393" s="135"/>
      <c r="AH393" s="44"/>
      <c r="AI393" s="135"/>
      <c r="AJ393" s="135"/>
      <c r="AK393" s="135"/>
      <c r="AL393" s="135"/>
      <c r="AM393" s="135"/>
      <c r="AN393" s="135"/>
      <c r="AO393" s="44"/>
      <c r="AP393" s="135"/>
      <c r="AQ393" s="135"/>
      <c r="AR393" s="135"/>
      <c r="AS393" s="135"/>
      <c r="AT393" s="135"/>
      <c r="AU393" s="135"/>
      <c r="AV393" s="44"/>
      <c r="AW393" s="135"/>
      <c r="AX393" s="135"/>
      <c r="AY393" s="135"/>
      <c r="AZ393" s="135"/>
      <c r="BA393" s="135"/>
      <c r="BB393" s="135"/>
      <c r="BC393" s="44"/>
      <c r="BD393" s="135"/>
      <c r="BE393" s="135"/>
      <c r="BF393" s="135"/>
      <c r="BG393" s="135"/>
      <c r="BH393" s="135"/>
      <c r="BI393" s="135"/>
      <c r="BJ393" s="44"/>
      <c r="BK393" s="135"/>
      <c r="BL393" s="135"/>
      <c r="BM393" s="135"/>
      <c r="BN393" s="135"/>
      <c r="BO393" s="135"/>
      <c r="BP393" s="135"/>
      <c r="BQ393" s="44"/>
      <c r="BR393" s="135"/>
      <c r="BS393" s="135"/>
      <c r="BT393" s="135"/>
      <c r="BU393" s="135"/>
      <c r="BV393" s="135"/>
      <c r="BW393" s="135"/>
      <c r="BX393" s="44"/>
      <c r="BY393" s="135"/>
      <c r="BZ393" s="135"/>
      <c r="CA393" s="135"/>
      <c r="CB393" s="135"/>
      <c r="CC393" s="135"/>
      <c r="CD393" s="135"/>
      <c r="CE393" s="44"/>
      <c r="CF393" s="135"/>
      <c r="CG393" s="135"/>
      <c r="CH393" s="135"/>
      <c r="CI393" s="135"/>
      <c r="CJ393" s="135"/>
      <c r="CK393" s="135"/>
      <c r="CL393" s="44"/>
      <c r="CM393" s="135"/>
      <c r="CN393" s="135"/>
      <c r="CO393" s="135"/>
      <c r="CP393" s="135"/>
      <c r="CQ393" s="135"/>
      <c r="CR393" s="135"/>
      <c r="CS393" s="44"/>
      <c r="CT393" s="135"/>
      <c r="CU393" s="135"/>
      <c r="CV393" s="135"/>
      <c r="CW393" s="135"/>
      <c r="CX393" s="135"/>
      <c r="CY393" s="135"/>
      <c r="CZ393" s="44"/>
      <c r="DA393" s="135"/>
      <c r="DB393" s="135"/>
      <c r="DC393" s="135"/>
      <c r="DD393" s="135"/>
      <c r="DE393" s="135"/>
      <c r="DF393" s="135"/>
      <c r="DG393" s="44"/>
      <c r="DH393" s="135"/>
      <c r="DI393" s="135"/>
      <c r="DJ393" s="135"/>
      <c r="DK393" s="135"/>
      <c r="DL393" s="135"/>
      <c r="DM393" s="135"/>
      <c r="DN393" s="44"/>
      <c r="DO393" s="135"/>
      <c r="DP393" s="135"/>
      <c r="DQ393" s="135"/>
      <c r="DR393" s="135"/>
      <c r="DS393" s="135"/>
      <c r="DT393" s="135"/>
      <c r="DU393" s="44"/>
      <c r="DV393" s="135"/>
      <c r="DW393" s="135"/>
      <c r="DX393" s="135"/>
      <c r="DY393" s="135"/>
      <c r="DZ393" s="135"/>
      <c r="EA393" s="135"/>
      <c r="EB393" s="44"/>
      <c r="EC393" s="135"/>
      <c r="ED393" s="135"/>
      <c r="EE393" s="135"/>
      <c r="EF393" s="135"/>
      <c r="EG393" s="135"/>
      <c r="EH393" s="135"/>
      <c r="EI393" s="44"/>
      <c r="EJ393" s="47"/>
      <c r="EK393" s="47"/>
      <c r="EL393" s="47"/>
      <c r="EM393" s="47"/>
      <c r="EN393" s="47"/>
      <c r="EO393" s="47"/>
      <c r="EP393" s="47"/>
      <c r="EQ393" s="47"/>
      <c r="ER393" s="47"/>
      <c r="ES393" s="47"/>
      <c r="ET393" s="47"/>
      <c r="EU393" s="47"/>
      <c r="EV393" s="47"/>
      <c r="EW393" s="47"/>
      <c r="EX393" s="47"/>
      <c r="EY393" s="47"/>
      <c r="EZ393" s="47"/>
      <c r="FA393" s="47"/>
      <c r="FB393" s="47"/>
      <c r="FC393" s="47"/>
      <c r="FD393" s="47"/>
      <c r="FE393" s="47"/>
      <c r="FF393" s="47"/>
      <c r="FG393" s="47"/>
      <c r="FH393" s="47"/>
      <c r="FI393" s="47"/>
      <c r="FJ393" s="47"/>
      <c r="FK393" s="47"/>
      <c r="FL393" s="47"/>
      <c r="FM393" s="47"/>
      <c r="FN393" s="47"/>
      <c r="FO393" s="47"/>
      <c r="FP393" s="47"/>
      <c r="FQ393" s="47"/>
      <c r="FR393" s="47"/>
      <c r="FS393" s="47"/>
      <c r="FT393" s="47"/>
      <c r="FU393" s="47"/>
      <c r="FV393" s="47"/>
      <c r="FW393" s="47"/>
      <c r="FX393" s="47"/>
      <c r="FY393" s="47"/>
      <c r="FZ393" s="47"/>
      <c r="GA393" s="47"/>
      <c r="GB393" s="47"/>
      <c r="GC393" s="47"/>
      <c r="GD393" s="47"/>
      <c r="GE393" s="47"/>
    </row>
    <row r="394" spans="1:187" ht="10.5" customHeight="1">
      <c r="A394" s="43"/>
      <c r="B394" s="108"/>
      <c r="C394" s="108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135"/>
      <c r="O394" s="135"/>
      <c r="P394" s="135"/>
      <c r="Q394" s="135"/>
      <c r="R394" s="135"/>
      <c r="S394" s="135"/>
      <c r="T394" s="44"/>
      <c r="U394" s="135"/>
      <c r="V394" s="135"/>
      <c r="W394" s="135"/>
      <c r="X394" s="135"/>
      <c r="Y394" s="135"/>
      <c r="Z394" s="135"/>
      <c r="AA394" s="44"/>
      <c r="AB394" s="135"/>
      <c r="AC394" s="135"/>
      <c r="AD394" s="135"/>
      <c r="AE394" s="135"/>
      <c r="AF394" s="135"/>
      <c r="AG394" s="135"/>
      <c r="AH394" s="44"/>
      <c r="AI394" s="135"/>
      <c r="AJ394" s="135"/>
      <c r="AK394" s="135"/>
      <c r="AL394" s="135"/>
      <c r="AM394" s="135"/>
      <c r="AN394" s="135"/>
      <c r="AO394" s="44"/>
      <c r="AP394" s="135"/>
      <c r="AQ394" s="135"/>
      <c r="AR394" s="135"/>
      <c r="AS394" s="135"/>
      <c r="AT394" s="135"/>
      <c r="AU394" s="135"/>
      <c r="AV394" s="44"/>
      <c r="AW394" s="135"/>
      <c r="AX394" s="135"/>
      <c r="AY394" s="135"/>
      <c r="AZ394" s="135"/>
      <c r="BA394" s="135"/>
      <c r="BB394" s="135"/>
      <c r="BC394" s="44"/>
      <c r="BD394" s="135"/>
      <c r="BE394" s="135"/>
      <c r="BF394" s="135"/>
      <c r="BG394" s="135"/>
      <c r="BH394" s="135"/>
      <c r="BI394" s="135"/>
      <c r="BJ394" s="44"/>
      <c r="BK394" s="135"/>
      <c r="BL394" s="135"/>
      <c r="BM394" s="135"/>
      <c r="BN394" s="135"/>
      <c r="BO394" s="135"/>
      <c r="BP394" s="135"/>
      <c r="BQ394" s="44"/>
      <c r="BR394" s="135"/>
      <c r="BS394" s="135"/>
      <c r="BT394" s="135"/>
      <c r="BU394" s="135"/>
      <c r="BV394" s="135"/>
      <c r="BW394" s="135"/>
      <c r="BX394" s="44"/>
      <c r="BY394" s="135"/>
      <c r="BZ394" s="135"/>
      <c r="CA394" s="135"/>
      <c r="CB394" s="135"/>
      <c r="CC394" s="135"/>
      <c r="CD394" s="135"/>
      <c r="CE394" s="44"/>
      <c r="CF394" s="135"/>
      <c r="CG394" s="135"/>
      <c r="CH394" s="135"/>
      <c r="CI394" s="135"/>
      <c r="CJ394" s="135"/>
      <c r="CK394" s="135"/>
      <c r="CL394" s="44"/>
      <c r="CM394" s="135"/>
      <c r="CN394" s="135"/>
      <c r="CO394" s="135"/>
      <c r="CP394" s="135"/>
      <c r="CQ394" s="135"/>
      <c r="CR394" s="135"/>
      <c r="CS394" s="44"/>
      <c r="CT394" s="135"/>
      <c r="CU394" s="135"/>
      <c r="CV394" s="135"/>
      <c r="CW394" s="135"/>
      <c r="CX394" s="135"/>
      <c r="CY394" s="135"/>
      <c r="CZ394" s="44"/>
      <c r="DA394" s="135"/>
      <c r="DB394" s="135"/>
      <c r="DC394" s="135"/>
      <c r="DD394" s="135"/>
      <c r="DE394" s="135"/>
      <c r="DF394" s="135"/>
      <c r="DG394" s="44"/>
      <c r="DH394" s="135"/>
      <c r="DI394" s="135"/>
      <c r="DJ394" s="135"/>
      <c r="DK394" s="135"/>
      <c r="DL394" s="135"/>
      <c r="DM394" s="135"/>
      <c r="DN394" s="44"/>
      <c r="DO394" s="135"/>
      <c r="DP394" s="135"/>
      <c r="DQ394" s="135"/>
      <c r="DR394" s="135"/>
      <c r="DS394" s="135"/>
      <c r="DT394" s="135"/>
      <c r="DU394" s="44"/>
      <c r="DV394" s="135"/>
      <c r="DW394" s="135"/>
      <c r="DX394" s="135"/>
      <c r="DY394" s="135"/>
      <c r="DZ394" s="135"/>
      <c r="EA394" s="135"/>
      <c r="EB394" s="44"/>
      <c r="EC394" s="135"/>
      <c r="ED394" s="135"/>
      <c r="EE394" s="135"/>
      <c r="EF394" s="135"/>
      <c r="EG394" s="135"/>
      <c r="EH394" s="135"/>
      <c r="EI394" s="44"/>
      <c r="EJ394" s="47"/>
      <c r="EK394" s="47"/>
      <c r="EL394" s="47"/>
      <c r="EM394" s="47"/>
      <c r="EN394" s="47"/>
      <c r="EO394" s="47"/>
      <c r="EP394" s="47"/>
      <c r="EQ394" s="47"/>
      <c r="ER394" s="47"/>
      <c r="ES394" s="47"/>
      <c r="ET394" s="47"/>
      <c r="EU394" s="47"/>
      <c r="EV394" s="47"/>
      <c r="EW394" s="47"/>
      <c r="EX394" s="47"/>
      <c r="EY394" s="47"/>
      <c r="EZ394" s="47"/>
      <c r="FA394" s="47"/>
      <c r="FB394" s="47"/>
      <c r="FC394" s="47"/>
      <c r="FD394" s="47"/>
      <c r="FE394" s="47"/>
      <c r="FF394" s="47"/>
      <c r="FG394" s="47"/>
      <c r="FH394" s="47"/>
      <c r="FI394" s="47"/>
      <c r="FJ394" s="47"/>
      <c r="FK394" s="47"/>
      <c r="FL394" s="47"/>
      <c r="FM394" s="47"/>
      <c r="FN394" s="47"/>
      <c r="FO394" s="47"/>
      <c r="FP394" s="47"/>
      <c r="FQ394" s="47"/>
      <c r="FR394" s="47"/>
      <c r="FS394" s="47"/>
      <c r="FT394" s="47"/>
      <c r="FU394" s="47"/>
      <c r="FV394" s="47"/>
      <c r="FW394" s="47"/>
      <c r="FX394" s="47"/>
      <c r="FY394" s="47"/>
      <c r="FZ394" s="47"/>
      <c r="GA394" s="47"/>
      <c r="GB394" s="47"/>
      <c r="GC394" s="47"/>
      <c r="GD394" s="47"/>
      <c r="GE394" s="47"/>
    </row>
    <row r="395" spans="1:187" ht="10.5" customHeight="1">
      <c r="A395" s="43"/>
      <c r="B395" s="108"/>
      <c r="C395" s="108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135"/>
      <c r="O395" s="135"/>
      <c r="P395" s="135"/>
      <c r="Q395" s="135"/>
      <c r="R395" s="135"/>
      <c r="S395" s="135"/>
      <c r="T395" s="44"/>
      <c r="U395" s="135"/>
      <c r="V395" s="135"/>
      <c r="W395" s="135"/>
      <c r="X395" s="135"/>
      <c r="Y395" s="135"/>
      <c r="Z395" s="135"/>
      <c r="AA395" s="44"/>
      <c r="AB395" s="135"/>
      <c r="AC395" s="135"/>
      <c r="AD395" s="135"/>
      <c r="AE395" s="135"/>
      <c r="AF395" s="135"/>
      <c r="AG395" s="135"/>
      <c r="AH395" s="44"/>
      <c r="AI395" s="135"/>
      <c r="AJ395" s="135"/>
      <c r="AK395" s="135"/>
      <c r="AL395" s="135"/>
      <c r="AM395" s="135"/>
      <c r="AN395" s="135"/>
      <c r="AO395" s="44"/>
      <c r="AP395" s="135"/>
      <c r="AQ395" s="135"/>
      <c r="AR395" s="135"/>
      <c r="AS395" s="135"/>
      <c r="AT395" s="135"/>
      <c r="AU395" s="135"/>
      <c r="AV395" s="44"/>
      <c r="AW395" s="135"/>
      <c r="AX395" s="135"/>
      <c r="AY395" s="135"/>
      <c r="AZ395" s="135"/>
      <c r="BA395" s="135"/>
      <c r="BB395" s="135"/>
      <c r="BC395" s="44"/>
      <c r="BD395" s="135"/>
      <c r="BE395" s="135"/>
      <c r="BF395" s="135"/>
      <c r="BG395" s="135"/>
      <c r="BH395" s="135"/>
      <c r="BI395" s="135"/>
      <c r="BJ395" s="44"/>
      <c r="BK395" s="135"/>
      <c r="BL395" s="135"/>
      <c r="BM395" s="135"/>
      <c r="BN395" s="135"/>
      <c r="BO395" s="135"/>
      <c r="BP395" s="135"/>
      <c r="BQ395" s="44"/>
      <c r="BR395" s="135"/>
      <c r="BS395" s="135"/>
      <c r="BT395" s="135"/>
      <c r="BU395" s="135"/>
      <c r="BV395" s="135"/>
      <c r="BW395" s="135"/>
      <c r="BX395" s="44"/>
      <c r="BY395" s="135"/>
      <c r="BZ395" s="135"/>
      <c r="CA395" s="135"/>
      <c r="CB395" s="135"/>
      <c r="CC395" s="135"/>
      <c r="CD395" s="135"/>
      <c r="CE395" s="44"/>
      <c r="CF395" s="135"/>
      <c r="CG395" s="135"/>
      <c r="CH395" s="135"/>
      <c r="CI395" s="135"/>
      <c r="CJ395" s="135"/>
      <c r="CK395" s="135"/>
      <c r="CL395" s="44"/>
      <c r="CM395" s="135"/>
      <c r="CN395" s="135"/>
      <c r="CO395" s="135"/>
      <c r="CP395" s="135"/>
      <c r="CQ395" s="135"/>
      <c r="CR395" s="135"/>
      <c r="CS395" s="44"/>
      <c r="CT395" s="135"/>
      <c r="CU395" s="135"/>
      <c r="CV395" s="135"/>
      <c r="CW395" s="135"/>
      <c r="CX395" s="135"/>
      <c r="CY395" s="135"/>
      <c r="CZ395" s="44"/>
      <c r="DA395" s="135"/>
      <c r="DB395" s="135"/>
      <c r="DC395" s="135"/>
      <c r="DD395" s="135"/>
      <c r="DE395" s="135"/>
      <c r="DF395" s="135"/>
      <c r="DG395" s="44"/>
      <c r="DH395" s="135"/>
      <c r="DI395" s="135"/>
      <c r="DJ395" s="135"/>
      <c r="DK395" s="135"/>
      <c r="DL395" s="135"/>
      <c r="DM395" s="135"/>
      <c r="DN395" s="44"/>
      <c r="DO395" s="135"/>
      <c r="DP395" s="135"/>
      <c r="DQ395" s="135"/>
      <c r="DR395" s="135"/>
      <c r="DS395" s="135"/>
      <c r="DT395" s="135"/>
      <c r="DU395" s="44"/>
      <c r="DV395" s="135"/>
      <c r="DW395" s="135"/>
      <c r="DX395" s="135"/>
      <c r="DY395" s="135"/>
      <c r="DZ395" s="135"/>
      <c r="EA395" s="135"/>
      <c r="EB395" s="44"/>
      <c r="EC395" s="135"/>
      <c r="ED395" s="135"/>
      <c r="EE395" s="135"/>
      <c r="EF395" s="135"/>
      <c r="EG395" s="135"/>
      <c r="EH395" s="135"/>
      <c r="EI395" s="44"/>
      <c r="EJ395" s="47"/>
      <c r="EK395" s="47"/>
      <c r="EL395" s="47"/>
      <c r="EM395" s="47"/>
      <c r="EN395" s="47"/>
      <c r="EO395" s="47"/>
      <c r="EP395" s="47"/>
      <c r="EQ395" s="47"/>
      <c r="ER395" s="47"/>
      <c r="ES395" s="47"/>
      <c r="ET395" s="47"/>
      <c r="EU395" s="47"/>
      <c r="EV395" s="47"/>
      <c r="EW395" s="47"/>
      <c r="EX395" s="47"/>
      <c r="EY395" s="47"/>
      <c r="EZ395" s="47"/>
      <c r="FA395" s="47"/>
      <c r="FB395" s="47"/>
      <c r="FC395" s="47"/>
      <c r="FD395" s="47"/>
      <c r="FE395" s="47"/>
      <c r="FF395" s="47"/>
      <c r="FG395" s="47"/>
      <c r="FH395" s="47"/>
      <c r="FI395" s="47"/>
      <c r="FJ395" s="47"/>
      <c r="FK395" s="47"/>
      <c r="FL395" s="47"/>
      <c r="FM395" s="47"/>
      <c r="FN395" s="47"/>
      <c r="FO395" s="47"/>
      <c r="FP395" s="47"/>
      <c r="FQ395" s="47"/>
      <c r="FR395" s="47"/>
      <c r="FS395" s="47"/>
      <c r="FT395" s="47"/>
      <c r="FU395" s="47"/>
      <c r="FV395" s="47"/>
      <c r="FW395" s="47"/>
      <c r="FX395" s="47"/>
      <c r="FY395" s="47"/>
      <c r="FZ395" s="47"/>
      <c r="GA395" s="47"/>
      <c r="GB395" s="47"/>
      <c r="GC395" s="47"/>
      <c r="GD395" s="47"/>
      <c r="GE395" s="47"/>
    </row>
    <row r="396" spans="1:187" ht="10.5" customHeight="1">
      <c r="A396" s="43"/>
      <c r="B396" s="108"/>
      <c r="C396" s="108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5"/>
      <c r="O396" s="135"/>
      <c r="P396" s="135"/>
      <c r="Q396" s="135"/>
      <c r="R396" s="135"/>
      <c r="S396" s="135"/>
      <c r="T396" s="44"/>
      <c r="U396" s="135"/>
      <c r="V396" s="135"/>
      <c r="W396" s="135"/>
      <c r="X396" s="135"/>
      <c r="Y396" s="135"/>
      <c r="Z396" s="135"/>
      <c r="AA396" s="44"/>
      <c r="AB396" s="135"/>
      <c r="AC396" s="135"/>
      <c r="AD396" s="135"/>
      <c r="AE396" s="135"/>
      <c r="AF396" s="135"/>
      <c r="AG396" s="135"/>
      <c r="AH396" s="44"/>
      <c r="AI396" s="135"/>
      <c r="AJ396" s="135"/>
      <c r="AK396" s="135"/>
      <c r="AL396" s="135"/>
      <c r="AM396" s="135"/>
      <c r="AN396" s="135"/>
      <c r="AO396" s="44"/>
      <c r="AP396" s="135"/>
      <c r="AQ396" s="135"/>
      <c r="AR396" s="135"/>
      <c r="AS396" s="135"/>
      <c r="AT396" s="135"/>
      <c r="AU396" s="135"/>
      <c r="AV396" s="44"/>
      <c r="AW396" s="135"/>
      <c r="AX396" s="135"/>
      <c r="AY396" s="135"/>
      <c r="AZ396" s="135"/>
      <c r="BA396" s="135"/>
      <c r="BB396" s="135"/>
      <c r="BC396" s="44"/>
      <c r="BD396" s="135"/>
      <c r="BE396" s="135"/>
      <c r="BF396" s="135"/>
      <c r="BG396" s="135"/>
      <c r="BH396" s="135"/>
      <c r="BI396" s="135"/>
      <c r="BJ396" s="44"/>
      <c r="BK396" s="135"/>
      <c r="BL396" s="135"/>
      <c r="BM396" s="135"/>
      <c r="BN396" s="135"/>
      <c r="BO396" s="135"/>
      <c r="BP396" s="135"/>
      <c r="BQ396" s="44"/>
      <c r="BR396" s="135"/>
      <c r="BS396" s="135"/>
      <c r="BT396" s="135"/>
      <c r="BU396" s="135"/>
      <c r="BV396" s="135"/>
      <c r="BW396" s="135"/>
      <c r="BX396" s="44"/>
      <c r="BY396" s="135"/>
      <c r="BZ396" s="135"/>
      <c r="CA396" s="135"/>
      <c r="CB396" s="135"/>
      <c r="CC396" s="135"/>
      <c r="CD396" s="135"/>
      <c r="CE396" s="44"/>
      <c r="CF396" s="135"/>
      <c r="CG396" s="135"/>
      <c r="CH396" s="135"/>
      <c r="CI396" s="135"/>
      <c r="CJ396" s="135"/>
      <c r="CK396" s="135"/>
      <c r="CL396" s="44"/>
      <c r="CM396" s="135"/>
      <c r="CN396" s="135"/>
      <c r="CO396" s="135"/>
      <c r="CP396" s="135"/>
      <c r="CQ396" s="135"/>
      <c r="CR396" s="135"/>
      <c r="CS396" s="44"/>
      <c r="CT396" s="135"/>
      <c r="CU396" s="135"/>
      <c r="CV396" s="135"/>
      <c r="CW396" s="135"/>
      <c r="CX396" s="135"/>
      <c r="CY396" s="135"/>
      <c r="CZ396" s="44"/>
      <c r="DA396" s="135"/>
      <c r="DB396" s="135"/>
      <c r="DC396" s="135"/>
      <c r="DD396" s="135"/>
      <c r="DE396" s="135"/>
      <c r="DF396" s="135"/>
      <c r="DG396" s="44"/>
      <c r="DH396" s="135"/>
      <c r="DI396" s="135"/>
      <c r="DJ396" s="135"/>
      <c r="DK396" s="135"/>
      <c r="DL396" s="135"/>
      <c r="DM396" s="135"/>
      <c r="DN396" s="44"/>
      <c r="DO396" s="135"/>
      <c r="DP396" s="135"/>
      <c r="DQ396" s="135"/>
      <c r="DR396" s="135"/>
      <c r="DS396" s="135"/>
      <c r="DT396" s="135"/>
      <c r="DU396" s="44"/>
      <c r="DV396" s="135"/>
      <c r="DW396" s="135"/>
      <c r="DX396" s="135"/>
      <c r="DY396" s="135"/>
      <c r="DZ396" s="135"/>
      <c r="EA396" s="135"/>
      <c r="EB396" s="44"/>
      <c r="EC396" s="135"/>
      <c r="ED396" s="135"/>
      <c r="EE396" s="135"/>
      <c r="EF396" s="135"/>
      <c r="EG396" s="135"/>
      <c r="EH396" s="135"/>
      <c r="EI396" s="44"/>
      <c r="EJ396" s="47"/>
      <c r="EK396" s="47"/>
      <c r="EL396" s="47"/>
      <c r="EM396" s="47"/>
      <c r="EN396" s="47"/>
      <c r="EO396" s="47"/>
      <c r="EP396" s="47"/>
      <c r="EQ396" s="47"/>
      <c r="ER396" s="47"/>
      <c r="ES396" s="47"/>
      <c r="ET396" s="47"/>
      <c r="EU396" s="47"/>
      <c r="EV396" s="47"/>
      <c r="EW396" s="47"/>
      <c r="EX396" s="47"/>
      <c r="EY396" s="47"/>
      <c r="EZ396" s="47"/>
      <c r="FA396" s="47"/>
      <c r="FB396" s="47"/>
      <c r="FC396" s="47"/>
      <c r="FD396" s="47"/>
      <c r="FE396" s="47"/>
      <c r="FF396" s="47"/>
      <c r="FG396" s="47"/>
      <c r="FH396" s="47"/>
      <c r="FI396" s="47"/>
      <c r="FJ396" s="47"/>
      <c r="FK396" s="47"/>
      <c r="FL396" s="47"/>
      <c r="FM396" s="47"/>
      <c r="FN396" s="47"/>
      <c r="FO396" s="47"/>
      <c r="FP396" s="47"/>
      <c r="FQ396" s="47"/>
      <c r="FR396" s="47"/>
      <c r="FS396" s="47"/>
      <c r="FT396" s="47"/>
      <c r="FU396" s="47"/>
      <c r="FV396" s="47"/>
      <c r="FW396" s="47"/>
      <c r="FX396" s="47"/>
      <c r="FY396" s="47"/>
      <c r="FZ396" s="47"/>
      <c r="GA396" s="47"/>
      <c r="GB396" s="47"/>
      <c r="GC396" s="47"/>
      <c r="GD396" s="47"/>
      <c r="GE396" s="47"/>
    </row>
    <row r="397" spans="1:187" ht="10.5" customHeight="1">
      <c r="A397" s="43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43"/>
      <c r="U397" s="108"/>
      <c r="V397" s="108"/>
      <c r="W397" s="108"/>
      <c r="X397" s="108"/>
      <c r="Y397" s="108"/>
      <c r="Z397" s="108"/>
      <c r="AA397" s="43"/>
      <c r="AB397" s="108"/>
      <c r="AC397" s="108"/>
      <c r="AD397" s="108"/>
      <c r="AE397" s="108"/>
      <c r="AF397" s="108"/>
      <c r="AG397" s="108"/>
      <c r="AH397" s="43"/>
      <c r="AI397" s="108"/>
      <c r="AJ397" s="108"/>
      <c r="AK397" s="108"/>
      <c r="AL397" s="108"/>
      <c r="AM397" s="108"/>
      <c r="AN397" s="108"/>
      <c r="AO397" s="43"/>
      <c r="AP397" s="108"/>
      <c r="AQ397" s="108"/>
      <c r="AR397" s="108"/>
      <c r="AS397" s="108"/>
      <c r="AT397" s="108"/>
      <c r="AU397" s="108"/>
      <c r="AV397" s="43"/>
      <c r="AW397" s="108"/>
      <c r="AX397" s="108"/>
      <c r="AY397" s="108"/>
      <c r="AZ397" s="108"/>
      <c r="BA397" s="108"/>
      <c r="BB397" s="108"/>
      <c r="BC397" s="43"/>
      <c r="BD397" s="108"/>
      <c r="BE397" s="108"/>
      <c r="BF397" s="108"/>
      <c r="BG397" s="108"/>
      <c r="BH397" s="108"/>
      <c r="BI397" s="108"/>
      <c r="BJ397" s="43"/>
      <c r="BK397" s="108"/>
      <c r="BL397" s="108"/>
      <c r="BM397" s="108"/>
      <c r="BN397" s="108"/>
      <c r="BO397" s="108"/>
      <c r="BP397" s="108"/>
      <c r="BQ397" s="43"/>
      <c r="BR397" s="108"/>
      <c r="BS397" s="108"/>
      <c r="BT397" s="108"/>
      <c r="BU397" s="108"/>
      <c r="BV397" s="108"/>
      <c r="BW397" s="108"/>
      <c r="BX397" s="43"/>
      <c r="BY397" s="108"/>
      <c r="BZ397" s="108"/>
      <c r="CA397" s="108"/>
      <c r="CB397" s="108"/>
      <c r="CC397" s="108"/>
      <c r="CD397" s="108"/>
      <c r="CE397" s="43"/>
      <c r="CF397" s="108"/>
      <c r="CG397" s="108"/>
      <c r="CH397" s="108"/>
      <c r="CI397" s="108"/>
      <c r="CJ397" s="108"/>
      <c r="CK397" s="108"/>
      <c r="CL397" s="43"/>
      <c r="CM397" s="108"/>
      <c r="CN397" s="108"/>
      <c r="CO397" s="108"/>
      <c r="CP397" s="108"/>
      <c r="CQ397" s="108"/>
      <c r="CR397" s="108"/>
      <c r="CS397" s="43"/>
      <c r="CT397" s="108"/>
      <c r="CU397" s="108"/>
      <c r="CV397" s="108"/>
      <c r="CW397" s="108"/>
      <c r="CX397" s="108"/>
      <c r="CY397" s="108"/>
      <c r="CZ397" s="43"/>
      <c r="DA397" s="108"/>
      <c r="DB397" s="108"/>
      <c r="DC397" s="108"/>
      <c r="DD397" s="108"/>
      <c r="DE397" s="108"/>
      <c r="DF397" s="108"/>
      <c r="DG397" s="43"/>
      <c r="DH397" s="108"/>
      <c r="DI397" s="108"/>
      <c r="DJ397" s="108"/>
      <c r="DK397" s="108"/>
      <c r="DL397" s="108"/>
      <c r="DM397" s="108"/>
      <c r="DN397" s="43"/>
      <c r="DO397" s="108"/>
      <c r="DP397" s="108"/>
      <c r="DQ397" s="108"/>
      <c r="DR397" s="108"/>
      <c r="DS397" s="108"/>
      <c r="DT397" s="108"/>
      <c r="DU397" s="43"/>
      <c r="DV397" s="108"/>
      <c r="DW397" s="108"/>
      <c r="DX397" s="108"/>
      <c r="DY397" s="108"/>
      <c r="DZ397" s="108"/>
      <c r="EA397" s="108"/>
      <c r="EB397" s="43"/>
      <c r="EC397" s="108"/>
      <c r="ED397" s="108"/>
      <c r="EE397" s="108"/>
      <c r="EF397" s="108"/>
      <c r="EG397" s="108"/>
      <c r="EH397" s="108"/>
      <c r="EI397" s="43"/>
      <c r="EJ397" s="47"/>
      <c r="EK397" s="47"/>
      <c r="EL397" s="47"/>
      <c r="EM397" s="47"/>
      <c r="EN397" s="47"/>
      <c r="EO397" s="47"/>
      <c r="EP397" s="47"/>
      <c r="EQ397" s="47"/>
      <c r="ER397" s="47"/>
      <c r="ES397" s="47"/>
      <c r="ET397" s="47"/>
      <c r="EU397" s="47"/>
      <c r="EV397" s="47"/>
      <c r="EW397" s="47"/>
      <c r="EX397" s="47"/>
      <c r="EY397" s="47"/>
      <c r="EZ397" s="47"/>
      <c r="FA397" s="47"/>
      <c r="FB397" s="47"/>
      <c r="FC397" s="47"/>
      <c r="FD397" s="47"/>
      <c r="FE397" s="47"/>
      <c r="FF397" s="47"/>
      <c r="FG397" s="47"/>
      <c r="FH397" s="47"/>
      <c r="FI397" s="47"/>
      <c r="FJ397" s="47"/>
      <c r="FK397" s="47"/>
      <c r="FL397" s="47"/>
      <c r="FM397" s="47"/>
      <c r="FN397" s="47"/>
      <c r="FO397" s="47"/>
      <c r="FP397" s="47"/>
      <c r="FQ397" s="47"/>
      <c r="FR397" s="47"/>
      <c r="FS397" s="47"/>
      <c r="FT397" s="47"/>
      <c r="FU397" s="47"/>
      <c r="FV397" s="47"/>
      <c r="FW397" s="47"/>
      <c r="FX397" s="47"/>
      <c r="FY397" s="47"/>
      <c r="FZ397" s="47"/>
      <c r="GA397" s="47"/>
      <c r="GB397" s="47"/>
      <c r="GC397" s="47"/>
      <c r="GD397" s="47"/>
      <c r="GE397" s="47"/>
    </row>
    <row r="398" spans="1:187" ht="10.5" customHeight="1">
      <c r="A398" s="4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43"/>
      <c r="U398" s="108"/>
      <c r="V398" s="108"/>
      <c r="W398" s="108"/>
      <c r="X398" s="108"/>
      <c r="Y398" s="108"/>
      <c r="Z398" s="108"/>
      <c r="AA398" s="43"/>
      <c r="AB398" s="108"/>
      <c r="AC398" s="108"/>
      <c r="AD398" s="108"/>
      <c r="AE398" s="108"/>
      <c r="AF398" s="108"/>
      <c r="AG398" s="108"/>
      <c r="AH398" s="43"/>
      <c r="AI398" s="108"/>
      <c r="AJ398" s="108"/>
      <c r="AK398" s="108"/>
      <c r="AL398" s="108"/>
      <c r="AM398" s="108"/>
      <c r="AN398" s="108"/>
      <c r="AO398" s="43"/>
      <c r="AP398" s="108"/>
      <c r="AQ398" s="108"/>
      <c r="AR398" s="108"/>
      <c r="AS398" s="108"/>
      <c r="AT398" s="108"/>
      <c r="AU398" s="108"/>
      <c r="AV398" s="43"/>
      <c r="AW398" s="108"/>
      <c r="AX398" s="108"/>
      <c r="AY398" s="108"/>
      <c r="AZ398" s="108"/>
      <c r="BA398" s="108"/>
      <c r="BB398" s="108"/>
      <c r="BC398" s="43"/>
      <c r="BD398" s="108"/>
      <c r="BE398" s="108"/>
      <c r="BF398" s="108"/>
      <c r="BG398" s="108"/>
      <c r="BH398" s="108"/>
      <c r="BI398" s="108"/>
      <c r="BJ398" s="43"/>
      <c r="BK398" s="108"/>
      <c r="BL398" s="108"/>
      <c r="BM398" s="108"/>
      <c r="BN398" s="108"/>
      <c r="BO398" s="108"/>
      <c r="BP398" s="108"/>
      <c r="BQ398" s="43"/>
      <c r="BR398" s="108"/>
      <c r="BS398" s="108"/>
      <c r="BT398" s="108"/>
      <c r="BU398" s="108"/>
      <c r="BV398" s="108"/>
      <c r="BW398" s="108"/>
      <c r="BX398" s="43"/>
      <c r="BY398" s="108"/>
      <c r="BZ398" s="108"/>
      <c r="CA398" s="108"/>
      <c r="CB398" s="108"/>
      <c r="CC398" s="108"/>
      <c r="CD398" s="108"/>
      <c r="CE398" s="43"/>
      <c r="CF398" s="108"/>
      <c r="CG398" s="108"/>
      <c r="CH398" s="108"/>
      <c r="CI398" s="108"/>
      <c r="CJ398" s="108"/>
      <c r="CK398" s="108"/>
      <c r="CL398" s="43"/>
      <c r="CM398" s="108"/>
      <c r="CN398" s="108"/>
      <c r="CO398" s="108"/>
      <c r="CP398" s="108"/>
      <c r="CQ398" s="108"/>
      <c r="CR398" s="108"/>
      <c r="CS398" s="43"/>
      <c r="CT398" s="108"/>
      <c r="CU398" s="108"/>
      <c r="CV398" s="108"/>
      <c r="CW398" s="108"/>
      <c r="CX398" s="108"/>
      <c r="CY398" s="108"/>
      <c r="CZ398" s="43"/>
      <c r="DA398" s="108"/>
      <c r="DB398" s="108"/>
      <c r="DC398" s="108"/>
      <c r="DD398" s="108"/>
      <c r="DE398" s="108"/>
      <c r="DF398" s="108"/>
      <c r="DG398" s="43"/>
      <c r="DH398" s="108"/>
      <c r="DI398" s="108"/>
      <c r="DJ398" s="108"/>
      <c r="DK398" s="108"/>
      <c r="DL398" s="108"/>
      <c r="DM398" s="108"/>
      <c r="DN398" s="43"/>
      <c r="DO398" s="108"/>
      <c r="DP398" s="108"/>
      <c r="DQ398" s="108"/>
      <c r="DR398" s="108"/>
      <c r="DS398" s="108"/>
      <c r="DT398" s="108"/>
      <c r="DU398" s="43"/>
      <c r="DV398" s="108"/>
      <c r="DW398" s="108"/>
      <c r="DX398" s="108"/>
      <c r="DY398" s="108"/>
      <c r="DZ398" s="108"/>
      <c r="EA398" s="108"/>
      <c r="EB398" s="43"/>
      <c r="EC398" s="108"/>
      <c r="ED398" s="108"/>
      <c r="EE398" s="108"/>
      <c r="EF398" s="108"/>
      <c r="EG398" s="108"/>
      <c r="EH398" s="108"/>
      <c r="EI398" s="43"/>
      <c r="EJ398" s="47"/>
      <c r="EK398" s="47"/>
      <c r="EL398" s="47"/>
      <c r="EM398" s="47"/>
      <c r="EN398" s="47"/>
      <c r="EO398" s="47"/>
      <c r="EP398" s="47"/>
      <c r="EQ398" s="47"/>
      <c r="ER398" s="47"/>
      <c r="ES398" s="47"/>
      <c r="ET398" s="47"/>
      <c r="EU398" s="47"/>
      <c r="EV398" s="47"/>
      <c r="EW398" s="47"/>
      <c r="EX398" s="47"/>
      <c r="EY398" s="47"/>
      <c r="EZ398" s="47"/>
      <c r="FA398" s="47"/>
      <c r="FB398" s="47"/>
      <c r="FC398" s="47"/>
      <c r="FD398" s="47"/>
      <c r="FE398" s="47"/>
      <c r="FF398" s="47"/>
      <c r="FG398" s="47"/>
      <c r="FH398" s="47"/>
      <c r="FI398" s="47"/>
      <c r="FJ398" s="47"/>
      <c r="FK398" s="47"/>
      <c r="FL398" s="47"/>
      <c r="FM398" s="47"/>
      <c r="FN398" s="47"/>
      <c r="FO398" s="47"/>
      <c r="FP398" s="47"/>
      <c r="FQ398" s="47"/>
      <c r="FR398" s="47"/>
      <c r="FS398" s="47"/>
      <c r="FT398" s="47"/>
      <c r="FU398" s="47"/>
      <c r="FV398" s="47"/>
      <c r="FW398" s="47"/>
      <c r="FX398" s="47"/>
      <c r="FY398" s="47"/>
      <c r="FZ398" s="47"/>
      <c r="GA398" s="47"/>
      <c r="GB398" s="47"/>
      <c r="GC398" s="47"/>
      <c r="GD398" s="47"/>
      <c r="GE398" s="47"/>
    </row>
    <row r="399" spans="1:187" ht="10.5" customHeight="1">
      <c r="A399" s="43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43"/>
      <c r="U399" s="108"/>
      <c r="V399" s="108"/>
      <c r="W399" s="108"/>
      <c r="X399" s="108"/>
      <c r="Y399" s="108"/>
      <c r="Z399" s="108"/>
      <c r="AA399" s="43"/>
      <c r="AB399" s="108"/>
      <c r="AC399" s="108"/>
      <c r="AD399" s="108"/>
      <c r="AE399" s="108"/>
      <c r="AF399" s="108"/>
      <c r="AG399" s="108"/>
      <c r="AH399" s="43"/>
      <c r="AI399" s="108"/>
      <c r="AJ399" s="108"/>
      <c r="AK399" s="108"/>
      <c r="AL399" s="108"/>
      <c r="AM399" s="108"/>
      <c r="AN399" s="108"/>
      <c r="AO399" s="43"/>
      <c r="AP399" s="108"/>
      <c r="AQ399" s="108"/>
      <c r="AR399" s="108"/>
      <c r="AS399" s="108"/>
      <c r="AT399" s="108"/>
      <c r="AU399" s="108"/>
      <c r="AV399" s="43"/>
      <c r="AW399" s="108"/>
      <c r="AX399" s="108"/>
      <c r="AY399" s="108"/>
      <c r="AZ399" s="108"/>
      <c r="BA399" s="108"/>
      <c r="BB399" s="108"/>
      <c r="BC399" s="43"/>
      <c r="BD399" s="108"/>
      <c r="BE399" s="108"/>
      <c r="BF399" s="108"/>
      <c r="BG399" s="108"/>
      <c r="BH399" s="108"/>
      <c r="BI399" s="108"/>
      <c r="BJ399" s="43"/>
      <c r="BK399" s="108"/>
      <c r="BL399" s="108"/>
      <c r="BM399" s="108"/>
      <c r="BN399" s="108"/>
      <c r="BO399" s="108"/>
      <c r="BP399" s="108"/>
      <c r="BQ399" s="43"/>
      <c r="BR399" s="108"/>
      <c r="BS399" s="108"/>
      <c r="BT399" s="108"/>
      <c r="BU399" s="108"/>
      <c r="BV399" s="108"/>
      <c r="BW399" s="108"/>
      <c r="BX399" s="43"/>
      <c r="BY399" s="108"/>
      <c r="BZ399" s="108"/>
      <c r="CA399" s="108"/>
      <c r="CB399" s="108"/>
      <c r="CC399" s="108"/>
      <c r="CD399" s="108"/>
      <c r="CE399" s="43"/>
      <c r="CF399" s="108"/>
      <c r="CG399" s="108"/>
      <c r="CH399" s="108"/>
      <c r="CI399" s="108"/>
      <c r="CJ399" s="108"/>
      <c r="CK399" s="108"/>
      <c r="CL399" s="43"/>
      <c r="CM399" s="108"/>
      <c r="CN399" s="108"/>
      <c r="CO399" s="108"/>
      <c r="CP399" s="108"/>
      <c r="CQ399" s="108"/>
      <c r="CR399" s="108"/>
      <c r="CS399" s="43"/>
      <c r="CT399" s="108"/>
      <c r="CU399" s="108"/>
      <c r="CV399" s="108"/>
      <c r="CW399" s="108"/>
      <c r="CX399" s="108"/>
      <c r="CY399" s="108"/>
      <c r="CZ399" s="43"/>
      <c r="DA399" s="108"/>
      <c r="DB399" s="108"/>
      <c r="DC399" s="108"/>
      <c r="DD399" s="108"/>
      <c r="DE399" s="108"/>
      <c r="DF399" s="108"/>
      <c r="DG399" s="43"/>
      <c r="DH399" s="108"/>
      <c r="DI399" s="108"/>
      <c r="DJ399" s="108"/>
      <c r="DK399" s="108"/>
      <c r="DL399" s="108"/>
      <c r="DM399" s="108"/>
      <c r="DN399" s="43"/>
      <c r="DO399" s="108"/>
      <c r="DP399" s="108"/>
      <c r="DQ399" s="108"/>
      <c r="DR399" s="108"/>
      <c r="DS399" s="108"/>
      <c r="DT399" s="108"/>
      <c r="DU399" s="43"/>
      <c r="DV399" s="108"/>
      <c r="DW399" s="108"/>
      <c r="DX399" s="108"/>
      <c r="DY399" s="108"/>
      <c r="DZ399" s="108"/>
      <c r="EA399" s="108"/>
      <c r="EB399" s="43"/>
      <c r="EC399" s="108"/>
      <c r="ED399" s="108"/>
      <c r="EE399" s="108"/>
      <c r="EF399" s="108"/>
      <c r="EG399" s="108"/>
      <c r="EH399" s="108"/>
      <c r="EI399" s="43"/>
      <c r="EJ399" s="47"/>
      <c r="EK399" s="47"/>
      <c r="EL399" s="47"/>
      <c r="EM399" s="47"/>
      <c r="EN399" s="47"/>
      <c r="EO399" s="47"/>
      <c r="EP399" s="47"/>
      <c r="EQ399" s="47"/>
      <c r="ER399" s="47"/>
      <c r="ES399" s="47"/>
      <c r="ET399" s="47"/>
      <c r="EU399" s="47"/>
      <c r="EV399" s="47"/>
      <c r="EW399" s="47"/>
      <c r="EX399" s="47"/>
      <c r="EY399" s="47"/>
      <c r="EZ399" s="47"/>
      <c r="FA399" s="47"/>
      <c r="FB399" s="47"/>
      <c r="FC399" s="47"/>
      <c r="FD399" s="47"/>
      <c r="FE399" s="47"/>
      <c r="FF399" s="47"/>
      <c r="FG399" s="47"/>
      <c r="FH399" s="47"/>
      <c r="FI399" s="47"/>
      <c r="FJ399" s="47"/>
      <c r="FK399" s="47"/>
      <c r="FL399" s="47"/>
      <c r="FM399" s="47"/>
      <c r="FN399" s="47"/>
      <c r="FO399" s="47"/>
      <c r="FP399" s="47"/>
      <c r="FQ399" s="47"/>
      <c r="FR399" s="47"/>
      <c r="FS399" s="47"/>
      <c r="FT399" s="47"/>
      <c r="FU399" s="47"/>
      <c r="FV399" s="47"/>
      <c r="FW399" s="47"/>
      <c r="FX399" s="47"/>
      <c r="FY399" s="47"/>
      <c r="FZ399" s="47"/>
      <c r="GA399" s="47"/>
      <c r="GB399" s="47"/>
      <c r="GC399" s="47"/>
      <c r="GD399" s="47"/>
      <c r="GE399" s="47"/>
    </row>
    <row r="400" spans="1:187" ht="10.5" customHeight="1">
      <c r="A400" s="43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43"/>
      <c r="U400" s="108"/>
      <c r="V400" s="108"/>
      <c r="W400" s="108"/>
      <c r="X400" s="108"/>
      <c r="Y400" s="108"/>
      <c r="Z400" s="108"/>
      <c r="AA400" s="43"/>
      <c r="AB400" s="108"/>
      <c r="AC400" s="108"/>
      <c r="AD400" s="108"/>
      <c r="AE400" s="108"/>
      <c r="AF400" s="108"/>
      <c r="AG400" s="108"/>
      <c r="AH400" s="43"/>
      <c r="AI400" s="108"/>
      <c r="AJ400" s="108"/>
      <c r="AK400" s="108"/>
      <c r="AL400" s="108"/>
      <c r="AM400" s="108"/>
      <c r="AN400" s="108"/>
      <c r="AO400" s="43"/>
      <c r="AP400" s="108"/>
      <c r="AQ400" s="108"/>
      <c r="AR400" s="108"/>
      <c r="AS400" s="108"/>
      <c r="AT400" s="108"/>
      <c r="AU400" s="108"/>
      <c r="AV400" s="43"/>
      <c r="AW400" s="108"/>
      <c r="AX400" s="108"/>
      <c r="AY400" s="108"/>
      <c r="AZ400" s="108"/>
      <c r="BA400" s="108"/>
      <c r="BB400" s="108"/>
      <c r="BC400" s="43"/>
      <c r="BD400" s="108"/>
      <c r="BE400" s="108"/>
      <c r="BF400" s="108"/>
      <c r="BG400" s="108"/>
      <c r="BH400" s="108"/>
      <c r="BI400" s="108"/>
      <c r="BJ400" s="43"/>
      <c r="BK400" s="108"/>
      <c r="BL400" s="108"/>
      <c r="BM400" s="108"/>
      <c r="BN400" s="108"/>
      <c r="BO400" s="108"/>
      <c r="BP400" s="108"/>
      <c r="BQ400" s="43"/>
      <c r="BR400" s="108"/>
      <c r="BS400" s="108"/>
      <c r="BT400" s="108"/>
      <c r="BU400" s="108"/>
      <c r="BV400" s="108"/>
      <c r="BW400" s="108"/>
      <c r="BX400" s="43"/>
      <c r="BY400" s="108"/>
      <c r="BZ400" s="108"/>
      <c r="CA400" s="108"/>
      <c r="CB400" s="108"/>
      <c r="CC400" s="108"/>
      <c r="CD400" s="108"/>
      <c r="CE400" s="43"/>
      <c r="CF400" s="108"/>
      <c r="CG400" s="108"/>
      <c r="CH400" s="108"/>
      <c r="CI400" s="108"/>
      <c r="CJ400" s="108"/>
      <c r="CK400" s="108"/>
      <c r="CL400" s="43"/>
      <c r="CM400" s="108"/>
      <c r="CN400" s="108"/>
      <c r="CO400" s="108"/>
      <c r="CP400" s="108"/>
      <c r="CQ400" s="108"/>
      <c r="CR400" s="108"/>
      <c r="CS400" s="43"/>
      <c r="CT400" s="108"/>
      <c r="CU400" s="108"/>
      <c r="CV400" s="108"/>
      <c r="CW400" s="108"/>
      <c r="CX400" s="108"/>
      <c r="CY400" s="108"/>
      <c r="CZ400" s="43"/>
      <c r="DA400" s="108"/>
      <c r="DB400" s="108"/>
      <c r="DC400" s="108"/>
      <c r="DD400" s="108"/>
      <c r="DE400" s="108"/>
      <c r="DF400" s="108"/>
      <c r="DG400" s="43"/>
      <c r="DH400" s="108"/>
      <c r="DI400" s="108"/>
      <c r="DJ400" s="108"/>
      <c r="DK400" s="108"/>
      <c r="DL400" s="108"/>
      <c r="DM400" s="108"/>
      <c r="DN400" s="43"/>
      <c r="DO400" s="108"/>
      <c r="DP400" s="108"/>
      <c r="DQ400" s="108"/>
      <c r="DR400" s="108"/>
      <c r="DS400" s="108"/>
      <c r="DT400" s="108"/>
      <c r="DU400" s="43"/>
      <c r="DV400" s="108"/>
      <c r="DW400" s="108"/>
      <c r="DX400" s="108"/>
      <c r="DY400" s="108"/>
      <c r="DZ400" s="108"/>
      <c r="EA400" s="108"/>
      <c r="EB400" s="43"/>
      <c r="EC400" s="108"/>
      <c r="ED400" s="108"/>
      <c r="EE400" s="108"/>
      <c r="EF400" s="108"/>
      <c r="EG400" s="108"/>
      <c r="EH400" s="108"/>
      <c r="EI400" s="43"/>
      <c r="EJ400" s="47"/>
      <c r="EK400" s="47"/>
      <c r="EL400" s="47"/>
      <c r="EM400" s="47"/>
      <c r="EN400" s="47"/>
      <c r="EO400" s="47"/>
      <c r="EP400" s="47"/>
      <c r="EQ400" s="47"/>
      <c r="ER400" s="47"/>
      <c r="ES400" s="47"/>
      <c r="ET400" s="47"/>
      <c r="EU400" s="47"/>
      <c r="EV400" s="47"/>
      <c r="EW400" s="47"/>
      <c r="EX400" s="47"/>
      <c r="EY400" s="47"/>
      <c r="EZ400" s="47"/>
      <c r="FA400" s="47"/>
      <c r="FB400" s="47"/>
      <c r="FC400" s="47"/>
      <c r="FD400" s="47"/>
      <c r="FE400" s="47"/>
      <c r="FF400" s="47"/>
      <c r="FG400" s="47"/>
      <c r="FH400" s="47"/>
      <c r="FI400" s="47"/>
      <c r="FJ400" s="47"/>
      <c r="FK400" s="47"/>
      <c r="FL400" s="47"/>
      <c r="FM400" s="47"/>
      <c r="FN400" s="47"/>
      <c r="FO400" s="47"/>
      <c r="FP400" s="47"/>
      <c r="FQ400" s="47"/>
      <c r="FR400" s="47"/>
      <c r="FS400" s="47"/>
      <c r="FT400" s="47"/>
      <c r="FU400" s="47"/>
      <c r="FV400" s="47"/>
      <c r="FW400" s="47"/>
      <c r="FX400" s="47"/>
      <c r="FY400" s="47"/>
      <c r="FZ400" s="47"/>
      <c r="GA400" s="47"/>
      <c r="GB400" s="47"/>
      <c r="GC400" s="47"/>
      <c r="GD400" s="47"/>
      <c r="GE400" s="47"/>
    </row>
    <row r="401" spans="1:187" ht="10.5" customHeight="1">
      <c r="A401" s="43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43"/>
      <c r="U401" s="108"/>
      <c r="V401" s="108"/>
      <c r="W401" s="108"/>
      <c r="X401" s="108"/>
      <c r="Y401" s="108"/>
      <c r="Z401" s="108"/>
      <c r="AA401" s="43"/>
      <c r="AB401" s="108"/>
      <c r="AC401" s="108"/>
      <c r="AD401" s="108"/>
      <c r="AE401" s="108"/>
      <c r="AF401" s="108"/>
      <c r="AG401" s="108"/>
      <c r="AH401" s="43"/>
      <c r="AI401" s="108"/>
      <c r="AJ401" s="108"/>
      <c r="AK401" s="108"/>
      <c r="AL401" s="108"/>
      <c r="AM401" s="108"/>
      <c r="AN401" s="108"/>
      <c r="AO401" s="43"/>
      <c r="AP401" s="108"/>
      <c r="AQ401" s="108"/>
      <c r="AR401" s="108"/>
      <c r="AS401" s="108"/>
      <c r="AT401" s="108"/>
      <c r="AU401" s="108"/>
      <c r="AV401" s="43"/>
      <c r="AW401" s="108"/>
      <c r="AX401" s="108"/>
      <c r="AY401" s="108"/>
      <c r="AZ401" s="108"/>
      <c r="BA401" s="108"/>
      <c r="BB401" s="108"/>
      <c r="BC401" s="43"/>
      <c r="BD401" s="108"/>
      <c r="BE401" s="108"/>
      <c r="BF401" s="108"/>
      <c r="BG401" s="108"/>
      <c r="BH401" s="108"/>
      <c r="BI401" s="108"/>
      <c r="BJ401" s="43"/>
      <c r="BK401" s="108"/>
      <c r="BL401" s="108"/>
      <c r="BM401" s="108"/>
      <c r="BN401" s="108"/>
      <c r="BO401" s="108"/>
      <c r="BP401" s="108"/>
      <c r="BQ401" s="43"/>
      <c r="BR401" s="108"/>
      <c r="BS401" s="108"/>
      <c r="BT401" s="108"/>
      <c r="BU401" s="108"/>
      <c r="BV401" s="108"/>
      <c r="BW401" s="108"/>
      <c r="BX401" s="43"/>
      <c r="BY401" s="108"/>
      <c r="BZ401" s="108"/>
      <c r="CA401" s="108"/>
      <c r="CB401" s="108"/>
      <c r="CC401" s="108"/>
      <c r="CD401" s="108"/>
      <c r="CE401" s="43"/>
      <c r="CF401" s="108"/>
      <c r="CG401" s="108"/>
      <c r="CH401" s="108"/>
      <c r="CI401" s="108"/>
      <c r="CJ401" s="108"/>
      <c r="CK401" s="108"/>
      <c r="CL401" s="43"/>
      <c r="CM401" s="108"/>
      <c r="CN401" s="108"/>
      <c r="CO401" s="108"/>
      <c r="CP401" s="108"/>
      <c r="CQ401" s="108"/>
      <c r="CR401" s="108"/>
      <c r="CS401" s="43"/>
      <c r="CT401" s="108"/>
      <c r="CU401" s="108"/>
      <c r="CV401" s="108"/>
      <c r="CW401" s="108"/>
      <c r="CX401" s="108"/>
      <c r="CY401" s="108"/>
      <c r="CZ401" s="43"/>
      <c r="DA401" s="108"/>
      <c r="DB401" s="108"/>
      <c r="DC401" s="108"/>
      <c r="DD401" s="108"/>
      <c r="DE401" s="108"/>
      <c r="DF401" s="108"/>
      <c r="DG401" s="43"/>
      <c r="DH401" s="108"/>
      <c r="DI401" s="108"/>
      <c r="DJ401" s="108"/>
      <c r="DK401" s="108"/>
      <c r="DL401" s="108"/>
      <c r="DM401" s="108"/>
      <c r="DN401" s="43"/>
      <c r="DO401" s="108"/>
      <c r="DP401" s="108"/>
      <c r="DQ401" s="108"/>
      <c r="DR401" s="108"/>
      <c r="DS401" s="108"/>
      <c r="DT401" s="108"/>
      <c r="DU401" s="43"/>
      <c r="DV401" s="108"/>
      <c r="DW401" s="108"/>
      <c r="DX401" s="108"/>
      <c r="DY401" s="108"/>
      <c r="DZ401" s="108"/>
      <c r="EA401" s="108"/>
      <c r="EB401" s="43"/>
      <c r="EC401" s="108"/>
      <c r="ED401" s="108"/>
      <c r="EE401" s="108"/>
      <c r="EF401" s="108"/>
      <c r="EG401" s="108"/>
      <c r="EH401" s="108"/>
      <c r="EI401" s="43"/>
      <c r="EJ401" s="47"/>
      <c r="EK401" s="47"/>
      <c r="EL401" s="47"/>
      <c r="EM401" s="47"/>
      <c r="EN401" s="47"/>
      <c r="EO401" s="47"/>
      <c r="EP401" s="47"/>
      <c r="EQ401" s="47"/>
      <c r="ER401" s="47"/>
      <c r="ES401" s="47"/>
      <c r="ET401" s="47"/>
      <c r="EU401" s="47"/>
      <c r="EV401" s="47"/>
      <c r="EW401" s="47"/>
      <c r="EX401" s="47"/>
      <c r="EY401" s="47"/>
      <c r="EZ401" s="47"/>
      <c r="FA401" s="47"/>
      <c r="FB401" s="47"/>
      <c r="FC401" s="47"/>
      <c r="FD401" s="47"/>
      <c r="FE401" s="47"/>
      <c r="FF401" s="47"/>
      <c r="FG401" s="47"/>
      <c r="FH401" s="47"/>
      <c r="FI401" s="47"/>
      <c r="FJ401" s="47"/>
      <c r="FK401" s="47"/>
      <c r="FL401" s="47"/>
      <c r="FM401" s="47"/>
      <c r="FN401" s="47"/>
      <c r="FO401" s="47"/>
      <c r="FP401" s="47"/>
      <c r="FQ401" s="47"/>
      <c r="FR401" s="47"/>
      <c r="FS401" s="47"/>
      <c r="FT401" s="47"/>
      <c r="FU401" s="47"/>
      <c r="FV401" s="47"/>
      <c r="FW401" s="47"/>
      <c r="FX401" s="47"/>
      <c r="FY401" s="47"/>
      <c r="FZ401" s="47"/>
      <c r="GA401" s="47"/>
      <c r="GB401" s="47"/>
      <c r="GC401" s="47"/>
      <c r="GD401" s="47"/>
      <c r="GE401" s="47"/>
    </row>
    <row r="402" spans="1:187" ht="10.5" customHeight="1">
      <c r="A402" s="43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43"/>
      <c r="U402" s="108"/>
      <c r="V402" s="108"/>
      <c r="W402" s="108"/>
      <c r="X402" s="108"/>
      <c r="Y402" s="108"/>
      <c r="Z402" s="108"/>
      <c r="AA402" s="43"/>
      <c r="AB402" s="108"/>
      <c r="AC402" s="108"/>
      <c r="AD402" s="108"/>
      <c r="AE402" s="108"/>
      <c r="AF402" s="108"/>
      <c r="AG402" s="108"/>
      <c r="AH402" s="43"/>
      <c r="AI402" s="108"/>
      <c r="AJ402" s="108"/>
      <c r="AK402" s="108"/>
      <c r="AL402" s="108"/>
      <c r="AM402" s="108"/>
      <c r="AN402" s="108"/>
      <c r="AO402" s="43"/>
      <c r="AP402" s="108"/>
      <c r="AQ402" s="108"/>
      <c r="AR402" s="108"/>
      <c r="AS402" s="108"/>
      <c r="AT402" s="108"/>
      <c r="AU402" s="108"/>
      <c r="AV402" s="43"/>
      <c r="AW402" s="108"/>
      <c r="AX402" s="108"/>
      <c r="AY402" s="108"/>
      <c r="AZ402" s="108"/>
      <c r="BA402" s="108"/>
      <c r="BB402" s="108"/>
      <c r="BC402" s="43"/>
      <c r="BD402" s="108"/>
      <c r="BE402" s="108"/>
      <c r="BF402" s="108"/>
      <c r="BG402" s="108"/>
      <c r="BH402" s="108"/>
      <c r="BI402" s="108"/>
      <c r="BJ402" s="43"/>
      <c r="BK402" s="108"/>
      <c r="BL402" s="108"/>
      <c r="BM402" s="108"/>
      <c r="BN402" s="108"/>
      <c r="BO402" s="108"/>
      <c r="BP402" s="108"/>
      <c r="BQ402" s="43"/>
      <c r="BR402" s="108"/>
      <c r="BS402" s="108"/>
      <c r="BT402" s="108"/>
      <c r="BU402" s="108"/>
      <c r="BV402" s="108"/>
      <c r="BW402" s="108"/>
      <c r="BX402" s="43"/>
      <c r="BY402" s="108"/>
      <c r="BZ402" s="108"/>
      <c r="CA402" s="108"/>
      <c r="CB402" s="108"/>
      <c r="CC402" s="108"/>
      <c r="CD402" s="108"/>
      <c r="CE402" s="43"/>
      <c r="CF402" s="108"/>
      <c r="CG402" s="108"/>
      <c r="CH402" s="108"/>
      <c r="CI402" s="108"/>
      <c r="CJ402" s="108"/>
      <c r="CK402" s="108"/>
      <c r="CL402" s="43"/>
      <c r="CM402" s="108"/>
      <c r="CN402" s="108"/>
      <c r="CO402" s="108"/>
      <c r="CP402" s="108"/>
      <c r="CQ402" s="108"/>
      <c r="CR402" s="108"/>
      <c r="CS402" s="43"/>
      <c r="CT402" s="108"/>
      <c r="CU402" s="108"/>
      <c r="CV402" s="108"/>
      <c r="CW402" s="108"/>
      <c r="CX402" s="108"/>
      <c r="CY402" s="108"/>
      <c r="CZ402" s="43"/>
      <c r="DA402" s="108"/>
      <c r="DB402" s="108"/>
      <c r="DC402" s="108"/>
      <c r="DD402" s="108"/>
      <c r="DE402" s="108"/>
      <c r="DF402" s="108"/>
      <c r="DG402" s="43"/>
      <c r="DH402" s="108"/>
      <c r="DI402" s="108"/>
      <c r="DJ402" s="108"/>
      <c r="DK402" s="108"/>
      <c r="DL402" s="108"/>
      <c r="DM402" s="108"/>
      <c r="DN402" s="43"/>
      <c r="DO402" s="108"/>
      <c r="DP402" s="108"/>
      <c r="DQ402" s="108"/>
      <c r="DR402" s="108"/>
      <c r="DS402" s="108"/>
      <c r="DT402" s="108"/>
      <c r="DU402" s="43"/>
      <c r="DV402" s="108"/>
      <c r="DW402" s="108"/>
      <c r="DX402" s="108"/>
      <c r="DY402" s="108"/>
      <c r="DZ402" s="108"/>
      <c r="EA402" s="108"/>
      <c r="EB402" s="43"/>
      <c r="EC402" s="108"/>
      <c r="ED402" s="108"/>
      <c r="EE402" s="108"/>
      <c r="EF402" s="108"/>
      <c r="EG402" s="108"/>
      <c r="EH402" s="108"/>
      <c r="EI402" s="43"/>
      <c r="EJ402" s="47"/>
      <c r="EK402" s="47"/>
      <c r="EL402" s="47"/>
      <c r="EM402" s="47"/>
      <c r="EN402" s="47"/>
      <c r="EO402" s="47"/>
      <c r="EP402" s="47"/>
      <c r="EQ402" s="47"/>
      <c r="ER402" s="47"/>
      <c r="ES402" s="47"/>
      <c r="ET402" s="47"/>
      <c r="EU402" s="47"/>
      <c r="EV402" s="47"/>
      <c r="EW402" s="47"/>
      <c r="EX402" s="47"/>
      <c r="EY402" s="47"/>
      <c r="EZ402" s="47"/>
      <c r="FA402" s="47"/>
      <c r="FB402" s="47"/>
      <c r="FC402" s="47"/>
      <c r="FD402" s="47"/>
      <c r="FE402" s="47"/>
      <c r="FF402" s="47"/>
      <c r="FG402" s="47"/>
      <c r="FH402" s="47"/>
      <c r="FI402" s="47"/>
      <c r="FJ402" s="47"/>
      <c r="FK402" s="47"/>
      <c r="FL402" s="47"/>
      <c r="FM402" s="47"/>
      <c r="FN402" s="47"/>
      <c r="FO402" s="47"/>
      <c r="FP402" s="47"/>
      <c r="FQ402" s="47"/>
      <c r="FR402" s="47"/>
      <c r="FS402" s="47"/>
      <c r="FT402" s="47"/>
      <c r="FU402" s="47"/>
      <c r="FV402" s="47"/>
      <c r="FW402" s="47"/>
      <c r="FX402" s="47"/>
      <c r="FY402" s="47"/>
      <c r="FZ402" s="47"/>
      <c r="GA402" s="47"/>
      <c r="GB402" s="47"/>
      <c r="GC402" s="47"/>
      <c r="GD402" s="47"/>
      <c r="GE402" s="47"/>
    </row>
    <row r="403" spans="1:187" ht="10.5" customHeight="1">
      <c r="A403" s="43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43"/>
      <c r="U403" s="108"/>
      <c r="V403" s="108"/>
      <c r="W403" s="108"/>
      <c r="X403" s="108"/>
      <c r="Y403" s="108"/>
      <c r="Z403" s="108"/>
      <c r="AA403" s="43"/>
      <c r="AB403" s="108"/>
      <c r="AC403" s="108"/>
      <c r="AD403" s="108"/>
      <c r="AE403" s="108"/>
      <c r="AF403" s="108"/>
      <c r="AG403" s="108"/>
      <c r="AH403" s="43"/>
      <c r="AI403" s="108"/>
      <c r="AJ403" s="108"/>
      <c r="AK403" s="108"/>
      <c r="AL403" s="108"/>
      <c r="AM403" s="108"/>
      <c r="AN403" s="108"/>
      <c r="AO403" s="43"/>
      <c r="AP403" s="108"/>
      <c r="AQ403" s="108"/>
      <c r="AR403" s="108"/>
      <c r="AS403" s="108"/>
      <c r="AT403" s="108"/>
      <c r="AU403" s="108"/>
      <c r="AV403" s="43"/>
      <c r="AW403" s="108"/>
      <c r="AX403" s="108"/>
      <c r="AY403" s="108"/>
      <c r="AZ403" s="108"/>
      <c r="BA403" s="108"/>
      <c r="BB403" s="108"/>
      <c r="BC403" s="43"/>
      <c r="BD403" s="108"/>
      <c r="BE403" s="108"/>
      <c r="BF403" s="108"/>
      <c r="BG403" s="108"/>
      <c r="BH403" s="108"/>
      <c r="BI403" s="108"/>
      <c r="BJ403" s="43"/>
      <c r="BK403" s="108"/>
      <c r="BL403" s="108"/>
      <c r="BM403" s="108"/>
      <c r="BN403" s="108"/>
      <c r="BO403" s="108"/>
      <c r="BP403" s="108"/>
      <c r="BQ403" s="43"/>
      <c r="BR403" s="108"/>
      <c r="BS403" s="108"/>
      <c r="BT403" s="108"/>
      <c r="BU403" s="108"/>
      <c r="BV403" s="108"/>
      <c r="BW403" s="108"/>
      <c r="BX403" s="43"/>
      <c r="BY403" s="108"/>
      <c r="BZ403" s="108"/>
      <c r="CA403" s="108"/>
      <c r="CB403" s="108"/>
      <c r="CC403" s="108"/>
      <c r="CD403" s="108"/>
      <c r="CE403" s="43"/>
      <c r="CF403" s="108"/>
      <c r="CG403" s="108"/>
      <c r="CH403" s="108"/>
      <c r="CI403" s="108"/>
      <c r="CJ403" s="108"/>
      <c r="CK403" s="108"/>
      <c r="CL403" s="43"/>
      <c r="CM403" s="108"/>
      <c r="CN403" s="108"/>
      <c r="CO403" s="108"/>
      <c r="CP403" s="108"/>
      <c r="CQ403" s="108"/>
      <c r="CR403" s="108"/>
      <c r="CS403" s="43"/>
      <c r="CT403" s="108"/>
      <c r="CU403" s="108"/>
      <c r="CV403" s="108"/>
      <c r="CW403" s="108"/>
      <c r="CX403" s="108"/>
      <c r="CY403" s="108"/>
      <c r="CZ403" s="43"/>
      <c r="DA403" s="108"/>
      <c r="DB403" s="108"/>
      <c r="DC403" s="108"/>
      <c r="DD403" s="108"/>
      <c r="DE403" s="108"/>
      <c r="DF403" s="108"/>
      <c r="DG403" s="43"/>
      <c r="DH403" s="108"/>
      <c r="DI403" s="108"/>
      <c r="DJ403" s="108"/>
      <c r="DK403" s="108"/>
      <c r="DL403" s="108"/>
      <c r="DM403" s="108"/>
      <c r="DN403" s="43"/>
      <c r="DO403" s="108"/>
      <c r="DP403" s="108"/>
      <c r="DQ403" s="108"/>
      <c r="DR403" s="108"/>
      <c r="DS403" s="108"/>
      <c r="DT403" s="108"/>
      <c r="DU403" s="43"/>
      <c r="DV403" s="108"/>
      <c r="DW403" s="108"/>
      <c r="DX403" s="108"/>
      <c r="DY403" s="108"/>
      <c r="DZ403" s="108"/>
      <c r="EA403" s="108"/>
      <c r="EB403" s="43"/>
      <c r="EC403" s="108"/>
      <c r="ED403" s="108"/>
      <c r="EE403" s="108"/>
      <c r="EF403" s="108"/>
      <c r="EG403" s="108"/>
      <c r="EH403" s="108"/>
      <c r="EI403" s="43"/>
      <c r="EJ403" s="47"/>
      <c r="EK403" s="47"/>
      <c r="EL403" s="47"/>
      <c r="EM403" s="47"/>
      <c r="EN403" s="47"/>
      <c r="EO403" s="47"/>
      <c r="EP403" s="47"/>
      <c r="EQ403" s="47"/>
      <c r="ER403" s="47"/>
      <c r="ES403" s="47"/>
      <c r="ET403" s="47"/>
      <c r="EU403" s="47"/>
      <c r="EV403" s="47"/>
      <c r="EW403" s="47"/>
      <c r="EX403" s="47"/>
      <c r="EY403" s="47"/>
      <c r="EZ403" s="47"/>
      <c r="FA403" s="47"/>
      <c r="FB403" s="47"/>
      <c r="FC403" s="47"/>
      <c r="FD403" s="47"/>
      <c r="FE403" s="47"/>
      <c r="FF403" s="47"/>
      <c r="FG403" s="47"/>
      <c r="FH403" s="47"/>
      <c r="FI403" s="47"/>
      <c r="FJ403" s="47"/>
      <c r="FK403" s="47"/>
      <c r="FL403" s="47"/>
      <c r="FM403" s="47"/>
      <c r="FN403" s="47"/>
      <c r="FO403" s="47"/>
      <c r="FP403" s="47"/>
      <c r="FQ403" s="47"/>
      <c r="FR403" s="47"/>
      <c r="FS403" s="47"/>
      <c r="FT403" s="47"/>
      <c r="FU403" s="47"/>
      <c r="FV403" s="47"/>
      <c r="FW403" s="47"/>
      <c r="FX403" s="47"/>
      <c r="FY403" s="47"/>
      <c r="FZ403" s="47"/>
      <c r="GA403" s="47"/>
      <c r="GB403" s="47"/>
      <c r="GC403" s="47"/>
      <c r="GD403" s="47"/>
      <c r="GE403" s="47"/>
    </row>
    <row r="404" spans="1:187" ht="10.5" customHeight="1">
      <c r="A404" s="43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43"/>
      <c r="U404" s="108"/>
      <c r="V404" s="108"/>
      <c r="W404" s="108"/>
      <c r="X404" s="108"/>
      <c r="Y404" s="108"/>
      <c r="Z404" s="108"/>
      <c r="AA404" s="43"/>
      <c r="AB404" s="108"/>
      <c r="AC404" s="108"/>
      <c r="AD404" s="108"/>
      <c r="AE404" s="108"/>
      <c r="AF404" s="108"/>
      <c r="AG404" s="108"/>
      <c r="AH404" s="43"/>
      <c r="AI404" s="108"/>
      <c r="AJ404" s="108"/>
      <c r="AK404" s="108"/>
      <c r="AL404" s="108"/>
      <c r="AM404" s="108"/>
      <c r="AN404" s="108"/>
      <c r="AO404" s="43"/>
      <c r="AP404" s="108"/>
      <c r="AQ404" s="108"/>
      <c r="AR404" s="108"/>
      <c r="AS404" s="108"/>
      <c r="AT404" s="108"/>
      <c r="AU404" s="108"/>
      <c r="AV404" s="43"/>
      <c r="AW404" s="108"/>
      <c r="AX404" s="108"/>
      <c r="AY404" s="108"/>
      <c r="AZ404" s="108"/>
      <c r="BA404" s="108"/>
      <c r="BB404" s="108"/>
      <c r="BC404" s="43"/>
      <c r="BD404" s="108"/>
      <c r="BE404" s="108"/>
      <c r="BF404" s="108"/>
      <c r="BG404" s="108"/>
      <c r="BH404" s="108"/>
      <c r="BI404" s="108"/>
      <c r="BJ404" s="43"/>
      <c r="BK404" s="108"/>
      <c r="BL404" s="108"/>
      <c r="BM404" s="108"/>
      <c r="BN404" s="108"/>
      <c r="BO404" s="108"/>
      <c r="BP404" s="108"/>
      <c r="BQ404" s="43"/>
      <c r="BR404" s="108"/>
      <c r="BS404" s="108"/>
      <c r="BT404" s="108"/>
      <c r="BU404" s="108"/>
      <c r="BV404" s="108"/>
      <c r="BW404" s="108"/>
      <c r="BX404" s="43"/>
      <c r="BY404" s="108"/>
      <c r="BZ404" s="108"/>
      <c r="CA404" s="108"/>
      <c r="CB404" s="108"/>
      <c r="CC404" s="108"/>
      <c r="CD404" s="108"/>
      <c r="CE404" s="43"/>
      <c r="CF404" s="108"/>
      <c r="CG404" s="108"/>
      <c r="CH404" s="108"/>
      <c r="CI404" s="108"/>
      <c r="CJ404" s="108"/>
      <c r="CK404" s="108"/>
      <c r="CL404" s="43"/>
      <c r="CM404" s="108"/>
      <c r="CN404" s="108"/>
      <c r="CO404" s="108"/>
      <c r="CP404" s="108"/>
      <c r="CQ404" s="108"/>
      <c r="CR404" s="108"/>
      <c r="CS404" s="43"/>
      <c r="CT404" s="108"/>
      <c r="CU404" s="108"/>
      <c r="CV404" s="108"/>
      <c r="CW404" s="108"/>
      <c r="CX404" s="108"/>
      <c r="CY404" s="108"/>
      <c r="CZ404" s="43"/>
      <c r="DA404" s="108"/>
      <c r="DB404" s="108"/>
      <c r="DC404" s="108"/>
      <c r="DD404" s="108"/>
      <c r="DE404" s="108"/>
      <c r="DF404" s="108"/>
      <c r="DG404" s="43"/>
      <c r="DH404" s="108"/>
      <c r="DI404" s="108"/>
      <c r="DJ404" s="108"/>
      <c r="DK404" s="108"/>
      <c r="DL404" s="108"/>
      <c r="DM404" s="108"/>
      <c r="DN404" s="43"/>
      <c r="DO404" s="108"/>
      <c r="DP404" s="108"/>
      <c r="DQ404" s="108"/>
      <c r="DR404" s="108"/>
      <c r="DS404" s="108"/>
      <c r="DT404" s="108"/>
      <c r="DU404" s="43"/>
      <c r="DV404" s="108"/>
      <c r="DW404" s="108"/>
      <c r="DX404" s="108"/>
      <c r="DY404" s="108"/>
      <c r="DZ404" s="108"/>
      <c r="EA404" s="108"/>
      <c r="EB404" s="43"/>
      <c r="EC404" s="108"/>
      <c r="ED404" s="108"/>
      <c r="EE404" s="108"/>
      <c r="EF404" s="108"/>
      <c r="EG404" s="108"/>
      <c r="EH404" s="108"/>
      <c r="EI404" s="43"/>
      <c r="EJ404" s="47"/>
      <c r="EK404" s="47"/>
      <c r="EL404" s="47"/>
      <c r="EM404" s="47"/>
      <c r="EN404" s="47"/>
      <c r="EO404" s="47"/>
      <c r="EP404" s="47"/>
      <c r="EQ404" s="47"/>
      <c r="ER404" s="47"/>
      <c r="ES404" s="47"/>
      <c r="ET404" s="47"/>
      <c r="EU404" s="47"/>
      <c r="EV404" s="47"/>
      <c r="EW404" s="47"/>
      <c r="EX404" s="47"/>
      <c r="EY404" s="47"/>
      <c r="EZ404" s="47"/>
      <c r="FA404" s="47"/>
      <c r="FB404" s="47"/>
      <c r="FC404" s="47"/>
      <c r="FD404" s="47"/>
      <c r="FE404" s="47"/>
      <c r="FF404" s="47"/>
      <c r="FG404" s="47"/>
      <c r="FH404" s="47"/>
      <c r="FI404" s="47"/>
      <c r="FJ404" s="47"/>
      <c r="FK404" s="47"/>
      <c r="FL404" s="47"/>
      <c r="FM404" s="47"/>
      <c r="FN404" s="47"/>
      <c r="FO404" s="47"/>
      <c r="FP404" s="47"/>
      <c r="FQ404" s="47"/>
      <c r="FR404" s="47"/>
      <c r="FS404" s="47"/>
      <c r="FT404" s="47"/>
      <c r="FU404" s="47"/>
      <c r="FV404" s="47"/>
      <c r="FW404" s="47"/>
      <c r="FX404" s="47"/>
      <c r="FY404" s="47"/>
      <c r="FZ404" s="47"/>
      <c r="GA404" s="47"/>
      <c r="GB404" s="47"/>
      <c r="GC404" s="47"/>
      <c r="GD404" s="47"/>
      <c r="GE404" s="47"/>
    </row>
    <row r="405" spans="1:187" ht="10.5" customHeight="1">
      <c r="A405" s="4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43"/>
      <c r="U405" s="108"/>
      <c r="V405" s="108"/>
      <c r="W405" s="108"/>
      <c r="X405" s="108"/>
      <c r="Y405" s="108"/>
      <c r="Z405" s="108"/>
      <c r="AA405" s="43"/>
      <c r="AB405" s="108"/>
      <c r="AC405" s="108"/>
      <c r="AD405" s="108"/>
      <c r="AE405" s="108"/>
      <c r="AF405" s="108"/>
      <c r="AG405" s="108"/>
      <c r="AH405" s="43"/>
      <c r="AI405" s="108"/>
      <c r="AJ405" s="108"/>
      <c r="AK405" s="108"/>
      <c r="AL405" s="108"/>
      <c r="AM405" s="108"/>
      <c r="AN405" s="108"/>
      <c r="AO405" s="43"/>
      <c r="AP405" s="108"/>
      <c r="AQ405" s="108"/>
      <c r="AR405" s="108"/>
      <c r="AS405" s="108"/>
      <c r="AT405" s="108"/>
      <c r="AU405" s="108"/>
      <c r="AV405" s="43"/>
      <c r="AW405" s="108"/>
      <c r="AX405" s="108"/>
      <c r="AY405" s="108"/>
      <c r="AZ405" s="108"/>
      <c r="BA405" s="108"/>
      <c r="BB405" s="108"/>
      <c r="BC405" s="43"/>
      <c r="BD405" s="108"/>
      <c r="BE405" s="108"/>
      <c r="BF405" s="108"/>
      <c r="BG405" s="108"/>
      <c r="BH405" s="108"/>
      <c r="BI405" s="108"/>
      <c r="BJ405" s="43"/>
      <c r="BK405" s="108"/>
      <c r="BL405" s="108"/>
      <c r="BM405" s="108"/>
      <c r="BN405" s="108"/>
      <c r="BO405" s="108"/>
      <c r="BP405" s="108"/>
      <c r="BQ405" s="43"/>
      <c r="BR405" s="108"/>
      <c r="BS405" s="108"/>
      <c r="BT405" s="108"/>
      <c r="BU405" s="108"/>
      <c r="BV405" s="108"/>
      <c r="BW405" s="108"/>
      <c r="BX405" s="43"/>
      <c r="BY405" s="108"/>
      <c r="BZ405" s="108"/>
      <c r="CA405" s="108"/>
      <c r="CB405" s="108"/>
      <c r="CC405" s="108"/>
      <c r="CD405" s="108"/>
      <c r="CE405" s="43"/>
      <c r="CF405" s="108"/>
      <c r="CG405" s="108"/>
      <c r="CH405" s="108"/>
      <c r="CI405" s="108"/>
      <c r="CJ405" s="108"/>
      <c r="CK405" s="108"/>
      <c r="CL405" s="43"/>
      <c r="CM405" s="108"/>
      <c r="CN405" s="108"/>
      <c r="CO405" s="108"/>
      <c r="CP405" s="108"/>
      <c r="CQ405" s="108"/>
      <c r="CR405" s="108"/>
      <c r="CS405" s="43"/>
      <c r="CT405" s="108"/>
      <c r="CU405" s="108"/>
      <c r="CV405" s="108"/>
      <c r="CW405" s="108"/>
      <c r="CX405" s="108"/>
      <c r="CY405" s="108"/>
      <c r="CZ405" s="43"/>
      <c r="DA405" s="108"/>
      <c r="DB405" s="108"/>
      <c r="DC405" s="108"/>
      <c r="DD405" s="108"/>
      <c r="DE405" s="108"/>
      <c r="DF405" s="108"/>
      <c r="DG405" s="43"/>
      <c r="DH405" s="108"/>
      <c r="DI405" s="108"/>
      <c r="DJ405" s="108"/>
      <c r="DK405" s="108"/>
      <c r="DL405" s="108"/>
      <c r="DM405" s="108"/>
      <c r="DN405" s="43"/>
      <c r="DO405" s="108"/>
      <c r="DP405" s="108"/>
      <c r="DQ405" s="108"/>
      <c r="DR405" s="108"/>
      <c r="DS405" s="108"/>
      <c r="DT405" s="108"/>
      <c r="DU405" s="43"/>
      <c r="DV405" s="108"/>
      <c r="DW405" s="108"/>
      <c r="DX405" s="108"/>
      <c r="DY405" s="108"/>
      <c r="DZ405" s="108"/>
      <c r="EA405" s="108"/>
      <c r="EB405" s="43"/>
      <c r="EC405" s="108"/>
      <c r="ED405" s="108"/>
      <c r="EE405" s="108"/>
      <c r="EF405" s="108"/>
      <c r="EG405" s="108"/>
      <c r="EH405" s="108"/>
      <c r="EI405" s="43"/>
      <c r="EJ405" s="47"/>
      <c r="EK405" s="47"/>
      <c r="EL405" s="47"/>
      <c r="EM405" s="47"/>
      <c r="EN405" s="47"/>
      <c r="EO405" s="47"/>
      <c r="EP405" s="47"/>
      <c r="EQ405" s="47"/>
      <c r="ER405" s="47"/>
      <c r="ES405" s="47"/>
      <c r="ET405" s="47"/>
      <c r="EU405" s="47"/>
      <c r="EV405" s="47"/>
      <c r="EW405" s="47"/>
      <c r="EX405" s="47"/>
      <c r="EY405" s="47"/>
      <c r="EZ405" s="47"/>
      <c r="FA405" s="47"/>
      <c r="FB405" s="47"/>
      <c r="FC405" s="47"/>
      <c r="FD405" s="47"/>
      <c r="FE405" s="47"/>
      <c r="FF405" s="47"/>
      <c r="FG405" s="47"/>
      <c r="FH405" s="47"/>
      <c r="FI405" s="47"/>
      <c r="FJ405" s="47"/>
      <c r="FK405" s="47"/>
      <c r="FL405" s="47"/>
      <c r="FM405" s="47"/>
      <c r="FN405" s="47"/>
      <c r="FO405" s="47"/>
      <c r="FP405" s="47"/>
      <c r="FQ405" s="47"/>
      <c r="FR405" s="47"/>
      <c r="FS405" s="47"/>
      <c r="FT405" s="47"/>
      <c r="FU405" s="47"/>
      <c r="FV405" s="47"/>
      <c r="FW405" s="47"/>
      <c r="FX405" s="47"/>
      <c r="FY405" s="47"/>
      <c r="FZ405" s="47"/>
      <c r="GA405" s="47"/>
      <c r="GB405" s="47"/>
      <c r="GC405" s="47"/>
      <c r="GD405" s="47"/>
      <c r="GE405" s="47"/>
    </row>
    <row r="406" spans="1:187" ht="10.5" customHeight="1">
      <c r="A406" s="43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43"/>
      <c r="U406" s="108"/>
      <c r="V406" s="108"/>
      <c r="W406" s="108"/>
      <c r="X406" s="108"/>
      <c r="Y406" s="108"/>
      <c r="Z406" s="108"/>
      <c r="AA406" s="43"/>
      <c r="AB406" s="108"/>
      <c r="AC406" s="108"/>
      <c r="AD406" s="108"/>
      <c r="AE406" s="108"/>
      <c r="AF406" s="108"/>
      <c r="AG406" s="108"/>
      <c r="AH406" s="43"/>
      <c r="AI406" s="108"/>
      <c r="AJ406" s="108"/>
      <c r="AK406" s="108"/>
      <c r="AL406" s="108"/>
      <c r="AM406" s="108"/>
      <c r="AN406" s="108"/>
      <c r="AO406" s="43"/>
      <c r="AP406" s="108"/>
      <c r="AQ406" s="108"/>
      <c r="AR406" s="108"/>
      <c r="AS406" s="108"/>
      <c r="AT406" s="108"/>
      <c r="AU406" s="108"/>
      <c r="AV406" s="43"/>
      <c r="AW406" s="108"/>
      <c r="AX406" s="108"/>
      <c r="AY406" s="108"/>
      <c r="AZ406" s="108"/>
      <c r="BA406" s="108"/>
      <c r="BB406" s="108"/>
      <c r="BC406" s="43"/>
      <c r="BD406" s="108"/>
      <c r="BE406" s="108"/>
      <c r="BF406" s="108"/>
      <c r="BG406" s="108"/>
      <c r="BH406" s="108"/>
      <c r="BI406" s="108"/>
      <c r="BJ406" s="43"/>
      <c r="BK406" s="108"/>
      <c r="BL406" s="108"/>
      <c r="BM406" s="108"/>
      <c r="BN406" s="108"/>
      <c r="BO406" s="108"/>
      <c r="BP406" s="108"/>
      <c r="BQ406" s="43"/>
      <c r="BR406" s="108"/>
      <c r="BS406" s="108"/>
      <c r="BT406" s="108"/>
      <c r="BU406" s="108"/>
      <c r="BV406" s="108"/>
      <c r="BW406" s="108"/>
      <c r="BX406" s="43"/>
      <c r="BY406" s="108"/>
      <c r="BZ406" s="108"/>
      <c r="CA406" s="108"/>
      <c r="CB406" s="108"/>
      <c r="CC406" s="108"/>
      <c r="CD406" s="108"/>
      <c r="CE406" s="43"/>
      <c r="CF406" s="108"/>
      <c r="CG406" s="108"/>
      <c r="CH406" s="108"/>
      <c r="CI406" s="108"/>
      <c r="CJ406" s="108"/>
      <c r="CK406" s="108"/>
      <c r="CL406" s="43"/>
      <c r="CM406" s="108"/>
      <c r="CN406" s="108"/>
      <c r="CO406" s="108"/>
      <c r="CP406" s="108"/>
      <c r="CQ406" s="108"/>
      <c r="CR406" s="108"/>
      <c r="CS406" s="43"/>
      <c r="CT406" s="108"/>
      <c r="CU406" s="108"/>
      <c r="CV406" s="108"/>
      <c r="CW406" s="108"/>
      <c r="CX406" s="108"/>
      <c r="CY406" s="108"/>
      <c r="CZ406" s="43"/>
      <c r="DA406" s="108"/>
      <c r="DB406" s="108"/>
      <c r="DC406" s="108"/>
      <c r="DD406" s="108"/>
      <c r="DE406" s="108"/>
      <c r="DF406" s="108"/>
      <c r="DG406" s="43"/>
      <c r="DH406" s="108"/>
      <c r="DI406" s="108"/>
      <c r="DJ406" s="108"/>
      <c r="DK406" s="108"/>
      <c r="DL406" s="108"/>
      <c r="DM406" s="108"/>
      <c r="DN406" s="43"/>
      <c r="DO406" s="108"/>
      <c r="DP406" s="108"/>
      <c r="DQ406" s="108"/>
      <c r="DR406" s="108"/>
      <c r="DS406" s="108"/>
      <c r="DT406" s="108"/>
      <c r="DU406" s="43"/>
      <c r="DV406" s="108"/>
      <c r="DW406" s="108"/>
      <c r="DX406" s="108"/>
      <c r="DY406" s="108"/>
      <c r="DZ406" s="108"/>
      <c r="EA406" s="108"/>
      <c r="EB406" s="43"/>
      <c r="EC406" s="108"/>
      <c r="ED406" s="108"/>
      <c r="EE406" s="108"/>
      <c r="EF406" s="108"/>
      <c r="EG406" s="108"/>
      <c r="EH406" s="108"/>
      <c r="EI406" s="43"/>
      <c r="EJ406" s="47"/>
      <c r="EK406" s="47"/>
      <c r="EL406" s="47"/>
      <c r="EM406" s="47"/>
      <c r="EN406" s="47"/>
      <c r="EO406" s="47"/>
      <c r="EP406" s="47"/>
      <c r="EQ406" s="47"/>
      <c r="ER406" s="47"/>
      <c r="ES406" s="47"/>
      <c r="ET406" s="47"/>
      <c r="EU406" s="47"/>
      <c r="EV406" s="47"/>
      <c r="EW406" s="47"/>
      <c r="EX406" s="47"/>
      <c r="EY406" s="47"/>
      <c r="EZ406" s="47"/>
      <c r="FA406" s="47"/>
      <c r="FB406" s="47"/>
      <c r="FC406" s="47"/>
      <c r="FD406" s="47"/>
      <c r="FE406" s="47"/>
      <c r="FF406" s="47"/>
      <c r="FG406" s="47"/>
      <c r="FH406" s="47"/>
      <c r="FI406" s="47"/>
      <c r="FJ406" s="47"/>
      <c r="FK406" s="47"/>
      <c r="FL406" s="47"/>
      <c r="FM406" s="47"/>
      <c r="FN406" s="47"/>
      <c r="FO406" s="47"/>
      <c r="FP406" s="47"/>
      <c r="FQ406" s="47"/>
      <c r="FR406" s="47"/>
      <c r="FS406" s="47"/>
      <c r="FT406" s="47"/>
      <c r="FU406" s="47"/>
      <c r="FV406" s="47"/>
      <c r="FW406" s="47"/>
      <c r="FX406" s="47"/>
      <c r="FY406" s="47"/>
      <c r="FZ406" s="47"/>
      <c r="GA406" s="47"/>
      <c r="GB406" s="47"/>
      <c r="GC406" s="47"/>
      <c r="GD406" s="47"/>
      <c r="GE406" s="47"/>
    </row>
    <row r="407" spans="1:187" ht="10.5" customHeight="1">
      <c r="A407" s="43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43"/>
      <c r="U407" s="108"/>
      <c r="V407" s="108"/>
      <c r="W407" s="108"/>
      <c r="X407" s="108"/>
      <c r="Y407" s="108"/>
      <c r="Z407" s="108"/>
      <c r="AA407" s="43"/>
      <c r="AB407" s="108"/>
      <c r="AC407" s="108"/>
      <c r="AD407" s="108"/>
      <c r="AE407" s="108"/>
      <c r="AF407" s="108"/>
      <c r="AG407" s="108"/>
      <c r="AH407" s="43"/>
      <c r="AI407" s="108"/>
      <c r="AJ407" s="108"/>
      <c r="AK407" s="108"/>
      <c r="AL407" s="108"/>
      <c r="AM407" s="108"/>
      <c r="AN407" s="108"/>
      <c r="AO407" s="43"/>
      <c r="AP407" s="108"/>
      <c r="AQ407" s="108"/>
      <c r="AR407" s="108"/>
      <c r="AS407" s="108"/>
      <c r="AT407" s="108"/>
      <c r="AU407" s="108"/>
      <c r="AV407" s="43"/>
      <c r="AW407" s="108"/>
      <c r="AX407" s="108"/>
      <c r="AY407" s="108"/>
      <c r="AZ407" s="108"/>
      <c r="BA407" s="108"/>
      <c r="BB407" s="108"/>
      <c r="BC407" s="43"/>
      <c r="BD407" s="108"/>
      <c r="BE407" s="108"/>
      <c r="BF407" s="108"/>
      <c r="BG407" s="108"/>
      <c r="BH407" s="108"/>
      <c r="BI407" s="108"/>
      <c r="BJ407" s="43"/>
      <c r="BK407" s="108"/>
      <c r="BL407" s="108"/>
      <c r="BM407" s="108"/>
      <c r="BN407" s="108"/>
      <c r="BO407" s="108"/>
      <c r="BP407" s="108"/>
      <c r="BQ407" s="43"/>
      <c r="BR407" s="108"/>
      <c r="BS407" s="108"/>
      <c r="BT407" s="108"/>
      <c r="BU407" s="108"/>
      <c r="BV407" s="108"/>
      <c r="BW407" s="108"/>
      <c r="BX407" s="43"/>
      <c r="BY407" s="108"/>
      <c r="BZ407" s="108"/>
      <c r="CA407" s="108"/>
      <c r="CB407" s="108"/>
      <c r="CC407" s="108"/>
      <c r="CD407" s="108"/>
      <c r="CE407" s="43"/>
      <c r="CF407" s="108"/>
      <c r="CG407" s="108"/>
      <c r="CH407" s="108"/>
      <c r="CI407" s="108"/>
      <c r="CJ407" s="108"/>
      <c r="CK407" s="108"/>
      <c r="CL407" s="43"/>
      <c r="CM407" s="108"/>
      <c r="CN407" s="108"/>
      <c r="CO407" s="108"/>
      <c r="CP407" s="108"/>
      <c r="CQ407" s="108"/>
      <c r="CR407" s="108"/>
      <c r="CS407" s="43"/>
      <c r="CT407" s="108"/>
      <c r="CU407" s="108"/>
      <c r="CV407" s="108"/>
      <c r="CW407" s="108"/>
      <c r="CX407" s="108"/>
      <c r="CY407" s="108"/>
      <c r="CZ407" s="43"/>
      <c r="DA407" s="108"/>
      <c r="DB407" s="108"/>
      <c r="DC407" s="108"/>
      <c r="DD407" s="108"/>
      <c r="DE407" s="108"/>
      <c r="DF407" s="108"/>
      <c r="DG407" s="43"/>
      <c r="DH407" s="108"/>
      <c r="DI407" s="108"/>
      <c r="DJ407" s="108"/>
      <c r="DK407" s="108"/>
      <c r="DL407" s="108"/>
      <c r="DM407" s="108"/>
      <c r="DN407" s="43"/>
      <c r="DO407" s="108"/>
      <c r="DP407" s="108"/>
      <c r="DQ407" s="108"/>
      <c r="DR407" s="108"/>
      <c r="DS407" s="108"/>
      <c r="DT407" s="108"/>
      <c r="DU407" s="43"/>
      <c r="DV407" s="108"/>
      <c r="DW407" s="108"/>
      <c r="DX407" s="108"/>
      <c r="DY407" s="108"/>
      <c r="DZ407" s="108"/>
      <c r="EA407" s="108"/>
      <c r="EB407" s="43"/>
      <c r="EC407" s="108"/>
      <c r="ED407" s="108"/>
      <c r="EE407" s="108"/>
      <c r="EF407" s="108"/>
      <c r="EG407" s="108"/>
      <c r="EH407" s="108"/>
      <c r="EI407" s="43"/>
      <c r="EJ407" s="47"/>
      <c r="EK407" s="47"/>
      <c r="EL407" s="47"/>
      <c r="EM407" s="47"/>
      <c r="EN407" s="47"/>
      <c r="EO407" s="47"/>
      <c r="EP407" s="47"/>
      <c r="EQ407" s="47"/>
      <c r="ER407" s="47"/>
      <c r="ES407" s="47"/>
      <c r="ET407" s="47"/>
      <c r="EU407" s="47"/>
      <c r="EV407" s="47"/>
      <c r="EW407" s="47"/>
      <c r="EX407" s="47"/>
      <c r="EY407" s="47"/>
      <c r="EZ407" s="47"/>
      <c r="FA407" s="47"/>
      <c r="FB407" s="47"/>
      <c r="FC407" s="47"/>
      <c r="FD407" s="47"/>
      <c r="FE407" s="47"/>
      <c r="FF407" s="47"/>
      <c r="FG407" s="47"/>
      <c r="FH407" s="47"/>
      <c r="FI407" s="47"/>
      <c r="FJ407" s="47"/>
      <c r="FK407" s="47"/>
      <c r="FL407" s="47"/>
      <c r="FM407" s="47"/>
      <c r="FN407" s="47"/>
      <c r="FO407" s="47"/>
      <c r="FP407" s="47"/>
      <c r="FQ407" s="47"/>
      <c r="FR407" s="47"/>
      <c r="FS407" s="47"/>
      <c r="FT407" s="47"/>
      <c r="FU407" s="47"/>
      <c r="FV407" s="47"/>
      <c r="FW407" s="47"/>
      <c r="FX407" s="47"/>
      <c r="FY407" s="47"/>
      <c r="FZ407" s="47"/>
      <c r="GA407" s="47"/>
      <c r="GB407" s="47"/>
      <c r="GC407" s="47"/>
      <c r="GD407" s="47"/>
      <c r="GE407" s="47"/>
    </row>
    <row r="408" spans="1:187" ht="10.5" customHeight="1">
      <c r="A408" s="43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43"/>
      <c r="U408" s="108"/>
      <c r="V408" s="108"/>
      <c r="W408" s="108"/>
      <c r="X408" s="108"/>
      <c r="Y408" s="108"/>
      <c r="Z408" s="108"/>
      <c r="AA408" s="43"/>
      <c r="AB408" s="108"/>
      <c r="AC408" s="108"/>
      <c r="AD408" s="108"/>
      <c r="AE408" s="108"/>
      <c r="AF408" s="108"/>
      <c r="AG408" s="108"/>
      <c r="AH408" s="43"/>
      <c r="AI408" s="108"/>
      <c r="AJ408" s="108"/>
      <c r="AK408" s="108"/>
      <c r="AL408" s="108"/>
      <c r="AM408" s="108"/>
      <c r="AN408" s="108"/>
      <c r="AO408" s="43"/>
      <c r="AP408" s="108"/>
      <c r="AQ408" s="108"/>
      <c r="AR408" s="108"/>
      <c r="AS408" s="108"/>
      <c r="AT408" s="108"/>
      <c r="AU408" s="108"/>
      <c r="AV408" s="43"/>
      <c r="AW408" s="108"/>
      <c r="AX408" s="108"/>
      <c r="AY408" s="108"/>
      <c r="AZ408" s="108"/>
      <c r="BA408" s="108"/>
      <c r="BB408" s="108"/>
      <c r="BC408" s="43"/>
      <c r="BD408" s="108"/>
      <c r="BE408" s="108"/>
      <c r="BF408" s="108"/>
      <c r="BG408" s="108"/>
      <c r="BH408" s="108"/>
      <c r="BI408" s="108"/>
      <c r="BJ408" s="43"/>
      <c r="BK408" s="108"/>
      <c r="BL408" s="108"/>
      <c r="BM408" s="108"/>
      <c r="BN408" s="108"/>
      <c r="BO408" s="108"/>
      <c r="BP408" s="108"/>
      <c r="BQ408" s="43"/>
      <c r="BR408" s="108"/>
      <c r="BS408" s="108"/>
      <c r="BT408" s="108"/>
      <c r="BU408" s="108"/>
      <c r="BV408" s="108"/>
      <c r="BW408" s="108"/>
      <c r="BX408" s="43"/>
      <c r="BY408" s="108"/>
      <c r="BZ408" s="108"/>
      <c r="CA408" s="108"/>
      <c r="CB408" s="108"/>
      <c r="CC408" s="108"/>
      <c r="CD408" s="108"/>
      <c r="CE408" s="43"/>
      <c r="CF408" s="108"/>
      <c r="CG408" s="108"/>
      <c r="CH408" s="108"/>
      <c r="CI408" s="108"/>
      <c r="CJ408" s="108"/>
      <c r="CK408" s="108"/>
      <c r="CL408" s="43"/>
      <c r="CM408" s="108"/>
      <c r="CN408" s="108"/>
      <c r="CO408" s="108"/>
      <c r="CP408" s="108"/>
      <c r="CQ408" s="108"/>
      <c r="CR408" s="108"/>
      <c r="CS408" s="43"/>
      <c r="CT408" s="108"/>
      <c r="CU408" s="108"/>
      <c r="CV408" s="108"/>
      <c r="CW408" s="108"/>
      <c r="CX408" s="108"/>
      <c r="CY408" s="108"/>
      <c r="CZ408" s="43"/>
      <c r="DA408" s="108"/>
      <c r="DB408" s="108"/>
      <c r="DC408" s="108"/>
      <c r="DD408" s="108"/>
      <c r="DE408" s="108"/>
      <c r="DF408" s="108"/>
      <c r="DG408" s="43"/>
      <c r="DH408" s="108"/>
      <c r="DI408" s="108"/>
      <c r="DJ408" s="108"/>
      <c r="DK408" s="108"/>
      <c r="DL408" s="108"/>
      <c r="DM408" s="108"/>
      <c r="DN408" s="43"/>
      <c r="DO408" s="108"/>
      <c r="DP408" s="108"/>
      <c r="DQ408" s="108"/>
      <c r="DR408" s="108"/>
      <c r="DS408" s="108"/>
      <c r="DT408" s="108"/>
      <c r="DU408" s="43"/>
      <c r="DV408" s="108"/>
      <c r="DW408" s="108"/>
      <c r="DX408" s="108"/>
      <c r="DY408" s="108"/>
      <c r="DZ408" s="108"/>
      <c r="EA408" s="108"/>
      <c r="EB408" s="43"/>
      <c r="EC408" s="108"/>
      <c r="ED408" s="108"/>
      <c r="EE408" s="108"/>
      <c r="EF408" s="108"/>
      <c r="EG408" s="108"/>
      <c r="EH408" s="108"/>
      <c r="EI408" s="43"/>
      <c r="EJ408" s="47"/>
      <c r="EK408" s="47"/>
      <c r="EL408" s="47"/>
      <c r="EM408" s="47"/>
      <c r="EN408" s="47"/>
      <c r="EO408" s="47"/>
      <c r="EP408" s="47"/>
      <c r="EQ408" s="47"/>
      <c r="ER408" s="47"/>
      <c r="ES408" s="47"/>
      <c r="ET408" s="47"/>
      <c r="EU408" s="47"/>
      <c r="EV408" s="47"/>
      <c r="EW408" s="47"/>
      <c r="EX408" s="47"/>
      <c r="EY408" s="47"/>
      <c r="EZ408" s="47"/>
      <c r="FA408" s="47"/>
      <c r="FB408" s="47"/>
      <c r="FC408" s="47"/>
      <c r="FD408" s="47"/>
      <c r="FE408" s="47"/>
      <c r="FF408" s="47"/>
      <c r="FG408" s="47"/>
      <c r="FH408" s="47"/>
      <c r="FI408" s="47"/>
      <c r="FJ408" s="47"/>
      <c r="FK408" s="47"/>
      <c r="FL408" s="47"/>
      <c r="FM408" s="47"/>
      <c r="FN408" s="47"/>
      <c r="FO408" s="47"/>
      <c r="FP408" s="47"/>
      <c r="FQ408" s="47"/>
      <c r="FR408" s="47"/>
      <c r="FS408" s="47"/>
      <c r="FT408" s="47"/>
      <c r="FU408" s="47"/>
      <c r="FV408" s="47"/>
      <c r="FW408" s="47"/>
      <c r="FX408" s="47"/>
      <c r="FY408" s="47"/>
      <c r="FZ408" s="47"/>
      <c r="GA408" s="47"/>
      <c r="GB408" s="47"/>
      <c r="GC408" s="47"/>
      <c r="GD408" s="47"/>
      <c r="GE408" s="47"/>
    </row>
    <row r="409" spans="1:187" ht="10.5" customHeight="1">
      <c r="A409" s="43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43"/>
      <c r="U409" s="108"/>
      <c r="V409" s="108"/>
      <c r="W409" s="108"/>
      <c r="X409" s="108"/>
      <c r="Y409" s="108"/>
      <c r="Z409" s="108"/>
      <c r="AA409" s="43"/>
      <c r="AB409" s="108"/>
      <c r="AC409" s="108"/>
      <c r="AD409" s="108"/>
      <c r="AE409" s="108"/>
      <c r="AF409" s="108"/>
      <c r="AG409" s="108"/>
      <c r="AH409" s="43"/>
      <c r="AI409" s="108"/>
      <c r="AJ409" s="108"/>
      <c r="AK409" s="108"/>
      <c r="AL409" s="108"/>
      <c r="AM409" s="108"/>
      <c r="AN409" s="108"/>
      <c r="AO409" s="43"/>
      <c r="AP409" s="108"/>
      <c r="AQ409" s="108"/>
      <c r="AR409" s="108"/>
      <c r="AS409" s="108"/>
      <c r="AT409" s="108"/>
      <c r="AU409" s="108"/>
      <c r="AV409" s="43"/>
      <c r="AW409" s="108"/>
      <c r="AX409" s="108"/>
      <c r="AY409" s="108"/>
      <c r="AZ409" s="108"/>
      <c r="BA409" s="108"/>
      <c r="BB409" s="108"/>
      <c r="BC409" s="43"/>
      <c r="BD409" s="108"/>
      <c r="BE409" s="108"/>
      <c r="BF409" s="108"/>
      <c r="BG409" s="108"/>
      <c r="BH409" s="108"/>
      <c r="BI409" s="108"/>
      <c r="BJ409" s="43"/>
      <c r="BK409" s="108"/>
      <c r="BL409" s="108"/>
      <c r="BM409" s="108"/>
      <c r="BN409" s="108"/>
      <c r="BO409" s="108"/>
      <c r="BP409" s="108"/>
      <c r="BQ409" s="43"/>
      <c r="BR409" s="108"/>
      <c r="BS409" s="108"/>
      <c r="BT409" s="108"/>
      <c r="BU409" s="108"/>
      <c r="BV409" s="108"/>
      <c r="BW409" s="108"/>
      <c r="BX409" s="43"/>
      <c r="BY409" s="108"/>
      <c r="BZ409" s="108"/>
      <c r="CA409" s="108"/>
      <c r="CB409" s="108"/>
      <c r="CC409" s="108"/>
      <c r="CD409" s="108"/>
      <c r="CE409" s="43"/>
      <c r="CF409" s="108"/>
      <c r="CG409" s="108"/>
      <c r="CH409" s="108"/>
      <c r="CI409" s="108"/>
      <c r="CJ409" s="108"/>
      <c r="CK409" s="108"/>
      <c r="CL409" s="43"/>
      <c r="CM409" s="108"/>
      <c r="CN409" s="108"/>
      <c r="CO409" s="108"/>
      <c r="CP409" s="108"/>
      <c r="CQ409" s="108"/>
      <c r="CR409" s="108"/>
      <c r="CS409" s="43"/>
      <c r="CT409" s="108"/>
      <c r="CU409" s="108"/>
      <c r="CV409" s="108"/>
      <c r="CW409" s="108"/>
      <c r="CX409" s="108"/>
      <c r="CY409" s="108"/>
      <c r="CZ409" s="43"/>
      <c r="DA409" s="108"/>
      <c r="DB409" s="108"/>
      <c r="DC409" s="108"/>
      <c r="DD409" s="108"/>
      <c r="DE409" s="108"/>
      <c r="DF409" s="108"/>
      <c r="DG409" s="43"/>
      <c r="DH409" s="108"/>
      <c r="DI409" s="108"/>
      <c r="DJ409" s="108"/>
      <c r="DK409" s="108"/>
      <c r="DL409" s="108"/>
      <c r="DM409" s="108"/>
      <c r="DN409" s="43"/>
      <c r="DO409" s="108"/>
      <c r="DP409" s="108"/>
      <c r="DQ409" s="108"/>
      <c r="DR409" s="108"/>
      <c r="DS409" s="108"/>
      <c r="DT409" s="108"/>
      <c r="DU409" s="43"/>
      <c r="DV409" s="108"/>
      <c r="DW409" s="108"/>
      <c r="DX409" s="108"/>
      <c r="DY409" s="108"/>
      <c r="DZ409" s="108"/>
      <c r="EA409" s="108"/>
      <c r="EB409" s="43"/>
      <c r="EC409" s="108"/>
      <c r="ED409" s="108"/>
      <c r="EE409" s="108"/>
      <c r="EF409" s="108"/>
      <c r="EG409" s="108"/>
      <c r="EH409" s="108"/>
      <c r="EI409" s="43"/>
      <c r="EJ409" s="47"/>
      <c r="EK409" s="47"/>
      <c r="EL409" s="47"/>
      <c r="EM409" s="47"/>
      <c r="EN409" s="47"/>
      <c r="EO409" s="47"/>
      <c r="EP409" s="47"/>
      <c r="EQ409" s="47"/>
      <c r="ER409" s="47"/>
      <c r="ES409" s="47"/>
      <c r="ET409" s="47"/>
      <c r="EU409" s="47"/>
      <c r="EV409" s="47"/>
      <c r="EW409" s="47"/>
      <c r="EX409" s="47"/>
      <c r="EY409" s="47"/>
      <c r="EZ409" s="47"/>
      <c r="FA409" s="47"/>
      <c r="FB409" s="47"/>
      <c r="FC409" s="47"/>
      <c r="FD409" s="47"/>
      <c r="FE409" s="47"/>
      <c r="FF409" s="47"/>
      <c r="FG409" s="47"/>
      <c r="FH409" s="47"/>
      <c r="FI409" s="47"/>
      <c r="FJ409" s="47"/>
      <c r="FK409" s="47"/>
      <c r="FL409" s="47"/>
      <c r="FM409" s="47"/>
      <c r="FN409" s="47"/>
      <c r="FO409" s="47"/>
      <c r="FP409" s="47"/>
      <c r="FQ409" s="47"/>
      <c r="FR409" s="47"/>
      <c r="FS409" s="47"/>
      <c r="FT409" s="47"/>
      <c r="FU409" s="47"/>
      <c r="FV409" s="47"/>
      <c r="FW409" s="47"/>
      <c r="FX409" s="47"/>
      <c r="FY409" s="47"/>
      <c r="FZ409" s="47"/>
      <c r="GA409" s="47"/>
      <c r="GB409" s="47"/>
      <c r="GC409" s="47"/>
      <c r="GD409" s="47"/>
      <c r="GE409" s="47"/>
    </row>
    <row r="410" spans="1:187" ht="10.5" customHeight="1">
      <c r="A410" s="43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43"/>
      <c r="U410" s="108"/>
      <c r="V410" s="108"/>
      <c r="W410" s="108"/>
      <c r="X410" s="108"/>
      <c r="Y410" s="108"/>
      <c r="Z410" s="108"/>
      <c r="AA410" s="43"/>
      <c r="AB410" s="108"/>
      <c r="AC410" s="108"/>
      <c r="AD410" s="108"/>
      <c r="AE410" s="108"/>
      <c r="AF410" s="108"/>
      <c r="AG410" s="108"/>
      <c r="AH410" s="43"/>
      <c r="AI410" s="108"/>
      <c r="AJ410" s="108"/>
      <c r="AK410" s="108"/>
      <c r="AL410" s="108"/>
      <c r="AM410" s="108"/>
      <c r="AN410" s="108"/>
      <c r="AO410" s="43"/>
      <c r="AP410" s="108"/>
      <c r="AQ410" s="108"/>
      <c r="AR410" s="108"/>
      <c r="AS410" s="108"/>
      <c r="AT410" s="108"/>
      <c r="AU410" s="108"/>
      <c r="AV410" s="43"/>
      <c r="AW410" s="108"/>
      <c r="AX410" s="108"/>
      <c r="AY410" s="108"/>
      <c r="AZ410" s="108"/>
      <c r="BA410" s="108"/>
      <c r="BB410" s="108"/>
      <c r="BC410" s="43"/>
      <c r="BD410" s="108"/>
      <c r="BE410" s="108"/>
      <c r="BF410" s="108"/>
      <c r="BG410" s="108"/>
      <c r="BH410" s="108"/>
      <c r="BI410" s="108"/>
      <c r="BJ410" s="43"/>
      <c r="BK410" s="108"/>
      <c r="BL410" s="108"/>
      <c r="BM410" s="108"/>
      <c r="BN410" s="108"/>
      <c r="BO410" s="108"/>
      <c r="BP410" s="108"/>
      <c r="BQ410" s="43"/>
      <c r="BR410" s="108"/>
      <c r="BS410" s="108"/>
      <c r="BT410" s="108"/>
      <c r="BU410" s="108"/>
      <c r="BV410" s="108"/>
      <c r="BW410" s="108"/>
      <c r="BX410" s="43"/>
      <c r="BY410" s="108"/>
      <c r="BZ410" s="108"/>
      <c r="CA410" s="108"/>
      <c r="CB410" s="108"/>
      <c r="CC410" s="108"/>
      <c r="CD410" s="108"/>
      <c r="CE410" s="43"/>
      <c r="CF410" s="108"/>
      <c r="CG410" s="108"/>
      <c r="CH410" s="108"/>
      <c r="CI410" s="108"/>
      <c r="CJ410" s="108"/>
      <c r="CK410" s="108"/>
      <c r="CL410" s="43"/>
      <c r="CM410" s="108"/>
      <c r="CN410" s="108"/>
      <c r="CO410" s="108"/>
      <c r="CP410" s="108"/>
      <c r="CQ410" s="108"/>
      <c r="CR410" s="108"/>
      <c r="CS410" s="43"/>
      <c r="CT410" s="108"/>
      <c r="CU410" s="108"/>
      <c r="CV410" s="108"/>
      <c r="CW410" s="108"/>
      <c r="CX410" s="108"/>
      <c r="CY410" s="108"/>
      <c r="CZ410" s="43"/>
      <c r="DA410" s="108"/>
      <c r="DB410" s="108"/>
      <c r="DC410" s="108"/>
      <c r="DD410" s="108"/>
      <c r="DE410" s="108"/>
      <c r="DF410" s="108"/>
      <c r="DG410" s="43"/>
      <c r="DH410" s="108"/>
      <c r="DI410" s="108"/>
      <c r="DJ410" s="108"/>
      <c r="DK410" s="108"/>
      <c r="DL410" s="108"/>
      <c r="DM410" s="108"/>
      <c r="DN410" s="43"/>
      <c r="DO410" s="108"/>
      <c r="DP410" s="108"/>
      <c r="DQ410" s="108"/>
      <c r="DR410" s="108"/>
      <c r="DS410" s="108"/>
      <c r="DT410" s="108"/>
      <c r="DU410" s="43"/>
      <c r="DV410" s="108"/>
      <c r="DW410" s="108"/>
      <c r="DX410" s="108"/>
      <c r="DY410" s="108"/>
      <c r="DZ410" s="108"/>
      <c r="EA410" s="108"/>
      <c r="EB410" s="43"/>
      <c r="EC410" s="108"/>
      <c r="ED410" s="108"/>
      <c r="EE410" s="108"/>
      <c r="EF410" s="108"/>
      <c r="EG410" s="108"/>
      <c r="EH410" s="108"/>
      <c r="EI410" s="43"/>
      <c r="EJ410" s="47"/>
      <c r="EK410" s="47"/>
      <c r="EL410" s="47"/>
      <c r="EM410" s="47"/>
      <c r="EN410" s="47"/>
      <c r="EO410" s="47"/>
      <c r="EP410" s="47"/>
      <c r="EQ410" s="47"/>
      <c r="ER410" s="47"/>
      <c r="ES410" s="47"/>
      <c r="ET410" s="47"/>
      <c r="EU410" s="47"/>
      <c r="EV410" s="47"/>
      <c r="EW410" s="47"/>
      <c r="EX410" s="47"/>
      <c r="EY410" s="47"/>
      <c r="EZ410" s="47"/>
      <c r="FA410" s="47"/>
      <c r="FB410" s="47"/>
      <c r="FC410" s="47"/>
      <c r="FD410" s="47"/>
      <c r="FE410" s="47"/>
      <c r="FF410" s="47"/>
      <c r="FG410" s="47"/>
      <c r="FH410" s="47"/>
      <c r="FI410" s="47"/>
      <c r="FJ410" s="47"/>
      <c r="FK410" s="47"/>
      <c r="FL410" s="47"/>
      <c r="FM410" s="47"/>
      <c r="FN410" s="47"/>
      <c r="FO410" s="47"/>
      <c r="FP410" s="47"/>
      <c r="FQ410" s="47"/>
      <c r="FR410" s="47"/>
      <c r="FS410" s="47"/>
      <c r="FT410" s="47"/>
      <c r="FU410" s="47"/>
      <c r="FV410" s="47"/>
      <c r="FW410" s="47"/>
      <c r="FX410" s="47"/>
      <c r="FY410" s="47"/>
      <c r="FZ410" s="47"/>
      <c r="GA410" s="47"/>
      <c r="GB410" s="47"/>
      <c r="GC410" s="47"/>
      <c r="GD410" s="47"/>
      <c r="GE410" s="47"/>
    </row>
    <row r="411" spans="1:187" ht="10.5" customHeight="1">
      <c r="A411" s="43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43"/>
      <c r="U411" s="108"/>
      <c r="V411" s="108"/>
      <c r="W411" s="108"/>
      <c r="X411" s="108"/>
      <c r="Y411" s="108"/>
      <c r="Z411" s="108"/>
      <c r="AA411" s="43"/>
      <c r="AB411" s="108"/>
      <c r="AC411" s="108"/>
      <c r="AD411" s="108"/>
      <c r="AE411" s="108"/>
      <c r="AF411" s="108"/>
      <c r="AG411" s="108"/>
      <c r="AH411" s="43"/>
      <c r="AI411" s="108"/>
      <c r="AJ411" s="108"/>
      <c r="AK411" s="108"/>
      <c r="AL411" s="108"/>
      <c r="AM411" s="108"/>
      <c r="AN411" s="108"/>
      <c r="AO411" s="43"/>
      <c r="AP411" s="108"/>
      <c r="AQ411" s="108"/>
      <c r="AR411" s="108"/>
      <c r="AS411" s="108"/>
      <c r="AT411" s="108"/>
      <c r="AU411" s="108"/>
      <c r="AV411" s="43"/>
      <c r="AW411" s="108"/>
      <c r="AX411" s="108"/>
      <c r="AY411" s="108"/>
      <c r="AZ411" s="108"/>
      <c r="BA411" s="108"/>
      <c r="BB411" s="108"/>
      <c r="BC411" s="43"/>
      <c r="BD411" s="108"/>
      <c r="BE411" s="108"/>
      <c r="BF411" s="108"/>
      <c r="BG411" s="108"/>
      <c r="BH411" s="108"/>
      <c r="BI411" s="108"/>
      <c r="BJ411" s="43"/>
      <c r="BK411" s="108"/>
      <c r="BL411" s="108"/>
      <c r="BM411" s="108"/>
      <c r="BN411" s="108"/>
      <c r="BO411" s="108"/>
      <c r="BP411" s="108"/>
      <c r="BQ411" s="43"/>
      <c r="BR411" s="108"/>
      <c r="BS411" s="108"/>
      <c r="BT411" s="108"/>
      <c r="BU411" s="108"/>
      <c r="BV411" s="108"/>
      <c r="BW411" s="108"/>
      <c r="BX411" s="43"/>
      <c r="BY411" s="108"/>
      <c r="BZ411" s="108"/>
      <c r="CA411" s="108"/>
      <c r="CB411" s="108"/>
      <c r="CC411" s="108"/>
      <c r="CD411" s="108"/>
      <c r="CE411" s="43"/>
      <c r="CF411" s="108"/>
      <c r="CG411" s="108"/>
      <c r="CH411" s="108"/>
      <c r="CI411" s="108"/>
      <c r="CJ411" s="108"/>
      <c r="CK411" s="108"/>
      <c r="CL411" s="43"/>
      <c r="CM411" s="108"/>
      <c r="CN411" s="108"/>
      <c r="CO411" s="108"/>
      <c r="CP411" s="108"/>
      <c r="CQ411" s="108"/>
      <c r="CR411" s="108"/>
      <c r="CS411" s="43"/>
      <c r="CT411" s="108"/>
      <c r="CU411" s="108"/>
      <c r="CV411" s="108"/>
      <c r="CW411" s="108"/>
      <c r="CX411" s="108"/>
      <c r="CY411" s="108"/>
      <c r="CZ411" s="43"/>
      <c r="DA411" s="108"/>
      <c r="DB411" s="108"/>
      <c r="DC411" s="108"/>
      <c r="DD411" s="108"/>
      <c r="DE411" s="108"/>
      <c r="DF411" s="108"/>
      <c r="DG411" s="43"/>
      <c r="DH411" s="108"/>
      <c r="DI411" s="108"/>
      <c r="DJ411" s="108"/>
      <c r="DK411" s="108"/>
      <c r="DL411" s="108"/>
      <c r="DM411" s="108"/>
      <c r="DN411" s="43"/>
      <c r="DO411" s="108"/>
      <c r="DP411" s="108"/>
      <c r="DQ411" s="108"/>
      <c r="DR411" s="108"/>
      <c r="DS411" s="108"/>
      <c r="DT411" s="108"/>
      <c r="DU411" s="43"/>
      <c r="DV411" s="108"/>
      <c r="DW411" s="108"/>
      <c r="DX411" s="108"/>
      <c r="DY411" s="108"/>
      <c r="DZ411" s="108"/>
      <c r="EA411" s="108"/>
      <c r="EB411" s="43"/>
      <c r="EC411" s="108"/>
      <c r="ED411" s="108"/>
      <c r="EE411" s="108"/>
      <c r="EF411" s="108"/>
      <c r="EG411" s="108"/>
      <c r="EH411" s="108"/>
      <c r="EI411" s="43"/>
      <c r="EJ411" s="47"/>
      <c r="EK411" s="47"/>
      <c r="EL411" s="47"/>
      <c r="EM411" s="47"/>
      <c r="EN411" s="47"/>
      <c r="EO411" s="47"/>
      <c r="EP411" s="47"/>
      <c r="EQ411" s="47"/>
      <c r="ER411" s="47"/>
      <c r="ES411" s="47"/>
      <c r="ET411" s="47"/>
      <c r="EU411" s="47"/>
      <c r="EV411" s="47"/>
      <c r="EW411" s="47"/>
      <c r="EX411" s="47"/>
      <c r="EY411" s="47"/>
      <c r="EZ411" s="47"/>
      <c r="FA411" s="47"/>
      <c r="FB411" s="47"/>
      <c r="FC411" s="47"/>
      <c r="FD411" s="47"/>
      <c r="FE411" s="47"/>
      <c r="FF411" s="47"/>
      <c r="FG411" s="47"/>
      <c r="FH411" s="47"/>
      <c r="FI411" s="47"/>
      <c r="FJ411" s="47"/>
      <c r="FK411" s="47"/>
      <c r="FL411" s="47"/>
      <c r="FM411" s="47"/>
      <c r="FN411" s="47"/>
      <c r="FO411" s="47"/>
      <c r="FP411" s="47"/>
      <c r="FQ411" s="47"/>
      <c r="FR411" s="47"/>
      <c r="FS411" s="47"/>
      <c r="FT411" s="47"/>
      <c r="FU411" s="47"/>
      <c r="FV411" s="47"/>
      <c r="FW411" s="47"/>
      <c r="FX411" s="47"/>
      <c r="FY411" s="47"/>
      <c r="FZ411" s="47"/>
      <c r="GA411" s="47"/>
      <c r="GB411" s="47"/>
      <c r="GC411" s="47"/>
      <c r="GD411" s="47"/>
      <c r="GE411" s="47"/>
    </row>
    <row r="412" spans="1:187" ht="10.5" customHeight="1">
      <c r="A412" s="43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43"/>
      <c r="U412" s="108"/>
      <c r="V412" s="108"/>
      <c r="W412" s="108"/>
      <c r="X412" s="108"/>
      <c r="Y412" s="108"/>
      <c r="Z412" s="108"/>
      <c r="AA412" s="43"/>
      <c r="AB412" s="108"/>
      <c r="AC412" s="108"/>
      <c r="AD412" s="108"/>
      <c r="AE412" s="108"/>
      <c r="AF412" s="108"/>
      <c r="AG412" s="108"/>
      <c r="AH412" s="43"/>
      <c r="AI412" s="108"/>
      <c r="AJ412" s="108"/>
      <c r="AK412" s="108"/>
      <c r="AL412" s="108"/>
      <c r="AM412" s="108"/>
      <c r="AN412" s="108"/>
      <c r="AO412" s="43"/>
      <c r="AP412" s="108"/>
      <c r="AQ412" s="108"/>
      <c r="AR412" s="108"/>
      <c r="AS412" s="108"/>
      <c r="AT412" s="108"/>
      <c r="AU412" s="108"/>
      <c r="AV412" s="43"/>
      <c r="AW412" s="108"/>
      <c r="AX412" s="108"/>
      <c r="AY412" s="108"/>
      <c r="AZ412" s="108"/>
      <c r="BA412" s="108"/>
      <c r="BB412" s="108"/>
      <c r="BC412" s="43"/>
      <c r="BD412" s="108"/>
      <c r="BE412" s="108"/>
      <c r="BF412" s="108"/>
      <c r="BG412" s="108"/>
      <c r="BH412" s="108"/>
      <c r="BI412" s="108"/>
      <c r="BJ412" s="43"/>
      <c r="BK412" s="108"/>
      <c r="BL412" s="108"/>
      <c r="BM412" s="108"/>
      <c r="BN412" s="108"/>
      <c r="BO412" s="108"/>
      <c r="BP412" s="108"/>
      <c r="BQ412" s="43"/>
      <c r="BR412" s="108"/>
      <c r="BS412" s="108"/>
      <c r="BT412" s="108"/>
      <c r="BU412" s="108"/>
      <c r="BV412" s="108"/>
      <c r="BW412" s="108"/>
      <c r="BX412" s="43"/>
      <c r="BY412" s="108"/>
      <c r="BZ412" s="108"/>
      <c r="CA412" s="108"/>
      <c r="CB412" s="108"/>
      <c r="CC412" s="108"/>
      <c r="CD412" s="108"/>
      <c r="CE412" s="43"/>
      <c r="CF412" s="108"/>
      <c r="CG412" s="108"/>
      <c r="CH412" s="108"/>
      <c r="CI412" s="108"/>
      <c r="CJ412" s="108"/>
      <c r="CK412" s="108"/>
      <c r="CL412" s="43"/>
      <c r="CM412" s="108"/>
      <c r="CN412" s="108"/>
      <c r="CO412" s="108"/>
      <c r="CP412" s="108"/>
      <c r="CQ412" s="108"/>
      <c r="CR412" s="108"/>
      <c r="CS412" s="43"/>
      <c r="CT412" s="108"/>
      <c r="CU412" s="108"/>
      <c r="CV412" s="108"/>
      <c r="CW412" s="108"/>
      <c r="CX412" s="108"/>
      <c r="CY412" s="108"/>
      <c r="CZ412" s="43"/>
      <c r="DA412" s="108"/>
      <c r="DB412" s="108"/>
      <c r="DC412" s="108"/>
      <c r="DD412" s="108"/>
      <c r="DE412" s="108"/>
      <c r="DF412" s="108"/>
      <c r="DG412" s="43"/>
      <c r="DH412" s="108"/>
      <c r="DI412" s="108"/>
      <c r="DJ412" s="108"/>
      <c r="DK412" s="108"/>
      <c r="DL412" s="108"/>
      <c r="DM412" s="108"/>
      <c r="DN412" s="43"/>
      <c r="DO412" s="108"/>
      <c r="DP412" s="108"/>
      <c r="DQ412" s="108"/>
      <c r="DR412" s="108"/>
      <c r="DS412" s="108"/>
      <c r="DT412" s="108"/>
      <c r="DU412" s="43"/>
      <c r="DV412" s="108"/>
      <c r="DW412" s="108"/>
      <c r="DX412" s="108"/>
      <c r="DY412" s="108"/>
      <c r="DZ412" s="108"/>
      <c r="EA412" s="108"/>
      <c r="EB412" s="43"/>
      <c r="EC412" s="108"/>
      <c r="ED412" s="108"/>
      <c r="EE412" s="108"/>
      <c r="EF412" s="108"/>
      <c r="EG412" s="108"/>
      <c r="EH412" s="108"/>
      <c r="EI412" s="43"/>
      <c r="EJ412" s="47"/>
      <c r="EK412" s="47"/>
      <c r="EL412" s="47"/>
      <c r="EM412" s="47"/>
      <c r="EN412" s="47"/>
      <c r="EO412" s="47"/>
      <c r="EP412" s="47"/>
      <c r="EQ412" s="47"/>
      <c r="ER412" s="47"/>
      <c r="ES412" s="47"/>
      <c r="ET412" s="47"/>
      <c r="EU412" s="47"/>
      <c r="EV412" s="47"/>
      <c r="EW412" s="47"/>
      <c r="EX412" s="47"/>
      <c r="EY412" s="47"/>
      <c r="EZ412" s="47"/>
      <c r="FA412" s="47"/>
      <c r="FB412" s="47"/>
      <c r="FC412" s="47"/>
      <c r="FD412" s="47"/>
      <c r="FE412" s="47"/>
      <c r="FF412" s="47"/>
      <c r="FG412" s="47"/>
      <c r="FH412" s="47"/>
      <c r="FI412" s="47"/>
      <c r="FJ412" s="47"/>
      <c r="FK412" s="47"/>
      <c r="FL412" s="47"/>
      <c r="FM412" s="47"/>
      <c r="FN412" s="47"/>
      <c r="FO412" s="47"/>
      <c r="FP412" s="47"/>
      <c r="FQ412" s="47"/>
      <c r="FR412" s="47"/>
      <c r="FS412" s="47"/>
      <c r="FT412" s="47"/>
      <c r="FU412" s="47"/>
      <c r="FV412" s="47"/>
      <c r="FW412" s="47"/>
      <c r="FX412" s="47"/>
      <c r="FY412" s="47"/>
      <c r="FZ412" s="47"/>
      <c r="GA412" s="47"/>
      <c r="GB412" s="47"/>
      <c r="GC412" s="47"/>
      <c r="GD412" s="47"/>
      <c r="GE412" s="47"/>
    </row>
    <row r="413" spans="1:187" ht="10.5" customHeight="1">
      <c r="A413" s="43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43"/>
      <c r="U413" s="108"/>
      <c r="V413" s="108"/>
      <c r="W413" s="108"/>
      <c r="X413" s="108"/>
      <c r="Y413" s="108"/>
      <c r="Z413" s="108"/>
      <c r="AA413" s="43"/>
      <c r="AB413" s="108"/>
      <c r="AC413" s="108"/>
      <c r="AD413" s="108"/>
      <c r="AE413" s="108"/>
      <c r="AF413" s="108"/>
      <c r="AG413" s="108"/>
      <c r="AH413" s="43"/>
      <c r="AI413" s="108"/>
      <c r="AJ413" s="108"/>
      <c r="AK413" s="108"/>
      <c r="AL413" s="108"/>
      <c r="AM413" s="108"/>
      <c r="AN413" s="108"/>
      <c r="AO413" s="43"/>
      <c r="AP413" s="108"/>
      <c r="AQ413" s="108"/>
      <c r="AR413" s="108"/>
      <c r="AS413" s="108"/>
      <c r="AT413" s="108"/>
      <c r="AU413" s="108"/>
      <c r="AV413" s="43"/>
      <c r="AW413" s="108"/>
      <c r="AX413" s="108"/>
      <c r="AY413" s="108"/>
      <c r="AZ413" s="108"/>
      <c r="BA413" s="108"/>
      <c r="BB413" s="108"/>
      <c r="BC413" s="43"/>
      <c r="BD413" s="108"/>
      <c r="BE413" s="108"/>
      <c r="BF413" s="108"/>
      <c r="BG413" s="108"/>
      <c r="BH413" s="108"/>
      <c r="BI413" s="108"/>
      <c r="BJ413" s="43"/>
      <c r="BK413" s="108"/>
      <c r="BL413" s="108"/>
      <c r="BM413" s="108"/>
      <c r="BN413" s="108"/>
      <c r="BO413" s="108"/>
      <c r="BP413" s="108"/>
      <c r="BQ413" s="43"/>
      <c r="BR413" s="108"/>
      <c r="BS413" s="108"/>
      <c r="BT413" s="108"/>
      <c r="BU413" s="108"/>
      <c r="BV413" s="108"/>
      <c r="BW413" s="108"/>
      <c r="BX413" s="43"/>
      <c r="BY413" s="108"/>
      <c r="BZ413" s="108"/>
      <c r="CA413" s="108"/>
      <c r="CB413" s="108"/>
      <c r="CC413" s="108"/>
      <c r="CD413" s="108"/>
      <c r="CE413" s="43"/>
      <c r="CF413" s="108"/>
      <c r="CG413" s="108"/>
      <c r="CH413" s="108"/>
      <c r="CI413" s="108"/>
      <c r="CJ413" s="108"/>
      <c r="CK413" s="108"/>
      <c r="CL413" s="43"/>
      <c r="CM413" s="108"/>
      <c r="CN413" s="108"/>
      <c r="CO413" s="108"/>
      <c r="CP413" s="108"/>
      <c r="CQ413" s="108"/>
      <c r="CR413" s="108"/>
      <c r="CS413" s="43"/>
      <c r="CT413" s="108"/>
      <c r="CU413" s="108"/>
      <c r="CV413" s="108"/>
      <c r="CW413" s="108"/>
      <c r="CX413" s="108"/>
      <c r="CY413" s="108"/>
      <c r="CZ413" s="43"/>
      <c r="DA413" s="108"/>
      <c r="DB413" s="108"/>
      <c r="DC413" s="108"/>
      <c r="DD413" s="108"/>
      <c r="DE413" s="108"/>
      <c r="DF413" s="108"/>
      <c r="DG413" s="43"/>
      <c r="DH413" s="108"/>
      <c r="DI413" s="108"/>
      <c r="DJ413" s="108"/>
      <c r="DK413" s="108"/>
      <c r="DL413" s="108"/>
      <c r="DM413" s="108"/>
      <c r="DN413" s="43"/>
      <c r="DO413" s="108"/>
      <c r="DP413" s="108"/>
      <c r="DQ413" s="108"/>
      <c r="DR413" s="108"/>
      <c r="DS413" s="108"/>
      <c r="DT413" s="108"/>
      <c r="DU413" s="43"/>
      <c r="DV413" s="108"/>
      <c r="DW413" s="108"/>
      <c r="DX413" s="108"/>
      <c r="DY413" s="108"/>
      <c r="DZ413" s="108"/>
      <c r="EA413" s="108"/>
      <c r="EB413" s="43"/>
      <c r="EC413" s="108"/>
      <c r="ED413" s="108"/>
      <c r="EE413" s="108"/>
      <c r="EF413" s="108"/>
      <c r="EG413" s="108"/>
      <c r="EH413" s="108"/>
      <c r="EI413" s="43"/>
      <c r="EJ413" s="47"/>
      <c r="EK413" s="47"/>
      <c r="EL413" s="47"/>
      <c r="EM413" s="47"/>
      <c r="EN413" s="47"/>
      <c r="EO413" s="47"/>
      <c r="EP413" s="47"/>
      <c r="EQ413" s="47"/>
      <c r="ER413" s="47"/>
      <c r="ES413" s="47"/>
      <c r="ET413" s="47"/>
      <c r="EU413" s="47"/>
      <c r="EV413" s="47"/>
      <c r="EW413" s="47"/>
      <c r="EX413" s="47"/>
      <c r="EY413" s="47"/>
      <c r="EZ413" s="47"/>
      <c r="FA413" s="47"/>
      <c r="FB413" s="47"/>
      <c r="FC413" s="47"/>
      <c r="FD413" s="47"/>
      <c r="FE413" s="47"/>
      <c r="FF413" s="47"/>
      <c r="FG413" s="47"/>
      <c r="FH413" s="47"/>
      <c r="FI413" s="47"/>
      <c r="FJ413" s="47"/>
      <c r="FK413" s="47"/>
      <c r="FL413" s="47"/>
      <c r="FM413" s="47"/>
      <c r="FN413" s="47"/>
      <c r="FO413" s="47"/>
      <c r="FP413" s="47"/>
      <c r="FQ413" s="47"/>
      <c r="FR413" s="47"/>
      <c r="FS413" s="47"/>
      <c r="FT413" s="47"/>
      <c r="FU413" s="47"/>
      <c r="FV413" s="47"/>
      <c r="FW413" s="47"/>
      <c r="FX413" s="47"/>
      <c r="FY413" s="47"/>
      <c r="FZ413" s="47"/>
      <c r="GA413" s="47"/>
      <c r="GB413" s="47"/>
      <c r="GC413" s="47"/>
      <c r="GD413" s="47"/>
      <c r="GE413" s="47"/>
    </row>
    <row r="414" spans="1:187" ht="10.5" customHeight="1">
      <c r="A414" s="43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43"/>
      <c r="U414" s="108"/>
      <c r="V414" s="108"/>
      <c r="W414" s="108"/>
      <c r="X414" s="108"/>
      <c r="Y414" s="108"/>
      <c r="Z414" s="108"/>
      <c r="AA414" s="43"/>
      <c r="AB414" s="108"/>
      <c r="AC414" s="108"/>
      <c r="AD414" s="108"/>
      <c r="AE414" s="108"/>
      <c r="AF414" s="108"/>
      <c r="AG414" s="108"/>
      <c r="AH414" s="43"/>
      <c r="AI414" s="108"/>
      <c r="AJ414" s="108"/>
      <c r="AK414" s="108"/>
      <c r="AL414" s="108"/>
      <c r="AM414" s="108"/>
      <c r="AN414" s="108"/>
      <c r="AO414" s="43"/>
      <c r="AP414" s="108"/>
      <c r="AQ414" s="108"/>
      <c r="AR414" s="108"/>
      <c r="AS414" s="108"/>
      <c r="AT414" s="108"/>
      <c r="AU414" s="108"/>
      <c r="AV414" s="43"/>
      <c r="AW414" s="108"/>
      <c r="AX414" s="108"/>
      <c r="AY414" s="108"/>
      <c r="AZ414" s="108"/>
      <c r="BA414" s="108"/>
      <c r="BB414" s="108"/>
      <c r="BC414" s="43"/>
      <c r="BD414" s="108"/>
      <c r="BE414" s="108"/>
      <c r="BF414" s="108"/>
      <c r="BG414" s="108"/>
      <c r="BH414" s="108"/>
      <c r="BI414" s="108"/>
      <c r="BJ414" s="43"/>
      <c r="BK414" s="108"/>
      <c r="BL414" s="108"/>
      <c r="BM414" s="108"/>
      <c r="BN414" s="108"/>
      <c r="BO414" s="108"/>
      <c r="BP414" s="108"/>
      <c r="BQ414" s="43"/>
      <c r="BR414" s="108"/>
      <c r="BS414" s="108"/>
      <c r="BT414" s="108"/>
      <c r="BU414" s="108"/>
      <c r="BV414" s="108"/>
      <c r="BW414" s="108"/>
      <c r="BX414" s="43"/>
      <c r="BY414" s="108"/>
      <c r="BZ414" s="108"/>
      <c r="CA414" s="108"/>
      <c r="CB414" s="108"/>
      <c r="CC414" s="108"/>
      <c r="CD414" s="108"/>
      <c r="CE414" s="43"/>
      <c r="CF414" s="108"/>
      <c r="CG414" s="108"/>
      <c r="CH414" s="108"/>
      <c r="CI414" s="108"/>
      <c r="CJ414" s="108"/>
      <c r="CK414" s="108"/>
      <c r="CL414" s="43"/>
      <c r="CM414" s="108"/>
      <c r="CN414" s="108"/>
      <c r="CO414" s="108"/>
      <c r="CP414" s="108"/>
      <c r="CQ414" s="108"/>
      <c r="CR414" s="108"/>
      <c r="CS414" s="43"/>
      <c r="CT414" s="108"/>
      <c r="CU414" s="108"/>
      <c r="CV414" s="108"/>
      <c r="CW414" s="108"/>
      <c r="CX414" s="108"/>
      <c r="CY414" s="108"/>
      <c r="CZ414" s="43"/>
      <c r="DA414" s="108"/>
      <c r="DB414" s="108"/>
      <c r="DC414" s="108"/>
      <c r="DD414" s="108"/>
      <c r="DE414" s="108"/>
      <c r="DF414" s="108"/>
      <c r="DG414" s="43"/>
      <c r="DH414" s="108"/>
      <c r="DI414" s="108"/>
      <c r="DJ414" s="108"/>
      <c r="DK414" s="108"/>
      <c r="DL414" s="108"/>
      <c r="DM414" s="108"/>
      <c r="DN414" s="43"/>
      <c r="DO414" s="108"/>
      <c r="DP414" s="108"/>
      <c r="DQ414" s="108"/>
      <c r="DR414" s="108"/>
      <c r="DS414" s="108"/>
      <c r="DT414" s="108"/>
      <c r="DU414" s="43"/>
      <c r="DV414" s="108"/>
      <c r="DW414" s="108"/>
      <c r="DX414" s="108"/>
      <c r="DY414" s="108"/>
      <c r="DZ414" s="108"/>
      <c r="EA414" s="108"/>
      <c r="EB414" s="43"/>
      <c r="EC414" s="108"/>
      <c r="ED414" s="108"/>
      <c r="EE414" s="108"/>
      <c r="EF414" s="108"/>
      <c r="EG414" s="108"/>
      <c r="EH414" s="108"/>
      <c r="EI414" s="43"/>
      <c r="EJ414" s="47"/>
      <c r="EK414" s="47"/>
      <c r="EL414" s="47"/>
      <c r="EM414" s="47"/>
      <c r="EN414" s="47"/>
      <c r="EO414" s="47"/>
      <c r="EP414" s="47"/>
      <c r="EQ414" s="47"/>
      <c r="ER414" s="47"/>
      <c r="ES414" s="47"/>
      <c r="ET414" s="47"/>
      <c r="EU414" s="47"/>
      <c r="EV414" s="47"/>
      <c r="EW414" s="47"/>
      <c r="EX414" s="47"/>
      <c r="EY414" s="47"/>
      <c r="EZ414" s="47"/>
      <c r="FA414" s="47"/>
      <c r="FB414" s="47"/>
      <c r="FC414" s="47"/>
      <c r="FD414" s="47"/>
      <c r="FE414" s="47"/>
      <c r="FF414" s="47"/>
      <c r="FG414" s="47"/>
      <c r="FH414" s="47"/>
      <c r="FI414" s="47"/>
      <c r="FJ414" s="47"/>
      <c r="FK414" s="47"/>
      <c r="FL414" s="47"/>
      <c r="FM414" s="47"/>
      <c r="FN414" s="47"/>
      <c r="FO414" s="47"/>
      <c r="FP414" s="47"/>
      <c r="FQ414" s="47"/>
      <c r="FR414" s="47"/>
      <c r="FS414" s="47"/>
      <c r="FT414" s="47"/>
      <c r="FU414" s="47"/>
      <c r="FV414" s="47"/>
      <c r="FW414" s="47"/>
      <c r="FX414" s="47"/>
      <c r="FY414" s="47"/>
      <c r="FZ414" s="47"/>
      <c r="GA414" s="47"/>
      <c r="GB414" s="47"/>
      <c r="GC414" s="47"/>
      <c r="GD414" s="47"/>
      <c r="GE414" s="47"/>
    </row>
    <row r="415" spans="1:187" ht="10.5" customHeight="1">
      <c r="A415" s="43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43"/>
      <c r="U415" s="108"/>
      <c r="V415" s="108"/>
      <c r="W415" s="108"/>
      <c r="X415" s="108"/>
      <c r="Y415" s="108"/>
      <c r="Z415" s="108"/>
      <c r="AA415" s="43"/>
      <c r="AB415" s="108"/>
      <c r="AC415" s="108"/>
      <c r="AD415" s="108"/>
      <c r="AE415" s="108"/>
      <c r="AF415" s="108"/>
      <c r="AG415" s="108"/>
      <c r="AH415" s="43"/>
      <c r="AI415" s="108"/>
      <c r="AJ415" s="108"/>
      <c r="AK415" s="108"/>
      <c r="AL415" s="108"/>
      <c r="AM415" s="108"/>
      <c r="AN415" s="108"/>
      <c r="AO415" s="43"/>
      <c r="AP415" s="108"/>
      <c r="AQ415" s="108"/>
      <c r="AR415" s="108"/>
      <c r="AS415" s="108"/>
      <c r="AT415" s="108"/>
      <c r="AU415" s="108"/>
      <c r="AV415" s="43"/>
      <c r="AW415" s="108"/>
      <c r="AX415" s="108"/>
      <c r="AY415" s="108"/>
      <c r="AZ415" s="108"/>
      <c r="BA415" s="108"/>
      <c r="BB415" s="108"/>
      <c r="BC415" s="43"/>
      <c r="BD415" s="108"/>
      <c r="BE415" s="108"/>
      <c r="BF415" s="108"/>
      <c r="BG415" s="108"/>
      <c r="BH415" s="108"/>
      <c r="BI415" s="108"/>
      <c r="BJ415" s="43"/>
      <c r="BK415" s="108"/>
      <c r="BL415" s="108"/>
      <c r="BM415" s="108"/>
      <c r="BN415" s="108"/>
      <c r="BO415" s="108"/>
      <c r="BP415" s="108"/>
      <c r="BQ415" s="43"/>
      <c r="BR415" s="108"/>
      <c r="BS415" s="108"/>
      <c r="BT415" s="108"/>
      <c r="BU415" s="108"/>
      <c r="BV415" s="108"/>
      <c r="BW415" s="108"/>
      <c r="BX415" s="43"/>
      <c r="BY415" s="108"/>
      <c r="BZ415" s="108"/>
      <c r="CA415" s="108"/>
      <c r="CB415" s="108"/>
      <c r="CC415" s="108"/>
      <c r="CD415" s="108"/>
      <c r="CE415" s="43"/>
      <c r="CF415" s="108"/>
      <c r="CG415" s="108"/>
      <c r="CH415" s="108"/>
      <c r="CI415" s="108"/>
      <c r="CJ415" s="108"/>
      <c r="CK415" s="108"/>
      <c r="CL415" s="43"/>
      <c r="CM415" s="108"/>
      <c r="CN415" s="108"/>
      <c r="CO415" s="108"/>
      <c r="CP415" s="108"/>
      <c r="CQ415" s="108"/>
      <c r="CR415" s="108"/>
      <c r="CS415" s="43"/>
      <c r="CT415" s="108"/>
      <c r="CU415" s="108"/>
      <c r="CV415" s="108"/>
      <c r="CW415" s="108"/>
      <c r="CX415" s="108"/>
      <c r="CY415" s="108"/>
      <c r="CZ415" s="43"/>
      <c r="DA415" s="108"/>
      <c r="DB415" s="108"/>
      <c r="DC415" s="108"/>
      <c r="DD415" s="108"/>
      <c r="DE415" s="108"/>
      <c r="DF415" s="108"/>
      <c r="DG415" s="43"/>
      <c r="DH415" s="108"/>
      <c r="DI415" s="108"/>
      <c r="DJ415" s="108"/>
      <c r="DK415" s="108"/>
      <c r="DL415" s="108"/>
      <c r="DM415" s="108"/>
      <c r="DN415" s="43"/>
      <c r="DO415" s="108"/>
      <c r="DP415" s="108"/>
      <c r="DQ415" s="108"/>
      <c r="DR415" s="108"/>
      <c r="DS415" s="108"/>
      <c r="DT415" s="108"/>
      <c r="DU415" s="43"/>
      <c r="DV415" s="108"/>
      <c r="DW415" s="108"/>
      <c r="DX415" s="108"/>
      <c r="DY415" s="108"/>
      <c r="DZ415" s="108"/>
      <c r="EA415" s="108"/>
      <c r="EB415" s="43"/>
      <c r="EC415" s="108"/>
      <c r="ED415" s="108"/>
      <c r="EE415" s="108"/>
      <c r="EF415" s="108"/>
      <c r="EG415" s="108"/>
      <c r="EH415" s="108"/>
      <c r="EI415" s="43"/>
      <c r="EJ415" s="47"/>
      <c r="EK415" s="47"/>
      <c r="EL415" s="47"/>
      <c r="EM415" s="47"/>
      <c r="EN415" s="47"/>
      <c r="EO415" s="47"/>
      <c r="EP415" s="47"/>
      <c r="EQ415" s="47"/>
      <c r="ER415" s="47"/>
      <c r="ES415" s="47"/>
      <c r="ET415" s="47"/>
      <c r="EU415" s="47"/>
      <c r="EV415" s="47"/>
      <c r="EW415" s="47"/>
      <c r="EX415" s="47"/>
      <c r="EY415" s="47"/>
      <c r="EZ415" s="47"/>
      <c r="FA415" s="47"/>
      <c r="FB415" s="47"/>
      <c r="FC415" s="47"/>
      <c r="FD415" s="47"/>
      <c r="FE415" s="47"/>
      <c r="FF415" s="47"/>
      <c r="FG415" s="47"/>
      <c r="FH415" s="47"/>
      <c r="FI415" s="47"/>
      <c r="FJ415" s="47"/>
      <c r="FK415" s="47"/>
      <c r="FL415" s="47"/>
      <c r="FM415" s="47"/>
      <c r="FN415" s="47"/>
      <c r="FO415" s="47"/>
      <c r="FP415" s="47"/>
      <c r="FQ415" s="47"/>
      <c r="FR415" s="47"/>
      <c r="FS415" s="47"/>
      <c r="FT415" s="47"/>
      <c r="FU415" s="47"/>
      <c r="FV415" s="47"/>
      <c r="FW415" s="47"/>
      <c r="FX415" s="47"/>
      <c r="FY415" s="47"/>
      <c r="FZ415" s="47"/>
      <c r="GA415" s="47"/>
      <c r="GB415" s="47"/>
      <c r="GC415" s="47"/>
      <c r="GD415" s="47"/>
      <c r="GE415" s="47"/>
    </row>
    <row r="416" spans="1:187" ht="10.5" customHeight="1">
      <c r="A416" s="4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43"/>
      <c r="U416" s="108"/>
      <c r="V416" s="108"/>
      <c r="W416" s="108"/>
      <c r="X416" s="108"/>
      <c r="Y416" s="108"/>
      <c r="Z416" s="108"/>
      <c r="AA416" s="43"/>
      <c r="AB416" s="108"/>
      <c r="AC416" s="108"/>
      <c r="AD416" s="108"/>
      <c r="AE416" s="108"/>
      <c r="AF416" s="108"/>
      <c r="AG416" s="108"/>
      <c r="AH416" s="43"/>
      <c r="AI416" s="108"/>
      <c r="AJ416" s="108"/>
      <c r="AK416" s="108"/>
      <c r="AL416" s="108"/>
      <c r="AM416" s="108"/>
      <c r="AN416" s="108"/>
      <c r="AO416" s="43"/>
      <c r="AP416" s="108"/>
      <c r="AQ416" s="108"/>
      <c r="AR416" s="108"/>
      <c r="AS416" s="108"/>
      <c r="AT416" s="108"/>
      <c r="AU416" s="108"/>
      <c r="AV416" s="43"/>
      <c r="AW416" s="108"/>
      <c r="AX416" s="108"/>
      <c r="AY416" s="108"/>
      <c r="AZ416" s="108"/>
      <c r="BA416" s="108"/>
      <c r="BB416" s="108"/>
      <c r="BC416" s="43"/>
      <c r="BD416" s="108"/>
      <c r="BE416" s="108"/>
      <c r="BF416" s="108"/>
      <c r="BG416" s="108"/>
      <c r="BH416" s="108"/>
      <c r="BI416" s="108"/>
      <c r="BJ416" s="43"/>
      <c r="BK416" s="108"/>
      <c r="BL416" s="108"/>
      <c r="BM416" s="108"/>
      <c r="BN416" s="108"/>
      <c r="BO416" s="108"/>
      <c r="BP416" s="108"/>
      <c r="BQ416" s="43"/>
      <c r="BR416" s="108"/>
      <c r="BS416" s="108"/>
      <c r="BT416" s="108"/>
      <c r="BU416" s="108"/>
      <c r="BV416" s="108"/>
      <c r="BW416" s="108"/>
      <c r="BX416" s="43"/>
      <c r="BY416" s="108"/>
      <c r="BZ416" s="108"/>
      <c r="CA416" s="108"/>
      <c r="CB416" s="108"/>
      <c r="CC416" s="108"/>
      <c r="CD416" s="108"/>
      <c r="CE416" s="43"/>
      <c r="CF416" s="108"/>
      <c r="CG416" s="108"/>
      <c r="CH416" s="108"/>
      <c r="CI416" s="108"/>
      <c r="CJ416" s="108"/>
      <c r="CK416" s="108"/>
      <c r="CL416" s="43"/>
      <c r="CM416" s="108"/>
      <c r="CN416" s="108"/>
      <c r="CO416" s="108"/>
      <c r="CP416" s="108"/>
      <c r="CQ416" s="108"/>
      <c r="CR416" s="108"/>
      <c r="CS416" s="43"/>
      <c r="CT416" s="108"/>
      <c r="CU416" s="108"/>
      <c r="CV416" s="108"/>
      <c r="CW416" s="108"/>
      <c r="CX416" s="108"/>
      <c r="CY416" s="108"/>
      <c r="CZ416" s="43"/>
      <c r="DA416" s="108"/>
      <c r="DB416" s="108"/>
      <c r="DC416" s="108"/>
      <c r="DD416" s="108"/>
      <c r="DE416" s="108"/>
      <c r="DF416" s="108"/>
      <c r="DG416" s="43"/>
      <c r="DH416" s="108"/>
      <c r="DI416" s="108"/>
      <c r="DJ416" s="108"/>
      <c r="DK416" s="108"/>
      <c r="DL416" s="108"/>
      <c r="DM416" s="108"/>
      <c r="DN416" s="43"/>
      <c r="DO416" s="108"/>
      <c r="DP416" s="108"/>
      <c r="DQ416" s="108"/>
      <c r="DR416" s="108"/>
      <c r="DS416" s="108"/>
      <c r="DT416" s="108"/>
      <c r="DU416" s="43"/>
      <c r="DV416" s="108"/>
      <c r="DW416" s="108"/>
      <c r="DX416" s="108"/>
      <c r="DY416" s="108"/>
      <c r="DZ416" s="108"/>
      <c r="EA416" s="108"/>
      <c r="EB416" s="43"/>
      <c r="EC416" s="108"/>
      <c r="ED416" s="108"/>
      <c r="EE416" s="108"/>
      <c r="EF416" s="108"/>
      <c r="EG416" s="108"/>
      <c r="EH416" s="108"/>
      <c r="EI416" s="43"/>
      <c r="EJ416" s="47"/>
      <c r="EK416" s="47"/>
      <c r="EL416" s="47"/>
      <c r="EM416" s="47"/>
      <c r="EN416" s="47"/>
      <c r="EO416" s="47"/>
      <c r="EP416" s="47"/>
      <c r="EQ416" s="47"/>
      <c r="ER416" s="47"/>
      <c r="ES416" s="47"/>
      <c r="ET416" s="47"/>
      <c r="EU416" s="47"/>
      <c r="EV416" s="47"/>
      <c r="EW416" s="47"/>
      <c r="EX416" s="47"/>
      <c r="EY416" s="47"/>
      <c r="EZ416" s="47"/>
      <c r="FA416" s="47"/>
      <c r="FB416" s="47"/>
      <c r="FC416" s="47"/>
      <c r="FD416" s="47"/>
      <c r="FE416" s="47"/>
      <c r="FF416" s="47"/>
      <c r="FG416" s="47"/>
      <c r="FH416" s="47"/>
      <c r="FI416" s="47"/>
      <c r="FJ416" s="47"/>
      <c r="FK416" s="47"/>
      <c r="FL416" s="47"/>
      <c r="FM416" s="47"/>
      <c r="FN416" s="47"/>
      <c r="FO416" s="47"/>
      <c r="FP416" s="47"/>
      <c r="FQ416" s="47"/>
      <c r="FR416" s="47"/>
      <c r="FS416" s="47"/>
      <c r="FT416" s="47"/>
      <c r="FU416" s="47"/>
      <c r="FV416" s="47"/>
      <c r="FW416" s="47"/>
      <c r="FX416" s="47"/>
      <c r="FY416" s="47"/>
      <c r="FZ416" s="47"/>
      <c r="GA416" s="47"/>
      <c r="GB416" s="47"/>
      <c r="GC416" s="47"/>
      <c r="GD416" s="47"/>
      <c r="GE416" s="47"/>
    </row>
    <row r="417" spans="1:187" ht="10.5" customHeight="1">
      <c r="A417" s="43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43"/>
      <c r="U417" s="108"/>
      <c r="V417" s="108"/>
      <c r="W417" s="108"/>
      <c r="X417" s="108"/>
      <c r="Y417" s="108"/>
      <c r="Z417" s="108"/>
      <c r="AA417" s="43"/>
      <c r="AB417" s="108"/>
      <c r="AC417" s="108"/>
      <c r="AD417" s="108"/>
      <c r="AE417" s="108"/>
      <c r="AF417" s="108"/>
      <c r="AG417" s="108"/>
      <c r="AH417" s="43"/>
      <c r="AI417" s="108"/>
      <c r="AJ417" s="108"/>
      <c r="AK417" s="108"/>
      <c r="AL417" s="108"/>
      <c r="AM417" s="108"/>
      <c r="AN417" s="108"/>
      <c r="AO417" s="43"/>
      <c r="AP417" s="108"/>
      <c r="AQ417" s="108"/>
      <c r="AR417" s="108"/>
      <c r="AS417" s="108"/>
      <c r="AT417" s="108"/>
      <c r="AU417" s="108"/>
      <c r="AV417" s="43"/>
      <c r="AW417" s="108"/>
      <c r="AX417" s="108"/>
      <c r="AY417" s="108"/>
      <c r="AZ417" s="108"/>
      <c r="BA417" s="108"/>
      <c r="BB417" s="108"/>
      <c r="BC417" s="43"/>
      <c r="BD417" s="108"/>
      <c r="BE417" s="108"/>
      <c r="BF417" s="108"/>
      <c r="BG417" s="108"/>
      <c r="BH417" s="108"/>
      <c r="BI417" s="108"/>
      <c r="BJ417" s="43"/>
      <c r="BK417" s="108"/>
      <c r="BL417" s="108"/>
      <c r="BM417" s="108"/>
      <c r="BN417" s="108"/>
      <c r="BO417" s="108"/>
      <c r="BP417" s="108"/>
      <c r="BQ417" s="43"/>
      <c r="BR417" s="108"/>
      <c r="BS417" s="108"/>
      <c r="BT417" s="108"/>
      <c r="BU417" s="108"/>
      <c r="BV417" s="108"/>
      <c r="BW417" s="108"/>
      <c r="BX417" s="43"/>
      <c r="BY417" s="108"/>
      <c r="BZ417" s="108"/>
      <c r="CA417" s="108"/>
      <c r="CB417" s="108"/>
      <c r="CC417" s="108"/>
      <c r="CD417" s="108"/>
      <c r="CE417" s="43"/>
      <c r="CF417" s="108"/>
      <c r="CG417" s="108"/>
      <c r="CH417" s="108"/>
      <c r="CI417" s="108"/>
      <c r="CJ417" s="108"/>
      <c r="CK417" s="108"/>
      <c r="CL417" s="43"/>
      <c r="CM417" s="108"/>
      <c r="CN417" s="108"/>
      <c r="CO417" s="108"/>
      <c r="CP417" s="108"/>
      <c r="CQ417" s="108"/>
      <c r="CR417" s="108"/>
      <c r="CS417" s="43"/>
      <c r="CT417" s="108"/>
      <c r="CU417" s="108"/>
      <c r="CV417" s="108"/>
      <c r="CW417" s="108"/>
      <c r="CX417" s="108"/>
      <c r="CY417" s="108"/>
      <c r="CZ417" s="43"/>
      <c r="DA417" s="108"/>
      <c r="DB417" s="108"/>
      <c r="DC417" s="108"/>
      <c r="DD417" s="108"/>
      <c r="DE417" s="108"/>
      <c r="DF417" s="108"/>
      <c r="DG417" s="43"/>
      <c r="DH417" s="108"/>
      <c r="DI417" s="108"/>
      <c r="DJ417" s="108"/>
      <c r="DK417" s="108"/>
      <c r="DL417" s="108"/>
      <c r="DM417" s="108"/>
      <c r="DN417" s="43"/>
      <c r="DO417" s="108"/>
      <c r="DP417" s="108"/>
      <c r="DQ417" s="108"/>
      <c r="DR417" s="108"/>
      <c r="DS417" s="108"/>
      <c r="DT417" s="108"/>
      <c r="DU417" s="43"/>
      <c r="DV417" s="108"/>
      <c r="DW417" s="108"/>
      <c r="DX417" s="108"/>
      <c r="DY417" s="108"/>
      <c r="DZ417" s="108"/>
      <c r="EA417" s="108"/>
      <c r="EB417" s="43"/>
      <c r="EC417" s="108"/>
      <c r="ED417" s="108"/>
      <c r="EE417" s="108"/>
      <c r="EF417" s="108"/>
      <c r="EG417" s="108"/>
      <c r="EH417" s="108"/>
      <c r="EI417" s="43"/>
      <c r="EJ417" s="47"/>
      <c r="EK417" s="47"/>
      <c r="EL417" s="47"/>
      <c r="EM417" s="47"/>
      <c r="EN417" s="47"/>
      <c r="EO417" s="47"/>
      <c r="EP417" s="47"/>
      <c r="EQ417" s="47"/>
      <c r="ER417" s="47"/>
      <c r="ES417" s="47"/>
      <c r="ET417" s="47"/>
      <c r="EU417" s="47"/>
      <c r="EV417" s="47"/>
      <c r="EW417" s="47"/>
      <c r="EX417" s="47"/>
      <c r="EY417" s="47"/>
      <c r="EZ417" s="47"/>
      <c r="FA417" s="47"/>
      <c r="FB417" s="47"/>
      <c r="FC417" s="47"/>
      <c r="FD417" s="47"/>
      <c r="FE417" s="47"/>
      <c r="FF417" s="47"/>
      <c r="FG417" s="47"/>
      <c r="FH417" s="47"/>
      <c r="FI417" s="47"/>
      <c r="FJ417" s="47"/>
      <c r="FK417" s="47"/>
      <c r="FL417" s="47"/>
      <c r="FM417" s="47"/>
      <c r="FN417" s="47"/>
      <c r="FO417" s="47"/>
      <c r="FP417" s="47"/>
      <c r="FQ417" s="47"/>
      <c r="FR417" s="47"/>
      <c r="FS417" s="47"/>
      <c r="FT417" s="47"/>
      <c r="FU417" s="47"/>
      <c r="FV417" s="47"/>
      <c r="FW417" s="47"/>
      <c r="FX417" s="47"/>
      <c r="FY417" s="47"/>
      <c r="FZ417" s="47"/>
      <c r="GA417" s="47"/>
      <c r="GB417" s="47"/>
      <c r="GC417" s="47"/>
      <c r="GD417" s="47"/>
      <c r="GE417" s="47"/>
    </row>
    <row r="418" spans="1:187" ht="10.5" customHeight="1">
      <c r="A418" s="43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43"/>
      <c r="U418" s="108"/>
      <c r="V418" s="108"/>
      <c r="W418" s="108"/>
      <c r="X418" s="108"/>
      <c r="Y418" s="108"/>
      <c r="Z418" s="108"/>
      <c r="AA418" s="43"/>
      <c r="AB418" s="108"/>
      <c r="AC418" s="108"/>
      <c r="AD418" s="108"/>
      <c r="AE418" s="108"/>
      <c r="AF418" s="108"/>
      <c r="AG418" s="108"/>
      <c r="AH418" s="43"/>
      <c r="AI418" s="108"/>
      <c r="AJ418" s="108"/>
      <c r="AK418" s="108"/>
      <c r="AL418" s="108"/>
      <c r="AM418" s="108"/>
      <c r="AN418" s="108"/>
      <c r="AO418" s="43"/>
      <c r="AP418" s="108"/>
      <c r="AQ418" s="108"/>
      <c r="AR418" s="108"/>
      <c r="AS418" s="108"/>
      <c r="AT418" s="108"/>
      <c r="AU418" s="108"/>
      <c r="AV418" s="43"/>
      <c r="AW418" s="108"/>
      <c r="AX418" s="108"/>
      <c r="AY418" s="108"/>
      <c r="AZ418" s="108"/>
      <c r="BA418" s="108"/>
      <c r="BB418" s="108"/>
      <c r="BC418" s="43"/>
      <c r="BD418" s="108"/>
      <c r="BE418" s="108"/>
      <c r="BF418" s="108"/>
      <c r="BG418" s="108"/>
      <c r="BH418" s="108"/>
      <c r="BI418" s="108"/>
      <c r="BJ418" s="43"/>
      <c r="BK418" s="108"/>
      <c r="BL418" s="108"/>
      <c r="BM418" s="108"/>
      <c r="BN418" s="108"/>
      <c r="BO418" s="108"/>
      <c r="BP418" s="108"/>
      <c r="BQ418" s="43"/>
      <c r="BR418" s="108"/>
      <c r="BS418" s="108"/>
      <c r="BT418" s="108"/>
      <c r="BU418" s="108"/>
      <c r="BV418" s="108"/>
      <c r="BW418" s="108"/>
      <c r="BX418" s="43"/>
      <c r="BY418" s="108"/>
      <c r="BZ418" s="108"/>
      <c r="CA418" s="108"/>
      <c r="CB418" s="108"/>
      <c r="CC418" s="108"/>
      <c r="CD418" s="108"/>
      <c r="CE418" s="43"/>
      <c r="CF418" s="108"/>
      <c r="CG418" s="108"/>
      <c r="CH418" s="108"/>
      <c r="CI418" s="108"/>
      <c r="CJ418" s="108"/>
      <c r="CK418" s="108"/>
      <c r="CL418" s="43"/>
      <c r="CM418" s="108"/>
      <c r="CN418" s="108"/>
      <c r="CO418" s="108"/>
      <c r="CP418" s="108"/>
      <c r="CQ418" s="108"/>
      <c r="CR418" s="108"/>
      <c r="CS418" s="43"/>
      <c r="CT418" s="108"/>
      <c r="CU418" s="108"/>
      <c r="CV418" s="108"/>
      <c r="CW418" s="108"/>
      <c r="CX418" s="108"/>
      <c r="CY418" s="108"/>
      <c r="CZ418" s="43"/>
      <c r="DA418" s="108"/>
      <c r="DB418" s="108"/>
      <c r="DC418" s="108"/>
      <c r="DD418" s="108"/>
      <c r="DE418" s="108"/>
      <c r="DF418" s="108"/>
      <c r="DG418" s="43"/>
      <c r="DH418" s="108"/>
      <c r="DI418" s="108"/>
      <c r="DJ418" s="108"/>
      <c r="DK418" s="108"/>
      <c r="DL418" s="108"/>
      <c r="DM418" s="108"/>
      <c r="DN418" s="43"/>
      <c r="DO418" s="108"/>
      <c r="DP418" s="108"/>
      <c r="DQ418" s="108"/>
      <c r="DR418" s="108"/>
      <c r="DS418" s="108"/>
      <c r="DT418" s="108"/>
      <c r="DU418" s="43"/>
      <c r="DV418" s="108"/>
      <c r="DW418" s="108"/>
      <c r="DX418" s="108"/>
      <c r="DY418" s="108"/>
      <c r="DZ418" s="108"/>
      <c r="EA418" s="108"/>
      <c r="EB418" s="43"/>
      <c r="EC418" s="108"/>
      <c r="ED418" s="108"/>
      <c r="EE418" s="108"/>
      <c r="EF418" s="108"/>
      <c r="EG418" s="108"/>
      <c r="EH418" s="108"/>
      <c r="EI418" s="43"/>
      <c r="EJ418" s="47"/>
      <c r="EK418" s="47"/>
      <c r="EL418" s="47"/>
      <c r="EM418" s="47"/>
      <c r="EN418" s="47"/>
      <c r="EO418" s="47"/>
      <c r="EP418" s="47"/>
      <c r="EQ418" s="47"/>
      <c r="ER418" s="47"/>
      <c r="ES418" s="47"/>
      <c r="ET418" s="47"/>
      <c r="EU418" s="47"/>
      <c r="EV418" s="47"/>
      <c r="EW418" s="47"/>
      <c r="EX418" s="47"/>
      <c r="EY418" s="47"/>
      <c r="EZ418" s="47"/>
      <c r="FA418" s="47"/>
      <c r="FB418" s="47"/>
      <c r="FC418" s="47"/>
      <c r="FD418" s="47"/>
      <c r="FE418" s="47"/>
      <c r="FF418" s="47"/>
      <c r="FG418" s="47"/>
      <c r="FH418" s="47"/>
      <c r="FI418" s="47"/>
      <c r="FJ418" s="47"/>
      <c r="FK418" s="47"/>
      <c r="FL418" s="47"/>
      <c r="FM418" s="47"/>
      <c r="FN418" s="47"/>
      <c r="FO418" s="47"/>
      <c r="FP418" s="47"/>
      <c r="FQ418" s="47"/>
      <c r="FR418" s="47"/>
      <c r="FS418" s="47"/>
      <c r="FT418" s="47"/>
      <c r="FU418" s="47"/>
      <c r="FV418" s="47"/>
      <c r="FW418" s="47"/>
      <c r="FX418" s="47"/>
      <c r="FY418" s="47"/>
      <c r="FZ418" s="47"/>
      <c r="GA418" s="47"/>
      <c r="GB418" s="47"/>
      <c r="GC418" s="47"/>
      <c r="GD418" s="47"/>
      <c r="GE418" s="47"/>
    </row>
    <row r="419" spans="1:187" ht="10.5" customHeight="1">
      <c r="A419" s="43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43"/>
      <c r="U419" s="108"/>
      <c r="V419" s="108"/>
      <c r="W419" s="108"/>
      <c r="X419" s="108"/>
      <c r="Y419" s="108"/>
      <c r="Z419" s="108"/>
      <c r="AA419" s="43"/>
      <c r="AB419" s="108"/>
      <c r="AC419" s="108"/>
      <c r="AD419" s="108"/>
      <c r="AE419" s="108"/>
      <c r="AF419" s="108"/>
      <c r="AG419" s="108"/>
      <c r="AH419" s="43"/>
      <c r="AI419" s="108"/>
      <c r="AJ419" s="108"/>
      <c r="AK419" s="108"/>
      <c r="AL419" s="108"/>
      <c r="AM419" s="108"/>
      <c r="AN419" s="108"/>
      <c r="AO419" s="43"/>
      <c r="AP419" s="108"/>
      <c r="AQ419" s="108"/>
      <c r="AR419" s="108"/>
      <c r="AS419" s="108"/>
      <c r="AT419" s="108"/>
      <c r="AU419" s="108"/>
      <c r="AV419" s="43"/>
      <c r="AW419" s="108"/>
      <c r="AX419" s="108"/>
      <c r="AY419" s="108"/>
      <c r="AZ419" s="108"/>
      <c r="BA419" s="108"/>
      <c r="BB419" s="108"/>
      <c r="BC419" s="43"/>
      <c r="BD419" s="108"/>
      <c r="BE419" s="108"/>
      <c r="BF419" s="108"/>
      <c r="BG419" s="108"/>
      <c r="BH419" s="108"/>
      <c r="BI419" s="108"/>
      <c r="BJ419" s="43"/>
      <c r="BK419" s="108"/>
      <c r="BL419" s="108"/>
      <c r="BM419" s="108"/>
      <c r="BN419" s="108"/>
      <c r="BO419" s="108"/>
      <c r="BP419" s="108"/>
      <c r="BQ419" s="43"/>
      <c r="BR419" s="108"/>
      <c r="BS419" s="108"/>
      <c r="BT419" s="108"/>
      <c r="BU419" s="108"/>
      <c r="BV419" s="108"/>
      <c r="BW419" s="108"/>
      <c r="BX419" s="43"/>
      <c r="BY419" s="108"/>
      <c r="BZ419" s="108"/>
      <c r="CA419" s="108"/>
      <c r="CB419" s="108"/>
      <c r="CC419" s="108"/>
      <c r="CD419" s="108"/>
      <c r="CE419" s="43"/>
      <c r="CF419" s="108"/>
      <c r="CG419" s="108"/>
      <c r="CH419" s="108"/>
      <c r="CI419" s="108"/>
      <c r="CJ419" s="108"/>
      <c r="CK419" s="108"/>
      <c r="CL419" s="43"/>
      <c r="CM419" s="108"/>
      <c r="CN419" s="108"/>
      <c r="CO419" s="108"/>
      <c r="CP419" s="108"/>
      <c r="CQ419" s="108"/>
      <c r="CR419" s="108"/>
      <c r="CS419" s="43"/>
      <c r="CT419" s="108"/>
      <c r="CU419" s="108"/>
      <c r="CV419" s="108"/>
      <c r="CW419" s="108"/>
      <c r="CX419" s="108"/>
      <c r="CY419" s="108"/>
      <c r="CZ419" s="43"/>
      <c r="DA419" s="108"/>
      <c r="DB419" s="108"/>
      <c r="DC419" s="108"/>
      <c r="DD419" s="108"/>
      <c r="DE419" s="108"/>
      <c r="DF419" s="108"/>
      <c r="DG419" s="43"/>
      <c r="DH419" s="108"/>
      <c r="DI419" s="108"/>
      <c r="DJ419" s="108"/>
      <c r="DK419" s="108"/>
      <c r="DL419" s="108"/>
      <c r="DM419" s="108"/>
      <c r="DN419" s="43"/>
      <c r="DO419" s="108"/>
      <c r="DP419" s="108"/>
      <c r="DQ419" s="108"/>
      <c r="DR419" s="108"/>
      <c r="DS419" s="108"/>
      <c r="DT419" s="108"/>
      <c r="DU419" s="43"/>
      <c r="DV419" s="108"/>
      <c r="DW419" s="108"/>
      <c r="DX419" s="108"/>
      <c r="DY419" s="108"/>
      <c r="DZ419" s="108"/>
      <c r="EA419" s="108"/>
      <c r="EB419" s="43"/>
      <c r="EC419" s="108"/>
      <c r="ED419" s="108"/>
      <c r="EE419" s="108"/>
      <c r="EF419" s="108"/>
      <c r="EG419" s="108"/>
      <c r="EH419" s="108"/>
      <c r="EI419" s="43"/>
      <c r="EJ419" s="47"/>
      <c r="EK419" s="47"/>
      <c r="EL419" s="47"/>
      <c r="EM419" s="47"/>
      <c r="EN419" s="47"/>
      <c r="EO419" s="47"/>
      <c r="EP419" s="47"/>
      <c r="EQ419" s="47"/>
      <c r="ER419" s="47"/>
      <c r="ES419" s="47"/>
      <c r="ET419" s="47"/>
      <c r="EU419" s="47"/>
      <c r="EV419" s="47"/>
      <c r="EW419" s="47"/>
      <c r="EX419" s="47"/>
      <c r="EY419" s="47"/>
      <c r="EZ419" s="47"/>
      <c r="FA419" s="47"/>
      <c r="FB419" s="47"/>
      <c r="FC419" s="47"/>
      <c r="FD419" s="47"/>
      <c r="FE419" s="47"/>
      <c r="FF419" s="47"/>
      <c r="FG419" s="47"/>
      <c r="FH419" s="47"/>
      <c r="FI419" s="47"/>
      <c r="FJ419" s="47"/>
      <c r="FK419" s="47"/>
      <c r="FL419" s="47"/>
      <c r="FM419" s="47"/>
      <c r="FN419" s="47"/>
      <c r="FO419" s="47"/>
      <c r="FP419" s="47"/>
      <c r="FQ419" s="47"/>
      <c r="FR419" s="47"/>
      <c r="FS419" s="47"/>
      <c r="FT419" s="47"/>
      <c r="FU419" s="47"/>
      <c r="FV419" s="47"/>
      <c r="FW419" s="47"/>
      <c r="FX419" s="47"/>
      <c r="FY419" s="47"/>
      <c r="FZ419" s="47"/>
      <c r="GA419" s="47"/>
      <c r="GB419" s="47"/>
      <c r="GC419" s="47"/>
      <c r="GD419" s="47"/>
      <c r="GE419" s="47"/>
    </row>
    <row r="420" spans="1:187" ht="10.5" customHeight="1">
      <c r="A420" s="43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43"/>
      <c r="U420" s="108"/>
      <c r="V420" s="108"/>
      <c r="W420" s="108"/>
      <c r="X420" s="108"/>
      <c r="Y420" s="108"/>
      <c r="Z420" s="108"/>
      <c r="AA420" s="43"/>
      <c r="AB420" s="108"/>
      <c r="AC420" s="108"/>
      <c r="AD420" s="108"/>
      <c r="AE420" s="108"/>
      <c r="AF420" s="108"/>
      <c r="AG420" s="108"/>
      <c r="AH420" s="43"/>
      <c r="AI420" s="108"/>
      <c r="AJ420" s="108"/>
      <c r="AK420" s="108"/>
      <c r="AL420" s="108"/>
      <c r="AM420" s="108"/>
      <c r="AN420" s="108"/>
      <c r="AO420" s="43"/>
      <c r="AP420" s="108"/>
      <c r="AQ420" s="108"/>
      <c r="AR420" s="108"/>
      <c r="AS420" s="108"/>
      <c r="AT420" s="108"/>
      <c r="AU420" s="108"/>
      <c r="AV420" s="43"/>
      <c r="AW420" s="108"/>
      <c r="AX420" s="108"/>
      <c r="AY420" s="108"/>
      <c r="AZ420" s="108"/>
      <c r="BA420" s="108"/>
      <c r="BB420" s="108"/>
      <c r="BC420" s="43"/>
      <c r="BD420" s="108"/>
      <c r="BE420" s="108"/>
      <c r="BF420" s="108"/>
      <c r="BG420" s="108"/>
      <c r="BH420" s="108"/>
      <c r="BI420" s="108"/>
      <c r="BJ420" s="43"/>
      <c r="BK420" s="108"/>
      <c r="BL420" s="108"/>
      <c r="BM420" s="108"/>
      <c r="BN420" s="108"/>
      <c r="BO420" s="108"/>
      <c r="BP420" s="108"/>
      <c r="BQ420" s="43"/>
      <c r="BR420" s="108"/>
      <c r="BS420" s="108"/>
      <c r="BT420" s="108"/>
      <c r="BU420" s="108"/>
      <c r="BV420" s="108"/>
      <c r="BW420" s="108"/>
      <c r="BX420" s="43"/>
      <c r="BY420" s="108"/>
      <c r="BZ420" s="108"/>
      <c r="CA420" s="108"/>
      <c r="CB420" s="108"/>
      <c r="CC420" s="108"/>
      <c r="CD420" s="108"/>
      <c r="CE420" s="43"/>
      <c r="CF420" s="108"/>
      <c r="CG420" s="108"/>
      <c r="CH420" s="108"/>
      <c r="CI420" s="108"/>
      <c r="CJ420" s="108"/>
      <c r="CK420" s="108"/>
      <c r="CL420" s="43"/>
      <c r="CM420" s="108"/>
      <c r="CN420" s="108"/>
      <c r="CO420" s="108"/>
      <c r="CP420" s="108"/>
      <c r="CQ420" s="108"/>
      <c r="CR420" s="108"/>
      <c r="CS420" s="43"/>
      <c r="CT420" s="108"/>
      <c r="CU420" s="108"/>
      <c r="CV420" s="108"/>
      <c r="CW420" s="108"/>
      <c r="CX420" s="108"/>
      <c r="CY420" s="108"/>
      <c r="CZ420" s="43"/>
      <c r="DA420" s="108"/>
      <c r="DB420" s="108"/>
      <c r="DC420" s="108"/>
      <c r="DD420" s="108"/>
      <c r="DE420" s="108"/>
      <c r="DF420" s="108"/>
      <c r="DG420" s="43"/>
      <c r="DH420" s="108"/>
      <c r="DI420" s="108"/>
      <c r="DJ420" s="108"/>
      <c r="DK420" s="108"/>
      <c r="DL420" s="108"/>
      <c r="DM420" s="108"/>
      <c r="DN420" s="43"/>
      <c r="DO420" s="108"/>
      <c r="DP420" s="108"/>
      <c r="DQ420" s="108"/>
      <c r="DR420" s="108"/>
      <c r="DS420" s="108"/>
      <c r="DT420" s="108"/>
      <c r="DU420" s="43"/>
      <c r="DV420" s="108"/>
      <c r="DW420" s="108"/>
      <c r="DX420" s="108"/>
      <c r="DY420" s="108"/>
      <c r="DZ420" s="108"/>
      <c r="EA420" s="108"/>
      <c r="EB420" s="43"/>
      <c r="EC420" s="108"/>
      <c r="ED420" s="108"/>
      <c r="EE420" s="108"/>
      <c r="EF420" s="108"/>
      <c r="EG420" s="108"/>
      <c r="EH420" s="108"/>
      <c r="EI420" s="43"/>
      <c r="EJ420" s="47"/>
      <c r="EK420" s="47"/>
      <c r="EL420" s="47"/>
      <c r="EM420" s="47"/>
      <c r="EN420" s="47"/>
      <c r="EO420" s="47"/>
      <c r="EP420" s="47"/>
      <c r="EQ420" s="47"/>
      <c r="ER420" s="47"/>
      <c r="ES420" s="47"/>
      <c r="ET420" s="47"/>
      <c r="EU420" s="47"/>
      <c r="EV420" s="47"/>
      <c r="EW420" s="47"/>
      <c r="EX420" s="47"/>
      <c r="EY420" s="47"/>
      <c r="EZ420" s="47"/>
      <c r="FA420" s="47"/>
      <c r="FB420" s="47"/>
      <c r="FC420" s="47"/>
      <c r="FD420" s="47"/>
      <c r="FE420" s="47"/>
      <c r="FF420" s="47"/>
      <c r="FG420" s="47"/>
      <c r="FH420" s="47"/>
      <c r="FI420" s="47"/>
      <c r="FJ420" s="47"/>
      <c r="FK420" s="47"/>
      <c r="FL420" s="47"/>
      <c r="FM420" s="47"/>
      <c r="FN420" s="47"/>
      <c r="FO420" s="47"/>
      <c r="FP420" s="47"/>
      <c r="FQ420" s="47"/>
      <c r="FR420" s="47"/>
      <c r="FS420" s="47"/>
      <c r="FT420" s="47"/>
      <c r="FU420" s="47"/>
      <c r="FV420" s="47"/>
      <c r="FW420" s="47"/>
      <c r="FX420" s="47"/>
      <c r="FY420" s="47"/>
      <c r="FZ420" s="47"/>
      <c r="GA420" s="47"/>
      <c r="GB420" s="47"/>
      <c r="GC420" s="47"/>
      <c r="GD420" s="47"/>
      <c r="GE420" s="47"/>
    </row>
    <row r="421" spans="1:187" ht="10.5" customHeight="1">
      <c r="A421" s="4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43"/>
      <c r="U421" s="108"/>
      <c r="V421" s="108"/>
      <c r="W421" s="108"/>
      <c r="X421" s="108"/>
      <c r="Y421" s="108"/>
      <c r="Z421" s="108"/>
      <c r="AA421" s="43"/>
      <c r="AB421" s="108"/>
      <c r="AC421" s="108"/>
      <c r="AD421" s="108"/>
      <c r="AE421" s="108"/>
      <c r="AF421" s="108"/>
      <c r="AG421" s="108"/>
      <c r="AH421" s="43"/>
      <c r="AI421" s="108"/>
      <c r="AJ421" s="108"/>
      <c r="AK421" s="108"/>
      <c r="AL421" s="108"/>
      <c r="AM421" s="108"/>
      <c r="AN421" s="108"/>
      <c r="AO421" s="43"/>
      <c r="AP421" s="108"/>
      <c r="AQ421" s="108"/>
      <c r="AR421" s="108"/>
      <c r="AS421" s="108"/>
      <c r="AT421" s="108"/>
      <c r="AU421" s="108"/>
      <c r="AV421" s="43"/>
      <c r="AW421" s="108"/>
      <c r="AX421" s="108"/>
      <c r="AY421" s="108"/>
      <c r="AZ421" s="108"/>
      <c r="BA421" s="108"/>
      <c r="BB421" s="108"/>
      <c r="BC421" s="43"/>
      <c r="BD421" s="108"/>
      <c r="BE421" s="108"/>
      <c r="BF421" s="108"/>
      <c r="BG421" s="108"/>
      <c r="BH421" s="108"/>
      <c r="BI421" s="108"/>
      <c r="BJ421" s="43"/>
      <c r="BK421" s="108"/>
      <c r="BL421" s="108"/>
      <c r="BM421" s="108"/>
      <c r="BN421" s="108"/>
      <c r="BO421" s="108"/>
      <c r="BP421" s="108"/>
      <c r="BQ421" s="43"/>
      <c r="BR421" s="108"/>
      <c r="BS421" s="108"/>
      <c r="BT421" s="108"/>
      <c r="BU421" s="108"/>
      <c r="BV421" s="108"/>
      <c r="BW421" s="108"/>
      <c r="BX421" s="43"/>
      <c r="BY421" s="108"/>
      <c r="BZ421" s="108"/>
      <c r="CA421" s="108"/>
      <c r="CB421" s="108"/>
      <c r="CC421" s="108"/>
      <c r="CD421" s="108"/>
      <c r="CE421" s="43"/>
      <c r="CF421" s="108"/>
      <c r="CG421" s="108"/>
      <c r="CH421" s="108"/>
      <c r="CI421" s="108"/>
      <c r="CJ421" s="108"/>
      <c r="CK421" s="108"/>
      <c r="CL421" s="43"/>
      <c r="CM421" s="108"/>
      <c r="CN421" s="108"/>
      <c r="CO421" s="108"/>
      <c r="CP421" s="108"/>
      <c r="CQ421" s="108"/>
      <c r="CR421" s="108"/>
      <c r="CS421" s="43"/>
      <c r="CT421" s="108"/>
      <c r="CU421" s="108"/>
      <c r="CV421" s="108"/>
      <c r="CW421" s="108"/>
      <c r="CX421" s="108"/>
      <c r="CY421" s="108"/>
      <c r="CZ421" s="43"/>
      <c r="DA421" s="108"/>
      <c r="DB421" s="108"/>
      <c r="DC421" s="108"/>
      <c r="DD421" s="108"/>
      <c r="DE421" s="108"/>
      <c r="DF421" s="108"/>
      <c r="DG421" s="43"/>
      <c r="DH421" s="108"/>
      <c r="DI421" s="108"/>
      <c r="DJ421" s="108"/>
      <c r="DK421" s="108"/>
      <c r="DL421" s="108"/>
      <c r="DM421" s="108"/>
      <c r="DN421" s="43"/>
      <c r="DO421" s="108"/>
      <c r="DP421" s="108"/>
      <c r="DQ421" s="108"/>
      <c r="DR421" s="108"/>
      <c r="DS421" s="108"/>
      <c r="DT421" s="108"/>
      <c r="DU421" s="43"/>
      <c r="DV421" s="108"/>
      <c r="DW421" s="108"/>
      <c r="DX421" s="108"/>
      <c r="DY421" s="108"/>
      <c r="DZ421" s="108"/>
      <c r="EA421" s="108"/>
      <c r="EB421" s="43"/>
      <c r="EC421" s="108"/>
      <c r="ED421" s="108"/>
      <c r="EE421" s="108"/>
      <c r="EF421" s="108"/>
      <c r="EG421" s="108"/>
      <c r="EH421" s="108"/>
      <c r="EI421" s="43"/>
      <c r="EJ421" s="47"/>
      <c r="EK421" s="47"/>
      <c r="EL421" s="47"/>
      <c r="EM421" s="47"/>
      <c r="EN421" s="47"/>
      <c r="EO421" s="47"/>
      <c r="EP421" s="47"/>
      <c r="EQ421" s="47"/>
      <c r="ER421" s="47"/>
      <c r="ES421" s="47"/>
      <c r="ET421" s="47"/>
      <c r="EU421" s="47"/>
      <c r="EV421" s="47"/>
      <c r="EW421" s="47"/>
      <c r="EX421" s="47"/>
      <c r="EY421" s="47"/>
      <c r="EZ421" s="47"/>
      <c r="FA421" s="47"/>
      <c r="FB421" s="47"/>
      <c r="FC421" s="47"/>
      <c r="FD421" s="47"/>
      <c r="FE421" s="47"/>
      <c r="FF421" s="47"/>
      <c r="FG421" s="47"/>
      <c r="FH421" s="47"/>
      <c r="FI421" s="47"/>
      <c r="FJ421" s="47"/>
      <c r="FK421" s="47"/>
      <c r="FL421" s="47"/>
      <c r="FM421" s="47"/>
      <c r="FN421" s="47"/>
      <c r="FO421" s="47"/>
      <c r="FP421" s="47"/>
      <c r="FQ421" s="47"/>
      <c r="FR421" s="47"/>
      <c r="FS421" s="47"/>
      <c r="FT421" s="47"/>
      <c r="FU421" s="47"/>
      <c r="FV421" s="47"/>
      <c r="FW421" s="47"/>
      <c r="FX421" s="47"/>
      <c r="FY421" s="47"/>
      <c r="FZ421" s="47"/>
      <c r="GA421" s="47"/>
      <c r="GB421" s="47"/>
      <c r="GC421" s="47"/>
      <c r="GD421" s="47"/>
      <c r="GE421" s="47"/>
    </row>
    <row r="422" spans="1:187" ht="10.5" customHeight="1">
      <c r="A422" s="43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43"/>
      <c r="U422" s="108"/>
      <c r="V422" s="108"/>
      <c r="W422" s="108"/>
      <c r="X422" s="108"/>
      <c r="Y422" s="108"/>
      <c r="Z422" s="108"/>
      <c r="AA422" s="43"/>
      <c r="AB422" s="108"/>
      <c r="AC422" s="108"/>
      <c r="AD422" s="108"/>
      <c r="AE422" s="108"/>
      <c r="AF422" s="108"/>
      <c r="AG422" s="108"/>
      <c r="AH422" s="43"/>
      <c r="AI422" s="108"/>
      <c r="AJ422" s="108"/>
      <c r="AK422" s="108"/>
      <c r="AL422" s="108"/>
      <c r="AM422" s="108"/>
      <c r="AN422" s="108"/>
      <c r="AO422" s="43"/>
      <c r="AP422" s="108"/>
      <c r="AQ422" s="108"/>
      <c r="AR422" s="108"/>
      <c r="AS422" s="108"/>
      <c r="AT422" s="108"/>
      <c r="AU422" s="108"/>
      <c r="AV422" s="43"/>
      <c r="AW422" s="108"/>
      <c r="AX422" s="108"/>
      <c r="AY422" s="108"/>
      <c r="AZ422" s="108"/>
      <c r="BA422" s="108"/>
      <c r="BB422" s="108"/>
      <c r="BC422" s="43"/>
      <c r="BD422" s="108"/>
      <c r="BE422" s="108"/>
      <c r="BF422" s="108"/>
      <c r="BG422" s="108"/>
      <c r="BH422" s="108"/>
      <c r="BI422" s="108"/>
      <c r="BJ422" s="43"/>
      <c r="BK422" s="108"/>
      <c r="BL422" s="108"/>
      <c r="BM422" s="108"/>
      <c r="BN422" s="108"/>
      <c r="BO422" s="108"/>
      <c r="BP422" s="108"/>
      <c r="BQ422" s="43"/>
      <c r="BR422" s="108"/>
      <c r="BS422" s="108"/>
      <c r="BT422" s="108"/>
      <c r="BU422" s="108"/>
      <c r="BV422" s="108"/>
      <c r="BW422" s="108"/>
      <c r="BX422" s="43"/>
      <c r="BY422" s="108"/>
      <c r="BZ422" s="108"/>
      <c r="CA422" s="108"/>
      <c r="CB422" s="108"/>
      <c r="CC422" s="108"/>
      <c r="CD422" s="108"/>
      <c r="CE422" s="43"/>
      <c r="CF422" s="108"/>
      <c r="CG422" s="108"/>
      <c r="CH422" s="108"/>
      <c r="CI422" s="108"/>
      <c r="CJ422" s="108"/>
      <c r="CK422" s="108"/>
      <c r="CL422" s="43"/>
      <c r="CM422" s="108"/>
      <c r="CN422" s="108"/>
      <c r="CO422" s="108"/>
      <c r="CP422" s="108"/>
      <c r="CQ422" s="108"/>
      <c r="CR422" s="108"/>
      <c r="CS422" s="43"/>
      <c r="CT422" s="108"/>
      <c r="CU422" s="108"/>
      <c r="CV422" s="108"/>
      <c r="CW422" s="108"/>
      <c r="CX422" s="108"/>
      <c r="CY422" s="108"/>
      <c r="CZ422" s="43"/>
      <c r="DA422" s="108"/>
      <c r="DB422" s="108"/>
      <c r="DC422" s="108"/>
      <c r="DD422" s="108"/>
      <c r="DE422" s="108"/>
      <c r="DF422" s="108"/>
      <c r="DG422" s="43"/>
      <c r="DH422" s="108"/>
      <c r="DI422" s="108"/>
      <c r="DJ422" s="108"/>
      <c r="DK422" s="108"/>
      <c r="DL422" s="108"/>
      <c r="DM422" s="108"/>
      <c r="DN422" s="43"/>
      <c r="DO422" s="108"/>
      <c r="DP422" s="108"/>
      <c r="DQ422" s="108"/>
      <c r="DR422" s="108"/>
      <c r="DS422" s="108"/>
      <c r="DT422" s="108"/>
      <c r="DU422" s="43"/>
      <c r="DV422" s="108"/>
      <c r="DW422" s="108"/>
      <c r="DX422" s="108"/>
      <c r="DY422" s="108"/>
      <c r="DZ422" s="108"/>
      <c r="EA422" s="108"/>
      <c r="EB422" s="43"/>
      <c r="EC422" s="108"/>
      <c r="ED422" s="108"/>
      <c r="EE422" s="108"/>
      <c r="EF422" s="108"/>
      <c r="EG422" s="108"/>
      <c r="EH422" s="108"/>
      <c r="EI422" s="43"/>
      <c r="EJ422" s="47"/>
      <c r="EK422" s="47"/>
      <c r="EL422" s="47"/>
      <c r="EM422" s="47"/>
      <c r="EN422" s="47"/>
      <c r="EO422" s="47"/>
      <c r="EP422" s="47"/>
      <c r="EQ422" s="47"/>
      <c r="ER422" s="47"/>
      <c r="ES422" s="47"/>
      <c r="ET422" s="47"/>
      <c r="EU422" s="47"/>
      <c r="EV422" s="47"/>
      <c r="EW422" s="47"/>
      <c r="EX422" s="47"/>
      <c r="EY422" s="47"/>
      <c r="EZ422" s="47"/>
      <c r="FA422" s="47"/>
      <c r="FB422" s="47"/>
      <c r="FC422" s="47"/>
      <c r="FD422" s="47"/>
      <c r="FE422" s="47"/>
      <c r="FF422" s="47"/>
      <c r="FG422" s="47"/>
      <c r="FH422" s="47"/>
      <c r="FI422" s="47"/>
      <c r="FJ422" s="47"/>
      <c r="FK422" s="47"/>
      <c r="FL422" s="47"/>
      <c r="FM422" s="47"/>
      <c r="FN422" s="47"/>
      <c r="FO422" s="47"/>
      <c r="FP422" s="47"/>
      <c r="FQ422" s="47"/>
      <c r="FR422" s="47"/>
      <c r="FS422" s="47"/>
      <c r="FT422" s="47"/>
      <c r="FU422" s="47"/>
      <c r="FV422" s="47"/>
      <c r="FW422" s="47"/>
      <c r="FX422" s="47"/>
      <c r="FY422" s="47"/>
      <c r="FZ422" s="47"/>
      <c r="GA422" s="47"/>
      <c r="GB422" s="47"/>
      <c r="GC422" s="47"/>
      <c r="GD422" s="47"/>
      <c r="GE422" s="47"/>
    </row>
    <row r="423" spans="1:187" ht="10.5" customHeight="1">
      <c r="A423" s="43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43"/>
      <c r="U423" s="108"/>
      <c r="V423" s="108"/>
      <c r="W423" s="108"/>
      <c r="X423" s="108"/>
      <c r="Y423" s="108"/>
      <c r="Z423" s="108"/>
      <c r="AA423" s="43"/>
      <c r="AB423" s="108"/>
      <c r="AC423" s="108"/>
      <c r="AD423" s="108"/>
      <c r="AE423" s="108"/>
      <c r="AF423" s="108"/>
      <c r="AG423" s="108"/>
      <c r="AH423" s="43"/>
      <c r="AI423" s="108"/>
      <c r="AJ423" s="108"/>
      <c r="AK423" s="108"/>
      <c r="AL423" s="108"/>
      <c r="AM423" s="108"/>
      <c r="AN423" s="108"/>
      <c r="AO423" s="43"/>
      <c r="AP423" s="108"/>
      <c r="AQ423" s="108"/>
      <c r="AR423" s="108"/>
      <c r="AS423" s="108"/>
      <c r="AT423" s="108"/>
      <c r="AU423" s="108"/>
      <c r="AV423" s="43"/>
      <c r="AW423" s="108"/>
      <c r="AX423" s="108"/>
      <c r="AY423" s="108"/>
      <c r="AZ423" s="108"/>
      <c r="BA423" s="108"/>
      <c r="BB423" s="108"/>
      <c r="BC423" s="43"/>
      <c r="BD423" s="108"/>
      <c r="BE423" s="108"/>
      <c r="BF423" s="108"/>
      <c r="BG423" s="108"/>
      <c r="BH423" s="108"/>
      <c r="BI423" s="108"/>
      <c r="BJ423" s="43"/>
      <c r="BK423" s="108"/>
      <c r="BL423" s="108"/>
      <c r="BM423" s="108"/>
      <c r="BN423" s="108"/>
      <c r="BO423" s="108"/>
      <c r="BP423" s="108"/>
      <c r="BQ423" s="43"/>
      <c r="BR423" s="108"/>
      <c r="BS423" s="108"/>
      <c r="BT423" s="108"/>
      <c r="BU423" s="108"/>
      <c r="BV423" s="108"/>
      <c r="BW423" s="108"/>
      <c r="BX423" s="43"/>
      <c r="BY423" s="108"/>
      <c r="BZ423" s="108"/>
      <c r="CA423" s="108"/>
      <c r="CB423" s="108"/>
      <c r="CC423" s="108"/>
      <c r="CD423" s="108"/>
      <c r="CE423" s="43"/>
      <c r="CF423" s="108"/>
      <c r="CG423" s="108"/>
      <c r="CH423" s="108"/>
      <c r="CI423" s="108"/>
      <c r="CJ423" s="108"/>
      <c r="CK423" s="108"/>
      <c r="CL423" s="43"/>
      <c r="CM423" s="108"/>
      <c r="CN423" s="108"/>
      <c r="CO423" s="108"/>
      <c r="CP423" s="108"/>
      <c r="CQ423" s="108"/>
      <c r="CR423" s="108"/>
      <c r="CS423" s="43"/>
      <c r="CT423" s="108"/>
      <c r="CU423" s="108"/>
      <c r="CV423" s="108"/>
      <c r="CW423" s="108"/>
      <c r="CX423" s="108"/>
      <c r="CY423" s="108"/>
      <c r="CZ423" s="43"/>
      <c r="DA423" s="108"/>
      <c r="DB423" s="108"/>
      <c r="DC423" s="108"/>
      <c r="DD423" s="108"/>
      <c r="DE423" s="108"/>
      <c r="DF423" s="108"/>
      <c r="DG423" s="43"/>
      <c r="DH423" s="108"/>
      <c r="DI423" s="108"/>
      <c r="DJ423" s="108"/>
      <c r="DK423" s="108"/>
      <c r="DL423" s="108"/>
      <c r="DM423" s="108"/>
      <c r="DN423" s="43"/>
      <c r="DO423" s="108"/>
      <c r="DP423" s="108"/>
      <c r="DQ423" s="108"/>
      <c r="DR423" s="108"/>
      <c r="DS423" s="108"/>
      <c r="DT423" s="108"/>
      <c r="DU423" s="43"/>
      <c r="DV423" s="108"/>
      <c r="DW423" s="108"/>
      <c r="DX423" s="108"/>
      <c r="DY423" s="108"/>
      <c r="DZ423" s="108"/>
      <c r="EA423" s="108"/>
      <c r="EB423" s="43"/>
      <c r="EC423" s="108"/>
      <c r="ED423" s="108"/>
      <c r="EE423" s="108"/>
      <c r="EF423" s="108"/>
      <c r="EG423" s="108"/>
      <c r="EH423" s="108"/>
      <c r="EI423" s="43"/>
      <c r="EJ423" s="47"/>
      <c r="EK423" s="47"/>
      <c r="EL423" s="47"/>
      <c r="EM423" s="47"/>
      <c r="EN423" s="47"/>
      <c r="EO423" s="47"/>
      <c r="EP423" s="47"/>
      <c r="EQ423" s="47"/>
      <c r="ER423" s="47"/>
      <c r="ES423" s="47"/>
      <c r="ET423" s="47"/>
      <c r="EU423" s="47"/>
      <c r="EV423" s="47"/>
      <c r="EW423" s="47"/>
      <c r="EX423" s="47"/>
      <c r="EY423" s="47"/>
      <c r="EZ423" s="47"/>
      <c r="FA423" s="47"/>
      <c r="FB423" s="47"/>
      <c r="FC423" s="47"/>
      <c r="FD423" s="47"/>
      <c r="FE423" s="47"/>
      <c r="FF423" s="47"/>
      <c r="FG423" s="47"/>
      <c r="FH423" s="47"/>
      <c r="FI423" s="47"/>
      <c r="FJ423" s="47"/>
      <c r="FK423" s="47"/>
      <c r="FL423" s="47"/>
      <c r="FM423" s="47"/>
      <c r="FN423" s="47"/>
      <c r="FO423" s="47"/>
      <c r="FP423" s="47"/>
      <c r="FQ423" s="47"/>
      <c r="FR423" s="47"/>
      <c r="FS423" s="47"/>
      <c r="FT423" s="47"/>
      <c r="FU423" s="47"/>
      <c r="FV423" s="47"/>
      <c r="FW423" s="47"/>
      <c r="FX423" s="47"/>
      <c r="FY423" s="47"/>
      <c r="FZ423" s="47"/>
      <c r="GA423" s="47"/>
      <c r="GB423" s="47"/>
      <c r="GC423" s="47"/>
      <c r="GD423" s="47"/>
      <c r="GE423" s="47"/>
    </row>
    <row r="424" spans="1:187" ht="10.5" customHeight="1">
      <c r="A424" s="43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43"/>
      <c r="U424" s="108"/>
      <c r="V424" s="108"/>
      <c r="W424" s="108"/>
      <c r="X424" s="108"/>
      <c r="Y424" s="108"/>
      <c r="Z424" s="108"/>
      <c r="AA424" s="43"/>
      <c r="AB424" s="108"/>
      <c r="AC424" s="108"/>
      <c r="AD424" s="108"/>
      <c r="AE424" s="108"/>
      <c r="AF424" s="108"/>
      <c r="AG424" s="108"/>
      <c r="AH424" s="43"/>
      <c r="AI424" s="108"/>
      <c r="AJ424" s="108"/>
      <c r="AK424" s="108"/>
      <c r="AL424" s="108"/>
      <c r="AM424" s="108"/>
      <c r="AN424" s="108"/>
      <c r="AO424" s="43"/>
      <c r="AP424" s="108"/>
      <c r="AQ424" s="108"/>
      <c r="AR424" s="108"/>
      <c r="AS424" s="108"/>
      <c r="AT424" s="108"/>
      <c r="AU424" s="108"/>
      <c r="AV424" s="43"/>
      <c r="AW424" s="108"/>
      <c r="AX424" s="108"/>
      <c r="AY424" s="108"/>
      <c r="AZ424" s="108"/>
      <c r="BA424" s="108"/>
      <c r="BB424" s="108"/>
      <c r="BC424" s="43"/>
      <c r="BD424" s="108"/>
      <c r="BE424" s="108"/>
      <c r="BF424" s="108"/>
      <c r="BG424" s="108"/>
      <c r="BH424" s="108"/>
      <c r="BI424" s="108"/>
      <c r="BJ424" s="43"/>
      <c r="BK424" s="108"/>
      <c r="BL424" s="108"/>
      <c r="BM424" s="108"/>
      <c r="BN424" s="108"/>
      <c r="BO424" s="108"/>
      <c r="BP424" s="108"/>
      <c r="BQ424" s="43"/>
      <c r="BR424" s="108"/>
      <c r="BS424" s="108"/>
      <c r="BT424" s="108"/>
      <c r="BU424" s="108"/>
      <c r="BV424" s="108"/>
      <c r="BW424" s="108"/>
      <c r="BX424" s="43"/>
      <c r="BY424" s="108"/>
      <c r="BZ424" s="108"/>
      <c r="CA424" s="108"/>
      <c r="CB424" s="108"/>
      <c r="CC424" s="108"/>
      <c r="CD424" s="108"/>
      <c r="CE424" s="43"/>
      <c r="CF424" s="108"/>
      <c r="CG424" s="108"/>
      <c r="CH424" s="108"/>
      <c r="CI424" s="108"/>
      <c r="CJ424" s="108"/>
      <c r="CK424" s="108"/>
      <c r="CL424" s="43"/>
      <c r="CM424" s="108"/>
      <c r="CN424" s="108"/>
      <c r="CO424" s="108"/>
      <c r="CP424" s="108"/>
      <c r="CQ424" s="108"/>
      <c r="CR424" s="108"/>
      <c r="CS424" s="43"/>
      <c r="CT424" s="108"/>
      <c r="CU424" s="108"/>
      <c r="CV424" s="108"/>
      <c r="CW424" s="108"/>
      <c r="CX424" s="108"/>
      <c r="CY424" s="108"/>
      <c r="CZ424" s="43"/>
      <c r="DA424" s="108"/>
      <c r="DB424" s="108"/>
      <c r="DC424" s="108"/>
      <c r="DD424" s="108"/>
      <c r="DE424" s="108"/>
      <c r="DF424" s="108"/>
      <c r="DG424" s="43"/>
      <c r="DH424" s="108"/>
      <c r="DI424" s="108"/>
      <c r="DJ424" s="108"/>
      <c r="DK424" s="108"/>
      <c r="DL424" s="108"/>
      <c r="DM424" s="108"/>
      <c r="DN424" s="43"/>
      <c r="DO424" s="108"/>
      <c r="DP424" s="108"/>
      <c r="DQ424" s="108"/>
      <c r="DR424" s="108"/>
      <c r="DS424" s="108"/>
      <c r="DT424" s="108"/>
      <c r="DU424" s="43"/>
      <c r="DV424" s="108"/>
      <c r="DW424" s="108"/>
      <c r="DX424" s="108"/>
      <c r="DY424" s="108"/>
      <c r="DZ424" s="108"/>
      <c r="EA424" s="108"/>
      <c r="EB424" s="43"/>
      <c r="EC424" s="108"/>
      <c r="ED424" s="108"/>
      <c r="EE424" s="108"/>
      <c r="EF424" s="108"/>
      <c r="EG424" s="108"/>
      <c r="EH424" s="108"/>
      <c r="EI424" s="43"/>
      <c r="EJ424" s="47"/>
      <c r="EK424" s="47"/>
      <c r="EL424" s="47"/>
      <c r="EM424" s="47"/>
      <c r="EN424" s="47"/>
      <c r="EO424" s="47"/>
      <c r="EP424" s="47"/>
      <c r="EQ424" s="47"/>
      <c r="ER424" s="47"/>
      <c r="ES424" s="47"/>
      <c r="ET424" s="47"/>
      <c r="EU424" s="47"/>
      <c r="EV424" s="47"/>
      <c r="EW424" s="47"/>
      <c r="EX424" s="47"/>
      <c r="EY424" s="47"/>
      <c r="EZ424" s="47"/>
      <c r="FA424" s="47"/>
      <c r="FB424" s="47"/>
      <c r="FC424" s="47"/>
      <c r="FD424" s="47"/>
      <c r="FE424" s="47"/>
      <c r="FF424" s="47"/>
      <c r="FG424" s="47"/>
      <c r="FH424" s="47"/>
      <c r="FI424" s="47"/>
      <c r="FJ424" s="47"/>
      <c r="FK424" s="47"/>
      <c r="FL424" s="47"/>
      <c r="FM424" s="47"/>
      <c r="FN424" s="47"/>
      <c r="FO424" s="47"/>
      <c r="FP424" s="47"/>
      <c r="FQ424" s="47"/>
      <c r="FR424" s="47"/>
      <c r="FS424" s="47"/>
      <c r="FT424" s="47"/>
      <c r="FU424" s="47"/>
      <c r="FV424" s="47"/>
      <c r="FW424" s="47"/>
      <c r="FX424" s="47"/>
      <c r="FY424" s="47"/>
      <c r="FZ424" s="47"/>
      <c r="GA424" s="47"/>
      <c r="GB424" s="47"/>
      <c r="GC424" s="47"/>
      <c r="GD424" s="47"/>
      <c r="GE424" s="47"/>
    </row>
    <row r="425" spans="1:187" ht="10.5" customHeight="1">
      <c r="A425" s="48"/>
      <c r="B425" s="108"/>
      <c r="C425" s="108"/>
      <c r="D425" s="108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94"/>
      <c r="U425" s="292"/>
      <c r="V425" s="292"/>
      <c r="W425" s="292"/>
      <c r="X425" s="292"/>
      <c r="Y425" s="292"/>
      <c r="Z425" s="292"/>
      <c r="AA425" s="94"/>
      <c r="AB425" s="292"/>
      <c r="AC425" s="292"/>
      <c r="AD425" s="292"/>
      <c r="AE425" s="292"/>
      <c r="AF425" s="292"/>
      <c r="AG425" s="292"/>
      <c r="AH425" s="94"/>
      <c r="AI425" s="292"/>
      <c r="AJ425" s="292"/>
      <c r="AK425" s="292"/>
      <c r="AL425" s="292"/>
      <c r="AM425" s="292"/>
      <c r="AN425" s="292"/>
      <c r="AO425" s="94"/>
      <c r="AP425" s="292"/>
      <c r="AQ425" s="292"/>
      <c r="AR425" s="292"/>
      <c r="AS425" s="292"/>
      <c r="AT425" s="292"/>
      <c r="AU425" s="292"/>
      <c r="AV425" s="94"/>
      <c r="AW425" s="292"/>
      <c r="AX425" s="292"/>
      <c r="AY425" s="292"/>
      <c r="AZ425" s="292"/>
      <c r="BA425" s="292"/>
      <c r="BB425" s="292"/>
      <c r="BC425" s="94"/>
      <c r="BD425" s="292"/>
      <c r="BE425" s="292"/>
      <c r="BF425" s="292"/>
      <c r="BG425" s="292"/>
      <c r="BH425" s="292"/>
      <c r="BI425" s="292"/>
      <c r="BJ425" s="94"/>
      <c r="BK425" s="292"/>
      <c r="BL425" s="292"/>
      <c r="BM425" s="292"/>
      <c r="BN425" s="292"/>
      <c r="BO425" s="292"/>
      <c r="BP425" s="292"/>
      <c r="BQ425" s="94"/>
      <c r="BR425" s="292"/>
      <c r="BS425" s="292"/>
      <c r="BT425" s="292"/>
      <c r="BU425" s="292"/>
      <c r="BV425" s="292"/>
      <c r="BW425" s="292"/>
      <c r="BX425" s="94"/>
      <c r="BY425" s="292"/>
      <c r="BZ425" s="292"/>
      <c r="CA425" s="292"/>
      <c r="CB425" s="292"/>
      <c r="CC425" s="292"/>
      <c r="CD425" s="292"/>
      <c r="CE425" s="94"/>
      <c r="CF425" s="292"/>
      <c r="CG425" s="292"/>
      <c r="CH425" s="292"/>
      <c r="CI425" s="292"/>
      <c r="CJ425" s="292"/>
      <c r="CK425" s="292"/>
      <c r="CL425" s="94"/>
      <c r="CM425" s="292"/>
      <c r="CN425" s="292"/>
      <c r="CO425" s="292"/>
      <c r="CP425" s="292"/>
      <c r="CQ425" s="292"/>
      <c r="CR425" s="292"/>
      <c r="CS425" s="94"/>
      <c r="CT425" s="292"/>
      <c r="CU425" s="292"/>
      <c r="CV425" s="292"/>
      <c r="CW425" s="292"/>
      <c r="CX425" s="292"/>
      <c r="CY425" s="292"/>
      <c r="CZ425" s="94"/>
      <c r="DA425" s="292"/>
      <c r="DB425" s="292"/>
      <c r="DC425" s="292"/>
      <c r="DD425" s="292"/>
      <c r="DE425" s="292"/>
      <c r="DF425" s="292"/>
      <c r="DG425" s="94"/>
      <c r="DH425" s="292"/>
      <c r="DI425" s="292"/>
      <c r="DJ425" s="292"/>
      <c r="DK425" s="292"/>
      <c r="DL425" s="292"/>
      <c r="DM425" s="292"/>
      <c r="DN425" s="94"/>
      <c r="DO425" s="292"/>
      <c r="DP425" s="292"/>
      <c r="DQ425" s="292"/>
      <c r="DR425" s="292"/>
      <c r="DS425" s="292"/>
      <c r="DT425" s="292"/>
      <c r="DU425" s="94"/>
      <c r="DV425" s="292"/>
      <c r="DW425" s="292"/>
      <c r="DX425" s="292"/>
      <c r="DY425" s="292"/>
      <c r="DZ425" s="292"/>
      <c r="EA425" s="292"/>
      <c r="EB425" s="94"/>
      <c r="EC425" s="292"/>
      <c r="ED425" s="292"/>
      <c r="EE425" s="292"/>
      <c r="EF425" s="292"/>
      <c r="EG425" s="292"/>
      <c r="EH425" s="292"/>
      <c r="EI425" s="94"/>
      <c r="EJ425" s="47"/>
      <c r="EK425" s="47"/>
      <c r="EL425" s="47"/>
      <c r="EM425" s="47"/>
      <c r="EN425" s="47"/>
      <c r="EO425" s="47"/>
      <c r="EP425" s="47"/>
      <c r="EQ425" s="47"/>
      <c r="ER425" s="47"/>
      <c r="ES425" s="47"/>
      <c r="ET425" s="47"/>
      <c r="EU425" s="47"/>
      <c r="EV425" s="47"/>
      <c r="EW425" s="47"/>
      <c r="EX425" s="47"/>
      <c r="EY425" s="47"/>
      <c r="EZ425" s="47"/>
      <c r="FA425" s="47"/>
      <c r="FB425" s="47"/>
      <c r="FC425" s="47"/>
      <c r="FD425" s="47"/>
      <c r="FE425" s="47"/>
      <c r="FF425" s="47"/>
      <c r="FG425" s="47"/>
      <c r="FH425" s="47"/>
      <c r="FI425" s="47"/>
      <c r="FJ425" s="47"/>
      <c r="FK425" s="47"/>
      <c r="FL425" s="47"/>
      <c r="FM425" s="47"/>
      <c r="FN425" s="47"/>
      <c r="FO425" s="47"/>
      <c r="FP425" s="47"/>
      <c r="FQ425" s="47"/>
      <c r="FR425" s="47"/>
      <c r="FS425" s="47"/>
      <c r="FT425" s="47"/>
      <c r="FU425" s="47"/>
      <c r="FV425" s="47"/>
      <c r="FW425" s="47"/>
      <c r="FX425" s="47"/>
      <c r="FY425" s="47"/>
      <c r="FZ425" s="47"/>
      <c r="GA425" s="47"/>
      <c r="GB425" s="47"/>
      <c r="GC425" s="47"/>
      <c r="GD425" s="47"/>
      <c r="GE425" s="47"/>
    </row>
    <row r="426" spans="1:187" ht="10.5" customHeight="1">
      <c r="A426" s="43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43"/>
      <c r="U426" s="108"/>
      <c r="V426" s="108"/>
      <c r="W426" s="108"/>
      <c r="X426" s="108"/>
      <c r="Y426" s="108"/>
      <c r="Z426" s="108"/>
      <c r="AA426" s="43"/>
      <c r="AB426" s="108"/>
      <c r="AC426" s="108"/>
      <c r="AD426" s="108"/>
      <c r="AE426" s="108"/>
      <c r="AF426" s="108"/>
      <c r="AG426" s="108"/>
      <c r="AH426" s="43"/>
      <c r="AI426" s="108"/>
      <c r="AJ426" s="108"/>
      <c r="AK426" s="108"/>
      <c r="AL426" s="108"/>
      <c r="AM426" s="108"/>
      <c r="AN426" s="108"/>
      <c r="AO426" s="43"/>
      <c r="AP426" s="108"/>
      <c r="AQ426" s="108"/>
      <c r="AR426" s="108"/>
      <c r="AS426" s="108"/>
      <c r="AT426" s="108"/>
      <c r="AU426" s="108"/>
      <c r="AV426" s="43"/>
      <c r="AW426" s="108"/>
      <c r="AX426" s="108"/>
      <c r="AY426" s="108"/>
      <c r="AZ426" s="108"/>
      <c r="BA426" s="108"/>
      <c r="BB426" s="108"/>
      <c r="BC426" s="43"/>
      <c r="BD426" s="108"/>
      <c r="BE426" s="108"/>
      <c r="BF426" s="108"/>
      <c r="BG426" s="108"/>
      <c r="BH426" s="108"/>
      <c r="BI426" s="108"/>
      <c r="BJ426" s="43"/>
      <c r="BK426" s="108"/>
      <c r="BL426" s="108"/>
      <c r="BM426" s="108"/>
      <c r="BN426" s="108"/>
      <c r="BO426" s="108"/>
      <c r="BP426" s="108"/>
      <c r="BQ426" s="43"/>
      <c r="BR426" s="108"/>
      <c r="BS426" s="108"/>
      <c r="BT426" s="108"/>
      <c r="BU426" s="108"/>
      <c r="BV426" s="108"/>
      <c r="BW426" s="108"/>
      <c r="BX426" s="43"/>
      <c r="BY426" s="108"/>
      <c r="BZ426" s="108"/>
      <c r="CA426" s="108"/>
      <c r="CB426" s="108"/>
      <c r="CC426" s="108"/>
      <c r="CD426" s="108"/>
      <c r="CE426" s="43"/>
      <c r="CF426" s="108"/>
      <c r="CG426" s="108"/>
      <c r="CH426" s="108"/>
      <c r="CI426" s="108"/>
      <c r="CJ426" s="108"/>
      <c r="CK426" s="108"/>
      <c r="CL426" s="43"/>
      <c r="CM426" s="108"/>
      <c r="CN426" s="108"/>
      <c r="CO426" s="108"/>
      <c r="CP426" s="108"/>
      <c r="CQ426" s="108"/>
      <c r="CR426" s="108"/>
      <c r="CS426" s="43"/>
      <c r="CT426" s="108"/>
      <c r="CU426" s="108"/>
      <c r="CV426" s="108"/>
      <c r="CW426" s="108"/>
      <c r="CX426" s="108"/>
      <c r="CY426" s="108"/>
      <c r="CZ426" s="43"/>
      <c r="DA426" s="108"/>
      <c r="DB426" s="108"/>
      <c r="DC426" s="108"/>
      <c r="DD426" s="108"/>
      <c r="DE426" s="108"/>
      <c r="DF426" s="108"/>
      <c r="DG426" s="43"/>
      <c r="DH426" s="108"/>
      <c r="DI426" s="108"/>
      <c r="DJ426" s="108"/>
      <c r="DK426" s="108"/>
      <c r="DL426" s="108"/>
      <c r="DM426" s="108"/>
      <c r="DN426" s="43"/>
      <c r="DO426" s="108"/>
      <c r="DP426" s="108"/>
      <c r="DQ426" s="108"/>
      <c r="DR426" s="108"/>
      <c r="DS426" s="108"/>
      <c r="DT426" s="108"/>
      <c r="DU426" s="43"/>
      <c r="DV426" s="108"/>
      <c r="DW426" s="108"/>
      <c r="DX426" s="108"/>
      <c r="DY426" s="108"/>
      <c r="DZ426" s="108"/>
      <c r="EA426" s="108"/>
      <c r="EB426" s="43"/>
      <c r="EC426" s="108"/>
      <c r="ED426" s="108"/>
      <c r="EE426" s="108"/>
      <c r="EF426" s="108"/>
      <c r="EG426" s="108"/>
      <c r="EH426" s="108"/>
      <c r="EI426" s="43"/>
      <c r="EJ426" s="47"/>
      <c r="EK426" s="47"/>
      <c r="EL426" s="47"/>
      <c r="EM426" s="47"/>
      <c r="EN426" s="47"/>
      <c r="EO426" s="47"/>
      <c r="EP426" s="47"/>
      <c r="EQ426" s="47"/>
      <c r="ER426" s="47"/>
      <c r="ES426" s="47"/>
      <c r="ET426" s="47"/>
      <c r="EU426" s="47"/>
      <c r="EV426" s="47"/>
      <c r="EW426" s="47"/>
      <c r="EX426" s="47"/>
      <c r="EY426" s="47"/>
      <c r="EZ426" s="47"/>
      <c r="FA426" s="47"/>
      <c r="FB426" s="47"/>
      <c r="FC426" s="47"/>
      <c r="FD426" s="47"/>
      <c r="FE426" s="47"/>
      <c r="FF426" s="47"/>
      <c r="FG426" s="47"/>
      <c r="FH426" s="47"/>
      <c r="FI426" s="47"/>
      <c r="FJ426" s="47"/>
      <c r="FK426" s="47"/>
      <c r="FL426" s="47"/>
      <c r="FM426" s="47"/>
      <c r="FN426" s="47"/>
      <c r="FO426" s="47"/>
      <c r="FP426" s="47"/>
      <c r="FQ426" s="47"/>
      <c r="FR426" s="47"/>
      <c r="FS426" s="47"/>
      <c r="FT426" s="47"/>
      <c r="FU426" s="47"/>
      <c r="FV426" s="47"/>
      <c r="FW426" s="47"/>
      <c r="FX426" s="47"/>
      <c r="FY426" s="47"/>
      <c r="FZ426" s="47"/>
      <c r="GA426" s="47"/>
      <c r="GB426" s="47"/>
      <c r="GC426" s="47"/>
      <c r="GD426" s="47"/>
      <c r="GE426" s="47"/>
    </row>
    <row r="427" spans="1:187" ht="10.5" customHeight="1">
      <c r="A427" s="43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43"/>
      <c r="U427" s="108"/>
      <c r="V427" s="108"/>
      <c r="W427" s="108"/>
      <c r="X427" s="108"/>
      <c r="Y427" s="108"/>
      <c r="Z427" s="108"/>
      <c r="AA427" s="43"/>
      <c r="AB427" s="108"/>
      <c r="AC427" s="108"/>
      <c r="AD427" s="108"/>
      <c r="AE427" s="108"/>
      <c r="AF427" s="108"/>
      <c r="AG427" s="108"/>
      <c r="AH427" s="43"/>
      <c r="AI427" s="108"/>
      <c r="AJ427" s="108"/>
      <c r="AK427" s="108"/>
      <c r="AL427" s="108"/>
      <c r="AM427" s="108"/>
      <c r="AN427" s="108"/>
      <c r="AO427" s="43"/>
      <c r="AP427" s="108"/>
      <c r="AQ427" s="108"/>
      <c r="AR427" s="108"/>
      <c r="AS427" s="108"/>
      <c r="AT427" s="108"/>
      <c r="AU427" s="108"/>
      <c r="AV427" s="43"/>
      <c r="AW427" s="108"/>
      <c r="AX427" s="108"/>
      <c r="AY427" s="108"/>
      <c r="AZ427" s="108"/>
      <c r="BA427" s="108"/>
      <c r="BB427" s="108"/>
      <c r="BC427" s="43"/>
      <c r="BD427" s="108"/>
      <c r="BE427" s="108"/>
      <c r="BF427" s="108"/>
      <c r="BG427" s="108"/>
      <c r="BH427" s="108"/>
      <c r="BI427" s="108"/>
      <c r="BJ427" s="43"/>
      <c r="BK427" s="108"/>
      <c r="BL427" s="108"/>
      <c r="BM427" s="108"/>
      <c r="BN427" s="108"/>
      <c r="BO427" s="108"/>
      <c r="BP427" s="108"/>
      <c r="BQ427" s="43"/>
      <c r="BR427" s="108"/>
      <c r="BS427" s="108"/>
      <c r="BT427" s="108"/>
      <c r="BU427" s="108"/>
      <c r="BV427" s="108"/>
      <c r="BW427" s="108"/>
      <c r="BX427" s="43"/>
      <c r="BY427" s="108"/>
      <c r="BZ427" s="108"/>
      <c r="CA427" s="108"/>
      <c r="CB427" s="108"/>
      <c r="CC427" s="108"/>
      <c r="CD427" s="108"/>
      <c r="CE427" s="43"/>
      <c r="CF427" s="108"/>
      <c r="CG427" s="108"/>
      <c r="CH427" s="108"/>
      <c r="CI427" s="108"/>
      <c r="CJ427" s="108"/>
      <c r="CK427" s="108"/>
      <c r="CL427" s="43"/>
      <c r="CM427" s="108"/>
      <c r="CN427" s="108"/>
      <c r="CO427" s="108"/>
      <c r="CP427" s="108"/>
      <c r="CQ427" s="108"/>
      <c r="CR427" s="108"/>
      <c r="CS427" s="43"/>
      <c r="CT427" s="108"/>
      <c r="CU427" s="108"/>
      <c r="CV427" s="108"/>
      <c r="CW427" s="108"/>
      <c r="CX427" s="108"/>
      <c r="CY427" s="108"/>
      <c r="CZ427" s="43"/>
      <c r="DA427" s="108"/>
      <c r="DB427" s="108"/>
      <c r="DC427" s="108"/>
      <c r="DD427" s="108"/>
      <c r="DE427" s="108"/>
      <c r="DF427" s="108"/>
      <c r="DG427" s="43"/>
      <c r="DH427" s="108"/>
      <c r="DI427" s="108"/>
      <c r="DJ427" s="108"/>
      <c r="DK427" s="108"/>
      <c r="DL427" s="108"/>
      <c r="DM427" s="108"/>
      <c r="DN427" s="43"/>
      <c r="DO427" s="108"/>
      <c r="DP427" s="108"/>
      <c r="DQ427" s="108"/>
      <c r="DR427" s="108"/>
      <c r="DS427" s="108"/>
      <c r="DT427" s="108"/>
      <c r="DU427" s="43"/>
      <c r="DV427" s="108"/>
      <c r="DW427" s="108"/>
      <c r="DX427" s="108"/>
      <c r="DY427" s="108"/>
      <c r="DZ427" s="108"/>
      <c r="EA427" s="108"/>
      <c r="EB427" s="43"/>
      <c r="EC427" s="108"/>
      <c r="ED427" s="108"/>
      <c r="EE427" s="108"/>
      <c r="EF427" s="108"/>
      <c r="EG427" s="108"/>
      <c r="EH427" s="108"/>
      <c r="EI427" s="43"/>
      <c r="EJ427" s="47"/>
      <c r="EK427" s="47"/>
      <c r="EL427" s="47"/>
      <c r="EM427" s="47"/>
      <c r="EN427" s="47"/>
      <c r="EO427" s="47"/>
      <c r="EP427" s="47"/>
      <c r="EQ427" s="47"/>
      <c r="ER427" s="47"/>
      <c r="ES427" s="47"/>
      <c r="ET427" s="47"/>
      <c r="EU427" s="47"/>
      <c r="EV427" s="47"/>
      <c r="EW427" s="47"/>
      <c r="EX427" s="47"/>
      <c r="EY427" s="47"/>
      <c r="EZ427" s="47"/>
      <c r="FA427" s="47"/>
      <c r="FB427" s="47"/>
      <c r="FC427" s="47"/>
      <c r="FD427" s="47"/>
      <c r="FE427" s="47"/>
      <c r="FF427" s="47"/>
      <c r="FG427" s="47"/>
      <c r="FH427" s="47"/>
      <c r="FI427" s="47"/>
      <c r="FJ427" s="47"/>
      <c r="FK427" s="47"/>
      <c r="FL427" s="47"/>
      <c r="FM427" s="47"/>
      <c r="FN427" s="47"/>
      <c r="FO427" s="47"/>
      <c r="FP427" s="47"/>
      <c r="FQ427" s="47"/>
      <c r="FR427" s="47"/>
      <c r="FS427" s="47"/>
      <c r="FT427" s="47"/>
      <c r="FU427" s="47"/>
      <c r="FV427" s="47"/>
      <c r="FW427" s="47"/>
      <c r="FX427" s="47"/>
      <c r="FY427" s="47"/>
      <c r="FZ427" s="47"/>
      <c r="GA427" s="47"/>
      <c r="GB427" s="47"/>
      <c r="GC427" s="47"/>
      <c r="GD427" s="47"/>
      <c r="GE427" s="47"/>
    </row>
    <row r="428" spans="1:187" ht="10.5" customHeight="1">
      <c r="A428" s="43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43"/>
      <c r="U428" s="108"/>
      <c r="V428" s="108"/>
      <c r="W428" s="108"/>
      <c r="X428" s="108"/>
      <c r="Y428" s="108"/>
      <c r="Z428" s="108"/>
      <c r="AA428" s="43"/>
      <c r="AB428" s="108"/>
      <c r="AC428" s="108"/>
      <c r="AD428" s="108"/>
      <c r="AE428" s="108"/>
      <c r="AF428" s="108"/>
      <c r="AG428" s="108"/>
      <c r="AH428" s="43"/>
      <c r="AI428" s="108"/>
      <c r="AJ428" s="108"/>
      <c r="AK428" s="108"/>
      <c r="AL428" s="108"/>
      <c r="AM428" s="108"/>
      <c r="AN428" s="108"/>
      <c r="AO428" s="43"/>
      <c r="AP428" s="108"/>
      <c r="AQ428" s="108"/>
      <c r="AR428" s="108"/>
      <c r="AS428" s="108"/>
      <c r="AT428" s="108"/>
      <c r="AU428" s="108"/>
      <c r="AV428" s="43"/>
      <c r="AW428" s="108"/>
      <c r="AX428" s="108"/>
      <c r="AY428" s="108"/>
      <c r="AZ428" s="108"/>
      <c r="BA428" s="108"/>
      <c r="BB428" s="108"/>
      <c r="BC428" s="43"/>
      <c r="BD428" s="108"/>
      <c r="BE428" s="108"/>
      <c r="BF428" s="108"/>
      <c r="BG428" s="108"/>
      <c r="BH428" s="108"/>
      <c r="BI428" s="108"/>
      <c r="BJ428" s="43"/>
      <c r="BK428" s="108"/>
      <c r="BL428" s="108"/>
      <c r="BM428" s="108"/>
      <c r="BN428" s="108"/>
      <c r="BO428" s="108"/>
      <c r="BP428" s="108"/>
      <c r="BQ428" s="43"/>
      <c r="BR428" s="108"/>
      <c r="BS428" s="108"/>
      <c r="BT428" s="108"/>
      <c r="BU428" s="108"/>
      <c r="BV428" s="108"/>
      <c r="BW428" s="108"/>
      <c r="BX428" s="43"/>
      <c r="BY428" s="108"/>
      <c r="BZ428" s="108"/>
      <c r="CA428" s="108"/>
      <c r="CB428" s="108"/>
      <c r="CC428" s="108"/>
      <c r="CD428" s="108"/>
      <c r="CE428" s="43"/>
      <c r="CF428" s="108"/>
      <c r="CG428" s="108"/>
      <c r="CH428" s="108"/>
      <c r="CI428" s="108"/>
      <c r="CJ428" s="108"/>
      <c r="CK428" s="108"/>
      <c r="CL428" s="43"/>
      <c r="CM428" s="108"/>
      <c r="CN428" s="108"/>
      <c r="CO428" s="108"/>
      <c r="CP428" s="108"/>
      <c r="CQ428" s="108"/>
      <c r="CR428" s="108"/>
      <c r="CS428" s="43"/>
      <c r="CT428" s="108"/>
      <c r="CU428" s="108"/>
      <c r="CV428" s="108"/>
      <c r="CW428" s="108"/>
      <c r="CX428" s="108"/>
      <c r="CY428" s="108"/>
      <c r="CZ428" s="43"/>
      <c r="DA428" s="108"/>
      <c r="DB428" s="108"/>
      <c r="DC428" s="108"/>
      <c r="DD428" s="108"/>
      <c r="DE428" s="108"/>
      <c r="DF428" s="108"/>
      <c r="DG428" s="43"/>
      <c r="DH428" s="108"/>
      <c r="DI428" s="108"/>
      <c r="DJ428" s="108"/>
      <c r="DK428" s="108"/>
      <c r="DL428" s="108"/>
      <c r="DM428" s="108"/>
      <c r="DN428" s="43"/>
      <c r="DO428" s="108"/>
      <c r="DP428" s="108"/>
      <c r="DQ428" s="108"/>
      <c r="DR428" s="108"/>
      <c r="DS428" s="108"/>
      <c r="DT428" s="108"/>
      <c r="DU428" s="43"/>
      <c r="DV428" s="108"/>
      <c r="DW428" s="108"/>
      <c r="DX428" s="108"/>
      <c r="DY428" s="108"/>
      <c r="DZ428" s="108"/>
      <c r="EA428" s="108"/>
      <c r="EB428" s="43"/>
      <c r="EC428" s="108"/>
      <c r="ED428" s="108"/>
      <c r="EE428" s="108"/>
      <c r="EF428" s="108"/>
      <c r="EG428" s="108"/>
      <c r="EH428" s="108"/>
      <c r="EI428" s="43"/>
      <c r="EJ428" s="47"/>
      <c r="EK428" s="47"/>
      <c r="EL428" s="47"/>
      <c r="EM428" s="47"/>
      <c r="EN428" s="47"/>
      <c r="EO428" s="47"/>
      <c r="EP428" s="47"/>
      <c r="EQ428" s="47"/>
      <c r="ER428" s="47"/>
      <c r="ES428" s="47"/>
      <c r="ET428" s="47"/>
      <c r="EU428" s="47"/>
      <c r="EV428" s="47"/>
      <c r="EW428" s="47"/>
      <c r="EX428" s="47"/>
      <c r="EY428" s="47"/>
      <c r="EZ428" s="47"/>
      <c r="FA428" s="47"/>
      <c r="FB428" s="47"/>
      <c r="FC428" s="47"/>
      <c r="FD428" s="47"/>
      <c r="FE428" s="47"/>
      <c r="FF428" s="47"/>
      <c r="FG428" s="47"/>
      <c r="FH428" s="47"/>
      <c r="FI428" s="47"/>
      <c r="FJ428" s="47"/>
      <c r="FK428" s="47"/>
      <c r="FL428" s="47"/>
      <c r="FM428" s="47"/>
      <c r="FN428" s="47"/>
      <c r="FO428" s="47"/>
      <c r="FP428" s="47"/>
      <c r="FQ428" s="47"/>
      <c r="FR428" s="47"/>
      <c r="FS428" s="47"/>
      <c r="FT428" s="47"/>
      <c r="FU428" s="47"/>
      <c r="FV428" s="47"/>
      <c r="FW428" s="47"/>
      <c r="FX428" s="47"/>
      <c r="FY428" s="47"/>
      <c r="FZ428" s="47"/>
      <c r="GA428" s="47"/>
      <c r="GB428" s="47"/>
      <c r="GC428" s="47"/>
      <c r="GD428" s="47"/>
      <c r="GE428" s="47"/>
    </row>
    <row r="429" spans="1:187" ht="10.5" customHeight="1">
      <c r="A429" s="43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43"/>
      <c r="U429" s="108"/>
      <c r="V429" s="108"/>
      <c r="W429" s="108"/>
      <c r="X429" s="108"/>
      <c r="Y429" s="108"/>
      <c r="Z429" s="108"/>
      <c r="AA429" s="43"/>
      <c r="AB429" s="108"/>
      <c r="AC429" s="108"/>
      <c r="AD429" s="108"/>
      <c r="AE429" s="108"/>
      <c r="AF429" s="108"/>
      <c r="AG429" s="108"/>
      <c r="AH429" s="43"/>
      <c r="AI429" s="108"/>
      <c r="AJ429" s="108"/>
      <c r="AK429" s="108"/>
      <c r="AL429" s="108"/>
      <c r="AM429" s="108"/>
      <c r="AN429" s="108"/>
      <c r="AO429" s="43"/>
      <c r="AP429" s="108"/>
      <c r="AQ429" s="108"/>
      <c r="AR429" s="108"/>
      <c r="AS429" s="108"/>
      <c r="AT429" s="108"/>
      <c r="AU429" s="108"/>
      <c r="AV429" s="43"/>
      <c r="AW429" s="108"/>
      <c r="AX429" s="108"/>
      <c r="AY429" s="108"/>
      <c r="AZ429" s="108"/>
      <c r="BA429" s="108"/>
      <c r="BB429" s="108"/>
      <c r="BC429" s="43"/>
      <c r="BD429" s="108"/>
      <c r="BE429" s="108"/>
      <c r="BF429" s="108"/>
      <c r="BG429" s="108"/>
      <c r="BH429" s="108"/>
      <c r="BI429" s="108"/>
      <c r="BJ429" s="43"/>
      <c r="BK429" s="108"/>
      <c r="BL429" s="108"/>
      <c r="BM429" s="108"/>
      <c r="BN429" s="108"/>
      <c r="BO429" s="108"/>
      <c r="BP429" s="108"/>
      <c r="BQ429" s="43"/>
      <c r="BR429" s="108"/>
      <c r="BS429" s="108"/>
      <c r="BT429" s="108"/>
      <c r="BU429" s="108"/>
      <c r="BV429" s="108"/>
      <c r="BW429" s="108"/>
      <c r="BX429" s="43"/>
      <c r="BY429" s="108"/>
      <c r="BZ429" s="108"/>
      <c r="CA429" s="108"/>
      <c r="CB429" s="108"/>
      <c r="CC429" s="108"/>
      <c r="CD429" s="108"/>
      <c r="CE429" s="43"/>
      <c r="CF429" s="108"/>
      <c r="CG429" s="108"/>
      <c r="CH429" s="108"/>
      <c r="CI429" s="108"/>
      <c r="CJ429" s="108"/>
      <c r="CK429" s="108"/>
      <c r="CL429" s="43"/>
      <c r="CM429" s="108"/>
      <c r="CN429" s="108"/>
      <c r="CO429" s="108"/>
      <c r="CP429" s="108"/>
      <c r="CQ429" s="108"/>
      <c r="CR429" s="108"/>
      <c r="CS429" s="43"/>
      <c r="CT429" s="108"/>
      <c r="CU429" s="108"/>
      <c r="CV429" s="108"/>
      <c r="CW429" s="108"/>
      <c r="CX429" s="108"/>
      <c r="CY429" s="108"/>
      <c r="CZ429" s="43"/>
      <c r="DA429" s="108"/>
      <c r="DB429" s="108"/>
      <c r="DC429" s="108"/>
      <c r="DD429" s="108"/>
      <c r="DE429" s="108"/>
      <c r="DF429" s="108"/>
      <c r="DG429" s="43"/>
      <c r="DH429" s="108"/>
      <c r="DI429" s="108"/>
      <c r="DJ429" s="108"/>
      <c r="DK429" s="108"/>
      <c r="DL429" s="108"/>
      <c r="DM429" s="108"/>
      <c r="DN429" s="43"/>
      <c r="DO429" s="108"/>
      <c r="DP429" s="108"/>
      <c r="DQ429" s="108"/>
      <c r="DR429" s="108"/>
      <c r="DS429" s="108"/>
      <c r="DT429" s="108"/>
      <c r="DU429" s="43"/>
      <c r="DV429" s="108"/>
      <c r="DW429" s="108"/>
      <c r="DX429" s="108"/>
      <c r="DY429" s="108"/>
      <c r="DZ429" s="108"/>
      <c r="EA429" s="108"/>
      <c r="EB429" s="43"/>
      <c r="EC429" s="108"/>
      <c r="ED429" s="108"/>
      <c r="EE429" s="108"/>
      <c r="EF429" s="108"/>
      <c r="EG429" s="108"/>
      <c r="EH429" s="108"/>
      <c r="EI429" s="43"/>
      <c r="EJ429" s="47"/>
      <c r="EK429" s="47"/>
      <c r="EL429" s="47"/>
      <c r="EM429" s="47"/>
      <c r="EN429" s="47"/>
      <c r="EO429" s="47"/>
      <c r="EP429" s="47"/>
      <c r="EQ429" s="47"/>
      <c r="ER429" s="47"/>
      <c r="ES429" s="47"/>
      <c r="ET429" s="47"/>
      <c r="EU429" s="47"/>
      <c r="EV429" s="47"/>
      <c r="EW429" s="47"/>
      <c r="EX429" s="47"/>
      <c r="EY429" s="47"/>
      <c r="EZ429" s="47"/>
      <c r="FA429" s="47"/>
      <c r="FB429" s="47"/>
      <c r="FC429" s="47"/>
      <c r="FD429" s="47"/>
      <c r="FE429" s="47"/>
      <c r="FF429" s="47"/>
      <c r="FG429" s="47"/>
      <c r="FH429" s="47"/>
      <c r="FI429" s="47"/>
      <c r="FJ429" s="47"/>
      <c r="FK429" s="47"/>
      <c r="FL429" s="47"/>
      <c r="FM429" s="47"/>
      <c r="FN429" s="47"/>
      <c r="FO429" s="47"/>
      <c r="FP429" s="47"/>
      <c r="FQ429" s="47"/>
      <c r="FR429" s="47"/>
      <c r="FS429" s="47"/>
      <c r="FT429" s="47"/>
      <c r="FU429" s="47"/>
      <c r="FV429" s="47"/>
      <c r="FW429" s="47"/>
      <c r="FX429" s="47"/>
      <c r="FY429" s="47"/>
      <c r="FZ429" s="47"/>
      <c r="GA429" s="47"/>
      <c r="GB429" s="47"/>
      <c r="GC429" s="47"/>
      <c r="GD429" s="47"/>
      <c r="GE429" s="47"/>
    </row>
    <row r="430" spans="1:187" ht="10.5" customHeight="1">
      <c r="A430" s="43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43"/>
      <c r="U430" s="108"/>
      <c r="V430" s="108"/>
      <c r="W430" s="108"/>
      <c r="X430" s="108"/>
      <c r="Y430" s="108"/>
      <c r="Z430" s="108"/>
      <c r="AA430" s="43"/>
      <c r="AB430" s="108"/>
      <c r="AC430" s="108"/>
      <c r="AD430" s="108"/>
      <c r="AE430" s="108"/>
      <c r="AF430" s="108"/>
      <c r="AG430" s="108"/>
      <c r="AH430" s="43"/>
      <c r="AI430" s="108"/>
      <c r="AJ430" s="108"/>
      <c r="AK430" s="108"/>
      <c r="AL430" s="108"/>
      <c r="AM430" s="108"/>
      <c r="AN430" s="108"/>
      <c r="AO430" s="43"/>
      <c r="AP430" s="108"/>
      <c r="AQ430" s="108"/>
      <c r="AR430" s="108"/>
      <c r="AS430" s="108"/>
      <c r="AT430" s="108"/>
      <c r="AU430" s="108"/>
      <c r="AV430" s="43"/>
      <c r="AW430" s="108"/>
      <c r="AX430" s="108"/>
      <c r="AY430" s="108"/>
      <c r="AZ430" s="108"/>
      <c r="BA430" s="108"/>
      <c r="BB430" s="108"/>
      <c r="BC430" s="43"/>
      <c r="BD430" s="108"/>
      <c r="BE430" s="108"/>
      <c r="BF430" s="108"/>
      <c r="BG430" s="108"/>
      <c r="BH430" s="108"/>
      <c r="BI430" s="108"/>
      <c r="BJ430" s="43"/>
      <c r="BK430" s="108"/>
      <c r="BL430" s="108"/>
      <c r="BM430" s="108"/>
      <c r="BN430" s="108"/>
      <c r="BO430" s="108"/>
      <c r="BP430" s="108"/>
      <c r="BQ430" s="43"/>
      <c r="BR430" s="108"/>
      <c r="BS430" s="108"/>
      <c r="BT430" s="108"/>
      <c r="BU430" s="108"/>
      <c r="BV430" s="108"/>
      <c r="BW430" s="108"/>
      <c r="BX430" s="43"/>
      <c r="BY430" s="108"/>
      <c r="BZ430" s="108"/>
      <c r="CA430" s="108"/>
      <c r="CB430" s="108"/>
      <c r="CC430" s="108"/>
      <c r="CD430" s="108"/>
      <c r="CE430" s="43"/>
      <c r="CF430" s="108"/>
      <c r="CG430" s="108"/>
      <c r="CH430" s="108"/>
      <c r="CI430" s="108"/>
      <c r="CJ430" s="108"/>
      <c r="CK430" s="108"/>
      <c r="CL430" s="43"/>
      <c r="CM430" s="108"/>
      <c r="CN430" s="108"/>
      <c r="CO430" s="108"/>
      <c r="CP430" s="108"/>
      <c r="CQ430" s="108"/>
      <c r="CR430" s="108"/>
      <c r="CS430" s="43"/>
      <c r="CT430" s="108"/>
      <c r="CU430" s="108"/>
      <c r="CV430" s="108"/>
      <c r="CW430" s="108"/>
      <c r="CX430" s="108"/>
      <c r="CY430" s="108"/>
      <c r="CZ430" s="43"/>
      <c r="DA430" s="108"/>
      <c r="DB430" s="108"/>
      <c r="DC430" s="108"/>
      <c r="DD430" s="108"/>
      <c r="DE430" s="108"/>
      <c r="DF430" s="108"/>
      <c r="DG430" s="43"/>
      <c r="DH430" s="108"/>
      <c r="DI430" s="108"/>
      <c r="DJ430" s="108"/>
      <c r="DK430" s="108"/>
      <c r="DL430" s="108"/>
      <c r="DM430" s="108"/>
      <c r="DN430" s="43"/>
      <c r="DO430" s="108"/>
      <c r="DP430" s="108"/>
      <c r="DQ430" s="108"/>
      <c r="DR430" s="108"/>
      <c r="DS430" s="108"/>
      <c r="DT430" s="108"/>
      <c r="DU430" s="43"/>
      <c r="DV430" s="108"/>
      <c r="DW430" s="108"/>
      <c r="DX430" s="108"/>
      <c r="DY430" s="108"/>
      <c r="DZ430" s="108"/>
      <c r="EA430" s="108"/>
      <c r="EB430" s="43"/>
      <c r="EC430" s="108"/>
      <c r="ED430" s="108"/>
      <c r="EE430" s="108"/>
      <c r="EF430" s="108"/>
      <c r="EG430" s="108"/>
      <c r="EH430" s="108"/>
      <c r="EI430" s="43"/>
      <c r="EJ430" s="47"/>
      <c r="EK430" s="47"/>
      <c r="EL430" s="47"/>
      <c r="EM430" s="47"/>
      <c r="EN430" s="47"/>
      <c r="EO430" s="47"/>
      <c r="EP430" s="47"/>
      <c r="EQ430" s="47"/>
      <c r="ER430" s="47"/>
      <c r="ES430" s="47"/>
      <c r="ET430" s="47"/>
      <c r="EU430" s="47"/>
      <c r="EV430" s="47"/>
      <c r="EW430" s="47"/>
      <c r="EX430" s="47"/>
      <c r="EY430" s="47"/>
      <c r="EZ430" s="47"/>
      <c r="FA430" s="47"/>
      <c r="FB430" s="47"/>
      <c r="FC430" s="47"/>
      <c r="FD430" s="47"/>
      <c r="FE430" s="47"/>
      <c r="FF430" s="47"/>
      <c r="FG430" s="47"/>
      <c r="FH430" s="47"/>
      <c r="FI430" s="47"/>
      <c r="FJ430" s="47"/>
      <c r="FK430" s="47"/>
      <c r="FL430" s="47"/>
      <c r="FM430" s="47"/>
      <c r="FN430" s="47"/>
      <c r="FO430" s="47"/>
      <c r="FP430" s="47"/>
      <c r="FQ430" s="47"/>
      <c r="FR430" s="47"/>
      <c r="FS430" s="47"/>
      <c r="FT430" s="47"/>
      <c r="FU430" s="47"/>
      <c r="FV430" s="47"/>
      <c r="FW430" s="47"/>
      <c r="FX430" s="47"/>
      <c r="FY430" s="47"/>
      <c r="FZ430" s="47"/>
      <c r="GA430" s="47"/>
      <c r="GB430" s="47"/>
      <c r="GC430" s="47"/>
      <c r="GD430" s="47"/>
      <c r="GE430" s="47"/>
    </row>
    <row r="431" spans="1:187" ht="10.5" customHeight="1">
      <c r="A431" s="43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43"/>
      <c r="U431" s="108"/>
      <c r="V431" s="108"/>
      <c r="W431" s="108"/>
      <c r="X431" s="108"/>
      <c r="Y431" s="108"/>
      <c r="Z431" s="108"/>
      <c r="AA431" s="43"/>
      <c r="AB431" s="108"/>
      <c r="AC431" s="108"/>
      <c r="AD431" s="108"/>
      <c r="AE431" s="108"/>
      <c r="AF431" s="108"/>
      <c r="AG431" s="108"/>
      <c r="AH431" s="43"/>
      <c r="AI431" s="108"/>
      <c r="AJ431" s="108"/>
      <c r="AK431" s="108"/>
      <c r="AL431" s="108"/>
      <c r="AM431" s="108"/>
      <c r="AN431" s="108"/>
      <c r="AO431" s="43"/>
      <c r="AP431" s="108"/>
      <c r="AQ431" s="108"/>
      <c r="AR431" s="108"/>
      <c r="AS431" s="108"/>
      <c r="AT431" s="108"/>
      <c r="AU431" s="108"/>
      <c r="AV431" s="43"/>
      <c r="AW431" s="108"/>
      <c r="AX431" s="108"/>
      <c r="AY431" s="108"/>
      <c r="AZ431" s="108"/>
      <c r="BA431" s="108"/>
      <c r="BB431" s="108"/>
      <c r="BC431" s="43"/>
      <c r="BD431" s="108"/>
      <c r="BE431" s="108"/>
      <c r="BF431" s="108"/>
      <c r="BG431" s="108"/>
      <c r="BH431" s="108"/>
      <c r="BI431" s="108"/>
      <c r="BJ431" s="43"/>
      <c r="BK431" s="108"/>
      <c r="BL431" s="108"/>
      <c r="BM431" s="108"/>
      <c r="BN431" s="108"/>
      <c r="BO431" s="108"/>
      <c r="BP431" s="108"/>
      <c r="BQ431" s="43"/>
      <c r="BR431" s="108"/>
      <c r="BS431" s="108"/>
      <c r="BT431" s="108"/>
      <c r="BU431" s="108"/>
      <c r="BV431" s="108"/>
      <c r="BW431" s="108"/>
      <c r="BX431" s="43"/>
      <c r="BY431" s="108"/>
      <c r="BZ431" s="108"/>
      <c r="CA431" s="108"/>
      <c r="CB431" s="108"/>
      <c r="CC431" s="108"/>
      <c r="CD431" s="108"/>
      <c r="CE431" s="43"/>
      <c r="CF431" s="108"/>
      <c r="CG431" s="108"/>
      <c r="CH431" s="108"/>
      <c r="CI431" s="108"/>
      <c r="CJ431" s="108"/>
      <c r="CK431" s="108"/>
      <c r="CL431" s="43"/>
      <c r="CM431" s="108"/>
      <c r="CN431" s="108"/>
      <c r="CO431" s="108"/>
      <c r="CP431" s="108"/>
      <c r="CQ431" s="108"/>
      <c r="CR431" s="108"/>
      <c r="CS431" s="43"/>
      <c r="CT431" s="108"/>
      <c r="CU431" s="108"/>
      <c r="CV431" s="108"/>
      <c r="CW431" s="108"/>
      <c r="CX431" s="108"/>
      <c r="CY431" s="108"/>
      <c r="CZ431" s="43"/>
      <c r="DA431" s="108"/>
      <c r="DB431" s="108"/>
      <c r="DC431" s="108"/>
      <c r="DD431" s="108"/>
      <c r="DE431" s="108"/>
      <c r="DF431" s="108"/>
      <c r="DG431" s="43"/>
      <c r="DH431" s="108"/>
      <c r="DI431" s="108"/>
      <c r="DJ431" s="108"/>
      <c r="DK431" s="108"/>
      <c r="DL431" s="108"/>
      <c r="DM431" s="108"/>
      <c r="DN431" s="43"/>
      <c r="DO431" s="108"/>
      <c r="DP431" s="108"/>
      <c r="DQ431" s="108"/>
      <c r="DR431" s="108"/>
      <c r="DS431" s="108"/>
      <c r="DT431" s="108"/>
      <c r="DU431" s="43"/>
      <c r="DV431" s="108"/>
      <c r="DW431" s="108"/>
      <c r="DX431" s="108"/>
      <c r="DY431" s="108"/>
      <c r="DZ431" s="108"/>
      <c r="EA431" s="108"/>
      <c r="EB431" s="43"/>
      <c r="EC431" s="108"/>
      <c r="ED431" s="108"/>
      <c r="EE431" s="108"/>
      <c r="EF431" s="108"/>
      <c r="EG431" s="108"/>
      <c r="EH431" s="108"/>
      <c r="EI431" s="43"/>
      <c r="EJ431" s="47"/>
      <c r="EK431" s="47"/>
      <c r="EL431" s="47"/>
      <c r="EM431" s="47"/>
      <c r="EN431" s="47"/>
      <c r="EO431" s="47"/>
      <c r="EP431" s="47"/>
      <c r="EQ431" s="47"/>
      <c r="ER431" s="47"/>
      <c r="ES431" s="47"/>
      <c r="ET431" s="47"/>
      <c r="EU431" s="47"/>
      <c r="EV431" s="47"/>
      <c r="EW431" s="47"/>
      <c r="EX431" s="47"/>
      <c r="EY431" s="47"/>
      <c r="EZ431" s="47"/>
      <c r="FA431" s="47"/>
      <c r="FB431" s="47"/>
      <c r="FC431" s="47"/>
      <c r="FD431" s="47"/>
      <c r="FE431" s="47"/>
      <c r="FF431" s="47"/>
      <c r="FG431" s="47"/>
      <c r="FH431" s="47"/>
      <c r="FI431" s="47"/>
      <c r="FJ431" s="47"/>
      <c r="FK431" s="47"/>
      <c r="FL431" s="47"/>
      <c r="FM431" s="47"/>
      <c r="FN431" s="47"/>
      <c r="FO431" s="47"/>
      <c r="FP431" s="47"/>
      <c r="FQ431" s="47"/>
      <c r="FR431" s="47"/>
      <c r="FS431" s="47"/>
      <c r="FT431" s="47"/>
      <c r="FU431" s="47"/>
      <c r="FV431" s="47"/>
      <c r="FW431" s="47"/>
      <c r="FX431" s="47"/>
      <c r="FY431" s="47"/>
      <c r="FZ431" s="47"/>
      <c r="GA431" s="47"/>
      <c r="GB431" s="47"/>
      <c r="GC431" s="47"/>
      <c r="GD431" s="47"/>
      <c r="GE431" s="47"/>
    </row>
    <row r="432" spans="1:187" ht="10.5" customHeight="1">
      <c r="A432" s="43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43"/>
      <c r="U432" s="108"/>
      <c r="V432" s="108"/>
      <c r="W432" s="108"/>
      <c r="X432" s="108"/>
      <c r="Y432" s="108"/>
      <c r="Z432" s="108"/>
      <c r="AA432" s="43"/>
      <c r="AB432" s="108"/>
      <c r="AC432" s="108"/>
      <c r="AD432" s="108"/>
      <c r="AE432" s="108"/>
      <c r="AF432" s="108"/>
      <c r="AG432" s="108"/>
      <c r="AH432" s="43"/>
      <c r="AI432" s="108"/>
      <c r="AJ432" s="108"/>
      <c r="AK432" s="108"/>
      <c r="AL432" s="108"/>
      <c r="AM432" s="108"/>
      <c r="AN432" s="108"/>
      <c r="AO432" s="43"/>
      <c r="AP432" s="108"/>
      <c r="AQ432" s="108"/>
      <c r="AR432" s="108"/>
      <c r="AS432" s="108"/>
      <c r="AT432" s="108"/>
      <c r="AU432" s="108"/>
      <c r="AV432" s="43"/>
      <c r="AW432" s="108"/>
      <c r="AX432" s="108"/>
      <c r="AY432" s="108"/>
      <c r="AZ432" s="108"/>
      <c r="BA432" s="108"/>
      <c r="BB432" s="108"/>
      <c r="BC432" s="43"/>
      <c r="BD432" s="108"/>
      <c r="BE432" s="108"/>
      <c r="BF432" s="108"/>
      <c r="BG432" s="108"/>
      <c r="BH432" s="108"/>
      <c r="BI432" s="108"/>
      <c r="BJ432" s="43"/>
      <c r="BK432" s="108"/>
      <c r="BL432" s="108"/>
      <c r="BM432" s="108"/>
      <c r="BN432" s="108"/>
      <c r="BO432" s="108"/>
      <c r="BP432" s="108"/>
      <c r="BQ432" s="43"/>
      <c r="BR432" s="108"/>
      <c r="BS432" s="108"/>
      <c r="BT432" s="108"/>
      <c r="BU432" s="108"/>
      <c r="BV432" s="108"/>
      <c r="BW432" s="108"/>
      <c r="BX432" s="43"/>
      <c r="BY432" s="108"/>
      <c r="BZ432" s="108"/>
      <c r="CA432" s="108"/>
      <c r="CB432" s="108"/>
      <c r="CC432" s="108"/>
      <c r="CD432" s="108"/>
      <c r="CE432" s="43"/>
      <c r="CF432" s="108"/>
      <c r="CG432" s="108"/>
      <c r="CH432" s="108"/>
      <c r="CI432" s="108"/>
      <c r="CJ432" s="108"/>
      <c r="CK432" s="108"/>
      <c r="CL432" s="43"/>
      <c r="CM432" s="108"/>
      <c r="CN432" s="108"/>
      <c r="CO432" s="108"/>
      <c r="CP432" s="108"/>
      <c r="CQ432" s="108"/>
      <c r="CR432" s="108"/>
      <c r="CS432" s="43"/>
      <c r="CT432" s="108"/>
      <c r="CU432" s="108"/>
      <c r="CV432" s="108"/>
      <c r="CW432" s="108"/>
      <c r="CX432" s="108"/>
      <c r="CY432" s="108"/>
      <c r="CZ432" s="43"/>
      <c r="DA432" s="108"/>
      <c r="DB432" s="108"/>
      <c r="DC432" s="108"/>
      <c r="DD432" s="108"/>
      <c r="DE432" s="108"/>
      <c r="DF432" s="108"/>
      <c r="DG432" s="43"/>
      <c r="DH432" s="108"/>
      <c r="DI432" s="108"/>
      <c r="DJ432" s="108"/>
      <c r="DK432" s="108"/>
      <c r="DL432" s="108"/>
      <c r="DM432" s="108"/>
      <c r="DN432" s="43"/>
      <c r="DO432" s="108"/>
      <c r="DP432" s="108"/>
      <c r="DQ432" s="108"/>
      <c r="DR432" s="108"/>
      <c r="DS432" s="108"/>
      <c r="DT432" s="108"/>
      <c r="DU432" s="43"/>
      <c r="DV432" s="108"/>
      <c r="DW432" s="108"/>
      <c r="DX432" s="108"/>
      <c r="DY432" s="108"/>
      <c r="DZ432" s="108"/>
      <c r="EA432" s="108"/>
      <c r="EB432" s="43"/>
      <c r="EC432" s="108"/>
      <c r="ED432" s="108"/>
      <c r="EE432" s="108"/>
      <c r="EF432" s="108"/>
      <c r="EG432" s="108"/>
      <c r="EH432" s="108"/>
      <c r="EI432" s="43"/>
      <c r="EJ432" s="47"/>
      <c r="EK432" s="47"/>
      <c r="EL432" s="47"/>
      <c r="EM432" s="47"/>
      <c r="EN432" s="47"/>
      <c r="EO432" s="47"/>
      <c r="EP432" s="47"/>
      <c r="EQ432" s="47"/>
      <c r="ER432" s="47"/>
      <c r="ES432" s="47"/>
      <c r="ET432" s="47"/>
      <c r="EU432" s="47"/>
      <c r="EV432" s="47"/>
      <c r="EW432" s="47"/>
      <c r="EX432" s="47"/>
      <c r="EY432" s="47"/>
      <c r="EZ432" s="47"/>
      <c r="FA432" s="47"/>
      <c r="FB432" s="47"/>
      <c r="FC432" s="47"/>
      <c r="FD432" s="47"/>
      <c r="FE432" s="47"/>
      <c r="FF432" s="47"/>
      <c r="FG432" s="47"/>
      <c r="FH432" s="47"/>
      <c r="FI432" s="47"/>
      <c r="FJ432" s="47"/>
      <c r="FK432" s="47"/>
      <c r="FL432" s="47"/>
      <c r="FM432" s="47"/>
      <c r="FN432" s="47"/>
      <c r="FO432" s="47"/>
      <c r="FP432" s="47"/>
      <c r="FQ432" s="47"/>
      <c r="FR432" s="47"/>
      <c r="FS432" s="47"/>
      <c r="FT432" s="47"/>
      <c r="FU432" s="47"/>
      <c r="FV432" s="47"/>
      <c r="FW432" s="47"/>
      <c r="FX432" s="47"/>
      <c r="FY432" s="47"/>
      <c r="FZ432" s="47"/>
      <c r="GA432" s="47"/>
      <c r="GB432" s="47"/>
      <c r="GC432" s="47"/>
      <c r="GD432" s="47"/>
      <c r="GE432" s="47"/>
    </row>
    <row r="433" spans="1:187" ht="10.5" customHeight="1">
      <c r="A433" s="43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43"/>
      <c r="U433" s="108"/>
      <c r="V433" s="108"/>
      <c r="W433" s="108"/>
      <c r="X433" s="108"/>
      <c r="Y433" s="108"/>
      <c r="Z433" s="108"/>
      <c r="AA433" s="43"/>
      <c r="AB433" s="108"/>
      <c r="AC433" s="108"/>
      <c r="AD433" s="108"/>
      <c r="AE433" s="108"/>
      <c r="AF433" s="108"/>
      <c r="AG433" s="108"/>
      <c r="AH433" s="43"/>
      <c r="AI433" s="108"/>
      <c r="AJ433" s="108"/>
      <c r="AK433" s="108"/>
      <c r="AL433" s="108"/>
      <c r="AM433" s="108"/>
      <c r="AN433" s="108"/>
      <c r="AO433" s="43"/>
      <c r="AP433" s="108"/>
      <c r="AQ433" s="108"/>
      <c r="AR433" s="108"/>
      <c r="AS433" s="108"/>
      <c r="AT433" s="108"/>
      <c r="AU433" s="108"/>
      <c r="AV433" s="43"/>
      <c r="AW433" s="108"/>
      <c r="AX433" s="108"/>
      <c r="AY433" s="108"/>
      <c r="AZ433" s="108"/>
      <c r="BA433" s="108"/>
      <c r="BB433" s="108"/>
      <c r="BC433" s="43"/>
      <c r="BD433" s="108"/>
      <c r="BE433" s="108"/>
      <c r="BF433" s="108"/>
      <c r="BG433" s="108"/>
      <c r="BH433" s="108"/>
      <c r="BI433" s="108"/>
      <c r="BJ433" s="43"/>
      <c r="BK433" s="108"/>
      <c r="BL433" s="108"/>
      <c r="BM433" s="108"/>
      <c r="BN433" s="108"/>
      <c r="BO433" s="108"/>
      <c r="BP433" s="108"/>
      <c r="BQ433" s="43"/>
      <c r="BR433" s="108"/>
      <c r="BS433" s="108"/>
      <c r="BT433" s="108"/>
      <c r="BU433" s="108"/>
      <c r="BV433" s="108"/>
      <c r="BW433" s="108"/>
      <c r="BX433" s="43"/>
      <c r="BY433" s="108"/>
      <c r="BZ433" s="108"/>
      <c r="CA433" s="108"/>
      <c r="CB433" s="108"/>
      <c r="CC433" s="108"/>
      <c r="CD433" s="108"/>
      <c r="CE433" s="43"/>
      <c r="CF433" s="108"/>
      <c r="CG433" s="108"/>
      <c r="CH433" s="108"/>
      <c r="CI433" s="108"/>
      <c r="CJ433" s="108"/>
      <c r="CK433" s="108"/>
      <c r="CL433" s="43"/>
      <c r="CM433" s="108"/>
      <c r="CN433" s="108"/>
      <c r="CO433" s="108"/>
      <c r="CP433" s="108"/>
      <c r="CQ433" s="108"/>
      <c r="CR433" s="108"/>
      <c r="CS433" s="43"/>
      <c r="CT433" s="108"/>
      <c r="CU433" s="108"/>
      <c r="CV433" s="108"/>
      <c r="CW433" s="108"/>
      <c r="CX433" s="108"/>
      <c r="CY433" s="108"/>
      <c r="CZ433" s="43"/>
      <c r="DA433" s="108"/>
      <c r="DB433" s="108"/>
      <c r="DC433" s="108"/>
      <c r="DD433" s="108"/>
      <c r="DE433" s="108"/>
      <c r="DF433" s="108"/>
      <c r="DG433" s="43"/>
      <c r="DH433" s="108"/>
      <c r="DI433" s="108"/>
      <c r="DJ433" s="108"/>
      <c r="DK433" s="108"/>
      <c r="DL433" s="108"/>
      <c r="DM433" s="108"/>
      <c r="DN433" s="43"/>
      <c r="DO433" s="108"/>
      <c r="DP433" s="108"/>
      <c r="DQ433" s="108"/>
      <c r="DR433" s="108"/>
      <c r="DS433" s="108"/>
      <c r="DT433" s="108"/>
      <c r="DU433" s="43"/>
      <c r="DV433" s="108"/>
      <c r="DW433" s="108"/>
      <c r="DX433" s="108"/>
      <c r="DY433" s="108"/>
      <c r="DZ433" s="108"/>
      <c r="EA433" s="108"/>
      <c r="EB433" s="43"/>
      <c r="EC433" s="108"/>
      <c r="ED433" s="108"/>
      <c r="EE433" s="108"/>
      <c r="EF433" s="108"/>
      <c r="EG433" s="108"/>
      <c r="EH433" s="108"/>
      <c r="EI433" s="43"/>
      <c r="EJ433" s="47"/>
      <c r="EK433" s="47"/>
      <c r="EL433" s="47"/>
      <c r="EM433" s="47"/>
      <c r="EN433" s="47"/>
      <c r="EO433" s="47"/>
      <c r="EP433" s="47"/>
      <c r="EQ433" s="47"/>
      <c r="ER433" s="47"/>
      <c r="ES433" s="47"/>
      <c r="ET433" s="47"/>
      <c r="EU433" s="47"/>
      <c r="EV433" s="47"/>
      <c r="EW433" s="47"/>
      <c r="EX433" s="47"/>
      <c r="EY433" s="47"/>
      <c r="EZ433" s="47"/>
      <c r="FA433" s="47"/>
      <c r="FB433" s="47"/>
      <c r="FC433" s="47"/>
      <c r="FD433" s="47"/>
      <c r="FE433" s="47"/>
      <c r="FF433" s="47"/>
      <c r="FG433" s="47"/>
      <c r="FH433" s="47"/>
      <c r="FI433" s="47"/>
      <c r="FJ433" s="47"/>
      <c r="FK433" s="47"/>
      <c r="FL433" s="47"/>
      <c r="FM433" s="47"/>
      <c r="FN433" s="47"/>
      <c r="FO433" s="47"/>
      <c r="FP433" s="47"/>
      <c r="FQ433" s="47"/>
      <c r="FR433" s="47"/>
      <c r="FS433" s="47"/>
      <c r="FT433" s="47"/>
      <c r="FU433" s="47"/>
      <c r="FV433" s="47"/>
      <c r="FW433" s="47"/>
      <c r="FX433" s="47"/>
      <c r="FY433" s="47"/>
      <c r="FZ433" s="47"/>
      <c r="GA433" s="47"/>
      <c r="GB433" s="47"/>
      <c r="GC433" s="47"/>
      <c r="GD433" s="47"/>
      <c r="GE433" s="47"/>
    </row>
    <row r="434" spans="1:187" ht="10.5" customHeight="1">
      <c r="A434" s="43"/>
      <c r="B434" s="135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43"/>
      <c r="U434" s="108"/>
      <c r="V434" s="108"/>
      <c r="W434" s="108"/>
      <c r="X434" s="108"/>
      <c r="Y434" s="108"/>
      <c r="Z434" s="108"/>
      <c r="AA434" s="43"/>
      <c r="AB434" s="108"/>
      <c r="AC434" s="108"/>
      <c r="AD434" s="108"/>
      <c r="AE434" s="108"/>
      <c r="AF434" s="108"/>
      <c r="AG434" s="108"/>
      <c r="AH434" s="43"/>
      <c r="AI434" s="108"/>
      <c r="AJ434" s="108"/>
      <c r="AK434" s="108"/>
      <c r="AL434" s="108"/>
      <c r="AM434" s="108"/>
      <c r="AN434" s="108"/>
      <c r="AO434" s="43"/>
      <c r="AP434" s="108"/>
      <c r="AQ434" s="108"/>
      <c r="AR434" s="108"/>
      <c r="AS434" s="108"/>
      <c r="AT434" s="108"/>
      <c r="AU434" s="108"/>
      <c r="AV434" s="43"/>
      <c r="AW434" s="108"/>
      <c r="AX434" s="108"/>
      <c r="AY434" s="108"/>
      <c r="AZ434" s="108"/>
      <c r="BA434" s="108"/>
      <c r="BB434" s="108"/>
      <c r="BC434" s="43"/>
      <c r="BD434" s="108"/>
      <c r="BE434" s="108"/>
      <c r="BF434" s="108"/>
      <c r="BG434" s="108"/>
      <c r="BH434" s="108"/>
      <c r="BI434" s="108"/>
      <c r="BJ434" s="43"/>
      <c r="BK434" s="108"/>
      <c r="BL434" s="108"/>
      <c r="BM434" s="108"/>
      <c r="BN434" s="108"/>
      <c r="BO434" s="108"/>
      <c r="BP434" s="108"/>
      <c r="BQ434" s="43"/>
      <c r="BR434" s="108"/>
      <c r="BS434" s="108"/>
      <c r="BT434" s="108"/>
      <c r="BU434" s="108"/>
      <c r="BV434" s="108"/>
      <c r="BW434" s="108"/>
      <c r="BX434" s="43"/>
      <c r="BY434" s="108"/>
      <c r="BZ434" s="108"/>
      <c r="CA434" s="108"/>
      <c r="CB434" s="108"/>
      <c r="CC434" s="108"/>
      <c r="CD434" s="108"/>
      <c r="CE434" s="43"/>
      <c r="CF434" s="108"/>
      <c r="CG434" s="108"/>
      <c r="CH434" s="108"/>
      <c r="CI434" s="108"/>
      <c r="CJ434" s="108"/>
      <c r="CK434" s="108"/>
      <c r="CL434" s="43"/>
      <c r="CM434" s="108"/>
      <c r="CN434" s="108"/>
      <c r="CO434" s="108"/>
      <c r="CP434" s="108"/>
      <c r="CQ434" s="108"/>
      <c r="CR434" s="108"/>
      <c r="CS434" s="43"/>
      <c r="CT434" s="108"/>
      <c r="CU434" s="108"/>
      <c r="CV434" s="108"/>
      <c r="CW434" s="108"/>
      <c r="CX434" s="108"/>
      <c r="CY434" s="108"/>
      <c r="CZ434" s="43"/>
      <c r="DA434" s="108"/>
      <c r="DB434" s="108"/>
      <c r="DC434" s="108"/>
      <c r="DD434" s="108"/>
      <c r="DE434" s="108"/>
      <c r="DF434" s="108"/>
      <c r="DG434" s="43"/>
      <c r="DH434" s="108"/>
      <c r="DI434" s="108"/>
      <c r="DJ434" s="108"/>
      <c r="DK434" s="108"/>
      <c r="DL434" s="108"/>
      <c r="DM434" s="108"/>
      <c r="DN434" s="43"/>
      <c r="DO434" s="108"/>
      <c r="DP434" s="108"/>
      <c r="DQ434" s="108"/>
      <c r="DR434" s="108"/>
      <c r="DS434" s="108"/>
      <c r="DT434" s="108"/>
      <c r="DU434" s="43"/>
      <c r="DV434" s="108"/>
      <c r="DW434" s="108"/>
      <c r="DX434" s="108"/>
      <c r="DY434" s="108"/>
      <c r="DZ434" s="108"/>
      <c r="EA434" s="108"/>
      <c r="EB434" s="43"/>
      <c r="EC434" s="108"/>
      <c r="ED434" s="108"/>
      <c r="EE434" s="108"/>
      <c r="EF434" s="108"/>
      <c r="EG434" s="108"/>
      <c r="EH434" s="108"/>
      <c r="EI434" s="43"/>
      <c r="EJ434" s="47"/>
      <c r="EK434" s="47"/>
      <c r="EL434" s="47"/>
      <c r="EM434" s="47"/>
      <c r="EN434" s="47"/>
      <c r="EO434" s="47"/>
      <c r="EP434" s="47"/>
      <c r="EQ434" s="47"/>
      <c r="ER434" s="47"/>
      <c r="ES434" s="47"/>
      <c r="ET434" s="47"/>
      <c r="EU434" s="47"/>
      <c r="EV434" s="47"/>
      <c r="EW434" s="47"/>
      <c r="EX434" s="47"/>
      <c r="EY434" s="47"/>
      <c r="EZ434" s="47"/>
      <c r="FA434" s="47"/>
      <c r="FB434" s="47"/>
      <c r="FC434" s="47"/>
      <c r="FD434" s="47"/>
      <c r="FE434" s="47"/>
      <c r="FF434" s="47"/>
      <c r="FG434" s="47"/>
      <c r="FH434" s="47"/>
      <c r="FI434" s="47"/>
      <c r="FJ434" s="47"/>
      <c r="FK434" s="47"/>
      <c r="FL434" s="47"/>
      <c r="FM434" s="47"/>
      <c r="FN434" s="47"/>
      <c r="FO434" s="47"/>
      <c r="FP434" s="47"/>
      <c r="FQ434" s="47"/>
      <c r="FR434" s="47"/>
      <c r="FS434" s="47"/>
      <c r="FT434" s="47"/>
      <c r="FU434" s="47"/>
      <c r="FV434" s="47"/>
      <c r="FW434" s="47"/>
      <c r="FX434" s="47"/>
      <c r="FY434" s="47"/>
      <c r="FZ434" s="47"/>
      <c r="GA434" s="47"/>
      <c r="GB434" s="47"/>
      <c r="GC434" s="47"/>
      <c r="GD434" s="47"/>
      <c r="GE434" s="47"/>
    </row>
    <row r="435" spans="1:187" ht="10.5" customHeight="1">
      <c r="A435" s="43"/>
      <c r="B435" s="135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43"/>
      <c r="U435" s="108"/>
      <c r="V435" s="108"/>
      <c r="W435" s="108"/>
      <c r="X435" s="108"/>
      <c r="Y435" s="108"/>
      <c r="Z435" s="108"/>
      <c r="AA435" s="43"/>
      <c r="AB435" s="108"/>
      <c r="AC435" s="108"/>
      <c r="AD435" s="108"/>
      <c r="AE435" s="108"/>
      <c r="AF435" s="108"/>
      <c r="AG435" s="108"/>
      <c r="AH435" s="43"/>
      <c r="AI435" s="108"/>
      <c r="AJ435" s="108"/>
      <c r="AK435" s="108"/>
      <c r="AL435" s="108"/>
      <c r="AM435" s="108"/>
      <c r="AN435" s="108"/>
      <c r="AO435" s="43"/>
      <c r="AP435" s="108"/>
      <c r="AQ435" s="108"/>
      <c r="AR435" s="108"/>
      <c r="AS435" s="108"/>
      <c r="AT435" s="108"/>
      <c r="AU435" s="108"/>
      <c r="AV435" s="43"/>
      <c r="AW435" s="108"/>
      <c r="AX435" s="108"/>
      <c r="AY435" s="108"/>
      <c r="AZ435" s="108"/>
      <c r="BA435" s="108"/>
      <c r="BB435" s="108"/>
      <c r="BC435" s="43"/>
      <c r="BD435" s="108"/>
      <c r="BE435" s="108"/>
      <c r="BF435" s="108"/>
      <c r="BG435" s="108"/>
      <c r="BH435" s="108"/>
      <c r="BI435" s="108"/>
      <c r="BJ435" s="43"/>
      <c r="BK435" s="108"/>
      <c r="BL435" s="108"/>
      <c r="BM435" s="108"/>
      <c r="BN435" s="108"/>
      <c r="BO435" s="108"/>
      <c r="BP435" s="108"/>
      <c r="BQ435" s="43"/>
      <c r="BR435" s="108"/>
      <c r="BS435" s="108"/>
      <c r="BT435" s="108"/>
      <c r="BU435" s="108"/>
      <c r="BV435" s="108"/>
      <c r="BW435" s="108"/>
      <c r="BX435" s="43"/>
      <c r="BY435" s="108"/>
      <c r="BZ435" s="108"/>
      <c r="CA435" s="108"/>
      <c r="CB435" s="108"/>
      <c r="CC435" s="108"/>
      <c r="CD435" s="108"/>
      <c r="CE435" s="43"/>
      <c r="CF435" s="108"/>
      <c r="CG435" s="108"/>
      <c r="CH435" s="108"/>
      <c r="CI435" s="108"/>
      <c r="CJ435" s="108"/>
      <c r="CK435" s="108"/>
      <c r="CL435" s="43"/>
      <c r="CM435" s="108"/>
      <c r="CN435" s="108"/>
      <c r="CO435" s="108"/>
      <c r="CP435" s="108"/>
      <c r="CQ435" s="108"/>
      <c r="CR435" s="108"/>
      <c r="CS435" s="43"/>
      <c r="CT435" s="108"/>
      <c r="CU435" s="108"/>
      <c r="CV435" s="108"/>
      <c r="CW435" s="108"/>
      <c r="CX435" s="108"/>
      <c r="CY435" s="108"/>
      <c r="CZ435" s="43"/>
      <c r="DA435" s="108"/>
      <c r="DB435" s="108"/>
      <c r="DC435" s="108"/>
      <c r="DD435" s="108"/>
      <c r="DE435" s="108"/>
      <c r="DF435" s="108"/>
      <c r="DG435" s="43"/>
      <c r="DH435" s="108"/>
      <c r="DI435" s="108"/>
      <c r="DJ435" s="108"/>
      <c r="DK435" s="108"/>
      <c r="DL435" s="108"/>
      <c r="DM435" s="108"/>
      <c r="DN435" s="43"/>
      <c r="DO435" s="108"/>
      <c r="DP435" s="108"/>
      <c r="DQ435" s="108"/>
      <c r="DR435" s="108"/>
      <c r="DS435" s="108"/>
      <c r="DT435" s="108"/>
      <c r="DU435" s="43"/>
      <c r="DV435" s="108"/>
      <c r="DW435" s="108"/>
      <c r="DX435" s="108"/>
      <c r="DY435" s="108"/>
      <c r="DZ435" s="108"/>
      <c r="EA435" s="108"/>
      <c r="EB435" s="43"/>
      <c r="EC435" s="108"/>
      <c r="ED435" s="108"/>
      <c r="EE435" s="108"/>
      <c r="EF435" s="108"/>
      <c r="EG435" s="108"/>
      <c r="EH435" s="108"/>
      <c r="EI435" s="43"/>
      <c r="EJ435" s="47"/>
      <c r="EK435" s="47"/>
      <c r="EL435" s="47"/>
      <c r="EM435" s="47"/>
      <c r="EN435" s="47"/>
      <c r="EO435" s="47"/>
      <c r="EP435" s="47"/>
      <c r="EQ435" s="47"/>
      <c r="ER435" s="47"/>
      <c r="ES435" s="47"/>
      <c r="ET435" s="47"/>
      <c r="EU435" s="47"/>
      <c r="EV435" s="47"/>
      <c r="EW435" s="47"/>
      <c r="EX435" s="47"/>
      <c r="EY435" s="47"/>
      <c r="EZ435" s="47"/>
      <c r="FA435" s="47"/>
      <c r="FB435" s="47"/>
      <c r="FC435" s="47"/>
      <c r="FD435" s="47"/>
      <c r="FE435" s="47"/>
      <c r="FF435" s="47"/>
      <c r="FG435" s="47"/>
      <c r="FH435" s="47"/>
      <c r="FI435" s="47"/>
      <c r="FJ435" s="47"/>
      <c r="FK435" s="47"/>
      <c r="FL435" s="47"/>
      <c r="FM435" s="47"/>
      <c r="FN435" s="47"/>
      <c r="FO435" s="47"/>
      <c r="FP435" s="47"/>
      <c r="FQ435" s="47"/>
      <c r="FR435" s="47"/>
      <c r="FS435" s="47"/>
      <c r="FT435" s="47"/>
      <c r="FU435" s="47"/>
      <c r="FV435" s="47"/>
      <c r="FW435" s="47"/>
      <c r="FX435" s="47"/>
      <c r="FY435" s="47"/>
      <c r="FZ435" s="47"/>
      <c r="GA435" s="47"/>
      <c r="GB435" s="47"/>
      <c r="GC435" s="47"/>
      <c r="GD435" s="47"/>
      <c r="GE435" s="47"/>
    </row>
    <row r="436" spans="1:187" ht="10.5" customHeight="1">
      <c r="A436" s="43"/>
      <c r="B436" s="135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43"/>
      <c r="U436" s="108"/>
      <c r="V436" s="108"/>
      <c r="W436" s="108"/>
      <c r="X436" s="108"/>
      <c r="Y436" s="108"/>
      <c r="Z436" s="108"/>
      <c r="AA436" s="43"/>
      <c r="AB436" s="108"/>
      <c r="AC436" s="108"/>
      <c r="AD436" s="108"/>
      <c r="AE436" s="108"/>
      <c r="AF436" s="108"/>
      <c r="AG436" s="108"/>
      <c r="AH436" s="43"/>
      <c r="AI436" s="108"/>
      <c r="AJ436" s="108"/>
      <c r="AK436" s="108"/>
      <c r="AL436" s="108"/>
      <c r="AM436" s="108"/>
      <c r="AN436" s="108"/>
      <c r="AO436" s="43"/>
      <c r="AP436" s="108"/>
      <c r="AQ436" s="108"/>
      <c r="AR436" s="108"/>
      <c r="AS436" s="108"/>
      <c r="AT436" s="108"/>
      <c r="AU436" s="108"/>
      <c r="AV436" s="43"/>
      <c r="AW436" s="108"/>
      <c r="AX436" s="108"/>
      <c r="AY436" s="108"/>
      <c r="AZ436" s="108"/>
      <c r="BA436" s="108"/>
      <c r="BB436" s="108"/>
      <c r="BC436" s="43"/>
      <c r="BD436" s="108"/>
      <c r="BE436" s="108"/>
      <c r="BF436" s="108"/>
      <c r="BG436" s="108"/>
      <c r="BH436" s="108"/>
      <c r="BI436" s="108"/>
      <c r="BJ436" s="43"/>
      <c r="BK436" s="108"/>
      <c r="BL436" s="108"/>
      <c r="BM436" s="108"/>
      <c r="BN436" s="108"/>
      <c r="BO436" s="108"/>
      <c r="BP436" s="108"/>
      <c r="BQ436" s="43"/>
      <c r="BR436" s="108"/>
      <c r="BS436" s="108"/>
      <c r="BT436" s="108"/>
      <c r="BU436" s="108"/>
      <c r="BV436" s="108"/>
      <c r="BW436" s="108"/>
      <c r="BX436" s="43"/>
      <c r="BY436" s="108"/>
      <c r="BZ436" s="108"/>
      <c r="CA436" s="108"/>
      <c r="CB436" s="108"/>
      <c r="CC436" s="108"/>
      <c r="CD436" s="108"/>
      <c r="CE436" s="43"/>
      <c r="CF436" s="108"/>
      <c r="CG436" s="108"/>
      <c r="CH436" s="108"/>
      <c r="CI436" s="108"/>
      <c r="CJ436" s="108"/>
      <c r="CK436" s="108"/>
      <c r="CL436" s="43"/>
      <c r="CM436" s="108"/>
      <c r="CN436" s="108"/>
      <c r="CO436" s="108"/>
      <c r="CP436" s="108"/>
      <c r="CQ436" s="108"/>
      <c r="CR436" s="108"/>
      <c r="CS436" s="43"/>
      <c r="CT436" s="108"/>
      <c r="CU436" s="108"/>
      <c r="CV436" s="108"/>
      <c r="CW436" s="108"/>
      <c r="CX436" s="108"/>
      <c r="CY436" s="108"/>
      <c r="CZ436" s="43"/>
      <c r="DA436" s="108"/>
      <c r="DB436" s="108"/>
      <c r="DC436" s="108"/>
      <c r="DD436" s="108"/>
      <c r="DE436" s="108"/>
      <c r="DF436" s="108"/>
      <c r="DG436" s="43"/>
      <c r="DH436" s="108"/>
      <c r="DI436" s="108"/>
      <c r="DJ436" s="108"/>
      <c r="DK436" s="108"/>
      <c r="DL436" s="108"/>
      <c r="DM436" s="108"/>
      <c r="DN436" s="43"/>
      <c r="DO436" s="108"/>
      <c r="DP436" s="108"/>
      <c r="DQ436" s="108"/>
      <c r="DR436" s="108"/>
      <c r="DS436" s="108"/>
      <c r="DT436" s="108"/>
      <c r="DU436" s="43"/>
      <c r="DV436" s="108"/>
      <c r="DW436" s="108"/>
      <c r="DX436" s="108"/>
      <c r="DY436" s="108"/>
      <c r="DZ436" s="108"/>
      <c r="EA436" s="108"/>
      <c r="EB436" s="43"/>
      <c r="EC436" s="108"/>
      <c r="ED436" s="108"/>
      <c r="EE436" s="108"/>
      <c r="EF436" s="108"/>
      <c r="EG436" s="108"/>
      <c r="EH436" s="108"/>
      <c r="EI436" s="43"/>
      <c r="EJ436" s="47"/>
      <c r="EK436" s="47"/>
      <c r="EL436" s="47"/>
      <c r="EM436" s="47"/>
      <c r="EN436" s="47"/>
      <c r="EO436" s="47"/>
      <c r="EP436" s="47"/>
      <c r="EQ436" s="47"/>
      <c r="ER436" s="47"/>
      <c r="ES436" s="47"/>
      <c r="ET436" s="47"/>
      <c r="EU436" s="47"/>
      <c r="EV436" s="47"/>
      <c r="EW436" s="47"/>
      <c r="EX436" s="47"/>
      <c r="EY436" s="47"/>
      <c r="EZ436" s="47"/>
      <c r="FA436" s="47"/>
      <c r="FB436" s="47"/>
      <c r="FC436" s="47"/>
      <c r="FD436" s="47"/>
      <c r="FE436" s="47"/>
      <c r="FF436" s="47"/>
      <c r="FG436" s="47"/>
      <c r="FH436" s="47"/>
      <c r="FI436" s="47"/>
      <c r="FJ436" s="47"/>
      <c r="FK436" s="47"/>
      <c r="FL436" s="47"/>
      <c r="FM436" s="47"/>
      <c r="FN436" s="47"/>
      <c r="FO436" s="47"/>
      <c r="FP436" s="47"/>
      <c r="FQ436" s="47"/>
      <c r="FR436" s="47"/>
      <c r="FS436" s="47"/>
      <c r="FT436" s="47"/>
      <c r="FU436" s="47"/>
      <c r="FV436" s="47"/>
      <c r="FW436" s="47"/>
      <c r="FX436" s="47"/>
      <c r="FY436" s="47"/>
      <c r="FZ436" s="47"/>
      <c r="GA436" s="47"/>
      <c r="GB436" s="47"/>
      <c r="GC436" s="47"/>
      <c r="GD436" s="47"/>
      <c r="GE436" s="47"/>
    </row>
    <row r="437" spans="1:187" ht="10.5" customHeight="1">
      <c r="A437" s="43"/>
      <c r="B437" s="135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43"/>
      <c r="U437" s="108"/>
      <c r="V437" s="108"/>
      <c r="W437" s="108"/>
      <c r="X437" s="108"/>
      <c r="Y437" s="108"/>
      <c r="Z437" s="108"/>
      <c r="AA437" s="43"/>
      <c r="AB437" s="108"/>
      <c r="AC437" s="108"/>
      <c r="AD437" s="108"/>
      <c r="AE437" s="108"/>
      <c r="AF437" s="108"/>
      <c r="AG437" s="108"/>
      <c r="AH437" s="43"/>
      <c r="AI437" s="108"/>
      <c r="AJ437" s="108"/>
      <c r="AK437" s="108"/>
      <c r="AL437" s="108"/>
      <c r="AM437" s="108"/>
      <c r="AN437" s="108"/>
      <c r="AO437" s="43"/>
      <c r="AP437" s="108"/>
      <c r="AQ437" s="108"/>
      <c r="AR437" s="108"/>
      <c r="AS437" s="108"/>
      <c r="AT437" s="108"/>
      <c r="AU437" s="108"/>
      <c r="AV437" s="43"/>
      <c r="AW437" s="108"/>
      <c r="AX437" s="108"/>
      <c r="AY437" s="108"/>
      <c r="AZ437" s="108"/>
      <c r="BA437" s="108"/>
      <c r="BB437" s="108"/>
      <c r="BC437" s="43"/>
      <c r="BD437" s="108"/>
      <c r="BE437" s="108"/>
      <c r="BF437" s="108"/>
      <c r="BG437" s="108"/>
      <c r="BH437" s="108"/>
      <c r="BI437" s="108"/>
      <c r="BJ437" s="43"/>
      <c r="BK437" s="108"/>
      <c r="BL437" s="108"/>
      <c r="BM437" s="108"/>
      <c r="BN437" s="108"/>
      <c r="BO437" s="108"/>
      <c r="BP437" s="108"/>
      <c r="BQ437" s="43"/>
      <c r="BR437" s="108"/>
      <c r="BS437" s="108"/>
      <c r="BT437" s="108"/>
      <c r="BU437" s="108"/>
      <c r="BV437" s="108"/>
      <c r="BW437" s="108"/>
      <c r="BX437" s="43"/>
      <c r="BY437" s="108"/>
      <c r="BZ437" s="108"/>
      <c r="CA437" s="108"/>
      <c r="CB437" s="108"/>
      <c r="CC437" s="108"/>
      <c r="CD437" s="108"/>
      <c r="CE437" s="43"/>
      <c r="CF437" s="108"/>
      <c r="CG437" s="108"/>
      <c r="CH437" s="108"/>
      <c r="CI437" s="108"/>
      <c r="CJ437" s="108"/>
      <c r="CK437" s="108"/>
      <c r="CL437" s="43"/>
      <c r="CM437" s="108"/>
      <c r="CN437" s="108"/>
      <c r="CO437" s="108"/>
      <c r="CP437" s="108"/>
      <c r="CQ437" s="108"/>
      <c r="CR437" s="108"/>
      <c r="CS437" s="43"/>
      <c r="CT437" s="108"/>
      <c r="CU437" s="108"/>
      <c r="CV437" s="108"/>
      <c r="CW437" s="108"/>
      <c r="CX437" s="108"/>
      <c r="CY437" s="108"/>
      <c r="CZ437" s="43"/>
      <c r="DA437" s="108"/>
      <c r="DB437" s="108"/>
      <c r="DC437" s="108"/>
      <c r="DD437" s="108"/>
      <c r="DE437" s="108"/>
      <c r="DF437" s="108"/>
      <c r="DG437" s="43"/>
      <c r="DH437" s="108"/>
      <c r="DI437" s="108"/>
      <c r="DJ437" s="108"/>
      <c r="DK437" s="108"/>
      <c r="DL437" s="108"/>
      <c r="DM437" s="108"/>
      <c r="DN437" s="43"/>
      <c r="DO437" s="108"/>
      <c r="DP437" s="108"/>
      <c r="DQ437" s="108"/>
      <c r="DR437" s="108"/>
      <c r="DS437" s="108"/>
      <c r="DT437" s="108"/>
      <c r="DU437" s="43"/>
      <c r="DV437" s="108"/>
      <c r="DW437" s="108"/>
      <c r="DX437" s="108"/>
      <c r="DY437" s="108"/>
      <c r="DZ437" s="108"/>
      <c r="EA437" s="108"/>
      <c r="EB437" s="43"/>
      <c r="EC437" s="108"/>
      <c r="ED437" s="108"/>
      <c r="EE437" s="108"/>
      <c r="EF437" s="108"/>
      <c r="EG437" s="108"/>
      <c r="EH437" s="108"/>
      <c r="EI437" s="43"/>
      <c r="EJ437" s="47"/>
      <c r="EK437" s="47"/>
      <c r="EL437" s="47"/>
      <c r="EM437" s="47"/>
      <c r="EN437" s="47"/>
      <c r="EO437" s="47"/>
      <c r="EP437" s="47"/>
      <c r="EQ437" s="47"/>
      <c r="ER437" s="47"/>
      <c r="ES437" s="47"/>
      <c r="ET437" s="47"/>
      <c r="EU437" s="47"/>
      <c r="EV437" s="47"/>
      <c r="EW437" s="47"/>
      <c r="EX437" s="47"/>
      <c r="EY437" s="47"/>
      <c r="EZ437" s="47"/>
      <c r="FA437" s="47"/>
      <c r="FB437" s="47"/>
      <c r="FC437" s="47"/>
      <c r="FD437" s="47"/>
      <c r="FE437" s="47"/>
      <c r="FF437" s="47"/>
      <c r="FG437" s="47"/>
      <c r="FH437" s="47"/>
      <c r="FI437" s="47"/>
      <c r="FJ437" s="47"/>
      <c r="FK437" s="47"/>
      <c r="FL437" s="47"/>
      <c r="FM437" s="47"/>
      <c r="FN437" s="47"/>
      <c r="FO437" s="47"/>
      <c r="FP437" s="47"/>
      <c r="FQ437" s="47"/>
      <c r="FR437" s="47"/>
      <c r="FS437" s="47"/>
      <c r="FT437" s="47"/>
      <c r="FU437" s="47"/>
      <c r="FV437" s="47"/>
      <c r="FW437" s="47"/>
      <c r="FX437" s="47"/>
      <c r="FY437" s="47"/>
      <c r="FZ437" s="47"/>
      <c r="GA437" s="47"/>
      <c r="GB437" s="47"/>
      <c r="GC437" s="47"/>
      <c r="GD437" s="47"/>
      <c r="GE437" s="47"/>
    </row>
    <row r="438" spans="1:187" ht="10.5" customHeight="1">
      <c r="A438" s="43"/>
      <c r="B438" s="135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43"/>
      <c r="U438" s="108"/>
      <c r="V438" s="108"/>
      <c r="W438" s="108"/>
      <c r="X438" s="108"/>
      <c r="Y438" s="108"/>
      <c r="Z438" s="108"/>
      <c r="AA438" s="43"/>
      <c r="AB438" s="108"/>
      <c r="AC438" s="108"/>
      <c r="AD438" s="108"/>
      <c r="AE438" s="108"/>
      <c r="AF438" s="108"/>
      <c r="AG438" s="108"/>
      <c r="AH438" s="43"/>
      <c r="AI438" s="108"/>
      <c r="AJ438" s="108"/>
      <c r="AK438" s="108"/>
      <c r="AL438" s="108"/>
      <c r="AM438" s="108"/>
      <c r="AN438" s="108"/>
      <c r="AO438" s="43"/>
      <c r="AP438" s="108"/>
      <c r="AQ438" s="108"/>
      <c r="AR438" s="108"/>
      <c r="AS438" s="108"/>
      <c r="AT438" s="108"/>
      <c r="AU438" s="108"/>
      <c r="AV438" s="43"/>
      <c r="AW438" s="108"/>
      <c r="AX438" s="108"/>
      <c r="AY438" s="108"/>
      <c r="AZ438" s="108"/>
      <c r="BA438" s="108"/>
      <c r="BB438" s="108"/>
      <c r="BC438" s="43"/>
      <c r="BD438" s="108"/>
      <c r="BE438" s="108"/>
      <c r="BF438" s="108"/>
      <c r="BG438" s="108"/>
      <c r="BH438" s="108"/>
      <c r="BI438" s="108"/>
      <c r="BJ438" s="43"/>
      <c r="BK438" s="108"/>
      <c r="BL438" s="108"/>
      <c r="BM438" s="108"/>
      <c r="BN438" s="108"/>
      <c r="BO438" s="108"/>
      <c r="BP438" s="108"/>
      <c r="BQ438" s="43"/>
      <c r="BR438" s="108"/>
      <c r="BS438" s="108"/>
      <c r="BT438" s="108"/>
      <c r="BU438" s="108"/>
      <c r="BV438" s="108"/>
      <c r="BW438" s="108"/>
      <c r="BX438" s="43"/>
      <c r="BY438" s="108"/>
      <c r="BZ438" s="108"/>
      <c r="CA438" s="108"/>
      <c r="CB438" s="108"/>
      <c r="CC438" s="108"/>
      <c r="CD438" s="108"/>
      <c r="CE438" s="43"/>
      <c r="CF438" s="108"/>
      <c r="CG438" s="108"/>
      <c r="CH438" s="108"/>
      <c r="CI438" s="108"/>
      <c r="CJ438" s="108"/>
      <c r="CK438" s="108"/>
      <c r="CL438" s="43"/>
      <c r="CM438" s="108"/>
      <c r="CN438" s="108"/>
      <c r="CO438" s="108"/>
      <c r="CP438" s="108"/>
      <c r="CQ438" s="108"/>
      <c r="CR438" s="108"/>
      <c r="CS438" s="43"/>
      <c r="CT438" s="108"/>
      <c r="CU438" s="108"/>
      <c r="CV438" s="108"/>
      <c r="CW438" s="108"/>
      <c r="CX438" s="108"/>
      <c r="CY438" s="108"/>
      <c r="CZ438" s="43"/>
      <c r="DA438" s="108"/>
      <c r="DB438" s="108"/>
      <c r="DC438" s="108"/>
      <c r="DD438" s="108"/>
      <c r="DE438" s="108"/>
      <c r="DF438" s="108"/>
      <c r="DG438" s="43"/>
      <c r="DH438" s="108"/>
      <c r="DI438" s="108"/>
      <c r="DJ438" s="108"/>
      <c r="DK438" s="108"/>
      <c r="DL438" s="108"/>
      <c r="DM438" s="108"/>
      <c r="DN438" s="43"/>
      <c r="DO438" s="108"/>
      <c r="DP438" s="108"/>
      <c r="DQ438" s="108"/>
      <c r="DR438" s="108"/>
      <c r="DS438" s="108"/>
      <c r="DT438" s="108"/>
      <c r="DU438" s="43"/>
      <c r="DV438" s="108"/>
      <c r="DW438" s="108"/>
      <c r="DX438" s="108"/>
      <c r="DY438" s="108"/>
      <c r="DZ438" s="108"/>
      <c r="EA438" s="108"/>
      <c r="EB438" s="43"/>
      <c r="EC438" s="108"/>
      <c r="ED438" s="108"/>
      <c r="EE438" s="108"/>
      <c r="EF438" s="108"/>
      <c r="EG438" s="108"/>
      <c r="EH438" s="108"/>
      <c r="EI438" s="43"/>
      <c r="EJ438" s="47"/>
      <c r="EK438" s="47"/>
      <c r="EL438" s="47"/>
      <c r="EM438" s="47"/>
      <c r="EN438" s="47"/>
      <c r="EO438" s="47"/>
      <c r="EP438" s="47"/>
      <c r="EQ438" s="47"/>
      <c r="ER438" s="47"/>
      <c r="ES438" s="47"/>
      <c r="ET438" s="47"/>
      <c r="EU438" s="47"/>
      <c r="EV438" s="47"/>
      <c r="EW438" s="47"/>
      <c r="EX438" s="47"/>
      <c r="EY438" s="47"/>
      <c r="EZ438" s="47"/>
      <c r="FA438" s="47"/>
      <c r="FB438" s="47"/>
      <c r="FC438" s="47"/>
      <c r="FD438" s="47"/>
      <c r="FE438" s="47"/>
      <c r="FF438" s="47"/>
      <c r="FG438" s="47"/>
      <c r="FH438" s="47"/>
      <c r="FI438" s="47"/>
      <c r="FJ438" s="47"/>
      <c r="FK438" s="47"/>
      <c r="FL438" s="47"/>
      <c r="FM438" s="47"/>
      <c r="FN438" s="47"/>
      <c r="FO438" s="47"/>
      <c r="FP438" s="47"/>
      <c r="FQ438" s="47"/>
      <c r="FR438" s="47"/>
      <c r="FS438" s="47"/>
      <c r="FT438" s="47"/>
      <c r="FU438" s="47"/>
      <c r="FV438" s="47"/>
      <c r="FW438" s="47"/>
      <c r="FX438" s="47"/>
      <c r="FY438" s="47"/>
      <c r="FZ438" s="47"/>
      <c r="GA438" s="47"/>
      <c r="GB438" s="47"/>
      <c r="GC438" s="47"/>
      <c r="GD438" s="47"/>
      <c r="GE438" s="47"/>
    </row>
    <row r="439" spans="1:187" ht="10.5" customHeight="1">
      <c r="A439" s="43"/>
      <c r="B439" s="135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43"/>
      <c r="U439" s="108"/>
      <c r="V439" s="108"/>
      <c r="W439" s="108"/>
      <c r="X439" s="108"/>
      <c r="Y439" s="108"/>
      <c r="Z439" s="108"/>
      <c r="AA439" s="43"/>
      <c r="AB439" s="108"/>
      <c r="AC439" s="108"/>
      <c r="AD439" s="108"/>
      <c r="AE439" s="108"/>
      <c r="AF439" s="108"/>
      <c r="AG439" s="108"/>
      <c r="AH439" s="43"/>
      <c r="AI439" s="108"/>
      <c r="AJ439" s="108"/>
      <c r="AK439" s="108"/>
      <c r="AL439" s="108"/>
      <c r="AM439" s="108"/>
      <c r="AN439" s="108"/>
      <c r="AO439" s="43"/>
      <c r="AP439" s="108"/>
      <c r="AQ439" s="108"/>
      <c r="AR439" s="108"/>
      <c r="AS439" s="108"/>
      <c r="AT439" s="108"/>
      <c r="AU439" s="108"/>
      <c r="AV439" s="43"/>
      <c r="AW439" s="108"/>
      <c r="AX439" s="108"/>
      <c r="AY439" s="108"/>
      <c r="AZ439" s="108"/>
      <c r="BA439" s="108"/>
      <c r="BB439" s="108"/>
      <c r="BC439" s="43"/>
      <c r="BD439" s="108"/>
      <c r="BE439" s="108"/>
      <c r="BF439" s="108"/>
      <c r="BG439" s="108"/>
      <c r="BH439" s="108"/>
      <c r="BI439" s="108"/>
      <c r="BJ439" s="43"/>
      <c r="BK439" s="108"/>
      <c r="BL439" s="108"/>
      <c r="BM439" s="108"/>
      <c r="BN439" s="108"/>
      <c r="BO439" s="108"/>
      <c r="BP439" s="108"/>
      <c r="BQ439" s="43"/>
      <c r="BR439" s="108"/>
      <c r="BS439" s="108"/>
      <c r="BT439" s="108"/>
      <c r="BU439" s="108"/>
      <c r="BV439" s="108"/>
      <c r="BW439" s="108"/>
      <c r="BX439" s="43"/>
      <c r="BY439" s="108"/>
      <c r="BZ439" s="108"/>
      <c r="CA439" s="108"/>
      <c r="CB439" s="108"/>
      <c r="CC439" s="108"/>
      <c r="CD439" s="108"/>
      <c r="CE439" s="43"/>
      <c r="CF439" s="108"/>
      <c r="CG439" s="108"/>
      <c r="CH439" s="108"/>
      <c r="CI439" s="108"/>
      <c r="CJ439" s="108"/>
      <c r="CK439" s="108"/>
      <c r="CL439" s="43"/>
      <c r="CM439" s="108"/>
      <c r="CN439" s="108"/>
      <c r="CO439" s="108"/>
      <c r="CP439" s="108"/>
      <c r="CQ439" s="108"/>
      <c r="CR439" s="108"/>
      <c r="CS439" s="43"/>
      <c r="CT439" s="108"/>
      <c r="CU439" s="108"/>
      <c r="CV439" s="108"/>
      <c r="CW439" s="108"/>
      <c r="CX439" s="108"/>
      <c r="CY439" s="108"/>
      <c r="CZ439" s="43"/>
      <c r="DA439" s="108"/>
      <c r="DB439" s="108"/>
      <c r="DC439" s="108"/>
      <c r="DD439" s="108"/>
      <c r="DE439" s="108"/>
      <c r="DF439" s="108"/>
      <c r="DG439" s="43"/>
      <c r="DH439" s="108"/>
      <c r="DI439" s="108"/>
      <c r="DJ439" s="108"/>
      <c r="DK439" s="108"/>
      <c r="DL439" s="108"/>
      <c r="DM439" s="108"/>
      <c r="DN439" s="43"/>
      <c r="DO439" s="108"/>
      <c r="DP439" s="108"/>
      <c r="DQ439" s="108"/>
      <c r="DR439" s="108"/>
      <c r="DS439" s="108"/>
      <c r="DT439" s="108"/>
      <c r="DU439" s="43"/>
      <c r="DV439" s="108"/>
      <c r="DW439" s="108"/>
      <c r="DX439" s="108"/>
      <c r="DY439" s="108"/>
      <c r="DZ439" s="108"/>
      <c r="EA439" s="108"/>
      <c r="EB439" s="43"/>
      <c r="EC439" s="108"/>
      <c r="ED439" s="108"/>
      <c r="EE439" s="108"/>
      <c r="EF439" s="108"/>
      <c r="EG439" s="108"/>
      <c r="EH439" s="108"/>
      <c r="EI439" s="43"/>
      <c r="EJ439" s="47"/>
      <c r="EK439" s="47"/>
      <c r="EL439" s="47"/>
      <c r="EM439" s="47"/>
      <c r="EN439" s="47"/>
      <c r="EO439" s="47"/>
      <c r="EP439" s="47"/>
      <c r="EQ439" s="47"/>
      <c r="ER439" s="47"/>
      <c r="ES439" s="47"/>
      <c r="ET439" s="47"/>
      <c r="EU439" s="47"/>
      <c r="EV439" s="47"/>
      <c r="EW439" s="47"/>
      <c r="EX439" s="47"/>
      <c r="EY439" s="47"/>
      <c r="EZ439" s="47"/>
      <c r="FA439" s="47"/>
      <c r="FB439" s="47"/>
      <c r="FC439" s="47"/>
      <c r="FD439" s="47"/>
      <c r="FE439" s="47"/>
      <c r="FF439" s="47"/>
      <c r="FG439" s="47"/>
      <c r="FH439" s="47"/>
      <c r="FI439" s="47"/>
      <c r="FJ439" s="47"/>
      <c r="FK439" s="47"/>
      <c r="FL439" s="47"/>
      <c r="FM439" s="47"/>
      <c r="FN439" s="47"/>
      <c r="FO439" s="47"/>
      <c r="FP439" s="47"/>
      <c r="FQ439" s="47"/>
      <c r="FR439" s="47"/>
      <c r="FS439" s="47"/>
      <c r="FT439" s="47"/>
      <c r="FU439" s="47"/>
      <c r="FV439" s="47"/>
      <c r="FW439" s="47"/>
      <c r="FX439" s="47"/>
      <c r="FY439" s="47"/>
      <c r="FZ439" s="47"/>
      <c r="GA439" s="47"/>
      <c r="GB439" s="47"/>
      <c r="GC439" s="47"/>
      <c r="GD439" s="47"/>
      <c r="GE439" s="47"/>
    </row>
    <row r="440" spans="1:187" ht="10.5" customHeight="1">
      <c r="A440" s="43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43"/>
      <c r="U440" s="108"/>
      <c r="V440" s="108"/>
      <c r="W440" s="108"/>
      <c r="X440" s="108"/>
      <c r="Y440" s="108"/>
      <c r="Z440" s="108"/>
      <c r="AA440" s="43"/>
      <c r="AB440" s="108"/>
      <c r="AC440" s="108"/>
      <c r="AD440" s="108"/>
      <c r="AE440" s="108"/>
      <c r="AF440" s="108"/>
      <c r="AG440" s="108"/>
      <c r="AH440" s="43"/>
      <c r="AI440" s="108"/>
      <c r="AJ440" s="108"/>
      <c r="AK440" s="108"/>
      <c r="AL440" s="108"/>
      <c r="AM440" s="108"/>
      <c r="AN440" s="108"/>
      <c r="AO440" s="43"/>
      <c r="AP440" s="108"/>
      <c r="AQ440" s="108"/>
      <c r="AR440" s="108"/>
      <c r="AS440" s="108"/>
      <c r="AT440" s="108"/>
      <c r="AU440" s="108"/>
      <c r="AV440" s="43"/>
      <c r="AW440" s="108"/>
      <c r="AX440" s="108"/>
      <c r="AY440" s="108"/>
      <c r="AZ440" s="108"/>
      <c r="BA440" s="108"/>
      <c r="BB440" s="108"/>
      <c r="BC440" s="43"/>
      <c r="BD440" s="108"/>
      <c r="BE440" s="108"/>
      <c r="BF440" s="108"/>
      <c r="BG440" s="108"/>
      <c r="BH440" s="108"/>
      <c r="BI440" s="108"/>
      <c r="BJ440" s="43"/>
      <c r="BK440" s="108"/>
      <c r="BL440" s="108"/>
      <c r="BM440" s="108"/>
      <c r="BN440" s="108"/>
      <c r="BO440" s="108"/>
      <c r="BP440" s="108"/>
      <c r="BQ440" s="43"/>
      <c r="BR440" s="108"/>
      <c r="BS440" s="108"/>
      <c r="BT440" s="108"/>
      <c r="BU440" s="108"/>
      <c r="BV440" s="108"/>
      <c r="BW440" s="108"/>
      <c r="BX440" s="43"/>
      <c r="BY440" s="108"/>
      <c r="BZ440" s="108"/>
      <c r="CA440" s="108"/>
      <c r="CB440" s="108"/>
      <c r="CC440" s="108"/>
      <c r="CD440" s="108"/>
      <c r="CE440" s="43"/>
      <c r="CF440" s="108"/>
      <c r="CG440" s="108"/>
      <c r="CH440" s="108"/>
      <c r="CI440" s="108"/>
      <c r="CJ440" s="108"/>
      <c r="CK440" s="108"/>
      <c r="CL440" s="43"/>
      <c r="CM440" s="108"/>
      <c r="CN440" s="108"/>
      <c r="CO440" s="108"/>
      <c r="CP440" s="108"/>
      <c r="CQ440" s="108"/>
      <c r="CR440" s="108"/>
      <c r="CS440" s="43"/>
      <c r="CT440" s="108"/>
      <c r="CU440" s="108"/>
      <c r="CV440" s="108"/>
      <c r="CW440" s="108"/>
      <c r="CX440" s="108"/>
      <c r="CY440" s="108"/>
      <c r="CZ440" s="43"/>
      <c r="DA440" s="108"/>
      <c r="DB440" s="108"/>
      <c r="DC440" s="108"/>
      <c r="DD440" s="108"/>
      <c r="DE440" s="108"/>
      <c r="DF440" s="108"/>
      <c r="DG440" s="43"/>
      <c r="DH440" s="108"/>
      <c r="DI440" s="108"/>
      <c r="DJ440" s="108"/>
      <c r="DK440" s="108"/>
      <c r="DL440" s="108"/>
      <c r="DM440" s="108"/>
      <c r="DN440" s="43"/>
      <c r="DO440" s="108"/>
      <c r="DP440" s="108"/>
      <c r="DQ440" s="108"/>
      <c r="DR440" s="108"/>
      <c r="DS440" s="108"/>
      <c r="DT440" s="108"/>
      <c r="DU440" s="43"/>
      <c r="DV440" s="108"/>
      <c r="DW440" s="108"/>
      <c r="DX440" s="108"/>
      <c r="DY440" s="108"/>
      <c r="DZ440" s="108"/>
      <c r="EA440" s="108"/>
      <c r="EB440" s="43"/>
      <c r="EC440" s="108"/>
      <c r="ED440" s="108"/>
      <c r="EE440" s="108"/>
      <c r="EF440" s="108"/>
      <c r="EG440" s="108"/>
      <c r="EH440" s="108"/>
      <c r="EI440" s="43"/>
      <c r="EJ440" s="47"/>
      <c r="EK440" s="47"/>
      <c r="EL440" s="47"/>
      <c r="EM440" s="47"/>
      <c r="EN440" s="47"/>
      <c r="EO440" s="47"/>
      <c r="EP440" s="47"/>
      <c r="EQ440" s="47"/>
      <c r="ER440" s="47"/>
      <c r="ES440" s="47"/>
      <c r="ET440" s="47"/>
      <c r="EU440" s="47"/>
      <c r="EV440" s="47"/>
      <c r="EW440" s="47"/>
      <c r="EX440" s="47"/>
      <c r="EY440" s="47"/>
      <c r="EZ440" s="47"/>
      <c r="FA440" s="47"/>
      <c r="FB440" s="47"/>
      <c r="FC440" s="47"/>
      <c r="FD440" s="47"/>
      <c r="FE440" s="47"/>
      <c r="FF440" s="47"/>
      <c r="FG440" s="47"/>
      <c r="FH440" s="47"/>
      <c r="FI440" s="47"/>
      <c r="FJ440" s="47"/>
      <c r="FK440" s="47"/>
      <c r="FL440" s="47"/>
      <c r="FM440" s="47"/>
      <c r="FN440" s="47"/>
      <c r="FO440" s="47"/>
      <c r="FP440" s="47"/>
      <c r="FQ440" s="47"/>
      <c r="FR440" s="47"/>
      <c r="FS440" s="47"/>
      <c r="FT440" s="47"/>
      <c r="FU440" s="47"/>
      <c r="FV440" s="47"/>
      <c r="FW440" s="47"/>
      <c r="FX440" s="47"/>
      <c r="FY440" s="47"/>
      <c r="FZ440" s="47"/>
      <c r="GA440" s="47"/>
      <c r="GB440" s="47"/>
      <c r="GC440" s="47"/>
      <c r="GD440" s="47"/>
      <c r="GE440" s="47"/>
    </row>
    <row r="441" spans="1:187" ht="10.5" customHeight="1">
      <c r="A441" s="43"/>
      <c r="B441" s="176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43"/>
      <c r="U441" s="108"/>
      <c r="V441" s="108"/>
      <c r="W441" s="108"/>
      <c r="X441" s="108"/>
      <c r="Y441" s="108"/>
      <c r="Z441" s="108"/>
      <c r="AA441" s="43"/>
      <c r="AB441" s="108"/>
      <c r="AC441" s="108"/>
      <c r="AD441" s="108"/>
      <c r="AE441" s="108"/>
      <c r="AF441" s="108"/>
      <c r="AG441" s="108"/>
      <c r="AH441" s="43"/>
      <c r="AI441" s="108"/>
      <c r="AJ441" s="108"/>
      <c r="AK441" s="108"/>
      <c r="AL441" s="108"/>
      <c r="AM441" s="108"/>
      <c r="AN441" s="108"/>
      <c r="AO441" s="43"/>
      <c r="AP441" s="108"/>
      <c r="AQ441" s="108"/>
      <c r="AR441" s="108"/>
      <c r="AS441" s="108"/>
      <c r="AT441" s="108"/>
      <c r="AU441" s="108"/>
      <c r="AV441" s="43"/>
      <c r="AW441" s="108"/>
      <c r="AX441" s="108"/>
      <c r="AY441" s="108"/>
      <c r="AZ441" s="108"/>
      <c r="BA441" s="108"/>
      <c r="BB441" s="108"/>
      <c r="BC441" s="43"/>
      <c r="BD441" s="108"/>
      <c r="BE441" s="108"/>
      <c r="BF441" s="108"/>
      <c r="BG441" s="108"/>
      <c r="BH441" s="108"/>
      <c r="BI441" s="108"/>
      <c r="BJ441" s="43"/>
      <c r="BK441" s="108"/>
      <c r="BL441" s="108"/>
      <c r="BM441" s="108"/>
      <c r="BN441" s="108"/>
      <c r="BO441" s="108"/>
      <c r="BP441" s="108"/>
      <c r="BQ441" s="43"/>
      <c r="BR441" s="108"/>
      <c r="BS441" s="108"/>
      <c r="BT441" s="108"/>
      <c r="BU441" s="108"/>
      <c r="BV441" s="108"/>
      <c r="BW441" s="108"/>
      <c r="BX441" s="43"/>
      <c r="BY441" s="108"/>
      <c r="BZ441" s="108"/>
      <c r="CA441" s="108"/>
      <c r="CB441" s="108"/>
      <c r="CC441" s="108"/>
      <c r="CD441" s="108"/>
      <c r="CE441" s="43"/>
      <c r="CF441" s="108"/>
      <c r="CG441" s="108"/>
      <c r="CH441" s="108"/>
      <c r="CI441" s="108"/>
      <c r="CJ441" s="108"/>
      <c r="CK441" s="108"/>
      <c r="CL441" s="43"/>
      <c r="CM441" s="108"/>
      <c r="CN441" s="108"/>
      <c r="CO441" s="108"/>
      <c r="CP441" s="108"/>
      <c r="CQ441" s="108"/>
      <c r="CR441" s="108"/>
      <c r="CS441" s="43"/>
      <c r="CT441" s="108"/>
      <c r="CU441" s="108"/>
      <c r="CV441" s="108"/>
      <c r="CW441" s="108"/>
      <c r="CX441" s="108"/>
      <c r="CY441" s="108"/>
      <c r="CZ441" s="43"/>
      <c r="DA441" s="108"/>
      <c r="DB441" s="108"/>
      <c r="DC441" s="108"/>
      <c r="DD441" s="108"/>
      <c r="DE441" s="108"/>
      <c r="DF441" s="108"/>
      <c r="DG441" s="43"/>
      <c r="DH441" s="108"/>
      <c r="DI441" s="108"/>
      <c r="DJ441" s="108"/>
      <c r="DK441" s="108"/>
      <c r="DL441" s="108"/>
      <c r="DM441" s="108"/>
      <c r="DN441" s="43"/>
      <c r="DO441" s="108"/>
      <c r="DP441" s="108"/>
      <c r="DQ441" s="108"/>
      <c r="DR441" s="108"/>
      <c r="DS441" s="108"/>
      <c r="DT441" s="108"/>
      <c r="DU441" s="43"/>
      <c r="DV441" s="108"/>
      <c r="DW441" s="108"/>
      <c r="DX441" s="108"/>
      <c r="DY441" s="108"/>
      <c r="DZ441" s="108"/>
      <c r="EA441" s="108"/>
      <c r="EB441" s="43"/>
      <c r="EC441" s="108"/>
      <c r="ED441" s="108"/>
      <c r="EE441" s="108"/>
      <c r="EF441" s="108"/>
      <c r="EG441" s="108"/>
      <c r="EH441" s="108"/>
      <c r="EI441" s="43"/>
      <c r="EJ441" s="47"/>
      <c r="EK441" s="47"/>
      <c r="EL441" s="47"/>
      <c r="EM441" s="47"/>
      <c r="EN441" s="47"/>
      <c r="EO441" s="47"/>
      <c r="EP441" s="47"/>
      <c r="EQ441" s="47"/>
      <c r="ER441" s="47"/>
      <c r="ES441" s="47"/>
      <c r="ET441" s="47"/>
      <c r="EU441" s="47"/>
      <c r="EV441" s="47"/>
      <c r="EW441" s="47"/>
      <c r="EX441" s="47"/>
      <c r="EY441" s="47"/>
      <c r="EZ441" s="47"/>
      <c r="FA441" s="47"/>
      <c r="FB441" s="47"/>
      <c r="FC441" s="47"/>
      <c r="FD441" s="47"/>
      <c r="FE441" s="47"/>
      <c r="FF441" s="47"/>
      <c r="FG441" s="47"/>
      <c r="FH441" s="47"/>
      <c r="FI441" s="47"/>
      <c r="FJ441" s="47"/>
      <c r="FK441" s="47"/>
      <c r="FL441" s="47"/>
      <c r="FM441" s="47"/>
      <c r="FN441" s="47"/>
      <c r="FO441" s="47"/>
      <c r="FP441" s="47"/>
      <c r="FQ441" s="47"/>
      <c r="FR441" s="47"/>
      <c r="FS441" s="47"/>
      <c r="FT441" s="47"/>
      <c r="FU441" s="47"/>
      <c r="FV441" s="47"/>
      <c r="FW441" s="47"/>
      <c r="FX441" s="47"/>
      <c r="FY441" s="47"/>
      <c r="FZ441" s="47"/>
      <c r="GA441" s="47"/>
      <c r="GB441" s="47"/>
      <c r="GC441" s="47"/>
      <c r="GD441" s="47"/>
      <c r="GE441" s="47"/>
    </row>
    <row r="442" spans="1:187" ht="10.5" customHeight="1">
      <c r="A442" s="43"/>
      <c r="B442" s="176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43"/>
      <c r="U442" s="108"/>
      <c r="V442" s="108"/>
      <c r="W442" s="108"/>
      <c r="X442" s="108"/>
      <c r="Y442" s="108"/>
      <c r="Z442" s="108"/>
      <c r="AA442" s="43"/>
      <c r="AB442" s="108"/>
      <c r="AC442" s="108"/>
      <c r="AD442" s="108"/>
      <c r="AE442" s="108"/>
      <c r="AF442" s="108"/>
      <c r="AG442" s="108"/>
      <c r="AH442" s="43"/>
      <c r="AI442" s="108"/>
      <c r="AJ442" s="108"/>
      <c r="AK442" s="108"/>
      <c r="AL442" s="108"/>
      <c r="AM442" s="108"/>
      <c r="AN442" s="108"/>
      <c r="AO442" s="43"/>
      <c r="AP442" s="108"/>
      <c r="AQ442" s="108"/>
      <c r="AR442" s="108"/>
      <c r="AS442" s="108"/>
      <c r="AT442" s="108"/>
      <c r="AU442" s="108"/>
      <c r="AV442" s="43"/>
      <c r="AW442" s="108"/>
      <c r="AX442" s="108"/>
      <c r="AY442" s="108"/>
      <c r="AZ442" s="108"/>
      <c r="BA442" s="108"/>
      <c r="BB442" s="108"/>
      <c r="BC442" s="43"/>
      <c r="BD442" s="108"/>
      <c r="BE442" s="108"/>
      <c r="BF442" s="108"/>
      <c r="BG442" s="108"/>
      <c r="BH442" s="108"/>
      <c r="BI442" s="108"/>
      <c r="BJ442" s="43"/>
      <c r="BK442" s="108"/>
      <c r="BL442" s="108"/>
      <c r="BM442" s="108"/>
      <c r="BN442" s="108"/>
      <c r="BO442" s="108"/>
      <c r="BP442" s="108"/>
      <c r="BQ442" s="43"/>
      <c r="BR442" s="108"/>
      <c r="BS442" s="108"/>
      <c r="BT442" s="108"/>
      <c r="BU442" s="108"/>
      <c r="BV442" s="108"/>
      <c r="BW442" s="108"/>
      <c r="BX442" s="43"/>
      <c r="BY442" s="108"/>
      <c r="BZ442" s="108"/>
      <c r="CA442" s="108"/>
      <c r="CB442" s="108"/>
      <c r="CC442" s="108"/>
      <c r="CD442" s="108"/>
      <c r="CE442" s="43"/>
      <c r="CF442" s="108"/>
      <c r="CG442" s="108"/>
      <c r="CH442" s="108"/>
      <c r="CI442" s="108"/>
      <c r="CJ442" s="108"/>
      <c r="CK442" s="108"/>
      <c r="CL442" s="43"/>
      <c r="CM442" s="108"/>
      <c r="CN442" s="108"/>
      <c r="CO442" s="108"/>
      <c r="CP442" s="108"/>
      <c r="CQ442" s="108"/>
      <c r="CR442" s="108"/>
      <c r="CS442" s="43"/>
      <c r="CT442" s="108"/>
      <c r="CU442" s="108"/>
      <c r="CV442" s="108"/>
      <c r="CW442" s="108"/>
      <c r="CX442" s="108"/>
      <c r="CY442" s="108"/>
      <c r="CZ442" s="43"/>
      <c r="DA442" s="108"/>
      <c r="DB442" s="108"/>
      <c r="DC442" s="108"/>
      <c r="DD442" s="108"/>
      <c r="DE442" s="108"/>
      <c r="DF442" s="108"/>
      <c r="DG442" s="43"/>
      <c r="DH442" s="108"/>
      <c r="DI442" s="108"/>
      <c r="DJ442" s="108"/>
      <c r="DK442" s="108"/>
      <c r="DL442" s="108"/>
      <c r="DM442" s="108"/>
      <c r="DN442" s="43"/>
      <c r="DO442" s="108"/>
      <c r="DP442" s="108"/>
      <c r="DQ442" s="108"/>
      <c r="DR442" s="108"/>
      <c r="DS442" s="108"/>
      <c r="DT442" s="108"/>
      <c r="DU442" s="43"/>
      <c r="DV442" s="108"/>
      <c r="DW442" s="108"/>
      <c r="DX442" s="108"/>
      <c r="DY442" s="108"/>
      <c r="DZ442" s="108"/>
      <c r="EA442" s="108"/>
      <c r="EB442" s="43"/>
      <c r="EC442" s="108"/>
      <c r="ED442" s="108"/>
      <c r="EE442" s="108"/>
      <c r="EF442" s="108"/>
      <c r="EG442" s="108"/>
      <c r="EH442" s="108"/>
      <c r="EI442" s="43"/>
      <c r="EJ442" s="47"/>
      <c r="EK442" s="47"/>
      <c r="EL442" s="47"/>
      <c r="EM442" s="47"/>
      <c r="EN442" s="47"/>
      <c r="EO442" s="47"/>
      <c r="EP442" s="47"/>
      <c r="EQ442" s="47"/>
      <c r="ER442" s="47"/>
      <c r="ES442" s="47"/>
      <c r="ET442" s="47"/>
      <c r="EU442" s="47"/>
      <c r="EV442" s="47"/>
      <c r="EW442" s="47"/>
      <c r="EX442" s="47"/>
      <c r="EY442" s="47"/>
      <c r="EZ442" s="47"/>
      <c r="FA442" s="47"/>
      <c r="FB442" s="47"/>
      <c r="FC442" s="47"/>
      <c r="FD442" s="47"/>
      <c r="FE442" s="47"/>
      <c r="FF442" s="47"/>
      <c r="FG442" s="47"/>
      <c r="FH442" s="47"/>
      <c r="FI442" s="47"/>
      <c r="FJ442" s="47"/>
      <c r="FK442" s="47"/>
      <c r="FL442" s="47"/>
      <c r="FM442" s="47"/>
      <c r="FN442" s="47"/>
      <c r="FO442" s="47"/>
      <c r="FP442" s="47"/>
      <c r="FQ442" s="47"/>
      <c r="FR442" s="47"/>
      <c r="FS442" s="47"/>
      <c r="FT442" s="47"/>
      <c r="FU442" s="47"/>
      <c r="FV442" s="47"/>
      <c r="FW442" s="47"/>
      <c r="FX442" s="47"/>
      <c r="FY442" s="47"/>
      <c r="FZ442" s="47"/>
      <c r="GA442" s="47"/>
      <c r="GB442" s="47"/>
      <c r="GC442" s="47"/>
      <c r="GD442" s="47"/>
      <c r="GE442" s="47"/>
    </row>
    <row r="443" spans="1:187" ht="10.5" customHeight="1">
      <c r="A443" s="43"/>
      <c r="B443" s="176"/>
      <c r="C443" s="108"/>
      <c r="D443" s="191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43"/>
      <c r="U443" s="108"/>
      <c r="V443" s="108"/>
      <c r="W443" s="108"/>
      <c r="X443" s="108"/>
      <c r="Y443" s="108"/>
      <c r="Z443" s="108"/>
      <c r="AA443" s="43"/>
      <c r="AB443" s="108"/>
      <c r="AC443" s="108"/>
      <c r="AD443" s="108"/>
      <c r="AE443" s="108"/>
      <c r="AF443" s="108"/>
      <c r="AG443" s="108"/>
      <c r="AH443" s="43"/>
      <c r="AI443" s="108"/>
      <c r="AJ443" s="108"/>
      <c r="AK443" s="108"/>
      <c r="AL443" s="108"/>
      <c r="AM443" s="108"/>
      <c r="AN443" s="108"/>
      <c r="AO443" s="43"/>
      <c r="AP443" s="108"/>
      <c r="AQ443" s="108"/>
      <c r="AR443" s="108"/>
      <c r="AS443" s="108"/>
      <c r="AT443" s="108"/>
      <c r="AU443" s="108"/>
      <c r="AV443" s="43"/>
      <c r="AW443" s="108"/>
      <c r="AX443" s="108"/>
      <c r="AY443" s="108"/>
      <c r="AZ443" s="108"/>
      <c r="BA443" s="108"/>
      <c r="BB443" s="108"/>
      <c r="BC443" s="43"/>
      <c r="BD443" s="108"/>
      <c r="BE443" s="108"/>
      <c r="BF443" s="108"/>
      <c r="BG443" s="108"/>
      <c r="BH443" s="108"/>
      <c r="BI443" s="108"/>
      <c r="BJ443" s="43"/>
      <c r="BK443" s="108"/>
      <c r="BL443" s="108"/>
      <c r="BM443" s="108"/>
      <c r="BN443" s="108"/>
      <c r="BO443" s="108"/>
      <c r="BP443" s="108"/>
      <c r="BQ443" s="43"/>
      <c r="BR443" s="108"/>
      <c r="BS443" s="108"/>
      <c r="BT443" s="108"/>
      <c r="BU443" s="108"/>
      <c r="BV443" s="108"/>
      <c r="BW443" s="108"/>
      <c r="BX443" s="43"/>
      <c r="BY443" s="108"/>
      <c r="BZ443" s="108"/>
      <c r="CA443" s="108"/>
      <c r="CB443" s="108"/>
      <c r="CC443" s="108"/>
      <c r="CD443" s="108"/>
      <c r="CE443" s="43"/>
      <c r="CF443" s="108"/>
      <c r="CG443" s="108"/>
      <c r="CH443" s="108"/>
      <c r="CI443" s="108"/>
      <c r="CJ443" s="108"/>
      <c r="CK443" s="108"/>
      <c r="CL443" s="43"/>
      <c r="CM443" s="108"/>
      <c r="CN443" s="108"/>
      <c r="CO443" s="108"/>
      <c r="CP443" s="108"/>
      <c r="CQ443" s="108"/>
      <c r="CR443" s="108"/>
      <c r="CS443" s="43"/>
      <c r="CT443" s="108"/>
      <c r="CU443" s="108"/>
      <c r="CV443" s="108"/>
      <c r="CW443" s="108"/>
      <c r="CX443" s="108"/>
      <c r="CY443" s="108"/>
      <c r="CZ443" s="43"/>
      <c r="DA443" s="108"/>
      <c r="DB443" s="108"/>
      <c r="DC443" s="108"/>
      <c r="DD443" s="108"/>
      <c r="DE443" s="108"/>
      <c r="DF443" s="108"/>
      <c r="DG443" s="43"/>
      <c r="DH443" s="108"/>
      <c r="DI443" s="108"/>
      <c r="DJ443" s="108"/>
      <c r="DK443" s="108"/>
      <c r="DL443" s="108"/>
      <c r="DM443" s="108"/>
      <c r="DN443" s="43"/>
      <c r="DO443" s="108"/>
      <c r="DP443" s="108"/>
      <c r="DQ443" s="108"/>
      <c r="DR443" s="108"/>
      <c r="DS443" s="108"/>
      <c r="DT443" s="108"/>
      <c r="DU443" s="43"/>
      <c r="DV443" s="108"/>
      <c r="DW443" s="108"/>
      <c r="DX443" s="108"/>
      <c r="DY443" s="108"/>
      <c r="DZ443" s="108"/>
      <c r="EA443" s="108"/>
      <c r="EB443" s="43"/>
      <c r="EC443" s="108"/>
      <c r="ED443" s="108"/>
      <c r="EE443" s="108"/>
      <c r="EF443" s="108"/>
      <c r="EG443" s="108"/>
      <c r="EH443" s="108"/>
      <c r="EI443" s="43"/>
      <c r="EJ443" s="47"/>
      <c r="EK443" s="47"/>
      <c r="EL443" s="47"/>
      <c r="EM443" s="47"/>
      <c r="EN443" s="47"/>
      <c r="EO443" s="47"/>
      <c r="EP443" s="47"/>
      <c r="EQ443" s="47"/>
      <c r="ER443" s="47"/>
      <c r="ES443" s="47"/>
      <c r="ET443" s="47"/>
      <c r="EU443" s="47"/>
      <c r="EV443" s="47"/>
      <c r="EW443" s="47"/>
      <c r="EX443" s="47"/>
      <c r="EY443" s="47"/>
      <c r="EZ443" s="47"/>
      <c r="FA443" s="47"/>
      <c r="FB443" s="47"/>
      <c r="FC443" s="47"/>
      <c r="FD443" s="47"/>
      <c r="FE443" s="47"/>
      <c r="FF443" s="47"/>
      <c r="FG443" s="47"/>
      <c r="FH443" s="47"/>
      <c r="FI443" s="47"/>
      <c r="FJ443" s="47"/>
      <c r="FK443" s="47"/>
      <c r="FL443" s="47"/>
      <c r="FM443" s="47"/>
      <c r="FN443" s="47"/>
      <c r="FO443" s="47"/>
      <c r="FP443" s="47"/>
      <c r="FQ443" s="47"/>
      <c r="FR443" s="47"/>
      <c r="FS443" s="47"/>
      <c r="FT443" s="47"/>
      <c r="FU443" s="47"/>
      <c r="FV443" s="47"/>
      <c r="FW443" s="47"/>
      <c r="FX443" s="47"/>
      <c r="FY443" s="47"/>
      <c r="FZ443" s="47"/>
      <c r="GA443" s="47"/>
      <c r="GB443" s="47"/>
      <c r="GC443" s="47"/>
      <c r="GD443" s="47"/>
      <c r="GE443" s="47"/>
    </row>
    <row r="444" spans="1:187" ht="10.5" customHeight="1">
      <c r="A444" s="43"/>
      <c r="B444" s="176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43"/>
      <c r="U444" s="108"/>
      <c r="V444" s="108"/>
      <c r="W444" s="108"/>
      <c r="X444" s="108"/>
      <c r="Y444" s="108"/>
      <c r="Z444" s="108"/>
      <c r="AA444" s="43"/>
      <c r="AB444" s="108"/>
      <c r="AC444" s="108"/>
      <c r="AD444" s="108"/>
      <c r="AE444" s="108"/>
      <c r="AF444" s="108"/>
      <c r="AG444" s="108"/>
      <c r="AH444" s="43"/>
      <c r="AI444" s="108"/>
      <c r="AJ444" s="108"/>
      <c r="AK444" s="108"/>
      <c r="AL444" s="108"/>
      <c r="AM444" s="108"/>
      <c r="AN444" s="108"/>
      <c r="AO444" s="43"/>
      <c r="AP444" s="108"/>
      <c r="AQ444" s="108"/>
      <c r="AR444" s="108"/>
      <c r="AS444" s="108"/>
      <c r="AT444" s="108"/>
      <c r="AU444" s="108"/>
      <c r="AV444" s="43"/>
      <c r="AW444" s="108"/>
      <c r="AX444" s="108"/>
      <c r="AY444" s="108"/>
      <c r="AZ444" s="108"/>
      <c r="BA444" s="108"/>
      <c r="BB444" s="108"/>
      <c r="BC444" s="43"/>
      <c r="BD444" s="108"/>
      <c r="BE444" s="108"/>
      <c r="BF444" s="108"/>
      <c r="BG444" s="108"/>
      <c r="BH444" s="108"/>
      <c r="BI444" s="108"/>
      <c r="BJ444" s="43"/>
      <c r="BK444" s="108"/>
      <c r="BL444" s="108"/>
      <c r="BM444" s="108"/>
      <c r="BN444" s="108"/>
      <c r="BO444" s="108"/>
      <c r="BP444" s="108"/>
      <c r="BQ444" s="43"/>
      <c r="BR444" s="108"/>
      <c r="BS444" s="108"/>
      <c r="BT444" s="108"/>
      <c r="BU444" s="108"/>
      <c r="BV444" s="108"/>
      <c r="BW444" s="108"/>
      <c r="BX444" s="43"/>
      <c r="BY444" s="108"/>
      <c r="BZ444" s="108"/>
      <c r="CA444" s="108"/>
      <c r="CB444" s="108"/>
      <c r="CC444" s="108"/>
      <c r="CD444" s="108"/>
      <c r="CE444" s="43"/>
      <c r="CF444" s="108"/>
      <c r="CG444" s="108"/>
      <c r="CH444" s="108"/>
      <c r="CI444" s="108"/>
      <c r="CJ444" s="108"/>
      <c r="CK444" s="108"/>
      <c r="CL444" s="43"/>
      <c r="CM444" s="108"/>
      <c r="CN444" s="108"/>
      <c r="CO444" s="108"/>
      <c r="CP444" s="108"/>
      <c r="CQ444" s="108"/>
      <c r="CR444" s="108"/>
      <c r="CS444" s="43"/>
      <c r="CT444" s="108"/>
      <c r="CU444" s="108"/>
      <c r="CV444" s="108"/>
      <c r="CW444" s="108"/>
      <c r="CX444" s="108"/>
      <c r="CY444" s="108"/>
      <c r="CZ444" s="43"/>
      <c r="DA444" s="108"/>
      <c r="DB444" s="108"/>
      <c r="DC444" s="108"/>
      <c r="DD444" s="108"/>
      <c r="DE444" s="108"/>
      <c r="DF444" s="108"/>
      <c r="DG444" s="43"/>
      <c r="DH444" s="108"/>
      <c r="DI444" s="108"/>
      <c r="DJ444" s="108"/>
      <c r="DK444" s="108"/>
      <c r="DL444" s="108"/>
      <c r="DM444" s="108"/>
      <c r="DN444" s="43"/>
      <c r="DO444" s="108"/>
      <c r="DP444" s="108"/>
      <c r="DQ444" s="108"/>
      <c r="DR444" s="108"/>
      <c r="DS444" s="108"/>
      <c r="DT444" s="108"/>
      <c r="DU444" s="43"/>
      <c r="DV444" s="108"/>
      <c r="DW444" s="108"/>
      <c r="DX444" s="108"/>
      <c r="DY444" s="108"/>
      <c r="DZ444" s="108"/>
      <c r="EA444" s="108"/>
      <c r="EB444" s="43"/>
      <c r="EC444" s="108"/>
      <c r="ED444" s="108"/>
      <c r="EE444" s="108"/>
      <c r="EF444" s="108"/>
      <c r="EG444" s="108"/>
      <c r="EH444" s="108"/>
      <c r="EI444" s="43"/>
      <c r="EJ444" s="47"/>
      <c r="EK444" s="47"/>
      <c r="EL444" s="47"/>
      <c r="EM444" s="47"/>
      <c r="EN444" s="47"/>
      <c r="EO444" s="47"/>
      <c r="EP444" s="47"/>
      <c r="EQ444" s="47"/>
      <c r="ER444" s="47"/>
      <c r="ES444" s="47"/>
      <c r="ET444" s="47"/>
      <c r="EU444" s="47"/>
      <c r="EV444" s="47"/>
      <c r="EW444" s="47"/>
      <c r="EX444" s="47"/>
      <c r="EY444" s="47"/>
      <c r="EZ444" s="47"/>
      <c r="FA444" s="47"/>
      <c r="FB444" s="47"/>
      <c r="FC444" s="47"/>
      <c r="FD444" s="47"/>
      <c r="FE444" s="47"/>
      <c r="FF444" s="47"/>
      <c r="FG444" s="47"/>
      <c r="FH444" s="47"/>
      <c r="FI444" s="47"/>
      <c r="FJ444" s="47"/>
      <c r="FK444" s="47"/>
      <c r="FL444" s="47"/>
      <c r="FM444" s="47"/>
      <c r="FN444" s="47"/>
      <c r="FO444" s="47"/>
      <c r="FP444" s="47"/>
      <c r="FQ444" s="47"/>
      <c r="FR444" s="47"/>
      <c r="FS444" s="47"/>
      <c r="FT444" s="47"/>
      <c r="FU444" s="47"/>
      <c r="FV444" s="47"/>
      <c r="FW444" s="47"/>
      <c r="FX444" s="47"/>
      <c r="FY444" s="47"/>
      <c r="FZ444" s="47"/>
      <c r="GA444" s="47"/>
      <c r="GB444" s="47"/>
      <c r="GC444" s="47"/>
      <c r="GD444" s="47"/>
      <c r="GE444" s="47"/>
    </row>
    <row r="445" spans="1:187" ht="10.5" customHeight="1">
      <c r="A445" s="43"/>
      <c r="B445" s="176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43"/>
      <c r="U445" s="108"/>
      <c r="V445" s="108"/>
      <c r="W445" s="108"/>
      <c r="X445" s="108"/>
      <c r="Y445" s="108"/>
      <c r="Z445" s="108"/>
      <c r="AA445" s="43"/>
      <c r="AB445" s="108"/>
      <c r="AC445" s="108"/>
      <c r="AD445" s="108"/>
      <c r="AE445" s="108"/>
      <c r="AF445" s="108"/>
      <c r="AG445" s="108"/>
      <c r="AH445" s="43"/>
      <c r="AI445" s="108"/>
      <c r="AJ445" s="108"/>
      <c r="AK445" s="108"/>
      <c r="AL445" s="108"/>
      <c r="AM445" s="108"/>
      <c r="AN445" s="108"/>
      <c r="AO445" s="43"/>
      <c r="AP445" s="108"/>
      <c r="AQ445" s="108"/>
      <c r="AR445" s="108"/>
      <c r="AS445" s="108"/>
      <c r="AT445" s="108"/>
      <c r="AU445" s="108"/>
      <c r="AV445" s="43"/>
      <c r="AW445" s="108"/>
      <c r="AX445" s="108"/>
      <c r="AY445" s="108"/>
      <c r="AZ445" s="108"/>
      <c r="BA445" s="108"/>
      <c r="BB445" s="108"/>
      <c r="BC445" s="43"/>
      <c r="BD445" s="108"/>
      <c r="BE445" s="108"/>
      <c r="BF445" s="108"/>
      <c r="BG445" s="108"/>
      <c r="BH445" s="108"/>
      <c r="BI445" s="108"/>
      <c r="BJ445" s="43"/>
      <c r="BK445" s="108"/>
      <c r="BL445" s="108"/>
      <c r="BM445" s="108"/>
      <c r="BN445" s="108"/>
      <c r="BO445" s="108"/>
      <c r="BP445" s="108"/>
      <c r="BQ445" s="43"/>
      <c r="BR445" s="108"/>
      <c r="BS445" s="108"/>
      <c r="BT445" s="108"/>
      <c r="BU445" s="108"/>
      <c r="BV445" s="108"/>
      <c r="BW445" s="108"/>
      <c r="BX445" s="43"/>
      <c r="BY445" s="108"/>
      <c r="BZ445" s="108"/>
      <c r="CA445" s="108"/>
      <c r="CB445" s="108"/>
      <c r="CC445" s="108"/>
      <c r="CD445" s="108"/>
      <c r="CE445" s="43"/>
      <c r="CF445" s="108"/>
      <c r="CG445" s="108"/>
      <c r="CH445" s="108"/>
      <c r="CI445" s="108"/>
      <c r="CJ445" s="108"/>
      <c r="CK445" s="108"/>
      <c r="CL445" s="43"/>
      <c r="CM445" s="108"/>
      <c r="CN445" s="108"/>
      <c r="CO445" s="108"/>
      <c r="CP445" s="108"/>
      <c r="CQ445" s="108"/>
      <c r="CR445" s="108"/>
      <c r="CS445" s="43"/>
      <c r="CT445" s="108"/>
      <c r="CU445" s="108"/>
      <c r="CV445" s="108"/>
      <c r="CW445" s="108"/>
      <c r="CX445" s="108"/>
      <c r="CY445" s="108"/>
      <c r="CZ445" s="43"/>
      <c r="DA445" s="108"/>
      <c r="DB445" s="108"/>
      <c r="DC445" s="108"/>
      <c r="DD445" s="108"/>
      <c r="DE445" s="108"/>
      <c r="DF445" s="108"/>
      <c r="DG445" s="43"/>
      <c r="DH445" s="108"/>
      <c r="DI445" s="108"/>
      <c r="DJ445" s="108"/>
      <c r="DK445" s="108"/>
      <c r="DL445" s="108"/>
      <c r="DM445" s="108"/>
      <c r="DN445" s="43"/>
      <c r="DO445" s="108"/>
      <c r="DP445" s="108"/>
      <c r="DQ445" s="108"/>
      <c r="DR445" s="108"/>
      <c r="DS445" s="108"/>
      <c r="DT445" s="108"/>
      <c r="DU445" s="43"/>
      <c r="DV445" s="108"/>
      <c r="DW445" s="108"/>
      <c r="DX445" s="108"/>
      <c r="DY445" s="108"/>
      <c r="DZ445" s="108"/>
      <c r="EA445" s="108"/>
      <c r="EB445" s="43"/>
      <c r="EC445" s="108"/>
      <c r="ED445" s="108"/>
      <c r="EE445" s="108"/>
      <c r="EF445" s="108"/>
      <c r="EG445" s="108"/>
      <c r="EH445" s="108"/>
      <c r="EI445" s="43"/>
      <c r="EJ445" s="47"/>
      <c r="EK445" s="47"/>
      <c r="EL445" s="47"/>
      <c r="EM445" s="47"/>
      <c r="EN445" s="47"/>
      <c r="EO445" s="47"/>
      <c r="EP445" s="47"/>
      <c r="EQ445" s="47"/>
      <c r="ER445" s="47"/>
      <c r="ES445" s="47"/>
      <c r="ET445" s="47"/>
      <c r="EU445" s="47"/>
      <c r="EV445" s="47"/>
      <c r="EW445" s="47"/>
      <c r="EX445" s="47"/>
      <c r="EY445" s="47"/>
      <c r="EZ445" s="47"/>
      <c r="FA445" s="47"/>
      <c r="FB445" s="47"/>
      <c r="FC445" s="47"/>
      <c r="FD445" s="47"/>
      <c r="FE445" s="47"/>
      <c r="FF445" s="47"/>
      <c r="FG445" s="47"/>
      <c r="FH445" s="47"/>
      <c r="FI445" s="47"/>
      <c r="FJ445" s="47"/>
      <c r="FK445" s="47"/>
      <c r="FL445" s="47"/>
      <c r="FM445" s="47"/>
      <c r="FN445" s="47"/>
      <c r="FO445" s="47"/>
      <c r="FP445" s="47"/>
      <c r="FQ445" s="47"/>
      <c r="FR445" s="47"/>
      <c r="FS445" s="47"/>
      <c r="FT445" s="47"/>
      <c r="FU445" s="47"/>
      <c r="FV445" s="47"/>
      <c r="FW445" s="47"/>
      <c r="FX445" s="47"/>
      <c r="FY445" s="47"/>
      <c r="FZ445" s="47"/>
      <c r="GA445" s="47"/>
      <c r="GB445" s="47"/>
      <c r="GC445" s="47"/>
      <c r="GD445" s="47"/>
      <c r="GE445" s="47"/>
    </row>
    <row r="446" spans="1:187" ht="10.5" customHeight="1">
      <c r="A446" s="43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43"/>
      <c r="U446" s="108"/>
      <c r="V446" s="108"/>
      <c r="W446" s="108"/>
      <c r="X446" s="108"/>
      <c r="Y446" s="108"/>
      <c r="Z446" s="108"/>
      <c r="AA446" s="43"/>
      <c r="AB446" s="108"/>
      <c r="AC446" s="108"/>
      <c r="AD446" s="108"/>
      <c r="AE446" s="108"/>
      <c r="AF446" s="108"/>
      <c r="AG446" s="108"/>
      <c r="AH446" s="43"/>
      <c r="AI446" s="108"/>
      <c r="AJ446" s="108"/>
      <c r="AK446" s="108"/>
      <c r="AL446" s="108"/>
      <c r="AM446" s="108"/>
      <c r="AN446" s="108"/>
      <c r="AO446" s="43"/>
      <c r="AP446" s="108"/>
      <c r="AQ446" s="108"/>
      <c r="AR446" s="108"/>
      <c r="AS446" s="108"/>
      <c r="AT446" s="108"/>
      <c r="AU446" s="108"/>
      <c r="AV446" s="43"/>
      <c r="AW446" s="108"/>
      <c r="AX446" s="108"/>
      <c r="AY446" s="108"/>
      <c r="AZ446" s="108"/>
      <c r="BA446" s="108"/>
      <c r="BB446" s="108"/>
      <c r="BC446" s="43"/>
      <c r="BD446" s="108"/>
      <c r="BE446" s="108"/>
      <c r="BF446" s="108"/>
      <c r="BG446" s="108"/>
      <c r="BH446" s="108"/>
      <c r="BI446" s="108"/>
      <c r="BJ446" s="43"/>
      <c r="BK446" s="108"/>
      <c r="BL446" s="108"/>
      <c r="BM446" s="108"/>
      <c r="BN446" s="108"/>
      <c r="BO446" s="108"/>
      <c r="BP446" s="108"/>
      <c r="BQ446" s="43"/>
      <c r="BR446" s="108"/>
      <c r="BS446" s="108"/>
      <c r="BT446" s="108"/>
      <c r="BU446" s="108"/>
      <c r="BV446" s="108"/>
      <c r="BW446" s="108"/>
      <c r="BX446" s="43"/>
      <c r="BY446" s="108"/>
      <c r="BZ446" s="108"/>
      <c r="CA446" s="108"/>
      <c r="CB446" s="108"/>
      <c r="CC446" s="108"/>
      <c r="CD446" s="108"/>
      <c r="CE446" s="43"/>
      <c r="CF446" s="108"/>
      <c r="CG446" s="108"/>
      <c r="CH446" s="108"/>
      <c r="CI446" s="108"/>
      <c r="CJ446" s="108"/>
      <c r="CK446" s="108"/>
      <c r="CL446" s="43"/>
      <c r="CM446" s="108"/>
      <c r="CN446" s="108"/>
      <c r="CO446" s="108"/>
      <c r="CP446" s="108"/>
      <c r="CQ446" s="108"/>
      <c r="CR446" s="108"/>
      <c r="CS446" s="43"/>
      <c r="CT446" s="108"/>
      <c r="CU446" s="108"/>
      <c r="CV446" s="108"/>
      <c r="CW446" s="108"/>
      <c r="CX446" s="108"/>
      <c r="CY446" s="108"/>
      <c r="CZ446" s="43"/>
      <c r="DA446" s="108"/>
      <c r="DB446" s="108"/>
      <c r="DC446" s="108"/>
      <c r="DD446" s="108"/>
      <c r="DE446" s="108"/>
      <c r="DF446" s="108"/>
      <c r="DG446" s="43"/>
      <c r="DH446" s="108"/>
      <c r="DI446" s="108"/>
      <c r="DJ446" s="108"/>
      <c r="DK446" s="108"/>
      <c r="DL446" s="108"/>
      <c r="DM446" s="108"/>
      <c r="DN446" s="43"/>
      <c r="DO446" s="108"/>
      <c r="DP446" s="108"/>
      <c r="DQ446" s="108"/>
      <c r="DR446" s="108"/>
      <c r="DS446" s="108"/>
      <c r="DT446" s="108"/>
      <c r="DU446" s="43"/>
      <c r="DV446" s="108"/>
      <c r="DW446" s="108"/>
      <c r="DX446" s="108"/>
      <c r="DY446" s="108"/>
      <c r="DZ446" s="108"/>
      <c r="EA446" s="108"/>
      <c r="EB446" s="43"/>
      <c r="EC446" s="108"/>
      <c r="ED446" s="108"/>
      <c r="EE446" s="108"/>
      <c r="EF446" s="108"/>
      <c r="EG446" s="108"/>
      <c r="EH446" s="108"/>
      <c r="EI446" s="43"/>
      <c r="EJ446" s="47"/>
      <c r="EK446" s="47"/>
      <c r="EL446" s="47"/>
      <c r="EM446" s="47"/>
      <c r="EN446" s="47"/>
      <c r="EO446" s="47"/>
      <c r="EP446" s="47"/>
      <c r="EQ446" s="47"/>
      <c r="ER446" s="47"/>
      <c r="ES446" s="47"/>
      <c r="ET446" s="47"/>
      <c r="EU446" s="47"/>
      <c r="EV446" s="47"/>
      <c r="EW446" s="47"/>
      <c r="EX446" s="47"/>
      <c r="EY446" s="47"/>
      <c r="EZ446" s="47"/>
      <c r="FA446" s="47"/>
      <c r="FB446" s="47"/>
      <c r="FC446" s="47"/>
      <c r="FD446" s="47"/>
      <c r="FE446" s="47"/>
      <c r="FF446" s="47"/>
      <c r="FG446" s="47"/>
      <c r="FH446" s="47"/>
      <c r="FI446" s="47"/>
      <c r="FJ446" s="47"/>
      <c r="FK446" s="47"/>
      <c r="FL446" s="47"/>
      <c r="FM446" s="47"/>
      <c r="FN446" s="47"/>
      <c r="FO446" s="47"/>
      <c r="FP446" s="47"/>
      <c r="FQ446" s="47"/>
      <c r="FR446" s="47"/>
      <c r="FS446" s="47"/>
      <c r="FT446" s="47"/>
      <c r="FU446" s="47"/>
      <c r="FV446" s="47"/>
      <c r="FW446" s="47"/>
      <c r="FX446" s="47"/>
      <c r="FY446" s="47"/>
      <c r="FZ446" s="47"/>
      <c r="GA446" s="47"/>
      <c r="GB446" s="47"/>
      <c r="GC446" s="47"/>
      <c r="GD446" s="47"/>
      <c r="GE446" s="47"/>
    </row>
    <row r="447" spans="1:187" ht="10.5" customHeight="1">
      <c r="A447" s="43"/>
      <c r="B447" s="108"/>
      <c r="C447" s="108"/>
      <c r="D447" s="134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43"/>
      <c r="U447" s="108"/>
      <c r="V447" s="108"/>
      <c r="W447" s="108"/>
      <c r="X447" s="108"/>
      <c r="Y447" s="108"/>
      <c r="Z447" s="108"/>
      <c r="AA447" s="43"/>
      <c r="AB447" s="108"/>
      <c r="AC447" s="108"/>
      <c r="AD447" s="108"/>
      <c r="AE447" s="108"/>
      <c r="AF447" s="108"/>
      <c r="AG447" s="108"/>
      <c r="AH447" s="43"/>
      <c r="AI447" s="108"/>
      <c r="AJ447" s="108"/>
      <c r="AK447" s="108"/>
      <c r="AL447" s="108"/>
      <c r="AM447" s="108"/>
      <c r="AN447" s="108"/>
      <c r="AO447" s="43"/>
      <c r="AP447" s="108"/>
      <c r="AQ447" s="108"/>
      <c r="AR447" s="108"/>
      <c r="AS447" s="108"/>
      <c r="AT447" s="108"/>
      <c r="AU447" s="108"/>
      <c r="AV447" s="43"/>
      <c r="AW447" s="108"/>
      <c r="AX447" s="108"/>
      <c r="AY447" s="108"/>
      <c r="AZ447" s="108"/>
      <c r="BA447" s="108"/>
      <c r="BB447" s="108"/>
      <c r="BC447" s="43"/>
      <c r="BD447" s="108"/>
      <c r="BE447" s="108"/>
      <c r="BF447" s="108"/>
      <c r="BG447" s="108"/>
      <c r="BH447" s="108"/>
      <c r="BI447" s="108"/>
      <c r="BJ447" s="43"/>
      <c r="BK447" s="108"/>
      <c r="BL447" s="108"/>
      <c r="BM447" s="108"/>
      <c r="BN447" s="108"/>
      <c r="BO447" s="108"/>
      <c r="BP447" s="108"/>
      <c r="BQ447" s="43"/>
      <c r="BR447" s="108"/>
      <c r="BS447" s="108"/>
      <c r="BT447" s="108"/>
      <c r="BU447" s="108"/>
      <c r="BV447" s="108"/>
      <c r="BW447" s="108"/>
      <c r="BX447" s="43"/>
      <c r="BY447" s="108"/>
      <c r="BZ447" s="108"/>
      <c r="CA447" s="108"/>
      <c r="CB447" s="108"/>
      <c r="CC447" s="108"/>
      <c r="CD447" s="108"/>
      <c r="CE447" s="43"/>
      <c r="CF447" s="108"/>
      <c r="CG447" s="108"/>
      <c r="CH447" s="108"/>
      <c r="CI447" s="108"/>
      <c r="CJ447" s="108"/>
      <c r="CK447" s="108"/>
      <c r="CL447" s="43"/>
      <c r="CM447" s="108"/>
      <c r="CN447" s="108"/>
      <c r="CO447" s="108"/>
      <c r="CP447" s="108"/>
      <c r="CQ447" s="108"/>
      <c r="CR447" s="108"/>
      <c r="CS447" s="43"/>
      <c r="CT447" s="108"/>
      <c r="CU447" s="108"/>
      <c r="CV447" s="108"/>
      <c r="CW447" s="108"/>
      <c r="CX447" s="108"/>
      <c r="CY447" s="108"/>
      <c r="CZ447" s="43"/>
      <c r="DA447" s="108"/>
      <c r="DB447" s="108"/>
      <c r="DC447" s="108"/>
      <c r="DD447" s="108"/>
      <c r="DE447" s="108"/>
      <c r="DF447" s="108"/>
      <c r="DG447" s="43"/>
      <c r="DH447" s="108"/>
      <c r="DI447" s="108"/>
      <c r="DJ447" s="108"/>
      <c r="DK447" s="108"/>
      <c r="DL447" s="108"/>
      <c r="DM447" s="108"/>
      <c r="DN447" s="43"/>
      <c r="DO447" s="108"/>
      <c r="DP447" s="108"/>
      <c r="DQ447" s="108"/>
      <c r="DR447" s="108"/>
      <c r="DS447" s="108"/>
      <c r="DT447" s="108"/>
      <c r="DU447" s="43"/>
      <c r="DV447" s="108"/>
      <c r="DW447" s="108"/>
      <c r="DX447" s="108"/>
      <c r="DY447" s="108"/>
      <c r="DZ447" s="108"/>
      <c r="EA447" s="108"/>
      <c r="EB447" s="43"/>
      <c r="EC447" s="108"/>
      <c r="ED447" s="108"/>
      <c r="EE447" s="108"/>
      <c r="EF447" s="108"/>
      <c r="EG447" s="108"/>
      <c r="EH447" s="108"/>
      <c r="EI447" s="43"/>
      <c r="EJ447" s="47"/>
      <c r="EK447" s="47"/>
      <c r="EL447" s="47"/>
      <c r="EM447" s="47"/>
      <c r="EN447" s="47"/>
      <c r="EO447" s="47"/>
      <c r="EP447" s="47"/>
      <c r="EQ447" s="47"/>
      <c r="ER447" s="47"/>
      <c r="ES447" s="47"/>
      <c r="ET447" s="47"/>
      <c r="EU447" s="47"/>
      <c r="EV447" s="47"/>
      <c r="EW447" s="47"/>
      <c r="EX447" s="47"/>
      <c r="EY447" s="47"/>
      <c r="EZ447" s="47"/>
      <c r="FA447" s="47"/>
      <c r="FB447" s="47"/>
      <c r="FC447" s="47"/>
      <c r="FD447" s="47"/>
      <c r="FE447" s="47"/>
      <c r="FF447" s="47"/>
      <c r="FG447" s="47"/>
      <c r="FH447" s="47"/>
      <c r="FI447" s="47"/>
      <c r="FJ447" s="47"/>
      <c r="FK447" s="47"/>
      <c r="FL447" s="47"/>
      <c r="FM447" s="47"/>
      <c r="FN447" s="47"/>
      <c r="FO447" s="47"/>
      <c r="FP447" s="47"/>
      <c r="FQ447" s="47"/>
      <c r="FR447" s="47"/>
      <c r="FS447" s="47"/>
      <c r="FT447" s="47"/>
      <c r="FU447" s="47"/>
      <c r="FV447" s="47"/>
      <c r="FW447" s="47"/>
      <c r="FX447" s="47"/>
      <c r="FY447" s="47"/>
      <c r="FZ447" s="47"/>
      <c r="GA447" s="47"/>
      <c r="GB447" s="47"/>
      <c r="GC447" s="47"/>
      <c r="GD447" s="47"/>
      <c r="GE447" s="47"/>
    </row>
    <row r="448" spans="1:187" ht="10.5" customHeight="1">
      <c r="A448" s="43"/>
      <c r="B448" s="108"/>
      <c r="C448" s="108"/>
      <c r="D448" s="223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43"/>
      <c r="U448" s="108"/>
      <c r="V448" s="108"/>
      <c r="W448" s="108"/>
      <c r="X448" s="108"/>
      <c r="Y448" s="108"/>
      <c r="Z448" s="108"/>
      <c r="AA448" s="43"/>
      <c r="AB448" s="108"/>
      <c r="AC448" s="108"/>
      <c r="AD448" s="108"/>
      <c r="AE448" s="108"/>
      <c r="AF448" s="108"/>
      <c r="AG448" s="108"/>
      <c r="AH448" s="43"/>
      <c r="AI448" s="108"/>
      <c r="AJ448" s="108"/>
      <c r="AK448" s="108"/>
      <c r="AL448" s="108"/>
      <c r="AM448" s="108"/>
      <c r="AN448" s="108"/>
      <c r="AO448" s="43"/>
      <c r="AP448" s="108"/>
      <c r="AQ448" s="108"/>
      <c r="AR448" s="108"/>
      <c r="AS448" s="108"/>
      <c r="AT448" s="108"/>
      <c r="AU448" s="108"/>
      <c r="AV448" s="43"/>
      <c r="AW448" s="108"/>
      <c r="AX448" s="108"/>
      <c r="AY448" s="108"/>
      <c r="AZ448" s="108"/>
      <c r="BA448" s="108"/>
      <c r="BB448" s="108"/>
      <c r="BC448" s="43"/>
      <c r="BD448" s="108"/>
      <c r="BE448" s="108"/>
      <c r="BF448" s="108"/>
      <c r="BG448" s="108"/>
      <c r="BH448" s="108"/>
      <c r="BI448" s="108"/>
      <c r="BJ448" s="43"/>
      <c r="BK448" s="108"/>
      <c r="BL448" s="108"/>
      <c r="BM448" s="108"/>
      <c r="BN448" s="108"/>
      <c r="BO448" s="108"/>
      <c r="BP448" s="108"/>
      <c r="BQ448" s="43"/>
      <c r="BR448" s="108"/>
      <c r="BS448" s="108"/>
      <c r="BT448" s="108"/>
      <c r="BU448" s="108"/>
      <c r="BV448" s="108"/>
      <c r="BW448" s="108"/>
      <c r="BX448" s="43"/>
      <c r="BY448" s="108"/>
      <c r="BZ448" s="108"/>
      <c r="CA448" s="108"/>
      <c r="CB448" s="108"/>
      <c r="CC448" s="108"/>
      <c r="CD448" s="108"/>
      <c r="CE448" s="43"/>
      <c r="CF448" s="108"/>
      <c r="CG448" s="108"/>
      <c r="CH448" s="108"/>
      <c r="CI448" s="108"/>
      <c r="CJ448" s="108"/>
      <c r="CK448" s="108"/>
      <c r="CL448" s="43"/>
      <c r="CM448" s="108"/>
      <c r="CN448" s="108"/>
      <c r="CO448" s="108"/>
      <c r="CP448" s="108"/>
      <c r="CQ448" s="108"/>
      <c r="CR448" s="108"/>
      <c r="CS448" s="43"/>
      <c r="CT448" s="108"/>
      <c r="CU448" s="108"/>
      <c r="CV448" s="108"/>
      <c r="CW448" s="108"/>
      <c r="CX448" s="108"/>
      <c r="CY448" s="108"/>
      <c r="CZ448" s="43"/>
      <c r="DA448" s="108"/>
      <c r="DB448" s="108"/>
      <c r="DC448" s="108"/>
      <c r="DD448" s="108"/>
      <c r="DE448" s="108"/>
      <c r="DF448" s="108"/>
      <c r="DG448" s="43"/>
      <c r="DH448" s="108"/>
      <c r="DI448" s="108"/>
      <c r="DJ448" s="108"/>
      <c r="DK448" s="108"/>
      <c r="DL448" s="108"/>
      <c r="DM448" s="108"/>
      <c r="DN448" s="43"/>
      <c r="DO448" s="108"/>
      <c r="DP448" s="108"/>
      <c r="DQ448" s="108"/>
      <c r="DR448" s="108"/>
      <c r="DS448" s="108"/>
      <c r="DT448" s="108"/>
      <c r="DU448" s="43"/>
      <c r="DV448" s="108"/>
      <c r="DW448" s="108"/>
      <c r="DX448" s="108"/>
      <c r="DY448" s="108"/>
      <c r="DZ448" s="108"/>
      <c r="EA448" s="108"/>
      <c r="EB448" s="43"/>
      <c r="EC448" s="108"/>
      <c r="ED448" s="108"/>
      <c r="EE448" s="108"/>
      <c r="EF448" s="108"/>
      <c r="EG448" s="108"/>
      <c r="EH448" s="108"/>
      <c r="EI448" s="43"/>
      <c r="EJ448" s="47"/>
      <c r="EK448" s="47"/>
      <c r="EL448" s="47"/>
      <c r="EM448" s="47"/>
      <c r="EN448" s="47"/>
      <c r="EO448" s="47"/>
      <c r="EP448" s="47"/>
      <c r="EQ448" s="47"/>
      <c r="ER448" s="47"/>
      <c r="ES448" s="47"/>
      <c r="ET448" s="47"/>
      <c r="EU448" s="47"/>
      <c r="EV448" s="47"/>
      <c r="EW448" s="47"/>
      <c r="EX448" s="47"/>
      <c r="EY448" s="47"/>
      <c r="EZ448" s="47"/>
      <c r="FA448" s="47"/>
      <c r="FB448" s="47"/>
      <c r="FC448" s="47"/>
      <c r="FD448" s="47"/>
      <c r="FE448" s="47"/>
      <c r="FF448" s="47"/>
      <c r="FG448" s="47"/>
      <c r="FH448" s="47"/>
      <c r="FI448" s="47"/>
      <c r="FJ448" s="47"/>
      <c r="FK448" s="47"/>
      <c r="FL448" s="47"/>
      <c r="FM448" s="47"/>
      <c r="FN448" s="47"/>
      <c r="FO448" s="47"/>
      <c r="FP448" s="47"/>
      <c r="FQ448" s="47"/>
      <c r="FR448" s="47"/>
      <c r="FS448" s="47"/>
      <c r="FT448" s="47"/>
      <c r="FU448" s="47"/>
      <c r="FV448" s="47"/>
      <c r="FW448" s="47"/>
      <c r="FX448" s="47"/>
      <c r="FY448" s="47"/>
      <c r="FZ448" s="47"/>
      <c r="GA448" s="47"/>
      <c r="GB448" s="47"/>
      <c r="GC448" s="47"/>
      <c r="GD448" s="47"/>
      <c r="GE448" s="47"/>
    </row>
    <row r="449" spans="1:187" ht="10.5" customHeight="1">
      <c r="A449" s="102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43"/>
      <c r="U449" s="108"/>
      <c r="V449" s="108"/>
      <c r="W449" s="108"/>
      <c r="X449" s="108"/>
      <c r="Y449" s="108"/>
      <c r="Z449" s="108"/>
      <c r="AA449" s="43"/>
      <c r="AB449" s="108"/>
      <c r="AC449" s="108"/>
      <c r="AD449" s="108"/>
      <c r="AE449" s="108"/>
      <c r="AF449" s="108"/>
      <c r="AG449" s="108"/>
      <c r="AH449" s="43"/>
      <c r="AI449" s="108"/>
      <c r="AJ449" s="108"/>
      <c r="AK449" s="108"/>
      <c r="AL449" s="108"/>
      <c r="AM449" s="108"/>
      <c r="AN449" s="108"/>
      <c r="AO449" s="43"/>
      <c r="AP449" s="108"/>
      <c r="AQ449" s="108"/>
      <c r="AR449" s="108"/>
      <c r="AS449" s="108"/>
      <c r="AT449" s="108"/>
      <c r="AU449" s="108"/>
      <c r="AV449" s="43"/>
      <c r="AW449" s="108"/>
      <c r="AX449" s="108"/>
      <c r="AY449" s="108"/>
      <c r="AZ449" s="108"/>
      <c r="BA449" s="108"/>
      <c r="BB449" s="108"/>
      <c r="BC449" s="43"/>
      <c r="BD449" s="108"/>
      <c r="BE449" s="108"/>
      <c r="BF449" s="108"/>
      <c r="BG449" s="108"/>
      <c r="BH449" s="108"/>
      <c r="BI449" s="108"/>
      <c r="BJ449" s="43"/>
      <c r="BK449" s="108"/>
      <c r="BL449" s="108"/>
      <c r="BM449" s="108"/>
      <c r="BN449" s="108"/>
      <c r="BO449" s="108"/>
      <c r="BP449" s="108"/>
      <c r="BQ449" s="43"/>
      <c r="BR449" s="108"/>
      <c r="BS449" s="108"/>
      <c r="BT449" s="108"/>
      <c r="BU449" s="108"/>
      <c r="BV449" s="108"/>
      <c r="BW449" s="108"/>
      <c r="BX449" s="43"/>
      <c r="BY449" s="108"/>
      <c r="BZ449" s="108"/>
      <c r="CA449" s="108"/>
      <c r="CB449" s="108"/>
      <c r="CC449" s="108"/>
      <c r="CD449" s="108"/>
      <c r="CE449" s="43"/>
      <c r="CF449" s="108"/>
      <c r="CG449" s="108"/>
      <c r="CH449" s="108"/>
      <c r="CI449" s="108"/>
      <c r="CJ449" s="108"/>
      <c r="CK449" s="108"/>
      <c r="CL449" s="43"/>
      <c r="CM449" s="108"/>
      <c r="CN449" s="108"/>
      <c r="CO449" s="108"/>
      <c r="CP449" s="108"/>
      <c r="CQ449" s="108"/>
      <c r="CR449" s="108"/>
      <c r="CS449" s="43"/>
      <c r="CT449" s="108"/>
      <c r="CU449" s="108"/>
      <c r="CV449" s="108"/>
      <c r="CW449" s="108"/>
      <c r="CX449" s="108"/>
      <c r="CY449" s="108"/>
      <c r="CZ449" s="43"/>
      <c r="DA449" s="108"/>
      <c r="DB449" s="108"/>
      <c r="DC449" s="108"/>
      <c r="DD449" s="108"/>
      <c r="DE449" s="108"/>
      <c r="DF449" s="108"/>
      <c r="DG449" s="43"/>
      <c r="DH449" s="108"/>
      <c r="DI449" s="108"/>
      <c r="DJ449" s="108"/>
      <c r="DK449" s="108"/>
      <c r="DL449" s="108"/>
      <c r="DM449" s="108"/>
      <c r="DN449" s="43"/>
      <c r="DO449" s="108"/>
      <c r="DP449" s="108"/>
      <c r="DQ449" s="108"/>
      <c r="DR449" s="108"/>
      <c r="DS449" s="108"/>
      <c r="DT449" s="108"/>
      <c r="DU449" s="43"/>
      <c r="DV449" s="108"/>
      <c r="DW449" s="108"/>
      <c r="DX449" s="108"/>
      <c r="DY449" s="108"/>
      <c r="DZ449" s="108"/>
      <c r="EA449" s="108"/>
      <c r="EB449" s="43"/>
      <c r="EC449" s="108"/>
      <c r="ED449" s="108"/>
      <c r="EE449" s="108"/>
      <c r="EF449" s="108"/>
      <c r="EG449" s="108"/>
      <c r="EH449" s="108"/>
      <c r="EI449" s="43"/>
      <c r="EJ449" s="47"/>
      <c r="EK449" s="47"/>
      <c r="EL449" s="47"/>
      <c r="EM449" s="47"/>
      <c r="EN449" s="47"/>
      <c r="EO449" s="47"/>
      <c r="EP449" s="47"/>
      <c r="EQ449" s="47"/>
      <c r="ER449" s="47"/>
      <c r="ES449" s="47"/>
      <c r="ET449" s="47"/>
      <c r="EU449" s="47"/>
      <c r="EV449" s="47"/>
      <c r="EW449" s="47"/>
      <c r="EX449" s="47"/>
      <c r="EY449" s="47"/>
      <c r="EZ449" s="47"/>
      <c r="FA449" s="47"/>
      <c r="FB449" s="47"/>
      <c r="FC449" s="47"/>
      <c r="FD449" s="47"/>
      <c r="FE449" s="47"/>
      <c r="FF449" s="47"/>
      <c r="FG449" s="47"/>
      <c r="FH449" s="47"/>
      <c r="FI449" s="47"/>
      <c r="FJ449" s="47"/>
      <c r="FK449" s="47"/>
      <c r="FL449" s="47"/>
      <c r="FM449" s="47"/>
      <c r="FN449" s="47"/>
      <c r="FO449" s="47"/>
      <c r="FP449" s="47"/>
      <c r="FQ449" s="47"/>
      <c r="FR449" s="47"/>
      <c r="FS449" s="47"/>
      <c r="FT449" s="47"/>
      <c r="FU449" s="47"/>
      <c r="FV449" s="47"/>
      <c r="FW449" s="47"/>
      <c r="FX449" s="47"/>
      <c r="FY449" s="47"/>
      <c r="FZ449" s="47"/>
      <c r="GA449" s="47"/>
      <c r="GB449" s="47"/>
      <c r="GC449" s="47"/>
      <c r="GD449" s="47"/>
      <c r="GE449" s="47"/>
    </row>
    <row r="450" spans="1:187" ht="10.5" customHeight="1">
      <c r="A450" s="43"/>
      <c r="B450" s="108"/>
      <c r="C450" s="201"/>
      <c r="D450" s="201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43"/>
      <c r="U450" s="108"/>
      <c r="V450" s="108"/>
      <c r="W450" s="108"/>
      <c r="X450" s="108"/>
      <c r="Y450" s="108"/>
      <c r="Z450" s="108"/>
      <c r="AA450" s="43"/>
      <c r="AB450" s="108"/>
      <c r="AC450" s="108"/>
      <c r="AD450" s="108"/>
      <c r="AE450" s="108"/>
      <c r="AF450" s="108"/>
      <c r="AG450" s="108"/>
      <c r="AH450" s="43"/>
      <c r="AI450" s="108"/>
      <c r="AJ450" s="108"/>
      <c r="AK450" s="108"/>
      <c r="AL450" s="108"/>
      <c r="AM450" s="108"/>
      <c r="AN450" s="108"/>
      <c r="AO450" s="43"/>
      <c r="AP450" s="108"/>
      <c r="AQ450" s="108"/>
      <c r="AR450" s="108"/>
      <c r="AS450" s="108"/>
      <c r="AT450" s="108"/>
      <c r="AU450" s="108"/>
      <c r="AV450" s="43"/>
      <c r="AW450" s="108"/>
      <c r="AX450" s="108"/>
      <c r="AY450" s="108"/>
      <c r="AZ450" s="108"/>
      <c r="BA450" s="108"/>
      <c r="BB450" s="108"/>
      <c r="BC450" s="43"/>
      <c r="BD450" s="108"/>
      <c r="BE450" s="108"/>
      <c r="BF450" s="108"/>
      <c r="BG450" s="108"/>
      <c r="BH450" s="108"/>
      <c r="BI450" s="108"/>
      <c r="BJ450" s="43"/>
      <c r="BK450" s="108"/>
      <c r="BL450" s="108"/>
      <c r="BM450" s="108"/>
      <c r="BN450" s="108"/>
      <c r="BO450" s="108"/>
      <c r="BP450" s="108"/>
      <c r="BQ450" s="43"/>
      <c r="BR450" s="108"/>
      <c r="BS450" s="108"/>
      <c r="BT450" s="108"/>
      <c r="BU450" s="108"/>
      <c r="BV450" s="108"/>
      <c r="BW450" s="108"/>
      <c r="BX450" s="43"/>
      <c r="BY450" s="108"/>
      <c r="BZ450" s="108"/>
      <c r="CA450" s="108"/>
      <c r="CB450" s="108"/>
      <c r="CC450" s="108"/>
      <c r="CD450" s="108"/>
      <c r="CE450" s="43"/>
      <c r="CF450" s="108"/>
      <c r="CG450" s="108"/>
      <c r="CH450" s="108"/>
      <c r="CI450" s="108"/>
      <c r="CJ450" s="108"/>
      <c r="CK450" s="108"/>
      <c r="CL450" s="43"/>
      <c r="CM450" s="108"/>
      <c r="CN450" s="108"/>
      <c r="CO450" s="108"/>
      <c r="CP450" s="108"/>
      <c r="CQ450" s="108"/>
      <c r="CR450" s="108"/>
      <c r="CS450" s="43"/>
      <c r="CT450" s="108"/>
      <c r="CU450" s="108"/>
      <c r="CV450" s="108"/>
      <c r="CW450" s="108"/>
      <c r="CX450" s="108"/>
      <c r="CY450" s="108"/>
      <c r="CZ450" s="43"/>
      <c r="DA450" s="108"/>
      <c r="DB450" s="108"/>
      <c r="DC450" s="108"/>
      <c r="DD450" s="108"/>
      <c r="DE450" s="108"/>
      <c r="DF450" s="108"/>
      <c r="DG450" s="43"/>
      <c r="DH450" s="108"/>
      <c r="DI450" s="108"/>
      <c r="DJ450" s="108"/>
      <c r="DK450" s="108"/>
      <c r="DL450" s="108"/>
      <c r="DM450" s="108"/>
      <c r="DN450" s="43"/>
      <c r="DO450" s="108"/>
      <c r="DP450" s="108"/>
      <c r="DQ450" s="108"/>
      <c r="DR450" s="108"/>
      <c r="DS450" s="108"/>
      <c r="DT450" s="108"/>
      <c r="DU450" s="43"/>
      <c r="DV450" s="108"/>
      <c r="DW450" s="108"/>
      <c r="DX450" s="108"/>
      <c r="DY450" s="108"/>
      <c r="DZ450" s="108"/>
      <c r="EA450" s="108"/>
      <c r="EB450" s="43"/>
      <c r="EC450" s="108"/>
      <c r="ED450" s="108"/>
      <c r="EE450" s="108"/>
      <c r="EF450" s="108"/>
      <c r="EG450" s="108"/>
      <c r="EH450" s="108"/>
      <c r="EI450" s="43"/>
      <c r="EJ450" s="47"/>
      <c r="EK450" s="47"/>
      <c r="EL450" s="47"/>
      <c r="EM450" s="47"/>
      <c r="EN450" s="47"/>
      <c r="EO450" s="47"/>
      <c r="EP450" s="47"/>
      <c r="EQ450" s="47"/>
      <c r="ER450" s="47"/>
      <c r="ES450" s="47"/>
      <c r="ET450" s="47"/>
      <c r="EU450" s="47"/>
      <c r="EV450" s="47"/>
      <c r="EW450" s="47"/>
      <c r="EX450" s="47"/>
      <c r="EY450" s="47"/>
      <c r="EZ450" s="47"/>
      <c r="FA450" s="47"/>
      <c r="FB450" s="47"/>
      <c r="FC450" s="47"/>
      <c r="FD450" s="47"/>
      <c r="FE450" s="47"/>
      <c r="FF450" s="47"/>
      <c r="FG450" s="47"/>
      <c r="FH450" s="47"/>
      <c r="FI450" s="47"/>
      <c r="FJ450" s="47"/>
      <c r="FK450" s="47"/>
      <c r="FL450" s="47"/>
      <c r="FM450" s="47"/>
      <c r="FN450" s="47"/>
      <c r="FO450" s="47"/>
      <c r="FP450" s="47"/>
      <c r="FQ450" s="47"/>
      <c r="FR450" s="47"/>
      <c r="FS450" s="47"/>
      <c r="FT450" s="47"/>
      <c r="FU450" s="47"/>
      <c r="FV450" s="47"/>
      <c r="FW450" s="47"/>
      <c r="FX450" s="47"/>
      <c r="FY450" s="47"/>
      <c r="FZ450" s="47"/>
      <c r="GA450" s="47"/>
      <c r="GB450" s="47"/>
      <c r="GC450" s="47"/>
      <c r="GD450" s="47"/>
      <c r="GE450" s="47"/>
    </row>
    <row r="451" spans="1:187" ht="10.5" customHeight="1">
      <c r="A451" s="76"/>
      <c r="B451" s="108"/>
      <c r="C451" s="201"/>
      <c r="D451" s="201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43"/>
      <c r="U451" s="108"/>
      <c r="V451" s="108"/>
      <c r="W451" s="108"/>
      <c r="X451" s="108"/>
      <c r="Y451" s="108"/>
      <c r="Z451" s="108"/>
      <c r="AA451" s="43"/>
      <c r="AB451" s="108"/>
      <c r="AC451" s="108"/>
      <c r="AD451" s="108"/>
      <c r="AE451" s="108"/>
      <c r="AF451" s="108"/>
      <c r="AG451" s="108"/>
      <c r="AH451" s="43"/>
      <c r="AI451" s="108"/>
      <c r="AJ451" s="108"/>
      <c r="AK451" s="108"/>
      <c r="AL451" s="108"/>
      <c r="AM451" s="108"/>
      <c r="AN451" s="108"/>
      <c r="AO451" s="43"/>
      <c r="AP451" s="108"/>
      <c r="AQ451" s="108"/>
      <c r="AR451" s="108"/>
      <c r="AS451" s="108"/>
      <c r="AT451" s="108"/>
      <c r="AU451" s="108"/>
      <c r="AV451" s="43"/>
      <c r="AW451" s="108"/>
      <c r="AX451" s="108"/>
      <c r="AY451" s="108"/>
      <c r="AZ451" s="108"/>
      <c r="BA451" s="108"/>
      <c r="BB451" s="108"/>
      <c r="BC451" s="43"/>
      <c r="BD451" s="108"/>
      <c r="BE451" s="108"/>
      <c r="BF451" s="108"/>
      <c r="BG451" s="108"/>
      <c r="BH451" s="108"/>
      <c r="BI451" s="108"/>
      <c r="BJ451" s="43"/>
      <c r="BK451" s="108"/>
      <c r="BL451" s="108"/>
      <c r="BM451" s="108"/>
      <c r="BN451" s="108"/>
      <c r="BO451" s="108"/>
      <c r="BP451" s="108"/>
      <c r="BQ451" s="43"/>
      <c r="BR451" s="108"/>
      <c r="BS451" s="108"/>
      <c r="BT451" s="108"/>
      <c r="BU451" s="108"/>
      <c r="BV451" s="108"/>
      <c r="BW451" s="108"/>
      <c r="BX451" s="43"/>
      <c r="BY451" s="108"/>
      <c r="BZ451" s="108"/>
      <c r="CA451" s="108"/>
      <c r="CB451" s="108"/>
      <c r="CC451" s="108"/>
      <c r="CD451" s="108"/>
      <c r="CE451" s="43"/>
      <c r="CF451" s="108"/>
      <c r="CG451" s="108"/>
      <c r="CH451" s="108"/>
      <c r="CI451" s="108"/>
      <c r="CJ451" s="108"/>
      <c r="CK451" s="108"/>
      <c r="CL451" s="43"/>
      <c r="CM451" s="108"/>
      <c r="CN451" s="108"/>
      <c r="CO451" s="108"/>
      <c r="CP451" s="108"/>
      <c r="CQ451" s="108"/>
      <c r="CR451" s="108"/>
      <c r="CS451" s="43"/>
      <c r="CT451" s="108"/>
      <c r="CU451" s="108"/>
      <c r="CV451" s="108"/>
      <c r="CW451" s="108"/>
      <c r="CX451" s="108"/>
      <c r="CY451" s="108"/>
      <c r="CZ451" s="43"/>
      <c r="DA451" s="108"/>
      <c r="DB451" s="108"/>
      <c r="DC451" s="108"/>
      <c r="DD451" s="108"/>
      <c r="DE451" s="108"/>
      <c r="DF451" s="108"/>
      <c r="DG451" s="43"/>
      <c r="DH451" s="108"/>
      <c r="DI451" s="108"/>
      <c r="DJ451" s="108"/>
      <c r="DK451" s="108"/>
      <c r="DL451" s="108"/>
      <c r="DM451" s="108"/>
      <c r="DN451" s="43"/>
      <c r="DO451" s="108"/>
      <c r="DP451" s="108"/>
      <c r="DQ451" s="108"/>
      <c r="DR451" s="108"/>
      <c r="DS451" s="108"/>
      <c r="DT451" s="108"/>
      <c r="DU451" s="43"/>
      <c r="DV451" s="108"/>
      <c r="DW451" s="108"/>
      <c r="DX451" s="108"/>
      <c r="DY451" s="108"/>
      <c r="DZ451" s="108"/>
      <c r="EA451" s="108"/>
      <c r="EB451" s="43"/>
      <c r="EC451" s="108"/>
      <c r="ED451" s="108"/>
      <c r="EE451" s="108"/>
      <c r="EF451" s="108"/>
      <c r="EG451" s="108"/>
      <c r="EH451" s="108"/>
      <c r="EI451" s="43"/>
      <c r="EJ451" s="47"/>
      <c r="EK451" s="47"/>
      <c r="EL451" s="47"/>
      <c r="EM451" s="47"/>
      <c r="EN451" s="47"/>
      <c r="EO451" s="47"/>
      <c r="EP451" s="47"/>
      <c r="EQ451" s="47"/>
      <c r="ER451" s="47"/>
      <c r="ES451" s="47"/>
      <c r="ET451" s="47"/>
      <c r="EU451" s="47"/>
      <c r="EV451" s="47"/>
      <c r="EW451" s="47"/>
      <c r="EX451" s="47"/>
      <c r="EY451" s="47"/>
      <c r="EZ451" s="47"/>
      <c r="FA451" s="47"/>
      <c r="FB451" s="47"/>
      <c r="FC451" s="47"/>
      <c r="FD451" s="47"/>
      <c r="FE451" s="47"/>
      <c r="FF451" s="47"/>
      <c r="FG451" s="47"/>
      <c r="FH451" s="47"/>
      <c r="FI451" s="47"/>
      <c r="FJ451" s="47"/>
      <c r="FK451" s="47"/>
      <c r="FL451" s="47"/>
      <c r="FM451" s="47"/>
      <c r="FN451" s="47"/>
      <c r="FO451" s="47"/>
      <c r="FP451" s="47"/>
      <c r="FQ451" s="47"/>
      <c r="FR451" s="47"/>
      <c r="FS451" s="47"/>
      <c r="FT451" s="47"/>
      <c r="FU451" s="47"/>
      <c r="FV451" s="47"/>
      <c r="FW451" s="47"/>
      <c r="FX451" s="47"/>
      <c r="FY451" s="47"/>
      <c r="FZ451" s="47"/>
      <c r="GA451" s="47"/>
      <c r="GB451" s="47"/>
      <c r="GC451" s="47"/>
      <c r="GD451" s="47"/>
      <c r="GE451" s="47"/>
    </row>
    <row r="452" spans="1:187" ht="10.5" customHeight="1">
      <c r="A452" s="76"/>
      <c r="B452" s="108"/>
      <c r="C452" s="201"/>
      <c r="D452" s="201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43"/>
      <c r="U452" s="108"/>
      <c r="V452" s="108"/>
      <c r="W452" s="108"/>
      <c r="X452" s="108"/>
      <c r="Y452" s="108"/>
      <c r="Z452" s="108"/>
      <c r="AA452" s="43"/>
      <c r="AB452" s="108"/>
      <c r="AC452" s="108"/>
      <c r="AD452" s="108"/>
      <c r="AE452" s="108"/>
      <c r="AF452" s="108"/>
      <c r="AG452" s="108"/>
      <c r="AH452" s="43"/>
      <c r="AI452" s="108"/>
      <c r="AJ452" s="108"/>
      <c r="AK452" s="108"/>
      <c r="AL452" s="108"/>
      <c r="AM452" s="108"/>
      <c r="AN452" s="108"/>
      <c r="AO452" s="43"/>
      <c r="AP452" s="108"/>
      <c r="AQ452" s="108"/>
      <c r="AR452" s="108"/>
      <c r="AS452" s="108"/>
      <c r="AT452" s="108"/>
      <c r="AU452" s="108"/>
      <c r="AV452" s="43"/>
      <c r="AW452" s="108"/>
      <c r="AX452" s="108"/>
      <c r="AY452" s="108"/>
      <c r="AZ452" s="108"/>
      <c r="BA452" s="108"/>
      <c r="BB452" s="108"/>
      <c r="BC452" s="43"/>
      <c r="BD452" s="108"/>
      <c r="BE452" s="108"/>
      <c r="BF452" s="108"/>
      <c r="BG452" s="108"/>
      <c r="BH452" s="108"/>
      <c r="BI452" s="108"/>
      <c r="BJ452" s="43"/>
      <c r="BK452" s="108"/>
      <c r="BL452" s="108"/>
      <c r="BM452" s="108"/>
      <c r="BN452" s="108"/>
      <c r="BO452" s="108"/>
      <c r="BP452" s="108"/>
      <c r="BQ452" s="43"/>
      <c r="BR452" s="108"/>
      <c r="BS452" s="108"/>
      <c r="BT452" s="108"/>
      <c r="BU452" s="108"/>
      <c r="BV452" s="108"/>
      <c r="BW452" s="108"/>
      <c r="BX452" s="43"/>
      <c r="BY452" s="108"/>
      <c r="BZ452" s="108"/>
      <c r="CA452" s="108"/>
      <c r="CB452" s="108"/>
      <c r="CC452" s="108"/>
      <c r="CD452" s="108"/>
      <c r="CE452" s="43"/>
      <c r="CF452" s="108"/>
      <c r="CG452" s="108"/>
      <c r="CH452" s="108"/>
      <c r="CI452" s="108"/>
      <c r="CJ452" s="108"/>
      <c r="CK452" s="108"/>
      <c r="CL452" s="43"/>
      <c r="CM452" s="108"/>
      <c r="CN452" s="108"/>
      <c r="CO452" s="108"/>
      <c r="CP452" s="108"/>
      <c r="CQ452" s="108"/>
      <c r="CR452" s="108"/>
      <c r="CS452" s="43"/>
      <c r="CT452" s="108"/>
      <c r="CU452" s="108"/>
      <c r="CV452" s="108"/>
      <c r="CW452" s="108"/>
      <c r="CX452" s="108"/>
      <c r="CY452" s="108"/>
      <c r="CZ452" s="43"/>
      <c r="DA452" s="108"/>
      <c r="DB452" s="108"/>
      <c r="DC452" s="108"/>
      <c r="DD452" s="108"/>
      <c r="DE452" s="108"/>
      <c r="DF452" s="108"/>
      <c r="DG452" s="43"/>
      <c r="DH452" s="108"/>
      <c r="DI452" s="108"/>
      <c r="DJ452" s="108"/>
      <c r="DK452" s="108"/>
      <c r="DL452" s="108"/>
      <c r="DM452" s="108"/>
      <c r="DN452" s="43"/>
      <c r="DO452" s="108"/>
      <c r="DP452" s="108"/>
      <c r="DQ452" s="108"/>
      <c r="DR452" s="108"/>
      <c r="DS452" s="108"/>
      <c r="DT452" s="108"/>
      <c r="DU452" s="43"/>
      <c r="DV452" s="108"/>
      <c r="DW452" s="108"/>
      <c r="DX452" s="108"/>
      <c r="DY452" s="108"/>
      <c r="DZ452" s="108"/>
      <c r="EA452" s="108"/>
      <c r="EB452" s="43"/>
      <c r="EC452" s="108"/>
      <c r="ED452" s="108"/>
      <c r="EE452" s="108"/>
      <c r="EF452" s="108"/>
      <c r="EG452" s="108"/>
      <c r="EH452" s="108"/>
      <c r="EI452" s="43"/>
      <c r="EJ452" s="47"/>
      <c r="EK452" s="47"/>
      <c r="EL452" s="47"/>
      <c r="EM452" s="47"/>
      <c r="EN452" s="47"/>
      <c r="EO452" s="47"/>
      <c r="EP452" s="47"/>
      <c r="EQ452" s="47"/>
      <c r="ER452" s="47"/>
      <c r="ES452" s="47"/>
      <c r="ET452" s="47"/>
      <c r="EU452" s="47"/>
      <c r="EV452" s="47"/>
      <c r="EW452" s="47"/>
      <c r="EX452" s="47"/>
      <c r="EY452" s="47"/>
      <c r="EZ452" s="47"/>
      <c r="FA452" s="47"/>
      <c r="FB452" s="47"/>
      <c r="FC452" s="47"/>
      <c r="FD452" s="47"/>
      <c r="FE452" s="47"/>
      <c r="FF452" s="47"/>
      <c r="FG452" s="47"/>
      <c r="FH452" s="47"/>
      <c r="FI452" s="47"/>
      <c r="FJ452" s="47"/>
      <c r="FK452" s="47"/>
      <c r="FL452" s="47"/>
      <c r="FM452" s="47"/>
      <c r="FN452" s="47"/>
      <c r="FO452" s="47"/>
      <c r="FP452" s="47"/>
      <c r="FQ452" s="47"/>
      <c r="FR452" s="47"/>
      <c r="FS452" s="47"/>
      <c r="FT452" s="47"/>
      <c r="FU452" s="47"/>
      <c r="FV452" s="47"/>
      <c r="FW452" s="47"/>
      <c r="FX452" s="47"/>
      <c r="FY452" s="47"/>
      <c r="FZ452" s="47"/>
      <c r="GA452" s="47"/>
      <c r="GB452" s="47"/>
      <c r="GC452" s="47"/>
      <c r="GD452" s="47"/>
      <c r="GE452" s="47"/>
    </row>
    <row r="453" spans="1:187" ht="10.5" customHeight="1">
      <c r="A453" s="43"/>
      <c r="B453" s="108"/>
      <c r="C453" s="108"/>
      <c r="D453" s="201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43"/>
      <c r="U453" s="108"/>
      <c r="V453" s="108"/>
      <c r="W453" s="108"/>
      <c r="X453" s="108"/>
      <c r="Y453" s="108"/>
      <c r="Z453" s="108"/>
      <c r="AA453" s="43"/>
      <c r="AB453" s="108"/>
      <c r="AC453" s="108"/>
      <c r="AD453" s="108"/>
      <c r="AE453" s="108"/>
      <c r="AF453" s="108"/>
      <c r="AG453" s="108"/>
      <c r="AH453" s="43"/>
      <c r="AI453" s="108"/>
      <c r="AJ453" s="108"/>
      <c r="AK453" s="108"/>
      <c r="AL453" s="108"/>
      <c r="AM453" s="108"/>
      <c r="AN453" s="108"/>
      <c r="AO453" s="43"/>
      <c r="AP453" s="108"/>
      <c r="AQ453" s="108"/>
      <c r="AR453" s="108"/>
      <c r="AS453" s="108"/>
      <c r="AT453" s="108"/>
      <c r="AU453" s="108"/>
      <c r="AV453" s="43"/>
      <c r="AW453" s="108"/>
      <c r="AX453" s="108"/>
      <c r="AY453" s="108"/>
      <c r="AZ453" s="108"/>
      <c r="BA453" s="108"/>
      <c r="BB453" s="108"/>
      <c r="BC453" s="43"/>
      <c r="BD453" s="108"/>
      <c r="BE453" s="108"/>
      <c r="BF453" s="108"/>
      <c r="BG453" s="108"/>
      <c r="BH453" s="108"/>
      <c r="BI453" s="108"/>
      <c r="BJ453" s="43"/>
      <c r="BK453" s="108"/>
      <c r="BL453" s="108"/>
      <c r="BM453" s="108"/>
      <c r="BN453" s="108"/>
      <c r="BO453" s="108"/>
      <c r="BP453" s="108"/>
      <c r="BQ453" s="43"/>
      <c r="BR453" s="108"/>
      <c r="BS453" s="108"/>
      <c r="BT453" s="108"/>
      <c r="BU453" s="108"/>
      <c r="BV453" s="108"/>
      <c r="BW453" s="108"/>
      <c r="BX453" s="43"/>
      <c r="BY453" s="108"/>
      <c r="BZ453" s="108"/>
      <c r="CA453" s="108"/>
      <c r="CB453" s="108"/>
      <c r="CC453" s="108"/>
      <c r="CD453" s="108"/>
      <c r="CE453" s="43"/>
      <c r="CF453" s="108"/>
      <c r="CG453" s="108"/>
      <c r="CH453" s="108"/>
      <c r="CI453" s="108"/>
      <c r="CJ453" s="108"/>
      <c r="CK453" s="108"/>
      <c r="CL453" s="43"/>
      <c r="CM453" s="108"/>
      <c r="CN453" s="108"/>
      <c r="CO453" s="108"/>
      <c r="CP453" s="108"/>
      <c r="CQ453" s="108"/>
      <c r="CR453" s="108"/>
      <c r="CS453" s="43"/>
      <c r="CT453" s="108"/>
      <c r="CU453" s="108"/>
      <c r="CV453" s="108"/>
      <c r="CW453" s="108"/>
      <c r="CX453" s="108"/>
      <c r="CY453" s="108"/>
      <c r="CZ453" s="43"/>
      <c r="DA453" s="108"/>
      <c r="DB453" s="108"/>
      <c r="DC453" s="108"/>
      <c r="DD453" s="108"/>
      <c r="DE453" s="108"/>
      <c r="DF453" s="108"/>
      <c r="DG453" s="43"/>
      <c r="DH453" s="108"/>
      <c r="DI453" s="108"/>
      <c r="DJ453" s="108"/>
      <c r="DK453" s="108"/>
      <c r="DL453" s="108"/>
      <c r="DM453" s="108"/>
      <c r="DN453" s="43"/>
      <c r="DO453" s="108"/>
      <c r="DP453" s="108"/>
      <c r="DQ453" s="108"/>
      <c r="DR453" s="108"/>
      <c r="DS453" s="108"/>
      <c r="DT453" s="108"/>
      <c r="DU453" s="43"/>
      <c r="DV453" s="108"/>
      <c r="DW453" s="108"/>
      <c r="DX453" s="108"/>
      <c r="DY453" s="108"/>
      <c r="DZ453" s="108"/>
      <c r="EA453" s="108"/>
      <c r="EB453" s="43"/>
      <c r="EC453" s="108"/>
      <c r="ED453" s="108"/>
      <c r="EE453" s="108"/>
      <c r="EF453" s="108"/>
      <c r="EG453" s="108"/>
      <c r="EH453" s="108"/>
      <c r="EI453" s="43"/>
      <c r="EJ453" s="47"/>
      <c r="EK453" s="47"/>
      <c r="EL453" s="47"/>
      <c r="EM453" s="47"/>
      <c r="EN453" s="47"/>
      <c r="EO453" s="47"/>
      <c r="EP453" s="47"/>
      <c r="EQ453" s="47"/>
      <c r="ER453" s="47"/>
      <c r="ES453" s="47"/>
      <c r="ET453" s="47"/>
      <c r="EU453" s="47"/>
      <c r="EV453" s="47"/>
      <c r="EW453" s="47"/>
      <c r="EX453" s="47"/>
      <c r="EY453" s="47"/>
      <c r="EZ453" s="47"/>
      <c r="FA453" s="47"/>
      <c r="FB453" s="47"/>
      <c r="FC453" s="47"/>
      <c r="FD453" s="47"/>
      <c r="FE453" s="47"/>
      <c r="FF453" s="47"/>
      <c r="FG453" s="47"/>
      <c r="FH453" s="47"/>
      <c r="FI453" s="47"/>
      <c r="FJ453" s="47"/>
      <c r="FK453" s="47"/>
      <c r="FL453" s="47"/>
      <c r="FM453" s="47"/>
      <c r="FN453" s="47"/>
      <c r="FO453" s="47"/>
      <c r="FP453" s="47"/>
      <c r="FQ453" s="47"/>
      <c r="FR453" s="47"/>
      <c r="FS453" s="47"/>
      <c r="FT453" s="47"/>
      <c r="FU453" s="47"/>
      <c r="FV453" s="47"/>
      <c r="FW453" s="47"/>
      <c r="FX453" s="47"/>
      <c r="FY453" s="47"/>
      <c r="FZ453" s="47"/>
      <c r="GA453" s="47"/>
      <c r="GB453" s="47"/>
      <c r="GC453" s="47"/>
      <c r="GD453" s="47"/>
      <c r="GE453" s="47"/>
    </row>
    <row r="454" spans="1:187" ht="10.5" customHeight="1">
      <c r="A454" s="43"/>
      <c r="B454" s="108"/>
      <c r="C454" s="201"/>
      <c r="D454" s="201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43"/>
      <c r="U454" s="108"/>
      <c r="V454" s="108"/>
      <c r="W454" s="108"/>
      <c r="X454" s="108"/>
      <c r="Y454" s="108"/>
      <c r="Z454" s="108"/>
      <c r="AA454" s="43"/>
      <c r="AB454" s="108"/>
      <c r="AC454" s="108"/>
      <c r="AD454" s="108"/>
      <c r="AE454" s="108"/>
      <c r="AF454" s="108"/>
      <c r="AG454" s="108"/>
      <c r="AH454" s="43"/>
      <c r="AI454" s="108"/>
      <c r="AJ454" s="108"/>
      <c r="AK454" s="108"/>
      <c r="AL454" s="108"/>
      <c r="AM454" s="108"/>
      <c r="AN454" s="108"/>
      <c r="AO454" s="43"/>
      <c r="AP454" s="108"/>
      <c r="AQ454" s="108"/>
      <c r="AR454" s="108"/>
      <c r="AS454" s="108"/>
      <c r="AT454" s="108"/>
      <c r="AU454" s="108"/>
      <c r="AV454" s="43"/>
      <c r="AW454" s="108"/>
      <c r="AX454" s="108"/>
      <c r="AY454" s="108"/>
      <c r="AZ454" s="108"/>
      <c r="BA454" s="108"/>
      <c r="BB454" s="108"/>
      <c r="BC454" s="43"/>
      <c r="BD454" s="108"/>
      <c r="BE454" s="108"/>
      <c r="BF454" s="108"/>
      <c r="BG454" s="108"/>
      <c r="BH454" s="108"/>
      <c r="BI454" s="108"/>
      <c r="BJ454" s="43"/>
      <c r="BK454" s="108"/>
      <c r="BL454" s="108"/>
      <c r="BM454" s="108"/>
      <c r="BN454" s="108"/>
      <c r="BO454" s="108"/>
      <c r="BP454" s="108"/>
      <c r="BQ454" s="43"/>
      <c r="BR454" s="108"/>
      <c r="BS454" s="108"/>
      <c r="BT454" s="108"/>
      <c r="BU454" s="108"/>
      <c r="BV454" s="108"/>
      <c r="BW454" s="108"/>
      <c r="BX454" s="43"/>
      <c r="BY454" s="108"/>
      <c r="BZ454" s="108"/>
      <c r="CA454" s="108"/>
      <c r="CB454" s="108"/>
      <c r="CC454" s="108"/>
      <c r="CD454" s="108"/>
      <c r="CE454" s="43"/>
      <c r="CF454" s="108"/>
      <c r="CG454" s="108"/>
      <c r="CH454" s="108"/>
      <c r="CI454" s="108"/>
      <c r="CJ454" s="108"/>
      <c r="CK454" s="108"/>
      <c r="CL454" s="43"/>
      <c r="CM454" s="108"/>
      <c r="CN454" s="108"/>
      <c r="CO454" s="108"/>
      <c r="CP454" s="108"/>
      <c r="CQ454" s="108"/>
      <c r="CR454" s="108"/>
      <c r="CS454" s="43"/>
      <c r="CT454" s="108"/>
      <c r="CU454" s="108"/>
      <c r="CV454" s="108"/>
      <c r="CW454" s="108"/>
      <c r="CX454" s="108"/>
      <c r="CY454" s="108"/>
      <c r="CZ454" s="43"/>
      <c r="DA454" s="108"/>
      <c r="DB454" s="108"/>
      <c r="DC454" s="108"/>
      <c r="DD454" s="108"/>
      <c r="DE454" s="108"/>
      <c r="DF454" s="108"/>
      <c r="DG454" s="43"/>
      <c r="DH454" s="108"/>
      <c r="DI454" s="108"/>
      <c r="DJ454" s="108"/>
      <c r="DK454" s="108"/>
      <c r="DL454" s="108"/>
      <c r="DM454" s="108"/>
      <c r="DN454" s="43"/>
      <c r="DO454" s="108"/>
      <c r="DP454" s="108"/>
      <c r="DQ454" s="108"/>
      <c r="DR454" s="108"/>
      <c r="DS454" s="108"/>
      <c r="DT454" s="108"/>
      <c r="DU454" s="43"/>
      <c r="DV454" s="108"/>
      <c r="DW454" s="108"/>
      <c r="DX454" s="108"/>
      <c r="DY454" s="108"/>
      <c r="DZ454" s="108"/>
      <c r="EA454" s="108"/>
      <c r="EB454" s="43"/>
      <c r="EC454" s="108"/>
      <c r="ED454" s="108"/>
      <c r="EE454" s="108"/>
      <c r="EF454" s="108"/>
      <c r="EG454" s="108"/>
      <c r="EH454" s="108"/>
      <c r="EI454" s="43"/>
      <c r="EJ454" s="47"/>
      <c r="EK454" s="47"/>
      <c r="EL454" s="47"/>
      <c r="EM454" s="47"/>
      <c r="EN454" s="47"/>
      <c r="EO454" s="47"/>
      <c r="EP454" s="47"/>
      <c r="EQ454" s="47"/>
      <c r="ER454" s="47"/>
      <c r="ES454" s="47"/>
      <c r="ET454" s="47"/>
      <c r="EU454" s="47"/>
      <c r="EV454" s="47"/>
      <c r="EW454" s="47"/>
      <c r="EX454" s="47"/>
      <c r="EY454" s="47"/>
      <c r="EZ454" s="47"/>
      <c r="FA454" s="47"/>
      <c r="FB454" s="47"/>
      <c r="FC454" s="47"/>
      <c r="FD454" s="47"/>
      <c r="FE454" s="47"/>
      <c r="FF454" s="47"/>
      <c r="FG454" s="47"/>
      <c r="FH454" s="47"/>
      <c r="FI454" s="47"/>
      <c r="FJ454" s="47"/>
      <c r="FK454" s="47"/>
      <c r="FL454" s="47"/>
      <c r="FM454" s="47"/>
      <c r="FN454" s="47"/>
      <c r="FO454" s="47"/>
      <c r="FP454" s="47"/>
      <c r="FQ454" s="47"/>
      <c r="FR454" s="47"/>
      <c r="FS454" s="47"/>
      <c r="FT454" s="47"/>
      <c r="FU454" s="47"/>
      <c r="FV454" s="47"/>
      <c r="FW454" s="47"/>
      <c r="FX454" s="47"/>
      <c r="FY454" s="47"/>
      <c r="FZ454" s="47"/>
      <c r="GA454" s="47"/>
      <c r="GB454" s="47"/>
      <c r="GC454" s="47"/>
      <c r="GD454" s="47"/>
      <c r="GE454" s="47"/>
    </row>
    <row r="455" spans="1:187" ht="10.5" customHeight="1">
      <c r="A455" s="43"/>
      <c r="B455" s="108"/>
      <c r="C455" s="201"/>
      <c r="D455" s="201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43"/>
      <c r="U455" s="108"/>
      <c r="V455" s="108"/>
      <c r="W455" s="108"/>
      <c r="X455" s="108"/>
      <c r="Y455" s="108"/>
      <c r="Z455" s="108"/>
      <c r="AA455" s="43"/>
      <c r="AB455" s="108"/>
      <c r="AC455" s="108"/>
      <c r="AD455" s="108"/>
      <c r="AE455" s="108"/>
      <c r="AF455" s="108"/>
      <c r="AG455" s="108"/>
      <c r="AH455" s="43"/>
      <c r="AI455" s="108"/>
      <c r="AJ455" s="108"/>
      <c r="AK455" s="108"/>
      <c r="AL455" s="108"/>
      <c r="AM455" s="108"/>
      <c r="AN455" s="108"/>
      <c r="AO455" s="43"/>
      <c r="AP455" s="108"/>
      <c r="AQ455" s="108"/>
      <c r="AR455" s="108"/>
      <c r="AS455" s="108"/>
      <c r="AT455" s="108"/>
      <c r="AU455" s="108"/>
      <c r="AV455" s="43"/>
      <c r="AW455" s="108"/>
      <c r="AX455" s="108"/>
      <c r="AY455" s="108"/>
      <c r="AZ455" s="108"/>
      <c r="BA455" s="108"/>
      <c r="BB455" s="108"/>
      <c r="BC455" s="43"/>
      <c r="BD455" s="108"/>
      <c r="BE455" s="108"/>
      <c r="BF455" s="108"/>
      <c r="BG455" s="108"/>
      <c r="BH455" s="108"/>
      <c r="BI455" s="108"/>
      <c r="BJ455" s="43"/>
      <c r="BK455" s="108"/>
      <c r="BL455" s="108"/>
      <c r="BM455" s="108"/>
      <c r="BN455" s="108"/>
      <c r="BO455" s="108"/>
      <c r="BP455" s="108"/>
      <c r="BQ455" s="43"/>
      <c r="BR455" s="108"/>
      <c r="BS455" s="108"/>
      <c r="BT455" s="108"/>
      <c r="BU455" s="108"/>
      <c r="BV455" s="108"/>
      <c r="BW455" s="108"/>
      <c r="BX455" s="43"/>
      <c r="BY455" s="108"/>
      <c r="BZ455" s="108"/>
      <c r="CA455" s="108"/>
      <c r="CB455" s="108"/>
      <c r="CC455" s="108"/>
      <c r="CD455" s="108"/>
      <c r="CE455" s="43"/>
      <c r="CF455" s="108"/>
      <c r="CG455" s="108"/>
      <c r="CH455" s="108"/>
      <c r="CI455" s="108"/>
      <c r="CJ455" s="108"/>
      <c r="CK455" s="108"/>
      <c r="CL455" s="43"/>
      <c r="CM455" s="108"/>
      <c r="CN455" s="108"/>
      <c r="CO455" s="108"/>
      <c r="CP455" s="108"/>
      <c r="CQ455" s="108"/>
      <c r="CR455" s="108"/>
      <c r="CS455" s="43"/>
      <c r="CT455" s="108"/>
      <c r="CU455" s="108"/>
      <c r="CV455" s="108"/>
      <c r="CW455" s="108"/>
      <c r="CX455" s="108"/>
      <c r="CY455" s="108"/>
      <c r="CZ455" s="43"/>
      <c r="DA455" s="108"/>
      <c r="DB455" s="108"/>
      <c r="DC455" s="108"/>
      <c r="DD455" s="108"/>
      <c r="DE455" s="108"/>
      <c r="DF455" s="108"/>
      <c r="DG455" s="43"/>
      <c r="DH455" s="108"/>
      <c r="DI455" s="108"/>
      <c r="DJ455" s="108"/>
      <c r="DK455" s="108"/>
      <c r="DL455" s="108"/>
      <c r="DM455" s="108"/>
      <c r="DN455" s="43"/>
      <c r="DO455" s="108"/>
      <c r="DP455" s="108"/>
      <c r="DQ455" s="108"/>
      <c r="DR455" s="108"/>
      <c r="DS455" s="108"/>
      <c r="DT455" s="108"/>
      <c r="DU455" s="43"/>
      <c r="DV455" s="108"/>
      <c r="DW455" s="108"/>
      <c r="DX455" s="108"/>
      <c r="DY455" s="108"/>
      <c r="DZ455" s="108"/>
      <c r="EA455" s="108"/>
      <c r="EB455" s="43"/>
      <c r="EC455" s="108"/>
      <c r="ED455" s="108"/>
      <c r="EE455" s="108"/>
      <c r="EF455" s="108"/>
      <c r="EG455" s="108"/>
      <c r="EH455" s="108"/>
      <c r="EI455" s="43"/>
      <c r="EJ455" s="47"/>
      <c r="EK455" s="47"/>
      <c r="EL455" s="47"/>
      <c r="EM455" s="47"/>
      <c r="EN455" s="47"/>
      <c r="EO455" s="47"/>
      <c r="EP455" s="47"/>
      <c r="EQ455" s="47"/>
      <c r="ER455" s="47"/>
      <c r="ES455" s="47"/>
      <c r="ET455" s="47"/>
      <c r="EU455" s="47"/>
      <c r="EV455" s="47"/>
      <c r="EW455" s="47"/>
      <c r="EX455" s="47"/>
      <c r="EY455" s="47"/>
      <c r="EZ455" s="47"/>
      <c r="FA455" s="47"/>
      <c r="FB455" s="47"/>
      <c r="FC455" s="47"/>
      <c r="FD455" s="47"/>
      <c r="FE455" s="47"/>
      <c r="FF455" s="47"/>
      <c r="FG455" s="47"/>
      <c r="FH455" s="47"/>
      <c r="FI455" s="47"/>
      <c r="FJ455" s="47"/>
      <c r="FK455" s="47"/>
      <c r="FL455" s="47"/>
      <c r="FM455" s="47"/>
      <c r="FN455" s="47"/>
      <c r="FO455" s="47"/>
      <c r="FP455" s="47"/>
      <c r="FQ455" s="47"/>
      <c r="FR455" s="47"/>
      <c r="FS455" s="47"/>
      <c r="FT455" s="47"/>
      <c r="FU455" s="47"/>
      <c r="FV455" s="47"/>
      <c r="FW455" s="47"/>
      <c r="FX455" s="47"/>
      <c r="FY455" s="47"/>
      <c r="FZ455" s="47"/>
      <c r="GA455" s="47"/>
      <c r="GB455" s="47"/>
      <c r="GC455" s="47"/>
      <c r="GD455" s="47"/>
      <c r="GE455" s="47"/>
    </row>
    <row r="456" spans="1:187" ht="10.5" customHeight="1">
      <c r="A456" s="43"/>
      <c r="B456" s="108"/>
      <c r="C456" s="201"/>
      <c r="D456" s="201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43"/>
      <c r="U456" s="108"/>
      <c r="V456" s="108"/>
      <c r="W456" s="108"/>
      <c r="X456" s="108"/>
      <c r="Y456" s="108"/>
      <c r="Z456" s="108"/>
      <c r="AA456" s="43"/>
      <c r="AB456" s="108"/>
      <c r="AC456" s="108"/>
      <c r="AD456" s="108"/>
      <c r="AE456" s="108"/>
      <c r="AF456" s="108"/>
      <c r="AG456" s="108"/>
      <c r="AH456" s="43"/>
      <c r="AI456" s="108"/>
      <c r="AJ456" s="108"/>
      <c r="AK456" s="108"/>
      <c r="AL456" s="108"/>
      <c r="AM456" s="108"/>
      <c r="AN456" s="108"/>
      <c r="AO456" s="43"/>
      <c r="AP456" s="108"/>
      <c r="AQ456" s="108"/>
      <c r="AR456" s="108"/>
      <c r="AS456" s="108"/>
      <c r="AT456" s="108"/>
      <c r="AU456" s="108"/>
      <c r="AV456" s="43"/>
      <c r="AW456" s="108"/>
      <c r="AX456" s="108"/>
      <c r="AY456" s="108"/>
      <c r="AZ456" s="108"/>
      <c r="BA456" s="108"/>
      <c r="BB456" s="108"/>
      <c r="BC456" s="43"/>
      <c r="BD456" s="108"/>
      <c r="BE456" s="108"/>
      <c r="BF456" s="108"/>
      <c r="BG456" s="108"/>
      <c r="BH456" s="108"/>
      <c r="BI456" s="108"/>
      <c r="BJ456" s="43"/>
      <c r="BK456" s="108"/>
      <c r="BL456" s="108"/>
      <c r="BM456" s="108"/>
      <c r="BN456" s="108"/>
      <c r="BO456" s="108"/>
      <c r="BP456" s="108"/>
      <c r="BQ456" s="43"/>
      <c r="BR456" s="108"/>
      <c r="BS456" s="108"/>
      <c r="BT456" s="108"/>
      <c r="BU456" s="108"/>
      <c r="BV456" s="108"/>
      <c r="BW456" s="108"/>
      <c r="BX456" s="43"/>
      <c r="BY456" s="108"/>
      <c r="BZ456" s="108"/>
      <c r="CA456" s="108"/>
      <c r="CB456" s="108"/>
      <c r="CC456" s="108"/>
      <c r="CD456" s="108"/>
      <c r="CE456" s="43"/>
      <c r="CF456" s="108"/>
      <c r="CG456" s="108"/>
      <c r="CH456" s="108"/>
      <c r="CI456" s="108"/>
      <c r="CJ456" s="108"/>
      <c r="CK456" s="108"/>
      <c r="CL456" s="43"/>
      <c r="CM456" s="108"/>
      <c r="CN456" s="108"/>
      <c r="CO456" s="108"/>
      <c r="CP456" s="108"/>
      <c r="CQ456" s="108"/>
      <c r="CR456" s="108"/>
      <c r="CS456" s="43"/>
      <c r="CT456" s="108"/>
      <c r="CU456" s="108"/>
      <c r="CV456" s="108"/>
      <c r="CW456" s="108"/>
      <c r="CX456" s="108"/>
      <c r="CY456" s="108"/>
      <c r="CZ456" s="43"/>
      <c r="DA456" s="108"/>
      <c r="DB456" s="108"/>
      <c r="DC456" s="108"/>
      <c r="DD456" s="108"/>
      <c r="DE456" s="108"/>
      <c r="DF456" s="108"/>
      <c r="DG456" s="43"/>
      <c r="DH456" s="108"/>
      <c r="DI456" s="108"/>
      <c r="DJ456" s="108"/>
      <c r="DK456" s="108"/>
      <c r="DL456" s="108"/>
      <c r="DM456" s="108"/>
      <c r="DN456" s="43"/>
      <c r="DO456" s="108"/>
      <c r="DP456" s="108"/>
      <c r="DQ456" s="108"/>
      <c r="DR456" s="108"/>
      <c r="DS456" s="108"/>
      <c r="DT456" s="108"/>
      <c r="DU456" s="43"/>
      <c r="DV456" s="108"/>
      <c r="DW456" s="108"/>
      <c r="DX456" s="108"/>
      <c r="DY456" s="108"/>
      <c r="DZ456" s="108"/>
      <c r="EA456" s="108"/>
      <c r="EB456" s="43"/>
      <c r="EC456" s="108"/>
      <c r="ED456" s="108"/>
      <c r="EE456" s="108"/>
      <c r="EF456" s="108"/>
      <c r="EG456" s="108"/>
      <c r="EH456" s="108"/>
      <c r="EI456" s="43"/>
      <c r="EJ456" s="47"/>
      <c r="EK456" s="47"/>
      <c r="EL456" s="47"/>
      <c r="EM456" s="47"/>
      <c r="EN456" s="47"/>
      <c r="EO456" s="47"/>
      <c r="EP456" s="47"/>
      <c r="EQ456" s="47"/>
      <c r="ER456" s="47"/>
      <c r="ES456" s="47"/>
      <c r="ET456" s="47"/>
      <c r="EU456" s="47"/>
      <c r="EV456" s="47"/>
      <c r="EW456" s="47"/>
      <c r="EX456" s="47"/>
      <c r="EY456" s="47"/>
      <c r="EZ456" s="47"/>
      <c r="FA456" s="47"/>
      <c r="FB456" s="47"/>
      <c r="FC456" s="47"/>
      <c r="FD456" s="47"/>
      <c r="FE456" s="47"/>
      <c r="FF456" s="47"/>
      <c r="FG456" s="47"/>
      <c r="FH456" s="47"/>
      <c r="FI456" s="47"/>
      <c r="FJ456" s="47"/>
      <c r="FK456" s="47"/>
      <c r="FL456" s="47"/>
      <c r="FM456" s="47"/>
      <c r="FN456" s="47"/>
      <c r="FO456" s="47"/>
      <c r="FP456" s="47"/>
      <c r="FQ456" s="47"/>
      <c r="FR456" s="47"/>
      <c r="FS456" s="47"/>
      <c r="FT456" s="47"/>
      <c r="FU456" s="47"/>
      <c r="FV456" s="47"/>
      <c r="FW456" s="47"/>
      <c r="FX456" s="47"/>
      <c r="FY456" s="47"/>
      <c r="FZ456" s="47"/>
      <c r="GA456" s="47"/>
      <c r="GB456" s="47"/>
      <c r="GC456" s="47"/>
      <c r="GD456" s="47"/>
      <c r="GE456" s="47"/>
    </row>
    <row r="457" spans="1:187" ht="10.5" customHeight="1">
      <c r="A457" s="43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43"/>
      <c r="U457" s="108"/>
      <c r="V457" s="108"/>
      <c r="W457" s="108"/>
      <c r="X457" s="108"/>
      <c r="Y457" s="108"/>
      <c r="Z457" s="108"/>
      <c r="AA457" s="43"/>
      <c r="AB457" s="108"/>
      <c r="AC457" s="108"/>
      <c r="AD457" s="108"/>
      <c r="AE457" s="108"/>
      <c r="AF457" s="108"/>
      <c r="AG457" s="108"/>
      <c r="AH457" s="43"/>
      <c r="AI457" s="108"/>
      <c r="AJ457" s="108"/>
      <c r="AK457" s="108"/>
      <c r="AL457" s="108"/>
      <c r="AM457" s="108"/>
      <c r="AN457" s="108"/>
      <c r="AO457" s="43"/>
      <c r="AP457" s="108"/>
      <c r="AQ457" s="108"/>
      <c r="AR457" s="108"/>
      <c r="AS457" s="108"/>
      <c r="AT457" s="108"/>
      <c r="AU457" s="108"/>
      <c r="AV457" s="43"/>
      <c r="AW457" s="108"/>
      <c r="AX457" s="108"/>
      <c r="AY457" s="108"/>
      <c r="AZ457" s="108"/>
      <c r="BA457" s="108"/>
      <c r="BB457" s="108"/>
      <c r="BC457" s="43"/>
      <c r="BD457" s="108"/>
      <c r="BE457" s="108"/>
      <c r="BF457" s="108"/>
      <c r="BG457" s="108"/>
      <c r="BH457" s="108"/>
      <c r="BI457" s="108"/>
      <c r="BJ457" s="43"/>
      <c r="BK457" s="108"/>
      <c r="BL457" s="108"/>
      <c r="BM457" s="108"/>
      <c r="BN457" s="108"/>
      <c r="BO457" s="108"/>
      <c r="BP457" s="108"/>
      <c r="BQ457" s="43"/>
      <c r="BR457" s="108"/>
      <c r="BS457" s="108"/>
      <c r="BT457" s="108"/>
      <c r="BU457" s="108"/>
      <c r="BV457" s="108"/>
      <c r="BW457" s="108"/>
      <c r="BX457" s="43"/>
      <c r="BY457" s="108"/>
      <c r="BZ457" s="108"/>
      <c r="CA457" s="108"/>
      <c r="CB457" s="108"/>
      <c r="CC457" s="108"/>
      <c r="CD457" s="108"/>
      <c r="CE457" s="43"/>
      <c r="CF457" s="108"/>
      <c r="CG457" s="108"/>
      <c r="CH457" s="108"/>
      <c r="CI457" s="108"/>
      <c r="CJ457" s="108"/>
      <c r="CK457" s="108"/>
      <c r="CL457" s="43"/>
      <c r="CM457" s="108"/>
      <c r="CN457" s="108"/>
      <c r="CO457" s="108"/>
      <c r="CP457" s="108"/>
      <c r="CQ457" s="108"/>
      <c r="CR457" s="108"/>
      <c r="CS457" s="43"/>
      <c r="CT457" s="108"/>
      <c r="CU457" s="108"/>
      <c r="CV457" s="108"/>
      <c r="CW457" s="108"/>
      <c r="CX457" s="108"/>
      <c r="CY457" s="108"/>
      <c r="CZ457" s="43"/>
      <c r="DA457" s="108"/>
      <c r="DB457" s="108"/>
      <c r="DC457" s="108"/>
      <c r="DD457" s="108"/>
      <c r="DE457" s="108"/>
      <c r="DF457" s="108"/>
      <c r="DG457" s="43"/>
      <c r="DH457" s="108"/>
      <c r="DI457" s="108"/>
      <c r="DJ457" s="108"/>
      <c r="DK457" s="108"/>
      <c r="DL457" s="108"/>
      <c r="DM457" s="108"/>
      <c r="DN457" s="43"/>
      <c r="DO457" s="108"/>
      <c r="DP457" s="108"/>
      <c r="DQ457" s="108"/>
      <c r="DR457" s="108"/>
      <c r="DS457" s="108"/>
      <c r="DT457" s="108"/>
      <c r="DU457" s="43"/>
      <c r="DV457" s="108"/>
      <c r="DW457" s="108"/>
      <c r="DX457" s="108"/>
      <c r="DY457" s="108"/>
      <c r="DZ457" s="108"/>
      <c r="EA457" s="108"/>
      <c r="EB457" s="43"/>
      <c r="EC457" s="108"/>
      <c r="ED457" s="108"/>
      <c r="EE457" s="108"/>
      <c r="EF457" s="108"/>
      <c r="EG457" s="108"/>
      <c r="EH457" s="108"/>
      <c r="EI457" s="43"/>
      <c r="EJ457" s="47"/>
      <c r="EK457" s="47"/>
      <c r="EL457" s="47"/>
      <c r="EM457" s="47"/>
      <c r="EN457" s="47"/>
      <c r="EO457" s="47"/>
      <c r="EP457" s="47"/>
      <c r="EQ457" s="47"/>
      <c r="ER457" s="47"/>
      <c r="ES457" s="47"/>
      <c r="ET457" s="47"/>
      <c r="EU457" s="47"/>
      <c r="EV457" s="47"/>
      <c r="EW457" s="47"/>
      <c r="EX457" s="47"/>
      <c r="EY457" s="47"/>
      <c r="EZ457" s="47"/>
      <c r="FA457" s="47"/>
      <c r="FB457" s="47"/>
      <c r="FC457" s="47"/>
      <c r="FD457" s="47"/>
      <c r="FE457" s="47"/>
      <c r="FF457" s="47"/>
      <c r="FG457" s="47"/>
      <c r="FH457" s="47"/>
      <c r="FI457" s="47"/>
      <c r="FJ457" s="47"/>
      <c r="FK457" s="47"/>
      <c r="FL457" s="47"/>
      <c r="FM457" s="47"/>
      <c r="FN457" s="47"/>
      <c r="FO457" s="47"/>
      <c r="FP457" s="47"/>
      <c r="FQ457" s="47"/>
      <c r="FR457" s="47"/>
      <c r="FS457" s="47"/>
      <c r="FT457" s="47"/>
      <c r="FU457" s="47"/>
      <c r="FV457" s="47"/>
      <c r="FW457" s="47"/>
      <c r="FX457" s="47"/>
      <c r="FY457" s="47"/>
      <c r="FZ457" s="47"/>
      <c r="GA457" s="47"/>
      <c r="GB457" s="47"/>
      <c r="GC457" s="47"/>
      <c r="GD457" s="47"/>
      <c r="GE457" s="47"/>
    </row>
    <row r="458" spans="1:187" ht="10.5" customHeight="1">
      <c r="A458" s="43"/>
      <c r="B458" s="108"/>
      <c r="C458" s="135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43"/>
      <c r="U458" s="108"/>
      <c r="V458" s="108"/>
      <c r="W458" s="108"/>
      <c r="X458" s="108"/>
      <c r="Y458" s="108"/>
      <c r="Z458" s="108"/>
      <c r="AA458" s="43"/>
      <c r="AB458" s="108"/>
      <c r="AC458" s="108"/>
      <c r="AD458" s="108"/>
      <c r="AE458" s="108"/>
      <c r="AF458" s="108"/>
      <c r="AG458" s="108"/>
      <c r="AH458" s="43"/>
      <c r="AI458" s="108"/>
      <c r="AJ458" s="108"/>
      <c r="AK458" s="108"/>
      <c r="AL458" s="108"/>
      <c r="AM458" s="108"/>
      <c r="AN458" s="108"/>
      <c r="AO458" s="43"/>
      <c r="AP458" s="108"/>
      <c r="AQ458" s="108"/>
      <c r="AR458" s="108"/>
      <c r="AS458" s="108"/>
      <c r="AT458" s="108"/>
      <c r="AU458" s="108"/>
      <c r="AV458" s="43"/>
      <c r="AW458" s="108"/>
      <c r="AX458" s="108"/>
      <c r="AY458" s="108"/>
      <c r="AZ458" s="108"/>
      <c r="BA458" s="108"/>
      <c r="BB458" s="108"/>
      <c r="BC458" s="43"/>
      <c r="BD458" s="108"/>
      <c r="BE458" s="108"/>
      <c r="BF458" s="108"/>
      <c r="BG458" s="108"/>
      <c r="BH458" s="108"/>
      <c r="BI458" s="108"/>
      <c r="BJ458" s="43"/>
      <c r="BK458" s="108"/>
      <c r="BL458" s="108"/>
      <c r="BM458" s="108"/>
      <c r="BN458" s="108"/>
      <c r="BO458" s="108"/>
      <c r="BP458" s="108"/>
      <c r="BQ458" s="43"/>
      <c r="BR458" s="108"/>
      <c r="BS458" s="108"/>
      <c r="BT458" s="108"/>
      <c r="BU458" s="108"/>
      <c r="BV458" s="108"/>
      <c r="BW458" s="108"/>
      <c r="BX458" s="43"/>
      <c r="BY458" s="108"/>
      <c r="BZ458" s="108"/>
      <c r="CA458" s="108"/>
      <c r="CB458" s="108"/>
      <c r="CC458" s="108"/>
      <c r="CD458" s="108"/>
      <c r="CE458" s="43"/>
      <c r="CF458" s="108"/>
      <c r="CG458" s="108"/>
      <c r="CH458" s="108"/>
      <c r="CI458" s="108"/>
      <c r="CJ458" s="108"/>
      <c r="CK458" s="108"/>
      <c r="CL458" s="43"/>
      <c r="CM458" s="108"/>
      <c r="CN458" s="108"/>
      <c r="CO458" s="108"/>
      <c r="CP458" s="108"/>
      <c r="CQ458" s="108"/>
      <c r="CR458" s="108"/>
      <c r="CS458" s="43"/>
      <c r="CT458" s="108"/>
      <c r="CU458" s="108"/>
      <c r="CV458" s="108"/>
      <c r="CW458" s="108"/>
      <c r="CX458" s="108"/>
      <c r="CY458" s="108"/>
      <c r="CZ458" s="43"/>
      <c r="DA458" s="108"/>
      <c r="DB458" s="108"/>
      <c r="DC458" s="108"/>
      <c r="DD458" s="108"/>
      <c r="DE458" s="108"/>
      <c r="DF458" s="108"/>
      <c r="DG458" s="43"/>
      <c r="DH458" s="108"/>
      <c r="DI458" s="108"/>
      <c r="DJ458" s="108"/>
      <c r="DK458" s="108"/>
      <c r="DL458" s="108"/>
      <c r="DM458" s="108"/>
      <c r="DN458" s="43"/>
      <c r="DO458" s="108"/>
      <c r="DP458" s="108"/>
      <c r="DQ458" s="108"/>
      <c r="DR458" s="108"/>
      <c r="DS458" s="108"/>
      <c r="DT458" s="108"/>
      <c r="DU458" s="43"/>
      <c r="DV458" s="108"/>
      <c r="DW458" s="108"/>
      <c r="DX458" s="108"/>
      <c r="DY458" s="108"/>
      <c r="DZ458" s="108"/>
      <c r="EA458" s="108"/>
      <c r="EB458" s="43"/>
      <c r="EC458" s="108"/>
      <c r="ED458" s="108"/>
      <c r="EE458" s="108"/>
      <c r="EF458" s="108"/>
      <c r="EG458" s="108"/>
      <c r="EH458" s="108"/>
      <c r="EI458" s="43"/>
      <c r="EJ458" s="47"/>
      <c r="EK458" s="47"/>
      <c r="EL458" s="47"/>
      <c r="EM458" s="47"/>
      <c r="EN458" s="47"/>
      <c r="EO458" s="47"/>
      <c r="EP458" s="47"/>
      <c r="EQ458" s="47"/>
      <c r="ER458" s="47"/>
      <c r="ES458" s="47"/>
      <c r="ET458" s="47"/>
      <c r="EU458" s="47"/>
      <c r="EV458" s="47"/>
      <c r="EW458" s="47"/>
      <c r="EX458" s="47"/>
      <c r="EY458" s="47"/>
      <c r="EZ458" s="47"/>
      <c r="FA458" s="47"/>
      <c r="FB458" s="47"/>
      <c r="FC458" s="47"/>
      <c r="FD458" s="47"/>
      <c r="FE458" s="47"/>
      <c r="FF458" s="47"/>
      <c r="FG458" s="47"/>
      <c r="FH458" s="47"/>
      <c r="FI458" s="47"/>
      <c r="FJ458" s="47"/>
      <c r="FK458" s="47"/>
      <c r="FL458" s="47"/>
      <c r="FM458" s="47"/>
      <c r="FN458" s="47"/>
      <c r="FO458" s="47"/>
      <c r="FP458" s="47"/>
      <c r="FQ458" s="47"/>
      <c r="FR458" s="47"/>
      <c r="FS458" s="47"/>
      <c r="FT458" s="47"/>
      <c r="FU458" s="47"/>
      <c r="FV458" s="47"/>
      <c r="FW458" s="47"/>
      <c r="FX458" s="47"/>
      <c r="FY458" s="47"/>
      <c r="FZ458" s="47"/>
      <c r="GA458" s="47"/>
      <c r="GB458" s="47"/>
      <c r="GC458" s="47"/>
      <c r="GD458" s="47"/>
      <c r="GE458" s="47"/>
    </row>
    <row r="459" spans="1:187" ht="10.5" customHeight="1">
      <c r="A459" s="43"/>
      <c r="B459" s="108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44"/>
      <c r="U459" s="135"/>
      <c r="V459" s="135"/>
      <c r="W459" s="135"/>
      <c r="X459" s="135"/>
      <c r="Y459" s="135"/>
      <c r="Z459" s="135"/>
      <c r="AA459" s="44"/>
      <c r="AB459" s="135"/>
      <c r="AC459" s="135"/>
      <c r="AD459" s="135"/>
      <c r="AE459" s="135"/>
      <c r="AF459" s="135"/>
      <c r="AG459" s="135"/>
      <c r="AH459" s="44"/>
      <c r="AI459" s="135"/>
      <c r="AJ459" s="135"/>
      <c r="AK459" s="135"/>
      <c r="AL459" s="135"/>
      <c r="AM459" s="135"/>
      <c r="AN459" s="135"/>
      <c r="AO459" s="44"/>
      <c r="AP459" s="135"/>
      <c r="AQ459" s="135"/>
      <c r="AR459" s="135"/>
      <c r="AS459" s="135"/>
      <c r="AT459" s="135"/>
      <c r="AU459" s="135"/>
      <c r="AV459" s="44"/>
      <c r="AW459" s="135"/>
      <c r="AX459" s="135"/>
      <c r="AY459" s="135"/>
      <c r="AZ459" s="135"/>
      <c r="BA459" s="135"/>
      <c r="BB459" s="135"/>
      <c r="BC459" s="44"/>
      <c r="BD459" s="135"/>
      <c r="BE459" s="135"/>
      <c r="BF459" s="135"/>
      <c r="BG459" s="135"/>
      <c r="BH459" s="135"/>
      <c r="BI459" s="135"/>
      <c r="BJ459" s="44"/>
      <c r="BK459" s="135"/>
      <c r="BL459" s="135"/>
      <c r="BM459" s="135"/>
      <c r="BN459" s="135"/>
      <c r="BO459" s="135"/>
      <c r="BP459" s="135"/>
      <c r="BQ459" s="44"/>
      <c r="BR459" s="135"/>
      <c r="BS459" s="135"/>
      <c r="BT459" s="135"/>
      <c r="BU459" s="135"/>
      <c r="BV459" s="135"/>
      <c r="BW459" s="135"/>
      <c r="BX459" s="44"/>
      <c r="BY459" s="135"/>
      <c r="BZ459" s="135"/>
      <c r="CA459" s="135"/>
      <c r="CB459" s="135"/>
      <c r="CC459" s="135"/>
      <c r="CD459" s="135"/>
      <c r="CE459" s="44"/>
      <c r="CF459" s="135"/>
      <c r="CG459" s="135"/>
      <c r="CH459" s="135"/>
      <c r="CI459" s="135"/>
      <c r="CJ459" s="135"/>
      <c r="CK459" s="135"/>
      <c r="CL459" s="44"/>
      <c r="CM459" s="135"/>
      <c r="CN459" s="135"/>
      <c r="CO459" s="135"/>
      <c r="CP459" s="135"/>
      <c r="CQ459" s="135"/>
      <c r="CR459" s="135"/>
      <c r="CS459" s="44"/>
      <c r="CT459" s="135"/>
      <c r="CU459" s="135"/>
      <c r="CV459" s="135"/>
      <c r="CW459" s="135"/>
      <c r="CX459" s="135"/>
      <c r="CY459" s="135"/>
      <c r="CZ459" s="44"/>
      <c r="DA459" s="135"/>
      <c r="DB459" s="135"/>
      <c r="DC459" s="135"/>
      <c r="DD459" s="135"/>
      <c r="DE459" s="135"/>
      <c r="DF459" s="135"/>
      <c r="DG459" s="44"/>
      <c r="DH459" s="135"/>
      <c r="DI459" s="135"/>
      <c r="DJ459" s="135"/>
      <c r="DK459" s="135"/>
      <c r="DL459" s="135"/>
      <c r="DM459" s="135"/>
      <c r="DN459" s="44"/>
      <c r="DO459" s="135"/>
      <c r="DP459" s="135"/>
      <c r="DQ459" s="135"/>
      <c r="DR459" s="135"/>
      <c r="DS459" s="135"/>
      <c r="DT459" s="135"/>
      <c r="DU459" s="44"/>
      <c r="DV459" s="135"/>
      <c r="DW459" s="135"/>
      <c r="DX459" s="135"/>
      <c r="DY459" s="135"/>
      <c r="DZ459" s="135"/>
      <c r="EA459" s="135"/>
      <c r="EB459" s="44"/>
      <c r="EC459" s="135"/>
      <c r="ED459" s="135"/>
      <c r="EE459" s="135"/>
      <c r="EF459" s="135"/>
      <c r="EG459" s="135"/>
      <c r="EH459" s="135"/>
      <c r="EI459" s="44"/>
      <c r="EJ459" s="47"/>
      <c r="EK459" s="47"/>
      <c r="EL459" s="47"/>
      <c r="EM459" s="47"/>
      <c r="EN459" s="47"/>
      <c r="EO459" s="47"/>
      <c r="EP459" s="47"/>
      <c r="EQ459" s="47"/>
      <c r="ER459" s="47"/>
      <c r="ES459" s="47"/>
      <c r="ET459" s="47"/>
      <c r="EU459" s="47"/>
      <c r="EV459" s="47"/>
      <c r="EW459" s="47"/>
      <c r="EX459" s="47"/>
      <c r="EY459" s="47"/>
      <c r="EZ459" s="47"/>
      <c r="FA459" s="47"/>
      <c r="FB459" s="47"/>
      <c r="FC459" s="47"/>
      <c r="FD459" s="47"/>
      <c r="FE459" s="47"/>
      <c r="FF459" s="47"/>
      <c r="FG459" s="47"/>
      <c r="FH459" s="47"/>
      <c r="FI459" s="47"/>
      <c r="FJ459" s="47"/>
      <c r="FK459" s="47"/>
      <c r="FL459" s="47"/>
      <c r="FM459" s="47"/>
      <c r="FN459" s="47"/>
      <c r="FO459" s="47"/>
      <c r="FP459" s="47"/>
      <c r="FQ459" s="47"/>
      <c r="FR459" s="47"/>
      <c r="FS459" s="47"/>
      <c r="FT459" s="47"/>
      <c r="FU459" s="47"/>
      <c r="FV459" s="47"/>
      <c r="FW459" s="47"/>
      <c r="FX459" s="47"/>
      <c r="FY459" s="47"/>
      <c r="FZ459" s="47"/>
      <c r="GA459" s="47"/>
      <c r="GB459" s="47"/>
      <c r="GC459" s="47"/>
      <c r="GD459" s="47"/>
      <c r="GE459" s="47"/>
    </row>
    <row r="460" spans="1:187" ht="10.5" customHeight="1">
      <c r="A460" s="43"/>
      <c r="B460" s="108"/>
      <c r="C460" s="108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44"/>
      <c r="U460" s="135"/>
      <c r="V460" s="135"/>
      <c r="W460" s="135"/>
      <c r="X460" s="135"/>
      <c r="Y460" s="135"/>
      <c r="Z460" s="135"/>
      <c r="AA460" s="44"/>
      <c r="AB460" s="135"/>
      <c r="AC460" s="135"/>
      <c r="AD460" s="135"/>
      <c r="AE460" s="135"/>
      <c r="AF460" s="135"/>
      <c r="AG460" s="135"/>
      <c r="AH460" s="44"/>
      <c r="AI460" s="135"/>
      <c r="AJ460" s="135"/>
      <c r="AK460" s="135"/>
      <c r="AL460" s="135"/>
      <c r="AM460" s="135"/>
      <c r="AN460" s="135"/>
      <c r="AO460" s="44"/>
      <c r="AP460" s="135"/>
      <c r="AQ460" s="135"/>
      <c r="AR460" s="135"/>
      <c r="AS460" s="135"/>
      <c r="AT460" s="135"/>
      <c r="AU460" s="135"/>
      <c r="AV460" s="44"/>
      <c r="AW460" s="135"/>
      <c r="AX460" s="135"/>
      <c r="AY460" s="135"/>
      <c r="AZ460" s="135"/>
      <c r="BA460" s="135"/>
      <c r="BB460" s="135"/>
      <c r="BC460" s="44"/>
      <c r="BD460" s="135"/>
      <c r="BE460" s="135"/>
      <c r="BF460" s="135"/>
      <c r="BG460" s="135"/>
      <c r="BH460" s="135"/>
      <c r="BI460" s="135"/>
      <c r="BJ460" s="44"/>
      <c r="BK460" s="135"/>
      <c r="BL460" s="135"/>
      <c r="BM460" s="135"/>
      <c r="BN460" s="135"/>
      <c r="BO460" s="135"/>
      <c r="BP460" s="135"/>
      <c r="BQ460" s="44"/>
      <c r="BR460" s="135"/>
      <c r="BS460" s="135"/>
      <c r="BT460" s="135"/>
      <c r="BU460" s="135"/>
      <c r="BV460" s="135"/>
      <c r="BW460" s="135"/>
      <c r="BX460" s="44"/>
      <c r="BY460" s="135"/>
      <c r="BZ460" s="135"/>
      <c r="CA460" s="135"/>
      <c r="CB460" s="135"/>
      <c r="CC460" s="135"/>
      <c r="CD460" s="135"/>
      <c r="CE460" s="44"/>
      <c r="CF460" s="135"/>
      <c r="CG460" s="135"/>
      <c r="CH460" s="135"/>
      <c r="CI460" s="135"/>
      <c r="CJ460" s="135"/>
      <c r="CK460" s="135"/>
      <c r="CL460" s="44"/>
      <c r="CM460" s="135"/>
      <c r="CN460" s="135"/>
      <c r="CO460" s="135"/>
      <c r="CP460" s="135"/>
      <c r="CQ460" s="135"/>
      <c r="CR460" s="135"/>
      <c r="CS460" s="44"/>
      <c r="CT460" s="135"/>
      <c r="CU460" s="135"/>
      <c r="CV460" s="135"/>
      <c r="CW460" s="135"/>
      <c r="CX460" s="135"/>
      <c r="CY460" s="135"/>
      <c r="CZ460" s="44"/>
      <c r="DA460" s="135"/>
      <c r="DB460" s="135"/>
      <c r="DC460" s="135"/>
      <c r="DD460" s="135"/>
      <c r="DE460" s="135"/>
      <c r="DF460" s="135"/>
      <c r="DG460" s="44"/>
      <c r="DH460" s="135"/>
      <c r="DI460" s="135"/>
      <c r="DJ460" s="135"/>
      <c r="DK460" s="135"/>
      <c r="DL460" s="135"/>
      <c r="DM460" s="135"/>
      <c r="DN460" s="44"/>
      <c r="DO460" s="135"/>
      <c r="DP460" s="135"/>
      <c r="DQ460" s="135"/>
      <c r="DR460" s="135"/>
      <c r="DS460" s="135"/>
      <c r="DT460" s="135"/>
      <c r="DU460" s="44"/>
      <c r="DV460" s="135"/>
      <c r="DW460" s="135"/>
      <c r="DX460" s="135"/>
      <c r="DY460" s="135"/>
      <c r="DZ460" s="135"/>
      <c r="EA460" s="135"/>
      <c r="EB460" s="44"/>
      <c r="EC460" s="135"/>
      <c r="ED460" s="135"/>
      <c r="EE460" s="135"/>
      <c r="EF460" s="135"/>
      <c r="EG460" s="135"/>
      <c r="EH460" s="135"/>
      <c r="EI460" s="44"/>
      <c r="EJ460" s="47"/>
      <c r="EK460" s="47"/>
      <c r="EL460" s="47"/>
      <c r="EM460" s="47"/>
      <c r="EN460" s="47"/>
      <c r="EO460" s="47"/>
      <c r="EP460" s="47"/>
      <c r="EQ460" s="47"/>
      <c r="ER460" s="47"/>
      <c r="ES460" s="47"/>
      <c r="ET460" s="47"/>
      <c r="EU460" s="47"/>
      <c r="EV460" s="47"/>
      <c r="EW460" s="47"/>
      <c r="EX460" s="47"/>
      <c r="EY460" s="47"/>
      <c r="EZ460" s="47"/>
      <c r="FA460" s="47"/>
      <c r="FB460" s="47"/>
      <c r="FC460" s="47"/>
      <c r="FD460" s="47"/>
      <c r="FE460" s="47"/>
      <c r="FF460" s="47"/>
      <c r="FG460" s="47"/>
      <c r="FH460" s="47"/>
      <c r="FI460" s="47"/>
      <c r="FJ460" s="47"/>
      <c r="FK460" s="47"/>
      <c r="FL460" s="47"/>
      <c r="FM460" s="47"/>
      <c r="FN460" s="47"/>
      <c r="FO460" s="47"/>
      <c r="FP460" s="47"/>
      <c r="FQ460" s="47"/>
      <c r="FR460" s="47"/>
      <c r="FS460" s="47"/>
      <c r="FT460" s="47"/>
      <c r="FU460" s="47"/>
      <c r="FV460" s="47"/>
      <c r="FW460" s="47"/>
      <c r="FX460" s="47"/>
      <c r="FY460" s="47"/>
      <c r="FZ460" s="47"/>
      <c r="GA460" s="47"/>
      <c r="GB460" s="47"/>
      <c r="GC460" s="47"/>
      <c r="GD460" s="47"/>
      <c r="GE460" s="47"/>
    </row>
    <row r="461" spans="1:187" ht="10.5" customHeight="1">
      <c r="A461" s="43"/>
      <c r="B461" s="108"/>
      <c r="C461" s="108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44"/>
      <c r="U461" s="135"/>
      <c r="V461" s="135"/>
      <c r="W461" s="135"/>
      <c r="X461" s="135"/>
      <c r="Y461" s="135"/>
      <c r="Z461" s="135"/>
      <c r="AA461" s="44"/>
      <c r="AB461" s="135"/>
      <c r="AC461" s="135"/>
      <c r="AD461" s="135"/>
      <c r="AE461" s="135"/>
      <c r="AF461" s="135"/>
      <c r="AG461" s="135"/>
      <c r="AH461" s="44"/>
      <c r="AI461" s="135"/>
      <c r="AJ461" s="135"/>
      <c r="AK461" s="135"/>
      <c r="AL461" s="135"/>
      <c r="AM461" s="135"/>
      <c r="AN461" s="135"/>
      <c r="AO461" s="44"/>
      <c r="AP461" s="135"/>
      <c r="AQ461" s="135"/>
      <c r="AR461" s="135"/>
      <c r="AS461" s="135"/>
      <c r="AT461" s="135"/>
      <c r="AU461" s="135"/>
      <c r="AV461" s="44"/>
      <c r="AW461" s="135"/>
      <c r="AX461" s="135"/>
      <c r="AY461" s="135"/>
      <c r="AZ461" s="135"/>
      <c r="BA461" s="135"/>
      <c r="BB461" s="135"/>
      <c r="BC461" s="44"/>
      <c r="BD461" s="135"/>
      <c r="BE461" s="135"/>
      <c r="BF461" s="135"/>
      <c r="BG461" s="135"/>
      <c r="BH461" s="135"/>
      <c r="BI461" s="135"/>
      <c r="BJ461" s="44"/>
      <c r="BK461" s="135"/>
      <c r="BL461" s="135"/>
      <c r="BM461" s="135"/>
      <c r="BN461" s="135"/>
      <c r="BO461" s="135"/>
      <c r="BP461" s="135"/>
      <c r="BQ461" s="44"/>
      <c r="BR461" s="135"/>
      <c r="BS461" s="135"/>
      <c r="BT461" s="135"/>
      <c r="BU461" s="135"/>
      <c r="BV461" s="135"/>
      <c r="BW461" s="135"/>
      <c r="BX461" s="44"/>
      <c r="BY461" s="135"/>
      <c r="BZ461" s="135"/>
      <c r="CA461" s="135"/>
      <c r="CB461" s="135"/>
      <c r="CC461" s="135"/>
      <c r="CD461" s="135"/>
      <c r="CE461" s="44"/>
      <c r="CF461" s="135"/>
      <c r="CG461" s="135"/>
      <c r="CH461" s="135"/>
      <c r="CI461" s="135"/>
      <c r="CJ461" s="135"/>
      <c r="CK461" s="135"/>
      <c r="CL461" s="44"/>
      <c r="CM461" s="135"/>
      <c r="CN461" s="135"/>
      <c r="CO461" s="135"/>
      <c r="CP461" s="135"/>
      <c r="CQ461" s="135"/>
      <c r="CR461" s="135"/>
      <c r="CS461" s="44"/>
      <c r="CT461" s="135"/>
      <c r="CU461" s="135"/>
      <c r="CV461" s="135"/>
      <c r="CW461" s="135"/>
      <c r="CX461" s="135"/>
      <c r="CY461" s="135"/>
      <c r="CZ461" s="44"/>
      <c r="DA461" s="135"/>
      <c r="DB461" s="135"/>
      <c r="DC461" s="135"/>
      <c r="DD461" s="135"/>
      <c r="DE461" s="135"/>
      <c r="DF461" s="135"/>
      <c r="DG461" s="44"/>
      <c r="DH461" s="135"/>
      <c r="DI461" s="135"/>
      <c r="DJ461" s="135"/>
      <c r="DK461" s="135"/>
      <c r="DL461" s="135"/>
      <c r="DM461" s="135"/>
      <c r="DN461" s="44"/>
      <c r="DO461" s="135"/>
      <c r="DP461" s="135"/>
      <c r="DQ461" s="135"/>
      <c r="DR461" s="135"/>
      <c r="DS461" s="135"/>
      <c r="DT461" s="135"/>
      <c r="DU461" s="44"/>
      <c r="DV461" s="135"/>
      <c r="DW461" s="135"/>
      <c r="DX461" s="135"/>
      <c r="DY461" s="135"/>
      <c r="DZ461" s="135"/>
      <c r="EA461" s="135"/>
      <c r="EB461" s="44"/>
      <c r="EC461" s="135"/>
      <c r="ED461" s="135"/>
      <c r="EE461" s="135"/>
      <c r="EF461" s="135"/>
      <c r="EG461" s="135"/>
      <c r="EH461" s="135"/>
      <c r="EI461" s="44"/>
      <c r="EJ461" s="47"/>
      <c r="EK461" s="47"/>
      <c r="EL461" s="47"/>
      <c r="EM461" s="47"/>
      <c r="EN461" s="47"/>
      <c r="EO461" s="47"/>
      <c r="EP461" s="47"/>
      <c r="EQ461" s="47"/>
      <c r="ER461" s="47"/>
      <c r="ES461" s="47"/>
      <c r="ET461" s="47"/>
      <c r="EU461" s="47"/>
      <c r="EV461" s="47"/>
      <c r="EW461" s="47"/>
      <c r="EX461" s="47"/>
      <c r="EY461" s="47"/>
      <c r="EZ461" s="47"/>
      <c r="FA461" s="47"/>
      <c r="FB461" s="47"/>
      <c r="FC461" s="47"/>
      <c r="FD461" s="47"/>
      <c r="FE461" s="47"/>
      <c r="FF461" s="47"/>
      <c r="FG461" s="47"/>
      <c r="FH461" s="47"/>
      <c r="FI461" s="47"/>
      <c r="FJ461" s="47"/>
      <c r="FK461" s="47"/>
      <c r="FL461" s="47"/>
      <c r="FM461" s="47"/>
      <c r="FN461" s="47"/>
      <c r="FO461" s="47"/>
      <c r="FP461" s="47"/>
      <c r="FQ461" s="47"/>
      <c r="FR461" s="47"/>
      <c r="FS461" s="47"/>
      <c r="FT461" s="47"/>
      <c r="FU461" s="47"/>
      <c r="FV461" s="47"/>
      <c r="FW461" s="47"/>
      <c r="FX461" s="47"/>
      <c r="FY461" s="47"/>
      <c r="FZ461" s="47"/>
      <c r="GA461" s="47"/>
      <c r="GB461" s="47"/>
      <c r="GC461" s="47"/>
      <c r="GD461" s="47"/>
      <c r="GE461" s="47"/>
    </row>
    <row r="462" spans="1:187" ht="10.5" customHeight="1">
      <c r="A462" s="43"/>
      <c r="B462" s="108"/>
      <c r="C462" s="108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44"/>
      <c r="U462" s="135"/>
      <c r="V462" s="135"/>
      <c r="W462" s="135"/>
      <c r="X462" s="135"/>
      <c r="Y462" s="135"/>
      <c r="Z462" s="135"/>
      <c r="AA462" s="44"/>
      <c r="AB462" s="135"/>
      <c r="AC462" s="135"/>
      <c r="AD462" s="135"/>
      <c r="AE462" s="135"/>
      <c r="AF462" s="135"/>
      <c r="AG462" s="135"/>
      <c r="AH462" s="44"/>
      <c r="AI462" s="135"/>
      <c r="AJ462" s="135"/>
      <c r="AK462" s="135"/>
      <c r="AL462" s="135"/>
      <c r="AM462" s="135"/>
      <c r="AN462" s="135"/>
      <c r="AO462" s="44"/>
      <c r="AP462" s="135"/>
      <c r="AQ462" s="135"/>
      <c r="AR462" s="135"/>
      <c r="AS462" s="135"/>
      <c r="AT462" s="135"/>
      <c r="AU462" s="135"/>
      <c r="AV462" s="44"/>
      <c r="AW462" s="135"/>
      <c r="AX462" s="135"/>
      <c r="AY462" s="135"/>
      <c r="AZ462" s="135"/>
      <c r="BA462" s="135"/>
      <c r="BB462" s="135"/>
      <c r="BC462" s="44"/>
      <c r="BD462" s="135"/>
      <c r="BE462" s="135"/>
      <c r="BF462" s="135"/>
      <c r="BG462" s="135"/>
      <c r="BH462" s="135"/>
      <c r="BI462" s="135"/>
      <c r="BJ462" s="44"/>
      <c r="BK462" s="135"/>
      <c r="BL462" s="135"/>
      <c r="BM462" s="135"/>
      <c r="BN462" s="135"/>
      <c r="BO462" s="135"/>
      <c r="BP462" s="135"/>
      <c r="BQ462" s="44"/>
      <c r="BR462" s="135"/>
      <c r="BS462" s="135"/>
      <c r="BT462" s="135"/>
      <c r="BU462" s="135"/>
      <c r="BV462" s="135"/>
      <c r="BW462" s="135"/>
      <c r="BX462" s="44"/>
      <c r="BY462" s="135"/>
      <c r="BZ462" s="135"/>
      <c r="CA462" s="135"/>
      <c r="CB462" s="135"/>
      <c r="CC462" s="135"/>
      <c r="CD462" s="135"/>
      <c r="CE462" s="44"/>
      <c r="CF462" s="135"/>
      <c r="CG462" s="135"/>
      <c r="CH462" s="135"/>
      <c r="CI462" s="135"/>
      <c r="CJ462" s="135"/>
      <c r="CK462" s="135"/>
      <c r="CL462" s="44"/>
      <c r="CM462" s="135"/>
      <c r="CN462" s="135"/>
      <c r="CO462" s="135"/>
      <c r="CP462" s="135"/>
      <c r="CQ462" s="135"/>
      <c r="CR462" s="135"/>
      <c r="CS462" s="44"/>
      <c r="CT462" s="135"/>
      <c r="CU462" s="135"/>
      <c r="CV462" s="135"/>
      <c r="CW462" s="135"/>
      <c r="CX462" s="135"/>
      <c r="CY462" s="135"/>
      <c r="CZ462" s="44"/>
      <c r="DA462" s="135"/>
      <c r="DB462" s="135"/>
      <c r="DC462" s="135"/>
      <c r="DD462" s="135"/>
      <c r="DE462" s="135"/>
      <c r="DF462" s="135"/>
      <c r="DG462" s="44"/>
      <c r="DH462" s="135"/>
      <c r="DI462" s="135"/>
      <c r="DJ462" s="135"/>
      <c r="DK462" s="135"/>
      <c r="DL462" s="135"/>
      <c r="DM462" s="135"/>
      <c r="DN462" s="44"/>
      <c r="DO462" s="135"/>
      <c r="DP462" s="135"/>
      <c r="DQ462" s="135"/>
      <c r="DR462" s="135"/>
      <c r="DS462" s="135"/>
      <c r="DT462" s="135"/>
      <c r="DU462" s="44"/>
      <c r="DV462" s="135"/>
      <c r="DW462" s="135"/>
      <c r="DX462" s="135"/>
      <c r="DY462" s="135"/>
      <c r="DZ462" s="135"/>
      <c r="EA462" s="135"/>
      <c r="EB462" s="44"/>
      <c r="EC462" s="135"/>
      <c r="ED462" s="135"/>
      <c r="EE462" s="135"/>
      <c r="EF462" s="135"/>
      <c r="EG462" s="135"/>
      <c r="EH462" s="135"/>
      <c r="EI462" s="44"/>
      <c r="EJ462" s="47"/>
      <c r="EK462" s="47"/>
      <c r="EL462" s="47"/>
      <c r="EM462" s="47"/>
      <c r="EN462" s="47"/>
      <c r="EO462" s="47"/>
      <c r="EP462" s="47"/>
      <c r="EQ462" s="47"/>
      <c r="ER462" s="47"/>
      <c r="ES462" s="47"/>
      <c r="ET462" s="47"/>
      <c r="EU462" s="47"/>
      <c r="EV462" s="47"/>
      <c r="EW462" s="47"/>
      <c r="EX462" s="47"/>
      <c r="EY462" s="47"/>
      <c r="EZ462" s="47"/>
      <c r="FA462" s="47"/>
      <c r="FB462" s="47"/>
      <c r="FC462" s="47"/>
      <c r="FD462" s="47"/>
      <c r="FE462" s="47"/>
      <c r="FF462" s="47"/>
      <c r="FG462" s="47"/>
      <c r="FH462" s="47"/>
      <c r="FI462" s="47"/>
      <c r="FJ462" s="47"/>
      <c r="FK462" s="47"/>
      <c r="FL462" s="47"/>
      <c r="FM462" s="47"/>
      <c r="FN462" s="47"/>
      <c r="FO462" s="47"/>
      <c r="FP462" s="47"/>
      <c r="FQ462" s="47"/>
      <c r="FR462" s="47"/>
      <c r="FS462" s="47"/>
      <c r="FT462" s="47"/>
      <c r="FU462" s="47"/>
      <c r="FV462" s="47"/>
      <c r="FW462" s="47"/>
      <c r="FX462" s="47"/>
      <c r="FY462" s="47"/>
      <c r="FZ462" s="47"/>
      <c r="GA462" s="47"/>
      <c r="GB462" s="47"/>
      <c r="GC462" s="47"/>
      <c r="GD462" s="47"/>
      <c r="GE462" s="47"/>
    </row>
    <row r="463" spans="1:187" ht="10.5" customHeight="1">
      <c r="A463" s="43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43"/>
      <c r="U463" s="108"/>
      <c r="V463" s="108"/>
      <c r="W463" s="108"/>
      <c r="X463" s="108"/>
      <c r="Y463" s="108"/>
      <c r="Z463" s="108"/>
      <c r="AA463" s="43"/>
      <c r="AB463" s="108"/>
      <c r="AC463" s="108"/>
      <c r="AD463" s="108"/>
      <c r="AE463" s="108"/>
      <c r="AF463" s="108"/>
      <c r="AG463" s="108"/>
      <c r="AH463" s="43"/>
      <c r="AI463" s="108"/>
      <c r="AJ463" s="108"/>
      <c r="AK463" s="108"/>
      <c r="AL463" s="108"/>
      <c r="AM463" s="108"/>
      <c r="AN463" s="108"/>
      <c r="AO463" s="43"/>
      <c r="AP463" s="108"/>
      <c r="AQ463" s="108"/>
      <c r="AR463" s="108"/>
      <c r="AS463" s="108"/>
      <c r="AT463" s="108"/>
      <c r="AU463" s="108"/>
      <c r="AV463" s="43"/>
      <c r="AW463" s="108"/>
      <c r="AX463" s="108"/>
      <c r="AY463" s="108"/>
      <c r="AZ463" s="108"/>
      <c r="BA463" s="108"/>
      <c r="BB463" s="108"/>
      <c r="BC463" s="43"/>
      <c r="BD463" s="108"/>
      <c r="BE463" s="108"/>
      <c r="BF463" s="108"/>
      <c r="BG463" s="108"/>
      <c r="BH463" s="108"/>
      <c r="BI463" s="108"/>
      <c r="BJ463" s="43"/>
      <c r="BK463" s="108"/>
      <c r="BL463" s="108"/>
      <c r="BM463" s="108"/>
      <c r="BN463" s="108"/>
      <c r="BO463" s="108"/>
      <c r="BP463" s="108"/>
      <c r="BQ463" s="43"/>
      <c r="BR463" s="108"/>
      <c r="BS463" s="108"/>
      <c r="BT463" s="108"/>
      <c r="BU463" s="108"/>
      <c r="BV463" s="108"/>
      <c r="BW463" s="108"/>
      <c r="BX463" s="43"/>
      <c r="BY463" s="108"/>
      <c r="BZ463" s="108"/>
      <c r="CA463" s="108"/>
      <c r="CB463" s="108"/>
      <c r="CC463" s="108"/>
      <c r="CD463" s="108"/>
      <c r="CE463" s="43"/>
      <c r="CF463" s="108"/>
      <c r="CG463" s="108"/>
      <c r="CH463" s="108"/>
      <c r="CI463" s="108"/>
      <c r="CJ463" s="108"/>
      <c r="CK463" s="108"/>
      <c r="CL463" s="43"/>
      <c r="CM463" s="108"/>
      <c r="CN463" s="108"/>
      <c r="CO463" s="108"/>
      <c r="CP463" s="108"/>
      <c r="CQ463" s="108"/>
      <c r="CR463" s="108"/>
      <c r="CS463" s="43"/>
      <c r="CT463" s="108"/>
      <c r="CU463" s="108"/>
      <c r="CV463" s="108"/>
      <c r="CW463" s="108"/>
      <c r="CX463" s="108"/>
      <c r="CY463" s="108"/>
      <c r="CZ463" s="43"/>
      <c r="DA463" s="108"/>
      <c r="DB463" s="108"/>
      <c r="DC463" s="108"/>
      <c r="DD463" s="108"/>
      <c r="DE463" s="108"/>
      <c r="DF463" s="108"/>
      <c r="DG463" s="43"/>
      <c r="DH463" s="108"/>
      <c r="DI463" s="108"/>
      <c r="DJ463" s="108"/>
      <c r="DK463" s="108"/>
      <c r="DL463" s="108"/>
      <c r="DM463" s="108"/>
      <c r="DN463" s="43"/>
      <c r="DO463" s="108"/>
      <c r="DP463" s="108"/>
      <c r="DQ463" s="108"/>
      <c r="DR463" s="108"/>
      <c r="DS463" s="108"/>
      <c r="DT463" s="108"/>
      <c r="DU463" s="43"/>
      <c r="DV463" s="108"/>
      <c r="DW463" s="108"/>
      <c r="DX463" s="108"/>
      <c r="DY463" s="108"/>
      <c r="DZ463" s="108"/>
      <c r="EA463" s="108"/>
      <c r="EB463" s="43"/>
      <c r="EC463" s="108"/>
      <c r="ED463" s="108"/>
      <c r="EE463" s="108"/>
      <c r="EF463" s="108"/>
      <c r="EG463" s="108"/>
      <c r="EH463" s="108"/>
      <c r="EI463" s="43"/>
      <c r="EJ463" s="47"/>
      <c r="EK463" s="47"/>
      <c r="EL463" s="47"/>
      <c r="EM463" s="47"/>
      <c r="EN463" s="47"/>
      <c r="EO463" s="47"/>
      <c r="EP463" s="47"/>
      <c r="EQ463" s="47"/>
      <c r="ER463" s="47"/>
      <c r="ES463" s="47"/>
      <c r="ET463" s="47"/>
      <c r="EU463" s="47"/>
      <c r="EV463" s="47"/>
      <c r="EW463" s="47"/>
      <c r="EX463" s="47"/>
      <c r="EY463" s="47"/>
      <c r="EZ463" s="47"/>
      <c r="FA463" s="47"/>
      <c r="FB463" s="47"/>
      <c r="FC463" s="47"/>
      <c r="FD463" s="47"/>
      <c r="FE463" s="47"/>
      <c r="FF463" s="47"/>
      <c r="FG463" s="47"/>
      <c r="FH463" s="47"/>
      <c r="FI463" s="47"/>
      <c r="FJ463" s="47"/>
      <c r="FK463" s="47"/>
      <c r="FL463" s="47"/>
      <c r="FM463" s="47"/>
      <c r="FN463" s="47"/>
      <c r="FO463" s="47"/>
      <c r="FP463" s="47"/>
      <c r="FQ463" s="47"/>
      <c r="FR463" s="47"/>
      <c r="FS463" s="47"/>
      <c r="FT463" s="47"/>
      <c r="FU463" s="47"/>
      <c r="FV463" s="47"/>
      <c r="FW463" s="47"/>
      <c r="FX463" s="47"/>
      <c r="FY463" s="47"/>
      <c r="FZ463" s="47"/>
      <c r="GA463" s="47"/>
      <c r="GB463" s="47"/>
      <c r="GC463" s="47"/>
      <c r="GD463" s="47"/>
      <c r="GE463" s="47"/>
    </row>
    <row r="464" spans="1:187" ht="10.5" customHeight="1">
      <c r="A464" s="48"/>
      <c r="B464" s="108"/>
      <c r="C464" s="108"/>
      <c r="D464" s="162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43"/>
      <c r="U464" s="108"/>
      <c r="V464" s="108"/>
      <c r="W464" s="108"/>
      <c r="X464" s="108"/>
      <c r="Y464" s="108"/>
      <c r="Z464" s="108"/>
      <c r="AA464" s="43"/>
      <c r="AB464" s="108"/>
      <c r="AC464" s="108"/>
      <c r="AD464" s="108"/>
      <c r="AE464" s="108"/>
      <c r="AF464" s="108"/>
      <c r="AG464" s="108"/>
      <c r="AH464" s="43"/>
      <c r="AI464" s="108"/>
      <c r="AJ464" s="108"/>
      <c r="AK464" s="108"/>
      <c r="AL464" s="108"/>
      <c r="AM464" s="108"/>
      <c r="AN464" s="108"/>
      <c r="AO464" s="43"/>
      <c r="AP464" s="108"/>
      <c r="AQ464" s="108"/>
      <c r="AR464" s="108"/>
      <c r="AS464" s="108"/>
      <c r="AT464" s="108"/>
      <c r="AU464" s="108"/>
      <c r="AV464" s="43"/>
      <c r="AW464" s="108"/>
      <c r="AX464" s="108"/>
      <c r="AY464" s="108"/>
      <c r="AZ464" s="108"/>
      <c r="BA464" s="108"/>
      <c r="BB464" s="108"/>
      <c r="BC464" s="43"/>
      <c r="BD464" s="108"/>
      <c r="BE464" s="108"/>
      <c r="BF464" s="108"/>
      <c r="BG464" s="108"/>
      <c r="BH464" s="108"/>
      <c r="BI464" s="108"/>
      <c r="BJ464" s="43"/>
      <c r="BK464" s="108"/>
      <c r="BL464" s="108"/>
      <c r="BM464" s="108"/>
      <c r="BN464" s="108"/>
      <c r="BO464" s="108"/>
      <c r="BP464" s="108"/>
      <c r="BQ464" s="43"/>
      <c r="BR464" s="108"/>
      <c r="BS464" s="108"/>
      <c r="BT464" s="108"/>
      <c r="BU464" s="108"/>
      <c r="BV464" s="108"/>
      <c r="BW464" s="108"/>
      <c r="BX464" s="43"/>
      <c r="BY464" s="108"/>
      <c r="BZ464" s="108"/>
      <c r="CA464" s="108"/>
      <c r="CB464" s="108"/>
      <c r="CC464" s="108"/>
      <c r="CD464" s="108"/>
      <c r="CE464" s="43"/>
      <c r="CF464" s="108"/>
      <c r="CG464" s="108"/>
      <c r="CH464" s="108"/>
      <c r="CI464" s="108"/>
      <c r="CJ464" s="108"/>
      <c r="CK464" s="108"/>
      <c r="CL464" s="43"/>
      <c r="CM464" s="108"/>
      <c r="CN464" s="108"/>
      <c r="CO464" s="108"/>
      <c r="CP464" s="108"/>
      <c r="CQ464" s="108"/>
      <c r="CR464" s="108"/>
      <c r="CS464" s="43"/>
      <c r="CT464" s="108"/>
      <c r="CU464" s="108"/>
      <c r="CV464" s="108"/>
      <c r="CW464" s="108"/>
      <c r="CX464" s="108"/>
      <c r="CY464" s="108"/>
      <c r="CZ464" s="43"/>
      <c r="DA464" s="108"/>
      <c r="DB464" s="108"/>
      <c r="DC464" s="108"/>
      <c r="DD464" s="108"/>
      <c r="DE464" s="108"/>
      <c r="DF464" s="108"/>
      <c r="DG464" s="43"/>
      <c r="DH464" s="108"/>
      <c r="DI464" s="108"/>
      <c r="DJ464" s="108"/>
      <c r="DK464" s="108"/>
      <c r="DL464" s="108"/>
      <c r="DM464" s="108"/>
      <c r="DN464" s="43"/>
      <c r="DO464" s="108"/>
      <c r="DP464" s="108"/>
      <c r="DQ464" s="108"/>
      <c r="DR464" s="108"/>
      <c r="DS464" s="108"/>
      <c r="DT464" s="108"/>
      <c r="DU464" s="43"/>
      <c r="DV464" s="108"/>
      <c r="DW464" s="108"/>
      <c r="DX464" s="108"/>
      <c r="DY464" s="108"/>
      <c r="DZ464" s="108"/>
      <c r="EA464" s="108"/>
      <c r="EB464" s="43"/>
      <c r="EC464" s="108"/>
      <c r="ED464" s="108"/>
      <c r="EE464" s="108"/>
      <c r="EF464" s="108"/>
      <c r="EG464" s="108"/>
      <c r="EH464" s="108"/>
      <c r="EI464" s="43"/>
      <c r="EJ464" s="47"/>
      <c r="EK464" s="47"/>
      <c r="EL464" s="47"/>
      <c r="EM464" s="47"/>
      <c r="EN464" s="47"/>
      <c r="EO464" s="47"/>
      <c r="EP464" s="47"/>
      <c r="EQ464" s="47"/>
      <c r="ER464" s="47"/>
      <c r="ES464" s="47"/>
      <c r="ET464" s="47"/>
      <c r="EU464" s="47"/>
      <c r="EV464" s="47"/>
      <c r="EW464" s="47"/>
      <c r="EX464" s="47"/>
      <c r="EY464" s="47"/>
      <c r="EZ464" s="47"/>
      <c r="FA464" s="47"/>
      <c r="FB464" s="47"/>
      <c r="FC464" s="47"/>
      <c r="FD464" s="47"/>
      <c r="FE464" s="47"/>
      <c r="FF464" s="47"/>
      <c r="FG464" s="47"/>
      <c r="FH464" s="47"/>
      <c r="FI464" s="47"/>
      <c r="FJ464" s="47"/>
      <c r="FK464" s="47"/>
      <c r="FL464" s="47"/>
      <c r="FM464" s="47"/>
      <c r="FN464" s="47"/>
      <c r="FO464" s="47"/>
      <c r="FP464" s="47"/>
      <c r="FQ464" s="47"/>
      <c r="FR464" s="47"/>
      <c r="FS464" s="47"/>
      <c r="FT464" s="47"/>
      <c r="FU464" s="47"/>
      <c r="FV464" s="47"/>
      <c r="FW464" s="47"/>
      <c r="FX464" s="47"/>
      <c r="FY464" s="47"/>
      <c r="FZ464" s="47"/>
      <c r="GA464" s="47"/>
      <c r="GB464" s="47"/>
      <c r="GC464" s="47"/>
      <c r="GD464" s="47"/>
      <c r="GE464" s="47"/>
    </row>
    <row r="465" spans="1:187" ht="10.5" customHeight="1">
      <c r="A465" s="43"/>
      <c r="B465" s="108"/>
      <c r="C465" s="108"/>
      <c r="D465" s="935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43"/>
      <c r="U465" s="108"/>
      <c r="V465" s="108"/>
      <c r="W465" s="108"/>
      <c r="X465" s="108"/>
      <c r="Y465" s="108"/>
      <c r="Z465" s="108"/>
      <c r="AA465" s="43"/>
      <c r="AB465" s="108"/>
      <c r="AC465" s="108"/>
      <c r="AD465" s="108"/>
      <c r="AE465" s="108"/>
      <c r="AF465" s="108"/>
      <c r="AG465" s="108"/>
      <c r="AH465" s="43"/>
      <c r="AI465" s="108"/>
      <c r="AJ465" s="108"/>
      <c r="AK465" s="108"/>
      <c r="AL465" s="108"/>
      <c r="AM465" s="108"/>
      <c r="AN465" s="108"/>
      <c r="AO465" s="43"/>
      <c r="AP465" s="108"/>
      <c r="AQ465" s="108"/>
      <c r="AR465" s="108"/>
      <c r="AS465" s="108"/>
      <c r="AT465" s="108"/>
      <c r="AU465" s="108"/>
      <c r="AV465" s="43"/>
      <c r="AW465" s="108"/>
      <c r="AX465" s="108"/>
      <c r="AY465" s="108"/>
      <c r="AZ465" s="108"/>
      <c r="BA465" s="108"/>
      <c r="BB465" s="108"/>
      <c r="BC465" s="43"/>
      <c r="BD465" s="108"/>
      <c r="BE465" s="108"/>
      <c r="BF465" s="108"/>
      <c r="BG465" s="108"/>
      <c r="BH465" s="108"/>
      <c r="BI465" s="108"/>
      <c r="BJ465" s="43"/>
      <c r="BK465" s="108"/>
      <c r="BL465" s="108"/>
      <c r="BM465" s="108"/>
      <c r="BN465" s="108"/>
      <c r="BO465" s="108"/>
      <c r="BP465" s="108"/>
      <c r="BQ465" s="43"/>
      <c r="BR465" s="108"/>
      <c r="BS465" s="108"/>
      <c r="BT465" s="108"/>
      <c r="BU465" s="108"/>
      <c r="BV465" s="108"/>
      <c r="BW465" s="108"/>
      <c r="BX465" s="43"/>
      <c r="BY465" s="108"/>
      <c r="BZ465" s="108"/>
      <c r="CA465" s="108"/>
      <c r="CB465" s="108"/>
      <c r="CC465" s="108"/>
      <c r="CD465" s="108"/>
      <c r="CE465" s="43"/>
      <c r="CF465" s="108"/>
      <c r="CG465" s="108"/>
      <c r="CH465" s="108"/>
      <c r="CI465" s="108"/>
      <c r="CJ465" s="108"/>
      <c r="CK465" s="108"/>
      <c r="CL465" s="43"/>
      <c r="CM465" s="108"/>
      <c r="CN465" s="108"/>
      <c r="CO465" s="108"/>
      <c r="CP465" s="108"/>
      <c r="CQ465" s="108"/>
      <c r="CR465" s="108"/>
      <c r="CS465" s="43"/>
      <c r="CT465" s="108"/>
      <c r="CU465" s="108"/>
      <c r="CV465" s="108"/>
      <c r="CW465" s="108"/>
      <c r="CX465" s="108"/>
      <c r="CY465" s="108"/>
      <c r="CZ465" s="43"/>
      <c r="DA465" s="108"/>
      <c r="DB465" s="108"/>
      <c r="DC465" s="108"/>
      <c r="DD465" s="108"/>
      <c r="DE465" s="108"/>
      <c r="DF465" s="108"/>
      <c r="DG465" s="43"/>
      <c r="DH465" s="108"/>
      <c r="DI465" s="108"/>
      <c r="DJ465" s="108"/>
      <c r="DK465" s="108"/>
      <c r="DL465" s="108"/>
      <c r="DM465" s="108"/>
      <c r="DN465" s="43"/>
      <c r="DO465" s="108"/>
      <c r="DP465" s="108"/>
      <c r="DQ465" s="108"/>
      <c r="DR465" s="108"/>
      <c r="DS465" s="108"/>
      <c r="DT465" s="108"/>
      <c r="DU465" s="43"/>
      <c r="DV465" s="108"/>
      <c r="DW465" s="108"/>
      <c r="DX465" s="108"/>
      <c r="DY465" s="108"/>
      <c r="DZ465" s="108"/>
      <c r="EA465" s="108"/>
      <c r="EB465" s="43"/>
      <c r="EC465" s="108"/>
      <c r="ED465" s="108"/>
      <c r="EE465" s="108"/>
      <c r="EF465" s="108"/>
      <c r="EG465" s="108"/>
      <c r="EH465" s="108"/>
      <c r="EI465" s="43"/>
      <c r="EJ465" s="47"/>
      <c r="EK465" s="47"/>
      <c r="EL465" s="47"/>
      <c r="EM465" s="47"/>
      <c r="EN465" s="47"/>
      <c r="EO465" s="47"/>
      <c r="EP465" s="47"/>
      <c r="EQ465" s="47"/>
      <c r="ER465" s="47"/>
      <c r="ES465" s="47"/>
      <c r="ET465" s="47"/>
      <c r="EU465" s="47"/>
      <c r="EV465" s="47"/>
      <c r="EW465" s="47"/>
      <c r="EX465" s="47"/>
      <c r="EY465" s="47"/>
      <c r="EZ465" s="47"/>
      <c r="FA465" s="47"/>
      <c r="FB465" s="47"/>
      <c r="FC465" s="47"/>
      <c r="FD465" s="47"/>
      <c r="FE465" s="47"/>
      <c r="FF465" s="47"/>
      <c r="FG465" s="47"/>
      <c r="FH465" s="47"/>
      <c r="FI465" s="47"/>
      <c r="FJ465" s="47"/>
      <c r="FK465" s="47"/>
      <c r="FL465" s="47"/>
      <c r="FM465" s="47"/>
      <c r="FN465" s="47"/>
      <c r="FO465" s="47"/>
      <c r="FP465" s="47"/>
      <c r="FQ465" s="47"/>
      <c r="FR465" s="47"/>
      <c r="FS465" s="47"/>
      <c r="FT465" s="47"/>
      <c r="FU465" s="47"/>
      <c r="FV465" s="47"/>
      <c r="FW465" s="47"/>
      <c r="FX465" s="47"/>
      <c r="FY465" s="47"/>
      <c r="FZ465" s="47"/>
      <c r="GA465" s="47"/>
      <c r="GB465" s="47"/>
      <c r="GC465" s="47"/>
      <c r="GD465" s="47"/>
      <c r="GE465" s="47"/>
    </row>
    <row r="466" spans="1:187" ht="10.5" customHeight="1">
      <c r="A466" s="43"/>
      <c r="B466" s="108"/>
      <c r="C466" s="108"/>
      <c r="D466" s="935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43"/>
      <c r="U466" s="108"/>
      <c r="V466" s="108"/>
      <c r="W466" s="108"/>
      <c r="X466" s="108"/>
      <c r="Y466" s="108"/>
      <c r="Z466" s="108"/>
      <c r="AA466" s="43"/>
      <c r="AB466" s="108"/>
      <c r="AC466" s="108"/>
      <c r="AD466" s="108"/>
      <c r="AE466" s="108"/>
      <c r="AF466" s="108"/>
      <c r="AG466" s="108"/>
      <c r="AH466" s="43"/>
      <c r="AI466" s="108"/>
      <c r="AJ466" s="108"/>
      <c r="AK466" s="108"/>
      <c r="AL466" s="108"/>
      <c r="AM466" s="108"/>
      <c r="AN466" s="108"/>
      <c r="AO466" s="43"/>
      <c r="AP466" s="108"/>
      <c r="AQ466" s="108"/>
      <c r="AR466" s="108"/>
      <c r="AS466" s="108"/>
      <c r="AT466" s="108"/>
      <c r="AU466" s="108"/>
      <c r="AV466" s="43"/>
      <c r="AW466" s="108"/>
      <c r="AX466" s="108"/>
      <c r="AY466" s="108"/>
      <c r="AZ466" s="108"/>
      <c r="BA466" s="108"/>
      <c r="BB466" s="108"/>
      <c r="BC466" s="43"/>
      <c r="BD466" s="108"/>
      <c r="BE466" s="108"/>
      <c r="BF466" s="108"/>
      <c r="BG466" s="108"/>
      <c r="BH466" s="108"/>
      <c r="BI466" s="108"/>
      <c r="BJ466" s="43"/>
      <c r="BK466" s="108"/>
      <c r="BL466" s="108"/>
      <c r="BM466" s="108"/>
      <c r="BN466" s="108"/>
      <c r="BO466" s="108"/>
      <c r="BP466" s="108"/>
      <c r="BQ466" s="43"/>
      <c r="BR466" s="108"/>
      <c r="BS466" s="108"/>
      <c r="BT466" s="108"/>
      <c r="BU466" s="108"/>
      <c r="BV466" s="108"/>
      <c r="BW466" s="108"/>
      <c r="BX466" s="43"/>
      <c r="BY466" s="108"/>
      <c r="BZ466" s="108"/>
      <c r="CA466" s="108"/>
      <c r="CB466" s="108"/>
      <c r="CC466" s="108"/>
      <c r="CD466" s="108"/>
      <c r="CE466" s="43"/>
      <c r="CF466" s="108"/>
      <c r="CG466" s="108"/>
      <c r="CH466" s="108"/>
      <c r="CI466" s="108"/>
      <c r="CJ466" s="108"/>
      <c r="CK466" s="108"/>
      <c r="CL466" s="43"/>
      <c r="CM466" s="108"/>
      <c r="CN466" s="108"/>
      <c r="CO466" s="108"/>
      <c r="CP466" s="108"/>
      <c r="CQ466" s="108"/>
      <c r="CR466" s="108"/>
      <c r="CS466" s="43"/>
      <c r="CT466" s="108"/>
      <c r="CU466" s="108"/>
      <c r="CV466" s="108"/>
      <c r="CW466" s="108"/>
      <c r="CX466" s="108"/>
      <c r="CY466" s="108"/>
      <c r="CZ466" s="43"/>
      <c r="DA466" s="108"/>
      <c r="DB466" s="108"/>
      <c r="DC466" s="108"/>
      <c r="DD466" s="108"/>
      <c r="DE466" s="108"/>
      <c r="DF466" s="108"/>
      <c r="DG466" s="43"/>
      <c r="DH466" s="108"/>
      <c r="DI466" s="108"/>
      <c r="DJ466" s="108"/>
      <c r="DK466" s="108"/>
      <c r="DL466" s="108"/>
      <c r="DM466" s="108"/>
      <c r="DN466" s="43"/>
      <c r="DO466" s="108"/>
      <c r="DP466" s="108"/>
      <c r="DQ466" s="108"/>
      <c r="DR466" s="108"/>
      <c r="DS466" s="108"/>
      <c r="DT466" s="108"/>
      <c r="DU466" s="43"/>
      <c r="DV466" s="108"/>
      <c r="DW466" s="108"/>
      <c r="DX466" s="108"/>
      <c r="DY466" s="108"/>
      <c r="DZ466" s="108"/>
      <c r="EA466" s="108"/>
      <c r="EB466" s="43"/>
      <c r="EC466" s="108"/>
      <c r="ED466" s="108"/>
      <c r="EE466" s="108"/>
      <c r="EF466" s="108"/>
      <c r="EG466" s="108"/>
      <c r="EH466" s="108"/>
      <c r="EI466" s="43"/>
      <c r="EJ466" s="47"/>
      <c r="EK466" s="47"/>
      <c r="EL466" s="47"/>
      <c r="EM466" s="47"/>
      <c r="EN466" s="47"/>
      <c r="EO466" s="47"/>
      <c r="EP466" s="47"/>
      <c r="EQ466" s="47"/>
      <c r="ER466" s="47"/>
      <c r="ES466" s="47"/>
      <c r="ET466" s="47"/>
      <c r="EU466" s="47"/>
      <c r="EV466" s="47"/>
      <c r="EW466" s="47"/>
      <c r="EX466" s="47"/>
      <c r="EY466" s="47"/>
      <c r="EZ466" s="47"/>
      <c r="FA466" s="47"/>
      <c r="FB466" s="47"/>
      <c r="FC466" s="47"/>
      <c r="FD466" s="47"/>
      <c r="FE466" s="47"/>
      <c r="FF466" s="47"/>
      <c r="FG466" s="47"/>
      <c r="FH466" s="47"/>
      <c r="FI466" s="47"/>
      <c r="FJ466" s="47"/>
      <c r="FK466" s="47"/>
      <c r="FL466" s="47"/>
      <c r="FM466" s="47"/>
      <c r="FN466" s="47"/>
      <c r="FO466" s="47"/>
      <c r="FP466" s="47"/>
      <c r="FQ466" s="47"/>
      <c r="FR466" s="47"/>
      <c r="FS466" s="47"/>
      <c r="FT466" s="47"/>
      <c r="FU466" s="47"/>
      <c r="FV466" s="47"/>
      <c r="FW466" s="47"/>
      <c r="FX466" s="47"/>
      <c r="FY466" s="47"/>
      <c r="FZ466" s="47"/>
      <c r="GA466" s="47"/>
      <c r="GB466" s="47"/>
      <c r="GC466" s="47"/>
      <c r="GD466" s="47"/>
      <c r="GE466" s="47"/>
    </row>
    <row r="467" spans="1:187" ht="10.5" customHeight="1">
      <c r="A467" s="43"/>
      <c r="B467" s="108"/>
      <c r="C467" s="108"/>
      <c r="D467" s="935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43"/>
      <c r="U467" s="108"/>
      <c r="V467" s="108"/>
      <c r="W467" s="108"/>
      <c r="X467" s="108"/>
      <c r="Y467" s="108"/>
      <c r="Z467" s="108"/>
      <c r="AA467" s="43"/>
      <c r="AB467" s="108"/>
      <c r="AC467" s="108"/>
      <c r="AD467" s="108"/>
      <c r="AE467" s="108"/>
      <c r="AF467" s="108"/>
      <c r="AG467" s="108"/>
      <c r="AH467" s="43"/>
      <c r="AI467" s="108"/>
      <c r="AJ467" s="108"/>
      <c r="AK467" s="108"/>
      <c r="AL467" s="108"/>
      <c r="AM467" s="108"/>
      <c r="AN467" s="108"/>
      <c r="AO467" s="43"/>
      <c r="AP467" s="108"/>
      <c r="AQ467" s="108"/>
      <c r="AR467" s="108"/>
      <c r="AS467" s="108"/>
      <c r="AT467" s="108"/>
      <c r="AU467" s="108"/>
      <c r="AV467" s="43"/>
      <c r="AW467" s="108"/>
      <c r="AX467" s="108"/>
      <c r="AY467" s="108"/>
      <c r="AZ467" s="108"/>
      <c r="BA467" s="108"/>
      <c r="BB467" s="108"/>
      <c r="BC467" s="43"/>
      <c r="BD467" s="108"/>
      <c r="BE467" s="108"/>
      <c r="BF467" s="108"/>
      <c r="BG467" s="108"/>
      <c r="BH467" s="108"/>
      <c r="BI467" s="108"/>
      <c r="BJ467" s="43"/>
      <c r="BK467" s="108"/>
      <c r="BL467" s="108"/>
      <c r="BM467" s="108"/>
      <c r="BN467" s="108"/>
      <c r="BO467" s="108"/>
      <c r="BP467" s="108"/>
      <c r="BQ467" s="43"/>
      <c r="BR467" s="108"/>
      <c r="BS467" s="108"/>
      <c r="BT467" s="108"/>
      <c r="BU467" s="108"/>
      <c r="BV467" s="108"/>
      <c r="BW467" s="108"/>
      <c r="BX467" s="43"/>
      <c r="BY467" s="108"/>
      <c r="BZ467" s="108"/>
      <c r="CA467" s="108"/>
      <c r="CB467" s="108"/>
      <c r="CC467" s="108"/>
      <c r="CD467" s="108"/>
      <c r="CE467" s="43"/>
      <c r="CF467" s="108"/>
      <c r="CG467" s="108"/>
      <c r="CH467" s="108"/>
      <c r="CI467" s="108"/>
      <c r="CJ467" s="108"/>
      <c r="CK467" s="108"/>
      <c r="CL467" s="43"/>
      <c r="CM467" s="108"/>
      <c r="CN467" s="108"/>
      <c r="CO467" s="108"/>
      <c r="CP467" s="108"/>
      <c r="CQ467" s="108"/>
      <c r="CR467" s="108"/>
      <c r="CS467" s="43"/>
      <c r="CT467" s="108"/>
      <c r="CU467" s="108"/>
      <c r="CV467" s="108"/>
      <c r="CW467" s="108"/>
      <c r="CX467" s="108"/>
      <c r="CY467" s="108"/>
      <c r="CZ467" s="43"/>
      <c r="DA467" s="108"/>
      <c r="DB467" s="108"/>
      <c r="DC467" s="108"/>
      <c r="DD467" s="108"/>
      <c r="DE467" s="108"/>
      <c r="DF467" s="108"/>
      <c r="DG467" s="43"/>
      <c r="DH467" s="108"/>
      <c r="DI467" s="108"/>
      <c r="DJ467" s="108"/>
      <c r="DK467" s="108"/>
      <c r="DL467" s="108"/>
      <c r="DM467" s="108"/>
      <c r="DN467" s="43"/>
      <c r="DO467" s="108"/>
      <c r="DP467" s="108"/>
      <c r="DQ467" s="108"/>
      <c r="DR467" s="108"/>
      <c r="DS467" s="108"/>
      <c r="DT467" s="108"/>
      <c r="DU467" s="43"/>
      <c r="DV467" s="108"/>
      <c r="DW467" s="108"/>
      <c r="DX467" s="108"/>
      <c r="DY467" s="108"/>
      <c r="DZ467" s="108"/>
      <c r="EA467" s="108"/>
      <c r="EB467" s="43"/>
      <c r="EC467" s="108"/>
      <c r="ED467" s="108"/>
      <c r="EE467" s="108"/>
      <c r="EF467" s="108"/>
      <c r="EG467" s="108"/>
      <c r="EH467" s="108"/>
      <c r="EI467" s="43"/>
      <c r="EJ467" s="47"/>
      <c r="EK467" s="47"/>
      <c r="EL467" s="47"/>
      <c r="EM467" s="47"/>
      <c r="EN467" s="47"/>
      <c r="EO467" s="47"/>
      <c r="EP467" s="47"/>
      <c r="EQ467" s="47"/>
      <c r="ER467" s="47"/>
      <c r="ES467" s="47"/>
      <c r="ET467" s="47"/>
      <c r="EU467" s="47"/>
      <c r="EV467" s="47"/>
      <c r="EW467" s="47"/>
      <c r="EX467" s="47"/>
      <c r="EY467" s="47"/>
      <c r="EZ467" s="47"/>
      <c r="FA467" s="47"/>
      <c r="FB467" s="47"/>
      <c r="FC467" s="47"/>
      <c r="FD467" s="47"/>
      <c r="FE467" s="47"/>
      <c r="FF467" s="47"/>
      <c r="FG467" s="47"/>
      <c r="FH467" s="47"/>
      <c r="FI467" s="47"/>
      <c r="FJ467" s="47"/>
      <c r="FK467" s="47"/>
      <c r="FL467" s="47"/>
      <c r="FM467" s="47"/>
      <c r="FN467" s="47"/>
      <c r="FO467" s="47"/>
      <c r="FP467" s="47"/>
      <c r="FQ467" s="47"/>
      <c r="FR467" s="47"/>
      <c r="FS467" s="47"/>
      <c r="FT467" s="47"/>
      <c r="FU467" s="47"/>
      <c r="FV467" s="47"/>
      <c r="FW467" s="47"/>
      <c r="FX467" s="47"/>
      <c r="FY467" s="47"/>
      <c r="FZ467" s="47"/>
      <c r="GA467" s="47"/>
      <c r="GB467" s="47"/>
      <c r="GC467" s="47"/>
      <c r="GD467" s="47"/>
      <c r="GE467" s="47"/>
    </row>
    <row r="468" spans="1:187" ht="10.5" customHeight="1">
      <c r="A468" s="43"/>
      <c r="B468" s="108"/>
      <c r="C468" s="108"/>
      <c r="D468" s="935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43"/>
      <c r="U468" s="108"/>
      <c r="V468" s="108"/>
      <c r="W468" s="108"/>
      <c r="X468" s="108"/>
      <c r="Y468" s="108"/>
      <c r="Z468" s="108"/>
      <c r="AA468" s="43"/>
      <c r="AB468" s="108"/>
      <c r="AC468" s="108"/>
      <c r="AD468" s="108"/>
      <c r="AE468" s="108"/>
      <c r="AF468" s="108"/>
      <c r="AG468" s="108"/>
      <c r="AH468" s="43"/>
      <c r="AI468" s="108"/>
      <c r="AJ468" s="108"/>
      <c r="AK468" s="108"/>
      <c r="AL468" s="108"/>
      <c r="AM468" s="108"/>
      <c r="AN468" s="108"/>
      <c r="AO468" s="43"/>
      <c r="AP468" s="108"/>
      <c r="AQ468" s="108"/>
      <c r="AR468" s="108"/>
      <c r="AS468" s="108"/>
      <c r="AT468" s="108"/>
      <c r="AU468" s="108"/>
      <c r="AV468" s="43"/>
      <c r="AW468" s="108"/>
      <c r="AX468" s="108"/>
      <c r="AY468" s="108"/>
      <c r="AZ468" s="108"/>
      <c r="BA468" s="108"/>
      <c r="BB468" s="108"/>
      <c r="BC468" s="43"/>
      <c r="BD468" s="108"/>
      <c r="BE468" s="108"/>
      <c r="BF468" s="108"/>
      <c r="BG468" s="108"/>
      <c r="BH468" s="108"/>
      <c r="BI468" s="108"/>
      <c r="BJ468" s="43"/>
      <c r="BK468" s="108"/>
      <c r="BL468" s="108"/>
      <c r="BM468" s="108"/>
      <c r="BN468" s="108"/>
      <c r="BO468" s="108"/>
      <c r="BP468" s="108"/>
      <c r="BQ468" s="43"/>
      <c r="BR468" s="108"/>
      <c r="BS468" s="108"/>
      <c r="BT468" s="108"/>
      <c r="BU468" s="108"/>
      <c r="BV468" s="108"/>
      <c r="BW468" s="108"/>
      <c r="BX468" s="43"/>
      <c r="BY468" s="108"/>
      <c r="BZ468" s="108"/>
      <c r="CA468" s="108"/>
      <c r="CB468" s="108"/>
      <c r="CC468" s="108"/>
      <c r="CD468" s="108"/>
      <c r="CE468" s="43"/>
      <c r="CF468" s="108"/>
      <c r="CG468" s="108"/>
      <c r="CH468" s="108"/>
      <c r="CI468" s="108"/>
      <c r="CJ468" s="108"/>
      <c r="CK468" s="108"/>
      <c r="CL468" s="43"/>
      <c r="CM468" s="108"/>
      <c r="CN468" s="108"/>
      <c r="CO468" s="108"/>
      <c r="CP468" s="108"/>
      <c r="CQ468" s="108"/>
      <c r="CR468" s="108"/>
      <c r="CS468" s="43"/>
      <c r="CT468" s="108"/>
      <c r="CU468" s="108"/>
      <c r="CV468" s="108"/>
      <c r="CW468" s="108"/>
      <c r="CX468" s="108"/>
      <c r="CY468" s="108"/>
      <c r="CZ468" s="43"/>
      <c r="DA468" s="108"/>
      <c r="DB468" s="108"/>
      <c r="DC468" s="108"/>
      <c r="DD468" s="108"/>
      <c r="DE468" s="108"/>
      <c r="DF468" s="108"/>
      <c r="DG468" s="43"/>
      <c r="DH468" s="108"/>
      <c r="DI468" s="108"/>
      <c r="DJ468" s="108"/>
      <c r="DK468" s="108"/>
      <c r="DL468" s="108"/>
      <c r="DM468" s="108"/>
      <c r="DN468" s="43"/>
      <c r="DO468" s="108"/>
      <c r="DP468" s="108"/>
      <c r="DQ468" s="108"/>
      <c r="DR468" s="108"/>
      <c r="DS468" s="108"/>
      <c r="DT468" s="108"/>
      <c r="DU468" s="43"/>
      <c r="DV468" s="108"/>
      <c r="DW468" s="108"/>
      <c r="DX468" s="108"/>
      <c r="DY468" s="108"/>
      <c r="DZ468" s="108"/>
      <c r="EA468" s="108"/>
      <c r="EB468" s="43"/>
      <c r="EC468" s="108"/>
      <c r="ED468" s="108"/>
      <c r="EE468" s="108"/>
      <c r="EF468" s="108"/>
      <c r="EG468" s="108"/>
      <c r="EH468" s="108"/>
      <c r="EI468" s="43"/>
      <c r="EJ468" s="47"/>
      <c r="EK468" s="47"/>
      <c r="EL468" s="47"/>
      <c r="EM468" s="47"/>
      <c r="EN468" s="47"/>
      <c r="EO468" s="47"/>
      <c r="EP468" s="47"/>
      <c r="EQ468" s="47"/>
      <c r="ER468" s="47"/>
      <c r="ES468" s="47"/>
      <c r="ET468" s="47"/>
      <c r="EU468" s="47"/>
      <c r="EV468" s="47"/>
      <c r="EW468" s="47"/>
      <c r="EX468" s="47"/>
      <c r="EY468" s="47"/>
      <c r="EZ468" s="47"/>
      <c r="FA468" s="47"/>
      <c r="FB468" s="47"/>
      <c r="FC468" s="47"/>
      <c r="FD468" s="47"/>
      <c r="FE468" s="47"/>
      <c r="FF468" s="47"/>
      <c r="FG468" s="47"/>
      <c r="FH468" s="47"/>
      <c r="FI468" s="47"/>
      <c r="FJ468" s="47"/>
      <c r="FK468" s="47"/>
      <c r="FL468" s="47"/>
      <c r="FM468" s="47"/>
      <c r="FN468" s="47"/>
      <c r="FO468" s="47"/>
      <c r="FP468" s="47"/>
      <c r="FQ468" s="47"/>
      <c r="FR468" s="47"/>
      <c r="FS468" s="47"/>
      <c r="FT468" s="47"/>
      <c r="FU468" s="47"/>
      <c r="FV468" s="47"/>
      <c r="FW468" s="47"/>
      <c r="FX468" s="47"/>
      <c r="FY468" s="47"/>
      <c r="FZ468" s="47"/>
      <c r="GA468" s="47"/>
      <c r="GB468" s="47"/>
      <c r="GC468" s="47"/>
      <c r="GD468" s="47"/>
      <c r="GE468" s="47"/>
    </row>
    <row r="469" spans="1:187" ht="10.5" customHeight="1">
      <c r="A469" s="43"/>
      <c r="B469" s="108"/>
      <c r="C469" s="108"/>
      <c r="D469" s="837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43"/>
      <c r="U469" s="108"/>
      <c r="V469" s="108"/>
      <c r="W469" s="108"/>
      <c r="X469" s="108"/>
      <c r="Y469" s="108"/>
      <c r="Z469" s="108"/>
      <c r="AA469" s="43"/>
      <c r="AB469" s="108"/>
      <c r="AC469" s="108"/>
      <c r="AD469" s="108"/>
      <c r="AE469" s="108"/>
      <c r="AF469" s="108"/>
      <c r="AG469" s="108"/>
      <c r="AH469" s="43"/>
      <c r="AI469" s="108"/>
      <c r="AJ469" s="108"/>
      <c r="AK469" s="108"/>
      <c r="AL469" s="108"/>
      <c r="AM469" s="108"/>
      <c r="AN469" s="108"/>
      <c r="AO469" s="43"/>
      <c r="AP469" s="108"/>
      <c r="AQ469" s="108"/>
      <c r="AR469" s="108"/>
      <c r="AS469" s="108"/>
      <c r="AT469" s="108"/>
      <c r="AU469" s="108"/>
      <c r="AV469" s="43"/>
      <c r="AW469" s="108"/>
      <c r="AX469" s="108"/>
      <c r="AY469" s="108"/>
      <c r="AZ469" s="108"/>
      <c r="BA469" s="108"/>
      <c r="BB469" s="108"/>
      <c r="BC469" s="43"/>
      <c r="BD469" s="108"/>
      <c r="BE469" s="108"/>
      <c r="BF469" s="108"/>
      <c r="BG469" s="108"/>
      <c r="BH469" s="108"/>
      <c r="BI469" s="108"/>
      <c r="BJ469" s="43"/>
      <c r="BK469" s="108"/>
      <c r="BL469" s="108"/>
      <c r="BM469" s="108"/>
      <c r="BN469" s="108"/>
      <c r="BO469" s="108"/>
      <c r="BP469" s="108"/>
      <c r="BQ469" s="43"/>
      <c r="BR469" s="108"/>
      <c r="BS469" s="108"/>
      <c r="BT469" s="108"/>
      <c r="BU469" s="108"/>
      <c r="BV469" s="108"/>
      <c r="BW469" s="108"/>
      <c r="BX469" s="43"/>
      <c r="BY469" s="108"/>
      <c r="BZ469" s="108"/>
      <c r="CA469" s="108"/>
      <c r="CB469" s="108"/>
      <c r="CC469" s="108"/>
      <c r="CD469" s="108"/>
      <c r="CE469" s="43"/>
      <c r="CF469" s="108"/>
      <c r="CG469" s="108"/>
      <c r="CH469" s="108"/>
      <c r="CI469" s="108"/>
      <c r="CJ469" s="108"/>
      <c r="CK469" s="108"/>
      <c r="CL469" s="43"/>
      <c r="CM469" s="108"/>
      <c r="CN469" s="108"/>
      <c r="CO469" s="108"/>
      <c r="CP469" s="108"/>
      <c r="CQ469" s="108"/>
      <c r="CR469" s="108"/>
      <c r="CS469" s="43"/>
      <c r="CT469" s="108"/>
      <c r="CU469" s="108"/>
      <c r="CV469" s="108"/>
      <c r="CW469" s="108"/>
      <c r="CX469" s="108"/>
      <c r="CY469" s="108"/>
      <c r="CZ469" s="43"/>
      <c r="DA469" s="108"/>
      <c r="DB469" s="108"/>
      <c r="DC469" s="108"/>
      <c r="DD469" s="108"/>
      <c r="DE469" s="108"/>
      <c r="DF469" s="108"/>
      <c r="DG469" s="43"/>
      <c r="DH469" s="108"/>
      <c r="DI469" s="108"/>
      <c r="DJ469" s="108"/>
      <c r="DK469" s="108"/>
      <c r="DL469" s="108"/>
      <c r="DM469" s="108"/>
      <c r="DN469" s="43"/>
      <c r="DO469" s="108"/>
      <c r="DP469" s="108"/>
      <c r="DQ469" s="108"/>
      <c r="DR469" s="108"/>
      <c r="DS469" s="108"/>
      <c r="DT469" s="108"/>
      <c r="DU469" s="43"/>
      <c r="DV469" s="108"/>
      <c r="DW469" s="108"/>
      <c r="DX469" s="108"/>
      <c r="DY469" s="108"/>
      <c r="DZ469" s="108"/>
      <c r="EA469" s="108"/>
      <c r="EB469" s="43"/>
      <c r="EC469" s="108"/>
      <c r="ED469" s="108"/>
      <c r="EE469" s="108"/>
      <c r="EF469" s="108"/>
      <c r="EG469" s="108"/>
      <c r="EH469" s="108"/>
      <c r="EI469" s="43"/>
      <c r="EJ469" s="47"/>
      <c r="EK469" s="47"/>
      <c r="EL469" s="47"/>
      <c r="EM469" s="47"/>
      <c r="EN469" s="47"/>
      <c r="EO469" s="47"/>
      <c r="EP469" s="47"/>
      <c r="EQ469" s="47"/>
      <c r="ER469" s="47"/>
      <c r="ES469" s="47"/>
      <c r="ET469" s="47"/>
      <c r="EU469" s="47"/>
      <c r="EV469" s="47"/>
      <c r="EW469" s="47"/>
      <c r="EX469" s="47"/>
      <c r="EY469" s="47"/>
      <c r="EZ469" s="47"/>
      <c r="FA469" s="47"/>
      <c r="FB469" s="47"/>
      <c r="FC469" s="47"/>
      <c r="FD469" s="47"/>
      <c r="FE469" s="47"/>
      <c r="FF469" s="47"/>
      <c r="FG469" s="47"/>
      <c r="FH469" s="47"/>
      <c r="FI469" s="47"/>
      <c r="FJ469" s="47"/>
      <c r="FK469" s="47"/>
      <c r="FL469" s="47"/>
      <c r="FM469" s="47"/>
      <c r="FN469" s="47"/>
      <c r="FO469" s="47"/>
      <c r="FP469" s="47"/>
      <c r="FQ469" s="47"/>
      <c r="FR469" s="47"/>
      <c r="FS469" s="47"/>
      <c r="FT469" s="47"/>
      <c r="FU469" s="47"/>
      <c r="FV469" s="47"/>
      <c r="FW469" s="47"/>
      <c r="FX469" s="47"/>
      <c r="FY469" s="47"/>
      <c r="FZ469" s="47"/>
      <c r="GA469" s="47"/>
      <c r="GB469" s="47"/>
      <c r="GC469" s="47"/>
      <c r="GD469" s="47"/>
      <c r="GE469" s="47"/>
    </row>
    <row r="470" spans="1:187" ht="10.5" customHeight="1">
      <c r="A470" s="43"/>
      <c r="B470" s="108"/>
      <c r="C470" s="837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43"/>
      <c r="U470" s="108"/>
      <c r="V470" s="108"/>
      <c r="W470" s="108"/>
      <c r="X470" s="108"/>
      <c r="Y470" s="108"/>
      <c r="Z470" s="108"/>
      <c r="AA470" s="43"/>
      <c r="AB470" s="108"/>
      <c r="AC470" s="108"/>
      <c r="AD470" s="108"/>
      <c r="AE470" s="108"/>
      <c r="AF470" s="108"/>
      <c r="AG470" s="108"/>
      <c r="AH470" s="43"/>
      <c r="AI470" s="108"/>
      <c r="AJ470" s="108"/>
      <c r="AK470" s="108"/>
      <c r="AL470" s="108"/>
      <c r="AM470" s="108"/>
      <c r="AN470" s="108"/>
      <c r="AO470" s="43"/>
      <c r="AP470" s="108"/>
      <c r="AQ470" s="108"/>
      <c r="AR470" s="108"/>
      <c r="AS470" s="108"/>
      <c r="AT470" s="108"/>
      <c r="AU470" s="108"/>
      <c r="AV470" s="43"/>
      <c r="AW470" s="108"/>
      <c r="AX470" s="108"/>
      <c r="AY470" s="108"/>
      <c r="AZ470" s="108"/>
      <c r="BA470" s="108"/>
      <c r="BB470" s="108"/>
      <c r="BC470" s="43"/>
      <c r="BD470" s="108"/>
      <c r="BE470" s="108"/>
      <c r="BF470" s="108"/>
      <c r="BG470" s="108"/>
      <c r="BH470" s="108"/>
      <c r="BI470" s="108"/>
      <c r="BJ470" s="43"/>
      <c r="BK470" s="108"/>
      <c r="BL470" s="108"/>
      <c r="BM470" s="108"/>
      <c r="BN470" s="108"/>
      <c r="BO470" s="108"/>
      <c r="BP470" s="108"/>
      <c r="BQ470" s="43"/>
      <c r="BR470" s="108"/>
      <c r="BS470" s="108"/>
      <c r="BT470" s="108"/>
      <c r="BU470" s="108"/>
      <c r="BV470" s="108"/>
      <c r="BW470" s="108"/>
      <c r="BX470" s="43"/>
      <c r="BY470" s="108"/>
      <c r="BZ470" s="108"/>
      <c r="CA470" s="108"/>
      <c r="CB470" s="108"/>
      <c r="CC470" s="108"/>
      <c r="CD470" s="108"/>
      <c r="CE470" s="43"/>
      <c r="CF470" s="108"/>
      <c r="CG470" s="108"/>
      <c r="CH470" s="108"/>
      <c r="CI470" s="108"/>
      <c r="CJ470" s="108"/>
      <c r="CK470" s="108"/>
      <c r="CL470" s="43"/>
      <c r="CM470" s="108"/>
      <c r="CN470" s="108"/>
      <c r="CO470" s="108"/>
      <c r="CP470" s="108"/>
      <c r="CQ470" s="108"/>
      <c r="CR470" s="108"/>
      <c r="CS470" s="43"/>
      <c r="CT470" s="108"/>
      <c r="CU470" s="108"/>
      <c r="CV470" s="108"/>
      <c r="CW470" s="108"/>
      <c r="CX470" s="108"/>
      <c r="CY470" s="108"/>
      <c r="CZ470" s="43"/>
      <c r="DA470" s="108"/>
      <c r="DB470" s="108"/>
      <c r="DC470" s="108"/>
      <c r="DD470" s="108"/>
      <c r="DE470" s="108"/>
      <c r="DF470" s="108"/>
      <c r="DG470" s="43"/>
      <c r="DH470" s="108"/>
      <c r="DI470" s="108"/>
      <c r="DJ470" s="108"/>
      <c r="DK470" s="108"/>
      <c r="DL470" s="108"/>
      <c r="DM470" s="108"/>
      <c r="DN470" s="43"/>
      <c r="DO470" s="108"/>
      <c r="DP470" s="108"/>
      <c r="DQ470" s="108"/>
      <c r="DR470" s="108"/>
      <c r="DS470" s="108"/>
      <c r="DT470" s="108"/>
      <c r="DU470" s="43"/>
      <c r="DV470" s="108"/>
      <c r="DW470" s="108"/>
      <c r="DX470" s="108"/>
      <c r="DY470" s="108"/>
      <c r="DZ470" s="108"/>
      <c r="EA470" s="108"/>
      <c r="EB470" s="43"/>
      <c r="EC470" s="108"/>
      <c r="ED470" s="108"/>
      <c r="EE470" s="108"/>
      <c r="EF470" s="108"/>
      <c r="EG470" s="108"/>
      <c r="EH470" s="108"/>
      <c r="EI470" s="43"/>
      <c r="EJ470" s="47"/>
      <c r="EK470" s="47"/>
      <c r="EL470" s="47"/>
      <c r="EM470" s="47"/>
      <c r="EN470" s="47"/>
      <c r="EO470" s="47"/>
      <c r="EP470" s="47"/>
      <c r="EQ470" s="47"/>
      <c r="ER470" s="47"/>
      <c r="ES470" s="47"/>
      <c r="ET470" s="47"/>
      <c r="EU470" s="47"/>
      <c r="EV470" s="47"/>
      <c r="EW470" s="47"/>
      <c r="EX470" s="47"/>
      <c r="EY470" s="47"/>
      <c r="EZ470" s="47"/>
      <c r="FA470" s="47"/>
      <c r="FB470" s="47"/>
      <c r="FC470" s="47"/>
      <c r="FD470" s="47"/>
      <c r="FE470" s="47"/>
      <c r="FF470" s="47"/>
      <c r="FG470" s="47"/>
      <c r="FH470" s="47"/>
      <c r="FI470" s="47"/>
      <c r="FJ470" s="47"/>
      <c r="FK470" s="47"/>
      <c r="FL470" s="47"/>
      <c r="FM470" s="47"/>
      <c r="FN470" s="47"/>
      <c r="FO470" s="47"/>
      <c r="FP470" s="47"/>
      <c r="FQ470" s="47"/>
      <c r="FR470" s="47"/>
      <c r="FS470" s="47"/>
      <c r="FT470" s="47"/>
      <c r="FU470" s="47"/>
      <c r="FV470" s="47"/>
      <c r="FW470" s="47"/>
      <c r="FX470" s="47"/>
      <c r="FY470" s="47"/>
      <c r="FZ470" s="47"/>
      <c r="GA470" s="47"/>
      <c r="GB470" s="47"/>
      <c r="GC470" s="47"/>
      <c r="GD470" s="47"/>
      <c r="GE470" s="47"/>
    </row>
    <row r="471" spans="1:187" ht="10.5" customHeight="1">
      <c r="A471" s="43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43"/>
      <c r="U471" s="108"/>
      <c r="V471" s="108"/>
      <c r="W471" s="108"/>
      <c r="X471" s="108"/>
      <c r="Y471" s="108"/>
      <c r="Z471" s="108"/>
      <c r="AA471" s="43"/>
      <c r="AB471" s="108"/>
      <c r="AC471" s="108"/>
      <c r="AD471" s="108"/>
      <c r="AE471" s="108"/>
      <c r="AF471" s="108"/>
      <c r="AG471" s="108"/>
      <c r="AH471" s="43"/>
      <c r="AI471" s="108"/>
      <c r="AJ471" s="108"/>
      <c r="AK471" s="108"/>
      <c r="AL471" s="108"/>
      <c r="AM471" s="108"/>
      <c r="AN471" s="108"/>
      <c r="AO471" s="43"/>
      <c r="AP471" s="108"/>
      <c r="AQ471" s="108"/>
      <c r="AR471" s="108"/>
      <c r="AS471" s="108"/>
      <c r="AT471" s="108"/>
      <c r="AU471" s="108"/>
      <c r="AV471" s="43"/>
      <c r="AW471" s="108"/>
      <c r="AX471" s="108"/>
      <c r="AY471" s="108"/>
      <c r="AZ471" s="108"/>
      <c r="BA471" s="108"/>
      <c r="BB471" s="108"/>
      <c r="BC471" s="43"/>
      <c r="BD471" s="108"/>
      <c r="BE471" s="108"/>
      <c r="BF471" s="108"/>
      <c r="BG471" s="108"/>
      <c r="BH471" s="108"/>
      <c r="BI471" s="108"/>
      <c r="BJ471" s="43"/>
      <c r="BK471" s="108"/>
      <c r="BL471" s="108"/>
      <c r="BM471" s="108"/>
      <c r="BN471" s="108"/>
      <c r="BO471" s="108"/>
      <c r="BP471" s="108"/>
      <c r="BQ471" s="43"/>
      <c r="BR471" s="108"/>
      <c r="BS471" s="108"/>
      <c r="BT471" s="108"/>
      <c r="BU471" s="108"/>
      <c r="BV471" s="108"/>
      <c r="BW471" s="108"/>
      <c r="BX471" s="43"/>
      <c r="BY471" s="108"/>
      <c r="BZ471" s="108"/>
      <c r="CA471" s="108"/>
      <c r="CB471" s="108"/>
      <c r="CC471" s="108"/>
      <c r="CD471" s="108"/>
      <c r="CE471" s="43"/>
      <c r="CF471" s="108"/>
      <c r="CG471" s="108"/>
      <c r="CH471" s="108"/>
      <c r="CI471" s="108"/>
      <c r="CJ471" s="108"/>
      <c r="CK471" s="108"/>
      <c r="CL471" s="43"/>
      <c r="CM471" s="108"/>
      <c r="CN471" s="108"/>
      <c r="CO471" s="108"/>
      <c r="CP471" s="108"/>
      <c r="CQ471" s="108"/>
      <c r="CR471" s="108"/>
      <c r="CS471" s="43"/>
      <c r="CT471" s="108"/>
      <c r="CU471" s="108"/>
      <c r="CV471" s="108"/>
      <c r="CW471" s="108"/>
      <c r="CX471" s="108"/>
      <c r="CY471" s="108"/>
      <c r="CZ471" s="43"/>
      <c r="DA471" s="108"/>
      <c r="DB471" s="108"/>
      <c r="DC471" s="108"/>
      <c r="DD471" s="108"/>
      <c r="DE471" s="108"/>
      <c r="DF471" s="108"/>
      <c r="DG471" s="43"/>
      <c r="DH471" s="108"/>
      <c r="DI471" s="108"/>
      <c r="DJ471" s="108"/>
      <c r="DK471" s="108"/>
      <c r="DL471" s="108"/>
      <c r="DM471" s="108"/>
      <c r="DN471" s="43"/>
      <c r="DO471" s="108"/>
      <c r="DP471" s="108"/>
      <c r="DQ471" s="108"/>
      <c r="DR471" s="108"/>
      <c r="DS471" s="108"/>
      <c r="DT471" s="108"/>
      <c r="DU471" s="43"/>
      <c r="DV471" s="108"/>
      <c r="DW471" s="108"/>
      <c r="DX471" s="108"/>
      <c r="DY471" s="108"/>
      <c r="DZ471" s="108"/>
      <c r="EA471" s="108"/>
      <c r="EB471" s="43"/>
      <c r="EC471" s="108"/>
      <c r="ED471" s="108"/>
      <c r="EE471" s="108"/>
      <c r="EF471" s="108"/>
      <c r="EG471" s="108"/>
      <c r="EH471" s="108"/>
      <c r="EI471" s="43"/>
      <c r="EJ471" s="47"/>
      <c r="EK471" s="47"/>
      <c r="EL471" s="47"/>
      <c r="EM471" s="47"/>
      <c r="EN471" s="47"/>
      <c r="EO471" s="47"/>
      <c r="EP471" s="47"/>
      <c r="EQ471" s="47"/>
      <c r="ER471" s="47"/>
      <c r="ES471" s="47"/>
      <c r="ET471" s="47"/>
      <c r="EU471" s="47"/>
      <c r="EV471" s="47"/>
      <c r="EW471" s="47"/>
      <c r="EX471" s="47"/>
      <c r="EY471" s="47"/>
      <c r="EZ471" s="47"/>
      <c r="FA471" s="47"/>
      <c r="FB471" s="47"/>
      <c r="FC471" s="47"/>
      <c r="FD471" s="47"/>
      <c r="FE471" s="47"/>
      <c r="FF471" s="47"/>
      <c r="FG471" s="47"/>
      <c r="FH471" s="47"/>
      <c r="FI471" s="47"/>
      <c r="FJ471" s="47"/>
      <c r="FK471" s="47"/>
      <c r="FL471" s="47"/>
      <c r="FM471" s="47"/>
      <c r="FN471" s="47"/>
      <c r="FO471" s="47"/>
      <c r="FP471" s="47"/>
      <c r="FQ471" s="47"/>
      <c r="FR471" s="47"/>
      <c r="FS471" s="47"/>
      <c r="FT471" s="47"/>
      <c r="FU471" s="47"/>
      <c r="FV471" s="47"/>
      <c r="FW471" s="47"/>
      <c r="FX471" s="47"/>
      <c r="FY471" s="47"/>
      <c r="FZ471" s="47"/>
      <c r="GA471" s="47"/>
      <c r="GB471" s="47"/>
      <c r="GC471" s="47"/>
      <c r="GD471" s="47"/>
      <c r="GE471" s="47"/>
    </row>
    <row r="472" spans="1:187" ht="10.5" customHeight="1">
      <c r="A472" s="43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43"/>
      <c r="U472" s="108"/>
      <c r="V472" s="108"/>
      <c r="W472" s="108"/>
      <c r="X472" s="108"/>
      <c r="Y472" s="108"/>
      <c r="Z472" s="108"/>
      <c r="AA472" s="43"/>
      <c r="AB472" s="108"/>
      <c r="AC472" s="108"/>
      <c r="AD472" s="108"/>
      <c r="AE472" s="108"/>
      <c r="AF472" s="108"/>
      <c r="AG472" s="108"/>
      <c r="AH472" s="43"/>
      <c r="AI472" s="108"/>
      <c r="AJ472" s="108"/>
      <c r="AK472" s="108"/>
      <c r="AL472" s="108"/>
      <c r="AM472" s="108"/>
      <c r="AN472" s="108"/>
      <c r="AO472" s="43"/>
      <c r="AP472" s="108"/>
      <c r="AQ472" s="108"/>
      <c r="AR472" s="108"/>
      <c r="AS472" s="108"/>
      <c r="AT472" s="108"/>
      <c r="AU472" s="108"/>
      <c r="AV472" s="43"/>
      <c r="AW472" s="108"/>
      <c r="AX472" s="108"/>
      <c r="AY472" s="108"/>
      <c r="AZ472" s="108"/>
      <c r="BA472" s="108"/>
      <c r="BB472" s="108"/>
      <c r="BC472" s="43"/>
      <c r="BD472" s="108"/>
      <c r="BE472" s="108"/>
      <c r="BF472" s="108"/>
      <c r="BG472" s="108"/>
      <c r="BH472" s="108"/>
      <c r="BI472" s="108"/>
      <c r="BJ472" s="43"/>
      <c r="BK472" s="108"/>
      <c r="BL472" s="108"/>
      <c r="BM472" s="108"/>
      <c r="BN472" s="108"/>
      <c r="BO472" s="108"/>
      <c r="BP472" s="108"/>
      <c r="BQ472" s="43"/>
      <c r="BR472" s="108"/>
      <c r="BS472" s="108"/>
      <c r="BT472" s="108"/>
      <c r="BU472" s="108"/>
      <c r="BV472" s="108"/>
      <c r="BW472" s="108"/>
      <c r="BX472" s="43"/>
      <c r="BY472" s="108"/>
      <c r="BZ472" s="108"/>
      <c r="CA472" s="108"/>
      <c r="CB472" s="108"/>
      <c r="CC472" s="108"/>
      <c r="CD472" s="108"/>
      <c r="CE472" s="43"/>
      <c r="CF472" s="108"/>
      <c r="CG472" s="108"/>
      <c r="CH472" s="108"/>
      <c r="CI472" s="108"/>
      <c r="CJ472" s="108"/>
      <c r="CK472" s="108"/>
      <c r="CL472" s="43"/>
      <c r="CM472" s="108"/>
      <c r="CN472" s="108"/>
      <c r="CO472" s="108"/>
      <c r="CP472" s="108"/>
      <c r="CQ472" s="108"/>
      <c r="CR472" s="108"/>
      <c r="CS472" s="43"/>
      <c r="CT472" s="108"/>
      <c r="CU472" s="108"/>
      <c r="CV472" s="108"/>
      <c r="CW472" s="108"/>
      <c r="CX472" s="108"/>
      <c r="CY472" s="108"/>
      <c r="CZ472" s="43"/>
      <c r="DA472" s="108"/>
      <c r="DB472" s="108"/>
      <c r="DC472" s="108"/>
      <c r="DD472" s="108"/>
      <c r="DE472" s="108"/>
      <c r="DF472" s="108"/>
      <c r="DG472" s="43"/>
      <c r="DH472" s="108"/>
      <c r="DI472" s="108"/>
      <c r="DJ472" s="108"/>
      <c r="DK472" s="108"/>
      <c r="DL472" s="108"/>
      <c r="DM472" s="108"/>
      <c r="DN472" s="43"/>
      <c r="DO472" s="108"/>
      <c r="DP472" s="108"/>
      <c r="DQ472" s="108"/>
      <c r="DR472" s="108"/>
      <c r="DS472" s="108"/>
      <c r="DT472" s="108"/>
      <c r="DU472" s="43"/>
      <c r="DV472" s="108"/>
      <c r="DW472" s="108"/>
      <c r="DX472" s="108"/>
      <c r="DY472" s="108"/>
      <c r="DZ472" s="108"/>
      <c r="EA472" s="108"/>
      <c r="EB472" s="43"/>
      <c r="EC472" s="108"/>
      <c r="ED472" s="108"/>
      <c r="EE472" s="108"/>
      <c r="EF472" s="108"/>
      <c r="EG472" s="108"/>
      <c r="EH472" s="108"/>
      <c r="EI472" s="43"/>
      <c r="EJ472" s="47"/>
      <c r="EK472" s="47"/>
      <c r="EL472" s="47"/>
      <c r="EM472" s="47"/>
      <c r="EN472" s="47"/>
      <c r="EO472" s="47"/>
      <c r="EP472" s="47"/>
      <c r="EQ472" s="47"/>
      <c r="ER472" s="47"/>
      <c r="ES472" s="47"/>
      <c r="ET472" s="47"/>
      <c r="EU472" s="47"/>
      <c r="EV472" s="47"/>
      <c r="EW472" s="47"/>
      <c r="EX472" s="47"/>
      <c r="EY472" s="47"/>
      <c r="EZ472" s="47"/>
      <c r="FA472" s="47"/>
      <c r="FB472" s="47"/>
      <c r="FC472" s="47"/>
      <c r="FD472" s="47"/>
      <c r="FE472" s="47"/>
      <c r="FF472" s="47"/>
      <c r="FG472" s="47"/>
      <c r="FH472" s="47"/>
      <c r="FI472" s="47"/>
      <c r="FJ472" s="47"/>
      <c r="FK472" s="47"/>
      <c r="FL472" s="47"/>
      <c r="FM472" s="47"/>
      <c r="FN472" s="47"/>
      <c r="FO472" s="47"/>
      <c r="FP472" s="47"/>
      <c r="FQ472" s="47"/>
      <c r="FR472" s="47"/>
      <c r="FS472" s="47"/>
      <c r="FT472" s="47"/>
      <c r="FU472" s="47"/>
      <c r="FV472" s="47"/>
      <c r="FW472" s="47"/>
      <c r="FX472" s="47"/>
      <c r="FY472" s="47"/>
      <c r="FZ472" s="47"/>
      <c r="GA472" s="47"/>
      <c r="GB472" s="47"/>
      <c r="GC472" s="47"/>
      <c r="GD472" s="47"/>
      <c r="GE472" s="47"/>
    </row>
    <row r="473" spans="1:187" ht="10.5" customHeight="1">
      <c r="A473" s="43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43"/>
      <c r="U473" s="108"/>
      <c r="V473" s="108"/>
      <c r="W473" s="108"/>
      <c r="X473" s="108"/>
      <c r="Y473" s="108"/>
      <c r="Z473" s="108"/>
      <c r="AA473" s="43"/>
      <c r="AB473" s="108"/>
      <c r="AC473" s="108"/>
      <c r="AD473" s="108"/>
      <c r="AE473" s="108"/>
      <c r="AF473" s="108"/>
      <c r="AG473" s="108"/>
      <c r="AH473" s="43"/>
      <c r="AI473" s="108"/>
      <c r="AJ473" s="108"/>
      <c r="AK473" s="108"/>
      <c r="AL473" s="108"/>
      <c r="AM473" s="108"/>
      <c r="AN473" s="108"/>
      <c r="AO473" s="43"/>
      <c r="AP473" s="108"/>
      <c r="AQ473" s="108"/>
      <c r="AR473" s="108"/>
      <c r="AS473" s="108"/>
      <c r="AT473" s="108"/>
      <c r="AU473" s="108"/>
      <c r="AV473" s="43"/>
      <c r="AW473" s="108"/>
      <c r="AX473" s="108"/>
      <c r="AY473" s="108"/>
      <c r="AZ473" s="108"/>
      <c r="BA473" s="108"/>
      <c r="BB473" s="108"/>
      <c r="BC473" s="43"/>
      <c r="BD473" s="108"/>
      <c r="BE473" s="108"/>
      <c r="BF473" s="108"/>
      <c r="BG473" s="108"/>
      <c r="BH473" s="108"/>
      <c r="BI473" s="108"/>
      <c r="BJ473" s="43"/>
      <c r="BK473" s="108"/>
      <c r="BL473" s="108"/>
      <c r="BM473" s="108"/>
      <c r="BN473" s="108"/>
      <c r="BO473" s="108"/>
      <c r="BP473" s="108"/>
      <c r="BQ473" s="43"/>
      <c r="BR473" s="108"/>
      <c r="BS473" s="108"/>
      <c r="BT473" s="108"/>
      <c r="BU473" s="108"/>
      <c r="BV473" s="108"/>
      <c r="BW473" s="108"/>
      <c r="BX473" s="43"/>
      <c r="BY473" s="108"/>
      <c r="BZ473" s="108"/>
      <c r="CA473" s="108"/>
      <c r="CB473" s="108"/>
      <c r="CC473" s="108"/>
      <c r="CD473" s="108"/>
      <c r="CE473" s="43"/>
      <c r="CF473" s="108"/>
      <c r="CG473" s="108"/>
      <c r="CH473" s="108"/>
      <c r="CI473" s="108"/>
      <c r="CJ473" s="108"/>
      <c r="CK473" s="108"/>
      <c r="CL473" s="43"/>
      <c r="CM473" s="108"/>
      <c r="CN473" s="108"/>
      <c r="CO473" s="108"/>
      <c r="CP473" s="108"/>
      <c r="CQ473" s="108"/>
      <c r="CR473" s="108"/>
      <c r="CS473" s="43"/>
      <c r="CT473" s="108"/>
      <c r="CU473" s="108"/>
      <c r="CV473" s="108"/>
      <c r="CW473" s="108"/>
      <c r="CX473" s="108"/>
      <c r="CY473" s="108"/>
      <c r="CZ473" s="43"/>
      <c r="DA473" s="108"/>
      <c r="DB473" s="108"/>
      <c r="DC473" s="108"/>
      <c r="DD473" s="108"/>
      <c r="DE473" s="108"/>
      <c r="DF473" s="108"/>
      <c r="DG473" s="43"/>
      <c r="DH473" s="108"/>
      <c r="DI473" s="108"/>
      <c r="DJ473" s="108"/>
      <c r="DK473" s="108"/>
      <c r="DL473" s="108"/>
      <c r="DM473" s="108"/>
      <c r="DN473" s="43"/>
      <c r="DO473" s="108"/>
      <c r="DP473" s="108"/>
      <c r="DQ473" s="108"/>
      <c r="DR473" s="108"/>
      <c r="DS473" s="108"/>
      <c r="DT473" s="108"/>
      <c r="DU473" s="43"/>
      <c r="DV473" s="108"/>
      <c r="DW473" s="108"/>
      <c r="DX473" s="108"/>
      <c r="DY473" s="108"/>
      <c r="DZ473" s="108"/>
      <c r="EA473" s="108"/>
      <c r="EB473" s="43"/>
      <c r="EC473" s="108"/>
      <c r="ED473" s="108"/>
      <c r="EE473" s="108"/>
      <c r="EF473" s="108"/>
      <c r="EG473" s="108"/>
      <c r="EH473" s="108"/>
      <c r="EI473" s="43"/>
      <c r="EJ473" s="47"/>
      <c r="EK473" s="47"/>
      <c r="EL473" s="47"/>
      <c r="EM473" s="47"/>
      <c r="EN473" s="47"/>
      <c r="EO473" s="47"/>
      <c r="EP473" s="47"/>
      <c r="EQ473" s="47"/>
      <c r="ER473" s="47"/>
      <c r="ES473" s="47"/>
      <c r="ET473" s="47"/>
      <c r="EU473" s="47"/>
      <c r="EV473" s="47"/>
      <c r="EW473" s="47"/>
      <c r="EX473" s="47"/>
      <c r="EY473" s="47"/>
      <c r="EZ473" s="47"/>
      <c r="FA473" s="47"/>
      <c r="FB473" s="47"/>
      <c r="FC473" s="47"/>
      <c r="FD473" s="47"/>
      <c r="FE473" s="47"/>
      <c r="FF473" s="47"/>
      <c r="FG473" s="47"/>
      <c r="FH473" s="47"/>
      <c r="FI473" s="47"/>
      <c r="FJ473" s="47"/>
      <c r="FK473" s="47"/>
      <c r="FL473" s="47"/>
      <c r="FM473" s="47"/>
      <c r="FN473" s="47"/>
      <c r="FO473" s="47"/>
      <c r="FP473" s="47"/>
      <c r="FQ473" s="47"/>
      <c r="FR473" s="47"/>
      <c r="FS473" s="47"/>
      <c r="FT473" s="47"/>
      <c r="FU473" s="47"/>
      <c r="FV473" s="47"/>
      <c r="FW473" s="47"/>
      <c r="FX473" s="47"/>
      <c r="FY473" s="47"/>
      <c r="FZ473" s="47"/>
      <c r="GA473" s="47"/>
      <c r="GB473" s="47"/>
      <c r="GC473" s="47"/>
      <c r="GD473" s="47"/>
      <c r="GE473" s="47"/>
    </row>
    <row r="474" spans="1:187" ht="10.5" customHeight="1">
      <c r="A474" s="43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43"/>
      <c r="U474" s="108"/>
      <c r="V474" s="108"/>
      <c r="W474" s="108"/>
      <c r="X474" s="108"/>
      <c r="Y474" s="108"/>
      <c r="Z474" s="108"/>
      <c r="AA474" s="43"/>
      <c r="AB474" s="108"/>
      <c r="AC474" s="108"/>
      <c r="AD474" s="108"/>
      <c r="AE474" s="108"/>
      <c r="AF474" s="108"/>
      <c r="AG474" s="108"/>
      <c r="AH474" s="43"/>
      <c r="AI474" s="108"/>
      <c r="AJ474" s="108"/>
      <c r="AK474" s="108"/>
      <c r="AL474" s="108"/>
      <c r="AM474" s="108"/>
      <c r="AN474" s="108"/>
      <c r="AO474" s="43"/>
      <c r="AP474" s="108"/>
      <c r="AQ474" s="108"/>
      <c r="AR474" s="108"/>
      <c r="AS474" s="108"/>
      <c r="AT474" s="108"/>
      <c r="AU474" s="108"/>
      <c r="AV474" s="43"/>
      <c r="AW474" s="108"/>
      <c r="AX474" s="108"/>
      <c r="AY474" s="108"/>
      <c r="AZ474" s="108"/>
      <c r="BA474" s="108"/>
      <c r="BB474" s="108"/>
      <c r="BC474" s="43"/>
      <c r="BD474" s="108"/>
      <c r="BE474" s="108"/>
      <c r="BF474" s="108"/>
      <c r="BG474" s="108"/>
      <c r="BH474" s="108"/>
      <c r="BI474" s="108"/>
      <c r="BJ474" s="43"/>
      <c r="BK474" s="108"/>
      <c r="BL474" s="108"/>
      <c r="BM474" s="108"/>
      <c r="BN474" s="108"/>
      <c r="BO474" s="108"/>
      <c r="BP474" s="108"/>
      <c r="BQ474" s="43"/>
      <c r="BR474" s="108"/>
      <c r="BS474" s="108"/>
      <c r="BT474" s="108"/>
      <c r="BU474" s="108"/>
      <c r="BV474" s="108"/>
      <c r="BW474" s="108"/>
      <c r="BX474" s="43"/>
      <c r="BY474" s="108"/>
      <c r="BZ474" s="108"/>
      <c r="CA474" s="108"/>
      <c r="CB474" s="108"/>
      <c r="CC474" s="108"/>
      <c r="CD474" s="108"/>
      <c r="CE474" s="43"/>
      <c r="CF474" s="108"/>
      <c r="CG474" s="108"/>
      <c r="CH474" s="108"/>
      <c r="CI474" s="108"/>
      <c r="CJ474" s="108"/>
      <c r="CK474" s="108"/>
      <c r="CL474" s="43"/>
      <c r="CM474" s="108"/>
      <c r="CN474" s="108"/>
      <c r="CO474" s="108"/>
      <c r="CP474" s="108"/>
      <c r="CQ474" s="108"/>
      <c r="CR474" s="108"/>
      <c r="CS474" s="43"/>
      <c r="CT474" s="108"/>
      <c r="CU474" s="108"/>
      <c r="CV474" s="108"/>
      <c r="CW474" s="108"/>
      <c r="CX474" s="108"/>
      <c r="CY474" s="108"/>
      <c r="CZ474" s="43"/>
      <c r="DA474" s="108"/>
      <c r="DB474" s="108"/>
      <c r="DC474" s="108"/>
      <c r="DD474" s="108"/>
      <c r="DE474" s="108"/>
      <c r="DF474" s="108"/>
      <c r="DG474" s="43"/>
      <c r="DH474" s="108"/>
      <c r="DI474" s="108"/>
      <c r="DJ474" s="108"/>
      <c r="DK474" s="108"/>
      <c r="DL474" s="108"/>
      <c r="DM474" s="108"/>
      <c r="DN474" s="43"/>
      <c r="DO474" s="108"/>
      <c r="DP474" s="108"/>
      <c r="DQ474" s="108"/>
      <c r="DR474" s="108"/>
      <c r="DS474" s="108"/>
      <c r="DT474" s="108"/>
      <c r="DU474" s="43"/>
      <c r="DV474" s="108"/>
      <c r="DW474" s="108"/>
      <c r="DX474" s="108"/>
      <c r="DY474" s="108"/>
      <c r="DZ474" s="108"/>
      <c r="EA474" s="108"/>
      <c r="EB474" s="43"/>
      <c r="EC474" s="108"/>
      <c r="ED474" s="108"/>
      <c r="EE474" s="108"/>
      <c r="EF474" s="108"/>
      <c r="EG474" s="108"/>
      <c r="EH474" s="108"/>
      <c r="EI474" s="43"/>
      <c r="EJ474" s="47"/>
      <c r="EK474" s="47"/>
      <c r="EL474" s="47"/>
      <c r="EM474" s="47"/>
      <c r="EN474" s="47"/>
      <c r="EO474" s="47"/>
      <c r="EP474" s="47"/>
      <c r="EQ474" s="47"/>
      <c r="ER474" s="47"/>
      <c r="ES474" s="47"/>
      <c r="ET474" s="47"/>
      <c r="EU474" s="47"/>
      <c r="EV474" s="47"/>
      <c r="EW474" s="47"/>
      <c r="EX474" s="47"/>
      <c r="EY474" s="47"/>
      <c r="EZ474" s="47"/>
      <c r="FA474" s="47"/>
      <c r="FB474" s="47"/>
      <c r="FC474" s="47"/>
      <c r="FD474" s="47"/>
      <c r="FE474" s="47"/>
      <c r="FF474" s="47"/>
      <c r="FG474" s="47"/>
      <c r="FH474" s="47"/>
      <c r="FI474" s="47"/>
      <c r="FJ474" s="47"/>
      <c r="FK474" s="47"/>
      <c r="FL474" s="47"/>
      <c r="FM474" s="47"/>
      <c r="FN474" s="47"/>
      <c r="FO474" s="47"/>
      <c r="FP474" s="47"/>
      <c r="FQ474" s="47"/>
      <c r="FR474" s="47"/>
      <c r="FS474" s="47"/>
      <c r="FT474" s="47"/>
      <c r="FU474" s="47"/>
      <c r="FV474" s="47"/>
      <c r="FW474" s="47"/>
      <c r="FX474" s="47"/>
      <c r="FY474" s="47"/>
      <c r="FZ474" s="47"/>
      <c r="GA474" s="47"/>
      <c r="GB474" s="47"/>
      <c r="GC474" s="47"/>
      <c r="GD474" s="47"/>
      <c r="GE474" s="47"/>
    </row>
    <row r="475" spans="1:187" ht="10.5" customHeight="1">
      <c r="A475" s="43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43"/>
      <c r="U475" s="108"/>
      <c r="V475" s="108"/>
      <c r="W475" s="108"/>
      <c r="X475" s="108"/>
      <c r="Y475" s="108"/>
      <c r="Z475" s="108"/>
      <c r="AA475" s="43"/>
      <c r="AB475" s="108"/>
      <c r="AC475" s="108"/>
      <c r="AD475" s="108"/>
      <c r="AE475" s="108"/>
      <c r="AF475" s="108"/>
      <c r="AG475" s="108"/>
      <c r="AH475" s="43"/>
      <c r="AI475" s="108"/>
      <c r="AJ475" s="108"/>
      <c r="AK475" s="108"/>
      <c r="AL475" s="108"/>
      <c r="AM475" s="108"/>
      <c r="AN475" s="108"/>
      <c r="AO475" s="43"/>
      <c r="AP475" s="108"/>
      <c r="AQ475" s="108"/>
      <c r="AR475" s="108"/>
      <c r="AS475" s="108"/>
      <c r="AT475" s="108"/>
      <c r="AU475" s="108"/>
      <c r="AV475" s="43"/>
      <c r="AW475" s="108"/>
      <c r="AX475" s="108"/>
      <c r="AY475" s="108"/>
      <c r="AZ475" s="108"/>
      <c r="BA475" s="108"/>
      <c r="BB475" s="108"/>
      <c r="BC475" s="43"/>
      <c r="BD475" s="108"/>
      <c r="BE475" s="108"/>
      <c r="BF475" s="108"/>
      <c r="BG475" s="108"/>
      <c r="BH475" s="108"/>
      <c r="BI475" s="108"/>
      <c r="BJ475" s="43"/>
      <c r="BK475" s="108"/>
      <c r="BL475" s="108"/>
      <c r="BM475" s="108"/>
      <c r="BN475" s="108"/>
      <c r="BO475" s="108"/>
      <c r="BP475" s="108"/>
      <c r="BQ475" s="43"/>
      <c r="BR475" s="108"/>
      <c r="BS475" s="108"/>
      <c r="BT475" s="108"/>
      <c r="BU475" s="108"/>
      <c r="BV475" s="108"/>
      <c r="BW475" s="108"/>
      <c r="BX475" s="43"/>
      <c r="BY475" s="108"/>
      <c r="BZ475" s="108"/>
      <c r="CA475" s="108"/>
      <c r="CB475" s="108"/>
      <c r="CC475" s="108"/>
      <c r="CD475" s="108"/>
      <c r="CE475" s="43"/>
      <c r="CF475" s="108"/>
      <c r="CG475" s="108"/>
      <c r="CH475" s="108"/>
      <c r="CI475" s="108"/>
      <c r="CJ475" s="108"/>
      <c r="CK475" s="108"/>
      <c r="CL475" s="43"/>
      <c r="CM475" s="108"/>
      <c r="CN475" s="108"/>
      <c r="CO475" s="108"/>
      <c r="CP475" s="108"/>
      <c r="CQ475" s="108"/>
      <c r="CR475" s="108"/>
      <c r="CS475" s="43"/>
      <c r="CT475" s="108"/>
      <c r="CU475" s="108"/>
      <c r="CV475" s="108"/>
      <c r="CW475" s="108"/>
      <c r="CX475" s="108"/>
      <c r="CY475" s="108"/>
      <c r="CZ475" s="43"/>
      <c r="DA475" s="108"/>
      <c r="DB475" s="108"/>
      <c r="DC475" s="108"/>
      <c r="DD475" s="108"/>
      <c r="DE475" s="108"/>
      <c r="DF475" s="108"/>
      <c r="DG475" s="43"/>
      <c r="DH475" s="108"/>
      <c r="DI475" s="108"/>
      <c r="DJ475" s="108"/>
      <c r="DK475" s="108"/>
      <c r="DL475" s="108"/>
      <c r="DM475" s="108"/>
      <c r="DN475" s="43"/>
      <c r="DO475" s="108"/>
      <c r="DP475" s="108"/>
      <c r="DQ475" s="108"/>
      <c r="DR475" s="108"/>
      <c r="DS475" s="108"/>
      <c r="DT475" s="108"/>
      <c r="DU475" s="43"/>
      <c r="DV475" s="108"/>
      <c r="DW475" s="108"/>
      <c r="DX475" s="108"/>
      <c r="DY475" s="108"/>
      <c r="DZ475" s="108"/>
      <c r="EA475" s="108"/>
      <c r="EB475" s="43"/>
      <c r="EC475" s="108"/>
      <c r="ED475" s="108"/>
      <c r="EE475" s="108"/>
      <c r="EF475" s="108"/>
      <c r="EG475" s="108"/>
      <c r="EH475" s="108"/>
      <c r="EI475" s="43"/>
      <c r="EJ475" s="47"/>
      <c r="EK475" s="47"/>
      <c r="EL475" s="47"/>
      <c r="EM475" s="47"/>
      <c r="EN475" s="47"/>
      <c r="EO475" s="47"/>
      <c r="EP475" s="47"/>
      <c r="EQ475" s="47"/>
      <c r="ER475" s="47"/>
      <c r="ES475" s="47"/>
      <c r="ET475" s="47"/>
      <c r="EU475" s="47"/>
      <c r="EV475" s="47"/>
      <c r="EW475" s="47"/>
      <c r="EX475" s="47"/>
      <c r="EY475" s="47"/>
      <c r="EZ475" s="47"/>
      <c r="FA475" s="47"/>
      <c r="FB475" s="47"/>
      <c r="FC475" s="47"/>
      <c r="FD475" s="47"/>
      <c r="FE475" s="47"/>
      <c r="FF475" s="47"/>
      <c r="FG475" s="47"/>
      <c r="FH475" s="47"/>
      <c r="FI475" s="47"/>
      <c r="FJ475" s="47"/>
      <c r="FK475" s="47"/>
      <c r="FL475" s="47"/>
      <c r="FM475" s="47"/>
      <c r="FN475" s="47"/>
      <c r="FO475" s="47"/>
      <c r="FP475" s="47"/>
      <c r="FQ475" s="47"/>
      <c r="FR475" s="47"/>
      <c r="FS475" s="47"/>
      <c r="FT475" s="47"/>
      <c r="FU475" s="47"/>
      <c r="FV475" s="47"/>
      <c r="FW475" s="47"/>
      <c r="FX475" s="47"/>
      <c r="FY475" s="47"/>
      <c r="FZ475" s="47"/>
      <c r="GA475" s="47"/>
      <c r="GB475" s="47"/>
      <c r="GC475" s="47"/>
      <c r="GD475" s="47"/>
      <c r="GE475" s="47"/>
    </row>
    <row r="476" spans="1:187" ht="10.5" customHeight="1">
      <c r="A476" s="43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43"/>
      <c r="U476" s="108"/>
      <c r="V476" s="108"/>
      <c r="W476" s="108"/>
      <c r="X476" s="108"/>
      <c r="Y476" s="108"/>
      <c r="Z476" s="108"/>
      <c r="AA476" s="43"/>
      <c r="AB476" s="108"/>
      <c r="AC476" s="108"/>
      <c r="AD476" s="108"/>
      <c r="AE476" s="108"/>
      <c r="AF476" s="108"/>
      <c r="AG476" s="108"/>
      <c r="AH476" s="43"/>
      <c r="AI476" s="108"/>
      <c r="AJ476" s="108"/>
      <c r="AK476" s="108"/>
      <c r="AL476" s="108"/>
      <c r="AM476" s="108"/>
      <c r="AN476" s="108"/>
      <c r="AO476" s="43"/>
      <c r="AP476" s="108"/>
      <c r="AQ476" s="108"/>
      <c r="AR476" s="108"/>
      <c r="AS476" s="108"/>
      <c r="AT476" s="108"/>
      <c r="AU476" s="108"/>
      <c r="AV476" s="43"/>
      <c r="AW476" s="108"/>
      <c r="AX476" s="108"/>
      <c r="AY476" s="108"/>
      <c r="AZ476" s="108"/>
      <c r="BA476" s="108"/>
      <c r="BB476" s="108"/>
      <c r="BC476" s="43"/>
      <c r="BD476" s="108"/>
      <c r="BE476" s="108"/>
      <c r="BF476" s="108"/>
      <c r="BG476" s="108"/>
      <c r="BH476" s="108"/>
      <c r="BI476" s="108"/>
      <c r="BJ476" s="43"/>
      <c r="BK476" s="108"/>
      <c r="BL476" s="108"/>
      <c r="BM476" s="108"/>
      <c r="BN476" s="108"/>
      <c r="BO476" s="108"/>
      <c r="BP476" s="108"/>
      <c r="BQ476" s="43"/>
      <c r="BR476" s="108"/>
      <c r="BS476" s="108"/>
      <c r="BT476" s="108"/>
      <c r="BU476" s="108"/>
      <c r="BV476" s="108"/>
      <c r="BW476" s="108"/>
      <c r="BX476" s="43"/>
      <c r="BY476" s="108"/>
      <c r="BZ476" s="108"/>
      <c r="CA476" s="108"/>
      <c r="CB476" s="108"/>
      <c r="CC476" s="108"/>
      <c r="CD476" s="108"/>
      <c r="CE476" s="43"/>
      <c r="CF476" s="108"/>
      <c r="CG476" s="108"/>
      <c r="CH476" s="108"/>
      <c r="CI476" s="108"/>
      <c r="CJ476" s="108"/>
      <c r="CK476" s="108"/>
      <c r="CL476" s="43"/>
      <c r="CM476" s="108"/>
      <c r="CN476" s="108"/>
      <c r="CO476" s="108"/>
      <c r="CP476" s="108"/>
      <c r="CQ476" s="108"/>
      <c r="CR476" s="108"/>
      <c r="CS476" s="43"/>
      <c r="CT476" s="108"/>
      <c r="CU476" s="108"/>
      <c r="CV476" s="108"/>
      <c r="CW476" s="108"/>
      <c r="CX476" s="108"/>
      <c r="CY476" s="108"/>
      <c r="CZ476" s="43"/>
      <c r="DA476" s="108"/>
      <c r="DB476" s="108"/>
      <c r="DC476" s="108"/>
      <c r="DD476" s="108"/>
      <c r="DE476" s="108"/>
      <c r="DF476" s="108"/>
      <c r="DG476" s="43"/>
      <c r="DH476" s="108"/>
      <c r="DI476" s="108"/>
      <c r="DJ476" s="108"/>
      <c r="DK476" s="108"/>
      <c r="DL476" s="108"/>
      <c r="DM476" s="108"/>
      <c r="DN476" s="43"/>
      <c r="DO476" s="108"/>
      <c r="DP476" s="108"/>
      <c r="DQ476" s="108"/>
      <c r="DR476" s="108"/>
      <c r="DS476" s="108"/>
      <c r="DT476" s="108"/>
      <c r="DU476" s="43"/>
      <c r="DV476" s="108"/>
      <c r="DW476" s="108"/>
      <c r="DX476" s="108"/>
      <c r="DY476" s="108"/>
      <c r="DZ476" s="108"/>
      <c r="EA476" s="108"/>
      <c r="EB476" s="43"/>
      <c r="EC476" s="108"/>
      <c r="ED476" s="108"/>
      <c r="EE476" s="108"/>
      <c r="EF476" s="108"/>
      <c r="EG476" s="108"/>
      <c r="EH476" s="108"/>
      <c r="EI476" s="43"/>
      <c r="EJ476" s="47"/>
      <c r="EK476" s="47"/>
      <c r="EL476" s="47"/>
      <c r="EM476" s="47"/>
      <c r="EN476" s="47"/>
      <c r="EO476" s="47"/>
      <c r="EP476" s="47"/>
      <c r="EQ476" s="47"/>
      <c r="ER476" s="47"/>
      <c r="ES476" s="47"/>
      <c r="ET476" s="47"/>
      <c r="EU476" s="47"/>
      <c r="EV476" s="47"/>
      <c r="EW476" s="47"/>
      <c r="EX476" s="47"/>
      <c r="EY476" s="47"/>
      <c r="EZ476" s="47"/>
      <c r="FA476" s="47"/>
      <c r="FB476" s="47"/>
      <c r="FC476" s="47"/>
      <c r="FD476" s="47"/>
      <c r="FE476" s="47"/>
      <c r="FF476" s="47"/>
      <c r="FG476" s="47"/>
      <c r="FH476" s="47"/>
      <c r="FI476" s="47"/>
      <c r="FJ476" s="47"/>
      <c r="FK476" s="47"/>
      <c r="FL476" s="47"/>
      <c r="FM476" s="47"/>
      <c r="FN476" s="47"/>
      <c r="FO476" s="47"/>
      <c r="FP476" s="47"/>
      <c r="FQ476" s="47"/>
      <c r="FR476" s="47"/>
      <c r="FS476" s="47"/>
      <c r="FT476" s="47"/>
      <c r="FU476" s="47"/>
      <c r="FV476" s="47"/>
      <c r="FW476" s="47"/>
      <c r="FX476" s="47"/>
      <c r="FY476" s="47"/>
      <c r="FZ476" s="47"/>
      <c r="GA476" s="47"/>
      <c r="GB476" s="47"/>
      <c r="GC476" s="47"/>
      <c r="GD476" s="47"/>
      <c r="GE476" s="47"/>
    </row>
    <row r="477" spans="1:187" ht="10.5" customHeight="1">
      <c r="A477" s="43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43"/>
      <c r="U477" s="108"/>
      <c r="V477" s="108"/>
      <c r="W477" s="108"/>
      <c r="X477" s="108"/>
      <c r="Y477" s="108"/>
      <c r="Z477" s="108"/>
      <c r="AA477" s="43"/>
      <c r="AB477" s="108"/>
      <c r="AC477" s="108"/>
      <c r="AD477" s="108"/>
      <c r="AE477" s="108"/>
      <c r="AF477" s="108"/>
      <c r="AG477" s="108"/>
      <c r="AH477" s="43"/>
      <c r="AI477" s="108"/>
      <c r="AJ477" s="108"/>
      <c r="AK477" s="108"/>
      <c r="AL477" s="108"/>
      <c r="AM477" s="108"/>
      <c r="AN477" s="108"/>
      <c r="AO477" s="43"/>
      <c r="AP477" s="108"/>
      <c r="AQ477" s="108"/>
      <c r="AR477" s="108"/>
      <c r="AS477" s="108"/>
      <c r="AT477" s="108"/>
      <c r="AU477" s="108"/>
      <c r="AV477" s="43"/>
      <c r="AW477" s="108"/>
      <c r="AX477" s="108"/>
      <c r="AY477" s="108"/>
      <c r="AZ477" s="108"/>
      <c r="BA477" s="108"/>
      <c r="BB477" s="108"/>
      <c r="BC477" s="43"/>
      <c r="BD477" s="108"/>
      <c r="BE477" s="108"/>
      <c r="BF477" s="108"/>
      <c r="BG477" s="108"/>
      <c r="BH477" s="108"/>
      <c r="BI477" s="108"/>
      <c r="BJ477" s="43"/>
      <c r="BK477" s="108"/>
      <c r="BL477" s="108"/>
      <c r="BM477" s="108"/>
      <c r="BN477" s="108"/>
      <c r="BO477" s="108"/>
      <c r="BP477" s="108"/>
      <c r="BQ477" s="43"/>
      <c r="BR477" s="108"/>
      <c r="BS477" s="108"/>
      <c r="BT477" s="108"/>
      <c r="BU477" s="108"/>
      <c r="BV477" s="108"/>
      <c r="BW477" s="108"/>
      <c r="BX477" s="43"/>
      <c r="BY477" s="108"/>
      <c r="BZ477" s="108"/>
      <c r="CA477" s="108"/>
      <c r="CB477" s="108"/>
      <c r="CC477" s="108"/>
      <c r="CD477" s="108"/>
      <c r="CE477" s="43"/>
      <c r="CF477" s="108"/>
      <c r="CG477" s="108"/>
      <c r="CH477" s="108"/>
      <c r="CI477" s="108"/>
      <c r="CJ477" s="108"/>
      <c r="CK477" s="108"/>
      <c r="CL477" s="43"/>
      <c r="CM477" s="108"/>
      <c r="CN477" s="108"/>
      <c r="CO477" s="108"/>
      <c r="CP477" s="108"/>
      <c r="CQ477" s="108"/>
      <c r="CR477" s="108"/>
      <c r="CS477" s="43"/>
      <c r="CT477" s="108"/>
      <c r="CU477" s="108"/>
      <c r="CV477" s="108"/>
      <c r="CW477" s="108"/>
      <c r="CX477" s="108"/>
      <c r="CY477" s="108"/>
      <c r="CZ477" s="43"/>
      <c r="DA477" s="108"/>
      <c r="DB477" s="108"/>
      <c r="DC477" s="108"/>
      <c r="DD477" s="108"/>
      <c r="DE477" s="108"/>
      <c r="DF477" s="108"/>
      <c r="DG477" s="43"/>
      <c r="DH477" s="108"/>
      <c r="DI477" s="108"/>
      <c r="DJ477" s="108"/>
      <c r="DK477" s="108"/>
      <c r="DL477" s="108"/>
      <c r="DM477" s="108"/>
      <c r="DN477" s="43"/>
      <c r="DO477" s="108"/>
      <c r="DP477" s="108"/>
      <c r="DQ477" s="108"/>
      <c r="DR477" s="108"/>
      <c r="DS477" s="108"/>
      <c r="DT477" s="108"/>
      <c r="DU477" s="43"/>
      <c r="DV477" s="108"/>
      <c r="DW477" s="108"/>
      <c r="DX477" s="108"/>
      <c r="DY477" s="108"/>
      <c r="DZ477" s="108"/>
      <c r="EA477" s="108"/>
      <c r="EB477" s="43"/>
      <c r="EC477" s="108"/>
      <c r="ED477" s="108"/>
      <c r="EE477" s="108"/>
      <c r="EF477" s="108"/>
      <c r="EG477" s="108"/>
      <c r="EH477" s="108"/>
      <c r="EI477" s="43"/>
      <c r="EJ477" s="47"/>
      <c r="EK477" s="47"/>
      <c r="EL477" s="47"/>
      <c r="EM477" s="47"/>
      <c r="EN477" s="47"/>
      <c r="EO477" s="47"/>
      <c r="EP477" s="47"/>
      <c r="EQ477" s="47"/>
      <c r="ER477" s="47"/>
      <c r="ES477" s="47"/>
      <c r="ET477" s="47"/>
      <c r="EU477" s="47"/>
      <c r="EV477" s="47"/>
      <c r="EW477" s="47"/>
      <c r="EX477" s="47"/>
      <c r="EY477" s="47"/>
      <c r="EZ477" s="47"/>
      <c r="FA477" s="47"/>
      <c r="FB477" s="47"/>
      <c r="FC477" s="47"/>
      <c r="FD477" s="47"/>
      <c r="FE477" s="47"/>
      <c r="FF477" s="47"/>
      <c r="FG477" s="47"/>
      <c r="FH477" s="47"/>
      <c r="FI477" s="47"/>
      <c r="FJ477" s="47"/>
      <c r="FK477" s="47"/>
      <c r="FL477" s="47"/>
      <c r="FM477" s="47"/>
      <c r="FN477" s="47"/>
      <c r="FO477" s="47"/>
      <c r="FP477" s="47"/>
      <c r="FQ477" s="47"/>
      <c r="FR477" s="47"/>
      <c r="FS477" s="47"/>
      <c r="FT477" s="47"/>
      <c r="FU477" s="47"/>
      <c r="FV477" s="47"/>
      <c r="FW477" s="47"/>
      <c r="FX477" s="47"/>
      <c r="FY477" s="47"/>
      <c r="FZ477" s="47"/>
      <c r="GA477" s="47"/>
      <c r="GB477" s="47"/>
      <c r="GC477" s="47"/>
      <c r="GD477" s="47"/>
      <c r="GE477" s="47"/>
    </row>
    <row r="478" spans="1:187" ht="10.5" customHeight="1">
      <c r="A478" s="43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43"/>
      <c r="U478" s="108"/>
      <c r="V478" s="108"/>
      <c r="W478" s="108"/>
      <c r="X478" s="108"/>
      <c r="Y478" s="108"/>
      <c r="Z478" s="108"/>
      <c r="AA478" s="43"/>
      <c r="AB478" s="108"/>
      <c r="AC478" s="108"/>
      <c r="AD478" s="108"/>
      <c r="AE478" s="108"/>
      <c r="AF478" s="108"/>
      <c r="AG478" s="108"/>
      <c r="AH478" s="43"/>
      <c r="AI478" s="108"/>
      <c r="AJ478" s="108"/>
      <c r="AK478" s="108"/>
      <c r="AL478" s="108"/>
      <c r="AM478" s="108"/>
      <c r="AN478" s="108"/>
      <c r="AO478" s="43"/>
      <c r="AP478" s="108"/>
      <c r="AQ478" s="108"/>
      <c r="AR478" s="108"/>
      <c r="AS478" s="108"/>
      <c r="AT478" s="108"/>
      <c r="AU478" s="108"/>
      <c r="AV478" s="43"/>
      <c r="AW478" s="108"/>
      <c r="AX478" s="108"/>
      <c r="AY478" s="108"/>
      <c r="AZ478" s="108"/>
      <c r="BA478" s="108"/>
      <c r="BB478" s="108"/>
      <c r="BC478" s="43"/>
      <c r="BD478" s="108"/>
      <c r="BE478" s="108"/>
      <c r="BF478" s="108"/>
      <c r="BG478" s="108"/>
      <c r="BH478" s="108"/>
      <c r="BI478" s="108"/>
      <c r="BJ478" s="43"/>
      <c r="BK478" s="108"/>
      <c r="BL478" s="108"/>
      <c r="BM478" s="108"/>
      <c r="BN478" s="108"/>
      <c r="BO478" s="108"/>
      <c r="BP478" s="108"/>
      <c r="BQ478" s="43"/>
      <c r="BR478" s="108"/>
      <c r="BS478" s="108"/>
      <c r="BT478" s="108"/>
      <c r="BU478" s="108"/>
      <c r="BV478" s="108"/>
      <c r="BW478" s="108"/>
      <c r="BX478" s="43"/>
      <c r="BY478" s="108"/>
      <c r="BZ478" s="108"/>
      <c r="CA478" s="108"/>
      <c r="CB478" s="108"/>
      <c r="CC478" s="108"/>
      <c r="CD478" s="108"/>
      <c r="CE478" s="43"/>
      <c r="CF478" s="108"/>
      <c r="CG478" s="108"/>
      <c r="CH478" s="108"/>
      <c r="CI478" s="108"/>
      <c r="CJ478" s="108"/>
      <c r="CK478" s="108"/>
      <c r="CL478" s="43"/>
      <c r="CM478" s="108"/>
      <c r="CN478" s="108"/>
      <c r="CO478" s="108"/>
      <c r="CP478" s="108"/>
      <c r="CQ478" s="108"/>
      <c r="CR478" s="108"/>
      <c r="CS478" s="43"/>
      <c r="CT478" s="108"/>
      <c r="CU478" s="108"/>
      <c r="CV478" s="108"/>
      <c r="CW478" s="108"/>
      <c r="CX478" s="108"/>
      <c r="CY478" s="108"/>
      <c r="CZ478" s="43"/>
      <c r="DA478" s="108"/>
      <c r="DB478" s="108"/>
      <c r="DC478" s="108"/>
      <c r="DD478" s="108"/>
      <c r="DE478" s="108"/>
      <c r="DF478" s="108"/>
      <c r="DG478" s="43"/>
      <c r="DH478" s="108"/>
      <c r="DI478" s="108"/>
      <c r="DJ478" s="108"/>
      <c r="DK478" s="108"/>
      <c r="DL478" s="108"/>
      <c r="DM478" s="108"/>
      <c r="DN478" s="43"/>
      <c r="DO478" s="108"/>
      <c r="DP478" s="108"/>
      <c r="DQ478" s="108"/>
      <c r="DR478" s="108"/>
      <c r="DS478" s="108"/>
      <c r="DT478" s="108"/>
      <c r="DU478" s="43"/>
      <c r="DV478" s="108"/>
      <c r="DW478" s="108"/>
      <c r="DX478" s="108"/>
      <c r="DY478" s="108"/>
      <c r="DZ478" s="108"/>
      <c r="EA478" s="108"/>
      <c r="EB478" s="43"/>
      <c r="EC478" s="108"/>
      <c r="ED478" s="108"/>
      <c r="EE478" s="108"/>
      <c r="EF478" s="108"/>
      <c r="EG478" s="108"/>
      <c r="EH478" s="108"/>
      <c r="EI478" s="43"/>
      <c r="EJ478" s="47"/>
      <c r="EK478" s="47"/>
      <c r="EL478" s="47"/>
      <c r="EM478" s="47"/>
      <c r="EN478" s="47"/>
      <c r="EO478" s="47"/>
      <c r="EP478" s="47"/>
      <c r="EQ478" s="47"/>
      <c r="ER478" s="47"/>
      <c r="ES478" s="47"/>
      <c r="ET478" s="47"/>
      <c r="EU478" s="47"/>
      <c r="EV478" s="47"/>
      <c r="EW478" s="47"/>
      <c r="EX478" s="47"/>
      <c r="EY478" s="47"/>
      <c r="EZ478" s="47"/>
      <c r="FA478" s="47"/>
      <c r="FB478" s="47"/>
      <c r="FC478" s="47"/>
      <c r="FD478" s="47"/>
      <c r="FE478" s="47"/>
      <c r="FF478" s="47"/>
      <c r="FG478" s="47"/>
      <c r="FH478" s="47"/>
      <c r="FI478" s="47"/>
      <c r="FJ478" s="47"/>
      <c r="FK478" s="47"/>
      <c r="FL478" s="47"/>
      <c r="FM478" s="47"/>
      <c r="FN478" s="47"/>
      <c r="FO478" s="47"/>
      <c r="FP478" s="47"/>
      <c r="FQ478" s="47"/>
      <c r="FR478" s="47"/>
      <c r="FS478" s="47"/>
      <c r="FT478" s="47"/>
      <c r="FU478" s="47"/>
      <c r="FV478" s="47"/>
      <c r="FW478" s="47"/>
      <c r="FX478" s="47"/>
      <c r="FY478" s="47"/>
      <c r="FZ478" s="47"/>
      <c r="GA478" s="47"/>
      <c r="GB478" s="47"/>
      <c r="GC478" s="47"/>
      <c r="GD478" s="47"/>
      <c r="GE478" s="47"/>
    </row>
    <row r="479" spans="1:187" ht="10.5" customHeight="1">
      <c r="A479" s="43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43"/>
      <c r="U479" s="108"/>
      <c r="V479" s="108"/>
      <c r="W479" s="108"/>
      <c r="X479" s="108"/>
      <c r="Y479" s="108"/>
      <c r="Z479" s="108"/>
      <c r="AA479" s="43"/>
      <c r="AB479" s="108"/>
      <c r="AC479" s="108"/>
      <c r="AD479" s="108"/>
      <c r="AE479" s="108"/>
      <c r="AF479" s="108"/>
      <c r="AG479" s="108"/>
      <c r="AH479" s="43"/>
      <c r="AI479" s="108"/>
      <c r="AJ479" s="108"/>
      <c r="AK479" s="108"/>
      <c r="AL479" s="108"/>
      <c r="AM479" s="108"/>
      <c r="AN479" s="108"/>
      <c r="AO479" s="43"/>
      <c r="AP479" s="108"/>
      <c r="AQ479" s="108"/>
      <c r="AR479" s="108"/>
      <c r="AS479" s="108"/>
      <c r="AT479" s="108"/>
      <c r="AU479" s="108"/>
      <c r="AV479" s="43"/>
      <c r="AW479" s="108"/>
      <c r="AX479" s="108"/>
      <c r="AY479" s="108"/>
      <c r="AZ479" s="108"/>
      <c r="BA479" s="108"/>
      <c r="BB479" s="108"/>
      <c r="BC479" s="43"/>
      <c r="BD479" s="108"/>
      <c r="BE479" s="108"/>
      <c r="BF479" s="108"/>
      <c r="BG479" s="108"/>
      <c r="BH479" s="108"/>
      <c r="BI479" s="108"/>
      <c r="BJ479" s="43"/>
      <c r="BK479" s="108"/>
      <c r="BL479" s="108"/>
      <c r="BM479" s="108"/>
      <c r="BN479" s="108"/>
      <c r="BO479" s="108"/>
      <c r="BP479" s="108"/>
      <c r="BQ479" s="43"/>
      <c r="BR479" s="108"/>
      <c r="BS479" s="108"/>
      <c r="BT479" s="108"/>
      <c r="BU479" s="108"/>
      <c r="BV479" s="108"/>
      <c r="BW479" s="108"/>
      <c r="BX479" s="43"/>
      <c r="BY479" s="108"/>
      <c r="BZ479" s="108"/>
      <c r="CA479" s="108"/>
      <c r="CB479" s="108"/>
      <c r="CC479" s="108"/>
      <c r="CD479" s="108"/>
      <c r="CE479" s="43"/>
      <c r="CF479" s="108"/>
      <c r="CG479" s="108"/>
      <c r="CH479" s="108"/>
      <c r="CI479" s="108"/>
      <c r="CJ479" s="108"/>
      <c r="CK479" s="108"/>
      <c r="CL479" s="43"/>
      <c r="CM479" s="108"/>
      <c r="CN479" s="108"/>
      <c r="CO479" s="108"/>
      <c r="CP479" s="108"/>
      <c r="CQ479" s="108"/>
      <c r="CR479" s="108"/>
      <c r="CS479" s="43"/>
      <c r="CT479" s="108"/>
      <c r="CU479" s="108"/>
      <c r="CV479" s="108"/>
      <c r="CW479" s="108"/>
      <c r="CX479" s="108"/>
      <c r="CY479" s="108"/>
      <c r="CZ479" s="43"/>
      <c r="DA479" s="108"/>
      <c r="DB479" s="108"/>
      <c r="DC479" s="108"/>
      <c r="DD479" s="108"/>
      <c r="DE479" s="108"/>
      <c r="DF479" s="108"/>
      <c r="DG479" s="43"/>
      <c r="DH479" s="108"/>
      <c r="DI479" s="108"/>
      <c r="DJ479" s="108"/>
      <c r="DK479" s="108"/>
      <c r="DL479" s="108"/>
      <c r="DM479" s="108"/>
      <c r="DN479" s="43"/>
      <c r="DO479" s="108"/>
      <c r="DP479" s="108"/>
      <c r="DQ479" s="108"/>
      <c r="DR479" s="108"/>
      <c r="DS479" s="108"/>
      <c r="DT479" s="108"/>
      <c r="DU479" s="43"/>
      <c r="DV479" s="108"/>
      <c r="DW479" s="108"/>
      <c r="DX479" s="108"/>
      <c r="DY479" s="108"/>
      <c r="DZ479" s="108"/>
      <c r="EA479" s="108"/>
      <c r="EB479" s="43"/>
      <c r="EC479" s="108"/>
      <c r="ED479" s="108"/>
      <c r="EE479" s="108"/>
      <c r="EF479" s="108"/>
      <c r="EG479" s="108"/>
      <c r="EH479" s="108"/>
      <c r="EI479" s="43"/>
      <c r="EJ479" s="47"/>
      <c r="EK479" s="47"/>
      <c r="EL479" s="47"/>
      <c r="EM479" s="47"/>
      <c r="EN479" s="47"/>
      <c r="EO479" s="47"/>
      <c r="EP479" s="47"/>
      <c r="EQ479" s="47"/>
      <c r="ER479" s="47"/>
      <c r="ES479" s="47"/>
      <c r="ET479" s="47"/>
      <c r="EU479" s="47"/>
      <c r="EV479" s="47"/>
      <c r="EW479" s="47"/>
      <c r="EX479" s="47"/>
      <c r="EY479" s="47"/>
      <c r="EZ479" s="47"/>
      <c r="FA479" s="47"/>
      <c r="FB479" s="47"/>
      <c r="FC479" s="47"/>
      <c r="FD479" s="47"/>
      <c r="FE479" s="47"/>
      <c r="FF479" s="47"/>
      <c r="FG479" s="47"/>
      <c r="FH479" s="47"/>
      <c r="FI479" s="47"/>
      <c r="FJ479" s="47"/>
      <c r="FK479" s="47"/>
      <c r="FL479" s="47"/>
      <c r="FM479" s="47"/>
      <c r="FN479" s="47"/>
      <c r="FO479" s="47"/>
      <c r="FP479" s="47"/>
      <c r="FQ479" s="47"/>
      <c r="FR479" s="47"/>
      <c r="FS479" s="47"/>
      <c r="FT479" s="47"/>
      <c r="FU479" s="47"/>
      <c r="FV479" s="47"/>
      <c r="FW479" s="47"/>
      <c r="FX479" s="47"/>
      <c r="FY479" s="47"/>
      <c r="FZ479" s="47"/>
      <c r="GA479" s="47"/>
      <c r="GB479" s="47"/>
      <c r="GC479" s="47"/>
      <c r="GD479" s="47"/>
      <c r="GE479" s="47"/>
    </row>
    <row r="480" spans="1:187" ht="10.5" customHeight="1">
      <c r="A480" s="43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43"/>
      <c r="U480" s="108"/>
      <c r="V480" s="108"/>
      <c r="W480" s="108"/>
      <c r="X480" s="108"/>
      <c r="Y480" s="108"/>
      <c r="Z480" s="108"/>
      <c r="AA480" s="43"/>
      <c r="AB480" s="108"/>
      <c r="AC480" s="108"/>
      <c r="AD480" s="108"/>
      <c r="AE480" s="108"/>
      <c r="AF480" s="108"/>
      <c r="AG480" s="108"/>
      <c r="AH480" s="43"/>
      <c r="AI480" s="108"/>
      <c r="AJ480" s="108"/>
      <c r="AK480" s="108"/>
      <c r="AL480" s="108"/>
      <c r="AM480" s="108"/>
      <c r="AN480" s="108"/>
      <c r="AO480" s="43"/>
      <c r="AP480" s="108"/>
      <c r="AQ480" s="108"/>
      <c r="AR480" s="108"/>
      <c r="AS480" s="108"/>
      <c r="AT480" s="108"/>
      <c r="AU480" s="108"/>
      <c r="AV480" s="43"/>
      <c r="AW480" s="108"/>
      <c r="AX480" s="108"/>
      <c r="AY480" s="108"/>
      <c r="AZ480" s="108"/>
      <c r="BA480" s="108"/>
      <c r="BB480" s="108"/>
      <c r="BC480" s="43"/>
      <c r="BD480" s="108"/>
      <c r="BE480" s="108"/>
      <c r="BF480" s="108"/>
      <c r="BG480" s="108"/>
      <c r="BH480" s="108"/>
      <c r="BI480" s="108"/>
      <c r="BJ480" s="43"/>
      <c r="BK480" s="108"/>
      <c r="BL480" s="108"/>
      <c r="BM480" s="108"/>
      <c r="BN480" s="108"/>
      <c r="BO480" s="108"/>
      <c r="BP480" s="108"/>
      <c r="BQ480" s="43"/>
      <c r="BR480" s="108"/>
      <c r="BS480" s="108"/>
      <c r="BT480" s="108"/>
      <c r="BU480" s="108"/>
      <c r="BV480" s="108"/>
      <c r="BW480" s="108"/>
      <c r="BX480" s="43"/>
      <c r="BY480" s="108"/>
      <c r="BZ480" s="108"/>
      <c r="CA480" s="108"/>
      <c r="CB480" s="108"/>
      <c r="CC480" s="108"/>
      <c r="CD480" s="108"/>
      <c r="CE480" s="43"/>
      <c r="CF480" s="108"/>
      <c r="CG480" s="108"/>
      <c r="CH480" s="108"/>
      <c r="CI480" s="108"/>
      <c r="CJ480" s="108"/>
      <c r="CK480" s="108"/>
      <c r="CL480" s="43"/>
      <c r="CM480" s="108"/>
      <c r="CN480" s="108"/>
      <c r="CO480" s="108"/>
      <c r="CP480" s="108"/>
      <c r="CQ480" s="108"/>
      <c r="CR480" s="108"/>
      <c r="CS480" s="43"/>
      <c r="CT480" s="108"/>
      <c r="CU480" s="108"/>
      <c r="CV480" s="108"/>
      <c r="CW480" s="108"/>
      <c r="CX480" s="108"/>
      <c r="CY480" s="108"/>
      <c r="CZ480" s="43"/>
      <c r="DA480" s="108"/>
      <c r="DB480" s="108"/>
      <c r="DC480" s="108"/>
      <c r="DD480" s="108"/>
      <c r="DE480" s="108"/>
      <c r="DF480" s="108"/>
      <c r="DG480" s="43"/>
      <c r="DH480" s="108"/>
      <c r="DI480" s="108"/>
      <c r="DJ480" s="108"/>
      <c r="DK480" s="108"/>
      <c r="DL480" s="108"/>
      <c r="DM480" s="108"/>
      <c r="DN480" s="43"/>
      <c r="DO480" s="108"/>
      <c r="DP480" s="108"/>
      <c r="DQ480" s="108"/>
      <c r="DR480" s="108"/>
      <c r="DS480" s="108"/>
      <c r="DT480" s="108"/>
      <c r="DU480" s="43"/>
      <c r="DV480" s="108"/>
      <c r="DW480" s="108"/>
      <c r="DX480" s="108"/>
      <c r="DY480" s="108"/>
      <c r="DZ480" s="108"/>
      <c r="EA480" s="108"/>
      <c r="EB480" s="43"/>
      <c r="EC480" s="108"/>
      <c r="ED480" s="108"/>
      <c r="EE480" s="108"/>
      <c r="EF480" s="108"/>
      <c r="EG480" s="108"/>
      <c r="EH480" s="108"/>
      <c r="EI480" s="43"/>
      <c r="EJ480" s="47"/>
      <c r="EK480" s="47"/>
      <c r="EL480" s="47"/>
      <c r="EM480" s="47"/>
      <c r="EN480" s="47"/>
      <c r="EO480" s="47"/>
      <c r="EP480" s="47"/>
      <c r="EQ480" s="47"/>
      <c r="ER480" s="47"/>
      <c r="ES480" s="47"/>
      <c r="ET480" s="47"/>
      <c r="EU480" s="47"/>
      <c r="EV480" s="47"/>
      <c r="EW480" s="47"/>
      <c r="EX480" s="47"/>
      <c r="EY480" s="47"/>
      <c r="EZ480" s="47"/>
      <c r="FA480" s="47"/>
      <c r="FB480" s="47"/>
      <c r="FC480" s="47"/>
      <c r="FD480" s="47"/>
      <c r="FE480" s="47"/>
      <c r="FF480" s="47"/>
      <c r="FG480" s="47"/>
      <c r="FH480" s="47"/>
      <c r="FI480" s="47"/>
      <c r="FJ480" s="47"/>
      <c r="FK480" s="47"/>
      <c r="FL480" s="47"/>
      <c r="FM480" s="47"/>
      <c r="FN480" s="47"/>
      <c r="FO480" s="47"/>
      <c r="FP480" s="47"/>
      <c r="FQ480" s="47"/>
      <c r="FR480" s="47"/>
      <c r="FS480" s="47"/>
      <c r="FT480" s="47"/>
      <c r="FU480" s="47"/>
      <c r="FV480" s="47"/>
      <c r="FW480" s="47"/>
      <c r="FX480" s="47"/>
      <c r="FY480" s="47"/>
      <c r="FZ480" s="47"/>
      <c r="GA480" s="47"/>
      <c r="GB480" s="47"/>
      <c r="GC480" s="47"/>
      <c r="GD480" s="47"/>
      <c r="GE480" s="47"/>
    </row>
    <row r="481" spans="1:187" ht="10.5" customHeight="1">
      <c r="A481" s="43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43"/>
      <c r="U481" s="108"/>
      <c r="V481" s="108"/>
      <c r="W481" s="108"/>
      <c r="X481" s="108"/>
      <c r="Y481" s="108"/>
      <c r="Z481" s="108"/>
      <c r="AA481" s="43"/>
      <c r="AB481" s="108"/>
      <c r="AC481" s="108"/>
      <c r="AD481" s="108"/>
      <c r="AE481" s="108"/>
      <c r="AF481" s="108"/>
      <c r="AG481" s="108"/>
      <c r="AH481" s="43"/>
      <c r="AI481" s="108"/>
      <c r="AJ481" s="108"/>
      <c r="AK481" s="108"/>
      <c r="AL481" s="108"/>
      <c r="AM481" s="108"/>
      <c r="AN481" s="108"/>
      <c r="AO481" s="43"/>
      <c r="AP481" s="108"/>
      <c r="AQ481" s="108"/>
      <c r="AR481" s="108"/>
      <c r="AS481" s="108"/>
      <c r="AT481" s="108"/>
      <c r="AU481" s="108"/>
      <c r="AV481" s="43"/>
      <c r="AW481" s="108"/>
      <c r="AX481" s="108"/>
      <c r="AY481" s="108"/>
      <c r="AZ481" s="108"/>
      <c r="BA481" s="108"/>
      <c r="BB481" s="108"/>
      <c r="BC481" s="43"/>
      <c r="BD481" s="108"/>
      <c r="BE481" s="108"/>
      <c r="BF481" s="108"/>
      <c r="BG481" s="108"/>
      <c r="BH481" s="108"/>
      <c r="BI481" s="108"/>
      <c r="BJ481" s="43"/>
      <c r="BK481" s="108"/>
      <c r="BL481" s="108"/>
      <c r="BM481" s="108"/>
      <c r="BN481" s="108"/>
      <c r="BO481" s="108"/>
      <c r="BP481" s="108"/>
      <c r="BQ481" s="43"/>
      <c r="BR481" s="108"/>
      <c r="BS481" s="108"/>
      <c r="BT481" s="108"/>
      <c r="BU481" s="108"/>
      <c r="BV481" s="108"/>
      <c r="BW481" s="108"/>
      <c r="BX481" s="43"/>
      <c r="BY481" s="108"/>
      <c r="BZ481" s="108"/>
      <c r="CA481" s="108"/>
      <c r="CB481" s="108"/>
      <c r="CC481" s="108"/>
      <c r="CD481" s="108"/>
      <c r="CE481" s="43"/>
      <c r="CF481" s="108"/>
      <c r="CG481" s="108"/>
      <c r="CH481" s="108"/>
      <c r="CI481" s="108"/>
      <c r="CJ481" s="108"/>
      <c r="CK481" s="108"/>
      <c r="CL481" s="43"/>
      <c r="CM481" s="108"/>
      <c r="CN481" s="108"/>
      <c r="CO481" s="108"/>
      <c r="CP481" s="108"/>
      <c r="CQ481" s="108"/>
      <c r="CR481" s="108"/>
      <c r="CS481" s="43"/>
      <c r="CT481" s="108"/>
      <c r="CU481" s="108"/>
      <c r="CV481" s="108"/>
      <c r="CW481" s="108"/>
      <c r="CX481" s="108"/>
      <c r="CY481" s="108"/>
      <c r="CZ481" s="43"/>
      <c r="DA481" s="108"/>
      <c r="DB481" s="108"/>
      <c r="DC481" s="108"/>
      <c r="DD481" s="108"/>
      <c r="DE481" s="108"/>
      <c r="DF481" s="108"/>
      <c r="DG481" s="43"/>
      <c r="DH481" s="108"/>
      <c r="DI481" s="108"/>
      <c r="DJ481" s="108"/>
      <c r="DK481" s="108"/>
      <c r="DL481" s="108"/>
      <c r="DM481" s="108"/>
      <c r="DN481" s="43"/>
      <c r="DO481" s="108"/>
      <c r="DP481" s="108"/>
      <c r="DQ481" s="108"/>
      <c r="DR481" s="108"/>
      <c r="DS481" s="108"/>
      <c r="DT481" s="108"/>
      <c r="DU481" s="43"/>
      <c r="DV481" s="108"/>
      <c r="DW481" s="108"/>
      <c r="DX481" s="108"/>
      <c r="DY481" s="108"/>
      <c r="DZ481" s="108"/>
      <c r="EA481" s="108"/>
      <c r="EB481" s="43"/>
      <c r="EC481" s="108"/>
      <c r="ED481" s="108"/>
      <c r="EE481" s="108"/>
      <c r="EF481" s="108"/>
      <c r="EG481" s="108"/>
      <c r="EH481" s="108"/>
      <c r="EI481" s="43"/>
      <c r="EJ481" s="47"/>
      <c r="EK481" s="47"/>
      <c r="EL481" s="47"/>
      <c r="EM481" s="47"/>
      <c r="EN481" s="47"/>
      <c r="EO481" s="47"/>
      <c r="EP481" s="47"/>
      <c r="EQ481" s="47"/>
      <c r="ER481" s="47"/>
      <c r="ES481" s="47"/>
      <c r="ET481" s="47"/>
      <c r="EU481" s="47"/>
      <c r="EV481" s="47"/>
      <c r="EW481" s="47"/>
      <c r="EX481" s="47"/>
      <c r="EY481" s="47"/>
      <c r="EZ481" s="47"/>
      <c r="FA481" s="47"/>
      <c r="FB481" s="47"/>
      <c r="FC481" s="47"/>
      <c r="FD481" s="47"/>
      <c r="FE481" s="47"/>
      <c r="FF481" s="47"/>
      <c r="FG481" s="47"/>
      <c r="FH481" s="47"/>
      <c r="FI481" s="47"/>
      <c r="FJ481" s="47"/>
      <c r="FK481" s="47"/>
      <c r="FL481" s="47"/>
      <c r="FM481" s="47"/>
      <c r="FN481" s="47"/>
      <c r="FO481" s="47"/>
      <c r="FP481" s="47"/>
      <c r="FQ481" s="47"/>
      <c r="FR481" s="47"/>
      <c r="FS481" s="47"/>
      <c r="FT481" s="47"/>
      <c r="FU481" s="47"/>
      <c r="FV481" s="47"/>
      <c r="FW481" s="47"/>
      <c r="FX481" s="47"/>
      <c r="FY481" s="47"/>
      <c r="FZ481" s="47"/>
      <c r="GA481" s="47"/>
      <c r="GB481" s="47"/>
      <c r="GC481" s="47"/>
      <c r="GD481" s="47"/>
      <c r="GE481" s="47"/>
    </row>
    <row r="482" spans="1:187" ht="10.5" customHeight="1">
      <c r="A482" s="43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43"/>
      <c r="U482" s="108"/>
      <c r="V482" s="108"/>
      <c r="W482" s="108"/>
      <c r="X482" s="108"/>
      <c r="Y482" s="108"/>
      <c r="Z482" s="108"/>
      <c r="AA482" s="43"/>
      <c r="AB482" s="108"/>
      <c r="AC482" s="108"/>
      <c r="AD482" s="108"/>
      <c r="AE482" s="108"/>
      <c r="AF482" s="108"/>
      <c r="AG482" s="108"/>
      <c r="AH482" s="43"/>
      <c r="AI482" s="108"/>
      <c r="AJ482" s="108"/>
      <c r="AK482" s="108"/>
      <c r="AL482" s="108"/>
      <c r="AM482" s="108"/>
      <c r="AN482" s="108"/>
      <c r="AO482" s="43"/>
      <c r="AP482" s="108"/>
      <c r="AQ482" s="108"/>
      <c r="AR482" s="108"/>
      <c r="AS482" s="108"/>
      <c r="AT482" s="108"/>
      <c r="AU482" s="108"/>
      <c r="AV482" s="43"/>
      <c r="AW482" s="108"/>
      <c r="AX482" s="108"/>
      <c r="AY482" s="108"/>
      <c r="AZ482" s="108"/>
      <c r="BA482" s="108"/>
      <c r="BB482" s="108"/>
      <c r="BC482" s="43"/>
      <c r="BD482" s="108"/>
      <c r="BE482" s="108"/>
      <c r="BF482" s="108"/>
      <c r="BG482" s="108"/>
      <c r="BH482" s="108"/>
      <c r="BI482" s="108"/>
      <c r="BJ482" s="43"/>
      <c r="BK482" s="108"/>
      <c r="BL482" s="108"/>
      <c r="BM482" s="108"/>
      <c r="BN482" s="108"/>
      <c r="BO482" s="108"/>
      <c r="BP482" s="108"/>
      <c r="BQ482" s="43"/>
      <c r="BR482" s="108"/>
      <c r="BS482" s="108"/>
      <c r="BT482" s="108"/>
      <c r="BU482" s="108"/>
      <c r="BV482" s="108"/>
      <c r="BW482" s="108"/>
      <c r="BX482" s="43"/>
      <c r="BY482" s="108"/>
      <c r="BZ482" s="108"/>
      <c r="CA482" s="108"/>
      <c r="CB482" s="108"/>
      <c r="CC482" s="108"/>
      <c r="CD482" s="108"/>
      <c r="CE482" s="43"/>
      <c r="CF482" s="108"/>
      <c r="CG482" s="108"/>
      <c r="CH482" s="108"/>
      <c r="CI482" s="108"/>
      <c r="CJ482" s="108"/>
      <c r="CK482" s="108"/>
      <c r="CL482" s="43"/>
      <c r="CM482" s="108"/>
      <c r="CN482" s="108"/>
      <c r="CO482" s="108"/>
      <c r="CP482" s="108"/>
      <c r="CQ482" s="108"/>
      <c r="CR482" s="108"/>
      <c r="CS482" s="43"/>
      <c r="CT482" s="108"/>
      <c r="CU482" s="108"/>
      <c r="CV482" s="108"/>
      <c r="CW482" s="108"/>
      <c r="CX482" s="108"/>
      <c r="CY482" s="108"/>
      <c r="CZ482" s="43"/>
      <c r="DA482" s="108"/>
      <c r="DB482" s="108"/>
      <c r="DC482" s="108"/>
      <c r="DD482" s="108"/>
      <c r="DE482" s="108"/>
      <c r="DF482" s="108"/>
      <c r="DG482" s="43"/>
      <c r="DH482" s="108"/>
      <c r="DI482" s="108"/>
      <c r="DJ482" s="108"/>
      <c r="DK482" s="108"/>
      <c r="DL482" s="108"/>
      <c r="DM482" s="108"/>
      <c r="DN482" s="43"/>
      <c r="DO482" s="108"/>
      <c r="DP482" s="108"/>
      <c r="DQ482" s="108"/>
      <c r="DR482" s="108"/>
      <c r="DS482" s="108"/>
      <c r="DT482" s="108"/>
      <c r="DU482" s="43"/>
      <c r="DV482" s="108"/>
      <c r="DW482" s="108"/>
      <c r="DX482" s="108"/>
      <c r="DY482" s="108"/>
      <c r="DZ482" s="108"/>
      <c r="EA482" s="108"/>
      <c r="EB482" s="43"/>
      <c r="EC482" s="108"/>
      <c r="ED482" s="108"/>
      <c r="EE482" s="108"/>
      <c r="EF482" s="108"/>
      <c r="EG482" s="108"/>
      <c r="EH482" s="108"/>
      <c r="EI482" s="43"/>
      <c r="EJ482" s="47"/>
      <c r="EK482" s="47"/>
      <c r="EL482" s="47"/>
      <c r="EM482" s="47"/>
      <c r="EN482" s="47"/>
      <c r="EO482" s="47"/>
      <c r="EP482" s="47"/>
      <c r="EQ482" s="47"/>
      <c r="ER482" s="47"/>
      <c r="ES482" s="47"/>
      <c r="ET482" s="47"/>
      <c r="EU482" s="47"/>
      <c r="EV482" s="47"/>
      <c r="EW482" s="47"/>
      <c r="EX482" s="47"/>
      <c r="EY482" s="47"/>
      <c r="EZ482" s="47"/>
      <c r="FA482" s="47"/>
      <c r="FB482" s="47"/>
      <c r="FC482" s="47"/>
      <c r="FD482" s="47"/>
      <c r="FE482" s="47"/>
      <c r="FF482" s="47"/>
      <c r="FG482" s="47"/>
      <c r="FH482" s="47"/>
      <c r="FI482" s="47"/>
      <c r="FJ482" s="47"/>
      <c r="FK482" s="47"/>
      <c r="FL482" s="47"/>
      <c r="FM482" s="47"/>
      <c r="FN482" s="47"/>
      <c r="FO482" s="47"/>
      <c r="FP482" s="47"/>
      <c r="FQ482" s="47"/>
      <c r="FR482" s="47"/>
      <c r="FS482" s="47"/>
      <c r="FT482" s="47"/>
      <c r="FU482" s="47"/>
      <c r="FV482" s="47"/>
      <c r="FW482" s="47"/>
      <c r="FX482" s="47"/>
      <c r="FY482" s="47"/>
      <c r="FZ482" s="47"/>
      <c r="GA482" s="47"/>
      <c r="GB482" s="47"/>
      <c r="GC482" s="47"/>
      <c r="GD482" s="47"/>
      <c r="GE482" s="47"/>
    </row>
    <row r="483" spans="1:187" ht="10.5" customHeight="1">
      <c r="A483" s="43"/>
      <c r="B483" s="108"/>
      <c r="C483" s="108"/>
      <c r="D483" s="245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43"/>
      <c r="U483" s="108"/>
      <c r="V483" s="108"/>
      <c r="W483" s="108"/>
      <c r="X483" s="108"/>
      <c r="Y483" s="108"/>
      <c r="Z483" s="108"/>
      <c r="AA483" s="43"/>
      <c r="AB483" s="108"/>
      <c r="AC483" s="108"/>
      <c r="AD483" s="108"/>
      <c r="AE483" s="108"/>
      <c r="AF483" s="108"/>
      <c r="AG483" s="108"/>
      <c r="AH483" s="43"/>
      <c r="AI483" s="108"/>
      <c r="AJ483" s="108"/>
      <c r="AK483" s="108"/>
      <c r="AL483" s="108"/>
      <c r="AM483" s="108"/>
      <c r="AN483" s="108"/>
      <c r="AO483" s="43"/>
      <c r="AP483" s="108"/>
      <c r="AQ483" s="108"/>
      <c r="AR483" s="108"/>
      <c r="AS483" s="108"/>
      <c r="AT483" s="108"/>
      <c r="AU483" s="108"/>
      <c r="AV483" s="43"/>
      <c r="AW483" s="108"/>
      <c r="AX483" s="108"/>
      <c r="AY483" s="108"/>
      <c r="AZ483" s="108"/>
      <c r="BA483" s="108"/>
      <c r="BB483" s="108"/>
      <c r="BC483" s="43"/>
      <c r="BD483" s="108"/>
      <c r="BE483" s="108"/>
      <c r="BF483" s="108"/>
      <c r="BG483" s="108"/>
      <c r="BH483" s="108"/>
      <c r="BI483" s="108"/>
      <c r="BJ483" s="43"/>
      <c r="BK483" s="108"/>
      <c r="BL483" s="108"/>
      <c r="BM483" s="108"/>
      <c r="BN483" s="108"/>
      <c r="BO483" s="108"/>
      <c r="BP483" s="108"/>
      <c r="BQ483" s="43"/>
      <c r="BR483" s="108"/>
      <c r="BS483" s="108"/>
      <c r="BT483" s="108"/>
      <c r="BU483" s="108"/>
      <c r="BV483" s="108"/>
      <c r="BW483" s="108"/>
      <c r="BX483" s="43"/>
      <c r="BY483" s="108"/>
      <c r="BZ483" s="108"/>
      <c r="CA483" s="108"/>
      <c r="CB483" s="108"/>
      <c r="CC483" s="108"/>
      <c r="CD483" s="108"/>
      <c r="CE483" s="43"/>
      <c r="CF483" s="108"/>
      <c r="CG483" s="108"/>
      <c r="CH483" s="108"/>
      <c r="CI483" s="108"/>
      <c r="CJ483" s="108"/>
      <c r="CK483" s="108"/>
      <c r="CL483" s="43"/>
      <c r="CM483" s="108"/>
      <c r="CN483" s="108"/>
      <c r="CO483" s="108"/>
      <c r="CP483" s="108"/>
      <c r="CQ483" s="108"/>
      <c r="CR483" s="108"/>
      <c r="CS483" s="43"/>
      <c r="CT483" s="108"/>
      <c r="CU483" s="108"/>
      <c r="CV483" s="108"/>
      <c r="CW483" s="108"/>
      <c r="CX483" s="108"/>
      <c r="CY483" s="108"/>
      <c r="CZ483" s="43"/>
      <c r="DA483" s="108"/>
      <c r="DB483" s="108"/>
      <c r="DC483" s="108"/>
      <c r="DD483" s="108"/>
      <c r="DE483" s="108"/>
      <c r="DF483" s="108"/>
      <c r="DG483" s="43"/>
      <c r="DH483" s="108"/>
      <c r="DI483" s="108"/>
      <c r="DJ483" s="108"/>
      <c r="DK483" s="108"/>
      <c r="DL483" s="108"/>
      <c r="DM483" s="108"/>
      <c r="DN483" s="43"/>
      <c r="DO483" s="108"/>
      <c r="DP483" s="108"/>
      <c r="DQ483" s="108"/>
      <c r="DR483" s="108"/>
      <c r="DS483" s="108"/>
      <c r="DT483" s="108"/>
      <c r="DU483" s="43"/>
      <c r="DV483" s="108"/>
      <c r="DW483" s="108"/>
      <c r="DX483" s="108"/>
      <c r="DY483" s="108"/>
      <c r="DZ483" s="108"/>
      <c r="EA483" s="108"/>
      <c r="EB483" s="43"/>
      <c r="EC483" s="108"/>
      <c r="ED483" s="108"/>
      <c r="EE483" s="108"/>
      <c r="EF483" s="108"/>
      <c r="EG483" s="108"/>
      <c r="EH483" s="108"/>
      <c r="EI483" s="43"/>
      <c r="EJ483" s="47"/>
      <c r="EK483" s="47"/>
      <c r="EL483" s="47"/>
      <c r="EM483" s="47"/>
      <c r="EN483" s="47"/>
      <c r="EO483" s="47"/>
      <c r="EP483" s="47"/>
      <c r="EQ483" s="47"/>
      <c r="ER483" s="47"/>
      <c r="ES483" s="47"/>
      <c r="ET483" s="47"/>
      <c r="EU483" s="47"/>
      <c r="EV483" s="47"/>
      <c r="EW483" s="47"/>
      <c r="EX483" s="47"/>
      <c r="EY483" s="47"/>
      <c r="EZ483" s="47"/>
      <c r="FA483" s="47"/>
      <c r="FB483" s="47"/>
      <c r="FC483" s="47"/>
      <c r="FD483" s="47"/>
      <c r="FE483" s="47"/>
      <c r="FF483" s="47"/>
      <c r="FG483" s="47"/>
      <c r="FH483" s="47"/>
      <c r="FI483" s="47"/>
      <c r="FJ483" s="47"/>
      <c r="FK483" s="47"/>
      <c r="FL483" s="47"/>
      <c r="FM483" s="47"/>
      <c r="FN483" s="47"/>
      <c r="FO483" s="47"/>
      <c r="FP483" s="47"/>
      <c r="FQ483" s="47"/>
      <c r="FR483" s="47"/>
      <c r="FS483" s="47"/>
      <c r="FT483" s="47"/>
      <c r="FU483" s="47"/>
      <c r="FV483" s="47"/>
      <c r="FW483" s="47"/>
      <c r="FX483" s="47"/>
      <c r="FY483" s="47"/>
      <c r="FZ483" s="47"/>
      <c r="GA483" s="47"/>
      <c r="GB483" s="47"/>
      <c r="GC483" s="47"/>
      <c r="GD483" s="47"/>
      <c r="GE483" s="47"/>
    </row>
    <row r="484" spans="1:187" ht="10.5" customHeight="1">
      <c r="A484" s="43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43"/>
      <c r="U484" s="108"/>
      <c r="V484" s="108"/>
      <c r="W484" s="108"/>
      <c r="X484" s="108"/>
      <c r="Y484" s="108"/>
      <c r="Z484" s="108"/>
      <c r="AA484" s="43"/>
      <c r="AB484" s="108"/>
      <c r="AC484" s="108"/>
      <c r="AD484" s="108"/>
      <c r="AE484" s="108"/>
      <c r="AF484" s="108"/>
      <c r="AG484" s="108"/>
      <c r="AH484" s="43"/>
      <c r="AI484" s="108"/>
      <c r="AJ484" s="108"/>
      <c r="AK484" s="108"/>
      <c r="AL484" s="108"/>
      <c r="AM484" s="108"/>
      <c r="AN484" s="108"/>
      <c r="AO484" s="43"/>
      <c r="AP484" s="108"/>
      <c r="AQ484" s="108"/>
      <c r="AR484" s="108"/>
      <c r="AS484" s="108"/>
      <c r="AT484" s="108"/>
      <c r="AU484" s="108"/>
      <c r="AV484" s="43"/>
      <c r="AW484" s="108"/>
      <c r="AX484" s="108"/>
      <c r="AY484" s="108"/>
      <c r="AZ484" s="108"/>
      <c r="BA484" s="108"/>
      <c r="BB484" s="108"/>
      <c r="BC484" s="43"/>
      <c r="BD484" s="108"/>
      <c r="BE484" s="108"/>
      <c r="BF484" s="108"/>
      <c r="BG484" s="108"/>
      <c r="BH484" s="108"/>
      <c r="BI484" s="108"/>
      <c r="BJ484" s="43"/>
      <c r="BK484" s="108"/>
      <c r="BL484" s="108"/>
      <c r="BM484" s="108"/>
      <c r="BN484" s="108"/>
      <c r="BO484" s="108"/>
      <c r="BP484" s="108"/>
      <c r="BQ484" s="43"/>
      <c r="BR484" s="108"/>
      <c r="BS484" s="108"/>
      <c r="BT484" s="108"/>
      <c r="BU484" s="108"/>
      <c r="BV484" s="108"/>
      <c r="BW484" s="108"/>
      <c r="BX484" s="43"/>
      <c r="BY484" s="108"/>
      <c r="BZ484" s="108"/>
      <c r="CA484" s="108"/>
      <c r="CB484" s="108"/>
      <c r="CC484" s="108"/>
      <c r="CD484" s="108"/>
      <c r="CE484" s="43"/>
      <c r="CF484" s="108"/>
      <c r="CG484" s="108"/>
      <c r="CH484" s="108"/>
      <c r="CI484" s="108"/>
      <c r="CJ484" s="108"/>
      <c r="CK484" s="108"/>
      <c r="CL484" s="43"/>
      <c r="CM484" s="108"/>
      <c r="CN484" s="108"/>
      <c r="CO484" s="108"/>
      <c r="CP484" s="108"/>
      <c r="CQ484" s="108"/>
      <c r="CR484" s="108"/>
      <c r="CS484" s="43"/>
      <c r="CT484" s="108"/>
      <c r="CU484" s="108"/>
      <c r="CV484" s="108"/>
      <c r="CW484" s="108"/>
      <c r="CX484" s="108"/>
      <c r="CY484" s="108"/>
      <c r="CZ484" s="43"/>
      <c r="DA484" s="108"/>
      <c r="DB484" s="108"/>
      <c r="DC484" s="108"/>
      <c r="DD484" s="108"/>
      <c r="DE484" s="108"/>
      <c r="DF484" s="108"/>
      <c r="DG484" s="43"/>
      <c r="DH484" s="108"/>
      <c r="DI484" s="108"/>
      <c r="DJ484" s="108"/>
      <c r="DK484" s="108"/>
      <c r="DL484" s="108"/>
      <c r="DM484" s="108"/>
      <c r="DN484" s="43"/>
      <c r="DO484" s="108"/>
      <c r="DP484" s="108"/>
      <c r="DQ484" s="108"/>
      <c r="DR484" s="108"/>
      <c r="DS484" s="108"/>
      <c r="DT484" s="108"/>
      <c r="DU484" s="43"/>
      <c r="DV484" s="108"/>
      <c r="DW484" s="108"/>
      <c r="DX484" s="108"/>
      <c r="DY484" s="108"/>
      <c r="DZ484" s="108"/>
      <c r="EA484" s="108"/>
      <c r="EB484" s="43"/>
      <c r="EC484" s="108"/>
      <c r="ED484" s="108"/>
      <c r="EE484" s="108"/>
      <c r="EF484" s="108"/>
      <c r="EG484" s="108"/>
      <c r="EH484" s="108"/>
      <c r="EI484" s="43"/>
      <c r="EJ484" s="47"/>
      <c r="EK484" s="47"/>
      <c r="EL484" s="47"/>
      <c r="EM484" s="47"/>
      <c r="EN484" s="47"/>
      <c r="EO484" s="47"/>
      <c r="EP484" s="47"/>
      <c r="EQ484" s="47"/>
      <c r="ER484" s="47"/>
      <c r="ES484" s="47"/>
      <c r="ET484" s="47"/>
      <c r="EU484" s="47"/>
      <c r="EV484" s="47"/>
      <c r="EW484" s="47"/>
      <c r="EX484" s="47"/>
      <c r="EY484" s="47"/>
      <c r="EZ484" s="47"/>
      <c r="FA484" s="47"/>
      <c r="FB484" s="47"/>
      <c r="FC484" s="47"/>
      <c r="FD484" s="47"/>
      <c r="FE484" s="47"/>
      <c r="FF484" s="47"/>
      <c r="FG484" s="47"/>
      <c r="FH484" s="47"/>
      <c r="FI484" s="47"/>
      <c r="FJ484" s="47"/>
      <c r="FK484" s="47"/>
      <c r="FL484" s="47"/>
      <c r="FM484" s="47"/>
      <c r="FN484" s="47"/>
      <c r="FO484" s="47"/>
      <c r="FP484" s="47"/>
      <c r="FQ484" s="47"/>
      <c r="FR484" s="47"/>
      <c r="FS484" s="47"/>
      <c r="FT484" s="47"/>
      <c r="FU484" s="47"/>
      <c r="FV484" s="47"/>
      <c r="FW484" s="47"/>
      <c r="FX484" s="47"/>
      <c r="FY484" s="47"/>
      <c r="FZ484" s="47"/>
      <c r="GA484" s="47"/>
      <c r="GB484" s="47"/>
      <c r="GC484" s="47"/>
      <c r="GD484" s="47"/>
      <c r="GE484" s="47"/>
    </row>
    <row r="485" spans="1:187" ht="10.5" customHeight="1">
      <c r="A485" s="43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43"/>
      <c r="U485" s="108"/>
      <c r="V485" s="108"/>
      <c r="W485" s="108"/>
      <c r="X485" s="108"/>
      <c r="Y485" s="108"/>
      <c r="Z485" s="108"/>
      <c r="AA485" s="43"/>
      <c r="AB485" s="108"/>
      <c r="AC485" s="108"/>
      <c r="AD485" s="108"/>
      <c r="AE485" s="108"/>
      <c r="AF485" s="108"/>
      <c r="AG485" s="108"/>
      <c r="AH485" s="43"/>
      <c r="AI485" s="108"/>
      <c r="AJ485" s="108"/>
      <c r="AK485" s="108"/>
      <c r="AL485" s="108"/>
      <c r="AM485" s="108"/>
      <c r="AN485" s="108"/>
      <c r="AO485" s="43"/>
      <c r="AP485" s="108"/>
      <c r="AQ485" s="108"/>
      <c r="AR485" s="108"/>
      <c r="AS485" s="108"/>
      <c r="AT485" s="108"/>
      <c r="AU485" s="108"/>
      <c r="AV485" s="43"/>
      <c r="AW485" s="108"/>
      <c r="AX485" s="108"/>
      <c r="AY485" s="108"/>
      <c r="AZ485" s="108"/>
      <c r="BA485" s="108"/>
      <c r="BB485" s="108"/>
      <c r="BC485" s="43"/>
      <c r="BD485" s="108"/>
      <c r="BE485" s="108"/>
      <c r="BF485" s="108"/>
      <c r="BG485" s="108"/>
      <c r="BH485" s="108"/>
      <c r="BI485" s="108"/>
      <c r="BJ485" s="43"/>
      <c r="BK485" s="108"/>
      <c r="BL485" s="108"/>
      <c r="BM485" s="108"/>
      <c r="BN485" s="108"/>
      <c r="BO485" s="108"/>
      <c r="BP485" s="108"/>
      <c r="BQ485" s="43"/>
      <c r="BR485" s="108"/>
      <c r="BS485" s="108"/>
      <c r="BT485" s="108"/>
      <c r="BU485" s="108"/>
      <c r="BV485" s="108"/>
      <c r="BW485" s="108"/>
      <c r="BX485" s="43"/>
      <c r="BY485" s="108"/>
      <c r="BZ485" s="108"/>
      <c r="CA485" s="108"/>
      <c r="CB485" s="108"/>
      <c r="CC485" s="108"/>
      <c r="CD485" s="108"/>
      <c r="CE485" s="43"/>
      <c r="CF485" s="108"/>
      <c r="CG485" s="108"/>
      <c r="CH485" s="108"/>
      <c r="CI485" s="108"/>
      <c r="CJ485" s="108"/>
      <c r="CK485" s="108"/>
      <c r="CL485" s="43"/>
      <c r="CM485" s="108"/>
      <c r="CN485" s="108"/>
      <c r="CO485" s="108"/>
      <c r="CP485" s="108"/>
      <c r="CQ485" s="108"/>
      <c r="CR485" s="108"/>
      <c r="CS485" s="43"/>
      <c r="CT485" s="108"/>
      <c r="CU485" s="108"/>
      <c r="CV485" s="108"/>
      <c r="CW485" s="108"/>
      <c r="CX485" s="108"/>
      <c r="CY485" s="108"/>
      <c r="CZ485" s="43"/>
      <c r="DA485" s="108"/>
      <c r="DB485" s="108"/>
      <c r="DC485" s="108"/>
      <c r="DD485" s="108"/>
      <c r="DE485" s="108"/>
      <c r="DF485" s="108"/>
      <c r="DG485" s="43"/>
      <c r="DH485" s="108"/>
      <c r="DI485" s="108"/>
      <c r="DJ485" s="108"/>
      <c r="DK485" s="108"/>
      <c r="DL485" s="108"/>
      <c r="DM485" s="108"/>
      <c r="DN485" s="43"/>
      <c r="DO485" s="108"/>
      <c r="DP485" s="108"/>
      <c r="DQ485" s="108"/>
      <c r="DR485" s="108"/>
      <c r="DS485" s="108"/>
      <c r="DT485" s="108"/>
      <c r="DU485" s="43"/>
      <c r="DV485" s="108"/>
      <c r="DW485" s="108"/>
      <c r="DX485" s="108"/>
      <c r="DY485" s="108"/>
      <c r="DZ485" s="108"/>
      <c r="EA485" s="108"/>
      <c r="EB485" s="43"/>
      <c r="EC485" s="108"/>
      <c r="ED485" s="108"/>
      <c r="EE485" s="108"/>
      <c r="EF485" s="108"/>
      <c r="EG485" s="108"/>
      <c r="EH485" s="108"/>
      <c r="EI485" s="43"/>
      <c r="EJ485" s="47"/>
      <c r="EK485" s="47"/>
      <c r="EL485" s="47"/>
      <c r="EM485" s="47"/>
      <c r="EN485" s="47"/>
      <c r="EO485" s="47"/>
      <c r="EP485" s="47"/>
      <c r="EQ485" s="47"/>
      <c r="ER485" s="47"/>
      <c r="ES485" s="47"/>
      <c r="ET485" s="47"/>
      <c r="EU485" s="47"/>
      <c r="EV485" s="47"/>
      <c r="EW485" s="47"/>
      <c r="EX485" s="47"/>
      <c r="EY485" s="47"/>
      <c r="EZ485" s="47"/>
      <c r="FA485" s="47"/>
      <c r="FB485" s="47"/>
      <c r="FC485" s="47"/>
      <c r="FD485" s="47"/>
      <c r="FE485" s="47"/>
      <c r="FF485" s="47"/>
      <c r="FG485" s="47"/>
      <c r="FH485" s="47"/>
      <c r="FI485" s="47"/>
      <c r="FJ485" s="47"/>
      <c r="FK485" s="47"/>
      <c r="FL485" s="47"/>
      <c r="FM485" s="47"/>
      <c r="FN485" s="47"/>
      <c r="FO485" s="47"/>
      <c r="FP485" s="47"/>
      <c r="FQ485" s="47"/>
      <c r="FR485" s="47"/>
      <c r="FS485" s="47"/>
      <c r="FT485" s="47"/>
      <c r="FU485" s="47"/>
      <c r="FV485" s="47"/>
      <c r="FW485" s="47"/>
      <c r="FX485" s="47"/>
      <c r="FY485" s="47"/>
      <c r="FZ485" s="47"/>
      <c r="GA485" s="47"/>
      <c r="GB485" s="47"/>
      <c r="GC485" s="47"/>
      <c r="GD485" s="47"/>
      <c r="GE485" s="47"/>
    </row>
    <row r="486" spans="1:187" ht="10.5" customHeight="1">
      <c r="A486" s="43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43"/>
      <c r="U486" s="108"/>
      <c r="V486" s="108"/>
      <c r="W486" s="108"/>
      <c r="X486" s="108"/>
      <c r="Y486" s="108"/>
      <c r="Z486" s="108"/>
      <c r="AA486" s="43"/>
      <c r="AB486" s="108"/>
      <c r="AC486" s="108"/>
      <c r="AD486" s="108"/>
      <c r="AE486" s="108"/>
      <c r="AF486" s="108"/>
      <c r="AG486" s="108"/>
      <c r="AH486" s="43"/>
      <c r="AI486" s="108"/>
      <c r="AJ486" s="108"/>
      <c r="AK486" s="108"/>
      <c r="AL486" s="108"/>
      <c r="AM486" s="108"/>
      <c r="AN486" s="108"/>
      <c r="AO486" s="43"/>
      <c r="AP486" s="108"/>
      <c r="AQ486" s="108"/>
      <c r="AR486" s="108"/>
      <c r="AS486" s="108"/>
      <c r="AT486" s="108"/>
      <c r="AU486" s="108"/>
      <c r="AV486" s="43"/>
      <c r="AW486" s="108"/>
      <c r="AX486" s="108"/>
      <c r="AY486" s="108"/>
      <c r="AZ486" s="108"/>
      <c r="BA486" s="108"/>
      <c r="BB486" s="108"/>
      <c r="BC486" s="43"/>
      <c r="BD486" s="108"/>
      <c r="BE486" s="108"/>
      <c r="BF486" s="108"/>
      <c r="BG486" s="108"/>
      <c r="BH486" s="108"/>
      <c r="BI486" s="108"/>
      <c r="BJ486" s="43"/>
      <c r="BK486" s="108"/>
      <c r="BL486" s="108"/>
      <c r="BM486" s="108"/>
      <c r="BN486" s="108"/>
      <c r="BO486" s="108"/>
      <c r="BP486" s="108"/>
      <c r="BQ486" s="43"/>
      <c r="BR486" s="108"/>
      <c r="BS486" s="108"/>
      <c r="BT486" s="108"/>
      <c r="BU486" s="108"/>
      <c r="BV486" s="108"/>
      <c r="BW486" s="108"/>
      <c r="BX486" s="43"/>
      <c r="BY486" s="108"/>
      <c r="BZ486" s="108"/>
      <c r="CA486" s="108"/>
      <c r="CB486" s="108"/>
      <c r="CC486" s="108"/>
      <c r="CD486" s="108"/>
      <c r="CE486" s="43"/>
      <c r="CF486" s="108"/>
      <c r="CG486" s="108"/>
      <c r="CH486" s="108"/>
      <c r="CI486" s="108"/>
      <c r="CJ486" s="108"/>
      <c r="CK486" s="108"/>
      <c r="CL486" s="43"/>
      <c r="CM486" s="108"/>
      <c r="CN486" s="108"/>
      <c r="CO486" s="108"/>
      <c r="CP486" s="108"/>
      <c r="CQ486" s="108"/>
      <c r="CR486" s="108"/>
      <c r="CS486" s="43"/>
      <c r="CT486" s="108"/>
      <c r="CU486" s="108"/>
      <c r="CV486" s="108"/>
      <c r="CW486" s="108"/>
      <c r="CX486" s="108"/>
      <c r="CY486" s="108"/>
      <c r="CZ486" s="43"/>
      <c r="DA486" s="108"/>
      <c r="DB486" s="108"/>
      <c r="DC486" s="108"/>
      <c r="DD486" s="108"/>
      <c r="DE486" s="108"/>
      <c r="DF486" s="108"/>
      <c r="DG486" s="43"/>
      <c r="DH486" s="108"/>
      <c r="DI486" s="108"/>
      <c r="DJ486" s="108"/>
      <c r="DK486" s="108"/>
      <c r="DL486" s="108"/>
      <c r="DM486" s="108"/>
      <c r="DN486" s="43"/>
      <c r="DO486" s="108"/>
      <c r="DP486" s="108"/>
      <c r="DQ486" s="108"/>
      <c r="DR486" s="108"/>
      <c r="DS486" s="108"/>
      <c r="DT486" s="108"/>
      <c r="DU486" s="43"/>
      <c r="DV486" s="108"/>
      <c r="DW486" s="108"/>
      <c r="DX486" s="108"/>
      <c r="DY486" s="108"/>
      <c r="DZ486" s="108"/>
      <c r="EA486" s="108"/>
      <c r="EB486" s="43"/>
      <c r="EC486" s="108"/>
      <c r="ED486" s="108"/>
      <c r="EE486" s="108"/>
      <c r="EF486" s="108"/>
      <c r="EG486" s="108"/>
      <c r="EH486" s="108"/>
      <c r="EI486" s="43"/>
      <c r="EJ486" s="47"/>
      <c r="EK486" s="47"/>
      <c r="EL486" s="47"/>
      <c r="EM486" s="47"/>
      <c r="EN486" s="47"/>
      <c r="EO486" s="47"/>
      <c r="EP486" s="47"/>
      <c r="EQ486" s="47"/>
      <c r="ER486" s="47"/>
      <c r="ES486" s="47"/>
      <c r="ET486" s="47"/>
      <c r="EU486" s="47"/>
      <c r="EV486" s="47"/>
      <c r="EW486" s="47"/>
      <c r="EX486" s="47"/>
      <c r="EY486" s="47"/>
      <c r="EZ486" s="47"/>
      <c r="FA486" s="47"/>
      <c r="FB486" s="47"/>
      <c r="FC486" s="47"/>
      <c r="FD486" s="47"/>
      <c r="FE486" s="47"/>
      <c r="FF486" s="47"/>
      <c r="FG486" s="47"/>
      <c r="FH486" s="47"/>
      <c r="FI486" s="47"/>
      <c r="FJ486" s="47"/>
      <c r="FK486" s="47"/>
      <c r="FL486" s="47"/>
      <c r="FM486" s="47"/>
      <c r="FN486" s="47"/>
      <c r="FO486" s="47"/>
      <c r="FP486" s="47"/>
      <c r="FQ486" s="47"/>
      <c r="FR486" s="47"/>
      <c r="FS486" s="47"/>
      <c r="FT486" s="47"/>
      <c r="FU486" s="47"/>
      <c r="FV486" s="47"/>
      <c r="FW486" s="47"/>
      <c r="FX486" s="47"/>
      <c r="FY486" s="47"/>
      <c r="FZ486" s="47"/>
      <c r="GA486" s="47"/>
      <c r="GB486" s="47"/>
      <c r="GC486" s="47"/>
      <c r="GD486" s="47"/>
      <c r="GE486" s="47"/>
    </row>
    <row r="487" spans="1:187" ht="10.5" customHeight="1">
      <c r="A487" s="43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43"/>
      <c r="U487" s="108"/>
      <c r="V487" s="108"/>
      <c r="W487" s="108"/>
      <c r="X487" s="108"/>
      <c r="Y487" s="108"/>
      <c r="Z487" s="108"/>
      <c r="AA487" s="43"/>
      <c r="AB487" s="108"/>
      <c r="AC487" s="108"/>
      <c r="AD487" s="108"/>
      <c r="AE487" s="108"/>
      <c r="AF487" s="108"/>
      <c r="AG487" s="108"/>
      <c r="AH487" s="43"/>
      <c r="AI487" s="108"/>
      <c r="AJ487" s="108"/>
      <c r="AK487" s="108"/>
      <c r="AL487" s="108"/>
      <c r="AM487" s="108"/>
      <c r="AN487" s="108"/>
      <c r="AO487" s="43"/>
      <c r="AP487" s="108"/>
      <c r="AQ487" s="108"/>
      <c r="AR487" s="108"/>
      <c r="AS487" s="108"/>
      <c r="AT487" s="108"/>
      <c r="AU487" s="108"/>
      <c r="AV487" s="43"/>
      <c r="AW487" s="108"/>
      <c r="AX487" s="108"/>
      <c r="AY487" s="108"/>
      <c r="AZ487" s="108"/>
      <c r="BA487" s="108"/>
      <c r="BB487" s="108"/>
      <c r="BC487" s="43"/>
      <c r="BD487" s="108"/>
      <c r="BE487" s="108"/>
      <c r="BF487" s="108"/>
      <c r="BG487" s="108"/>
      <c r="BH487" s="108"/>
      <c r="BI487" s="108"/>
      <c r="BJ487" s="43"/>
      <c r="BK487" s="108"/>
      <c r="BL487" s="108"/>
      <c r="BM487" s="108"/>
      <c r="BN487" s="108"/>
      <c r="BO487" s="108"/>
      <c r="BP487" s="108"/>
      <c r="BQ487" s="43"/>
      <c r="BR487" s="108"/>
      <c r="BS487" s="108"/>
      <c r="BT487" s="108"/>
      <c r="BU487" s="108"/>
      <c r="BV487" s="108"/>
      <c r="BW487" s="108"/>
      <c r="BX487" s="43"/>
      <c r="BY487" s="108"/>
      <c r="BZ487" s="108"/>
      <c r="CA487" s="108"/>
      <c r="CB487" s="108"/>
      <c r="CC487" s="108"/>
      <c r="CD487" s="108"/>
      <c r="CE487" s="43"/>
      <c r="CF487" s="108"/>
      <c r="CG487" s="108"/>
      <c r="CH487" s="108"/>
      <c r="CI487" s="108"/>
      <c r="CJ487" s="108"/>
      <c r="CK487" s="108"/>
      <c r="CL487" s="43"/>
      <c r="CM487" s="108"/>
      <c r="CN487" s="108"/>
      <c r="CO487" s="108"/>
      <c r="CP487" s="108"/>
      <c r="CQ487" s="108"/>
      <c r="CR487" s="108"/>
      <c r="CS487" s="43"/>
      <c r="CT487" s="108"/>
      <c r="CU487" s="108"/>
      <c r="CV487" s="108"/>
      <c r="CW487" s="108"/>
      <c r="CX487" s="108"/>
      <c r="CY487" s="108"/>
      <c r="CZ487" s="43"/>
      <c r="DA487" s="108"/>
      <c r="DB487" s="108"/>
      <c r="DC487" s="108"/>
      <c r="DD487" s="108"/>
      <c r="DE487" s="108"/>
      <c r="DF487" s="108"/>
      <c r="DG487" s="43"/>
      <c r="DH487" s="108"/>
      <c r="DI487" s="108"/>
      <c r="DJ487" s="108"/>
      <c r="DK487" s="108"/>
      <c r="DL487" s="108"/>
      <c r="DM487" s="108"/>
      <c r="DN487" s="43"/>
      <c r="DO487" s="108"/>
      <c r="DP487" s="108"/>
      <c r="DQ487" s="108"/>
      <c r="DR487" s="108"/>
      <c r="DS487" s="108"/>
      <c r="DT487" s="108"/>
      <c r="DU487" s="43"/>
      <c r="DV487" s="108"/>
      <c r="DW487" s="108"/>
      <c r="DX487" s="108"/>
      <c r="DY487" s="108"/>
      <c r="DZ487" s="108"/>
      <c r="EA487" s="108"/>
      <c r="EB487" s="43"/>
      <c r="EC487" s="108"/>
      <c r="ED487" s="108"/>
      <c r="EE487" s="108"/>
      <c r="EF487" s="108"/>
      <c r="EG487" s="108"/>
      <c r="EH487" s="108"/>
      <c r="EI487" s="43"/>
      <c r="EJ487" s="47"/>
      <c r="EK487" s="47"/>
      <c r="EL487" s="47"/>
      <c r="EM487" s="47"/>
      <c r="EN487" s="47"/>
      <c r="EO487" s="47"/>
      <c r="EP487" s="47"/>
      <c r="EQ487" s="47"/>
      <c r="ER487" s="47"/>
      <c r="ES487" s="47"/>
      <c r="ET487" s="47"/>
      <c r="EU487" s="47"/>
      <c r="EV487" s="47"/>
      <c r="EW487" s="47"/>
      <c r="EX487" s="47"/>
      <c r="EY487" s="47"/>
      <c r="EZ487" s="47"/>
      <c r="FA487" s="47"/>
      <c r="FB487" s="47"/>
      <c r="FC487" s="47"/>
      <c r="FD487" s="47"/>
      <c r="FE487" s="47"/>
      <c r="FF487" s="47"/>
      <c r="FG487" s="47"/>
      <c r="FH487" s="47"/>
      <c r="FI487" s="47"/>
      <c r="FJ487" s="47"/>
      <c r="FK487" s="47"/>
      <c r="FL487" s="47"/>
      <c r="FM487" s="47"/>
      <c r="FN487" s="47"/>
      <c r="FO487" s="47"/>
      <c r="FP487" s="47"/>
      <c r="FQ487" s="47"/>
      <c r="FR487" s="47"/>
      <c r="FS487" s="47"/>
      <c r="FT487" s="47"/>
      <c r="FU487" s="47"/>
      <c r="FV487" s="47"/>
      <c r="FW487" s="47"/>
      <c r="FX487" s="47"/>
      <c r="FY487" s="47"/>
      <c r="FZ487" s="47"/>
      <c r="GA487" s="47"/>
      <c r="GB487" s="47"/>
      <c r="GC487" s="47"/>
      <c r="GD487" s="47"/>
      <c r="GE487" s="47"/>
    </row>
    <row r="488" spans="1:187" ht="10.5" customHeight="1">
      <c r="A488" s="43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43"/>
      <c r="U488" s="108"/>
      <c r="V488" s="108"/>
      <c r="W488" s="108"/>
      <c r="X488" s="108"/>
      <c r="Y488" s="108"/>
      <c r="Z488" s="108"/>
      <c r="AA488" s="43"/>
      <c r="AB488" s="108"/>
      <c r="AC488" s="108"/>
      <c r="AD488" s="108"/>
      <c r="AE488" s="108"/>
      <c r="AF488" s="108"/>
      <c r="AG488" s="108"/>
      <c r="AH488" s="43"/>
      <c r="AI488" s="108"/>
      <c r="AJ488" s="108"/>
      <c r="AK488" s="108"/>
      <c r="AL488" s="108"/>
      <c r="AM488" s="108"/>
      <c r="AN488" s="108"/>
      <c r="AO488" s="43"/>
      <c r="AP488" s="108"/>
      <c r="AQ488" s="108"/>
      <c r="AR488" s="108"/>
      <c r="AS488" s="108"/>
      <c r="AT488" s="108"/>
      <c r="AU488" s="108"/>
      <c r="AV488" s="43"/>
      <c r="AW488" s="108"/>
      <c r="AX488" s="108"/>
      <c r="AY488" s="108"/>
      <c r="AZ488" s="108"/>
      <c r="BA488" s="108"/>
      <c r="BB488" s="108"/>
      <c r="BC488" s="43"/>
      <c r="BD488" s="108"/>
      <c r="BE488" s="108"/>
      <c r="BF488" s="108"/>
      <c r="BG488" s="108"/>
      <c r="BH488" s="108"/>
      <c r="BI488" s="108"/>
      <c r="BJ488" s="43"/>
      <c r="BK488" s="108"/>
      <c r="BL488" s="108"/>
      <c r="BM488" s="108"/>
      <c r="BN488" s="108"/>
      <c r="BO488" s="108"/>
      <c r="BP488" s="108"/>
      <c r="BQ488" s="43"/>
      <c r="BR488" s="108"/>
      <c r="BS488" s="108"/>
      <c r="BT488" s="108"/>
      <c r="BU488" s="108"/>
      <c r="BV488" s="108"/>
      <c r="BW488" s="108"/>
      <c r="BX488" s="43"/>
      <c r="BY488" s="108"/>
      <c r="BZ488" s="108"/>
      <c r="CA488" s="108"/>
      <c r="CB488" s="108"/>
      <c r="CC488" s="108"/>
      <c r="CD488" s="108"/>
      <c r="CE488" s="43"/>
      <c r="CF488" s="108"/>
      <c r="CG488" s="108"/>
      <c r="CH488" s="108"/>
      <c r="CI488" s="108"/>
      <c r="CJ488" s="108"/>
      <c r="CK488" s="108"/>
      <c r="CL488" s="43"/>
      <c r="CM488" s="108"/>
      <c r="CN488" s="108"/>
      <c r="CO488" s="108"/>
      <c r="CP488" s="108"/>
      <c r="CQ488" s="108"/>
      <c r="CR488" s="108"/>
      <c r="CS488" s="43"/>
      <c r="CT488" s="108"/>
      <c r="CU488" s="108"/>
      <c r="CV488" s="108"/>
      <c r="CW488" s="108"/>
      <c r="CX488" s="108"/>
      <c r="CY488" s="108"/>
      <c r="CZ488" s="43"/>
      <c r="DA488" s="108"/>
      <c r="DB488" s="108"/>
      <c r="DC488" s="108"/>
      <c r="DD488" s="108"/>
      <c r="DE488" s="108"/>
      <c r="DF488" s="108"/>
      <c r="DG488" s="43"/>
      <c r="DH488" s="108"/>
      <c r="DI488" s="108"/>
      <c r="DJ488" s="108"/>
      <c r="DK488" s="108"/>
      <c r="DL488" s="108"/>
      <c r="DM488" s="108"/>
      <c r="DN488" s="43"/>
      <c r="DO488" s="108"/>
      <c r="DP488" s="108"/>
      <c r="DQ488" s="108"/>
      <c r="DR488" s="108"/>
      <c r="DS488" s="108"/>
      <c r="DT488" s="108"/>
      <c r="DU488" s="43"/>
      <c r="DV488" s="108"/>
      <c r="DW488" s="108"/>
      <c r="DX488" s="108"/>
      <c r="DY488" s="108"/>
      <c r="DZ488" s="108"/>
      <c r="EA488" s="108"/>
      <c r="EB488" s="43"/>
      <c r="EC488" s="108"/>
      <c r="ED488" s="108"/>
      <c r="EE488" s="108"/>
      <c r="EF488" s="108"/>
      <c r="EG488" s="108"/>
      <c r="EH488" s="108"/>
      <c r="EI488" s="43"/>
      <c r="EJ488" s="47"/>
      <c r="EK488" s="47"/>
      <c r="EL488" s="47"/>
      <c r="EM488" s="47"/>
      <c r="EN488" s="47"/>
      <c r="EO488" s="47"/>
      <c r="EP488" s="47"/>
      <c r="EQ488" s="47"/>
      <c r="ER488" s="47"/>
      <c r="ES488" s="47"/>
      <c r="ET488" s="47"/>
      <c r="EU488" s="47"/>
      <c r="EV488" s="47"/>
      <c r="EW488" s="47"/>
      <c r="EX488" s="47"/>
      <c r="EY488" s="47"/>
      <c r="EZ488" s="47"/>
      <c r="FA488" s="47"/>
      <c r="FB488" s="47"/>
      <c r="FC488" s="47"/>
      <c r="FD488" s="47"/>
      <c r="FE488" s="47"/>
      <c r="FF488" s="47"/>
      <c r="FG488" s="47"/>
      <c r="FH488" s="47"/>
      <c r="FI488" s="47"/>
      <c r="FJ488" s="47"/>
      <c r="FK488" s="47"/>
      <c r="FL488" s="47"/>
      <c r="FM488" s="47"/>
      <c r="FN488" s="47"/>
      <c r="FO488" s="47"/>
      <c r="FP488" s="47"/>
      <c r="FQ488" s="47"/>
      <c r="FR488" s="47"/>
      <c r="FS488" s="47"/>
      <c r="FT488" s="47"/>
      <c r="FU488" s="47"/>
      <c r="FV488" s="47"/>
      <c r="FW488" s="47"/>
      <c r="FX488" s="47"/>
      <c r="FY488" s="47"/>
      <c r="FZ488" s="47"/>
      <c r="GA488" s="47"/>
      <c r="GB488" s="47"/>
      <c r="GC488" s="47"/>
      <c r="GD488" s="47"/>
      <c r="GE488" s="47"/>
    </row>
    <row r="489" spans="1:187" ht="10.5" customHeight="1">
      <c r="A489" s="43"/>
      <c r="B489" s="108"/>
      <c r="C489" s="108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108"/>
      <c r="O489" s="108"/>
      <c r="P489" s="108"/>
      <c r="Q489" s="108"/>
      <c r="R489" s="108"/>
      <c r="S489" s="108"/>
      <c r="T489" s="43"/>
      <c r="U489" s="108"/>
      <c r="V489" s="108"/>
      <c r="W489" s="108"/>
      <c r="X489" s="108"/>
      <c r="Y489" s="108"/>
      <c r="Z489" s="108"/>
      <c r="AA489" s="43"/>
      <c r="AB489" s="108"/>
      <c r="AC489" s="108"/>
      <c r="AD489" s="108"/>
      <c r="AE489" s="108"/>
      <c r="AF489" s="108"/>
      <c r="AG489" s="108"/>
      <c r="AH489" s="43"/>
      <c r="AI489" s="108"/>
      <c r="AJ489" s="108"/>
      <c r="AK489" s="108"/>
      <c r="AL489" s="108"/>
      <c r="AM489" s="108"/>
      <c r="AN489" s="108"/>
      <c r="AO489" s="43"/>
      <c r="AP489" s="108"/>
      <c r="AQ489" s="108"/>
      <c r="AR489" s="108"/>
      <c r="AS489" s="108"/>
      <c r="AT489" s="108"/>
      <c r="AU489" s="108"/>
      <c r="AV489" s="43"/>
      <c r="AW489" s="108"/>
      <c r="AX489" s="108"/>
      <c r="AY489" s="108"/>
      <c r="AZ489" s="108"/>
      <c r="BA489" s="108"/>
      <c r="BB489" s="108"/>
      <c r="BC489" s="43"/>
      <c r="BD489" s="108"/>
      <c r="BE489" s="108"/>
      <c r="BF489" s="108"/>
      <c r="BG489" s="108"/>
      <c r="BH489" s="108"/>
      <c r="BI489" s="108"/>
      <c r="BJ489" s="43"/>
      <c r="BK489" s="108"/>
      <c r="BL489" s="108"/>
      <c r="BM489" s="108"/>
      <c r="BN489" s="108"/>
      <c r="BO489" s="108"/>
      <c r="BP489" s="108"/>
      <c r="BQ489" s="43"/>
      <c r="BR489" s="108"/>
      <c r="BS489" s="108"/>
      <c r="BT489" s="108"/>
      <c r="BU489" s="108"/>
      <c r="BV489" s="108"/>
      <c r="BW489" s="108"/>
      <c r="BX489" s="43"/>
      <c r="BY489" s="108"/>
      <c r="BZ489" s="108"/>
      <c r="CA489" s="108"/>
      <c r="CB489" s="108"/>
      <c r="CC489" s="108"/>
      <c r="CD489" s="108"/>
      <c r="CE489" s="43"/>
      <c r="CF489" s="108"/>
      <c r="CG489" s="108"/>
      <c r="CH489" s="108"/>
      <c r="CI489" s="108"/>
      <c r="CJ489" s="108"/>
      <c r="CK489" s="108"/>
      <c r="CL489" s="43"/>
      <c r="CM489" s="108"/>
      <c r="CN489" s="108"/>
      <c r="CO489" s="108"/>
      <c r="CP489" s="108"/>
      <c r="CQ489" s="108"/>
      <c r="CR489" s="108"/>
      <c r="CS489" s="43"/>
      <c r="CT489" s="108"/>
      <c r="CU489" s="108"/>
      <c r="CV489" s="108"/>
      <c r="CW489" s="108"/>
      <c r="CX489" s="108"/>
      <c r="CY489" s="108"/>
      <c r="CZ489" s="43"/>
      <c r="DA489" s="108"/>
      <c r="DB489" s="108"/>
      <c r="DC489" s="108"/>
      <c r="DD489" s="108"/>
      <c r="DE489" s="108"/>
      <c r="DF489" s="108"/>
      <c r="DG489" s="43"/>
      <c r="DH489" s="108"/>
      <c r="DI489" s="108"/>
      <c r="DJ489" s="108"/>
      <c r="DK489" s="108"/>
      <c r="DL489" s="108"/>
      <c r="DM489" s="108"/>
      <c r="DN489" s="43"/>
      <c r="DO489" s="108"/>
      <c r="DP489" s="108"/>
      <c r="DQ489" s="108"/>
      <c r="DR489" s="108"/>
      <c r="DS489" s="108"/>
      <c r="DT489" s="108"/>
      <c r="DU489" s="43"/>
      <c r="DV489" s="108"/>
      <c r="DW489" s="108"/>
      <c r="DX489" s="108"/>
      <c r="DY489" s="108"/>
      <c r="DZ489" s="108"/>
      <c r="EA489" s="108"/>
      <c r="EB489" s="43"/>
      <c r="EC489" s="108"/>
      <c r="ED489" s="108"/>
      <c r="EE489" s="108"/>
      <c r="EF489" s="108"/>
      <c r="EG489" s="108"/>
      <c r="EH489" s="108"/>
      <c r="EI489" s="43"/>
      <c r="EJ489" s="47"/>
      <c r="EK489" s="47"/>
      <c r="EL489" s="47"/>
      <c r="EM489" s="47"/>
      <c r="EN489" s="47"/>
      <c r="EO489" s="47"/>
      <c r="EP489" s="47"/>
      <c r="EQ489" s="47"/>
      <c r="ER489" s="47"/>
      <c r="ES489" s="47"/>
      <c r="ET489" s="47"/>
      <c r="EU489" s="47"/>
      <c r="EV489" s="47"/>
      <c r="EW489" s="47"/>
      <c r="EX489" s="47"/>
      <c r="EY489" s="47"/>
      <c r="EZ489" s="47"/>
      <c r="FA489" s="47"/>
      <c r="FB489" s="47"/>
      <c r="FC489" s="47"/>
      <c r="FD489" s="47"/>
      <c r="FE489" s="47"/>
      <c r="FF489" s="47"/>
      <c r="FG489" s="47"/>
      <c r="FH489" s="47"/>
      <c r="FI489" s="47"/>
      <c r="FJ489" s="47"/>
      <c r="FK489" s="47"/>
      <c r="FL489" s="47"/>
      <c r="FM489" s="47"/>
      <c r="FN489" s="47"/>
      <c r="FO489" s="47"/>
      <c r="FP489" s="47"/>
      <c r="FQ489" s="47"/>
      <c r="FR489" s="47"/>
      <c r="FS489" s="47"/>
      <c r="FT489" s="47"/>
      <c r="FU489" s="47"/>
      <c r="FV489" s="47"/>
      <c r="FW489" s="47"/>
      <c r="FX489" s="47"/>
      <c r="FY489" s="47"/>
      <c r="FZ489" s="47"/>
      <c r="GA489" s="47"/>
      <c r="GB489" s="47"/>
      <c r="GC489" s="47"/>
      <c r="GD489" s="47"/>
      <c r="GE489" s="47"/>
    </row>
    <row r="490" spans="1:187" ht="10.5" customHeight="1">
      <c r="A490" s="43"/>
      <c r="B490" s="108"/>
      <c r="C490" s="108"/>
      <c r="D490" s="10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86"/>
      <c r="U490" s="158"/>
      <c r="V490" s="158"/>
      <c r="W490" s="158"/>
      <c r="X490" s="158"/>
      <c r="Y490" s="158"/>
      <c r="Z490" s="158"/>
      <c r="AA490" s="86"/>
      <c r="AB490" s="158"/>
      <c r="AC490" s="158"/>
      <c r="AD490" s="158"/>
      <c r="AE490" s="158"/>
      <c r="AF490" s="158"/>
      <c r="AG490" s="158"/>
      <c r="AH490" s="86"/>
      <c r="AI490" s="158"/>
      <c r="AJ490" s="158"/>
      <c r="AK490" s="158"/>
      <c r="AL490" s="158"/>
      <c r="AM490" s="158"/>
      <c r="AN490" s="158"/>
      <c r="AO490" s="86"/>
      <c r="AP490" s="158"/>
      <c r="AQ490" s="158"/>
      <c r="AR490" s="158"/>
      <c r="AS490" s="158"/>
      <c r="AT490" s="158"/>
      <c r="AU490" s="158"/>
      <c r="AV490" s="86"/>
      <c r="AW490" s="158"/>
      <c r="AX490" s="158"/>
      <c r="AY490" s="158"/>
      <c r="AZ490" s="158"/>
      <c r="BA490" s="158"/>
      <c r="BB490" s="158"/>
      <c r="BC490" s="86"/>
      <c r="BD490" s="158"/>
      <c r="BE490" s="158"/>
      <c r="BF490" s="158"/>
      <c r="BG490" s="158"/>
      <c r="BH490" s="158"/>
      <c r="BI490" s="158"/>
      <c r="BJ490" s="86"/>
      <c r="BK490" s="158"/>
      <c r="BL490" s="158"/>
      <c r="BM490" s="158"/>
      <c r="BN490" s="158"/>
      <c r="BO490" s="158"/>
      <c r="BP490" s="158"/>
      <c r="BQ490" s="86"/>
      <c r="BR490" s="158"/>
      <c r="BS490" s="158"/>
      <c r="BT490" s="158"/>
      <c r="BU490" s="158"/>
      <c r="BV490" s="158"/>
      <c r="BW490" s="158"/>
      <c r="BX490" s="86"/>
      <c r="BY490" s="158"/>
      <c r="BZ490" s="158"/>
      <c r="CA490" s="158"/>
      <c r="CB490" s="158"/>
      <c r="CC490" s="158"/>
      <c r="CD490" s="158"/>
      <c r="CE490" s="86"/>
      <c r="CF490" s="158"/>
      <c r="CG490" s="158"/>
      <c r="CH490" s="158"/>
      <c r="CI490" s="158"/>
      <c r="CJ490" s="158"/>
      <c r="CK490" s="158"/>
      <c r="CL490" s="86"/>
      <c r="CM490" s="158"/>
      <c r="CN490" s="158"/>
      <c r="CO490" s="158"/>
      <c r="CP490" s="158"/>
      <c r="CQ490" s="158"/>
      <c r="CR490" s="158"/>
      <c r="CS490" s="86"/>
      <c r="CT490" s="158"/>
      <c r="CU490" s="158"/>
      <c r="CV490" s="158"/>
      <c r="CW490" s="158"/>
      <c r="CX490" s="158"/>
      <c r="CY490" s="158"/>
      <c r="CZ490" s="86"/>
      <c r="DA490" s="158"/>
      <c r="DB490" s="158"/>
      <c r="DC490" s="158"/>
      <c r="DD490" s="158"/>
      <c r="DE490" s="158"/>
      <c r="DF490" s="158"/>
      <c r="DG490" s="86"/>
      <c r="DH490" s="158"/>
      <c r="DI490" s="158"/>
      <c r="DJ490" s="158"/>
      <c r="DK490" s="158"/>
      <c r="DL490" s="158"/>
      <c r="DM490" s="158"/>
      <c r="DN490" s="86"/>
      <c r="DO490" s="158"/>
      <c r="DP490" s="158"/>
      <c r="DQ490" s="158"/>
      <c r="DR490" s="158"/>
      <c r="DS490" s="158"/>
      <c r="DT490" s="158"/>
      <c r="DU490" s="86"/>
      <c r="DV490" s="158"/>
      <c r="DW490" s="158"/>
      <c r="DX490" s="158"/>
      <c r="DY490" s="158"/>
      <c r="DZ490" s="158"/>
      <c r="EA490" s="158"/>
      <c r="EB490" s="86"/>
      <c r="EC490" s="158"/>
      <c r="ED490" s="158"/>
      <c r="EE490" s="158"/>
      <c r="EF490" s="158"/>
      <c r="EG490" s="158"/>
      <c r="EH490" s="158"/>
      <c r="EI490" s="86"/>
      <c r="EJ490" s="47"/>
      <c r="EK490" s="47"/>
      <c r="EL490" s="47"/>
      <c r="EM490" s="47"/>
      <c r="EN490" s="47"/>
      <c r="EO490" s="47"/>
      <c r="EP490" s="47"/>
      <c r="EQ490" s="47"/>
      <c r="ER490" s="47"/>
      <c r="ES490" s="47"/>
      <c r="ET490" s="47"/>
      <c r="EU490" s="47"/>
      <c r="EV490" s="47"/>
      <c r="EW490" s="47"/>
      <c r="EX490" s="47"/>
      <c r="EY490" s="47"/>
      <c r="EZ490" s="47"/>
      <c r="FA490" s="47"/>
      <c r="FB490" s="47"/>
      <c r="FC490" s="47"/>
      <c r="FD490" s="47"/>
      <c r="FE490" s="47"/>
      <c r="FF490" s="47"/>
      <c r="FG490" s="47"/>
      <c r="FH490" s="47"/>
      <c r="FI490" s="47"/>
      <c r="FJ490" s="47"/>
      <c r="FK490" s="47"/>
      <c r="FL490" s="47"/>
      <c r="FM490" s="47"/>
      <c r="FN490" s="47"/>
      <c r="FO490" s="47"/>
      <c r="FP490" s="47"/>
      <c r="FQ490" s="47"/>
      <c r="FR490" s="47"/>
      <c r="FS490" s="47"/>
      <c r="FT490" s="47"/>
      <c r="FU490" s="47"/>
      <c r="FV490" s="47"/>
      <c r="FW490" s="47"/>
      <c r="FX490" s="47"/>
      <c r="FY490" s="47"/>
      <c r="FZ490" s="47"/>
      <c r="GA490" s="47"/>
      <c r="GB490" s="47"/>
      <c r="GC490" s="47"/>
      <c r="GD490" s="47"/>
      <c r="GE490" s="47"/>
    </row>
    <row r="491" spans="1:187" ht="10.5" customHeight="1">
      <c r="A491" s="43"/>
      <c r="B491" s="108"/>
      <c r="C491" s="108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08"/>
      <c r="O491" s="108"/>
      <c r="P491" s="108"/>
      <c r="Q491" s="108"/>
      <c r="R491" s="108"/>
      <c r="S491" s="108"/>
      <c r="T491" s="43"/>
      <c r="U491" s="108"/>
      <c r="V491" s="108"/>
      <c r="W491" s="108"/>
      <c r="X491" s="108"/>
      <c r="Y491" s="108"/>
      <c r="Z491" s="108"/>
      <c r="AA491" s="43"/>
      <c r="AB491" s="108"/>
      <c r="AC491" s="108"/>
      <c r="AD491" s="108"/>
      <c r="AE491" s="108"/>
      <c r="AF491" s="108"/>
      <c r="AG491" s="108"/>
      <c r="AH491" s="43"/>
      <c r="AI491" s="108"/>
      <c r="AJ491" s="108"/>
      <c r="AK491" s="108"/>
      <c r="AL491" s="108"/>
      <c r="AM491" s="108"/>
      <c r="AN491" s="108"/>
      <c r="AO491" s="43"/>
      <c r="AP491" s="108"/>
      <c r="AQ491" s="108"/>
      <c r="AR491" s="108"/>
      <c r="AS491" s="108"/>
      <c r="AT491" s="108"/>
      <c r="AU491" s="108"/>
      <c r="AV491" s="43"/>
      <c r="AW491" s="108"/>
      <c r="AX491" s="108"/>
      <c r="AY491" s="108"/>
      <c r="AZ491" s="108"/>
      <c r="BA491" s="108"/>
      <c r="BB491" s="108"/>
      <c r="BC491" s="43"/>
      <c r="BD491" s="108"/>
      <c r="BE491" s="108"/>
      <c r="BF491" s="108"/>
      <c r="BG491" s="108"/>
      <c r="BH491" s="108"/>
      <c r="BI491" s="108"/>
      <c r="BJ491" s="43"/>
      <c r="BK491" s="108"/>
      <c r="BL491" s="108"/>
      <c r="BM491" s="108"/>
      <c r="BN491" s="108"/>
      <c r="BO491" s="108"/>
      <c r="BP491" s="108"/>
      <c r="BQ491" s="43"/>
      <c r="BR491" s="108"/>
      <c r="BS491" s="108"/>
      <c r="BT491" s="108"/>
      <c r="BU491" s="108"/>
      <c r="BV491" s="108"/>
      <c r="BW491" s="108"/>
      <c r="BX491" s="43"/>
      <c r="BY491" s="108"/>
      <c r="BZ491" s="108"/>
      <c r="CA491" s="108"/>
      <c r="CB491" s="108"/>
      <c r="CC491" s="108"/>
      <c r="CD491" s="108"/>
      <c r="CE491" s="43"/>
      <c r="CF491" s="108"/>
      <c r="CG491" s="108"/>
      <c r="CH491" s="108"/>
      <c r="CI491" s="108"/>
      <c r="CJ491" s="108"/>
      <c r="CK491" s="108"/>
      <c r="CL491" s="43"/>
      <c r="CM491" s="108"/>
      <c r="CN491" s="108"/>
      <c r="CO491" s="108"/>
      <c r="CP491" s="108"/>
      <c r="CQ491" s="108"/>
      <c r="CR491" s="108"/>
      <c r="CS491" s="43"/>
      <c r="CT491" s="108"/>
      <c r="CU491" s="108"/>
      <c r="CV491" s="108"/>
      <c r="CW491" s="108"/>
      <c r="CX491" s="108"/>
      <c r="CY491" s="108"/>
      <c r="CZ491" s="43"/>
      <c r="DA491" s="108"/>
      <c r="DB491" s="108"/>
      <c r="DC491" s="108"/>
      <c r="DD491" s="108"/>
      <c r="DE491" s="108"/>
      <c r="DF491" s="108"/>
      <c r="DG491" s="43"/>
      <c r="DH491" s="108"/>
      <c r="DI491" s="108"/>
      <c r="DJ491" s="108"/>
      <c r="DK491" s="108"/>
      <c r="DL491" s="108"/>
      <c r="DM491" s="108"/>
      <c r="DN491" s="43"/>
      <c r="DO491" s="108"/>
      <c r="DP491" s="108"/>
      <c r="DQ491" s="108"/>
      <c r="DR491" s="108"/>
      <c r="DS491" s="108"/>
      <c r="DT491" s="108"/>
      <c r="DU491" s="43"/>
      <c r="DV491" s="108"/>
      <c r="DW491" s="108"/>
      <c r="DX491" s="108"/>
      <c r="DY491" s="108"/>
      <c r="DZ491" s="108"/>
      <c r="EA491" s="108"/>
      <c r="EB491" s="43"/>
      <c r="EC491" s="108"/>
      <c r="ED491" s="108"/>
      <c r="EE491" s="108"/>
      <c r="EF491" s="108"/>
      <c r="EG491" s="108"/>
      <c r="EH491" s="108"/>
      <c r="EI491" s="43"/>
      <c r="EJ491" s="47"/>
      <c r="EK491" s="47"/>
      <c r="EL491" s="47"/>
      <c r="EM491" s="47"/>
      <c r="EN491" s="47"/>
      <c r="EO491" s="47"/>
      <c r="EP491" s="47"/>
      <c r="EQ491" s="47"/>
      <c r="ER491" s="47"/>
      <c r="ES491" s="47"/>
      <c r="ET491" s="47"/>
      <c r="EU491" s="47"/>
      <c r="EV491" s="47"/>
      <c r="EW491" s="47"/>
      <c r="EX491" s="47"/>
      <c r="EY491" s="47"/>
      <c r="EZ491" s="47"/>
      <c r="FA491" s="47"/>
      <c r="FB491" s="47"/>
      <c r="FC491" s="47"/>
      <c r="FD491" s="47"/>
      <c r="FE491" s="47"/>
      <c r="FF491" s="47"/>
      <c r="FG491" s="47"/>
      <c r="FH491" s="47"/>
      <c r="FI491" s="47"/>
      <c r="FJ491" s="47"/>
      <c r="FK491" s="47"/>
      <c r="FL491" s="47"/>
      <c r="FM491" s="47"/>
      <c r="FN491" s="47"/>
      <c r="FO491" s="47"/>
      <c r="FP491" s="47"/>
      <c r="FQ491" s="47"/>
      <c r="FR491" s="47"/>
      <c r="FS491" s="47"/>
      <c r="FT491" s="47"/>
      <c r="FU491" s="47"/>
      <c r="FV491" s="47"/>
      <c r="FW491" s="47"/>
      <c r="FX491" s="47"/>
      <c r="FY491" s="47"/>
      <c r="FZ491" s="47"/>
      <c r="GA491" s="47"/>
      <c r="GB491" s="47"/>
      <c r="GC491" s="47"/>
      <c r="GD491" s="47"/>
      <c r="GE491" s="47"/>
    </row>
    <row r="492" spans="1:187" ht="10.5" customHeight="1">
      <c r="A492" s="43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43"/>
      <c r="U492" s="108"/>
      <c r="V492" s="108"/>
      <c r="W492" s="108"/>
      <c r="X492" s="108"/>
      <c r="Y492" s="108"/>
      <c r="Z492" s="108"/>
      <c r="AA492" s="43"/>
      <c r="AB492" s="108"/>
      <c r="AC492" s="108"/>
      <c r="AD492" s="108"/>
      <c r="AE492" s="108"/>
      <c r="AF492" s="108"/>
      <c r="AG492" s="108"/>
      <c r="AH492" s="43"/>
      <c r="AI492" s="108"/>
      <c r="AJ492" s="108"/>
      <c r="AK492" s="108"/>
      <c r="AL492" s="108"/>
      <c r="AM492" s="108"/>
      <c r="AN492" s="108"/>
      <c r="AO492" s="43"/>
      <c r="AP492" s="108"/>
      <c r="AQ492" s="108"/>
      <c r="AR492" s="108"/>
      <c r="AS492" s="108"/>
      <c r="AT492" s="108"/>
      <c r="AU492" s="108"/>
      <c r="AV492" s="43"/>
      <c r="AW492" s="108"/>
      <c r="AX492" s="108"/>
      <c r="AY492" s="108"/>
      <c r="AZ492" s="108"/>
      <c r="BA492" s="108"/>
      <c r="BB492" s="108"/>
      <c r="BC492" s="43"/>
      <c r="BD492" s="108"/>
      <c r="BE492" s="108"/>
      <c r="BF492" s="108"/>
      <c r="BG492" s="108"/>
      <c r="BH492" s="108"/>
      <c r="BI492" s="108"/>
      <c r="BJ492" s="43"/>
      <c r="BK492" s="108"/>
      <c r="BL492" s="108"/>
      <c r="BM492" s="108"/>
      <c r="BN492" s="108"/>
      <c r="BO492" s="108"/>
      <c r="BP492" s="108"/>
      <c r="BQ492" s="43"/>
      <c r="BR492" s="108"/>
      <c r="BS492" s="108"/>
      <c r="BT492" s="108"/>
      <c r="BU492" s="108"/>
      <c r="BV492" s="108"/>
      <c r="BW492" s="108"/>
      <c r="BX492" s="43"/>
      <c r="BY492" s="108"/>
      <c r="BZ492" s="108"/>
      <c r="CA492" s="108"/>
      <c r="CB492" s="108"/>
      <c r="CC492" s="108"/>
      <c r="CD492" s="108"/>
      <c r="CE492" s="43"/>
      <c r="CF492" s="108"/>
      <c r="CG492" s="108"/>
      <c r="CH492" s="108"/>
      <c r="CI492" s="108"/>
      <c r="CJ492" s="108"/>
      <c r="CK492" s="108"/>
      <c r="CL492" s="43"/>
      <c r="CM492" s="108"/>
      <c r="CN492" s="108"/>
      <c r="CO492" s="108"/>
      <c r="CP492" s="108"/>
      <c r="CQ492" s="108"/>
      <c r="CR492" s="108"/>
      <c r="CS492" s="43"/>
      <c r="CT492" s="108"/>
      <c r="CU492" s="108"/>
      <c r="CV492" s="108"/>
      <c r="CW492" s="108"/>
      <c r="CX492" s="108"/>
      <c r="CY492" s="108"/>
      <c r="CZ492" s="43"/>
      <c r="DA492" s="108"/>
      <c r="DB492" s="108"/>
      <c r="DC492" s="108"/>
      <c r="DD492" s="108"/>
      <c r="DE492" s="108"/>
      <c r="DF492" s="108"/>
      <c r="DG492" s="43"/>
      <c r="DH492" s="108"/>
      <c r="DI492" s="108"/>
      <c r="DJ492" s="108"/>
      <c r="DK492" s="108"/>
      <c r="DL492" s="108"/>
      <c r="DM492" s="108"/>
      <c r="DN492" s="43"/>
      <c r="DO492" s="108"/>
      <c r="DP492" s="108"/>
      <c r="DQ492" s="108"/>
      <c r="DR492" s="108"/>
      <c r="DS492" s="108"/>
      <c r="DT492" s="108"/>
      <c r="DU492" s="43"/>
      <c r="DV492" s="108"/>
      <c r="DW492" s="108"/>
      <c r="DX492" s="108"/>
      <c r="DY492" s="108"/>
      <c r="DZ492" s="108"/>
      <c r="EA492" s="108"/>
      <c r="EB492" s="43"/>
      <c r="EC492" s="108"/>
      <c r="ED492" s="108"/>
      <c r="EE492" s="108"/>
      <c r="EF492" s="108"/>
      <c r="EG492" s="108"/>
      <c r="EH492" s="108"/>
      <c r="EI492" s="43"/>
      <c r="EJ492" s="47"/>
      <c r="EK492" s="47"/>
      <c r="EL492" s="47"/>
      <c r="EM492" s="47"/>
      <c r="EN492" s="47"/>
      <c r="EO492" s="47"/>
      <c r="EP492" s="47"/>
      <c r="EQ492" s="47"/>
      <c r="ER492" s="47"/>
      <c r="ES492" s="47"/>
      <c r="ET492" s="47"/>
      <c r="EU492" s="47"/>
      <c r="EV492" s="47"/>
      <c r="EW492" s="47"/>
      <c r="EX492" s="47"/>
      <c r="EY492" s="47"/>
      <c r="EZ492" s="47"/>
      <c r="FA492" s="47"/>
      <c r="FB492" s="47"/>
      <c r="FC492" s="47"/>
      <c r="FD492" s="47"/>
      <c r="FE492" s="47"/>
      <c r="FF492" s="47"/>
      <c r="FG492" s="47"/>
      <c r="FH492" s="47"/>
      <c r="FI492" s="47"/>
      <c r="FJ492" s="47"/>
      <c r="FK492" s="47"/>
      <c r="FL492" s="47"/>
      <c r="FM492" s="47"/>
      <c r="FN492" s="47"/>
      <c r="FO492" s="47"/>
      <c r="FP492" s="47"/>
      <c r="FQ492" s="47"/>
      <c r="FR492" s="47"/>
      <c r="FS492" s="47"/>
      <c r="FT492" s="47"/>
      <c r="FU492" s="47"/>
      <c r="FV492" s="47"/>
      <c r="FW492" s="47"/>
      <c r="FX492" s="47"/>
      <c r="FY492" s="47"/>
      <c r="FZ492" s="47"/>
      <c r="GA492" s="47"/>
      <c r="GB492" s="47"/>
      <c r="GC492" s="47"/>
      <c r="GD492" s="47"/>
      <c r="GE492" s="47"/>
    </row>
    <row r="493" spans="1:187" ht="10.5" customHeight="1">
      <c r="A493" s="102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43"/>
      <c r="U493" s="108"/>
      <c r="V493" s="108"/>
      <c r="W493" s="108"/>
      <c r="X493" s="108"/>
      <c r="Y493" s="108"/>
      <c r="Z493" s="108"/>
      <c r="AA493" s="43"/>
      <c r="AB493" s="108"/>
      <c r="AC493" s="108"/>
      <c r="AD493" s="108"/>
      <c r="AE493" s="108"/>
      <c r="AF493" s="108"/>
      <c r="AG493" s="108"/>
      <c r="AH493" s="43"/>
      <c r="AI493" s="108"/>
      <c r="AJ493" s="108"/>
      <c r="AK493" s="108"/>
      <c r="AL493" s="108"/>
      <c r="AM493" s="108"/>
      <c r="AN493" s="108"/>
      <c r="AO493" s="43"/>
      <c r="AP493" s="108"/>
      <c r="AQ493" s="108"/>
      <c r="AR493" s="108"/>
      <c r="AS493" s="108"/>
      <c r="AT493" s="108"/>
      <c r="AU493" s="108"/>
      <c r="AV493" s="43"/>
      <c r="AW493" s="108"/>
      <c r="AX493" s="108"/>
      <c r="AY493" s="108"/>
      <c r="AZ493" s="108"/>
      <c r="BA493" s="108"/>
      <c r="BB493" s="108"/>
      <c r="BC493" s="43"/>
      <c r="BD493" s="108"/>
      <c r="BE493" s="108"/>
      <c r="BF493" s="108"/>
      <c r="BG493" s="108"/>
      <c r="BH493" s="108"/>
      <c r="BI493" s="108"/>
      <c r="BJ493" s="43"/>
      <c r="BK493" s="108"/>
      <c r="BL493" s="108"/>
      <c r="BM493" s="108"/>
      <c r="BN493" s="108"/>
      <c r="BO493" s="108"/>
      <c r="BP493" s="108"/>
      <c r="BQ493" s="43"/>
      <c r="BR493" s="108"/>
      <c r="BS493" s="108"/>
      <c r="BT493" s="108"/>
      <c r="BU493" s="108"/>
      <c r="BV493" s="108"/>
      <c r="BW493" s="108"/>
      <c r="BX493" s="43"/>
      <c r="BY493" s="108"/>
      <c r="BZ493" s="108"/>
      <c r="CA493" s="108"/>
      <c r="CB493" s="108"/>
      <c r="CC493" s="108"/>
      <c r="CD493" s="108"/>
      <c r="CE493" s="43"/>
      <c r="CF493" s="108"/>
      <c r="CG493" s="108"/>
      <c r="CH493" s="108"/>
      <c r="CI493" s="108"/>
      <c r="CJ493" s="108"/>
      <c r="CK493" s="108"/>
      <c r="CL493" s="43"/>
      <c r="CM493" s="108"/>
      <c r="CN493" s="108"/>
      <c r="CO493" s="108"/>
      <c r="CP493" s="108"/>
      <c r="CQ493" s="108"/>
      <c r="CR493" s="108"/>
      <c r="CS493" s="43"/>
      <c r="CT493" s="108"/>
      <c r="CU493" s="108"/>
      <c r="CV493" s="108"/>
      <c r="CW493" s="108"/>
      <c r="CX493" s="108"/>
      <c r="CY493" s="108"/>
      <c r="CZ493" s="43"/>
      <c r="DA493" s="108"/>
      <c r="DB493" s="108"/>
      <c r="DC493" s="108"/>
      <c r="DD493" s="108"/>
      <c r="DE493" s="108"/>
      <c r="DF493" s="108"/>
      <c r="DG493" s="43"/>
      <c r="DH493" s="108"/>
      <c r="DI493" s="108"/>
      <c r="DJ493" s="108"/>
      <c r="DK493" s="108"/>
      <c r="DL493" s="108"/>
      <c r="DM493" s="108"/>
      <c r="DN493" s="43"/>
      <c r="DO493" s="108"/>
      <c r="DP493" s="108"/>
      <c r="DQ493" s="108"/>
      <c r="DR493" s="108"/>
      <c r="DS493" s="108"/>
      <c r="DT493" s="108"/>
      <c r="DU493" s="43"/>
      <c r="DV493" s="108"/>
      <c r="DW493" s="108"/>
      <c r="DX493" s="108"/>
      <c r="DY493" s="108"/>
      <c r="DZ493" s="108"/>
      <c r="EA493" s="108"/>
      <c r="EB493" s="43"/>
      <c r="EC493" s="108"/>
      <c r="ED493" s="108"/>
      <c r="EE493" s="108"/>
      <c r="EF493" s="108"/>
      <c r="EG493" s="108"/>
      <c r="EH493" s="108"/>
      <c r="EI493" s="43"/>
      <c r="EJ493" s="47"/>
      <c r="EK493" s="47"/>
      <c r="EL493" s="47"/>
      <c r="EM493" s="47"/>
      <c r="EN493" s="47"/>
      <c r="EO493" s="47"/>
      <c r="EP493" s="47"/>
      <c r="EQ493" s="47"/>
      <c r="ER493" s="47"/>
      <c r="ES493" s="47"/>
      <c r="ET493" s="47"/>
      <c r="EU493" s="47"/>
      <c r="EV493" s="47"/>
      <c r="EW493" s="47"/>
      <c r="EX493" s="47"/>
      <c r="EY493" s="47"/>
      <c r="EZ493" s="47"/>
      <c r="FA493" s="47"/>
      <c r="FB493" s="47"/>
      <c r="FC493" s="47"/>
      <c r="FD493" s="47"/>
      <c r="FE493" s="47"/>
      <c r="FF493" s="47"/>
      <c r="FG493" s="47"/>
      <c r="FH493" s="47"/>
      <c r="FI493" s="47"/>
      <c r="FJ493" s="47"/>
      <c r="FK493" s="47"/>
      <c r="FL493" s="47"/>
      <c r="FM493" s="47"/>
      <c r="FN493" s="47"/>
      <c r="FO493" s="47"/>
      <c r="FP493" s="47"/>
      <c r="FQ493" s="47"/>
      <c r="FR493" s="47"/>
      <c r="FS493" s="47"/>
      <c r="FT493" s="47"/>
      <c r="FU493" s="47"/>
      <c r="FV493" s="47"/>
      <c r="FW493" s="47"/>
      <c r="FX493" s="47"/>
      <c r="FY493" s="47"/>
      <c r="FZ493" s="47"/>
      <c r="GA493" s="47"/>
      <c r="GB493" s="47"/>
      <c r="GC493" s="47"/>
      <c r="GD493" s="47"/>
      <c r="GE493" s="47"/>
    </row>
    <row r="494" spans="1:187" ht="10.5" customHeight="1">
      <c r="A494" s="43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43"/>
      <c r="U494" s="108"/>
      <c r="V494" s="108"/>
      <c r="W494" s="108"/>
      <c r="X494" s="108"/>
      <c r="Y494" s="108"/>
      <c r="Z494" s="108"/>
      <c r="AA494" s="43"/>
      <c r="AB494" s="108"/>
      <c r="AC494" s="108"/>
      <c r="AD494" s="108"/>
      <c r="AE494" s="108"/>
      <c r="AF494" s="108"/>
      <c r="AG494" s="108"/>
      <c r="AH494" s="43"/>
      <c r="AI494" s="108"/>
      <c r="AJ494" s="108"/>
      <c r="AK494" s="108"/>
      <c r="AL494" s="108"/>
      <c r="AM494" s="108"/>
      <c r="AN494" s="108"/>
      <c r="AO494" s="43"/>
      <c r="AP494" s="108"/>
      <c r="AQ494" s="108"/>
      <c r="AR494" s="108"/>
      <c r="AS494" s="108"/>
      <c r="AT494" s="108"/>
      <c r="AU494" s="108"/>
      <c r="AV494" s="43"/>
      <c r="AW494" s="108"/>
      <c r="AX494" s="108"/>
      <c r="AY494" s="108"/>
      <c r="AZ494" s="108"/>
      <c r="BA494" s="108"/>
      <c r="BB494" s="108"/>
      <c r="BC494" s="43"/>
      <c r="BD494" s="108"/>
      <c r="BE494" s="108"/>
      <c r="BF494" s="108"/>
      <c r="BG494" s="108"/>
      <c r="BH494" s="108"/>
      <c r="BI494" s="108"/>
      <c r="BJ494" s="43"/>
      <c r="BK494" s="108"/>
      <c r="BL494" s="108"/>
      <c r="BM494" s="108"/>
      <c r="BN494" s="108"/>
      <c r="BO494" s="108"/>
      <c r="BP494" s="108"/>
      <c r="BQ494" s="43"/>
      <c r="BR494" s="108"/>
      <c r="BS494" s="108"/>
      <c r="BT494" s="108"/>
      <c r="BU494" s="108"/>
      <c r="BV494" s="108"/>
      <c r="BW494" s="108"/>
      <c r="BX494" s="43"/>
      <c r="BY494" s="108"/>
      <c r="BZ494" s="108"/>
      <c r="CA494" s="108"/>
      <c r="CB494" s="108"/>
      <c r="CC494" s="108"/>
      <c r="CD494" s="108"/>
      <c r="CE494" s="43"/>
      <c r="CF494" s="108"/>
      <c r="CG494" s="108"/>
      <c r="CH494" s="108"/>
      <c r="CI494" s="108"/>
      <c r="CJ494" s="108"/>
      <c r="CK494" s="108"/>
      <c r="CL494" s="43"/>
      <c r="CM494" s="108"/>
      <c r="CN494" s="108"/>
      <c r="CO494" s="108"/>
      <c r="CP494" s="108"/>
      <c r="CQ494" s="108"/>
      <c r="CR494" s="108"/>
      <c r="CS494" s="43"/>
      <c r="CT494" s="108"/>
      <c r="CU494" s="108"/>
      <c r="CV494" s="108"/>
      <c r="CW494" s="108"/>
      <c r="CX494" s="108"/>
      <c r="CY494" s="108"/>
      <c r="CZ494" s="43"/>
      <c r="DA494" s="108"/>
      <c r="DB494" s="108"/>
      <c r="DC494" s="108"/>
      <c r="DD494" s="108"/>
      <c r="DE494" s="108"/>
      <c r="DF494" s="108"/>
      <c r="DG494" s="43"/>
      <c r="DH494" s="108"/>
      <c r="DI494" s="108"/>
      <c r="DJ494" s="108"/>
      <c r="DK494" s="108"/>
      <c r="DL494" s="108"/>
      <c r="DM494" s="108"/>
      <c r="DN494" s="43"/>
      <c r="DO494" s="108"/>
      <c r="DP494" s="108"/>
      <c r="DQ494" s="108"/>
      <c r="DR494" s="108"/>
      <c r="DS494" s="108"/>
      <c r="DT494" s="108"/>
      <c r="DU494" s="43"/>
      <c r="DV494" s="108"/>
      <c r="DW494" s="108"/>
      <c r="DX494" s="108"/>
      <c r="DY494" s="108"/>
      <c r="DZ494" s="108"/>
      <c r="EA494" s="108"/>
      <c r="EB494" s="43"/>
      <c r="EC494" s="108"/>
      <c r="ED494" s="108"/>
      <c r="EE494" s="108"/>
      <c r="EF494" s="108"/>
      <c r="EG494" s="108"/>
      <c r="EH494" s="108"/>
      <c r="EI494" s="43"/>
      <c r="EJ494" s="47"/>
      <c r="EK494" s="47"/>
      <c r="EL494" s="47"/>
      <c r="EM494" s="47"/>
      <c r="EN494" s="47"/>
      <c r="EO494" s="47"/>
      <c r="EP494" s="47"/>
      <c r="EQ494" s="47"/>
      <c r="ER494" s="47"/>
      <c r="ES494" s="47"/>
      <c r="ET494" s="47"/>
      <c r="EU494" s="47"/>
      <c r="EV494" s="47"/>
      <c r="EW494" s="47"/>
      <c r="EX494" s="47"/>
      <c r="EY494" s="47"/>
      <c r="EZ494" s="47"/>
      <c r="FA494" s="47"/>
      <c r="FB494" s="47"/>
      <c r="FC494" s="47"/>
      <c r="FD494" s="47"/>
      <c r="FE494" s="47"/>
      <c r="FF494" s="47"/>
      <c r="FG494" s="47"/>
      <c r="FH494" s="47"/>
      <c r="FI494" s="47"/>
      <c r="FJ494" s="47"/>
      <c r="FK494" s="47"/>
      <c r="FL494" s="47"/>
      <c r="FM494" s="47"/>
      <c r="FN494" s="47"/>
      <c r="FO494" s="47"/>
      <c r="FP494" s="47"/>
      <c r="FQ494" s="47"/>
      <c r="FR494" s="47"/>
      <c r="FS494" s="47"/>
      <c r="FT494" s="47"/>
      <c r="FU494" s="47"/>
      <c r="FV494" s="47"/>
      <c r="FW494" s="47"/>
      <c r="FX494" s="47"/>
      <c r="FY494" s="47"/>
      <c r="FZ494" s="47"/>
      <c r="GA494" s="47"/>
      <c r="GB494" s="47"/>
      <c r="GC494" s="47"/>
      <c r="GD494" s="47"/>
      <c r="GE494" s="47"/>
    </row>
    <row r="495" spans="1:187" ht="10.5" customHeight="1">
      <c r="A495" s="43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43"/>
      <c r="U495" s="108"/>
      <c r="V495" s="108"/>
      <c r="W495" s="108"/>
      <c r="X495" s="108"/>
      <c r="Y495" s="108"/>
      <c r="Z495" s="108"/>
      <c r="AA495" s="43"/>
      <c r="AB495" s="108"/>
      <c r="AC495" s="108"/>
      <c r="AD495" s="108"/>
      <c r="AE495" s="108"/>
      <c r="AF495" s="108"/>
      <c r="AG495" s="108"/>
      <c r="AH495" s="43"/>
      <c r="AI495" s="108"/>
      <c r="AJ495" s="108"/>
      <c r="AK495" s="108"/>
      <c r="AL495" s="108"/>
      <c r="AM495" s="108"/>
      <c r="AN495" s="108"/>
      <c r="AO495" s="43"/>
      <c r="AP495" s="108"/>
      <c r="AQ495" s="108"/>
      <c r="AR495" s="108"/>
      <c r="AS495" s="108"/>
      <c r="AT495" s="108"/>
      <c r="AU495" s="108"/>
      <c r="AV495" s="43"/>
      <c r="AW495" s="108"/>
      <c r="AX495" s="108"/>
      <c r="AY495" s="108"/>
      <c r="AZ495" s="108"/>
      <c r="BA495" s="108"/>
      <c r="BB495" s="108"/>
      <c r="BC495" s="43"/>
      <c r="BD495" s="108"/>
      <c r="BE495" s="108"/>
      <c r="BF495" s="108"/>
      <c r="BG495" s="108"/>
      <c r="BH495" s="108"/>
      <c r="BI495" s="108"/>
      <c r="BJ495" s="43"/>
      <c r="BK495" s="108"/>
      <c r="BL495" s="108"/>
      <c r="BM495" s="108"/>
      <c r="BN495" s="108"/>
      <c r="BO495" s="108"/>
      <c r="BP495" s="108"/>
      <c r="BQ495" s="43"/>
      <c r="BR495" s="108"/>
      <c r="BS495" s="108"/>
      <c r="BT495" s="108"/>
      <c r="BU495" s="108"/>
      <c r="BV495" s="108"/>
      <c r="BW495" s="108"/>
      <c r="BX495" s="43"/>
      <c r="BY495" s="108"/>
      <c r="BZ495" s="108"/>
      <c r="CA495" s="108"/>
      <c r="CB495" s="108"/>
      <c r="CC495" s="108"/>
      <c r="CD495" s="108"/>
      <c r="CE495" s="43"/>
      <c r="CF495" s="108"/>
      <c r="CG495" s="108"/>
      <c r="CH495" s="108"/>
      <c r="CI495" s="108"/>
      <c r="CJ495" s="108"/>
      <c r="CK495" s="108"/>
      <c r="CL495" s="43"/>
      <c r="CM495" s="108"/>
      <c r="CN495" s="108"/>
      <c r="CO495" s="108"/>
      <c r="CP495" s="108"/>
      <c r="CQ495" s="108"/>
      <c r="CR495" s="108"/>
      <c r="CS495" s="43"/>
      <c r="CT495" s="108"/>
      <c r="CU495" s="108"/>
      <c r="CV495" s="108"/>
      <c r="CW495" s="108"/>
      <c r="CX495" s="108"/>
      <c r="CY495" s="108"/>
      <c r="CZ495" s="43"/>
      <c r="DA495" s="108"/>
      <c r="DB495" s="108"/>
      <c r="DC495" s="108"/>
      <c r="DD495" s="108"/>
      <c r="DE495" s="108"/>
      <c r="DF495" s="108"/>
      <c r="DG495" s="43"/>
      <c r="DH495" s="108"/>
      <c r="DI495" s="108"/>
      <c r="DJ495" s="108"/>
      <c r="DK495" s="108"/>
      <c r="DL495" s="108"/>
      <c r="DM495" s="108"/>
      <c r="DN495" s="43"/>
      <c r="DO495" s="108"/>
      <c r="DP495" s="108"/>
      <c r="DQ495" s="108"/>
      <c r="DR495" s="108"/>
      <c r="DS495" s="108"/>
      <c r="DT495" s="108"/>
      <c r="DU495" s="43"/>
      <c r="DV495" s="108"/>
      <c r="DW495" s="108"/>
      <c r="DX495" s="108"/>
      <c r="DY495" s="108"/>
      <c r="DZ495" s="108"/>
      <c r="EA495" s="108"/>
      <c r="EB495" s="43"/>
      <c r="EC495" s="108"/>
      <c r="ED495" s="108"/>
      <c r="EE495" s="108"/>
      <c r="EF495" s="108"/>
      <c r="EG495" s="108"/>
      <c r="EH495" s="108"/>
      <c r="EI495" s="43"/>
      <c r="EJ495" s="47"/>
      <c r="EK495" s="47"/>
      <c r="EL495" s="47"/>
      <c r="EM495" s="47"/>
      <c r="EN495" s="47"/>
      <c r="EO495" s="47"/>
      <c r="EP495" s="47"/>
      <c r="EQ495" s="47"/>
      <c r="ER495" s="47"/>
      <c r="ES495" s="47"/>
      <c r="ET495" s="47"/>
      <c r="EU495" s="47"/>
      <c r="EV495" s="47"/>
      <c r="EW495" s="47"/>
      <c r="EX495" s="47"/>
      <c r="EY495" s="47"/>
      <c r="EZ495" s="47"/>
      <c r="FA495" s="47"/>
      <c r="FB495" s="47"/>
      <c r="FC495" s="47"/>
      <c r="FD495" s="47"/>
      <c r="FE495" s="47"/>
      <c r="FF495" s="47"/>
      <c r="FG495" s="47"/>
      <c r="FH495" s="47"/>
      <c r="FI495" s="47"/>
      <c r="FJ495" s="47"/>
      <c r="FK495" s="47"/>
      <c r="FL495" s="47"/>
      <c r="FM495" s="47"/>
      <c r="FN495" s="47"/>
      <c r="FO495" s="47"/>
      <c r="FP495" s="47"/>
      <c r="FQ495" s="47"/>
      <c r="FR495" s="47"/>
      <c r="FS495" s="47"/>
      <c r="FT495" s="47"/>
      <c r="FU495" s="47"/>
      <c r="FV495" s="47"/>
      <c r="FW495" s="47"/>
      <c r="FX495" s="47"/>
      <c r="FY495" s="47"/>
      <c r="FZ495" s="47"/>
      <c r="GA495" s="47"/>
      <c r="GB495" s="47"/>
      <c r="GC495" s="47"/>
      <c r="GD495" s="47"/>
      <c r="GE495" s="47"/>
    </row>
    <row r="496" spans="1:187" ht="10.5" customHeight="1">
      <c r="A496" s="43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43"/>
      <c r="U496" s="108"/>
      <c r="V496" s="108"/>
      <c r="W496" s="108"/>
      <c r="X496" s="108"/>
      <c r="Y496" s="108"/>
      <c r="Z496" s="108"/>
      <c r="AA496" s="43"/>
      <c r="AB496" s="108"/>
      <c r="AC496" s="108"/>
      <c r="AD496" s="108"/>
      <c r="AE496" s="108"/>
      <c r="AF496" s="108"/>
      <c r="AG496" s="108"/>
      <c r="AH496" s="43"/>
      <c r="AI496" s="108"/>
      <c r="AJ496" s="108"/>
      <c r="AK496" s="108"/>
      <c r="AL496" s="108"/>
      <c r="AM496" s="108"/>
      <c r="AN496" s="108"/>
      <c r="AO496" s="43"/>
      <c r="AP496" s="108"/>
      <c r="AQ496" s="108"/>
      <c r="AR496" s="108"/>
      <c r="AS496" s="108"/>
      <c r="AT496" s="108"/>
      <c r="AU496" s="108"/>
      <c r="AV496" s="43"/>
      <c r="AW496" s="108"/>
      <c r="AX496" s="108"/>
      <c r="AY496" s="108"/>
      <c r="AZ496" s="108"/>
      <c r="BA496" s="108"/>
      <c r="BB496" s="108"/>
      <c r="BC496" s="43"/>
      <c r="BD496" s="108"/>
      <c r="BE496" s="108"/>
      <c r="BF496" s="108"/>
      <c r="BG496" s="108"/>
      <c r="BH496" s="108"/>
      <c r="BI496" s="108"/>
      <c r="BJ496" s="43"/>
      <c r="BK496" s="108"/>
      <c r="BL496" s="108"/>
      <c r="BM496" s="108"/>
      <c r="BN496" s="108"/>
      <c r="BO496" s="108"/>
      <c r="BP496" s="108"/>
      <c r="BQ496" s="43"/>
      <c r="BR496" s="108"/>
      <c r="BS496" s="108"/>
      <c r="BT496" s="108"/>
      <c r="BU496" s="108"/>
      <c r="BV496" s="108"/>
      <c r="BW496" s="108"/>
      <c r="BX496" s="43"/>
      <c r="BY496" s="108"/>
      <c r="BZ496" s="108"/>
      <c r="CA496" s="108"/>
      <c r="CB496" s="108"/>
      <c r="CC496" s="108"/>
      <c r="CD496" s="108"/>
      <c r="CE496" s="43"/>
      <c r="CF496" s="108"/>
      <c r="CG496" s="108"/>
      <c r="CH496" s="108"/>
      <c r="CI496" s="108"/>
      <c r="CJ496" s="108"/>
      <c r="CK496" s="108"/>
      <c r="CL496" s="43"/>
      <c r="CM496" s="108"/>
      <c r="CN496" s="108"/>
      <c r="CO496" s="108"/>
      <c r="CP496" s="108"/>
      <c r="CQ496" s="108"/>
      <c r="CR496" s="108"/>
      <c r="CS496" s="43"/>
      <c r="CT496" s="108"/>
      <c r="CU496" s="108"/>
      <c r="CV496" s="108"/>
      <c r="CW496" s="108"/>
      <c r="CX496" s="108"/>
      <c r="CY496" s="108"/>
      <c r="CZ496" s="43"/>
      <c r="DA496" s="108"/>
      <c r="DB496" s="108"/>
      <c r="DC496" s="108"/>
      <c r="DD496" s="108"/>
      <c r="DE496" s="108"/>
      <c r="DF496" s="108"/>
      <c r="DG496" s="43"/>
      <c r="DH496" s="108"/>
      <c r="DI496" s="108"/>
      <c r="DJ496" s="108"/>
      <c r="DK496" s="108"/>
      <c r="DL496" s="108"/>
      <c r="DM496" s="108"/>
      <c r="DN496" s="43"/>
      <c r="DO496" s="108"/>
      <c r="DP496" s="108"/>
      <c r="DQ496" s="108"/>
      <c r="DR496" s="108"/>
      <c r="DS496" s="108"/>
      <c r="DT496" s="108"/>
      <c r="DU496" s="43"/>
      <c r="DV496" s="108"/>
      <c r="DW496" s="108"/>
      <c r="DX496" s="108"/>
      <c r="DY496" s="108"/>
      <c r="DZ496" s="108"/>
      <c r="EA496" s="108"/>
      <c r="EB496" s="43"/>
      <c r="EC496" s="108"/>
      <c r="ED496" s="108"/>
      <c r="EE496" s="108"/>
      <c r="EF496" s="108"/>
      <c r="EG496" s="108"/>
      <c r="EH496" s="108"/>
      <c r="EI496" s="43"/>
      <c r="EJ496" s="47"/>
      <c r="EK496" s="47"/>
      <c r="EL496" s="47"/>
      <c r="EM496" s="47"/>
      <c r="EN496" s="47"/>
      <c r="EO496" s="47"/>
      <c r="EP496" s="47"/>
      <c r="EQ496" s="47"/>
      <c r="ER496" s="47"/>
      <c r="ES496" s="47"/>
      <c r="ET496" s="47"/>
      <c r="EU496" s="47"/>
      <c r="EV496" s="47"/>
      <c r="EW496" s="47"/>
      <c r="EX496" s="47"/>
      <c r="EY496" s="47"/>
      <c r="EZ496" s="47"/>
      <c r="FA496" s="47"/>
      <c r="FB496" s="47"/>
      <c r="FC496" s="47"/>
      <c r="FD496" s="47"/>
      <c r="FE496" s="47"/>
      <c r="FF496" s="47"/>
      <c r="FG496" s="47"/>
      <c r="FH496" s="47"/>
      <c r="FI496" s="47"/>
      <c r="FJ496" s="47"/>
      <c r="FK496" s="47"/>
      <c r="FL496" s="47"/>
      <c r="FM496" s="47"/>
      <c r="FN496" s="47"/>
      <c r="FO496" s="47"/>
      <c r="FP496" s="47"/>
      <c r="FQ496" s="47"/>
      <c r="FR496" s="47"/>
      <c r="FS496" s="47"/>
      <c r="FT496" s="47"/>
      <c r="FU496" s="47"/>
      <c r="FV496" s="47"/>
      <c r="FW496" s="47"/>
      <c r="FX496" s="47"/>
      <c r="FY496" s="47"/>
      <c r="FZ496" s="47"/>
      <c r="GA496" s="47"/>
      <c r="GB496" s="47"/>
      <c r="GC496" s="47"/>
      <c r="GD496" s="47"/>
      <c r="GE496" s="47"/>
    </row>
    <row r="497" spans="1:187" ht="10.5" customHeight="1">
      <c r="A497" s="43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43"/>
      <c r="U497" s="108"/>
      <c r="V497" s="108"/>
      <c r="W497" s="108"/>
      <c r="X497" s="108"/>
      <c r="Y497" s="108"/>
      <c r="Z497" s="108"/>
      <c r="AA497" s="43"/>
      <c r="AB497" s="108"/>
      <c r="AC497" s="108"/>
      <c r="AD497" s="108"/>
      <c r="AE497" s="108"/>
      <c r="AF497" s="108"/>
      <c r="AG497" s="108"/>
      <c r="AH497" s="43"/>
      <c r="AI497" s="108"/>
      <c r="AJ497" s="108"/>
      <c r="AK497" s="108"/>
      <c r="AL497" s="108"/>
      <c r="AM497" s="108"/>
      <c r="AN497" s="108"/>
      <c r="AO497" s="43"/>
      <c r="AP497" s="108"/>
      <c r="AQ497" s="108"/>
      <c r="AR497" s="108"/>
      <c r="AS497" s="108"/>
      <c r="AT497" s="108"/>
      <c r="AU497" s="108"/>
      <c r="AV497" s="43"/>
      <c r="AW497" s="108"/>
      <c r="AX497" s="108"/>
      <c r="AY497" s="108"/>
      <c r="AZ497" s="108"/>
      <c r="BA497" s="108"/>
      <c r="BB497" s="108"/>
      <c r="BC497" s="43"/>
      <c r="BD497" s="108"/>
      <c r="BE497" s="108"/>
      <c r="BF497" s="108"/>
      <c r="BG497" s="108"/>
      <c r="BH497" s="108"/>
      <c r="BI497" s="108"/>
      <c r="BJ497" s="43"/>
      <c r="BK497" s="108"/>
      <c r="BL497" s="108"/>
      <c r="BM497" s="108"/>
      <c r="BN497" s="108"/>
      <c r="BO497" s="108"/>
      <c r="BP497" s="108"/>
      <c r="BQ497" s="43"/>
      <c r="BR497" s="108"/>
      <c r="BS497" s="108"/>
      <c r="BT497" s="108"/>
      <c r="BU497" s="108"/>
      <c r="BV497" s="108"/>
      <c r="BW497" s="108"/>
      <c r="BX497" s="43"/>
      <c r="BY497" s="108"/>
      <c r="BZ497" s="108"/>
      <c r="CA497" s="108"/>
      <c r="CB497" s="108"/>
      <c r="CC497" s="108"/>
      <c r="CD497" s="108"/>
      <c r="CE497" s="43"/>
      <c r="CF497" s="108"/>
      <c r="CG497" s="108"/>
      <c r="CH497" s="108"/>
      <c r="CI497" s="108"/>
      <c r="CJ497" s="108"/>
      <c r="CK497" s="108"/>
      <c r="CL497" s="43"/>
      <c r="CM497" s="108"/>
      <c r="CN497" s="108"/>
      <c r="CO497" s="108"/>
      <c r="CP497" s="108"/>
      <c r="CQ497" s="108"/>
      <c r="CR497" s="108"/>
      <c r="CS497" s="43"/>
      <c r="CT497" s="108"/>
      <c r="CU497" s="108"/>
      <c r="CV497" s="108"/>
      <c r="CW497" s="108"/>
      <c r="CX497" s="108"/>
      <c r="CY497" s="108"/>
      <c r="CZ497" s="43"/>
      <c r="DA497" s="108"/>
      <c r="DB497" s="108"/>
      <c r="DC497" s="108"/>
      <c r="DD497" s="108"/>
      <c r="DE497" s="108"/>
      <c r="DF497" s="108"/>
      <c r="DG497" s="43"/>
      <c r="DH497" s="108"/>
      <c r="DI497" s="108"/>
      <c r="DJ497" s="108"/>
      <c r="DK497" s="108"/>
      <c r="DL497" s="108"/>
      <c r="DM497" s="108"/>
      <c r="DN497" s="43"/>
      <c r="DO497" s="108"/>
      <c r="DP497" s="108"/>
      <c r="DQ497" s="108"/>
      <c r="DR497" s="108"/>
      <c r="DS497" s="108"/>
      <c r="DT497" s="108"/>
      <c r="DU497" s="43"/>
      <c r="DV497" s="108"/>
      <c r="DW497" s="108"/>
      <c r="DX497" s="108"/>
      <c r="DY497" s="108"/>
      <c r="DZ497" s="108"/>
      <c r="EA497" s="108"/>
      <c r="EB497" s="43"/>
      <c r="EC497" s="108"/>
      <c r="ED497" s="108"/>
      <c r="EE497" s="108"/>
      <c r="EF497" s="108"/>
      <c r="EG497" s="108"/>
      <c r="EH497" s="108"/>
      <c r="EI497" s="43"/>
      <c r="EJ497" s="47"/>
      <c r="EK497" s="47"/>
      <c r="EL497" s="47"/>
      <c r="EM497" s="47"/>
      <c r="EN497" s="47"/>
      <c r="EO497" s="47"/>
      <c r="EP497" s="47"/>
      <c r="EQ497" s="47"/>
      <c r="ER497" s="47"/>
      <c r="ES497" s="47"/>
      <c r="ET497" s="47"/>
      <c r="EU497" s="47"/>
      <c r="EV497" s="47"/>
      <c r="EW497" s="47"/>
      <c r="EX497" s="47"/>
      <c r="EY497" s="47"/>
      <c r="EZ497" s="47"/>
      <c r="FA497" s="47"/>
      <c r="FB497" s="47"/>
      <c r="FC497" s="47"/>
      <c r="FD497" s="47"/>
      <c r="FE497" s="47"/>
      <c r="FF497" s="47"/>
      <c r="FG497" s="47"/>
      <c r="FH497" s="47"/>
      <c r="FI497" s="47"/>
      <c r="FJ497" s="47"/>
      <c r="FK497" s="47"/>
      <c r="FL497" s="47"/>
      <c r="FM497" s="47"/>
      <c r="FN497" s="47"/>
      <c r="FO497" s="47"/>
      <c r="FP497" s="47"/>
      <c r="FQ497" s="47"/>
      <c r="FR497" s="47"/>
      <c r="FS497" s="47"/>
      <c r="FT497" s="47"/>
      <c r="FU497" s="47"/>
      <c r="FV497" s="47"/>
      <c r="FW497" s="47"/>
      <c r="FX497" s="47"/>
      <c r="FY497" s="47"/>
      <c r="FZ497" s="47"/>
      <c r="GA497" s="47"/>
      <c r="GB497" s="47"/>
      <c r="GC497" s="47"/>
      <c r="GD497" s="47"/>
      <c r="GE497" s="47"/>
    </row>
    <row r="498" spans="1:187" ht="10.5" customHeight="1">
      <c r="A498" s="43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43"/>
      <c r="U498" s="108"/>
      <c r="V498" s="108"/>
      <c r="W498" s="108"/>
      <c r="X498" s="108"/>
      <c r="Y498" s="108"/>
      <c r="Z498" s="108"/>
      <c r="AA498" s="43"/>
      <c r="AB498" s="108"/>
      <c r="AC498" s="108"/>
      <c r="AD498" s="108"/>
      <c r="AE498" s="108"/>
      <c r="AF498" s="108"/>
      <c r="AG498" s="108"/>
      <c r="AH498" s="43"/>
      <c r="AI498" s="108"/>
      <c r="AJ498" s="108"/>
      <c r="AK498" s="108"/>
      <c r="AL498" s="108"/>
      <c r="AM498" s="108"/>
      <c r="AN498" s="108"/>
      <c r="AO498" s="43"/>
      <c r="AP498" s="108"/>
      <c r="AQ498" s="108"/>
      <c r="AR498" s="108"/>
      <c r="AS498" s="108"/>
      <c r="AT498" s="108"/>
      <c r="AU498" s="108"/>
      <c r="AV498" s="43"/>
      <c r="AW498" s="108"/>
      <c r="AX498" s="108"/>
      <c r="AY498" s="108"/>
      <c r="AZ498" s="108"/>
      <c r="BA498" s="108"/>
      <c r="BB498" s="108"/>
      <c r="BC498" s="43"/>
      <c r="BD498" s="108"/>
      <c r="BE498" s="108"/>
      <c r="BF498" s="108"/>
      <c r="BG498" s="108"/>
      <c r="BH498" s="108"/>
      <c r="BI498" s="108"/>
      <c r="BJ498" s="43"/>
      <c r="BK498" s="108"/>
      <c r="BL498" s="108"/>
      <c r="BM498" s="108"/>
      <c r="BN498" s="108"/>
      <c r="BO498" s="108"/>
      <c r="BP498" s="108"/>
      <c r="BQ498" s="43"/>
      <c r="BR498" s="108"/>
      <c r="BS498" s="108"/>
      <c r="BT498" s="108"/>
      <c r="BU498" s="108"/>
      <c r="BV498" s="108"/>
      <c r="BW498" s="108"/>
      <c r="BX498" s="43"/>
      <c r="BY498" s="108"/>
      <c r="BZ498" s="108"/>
      <c r="CA498" s="108"/>
      <c r="CB498" s="108"/>
      <c r="CC498" s="108"/>
      <c r="CD498" s="108"/>
      <c r="CE498" s="43"/>
      <c r="CF498" s="108"/>
      <c r="CG498" s="108"/>
      <c r="CH498" s="108"/>
      <c r="CI498" s="108"/>
      <c r="CJ498" s="108"/>
      <c r="CK498" s="108"/>
      <c r="CL498" s="43"/>
      <c r="CM498" s="108"/>
      <c r="CN498" s="108"/>
      <c r="CO498" s="108"/>
      <c r="CP498" s="108"/>
      <c r="CQ498" s="108"/>
      <c r="CR498" s="108"/>
      <c r="CS498" s="43"/>
      <c r="CT498" s="108"/>
      <c r="CU498" s="108"/>
      <c r="CV498" s="108"/>
      <c r="CW498" s="108"/>
      <c r="CX498" s="108"/>
      <c r="CY498" s="108"/>
      <c r="CZ498" s="43"/>
      <c r="DA498" s="108"/>
      <c r="DB498" s="108"/>
      <c r="DC498" s="108"/>
      <c r="DD498" s="108"/>
      <c r="DE498" s="108"/>
      <c r="DF498" s="108"/>
      <c r="DG498" s="43"/>
      <c r="DH498" s="108"/>
      <c r="DI498" s="108"/>
      <c r="DJ498" s="108"/>
      <c r="DK498" s="108"/>
      <c r="DL498" s="108"/>
      <c r="DM498" s="108"/>
      <c r="DN498" s="43"/>
      <c r="DO498" s="108"/>
      <c r="DP498" s="108"/>
      <c r="DQ498" s="108"/>
      <c r="DR498" s="108"/>
      <c r="DS498" s="108"/>
      <c r="DT498" s="108"/>
      <c r="DU498" s="43"/>
      <c r="DV498" s="108"/>
      <c r="DW498" s="108"/>
      <c r="DX498" s="108"/>
      <c r="DY498" s="108"/>
      <c r="DZ498" s="108"/>
      <c r="EA498" s="108"/>
      <c r="EB498" s="43"/>
      <c r="EC498" s="108"/>
      <c r="ED498" s="108"/>
      <c r="EE498" s="108"/>
      <c r="EF498" s="108"/>
      <c r="EG498" s="108"/>
      <c r="EH498" s="108"/>
      <c r="EI498" s="43"/>
      <c r="EJ498" s="47"/>
      <c r="EK498" s="47"/>
      <c r="EL498" s="47"/>
      <c r="EM498" s="47"/>
      <c r="EN498" s="47"/>
      <c r="EO498" s="47"/>
      <c r="EP498" s="47"/>
      <c r="EQ498" s="47"/>
      <c r="ER498" s="47"/>
      <c r="ES498" s="47"/>
      <c r="ET498" s="47"/>
      <c r="EU498" s="47"/>
      <c r="EV498" s="47"/>
      <c r="EW498" s="47"/>
      <c r="EX498" s="47"/>
      <c r="EY498" s="47"/>
      <c r="EZ498" s="47"/>
      <c r="FA498" s="47"/>
      <c r="FB498" s="47"/>
      <c r="FC498" s="47"/>
      <c r="FD498" s="47"/>
      <c r="FE498" s="47"/>
      <c r="FF498" s="47"/>
      <c r="FG498" s="47"/>
      <c r="FH498" s="47"/>
      <c r="FI498" s="47"/>
      <c r="FJ498" s="47"/>
      <c r="FK498" s="47"/>
      <c r="FL498" s="47"/>
      <c r="FM498" s="47"/>
      <c r="FN498" s="47"/>
      <c r="FO498" s="47"/>
      <c r="FP498" s="47"/>
      <c r="FQ498" s="47"/>
      <c r="FR498" s="47"/>
      <c r="FS498" s="47"/>
      <c r="FT498" s="47"/>
      <c r="FU498" s="47"/>
      <c r="FV498" s="47"/>
      <c r="FW498" s="47"/>
      <c r="FX498" s="47"/>
      <c r="FY498" s="47"/>
      <c r="FZ498" s="47"/>
      <c r="GA498" s="47"/>
      <c r="GB498" s="47"/>
      <c r="GC498" s="47"/>
      <c r="GD498" s="47"/>
      <c r="GE498" s="47"/>
    </row>
    <row r="499" spans="1:187" ht="10.5" customHeight="1">
      <c r="A499" s="43"/>
      <c r="B499" s="108"/>
      <c r="C499" s="108"/>
      <c r="D499" s="108"/>
      <c r="E499" s="108"/>
      <c r="F499" s="936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43"/>
      <c r="U499" s="108"/>
      <c r="V499" s="108"/>
      <c r="W499" s="108"/>
      <c r="X499" s="108"/>
      <c r="Y499" s="108"/>
      <c r="Z499" s="108"/>
      <c r="AA499" s="43"/>
      <c r="AB499" s="108"/>
      <c r="AC499" s="108"/>
      <c r="AD499" s="108"/>
      <c r="AE499" s="108"/>
      <c r="AF499" s="108"/>
      <c r="AG499" s="108"/>
      <c r="AH499" s="43"/>
      <c r="AI499" s="108"/>
      <c r="AJ499" s="108"/>
      <c r="AK499" s="108"/>
      <c r="AL499" s="108"/>
      <c r="AM499" s="108"/>
      <c r="AN499" s="108"/>
      <c r="AO499" s="43"/>
      <c r="AP499" s="108"/>
      <c r="AQ499" s="108"/>
      <c r="AR499" s="108"/>
      <c r="AS499" s="108"/>
      <c r="AT499" s="108"/>
      <c r="AU499" s="108"/>
      <c r="AV499" s="43"/>
      <c r="AW499" s="108"/>
      <c r="AX499" s="108"/>
      <c r="AY499" s="108"/>
      <c r="AZ499" s="108"/>
      <c r="BA499" s="108"/>
      <c r="BB499" s="108"/>
      <c r="BC499" s="43"/>
      <c r="BD499" s="108"/>
      <c r="BE499" s="108"/>
      <c r="BF499" s="108"/>
      <c r="BG499" s="108"/>
      <c r="BH499" s="108"/>
      <c r="BI499" s="108"/>
      <c r="BJ499" s="43"/>
      <c r="BK499" s="108"/>
      <c r="BL499" s="108"/>
      <c r="BM499" s="108"/>
      <c r="BN499" s="108"/>
      <c r="BO499" s="108"/>
      <c r="BP499" s="108"/>
      <c r="BQ499" s="43"/>
      <c r="BR499" s="108"/>
      <c r="BS499" s="108"/>
      <c r="BT499" s="108"/>
      <c r="BU499" s="108"/>
      <c r="BV499" s="108"/>
      <c r="BW499" s="108"/>
      <c r="BX499" s="43"/>
      <c r="BY499" s="108"/>
      <c r="BZ499" s="108"/>
      <c r="CA499" s="108"/>
      <c r="CB499" s="108"/>
      <c r="CC499" s="108"/>
      <c r="CD499" s="108"/>
      <c r="CE499" s="43"/>
      <c r="CF499" s="108"/>
      <c r="CG499" s="108"/>
      <c r="CH499" s="108"/>
      <c r="CI499" s="108"/>
      <c r="CJ499" s="108"/>
      <c r="CK499" s="108"/>
      <c r="CL499" s="43"/>
      <c r="CM499" s="108"/>
      <c r="CN499" s="108"/>
      <c r="CO499" s="108"/>
      <c r="CP499" s="108"/>
      <c r="CQ499" s="108"/>
      <c r="CR499" s="108"/>
      <c r="CS499" s="43"/>
      <c r="CT499" s="108"/>
      <c r="CU499" s="108"/>
      <c r="CV499" s="108"/>
      <c r="CW499" s="108"/>
      <c r="CX499" s="108"/>
      <c r="CY499" s="108"/>
      <c r="CZ499" s="43"/>
      <c r="DA499" s="108"/>
      <c r="DB499" s="108"/>
      <c r="DC499" s="108"/>
      <c r="DD499" s="108"/>
      <c r="DE499" s="108"/>
      <c r="DF499" s="108"/>
      <c r="DG499" s="43"/>
      <c r="DH499" s="108"/>
      <c r="DI499" s="108"/>
      <c r="DJ499" s="108"/>
      <c r="DK499" s="108"/>
      <c r="DL499" s="108"/>
      <c r="DM499" s="108"/>
      <c r="DN499" s="43"/>
      <c r="DO499" s="108"/>
      <c r="DP499" s="108"/>
      <c r="DQ499" s="108"/>
      <c r="DR499" s="108"/>
      <c r="DS499" s="108"/>
      <c r="DT499" s="108"/>
      <c r="DU499" s="43"/>
      <c r="DV499" s="108"/>
      <c r="DW499" s="108"/>
      <c r="DX499" s="108"/>
      <c r="DY499" s="108"/>
      <c r="DZ499" s="108"/>
      <c r="EA499" s="108"/>
      <c r="EB499" s="43"/>
      <c r="EC499" s="108"/>
      <c r="ED499" s="108"/>
      <c r="EE499" s="108"/>
      <c r="EF499" s="108"/>
      <c r="EG499" s="108"/>
      <c r="EH499" s="108"/>
      <c r="EI499" s="43"/>
      <c r="EJ499" s="47"/>
      <c r="EK499" s="47"/>
      <c r="EL499" s="47"/>
      <c r="EM499" s="47"/>
      <c r="EN499" s="47"/>
      <c r="EO499" s="47"/>
      <c r="EP499" s="47"/>
      <c r="EQ499" s="47"/>
      <c r="ER499" s="47"/>
      <c r="ES499" s="47"/>
      <c r="ET499" s="47"/>
      <c r="EU499" s="47"/>
      <c r="EV499" s="47"/>
      <c r="EW499" s="47"/>
      <c r="EX499" s="47"/>
      <c r="EY499" s="47"/>
      <c r="EZ499" s="47"/>
      <c r="FA499" s="47"/>
      <c r="FB499" s="47"/>
      <c r="FC499" s="47"/>
      <c r="FD499" s="47"/>
      <c r="FE499" s="47"/>
      <c r="FF499" s="47"/>
      <c r="FG499" s="47"/>
      <c r="FH499" s="47"/>
      <c r="FI499" s="47"/>
      <c r="FJ499" s="47"/>
      <c r="FK499" s="47"/>
      <c r="FL499" s="47"/>
      <c r="FM499" s="47"/>
      <c r="FN499" s="47"/>
      <c r="FO499" s="47"/>
      <c r="FP499" s="47"/>
      <c r="FQ499" s="47"/>
      <c r="FR499" s="47"/>
      <c r="FS499" s="47"/>
      <c r="FT499" s="47"/>
      <c r="FU499" s="47"/>
      <c r="FV499" s="47"/>
      <c r="FW499" s="47"/>
      <c r="FX499" s="47"/>
      <c r="FY499" s="47"/>
      <c r="FZ499" s="47"/>
      <c r="GA499" s="47"/>
      <c r="GB499" s="47"/>
      <c r="GC499" s="47"/>
      <c r="GD499" s="47"/>
      <c r="GE499" s="47"/>
    </row>
    <row r="500" spans="1:187" ht="10.5" customHeight="1">
      <c r="A500" s="51"/>
      <c r="B500" s="108"/>
      <c r="C500" s="108"/>
      <c r="D500" s="162"/>
      <c r="E500" s="162"/>
      <c r="F500" s="239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43"/>
      <c r="U500" s="108"/>
      <c r="V500" s="108"/>
      <c r="W500" s="108"/>
      <c r="X500" s="108"/>
      <c r="Y500" s="108"/>
      <c r="Z500" s="108"/>
      <c r="AA500" s="43"/>
      <c r="AB500" s="108"/>
      <c r="AC500" s="108"/>
      <c r="AD500" s="108"/>
      <c r="AE500" s="108"/>
      <c r="AF500" s="108"/>
      <c r="AG500" s="108"/>
      <c r="AH500" s="43"/>
      <c r="AI500" s="108"/>
      <c r="AJ500" s="108"/>
      <c r="AK500" s="108"/>
      <c r="AL500" s="108"/>
      <c r="AM500" s="108"/>
      <c r="AN500" s="108"/>
      <c r="AO500" s="43"/>
      <c r="AP500" s="108"/>
      <c r="AQ500" s="108"/>
      <c r="AR500" s="108"/>
      <c r="AS500" s="108"/>
      <c r="AT500" s="108"/>
      <c r="AU500" s="108"/>
      <c r="AV500" s="43"/>
      <c r="AW500" s="108"/>
      <c r="AX500" s="108"/>
      <c r="AY500" s="108"/>
      <c r="AZ500" s="108"/>
      <c r="BA500" s="108"/>
      <c r="BB500" s="108"/>
      <c r="BC500" s="43"/>
      <c r="BD500" s="108"/>
      <c r="BE500" s="108"/>
      <c r="BF500" s="108"/>
      <c r="BG500" s="108"/>
      <c r="BH500" s="108"/>
      <c r="BI500" s="108"/>
      <c r="BJ500" s="43"/>
      <c r="BK500" s="108"/>
      <c r="BL500" s="108"/>
      <c r="BM500" s="108"/>
      <c r="BN500" s="108"/>
      <c r="BO500" s="108"/>
      <c r="BP500" s="108"/>
      <c r="BQ500" s="43"/>
      <c r="BR500" s="108"/>
      <c r="BS500" s="108"/>
      <c r="BT500" s="108"/>
      <c r="BU500" s="108"/>
      <c r="BV500" s="108"/>
      <c r="BW500" s="108"/>
      <c r="BX500" s="43"/>
      <c r="BY500" s="108"/>
      <c r="BZ500" s="108"/>
      <c r="CA500" s="108"/>
      <c r="CB500" s="108"/>
      <c r="CC500" s="108"/>
      <c r="CD500" s="108"/>
      <c r="CE500" s="43"/>
      <c r="CF500" s="108"/>
      <c r="CG500" s="108"/>
      <c r="CH500" s="108"/>
      <c r="CI500" s="108"/>
      <c r="CJ500" s="108"/>
      <c r="CK500" s="108"/>
      <c r="CL500" s="43"/>
      <c r="CM500" s="108"/>
      <c r="CN500" s="108"/>
      <c r="CO500" s="108"/>
      <c r="CP500" s="108"/>
      <c r="CQ500" s="108"/>
      <c r="CR500" s="108"/>
      <c r="CS500" s="43"/>
      <c r="CT500" s="108"/>
      <c r="CU500" s="108"/>
      <c r="CV500" s="108"/>
      <c r="CW500" s="108"/>
      <c r="CX500" s="108"/>
      <c r="CY500" s="108"/>
      <c r="CZ500" s="43"/>
      <c r="DA500" s="108"/>
      <c r="DB500" s="108"/>
      <c r="DC500" s="108"/>
      <c r="DD500" s="108"/>
      <c r="DE500" s="108"/>
      <c r="DF500" s="108"/>
      <c r="DG500" s="43"/>
      <c r="DH500" s="108"/>
      <c r="DI500" s="108"/>
      <c r="DJ500" s="108"/>
      <c r="DK500" s="108"/>
      <c r="DL500" s="108"/>
      <c r="DM500" s="108"/>
      <c r="DN500" s="43"/>
      <c r="DO500" s="108"/>
      <c r="DP500" s="108"/>
      <c r="DQ500" s="108"/>
      <c r="DR500" s="108"/>
      <c r="DS500" s="108"/>
      <c r="DT500" s="108"/>
      <c r="DU500" s="43"/>
      <c r="DV500" s="108"/>
      <c r="DW500" s="108"/>
      <c r="DX500" s="108"/>
      <c r="DY500" s="108"/>
      <c r="DZ500" s="108"/>
      <c r="EA500" s="108"/>
      <c r="EB500" s="43"/>
      <c r="EC500" s="108"/>
      <c r="ED500" s="108"/>
      <c r="EE500" s="108"/>
      <c r="EF500" s="108"/>
      <c r="EG500" s="108"/>
      <c r="EH500" s="108"/>
      <c r="EI500" s="43"/>
      <c r="EJ500" s="47"/>
      <c r="EK500" s="47"/>
      <c r="EL500" s="47"/>
      <c r="EM500" s="47"/>
      <c r="EN500" s="47"/>
      <c r="EO500" s="47"/>
      <c r="EP500" s="47"/>
      <c r="EQ500" s="47"/>
      <c r="ER500" s="47"/>
      <c r="ES500" s="47"/>
      <c r="ET500" s="47"/>
      <c r="EU500" s="47"/>
      <c r="EV500" s="47"/>
      <c r="EW500" s="47"/>
      <c r="EX500" s="47"/>
      <c r="EY500" s="47"/>
      <c r="EZ500" s="47"/>
      <c r="FA500" s="47"/>
      <c r="FB500" s="47"/>
      <c r="FC500" s="47"/>
      <c r="FD500" s="47"/>
      <c r="FE500" s="47"/>
      <c r="FF500" s="47"/>
      <c r="FG500" s="47"/>
      <c r="FH500" s="47"/>
      <c r="FI500" s="47"/>
      <c r="FJ500" s="47"/>
      <c r="FK500" s="47"/>
      <c r="FL500" s="47"/>
      <c r="FM500" s="47"/>
      <c r="FN500" s="47"/>
      <c r="FO500" s="47"/>
      <c r="FP500" s="47"/>
      <c r="FQ500" s="47"/>
      <c r="FR500" s="47"/>
      <c r="FS500" s="47"/>
      <c r="FT500" s="47"/>
      <c r="FU500" s="47"/>
      <c r="FV500" s="47"/>
      <c r="FW500" s="47"/>
      <c r="FX500" s="47"/>
      <c r="FY500" s="47"/>
      <c r="FZ500" s="47"/>
      <c r="GA500" s="47"/>
      <c r="GB500" s="47"/>
      <c r="GC500" s="47"/>
      <c r="GD500" s="47"/>
      <c r="GE500" s="47"/>
    </row>
    <row r="501" spans="1:187" ht="10.5" customHeight="1">
      <c r="A501" s="43"/>
      <c r="B501" s="108"/>
      <c r="C501" s="108"/>
      <c r="D501" s="158"/>
      <c r="E501" s="158"/>
      <c r="F501" s="223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43"/>
      <c r="U501" s="108"/>
      <c r="V501" s="108"/>
      <c r="W501" s="108"/>
      <c r="X501" s="108"/>
      <c r="Y501" s="108"/>
      <c r="Z501" s="108"/>
      <c r="AA501" s="43"/>
      <c r="AB501" s="108"/>
      <c r="AC501" s="108"/>
      <c r="AD501" s="108"/>
      <c r="AE501" s="108"/>
      <c r="AF501" s="108"/>
      <c r="AG501" s="108"/>
      <c r="AH501" s="43"/>
      <c r="AI501" s="108"/>
      <c r="AJ501" s="108"/>
      <c r="AK501" s="108"/>
      <c r="AL501" s="108"/>
      <c r="AM501" s="108"/>
      <c r="AN501" s="108"/>
      <c r="AO501" s="43"/>
      <c r="AP501" s="108"/>
      <c r="AQ501" s="108"/>
      <c r="AR501" s="108"/>
      <c r="AS501" s="108"/>
      <c r="AT501" s="108"/>
      <c r="AU501" s="108"/>
      <c r="AV501" s="43"/>
      <c r="AW501" s="108"/>
      <c r="AX501" s="108"/>
      <c r="AY501" s="108"/>
      <c r="AZ501" s="108"/>
      <c r="BA501" s="108"/>
      <c r="BB501" s="108"/>
      <c r="BC501" s="43"/>
      <c r="BD501" s="108"/>
      <c r="BE501" s="108"/>
      <c r="BF501" s="108"/>
      <c r="BG501" s="108"/>
      <c r="BH501" s="108"/>
      <c r="BI501" s="108"/>
      <c r="BJ501" s="43"/>
      <c r="BK501" s="108"/>
      <c r="BL501" s="108"/>
      <c r="BM501" s="108"/>
      <c r="BN501" s="108"/>
      <c r="BO501" s="108"/>
      <c r="BP501" s="108"/>
      <c r="BQ501" s="43"/>
      <c r="BR501" s="108"/>
      <c r="BS501" s="108"/>
      <c r="BT501" s="108"/>
      <c r="BU501" s="108"/>
      <c r="BV501" s="108"/>
      <c r="BW501" s="108"/>
      <c r="BX501" s="43"/>
      <c r="BY501" s="108"/>
      <c r="BZ501" s="108"/>
      <c r="CA501" s="108"/>
      <c r="CB501" s="108"/>
      <c r="CC501" s="108"/>
      <c r="CD501" s="108"/>
      <c r="CE501" s="43"/>
      <c r="CF501" s="108"/>
      <c r="CG501" s="108"/>
      <c r="CH501" s="108"/>
      <c r="CI501" s="108"/>
      <c r="CJ501" s="108"/>
      <c r="CK501" s="108"/>
      <c r="CL501" s="43"/>
      <c r="CM501" s="108"/>
      <c r="CN501" s="108"/>
      <c r="CO501" s="108"/>
      <c r="CP501" s="108"/>
      <c r="CQ501" s="108"/>
      <c r="CR501" s="108"/>
      <c r="CS501" s="43"/>
      <c r="CT501" s="108"/>
      <c r="CU501" s="108"/>
      <c r="CV501" s="108"/>
      <c r="CW501" s="108"/>
      <c r="CX501" s="108"/>
      <c r="CY501" s="108"/>
      <c r="CZ501" s="43"/>
      <c r="DA501" s="108"/>
      <c r="DB501" s="108"/>
      <c r="DC501" s="108"/>
      <c r="DD501" s="108"/>
      <c r="DE501" s="108"/>
      <c r="DF501" s="108"/>
      <c r="DG501" s="43"/>
      <c r="DH501" s="108"/>
      <c r="DI501" s="108"/>
      <c r="DJ501" s="108"/>
      <c r="DK501" s="108"/>
      <c r="DL501" s="108"/>
      <c r="DM501" s="108"/>
      <c r="DN501" s="43"/>
      <c r="DO501" s="108"/>
      <c r="DP501" s="108"/>
      <c r="DQ501" s="108"/>
      <c r="DR501" s="108"/>
      <c r="DS501" s="108"/>
      <c r="DT501" s="108"/>
      <c r="DU501" s="43"/>
      <c r="DV501" s="108"/>
      <c r="DW501" s="108"/>
      <c r="DX501" s="108"/>
      <c r="DY501" s="108"/>
      <c r="DZ501" s="108"/>
      <c r="EA501" s="108"/>
      <c r="EB501" s="43"/>
      <c r="EC501" s="108"/>
      <c r="ED501" s="108"/>
      <c r="EE501" s="108"/>
      <c r="EF501" s="108"/>
      <c r="EG501" s="108"/>
      <c r="EH501" s="108"/>
      <c r="EI501" s="43"/>
      <c r="EJ501" s="47"/>
      <c r="EK501" s="47"/>
      <c r="EL501" s="47"/>
      <c r="EM501" s="47"/>
      <c r="EN501" s="47"/>
      <c r="EO501" s="47"/>
      <c r="EP501" s="47"/>
      <c r="EQ501" s="47"/>
      <c r="ER501" s="47"/>
      <c r="ES501" s="47"/>
      <c r="ET501" s="47"/>
      <c r="EU501" s="47"/>
      <c r="EV501" s="47"/>
      <c r="EW501" s="47"/>
      <c r="EX501" s="47"/>
      <c r="EY501" s="47"/>
      <c r="EZ501" s="47"/>
      <c r="FA501" s="47"/>
      <c r="FB501" s="47"/>
      <c r="FC501" s="47"/>
      <c r="FD501" s="47"/>
      <c r="FE501" s="47"/>
      <c r="FF501" s="47"/>
      <c r="FG501" s="47"/>
      <c r="FH501" s="47"/>
      <c r="FI501" s="47"/>
      <c r="FJ501" s="47"/>
      <c r="FK501" s="47"/>
      <c r="FL501" s="47"/>
      <c r="FM501" s="47"/>
      <c r="FN501" s="47"/>
      <c r="FO501" s="47"/>
      <c r="FP501" s="47"/>
      <c r="FQ501" s="47"/>
      <c r="FR501" s="47"/>
      <c r="FS501" s="47"/>
      <c r="FT501" s="47"/>
      <c r="FU501" s="47"/>
      <c r="FV501" s="47"/>
      <c r="FW501" s="47"/>
      <c r="FX501" s="47"/>
      <c r="FY501" s="47"/>
      <c r="FZ501" s="47"/>
      <c r="GA501" s="47"/>
      <c r="GB501" s="47"/>
      <c r="GC501" s="47"/>
      <c r="GD501" s="47"/>
      <c r="GE501" s="47"/>
    </row>
    <row r="502" spans="1:187" ht="10.5" customHeight="1">
      <c r="A502" s="43"/>
      <c r="B502" s="108"/>
      <c r="C502" s="108"/>
      <c r="D502" s="135"/>
      <c r="E502" s="135"/>
      <c r="F502" s="223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43"/>
      <c r="U502" s="108"/>
      <c r="V502" s="108"/>
      <c r="W502" s="108"/>
      <c r="X502" s="108"/>
      <c r="Y502" s="108"/>
      <c r="Z502" s="108"/>
      <c r="AA502" s="43"/>
      <c r="AB502" s="108"/>
      <c r="AC502" s="108"/>
      <c r="AD502" s="108"/>
      <c r="AE502" s="108"/>
      <c r="AF502" s="108"/>
      <c r="AG502" s="108"/>
      <c r="AH502" s="43"/>
      <c r="AI502" s="108"/>
      <c r="AJ502" s="108"/>
      <c r="AK502" s="108"/>
      <c r="AL502" s="108"/>
      <c r="AM502" s="108"/>
      <c r="AN502" s="108"/>
      <c r="AO502" s="43"/>
      <c r="AP502" s="108"/>
      <c r="AQ502" s="108"/>
      <c r="AR502" s="108"/>
      <c r="AS502" s="108"/>
      <c r="AT502" s="108"/>
      <c r="AU502" s="108"/>
      <c r="AV502" s="43"/>
      <c r="AW502" s="108"/>
      <c r="AX502" s="108"/>
      <c r="AY502" s="108"/>
      <c r="AZ502" s="108"/>
      <c r="BA502" s="108"/>
      <c r="BB502" s="108"/>
      <c r="BC502" s="43"/>
      <c r="BD502" s="108"/>
      <c r="BE502" s="108"/>
      <c r="BF502" s="108"/>
      <c r="BG502" s="108"/>
      <c r="BH502" s="108"/>
      <c r="BI502" s="108"/>
      <c r="BJ502" s="43"/>
      <c r="BK502" s="108"/>
      <c r="BL502" s="108"/>
      <c r="BM502" s="108"/>
      <c r="BN502" s="108"/>
      <c r="BO502" s="108"/>
      <c r="BP502" s="108"/>
      <c r="BQ502" s="43"/>
      <c r="BR502" s="108"/>
      <c r="BS502" s="108"/>
      <c r="BT502" s="108"/>
      <c r="BU502" s="108"/>
      <c r="BV502" s="108"/>
      <c r="BW502" s="108"/>
      <c r="BX502" s="43"/>
      <c r="BY502" s="108"/>
      <c r="BZ502" s="108"/>
      <c r="CA502" s="108"/>
      <c r="CB502" s="108"/>
      <c r="CC502" s="108"/>
      <c r="CD502" s="108"/>
      <c r="CE502" s="43"/>
      <c r="CF502" s="108"/>
      <c r="CG502" s="108"/>
      <c r="CH502" s="108"/>
      <c r="CI502" s="108"/>
      <c r="CJ502" s="108"/>
      <c r="CK502" s="108"/>
      <c r="CL502" s="43"/>
      <c r="CM502" s="108"/>
      <c r="CN502" s="108"/>
      <c r="CO502" s="108"/>
      <c r="CP502" s="108"/>
      <c r="CQ502" s="108"/>
      <c r="CR502" s="108"/>
      <c r="CS502" s="43"/>
      <c r="CT502" s="108"/>
      <c r="CU502" s="108"/>
      <c r="CV502" s="108"/>
      <c r="CW502" s="108"/>
      <c r="CX502" s="108"/>
      <c r="CY502" s="108"/>
      <c r="CZ502" s="43"/>
      <c r="DA502" s="108"/>
      <c r="DB502" s="108"/>
      <c r="DC502" s="108"/>
      <c r="DD502" s="108"/>
      <c r="DE502" s="108"/>
      <c r="DF502" s="108"/>
      <c r="DG502" s="43"/>
      <c r="DH502" s="108"/>
      <c r="DI502" s="108"/>
      <c r="DJ502" s="108"/>
      <c r="DK502" s="108"/>
      <c r="DL502" s="108"/>
      <c r="DM502" s="108"/>
      <c r="DN502" s="43"/>
      <c r="DO502" s="108"/>
      <c r="DP502" s="108"/>
      <c r="DQ502" s="108"/>
      <c r="DR502" s="108"/>
      <c r="DS502" s="108"/>
      <c r="DT502" s="108"/>
      <c r="DU502" s="43"/>
      <c r="DV502" s="108"/>
      <c r="DW502" s="108"/>
      <c r="DX502" s="108"/>
      <c r="DY502" s="108"/>
      <c r="DZ502" s="108"/>
      <c r="EA502" s="108"/>
      <c r="EB502" s="43"/>
      <c r="EC502" s="108"/>
      <c r="ED502" s="108"/>
      <c r="EE502" s="108"/>
      <c r="EF502" s="108"/>
      <c r="EG502" s="108"/>
      <c r="EH502" s="108"/>
      <c r="EI502" s="43"/>
      <c r="EJ502" s="47"/>
      <c r="EK502" s="47"/>
      <c r="EL502" s="47"/>
      <c r="EM502" s="47"/>
      <c r="EN502" s="47"/>
      <c r="EO502" s="47"/>
      <c r="EP502" s="47"/>
      <c r="EQ502" s="47"/>
      <c r="ER502" s="47"/>
      <c r="ES502" s="47"/>
      <c r="ET502" s="47"/>
      <c r="EU502" s="47"/>
      <c r="EV502" s="47"/>
      <c r="EW502" s="47"/>
      <c r="EX502" s="47"/>
      <c r="EY502" s="47"/>
      <c r="EZ502" s="47"/>
      <c r="FA502" s="47"/>
      <c r="FB502" s="47"/>
      <c r="FC502" s="47"/>
      <c r="FD502" s="47"/>
      <c r="FE502" s="47"/>
      <c r="FF502" s="47"/>
      <c r="FG502" s="47"/>
      <c r="FH502" s="47"/>
      <c r="FI502" s="47"/>
      <c r="FJ502" s="47"/>
      <c r="FK502" s="47"/>
      <c r="FL502" s="47"/>
      <c r="FM502" s="47"/>
      <c r="FN502" s="47"/>
      <c r="FO502" s="47"/>
      <c r="FP502" s="47"/>
      <c r="FQ502" s="47"/>
      <c r="FR502" s="47"/>
      <c r="FS502" s="47"/>
      <c r="FT502" s="47"/>
      <c r="FU502" s="47"/>
      <c r="FV502" s="47"/>
      <c r="FW502" s="47"/>
      <c r="FX502" s="47"/>
      <c r="FY502" s="47"/>
      <c r="FZ502" s="47"/>
      <c r="GA502" s="47"/>
      <c r="GB502" s="47"/>
      <c r="GC502" s="47"/>
      <c r="GD502" s="47"/>
      <c r="GE502" s="47"/>
    </row>
    <row r="503" spans="1:187" ht="10.5" customHeight="1">
      <c r="A503" s="43"/>
      <c r="B503" s="108"/>
      <c r="C503" s="108"/>
      <c r="D503" s="158"/>
      <c r="E503" s="158"/>
      <c r="F503" s="223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43"/>
      <c r="U503" s="108"/>
      <c r="V503" s="108"/>
      <c r="W503" s="108"/>
      <c r="X503" s="108"/>
      <c r="Y503" s="108"/>
      <c r="Z503" s="108"/>
      <c r="AA503" s="43"/>
      <c r="AB503" s="108"/>
      <c r="AC503" s="108"/>
      <c r="AD503" s="108"/>
      <c r="AE503" s="108"/>
      <c r="AF503" s="108"/>
      <c r="AG503" s="108"/>
      <c r="AH503" s="43"/>
      <c r="AI503" s="108"/>
      <c r="AJ503" s="108"/>
      <c r="AK503" s="108"/>
      <c r="AL503" s="108"/>
      <c r="AM503" s="108"/>
      <c r="AN503" s="108"/>
      <c r="AO503" s="43"/>
      <c r="AP503" s="108"/>
      <c r="AQ503" s="108"/>
      <c r="AR503" s="108"/>
      <c r="AS503" s="108"/>
      <c r="AT503" s="108"/>
      <c r="AU503" s="108"/>
      <c r="AV503" s="43"/>
      <c r="AW503" s="108"/>
      <c r="AX503" s="108"/>
      <c r="AY503" s="108"/>
      <c r="AZ503" s="108"/>
      <c r="BA503" s="108"/>
      <c r="BB503" s="108"/>
      <c r="BC503" s="43"/>
      <c r="BD503" s="108"/>
      <c r="BE503" s="108"/>
      <c r="BF503" s="108"/>
      <c r="BG503" s="108"/>
      <c r="BH503" s="108"/>
      <c r="BI503" s="108"/>
      <c r="BJ503" s="43"/>
      <c r="BK503" s="108"/>
      <c r="BL503" s="108"/>
      <c r="BM503" s="108"/>
      <c r="BN503" s="108"/>
      <c r="BO503" s="108"/>
      <c r="BP503" s="108"/>
      <c r="BQ503" s="43"/>
      <c r="BR503" s="108"/>
      <c r="BS503" s="108"/>
      <c r="BT503" s="108"/>
      <c r="BU503" s="108"/>
      <c r="BV503" s="108"/>
      <c r="BW503" s="108"/>
      <c r="BX503" s="43"/>
      <c r="BY503" s="108"/>
      <c r="BZ503" s="108"/>
      <c r="CA503" s="108"/>
      <c r="CB503" s="108"/>
      <c r="CC503" s="108"/>
      <c r="CD503" s="108"/>
      <c r="CE503" s="43"/>
      <c r="CF503" s="108"/>
      <c r="CG503" s="108"/>
      <c r="CH503" s="108"/>
      <c r="CI503" s="108"/>
      <c r="CJ503" s="108"/>
      <c r="CK503" s="108"/>
      <c r="CL503" s="43"/>
      <c r="CM503" s="108"/>
      <c r="CN503" s="108"/>
      <c r="CO503" s="108"/>
      <c r="CP503" s="108"/>
      <c r="CQ503" s="108"/>
      <c r="CR503" s="108"/>
      <c r="CS503" s="43"/>
      <c r="CT503" s="108"/>
      <c r="CU503" s="108"/>
      <c r="CV503" s="108"/>
      <c r="CW503" s="108"/>
      <c r="CX503" s="108"/>
      <c r="CY503" s="108"/>
      <c r="CZ503" s="43"/>
      <c r="DA503" s="108"/>
      <c r="DB503" s="108"/>
      <c r="DC503" s="108"/>
      <c r="DD503" s="108"/>
      <c r="DE503" s="108"/>
      <c r="DF503" s="108"/>
      <c r="DG503" s="43"/>
      <c r="DH503" s="108"/>
      <c r="DI503" s="108"/>
      <c r="DJ503" s="108"/>
      <c r="DK503" s="108"/>
      <c r="DL503" s="108"/>
      <c r="DM503" s="108"/>
      <c r="DN503" s="43"/>
      <c r="DO503" s="108"/>
      <c r="DP503" s="108"/>
      <c r="DQ503" s="108"/>
      <c r="DR503" s="108"/>
      <c r="DS503" s="108"/>
      <c r="DT503" s="108"/>
      <c r="DU503" s="43"/>
      <c r="DV503" s="108"/>
      <c r="DW503" s="108"/>
      <c r="DX503" s="108"/>
      <c r="DY503" s="108"/>
      <c r="DZ503" s="108"/>
      <c r="EA503" s="108"/>
      <c r="EB503" s="43"/>
      <c r="EC503" s="108"/>
      <c r="ED503" s="108"/>
      <c r="EE503" s="108"/>
      <c r="EF503" s="108"/>
      <c r="EG503" s="108"/>
      <c r="EH503" s="108"/>
      <c r="EI503" s="43"/>
      <c r="EJ503" s="47"/>
      <c r="EK503" s="47"/>
      <c r="EL503" s="47"/>
      <c r="EM503" s="47"/>
      <c r="EN503" s="47"/>
      <c r="EO503" s="47"/>
      <c r="EP503" s="47"/>
      <c r="EQ503" s="47"/>
      <c r="ER503" s="47"/>
      <c r="ES503" s="47"/>
      <c r="ET503" s="47"/>
      <c r="EU503" s="47"/>
      <c r="EV503" s="47"/>
      <c r="EW503" s="47"/>
      <c r="EX503" s="47"/>
      <c r="EY503" s="47"/>
      <c r="EZ503" s="47"/>
      <c r="FA503" s="47"/>
      <c r="FB503" s="47"/>
      <c r="FC503" s="47"/>
      <c r="FD503" s="47"/>
      <c r="FE503" s="47"/>
      <c r="FF503" s="47"/>
      <c r="FG503" s="47"/>
      <c r="FH503" s="47"/>
      <c r="FI503" s="47"/>
      <c r="FJ503" s="47"/>
      <c r="FK503" s="47"/>
      <c r="FL503" s="47"/>
      <c r="FM503" s="47"/>
      <c r="FN503" s="47"/>
      <c r="FO503" s="47"/>
      <c r="FP503" s="47"/>
      <c r="FQ503" s="47"/>
      <c r="FR503" s="47"/>
      <c r="FS503" s="47"/>
      <c r="FT503" s="47"/>
      <c r="FU503" s="47"/>
      <c r="FV503" s="47"/>
      <c r="FW503" s="47"/>
      <c r="FX503" s="47"/>
      <c r="FY503" s="47"/>
      <c r="FZ503" s="47"/>
      <c r="GA503" s="47"/>
      <c r="GB503" s="47"/>
      <c r="GC503" s="47"/>
      <c r="GD503" s="47"/>
      <c r="GE503" s="47"/>
    </row>
    <row r="504" spans="1:187" ht="10.5" customHeight="1">
      <c r="A504" s="43"/>
      <c r="B504" s="108"/>
      <c r="C504" s="108"/>
      <c r="D504" s="135"/>
      <c r="E504" s="135"/>
      <c r="F504" s="223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43"/>
      <c r="U504" s="108"/>
      <c r="V504" s="108"/>
      <c r="W504" s="108"/>
      <c r="X504" s="108"/>
      <c r="Y504" s="108"/>
      <c r="Z504" s="108"/>
      <c r="AA504" s="43"/>
      <c r="AB504" s="108"/>
      <c r="AC504" s="108"/>
      <c r="AD504" s="108"/>
      <c r="AE504" s="108"/>
      <c r="AF504" s="108"/>
      <c r="AG504" s="108"/>
      <c r="AH504" s="43"/>
      <c r="AI504" s="108"/>
      <c r="AJ504" s="108"/>
      <c r="AK504" s="108"/>
      <c r="AL504" s="108"/>
      <c r="AM504" s="108"/>
      <c r="AN504" s="108"/>
      <c r="AO504" s="43"/>
      <c r="AP504" s="108"/>
      <c r="AQ504" s="108"/>
      <c r="AR504" s="108"/>
      <c r="AS504" s="108"/>
      <c r="AT504" s="108"/>
      <c r="AU504" s="108"/>
      <c r="AV504" s="43"/>
      <c r="AW504" s="108"/>
      <c r="AX504" s="108"/>
      <c r="AY504" s="108"/>
      <c r="AZ504" s="108"/>
      <c r="BA504" s="108"/>
      <c r="BB504" s="108"/>
      <c r="BC504" s="43"/>
      <c r="BD504" s="108"/>
      <c r="BE504" s="108"/>
      <c r="BF504" s="108"/>
      <c r="BG504" s="108"/>
      <c r="BH504" s="108"/>
      <c r="BI504" s="108"/>
      <c r="BJ504" s="43"/>
      <c r="BK504" s="108"/>
      <c r="BL504" s="108"/>
      <c r="BM504" s="108"/>
      <c r="BN504" s="108"/>
      <c r="BO504" s="108"/>
      <c r="BP504" s="108"/>
      <c r="BQ504" s="43"/>
      <c r="BR504" s="108"/>
      <c r="BS504" s="108"/>
      <c r="BT504" s="108"/>
      <c r="BU504" s="108"/>
      <c r="BV504" s="108"/>
      <c r="BW504" s="108"/>
      <c r="BX504" s="43"/>
      <c r="BY504" s="108"/>
      <c r="BZ504" s="108"/>
      <c r="CA504" s="108"/>
      <c r="CB504" s="108"/>
      <c r="CC504" s="108"/>
      <c r="CD504" s="108"/>
      <c r="CE504" s="43"/>
      <c r="CF504" s="108"/>
      <c r="CG504" s="108"/>
      <c r="CH504" s="108"/>
      <c r="CI504" s="108"/>
      <c r="CJ504" s="108"/>
      <c r="CK504" s="108"/>
      <c r="CL504" s="43"/>
      <c r="CM504" s="108"/>
      <c r="CN504" s="108"/>
      <c r="CO504" s="108"/>
      <c r="CP504" s="108"/>
      <c r="CQ504" s="108"/>
      <c r="CR504" s="108"/>
      <c r="CS504" s="43"/>
      <c r="CT504" s="108"/>
      <c r="CU504" s="108"/>
      <c r="CV504" s="108"/>
      <c r="CW504" s="108"/>
      <c r="CX504" s="108"/>
      <c r="CY504" s="108"/>
      <c r="CZ504" s="43"/>
      <c r="DA504" s="108"/>
      <c r="DB504" s="108"/>
      <c r="DC504" s="108"/>
      <c r="DD504" s="108"/>
      <c r="DE504" s="108"/>
      <c r="DF504" s="108"/>
      <c r="DG504" s="43"/>
      <c r="DH504" s="108"/>
      <c r="DI504" s="108"/>
      <c r="DJ504" s="108"/>
      <c r="DK504" s="108"/>
      <c r="DL504" s="108"/>
      <c r="DM504" s="108"/>
      <c r="DN504" s="43"/>
      <c r="DO504" s="108"/>
      <c r="DP504" s="108"/>
      <c r="DQ504" s="108"/>
      <c r="DR504" s="108"/>
      <c r="DS504" s="108"/>
      <c r="DT504" s="108"/>
      <c r="DU504" s="43"/>
      <c r="DV504" s="108"/>
      <c r="DW504" s="108"/>
      <c r="DX504" s="108"/>
      <c r="DY504" s="108"/>
      <c r="DZ504" s="108"/>
      <c r="EA504" s="108"/>
      <c r="EB504" s="43"/>
      <c r="EC504" s="108"/>
      <c r="ED504" s="108"/>
      <c r="EE504" s="108"/>
      <c r="EF504" s="108"/>
      <c r="EG504" s="108"/>
      <c r="EH504" s="108"/>
      <c r="EI504" s="43"/>
      <c r="EJ504" s="47"/>
      <c r="EK504" s="47"/>
      <c r="EL504" s="47"/>
      <c r="EM504" s="47"/>
      <c r="EN504" s="47"/>
      <c r="EO504" s="47"/>
      <c r="EP504" s="47"/>
      <c r="EQ504" s="47"/>
      <c r="ER504" s="47"/>
      <c r="ES504" s="47"/>
      <c r="ET504" s="47"/>
      <c r="EU504" s="47"/>
      <c r="EV504" s="47"/>
      <c r="EW504" s="47"/>
      <c r="EX504" s="47"/>
      <c r="EY504" s="47"/>
      <c r="EZ504" s="47"/>
      <c r="FA504" s="47"/>
      <c r="FB504" s="47"/>
      <c r="FC504" s="47"/>
      <c r="FD504" s="47"/>
      <c r="FE504" s="47"/>
      <c r="FF504" s="47"/>
      <c r="FG504" s="47"/>
      <c r="FH504" s="47"/>
      <c r="FI504" s="47"/>
      <c r="FJ504" s="47"/>
      <c r="FK504" s="47"/>
      <c r="FL504" s="47"/>
      <c r="FM504" s="47"/>
      <c r="FN504" s="47"/>
      <c r="FO504" s="47"/>
      <c r="FP504" s="47"/>
      <c r="FQ504" s="47"/>
      <c r="FR504" s="47"/>
      <c r="FS504" s="47"/>
      <c r="FT504" s="47"/>
      <c r="FU504" s="47"/>
      <c r="FV504" s="47"/>
      <c r="FW504" s="47"/>
      <c r="FX504" s="47"/>
      <c r="FY504" s="47"/>
      <c r="FZ504" s="47"/>
      <c r="GA504" s="47"/>
      <c r="GB504" s="47"/>
      <c r="GC504" s="47"/>
      <c r="GD504" s="47"/>
      <c r="GE504" s="47"/>
    </row>
    <row r="505" spans="1:187" ht="10.5" customHeight="1">
      <c r="A505" s="43"/>
      <c r="B505" s="108"/>
      <c r="C505" s="108"/>
      <c r="D505" s="135"/>
      <c r="E505" s="135"/>
      <c r="F505" s="223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43"/>
      <c r="U505" s="108"/>
      <c r="V505" s="108"/>
      <c r="W505" s="108"/>
      <c r="X505" s="108"/>
      <c r="Y505" s="108"/>
      <c r="Z505" s="108"/>
      <c r="AA505" s="43"/>
      <c r="AB505" s="108"/>
      <c r="AC505" s="108"/>
      <c r="AD505" s="108"/>
      <c r="AE505" s="108"/>
      <c r="AF505" s="108"/>
      <c r="AG505" s="108"/>
      <c r="AH505" s="43"/>
      <c r="AI505" s="108"/>
      <c r="AJ505" s="108"/>
      <c r="AK505" s="108"/>
      <c r="AL505" s="108"/>
      <c r="AM505" s="108"/>
      <c r="AN505" s="108"/>
      <c r="AO505" s="43"/>
      <c r="AP505" s="108"/>
      <c r="AQ505" s="108"/>
      <c r="AR505" s="108"/>
      <c r="AS505" s="108"/>
      <c r="AT505" s="108"/>
      <c r="AU505" s="108"/>
      <c r="AV505" s="43"/>
      <c r="AW505" s="108"/>
      <c r="AX505" s="108"/>
      <c r="AY505" s="108"/>
      <c r="AZ505" s="108"/>
      <c r="BA505" s="108"/>
      <c r="BB505" s="108"/>
      <c r="BC505" s="43"/>
      <c r="BD505" s="108"/>
      <c r="BE505" s="108"/>
      <c r="BF505" s="108"/>
      <c r="BG505" s="108"/>
      <c r="BH505" s="108"/>
      <c r="BI505" s="108"/>
      <c r="BJ505" s="43"/>
      <c r="BK505" s="108"/>
      <c r="BL505" s="108"/>
      <c r="BM505" s="108"/>
      <c r="BN505" s="108"/>
      <c r="BO505" s="108"/>
      <c r="BP505" s="108"/>
      <c r="BQ505" s="43"/>
      <c r="BR505" s="108"/>
      <c r="BS505" s="108"/>
      <c r="BT505" s="108"/>
      <c r="BU505" s="108"/>
      <c r="BV505" s="108"/>
      <c r="BW505" s="108"/>
      <c r="BX505" s="43"/>
      <c r="BY505" s="108"/>
      <c r="BZ505" s="108"/>
      <c r="CA505" s="108"/>
      <c r="CB505" s="108"/>
      <c r="CC505" s="108"/>
      <c r="CD505" s="108"/>
      <c r="CE505" s="43"/>
      <c r="CF505" s="108"/>
      <c r="CG505" s="108"/>
      <c r="CH505" s="108"/>
      <c r="CI505" s="108"/>
      <c r="CJ505" s="108"/>
      <c r="CK505" s="108"/>
      <c r="CL505" s="43"/>
      <c r="CM505" s="108"/>
      <c r="CN505" s="108"/>
      <c r="CO505" s="108"/>
      <c r="CP505" s="108"/>
      <c r="CQ505" s="108"/>
      <c r="CR505" s="108"/>
      <c r="CS505" s="43"/>
      <c r="CT505" s="108"/>
      <c r="CU505" s="108"/>
      <c r="CV505" s="108"/>
      <c r="CW505" s="108"/>
      <c r="CX505" s="108"/>
      <c r="CY505" s="108"/>
      <c r="CZ505" s="43"/>
      <c r="DA505" s="108"/>
      <c r="DB505" s="108"/>
      <c r="DC505" s="108"/>
      <c r="DD505" s="108"/>
      <c r="DE505" s="108"/>
      <c r="DF505" s="108"/>
      <c r="DG505" s="43"/>
      <c r="DH505" s="108"/>
      <c r="DI505" s="108"/>
      <c r="DJ505" s="108"/>
      <c r="DK505" s="108"/>
      <c r="DL505" s="108"/>
      <c r="DM505" s="108"/>
      <c r="DN505" s="43"/>
      <c r="DO505" s="108"/>
      <c r="DP505" s="108"/>
      <c r="DQ505" s="108"/>
      <c r="DR505" s="108"/>
      <c r="DS505" s="108"/>
      <c r="DT505" s="108"/>
      <c r="DU505" s="43"/>
      <c r="DV505" s="108"/>
      <c r="DW505" s="108"/>
      <c r="DX505" s="108"/>
      <c r="DY505" s="108"/>
      <c r="DZ505" s="108"/>
      <c r="EA505" s="108"/>
      <c r="EB505" s="43"/>
      <c r="EC505" s="108"/>
      <c r="ED505" s="108"/>
      <c r="EE505" s="108"/>
      <c r="EF505" s="108"/>
      <c r="EG505" s="108"/>
      <c r="EH505" s="108"/>
      <c r="EI505" s="43"/>
      <c r="EJ505" s="47"/>
      <c r="EK505" s="47"/>
      <c r="EL505" s="47"/>
      <c r="EM505" s="47"/>
      <c r="EN505" s="47"/>
      <c r="EO505" s="47"/>
      <c r="EP505" s="47"/>
      <c r="EQ505" s="47"/>
      <c r="ER505" s="47"/>
      <c r="ES505" s="47"/>
      <c r="ET505" s="47"/>
      <c r="EU505" s="47"/>
      <c r="EV505" s="47"/>
      <c r="EW505" s="47"/>
      <c r="EX505" s="47"/>
      <c r="EY505" s="47"/>
      <c r="EZ505" s="47"/>
      <c r="FA505" s="47"/>
      <c r="FB505" s="47"/>
      <c r="FC505" s="47"/>
      <c r="FD505" s="47"/>
      <c r="FE505" s="47"/>
      <c r="FF505" s="47"/>
      <c r="FG505" s="47"/>
      <c r="FH505" s="47"/>
      <c r="FI505" s="47"/>
      <c r="FJ505" s="47"/>
      <c r="FK505" s="47"/>
      <c r="FL505" s="47"/>
      <c r="FM505" s="47"/>
      <c r="FN505" s="47"/>
      <c r="FO505" s="47"/>
      <c r="FP505" s="47"/>
      <c r="FQ505" s="47"/>
      <c r="FR505" s="47"/>
      <c r="FS505" s="47"/>
      <c r="FT505" s="47"/>
      <c r="FU505" s="47"/>
      <c r="FV505" s="47"/>
      <c r="FW505" s="47"/>
      <c r="FX505" s="47"/>
      <c r="FY505" s="47"/>
      <c r="FZ505" s="47"/>
      <c r="GA505" s="47"/>
      <c r="GB505" s="47"/>
      <c r="GC505" s="47"/>
      <c r="GD505" s="47"/>
      <c r="GE505" s="47"/>
    </row>
    <row r="506" spans="1:187" ht="10.5" customHeight="1">
      <c r="A506" s="43"/>
      <c r="B506" s="108"/>
      <c r="C506" s="108"/>
      <c r="D506" s="158"/>
      <c r="E506" s="158"/>
      <c r="F506" s="223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43"/>
      <c r="U506" s="108"/>
      <c r="V506" s="108"/>
      <c r="W506" s="108"/>
      <c r="X506" s="108"/>
      <c r="Y506" s="108"/>
      <c r="Z506" s="108"/>
      <c r="AA506" s="43"/>
      <c r="AB506" s="108"/>
      <c r="AC506" s="108"/>
      <c r="AD506" s="108"/>
      <c r="AE506" s="108"/>
      <c r="AF506" s="108"/>
      <c r="AG506" s="108"/>
      <c r="AH506" s="43"/>
      <c r="AI506" s="108"/>
      <c r="AJ506" s="108"/>
      <c r="AK506" s="108"/>
      <c r="AL506" s="108"/>
      <c r="AM506" s="108"/>
      <c r="AN506" s="108"/>
      <c r="AO506" s="43"/>
      <c r="AP506" s="108"/>
      <c r="AQ506" s="108"/>
      <c r="AR506" s="108"/>
      <c r="AS506" s="108"/>
      <c r="AT506" s="108"/>
      <c r="AU506" s="108"/>
      <c r="AV506" s="43"/>
      <c r="AW506" s="108"/>
      <c r="AX506" s="108"/>
      <c r="AY506" s="108"/>
      <c r="AZ506" s="108"/>
      <c r="BA506" s="108"/>
      <c r="BB506" s="108"/>
      <c r="BC506" s="43"/>
      <c r="BD506" s="108"/>
      <c r="BE506" s="108"/>
      <c r="BF506" s="108"/>
      <c r="BG506" s="108"/>
      <c r="BH506" s="108"/>
      <c r="BI506" s="108"/>
      <c r="BJ506" s="43"/>
      <c r="BK506" s="108"/>
      <c r="BL506" s="108"/>
      <c r="BM506" s="108"/>
      <c r="BN506" s="108"/>
      <c r="BO506" s="108"/>
      <c r="BP506" s="108"/>
      <c r="BQ506" s="43"/>
      <c r="BR506" s="108"/>
      <c r="BS506" s="108"/>
      <c r="BT506" s="108"/>
      <c r="BU506" s="108"/>
      <c r="BV506" s="108"/>
      <c r="BW506" s="108"/>
      <c r="BX506" s="43"/>
      <c r="BY506" s="108"/>
      <c r="BZ506" s="108"/>
      <c r="CA506" s="108"/>
      <c r="CB506" s="108"/>
      <c r="CC506" s="108"/>
      <c r="CD506" s="108"/>
      <c r="CE506" s="43"/>
      <c r="CF506" s="108"/>
      <c r="CG506" s="108"/>
      <c r="CH506" s="108"/>
      <c r="CI506" s="108"/>
      <c r="CJ506" s="108"/>
      <c r="CK506" s="108"/>
      <c r="CL506" s="43"/>
      <c r="CM506" s="108"/>
      <c r="CN506" s="108"/>
      <c r="CO506" s="108"/>
      <c r="CP506" s="108"/>
      <c r="CQ506" s="108"/>
      <c r="CR506" s="108"/>
      <c r="CS506" s="43"/>
      <c r="CT506" s="108"/>
      <c r="CU506" s="108"/>
      <c r="CV506" s="108"/>
      <c r="CW506" s="108"/>
      <c r="CX506" s="108"/>
      <c r="CY506" s="108"/>
      <c r="CZ506" s="43"/>
      <c r="DA506" s="108"/>
      <c r="DB506" s="108"/>
      <c r="DC506" s="108"/>
      <c r="DD506" s="108"/>
      <c r="DE506" s="108"/>
      <c r="DF506" s="108"/>
      <c r="DG506" s="43"/>
      <c r="DH506" s="108"/>
      <c r="DI506" s="108"/>
      <c r="DJ506" s="108"/>
      <c r="DK506" s="108"/>
      <c r="DL506" s="108"/>
      <c r="DM506" s="108"/>
      <c r="DN506" s="43"/>
      <c r="DO506" s="108"/>
      <c r="DP506" s="108"/>
      <c r="DQ506" s="108"/>
      <c r="DR506" s="108"/>
      <c r="DS506" s="108"/>
      <c r="DT506" s="108"/>
      <c r="DU506" s="43"/>
      <c r="DV506" s="108"/>
      <c r="DW506" s="108"/>
      <c r="DX506" s="108"/>
      <c r="DY506" s="108"/>
      <c r="DZ506" s="108"/>
      <c r="EA506" s="108"/>
      <c r="EB506" s="43"/>
      <c r="EC506" s="108"/>
      <c r="ED506" s="108"/>
      <c r="EE506" s="108"/>
      <c r="EF506" s="108"/>
      <c r="EG506" s="108"/>
      <c r="EH506" s="108"/>
      <c r="EI506" s="43"/>
      <c r="EJ506" s="47"/>
      <c r="EK506" s="47"/>
      <c r="EL506" s="47"/>
      <c r="EM506" s="47"/>
      <c r="EN506" s="47"/>
      <c r="EO506" s="47"/>
      <c r="EP506" s="47"/>
      <c r="EQ506" s="47"/>
      <c r="ER506" s="47"/>
      <c r="ES506" s="47"/>
      <c r="ET506" s="47"/>
      <c r="EU506" s="47"/>
      <c r="EV506" s="47"/>
      <c r="EW506" s="47"/>
      <c r="EX506" s="47"/>
      <c r="EY506" s="47"/>
      <c r="EZ506" s="47"/>
      <c r="FA506" s="47"/>
      <c r="FB506" s="47"/>
      <c r="FC506" s="47"/>
      <c r="FD506" s="47"/>
      <c r="FE506" s="47"/>
      <c r="FF506" s="47"/>
      <c r="FG506" s="47"/>
      <c r="FH506" s="47"/>
      <c r="FI506" s="47"/>
      <c r="FJ506" s="47"/>
      <c r="FK506" s="47"/>
      <c r="FL506" s="47"/>
      <c r="FM506" s="47"/>
      <c r="FN506" s="47"/>
      <c r="FO506" s="47"/>
      <c r="FP506" s="47"/>
      <c r="FQ506" s="47"/>
      <c r="FR506" s="47"/>
      <c r="FS506" s="47"/>
      <c r="FT506" s="47"/>
      <c r="FU506" s="47"/>
      <c r="FV506" s="47"/>
      <c r="FW506" s="47"/>
      <c r="FX506" s="47"/>
      <c r="FY506" s="47"/>
      <c r="FZ506" s="47"/>
      <c r="GA506" s="47"/>
      <c r="GB506" s="47"/>
      <c r="GC506" s="47"/>
      <c r="GD506" s="47"/>
      <c r="GE506" s="47"/>
    </row>
    <row r="507" spans="1:187" ht="10.5" customHeight="1">
      <c r="A507" s="43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43"/>
      <c r="U507" s="108"/>
      <c r="V507" s="108"/>
      <c r="W507" s="108"/>
      <c r="X507" s="108"/>
      <c r="Y507" s="108"/>
      <c r="Z507" s="108"/>
      <c r="AA507" s="43"/>
      <c r="AB507" s="108"/>
      <c r="AC507" s="108"/>
      <c r="AD507" s="108"/>
      <c r="AE507" s="108"/>
      <c r="AF507" s="108"/>
      <c r="AG507" s="108"/>
      <c r="AH507" s="43"/>
      <c r="AI507" s="108"/>
      <c r="AJ507" s="108"/>
      <c r="AK507" s="108"/>
      <c r="AL507" s="108"/>
      <c r="AM507" s="108"/>
      <c r="AN507" s="108"/>
      <c r="AO507" s="43"/>
      <c r="AP507" s="108"/>
      <c r="AQ507" s="108"/>
      <c r="AR507" s="108"/>
      <c r="AS507" s="108"/>
      <c r="AT507" s="108"/>
      <c r="AU507" s="108"/>
      <c r="AV507" s="43"/>
      <c r="AW507" s="108"/>
      <c r="AX507" s="108"/>
      <c r="AY507" s="108"/>
      <c r="AZ507" s="108"/>
      <c r="BA507" s="108"/>
      <c r="BB507" s="108"/>
      <c r="BC507" s="43"/>
      <c r="BD507" s="108"/>
      <c r="BE507" s="108"/>
      <c r="BF507" s="108"/>
      <c r="BG507" s="108"/>
      <c r="BH507" s="108"/>
      <c r="BI507" s="108"/>
      <c r="BJ507" s="43"/>
      <c r="BK507" s="108"/>
      <c r="BL507" s="108"/>
      <c r="BM507" s="108"/>
      <c r="BN507" s="108"/>
      <c r="BO507" s="108"/>
      <c r="BP507" s="108"/>
      <c r="BQ507" s="43"/>
      <c r="BR507" s="108"/>
      <c r="BS507" s="108"/>
      <c r="BT507" s="108"/>
      <c r="BU507" s="108"/>
      <c r="BV507" s="108"/>
      <c r="BW507" s="108"/>
      <c r="BX507" s="43"/>
      <c r="BY507" s="108"/>
      <c r="BZ507" s="108"/>
      <c r="CA507" s="108"/>
      <c r="CB507" s="108"/>
      <c r="CC507" s="108"/>
      <c r="CD507" s="108"/>
      <c r="CE507" s="43"/>
      <c r="CF507" s="108"/>
      <c r="CG507" s="108"/>
      <c r="CH507" s="108"/>
      <c r="CI507" s="108"/>
      <c r="CJ507" s="108"/>
      <c r="CK507" s="108"/>
      <c r="CL507" s="43"/>
      <c r="CM507" s="108"/>
      <c r="CN507" s="108"/>
      <c r="CO507" s="108"/>
      <c r="CP507" s="108"/>
      <c r="CQ507" s="108"/>
      <c r="CR507" s="108"/>
      <c r="CS507" s="43"/>
      <c r="CT507" s="108"/>
      <c r="CU507" s="108"/>
      <c r="CV507" s="108"/>
      <c r="CW507" s="108"/>
      <c r="CX507" s="108"/>
      <c r="CY507" s="108"/>
      <c r="CZ507" s="43"/>
      <c r="DA507" s="108"/>
      <c r="DB507" s="108"/>
      <c r="DC507" s="108"/>
      <c r="DD507" s="108"/>
      <c r="DE507" s="108"/>
      <c r="DF507" s="108"/>
      <c r="DG507" s="43"/>
      <c r="DH507" s="108"/>
      <c r="DI507" s="108"/>
      <c r="DJ507" s="108"/>
      <c r="DK507" s="108"/>
      <c r="DL507" s="108"/>
      <c r="DM507" s="108"/>
      <c r="DN507" s="43"/>
      <c r="DO507" s="108"/>
      <c r="DP507" s="108"/>
      <c r="DQ507" s="108"/>
      <c r="DR507" s="108"/>
      <c r="DS507" s="108"/>
      <c r="DT507" s="108"/>
      <c r="DU507" s="43"/>
      <c r="DV507" s="108"/>
      <c r="DW507" s="108"/>
      <c r="DX507" s="108"/>
      <c r="DY507" s="108"/>
      <c r="DZ507" s="108"/>
      <c r="EA507" s="108"/>
      <c r="EB507" s="43"/>
      <c r="EC507" s="108"/>
      <c r="ED507" s="108"/>
      <c r="EE507" s="108"/>
      <c r="EF507" s="108"/>
      <c r="EG507" s="108"/>
      <c r="EH507" s="108"/>
      <c r="EI507" s="43"/>
      <c r="EJ507" s="47"/>
      <c r="EK507" s="47"/>
      <c r="EL507" s="47"/>
      <c r="EM507" s="47"/>
      <c r="EN507" s="47"/>
      <c r="EO507" s="47"/>
      <c r="EP507" s="47"/>
      <c r="EQ507" s="47"/>
      <c r="ER507" s="47"/>
      <c r="ES507" s="47"/>
      <c r="ET507" s="47"/>
      <c r="EU507" s="47"/>
      <c r="EV507" s="47"/>
      <c r="EW507" s="47"/>
      <c r="EX507" s="47"/>
      <c r="EY507" s="47"/>
      <c r="EZ507" s="47"/>
      <c r="FA507" s="47"/>
      <c r="FB507" s="47"/>
      <c r="FC507" s="47"/>
      <c r="FD507" s="47"/>
      <c r="FE507" s="47"/>
      <c r="FF507" s="47"/>
      <c r="FG507" s="47"/>
      <c r="FH507" s="47"/>
      <c r="FI507" s="47"/>
      <c r="FJ507" s="47"/>
      <c r="FK507" s="47"/>
      <c r="FL507" s="47"/>
      <c r="FM507" s="47"/>
      <c r="FN507" s="47"/>
      <c r="FO507" s="47"/>
      <c r="FP507" s="47"/>
      <c r="FQ507" s="47"/>
      <c r="FR507" s="47"/>
      <c r="FS507" s="47"/>
      <c r="FT507" s="47"/>
      <c r="FU507" s="47"/>
      <c r="FV507" s="47"/>
      <c r="FW507" s="47"/>
      <c r="FX507" s="47"/>
      <c r="FY507" s="47"/>
      <c r="FZ507" s="47"/>
      <c r="GA507" s="47"/>
      <c r="GB507" s="47"/>
      <c r="GC507" s="47"/>
      <c r="GD507" s="47"/>
      <c r="GE507" s="47"/>
    </row>
    <row r="508" spans="1:187" ht="10.5" customHeight="1">
      <c r="A508" s="43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43"/>
      <c r="U508" s="108"/>
      <c r="V508" s="108"/>
      <c r="W508" s="108"/>
      <c r="X508" s="108"/>
      <c r="Y508" s="108"/>
      <c r="Z508" s="108"/>
      <c r="AA508" s="43"/>
      <c r="AB508" s="108"/>
      <c r="AC508" s="108"/>
      <c r="AD508" s="108"/>
      <c r="AE508" s="108"/>
      <c r="AF508" s="108"/>
      <c r="AG508" s="108"/>
      <c r="AH508" s="43"/>
      <c r="AI508" s="108"/>
      <c r="AJ508" s="108"/>
      <c r="AK508" s="108"/>
      <c r="AL508" s="108"/>
      <c r="AM508" s="108"/>
      <c r="AN508" s="108"/>
      <c r="AO508" s="43"/>
      <c r="AP508" s="108"/>
      <c r="AQ508" s="108"/>
      <c r="AR508" s="108"/>
      <c r="AS508" s="108"/>
      <c r="AT508" s="108"/>
      <c r="AU508" s="108"/>
      <c r="AV508" s="43"/>
      <c r="AW508" s="108"/>
      <c r="AX508" s="108"/>
      <c r="AY508" s="108"/>
      <c r="AZ508" s="108"/>
      <c r="BA508" s="108"/>
      <c r="BB508" s="108"/>
      <c r="BC508" s="43"/>
      <c r="BD508" s="108"/>
      <c r="BE508" s="108"/>
      <c r="BF508" s="108"/>
      <c r="BG508" s="108"/>
      <c r="BH508" s="108"/>
      <c r="BI508" s="108"/>
      <c r="BJ508" s="43"/>
      <c r="BK508" s="108"/>
      <c r="BL508" s="108"/>
      <c r="BM508" s="108"/>
      <c r="BN508" s="108"/>
      <c r="BO508" s="108"/>
      <c r="BP508" s="108"/>
      <c r="BQ508" s="43"/>
      <c r="BR508" s="108"/>
      <c r="BS508" s="108"/>
      <c r="BT508" s="108"/>
      <c r="BU508" s="108"/>
      <c r="BV508" s="108"/>
      <c r="BW508" s="108"/>
      <c r="BX508" s="43"/>
      <c r="BY508" s="108"/>
      <c r="BZ508" s="108"/>
      <c r="CA508" s="108"/>
      <c r="CB508" s="108"/>
      <c r="CC508" s="108"/>
      <c r="CD508" s="108"/>
      <c r="CE508" s="43"/>
      <c r="CF508" s="108"/>
      <c r="CG508" s="108"/>
      <c r="CH508" s="108"/>
      <c r="CI508" s="108"/>
      <c r="CJ508" s="108"/>
      <c r="CK508" s="108"/>
      <c r="CL508" s="43"/>
      <c r="CM508" s="108"/>
      <c r="CN508" s="108"/>
      <c r="CO508" s="108"/>
      <c r="CP508" s="108"/>
      <c r="CQ508" s="108"/>
      <c r="CR508" s="108"/>
      <c r="CS508" s="43"/>
      <c r="CT508" s="108"/>
      <c r="CU508" s="108"/>
      <c r="CV508" s="108"/>
      <c r="CW508" s="108"/>
      <c r="CX508" s="108"/>
      <c r="CY508" s="108"/>
      <c r="CZ508" s="43"/>
      <c r="DA508" s="108"/>
      <c r="DB508" s="108"/>
      <c r="DC508" s="108"/>
      <c r="DD508" s="108"/>
      <c r="DE508" s="108"/>
      <c r="DF508" s="108"/>
      <c r="DG508" s="43"/>
      <c r="DH508" s="108"/>
      <c r="DI508" s="108"/>
      <c r="DJ508" s="108"/>
      <c r="DK508" s="108"/>
      <c r="DL508" s="108"/>
      <c r="DM508" s="108"/>
      <c r="DN508" s="43"/>
      <c r="DO508" s="108"/>
      <c r="DP508" s="108"/>
      <c r="DQ508" s="108"/>
      <c r="DR508" s="108"/>
      <c r="DS508" s="108"/>
      <c r="DT508" s="108"/>
      <c r="DU508" s="43"/>
      <c r="DV508" s="108"/>
      <c r="DW508" s="108"/>
      <c r="DX508" s="108"/>
      <c r="DY508" s="108"/>
      <c r="DZ508" s="108"/>
      <c r="EA508" s="108"/>
      <c r="EB508" s="43"/>
      <c r="EC508" s="108"/>
      <c r="ED508" s="108"/>
      <c r="EE508" s="108"/>
      <c r="EF508" s="108"/>
      <c r="EG508" s="108"/>
      <c r="EH508" s="108"/>
      <c r="EI508" s="43"/>
      <c r="EJ508" s="47"/>
      <c r="EK508" s="47"/>
      <c r="EL508" s="47"/>
      <c r="EM508" s="47"/>
      <c r="EN508" s="47"/>
      <c r="EO508" s="47"/>
      <c r="EP508" s="47"/>
      <c r="EQ508" s="47"/>
      <c r="ER508" s="47"/>
      <c r="ES508" s="47"/>
      <c r="ET508" s="47"/>
      <c r="EU508" s="47"/>
      <c r="EV508" s="47"/>
      <c r="EW508" s="47"/>
      <c r="EX508" s="47"/>
      <c r="EY508" s="47"/>
      <c r="EZ508" s="47"/>
      <c r="FA508" s="47"/>
      <c r="FB508" s="47"/>
      <c r="FC508" s="47"/>
      <c r="FD508" s="47"/>
      <c r="FE508" s="47"/>
      <c r="FF508" s="47"/>
      <c r="FG508" s="47"/>
      <c r="FH508" s="47"/>
      <c r="FI508" s="47"/>
      <c r="FJ508" s="47"/>
      <c r="FK508" s="47"/>
      <c r="FL508" s="47"/>
      <c r="FM508" s="47"/>
      <c r="FN508" s="47"/>
      <c r="FO508" s="47"/>
      <c r="FP508" s="47"/>
      <c r="FQ508" s="47"/>
      <c r="FR508" s="47"/>
      <c r="FS508" s="47"/>
      <c r="FT508" s="47"/>
      <c r="FU508" s="47"/>
      <c r="FV508" s="47"/>
      <c r="FW508" s="47"/>
      <c r="FX508" s="47"/>
      <c r="FY508" s="47"/>
      <c r="FZ508" s="47"/>
      <c r="GA508" s="47"/>
      <c r="GB508" s="47"/>
      <c r="GC508" s="47"/>
      <c r="GD508" s="47"/>
      <c r="GE508" s="47"/>
    </row>
    <row r="509" spans="1:187" ht="10.5" customHeight="1">
      <c r="A509" s="43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43"/>
      <c r="U509" s="108"/>
      <c r="V509" s="108"/>
      <c r="W509" s="108"/>
      <c r="X509" s="108"/>
      <c r="Y509" s="108"/>
      <c r="Z509" s="108"/>
      <c r="AA509" s="43"/>
      <c r="AB509" s="108"/>
      <c r="AC509" s="108"/>
      <c r="AD509" s="108"/>
      <c r="AE509" s="108"/>
      <c r="AF509" s="108"/>
      <c r="AG509" s="108"/>
      <c r="AH509" s="43"/>
      <c r="AI509" s="108"/>
      <c r="AJ509" s="108"/>
      <c r="AK509" s="108"/>
      <c r="AL509" s="108"/>
      <c r="AM509" s="108"/>
      <c r="AN509" s="108"/>
      <c r="AO509" s="43"/>
      <c r="AP509" s="108"/>
      <c r="AQ509" s="108"/>
      <c r="AR509" s="108"/>
      <c r="AS509" s="108"/>
      <c r="AT509" s="108"/>
      <c r="AU509" s="108"/>
      <c r="AV509" s="43"/>
      <c r="AW509" s="108"/>
      <c r="AX509" s="108"/>
      <c r="AY509" s="108"/>
      <c r="AZ509" s="108"/>
      <c r="BA509" s="108"/>
      <c r="BB509" s="108"/>
      <c r="BC509" s="43"/>
      <c r="BD509" s="108"/>
      <c r="BE509" s="108"/>
      <c r="BF509" s="108"/>
      <c r="BG509" s="108"/>
      <c r="BH509" s="108"/>
      <c r="BI509" s="108"/>
      <c r="BJ509" s="43"/>
      <c r="BK509" s="108"/>
      <c r="BL509" s="108"/>
      <c r="BM509" s="108"/>
      <c r="BN509" s="108"/>
      <c r="BO509" s="108"/>
      <c r="BP509" s="108"/>
      <c r="BQ509" s="43"/>
      <c r="BR509" s="108"/>
      <c r="BS509" s="108"/>
      <c r="BT509" s="108"/>
      <c r="BU509" s="108"/>
      <c r="BV509" s="108"/>
      <c r="BW509" s="108"/>
      <c r="BX509" s="43"/>
      <c r="BY509" s="108"/>
      <c r="BZ509" s="108"/>
      <c r="CA509" s="108"/>
      <c r="CB509" s="108"/>
      <c r="CC509" s="108"/>
      <c r="CD509" s="108"/>
      <c r="CE509" s="43"/>
      <c r="CF509" s="108"/>
      <c r="CG509" s="108"/>
      <c r="CH509" s="108"/>
      <c r="CI509" s="108"/>
      <c r="CJ509" s="108"/>
      <c r="CK509" s="108"/>
      <c r="CL509" s="43"/>
      <c r="CM509" s="108"/>
      <c r="CN509" s="108"/>
      <c r="CO509" s="108"/>
      <c r="CP509" s="108"/>
      <c r="CQ509" s="108"/>
      <c r="CR509" s="108"/>
      <c r="CS509" s="43"/>
      <c r="CT509" s="108"/>
      <c r="CU509" s="108"/>
      <c r="CV509" s="108"/>
      <c r="CW509" s="108"/>
      <c r="CX509" s="108"/>
      <c r="CY509" s="108"/>
      <c r="CZ509" s="43"/>
      <c r="DA509" s="108"/>
      <c r="DB509" s="108"/>
      <c r="DC509" s="108"/>
      <c r="DD509" s="108"/>
      <c r="DE509" s="108"/>
      <c r="DF509" s="108"/>
      <c r="DG509" s="43"/>
      <c r="DH509" s="108"/>
      <c r="DI509" s="108"/>
      <c r="DJ509" s="108"/>
      <c r="DK509" s="108"/>
      <c r="DL509" s="108"/>
      <c r="DM509" s="108"/>
      <c r="DN509" s="43"/>
      <c r="DO509" s="108"/>
      <c r="DP509" s="108"/>
      <c r="DQ509" s="108"/>
      <c r="DR509" s="108"/>
      <c r="DS509" s="108"/>
      <c r="DT509" s="108"/>
      <c r="DU509" s="43"/>
      <c r="DV509" s="108"/>
      <c r="DW509" s="108"/>
      <c r="DX509" s="108"/>
      <c r="DY509" s="108"/>
      <c r="DZ509" s="108"/>
      <c r="EA509" s="108"/>
      <c r="EB509" s="43"/>
      <c r="EC509" s="108"/>
      <c r="ED509" s="108"/>
      <c r="EE509" s="108"/>
      <c r="EF509" s="108"/>
      <c r="EG509" s="108"/>
      <c r="EH509" s="108"/>
      <c r="EI509" s="43"/>
      <c r="EJ509" s="47"/>
      <c r="EK509" s="47"/>
      <c r="EL509" s="47"/>
      <c r="EM509" s="47"/>
      <c r="EN509" s="47"/>
      <c r="EO509" s="47"/>
      <c r="EP509" s="47"/>
      <c r="EQ509" s="47"/>
      <c r="ER509" s="47"/>
      <c r="ES509" s="47"/>
      <c r="ET509" s="47"/>
      <c r="EU509" s="47"/>
      <c r="EV509" s="47"/>
      <c r="EW509" s="47"/>
      <c r="EX509" s="47"/>
      <c r="EY509" s="47"/>
      <c r="EZ509" s="47"/>
      <c r="FA509" s="47"/>
      <c r="FB509" s="47"/>
      <c r="FC509" s="47"/>
      <c r="FD509" s="47"/>
      <c r="FE509" s="47"/>
      <c r="FF509" s="47"/>
      <c r="FG509" s="47"/>
      <c r="FH509" s="47"/>
      <c r="FI509" s="47"/>
      <c r="FJ509" s="47"/>
      <c r="FK509" s="47"/>
      <c r="FL509" s="47"/>
      <c r="FM509" s="47"/>
      <c r="FN509" s="47"/>
      <c r="FO509" s="47"/>
      <c r="FP509" s="47"/>
      <c r="FQ509" s="47"/>
      <c r="FR509" s="47"/>
      <c r="FS509" s="47"/>
      <c r="FT509" s="47"/>
      <c r="FU509" s="47"/>
      <c r="FV509" s="47"/>
      <c r="FW509" s="47"/>
      <c r="FX509" s="47"/>
      <c r="FY509" s="47"/>
      <c r="FZ509" s="47"/>
      <c r="GA509" s="47"/>
      <c r="GB509" s="47"/>
      <c r="GC509" s="47"/>
      <c r="GD509" s="47"/>
      <c r="GE509" s="47"/>
    </row>
    <row r="510" spans="1:187" ht="10.5" customHeight="1">
      <c r="A510" s="43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43"/>
      <c r="U510" s="108"/>
      <c r="V510" s="108"/>
      <c r="W510" s="108"/>
      <c r="X510" s="108"/>
      <c r="Y510" s="108"/>
      <c r="Z510" s="108"/>
      <c r="AA510" s="43"/>
      <c r="AB510" s="108"/>
      <c r="AC510" s="108"/>
      <c r="AD510" s="108"/>
      <c r="AE510" s="108"/>
      <c r="AF510" s="108"/>
      <c r="AG510" s="108"/>
      <c r="AH510" s="43"/>
      <c r="AI510" s="108"/>
      <c r="AJ510" s="108"/>
      <c r="AK510" s="108"/>
      <c r="AL510" s="108"/>
      <c r="AM510" s="108"/>
      <c r="AN510" s="108"/>
      <c r="AO510" s="43"/>
      <c r="AP510" s="108"/>
      <c r="AQ510" s="108"/>
      <c r="AR510" s="108"/>
      <c r="AS510" s="108"/>
      <c r="AT510" s="108"/>
      <c r="AU510" s="108"/>
      <c r="AV510" s="43"/>
      <c r="AW510" s="108"/>
      <c r="AX510" s="108"/>
      <c r="AY510" s="108"/>
      <c r="AZ510" s="108"/>
      <c r="BA510" s="108"/>
      <c r="BB510" s="108"/>
      <c r="BC510" s="43"/>
      <c r="BD510" s="108"/>
      <c r="BE510" s="108"/>
      <c r="BF510" s="108"/>
      <c r="BG510" s="108"/>
      <c r="BH510" s="108"/>
      <c r="BI510" s="108"/>
      <c r="BJ510" s="43"/>
      <c r="BK510" s="108"/>
      <c r="BL510" s="108"/>
      <c r="BM510" s="108"/>
      <c r="BN510" s="108"/>
      <c r="BO510" s="108"/>
      <c r="BP510" s="108"/>
      <c r="BQ510" s="43"/>
      <c r="BR510" s="108"/>
      <c r="BS510" s="108"/>
      <c r="BT510" s="108"/>
      <c r="BU510" s="108"/>
      <c r="BV510" s="108"/>
      <c r="BW510" s="108"/>
      <c r="BX510" s="43"/>
      <c r="BY510" s="108"/>
      <c r="BZ510" s="108"/>
      <c r="CA510" s="108"/>
      <c r="CB510" s="108"/>
      <c r="CC510" s="108"/>
      <c r="CD510" s="108"/>
      <c r="CE510" s="43"/>
      <c r="CF510" s="108"/>
      <c r="CG510" s="108"/>
      <c r="CH510" s="108"/>
      <c r="CI510" s="108"/>
      <c r="CJ510" s="108"/>
      <c r="CK510" s="108"/>
      <c r="CL510" s="43"/>
      <c r="CM510" s="108"/>
      <c r="CN510" s="108"/>
      <c r="CO510" s="108"/>
      <c r="CP510" s="108"/>
      <c r="CQ510" s="108"/>
      <c r="CR510" s="108"/>
      <c r="CS510" s="43"/>
      <c r="CT510" s="108"/>
      <c r="CU510" s="108"/>
      <c r="CV510" s="108"/>
      <c r="CW510" s="108"/>
      <c r="CX510" s="108"/>
      <c r="CY510" s="108"/>
      <c r="CZ510" s="43"/>
      <c r="DA510" s="108"/>
      <c r="DB510" s="108"/>
      <c r="DC510" s="108"/>
      <c r="DD510" s="108"/>
      <c r="DE510" s="108"/>
      <c r="DF510" s="108"/>
      <c r="DG510" s="43"/>
      <c r="DH510" s="108"/>
      <c r="DI510" s="108"/>
      <c r="DJ510" s="108"/>
      <c r="DK510" s="108"/>
      <c r="DL510" s="108"/>
      <c r="DM510" s="108"/>
      <c r="DN510" s="43"/>
      <c r="DO510" s="108"/>
      <c r="DP510" s="108"/>
      <c r="DQ510" s="108"/>
      <c r="DR510" s="108"/>
      <c r="DS510" s="108"/>
      <c r="DT510" s="108"/>
      <c r="DU510" s="43"/>
      <c r="DV510" s="108"/>
      <c r="DW510" s="108"/>
      <c r="DX510" s="108"/>
      <c r="DY510" s="108"/>
      <c r="DZ510" s="108"/>
      <c r="EA510" s="108"/>
      <c r="EB510" s="43"/>
      <c r="EC510" s="108"/>
      <c r="ED510" s="108"/>
      <c r="EE510" s="108"/>
      <c r="EF510" s="108"/>
      <c r="EG510" s="108"/>
      <c r="EH510" s="108"/>
      <c r="EI510" s="43"/>
      <c r="EJ510" s="47"/>
      <c r="EK510" s="47"/>
      <c r="EL510" s="47"/>
      <c r="EM510" s="47"/>
      <c r="EN510" s="47"/>
      <c r="EO510" s="47"/>
      <c r="EP510" s="47"/>
      <c r="EQ510" s="47"/>
      <c r="ER510" s="47"/>
      <c r="ES510" s="47"/>
      <c r="ET510" s="47"/>
      <c r="EU510" s="47"/>
      <c r="EV510" s="47"/>
      <c r="EW510" s="47"/>
      <c r="EX510" s="47"/>
      <c r="EY510" s="47"/>
      <c r="EZ510" s="47"/>
      <c r="FA510" s="47"/>
      <c r="FB510" s="47"/>
      <c r="FC510" s="47"/>
      <c r="FD510" s="47"/>
      <c r="FE510" s="47"/>
      <c r="FF510" s="47"/>
      <c r="FG510" s="47"/>
      <c r="FH510" s="47"/>
      <c r="FI510" s="47"/>
      <c r="FJ510" s="47"/>
      <c r="FK510" s="47"/>
      <c r="FL510" s="47"/>
      <c r="FM510" s="47"/>
      <c r="FN510" s="47"/>
      <c r="FO510" s="47"/>
      <c r="FP510" s="47"/>
      <c r="FQ510" s="47"/>
      <c r="FR510" s="47"/>
      <c r="FS510" s="47"/>
      <c r="FT510" s="47"/>
      <c r="FU510" s="47"/>
      <c r="FV510" s="47"/>
      <c r="FW510" s="47"/>
      <c r="FX510" s="47"/>
      <c r="FY510" s="47"/>
      <c r="FZ510" s="47"/>
      <c r="GA510" s="47"/>
      <c r="GB510" s="47"/>
      <c r="GC510" s="47"/>
      <c r="GD510" s="47"/>
      <c r="GE510" s="47"/>
    </row>
    <row r="511" spans="1:187" ht="10.5" customHeight="1">
      <c r="A511" s="43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43"/>
      <c r="U511" s="108"/>
      <c r="V511" s="108"/>
      <c r="W511" s="108"/>
      <c r="X511" s="108"/>
      <c r="Y511" s="108"/>
      <c r="Z511" s="108"/>
      <c r="AA511" s="43"/>
      <c r="AB511" s="108"/>
      <c r="AC511" s="108"/>
      <c r="AD511" s="108"/>
      <c r="AE511" s="108"/>
      <c r="AF511" s="108"/>
      <c r="AG511" s="108"/>
      <c r="AH511" s="43"/>
      <c r="AI511" s="108"/>
      <c r="AJ511" s="108"/>
      <c r="AK511" s="108"/>
      <c r="AL511" s="108"/>
      <c r="AM511" s="108"/>
      <c r="AN511" s="108"/>
      <c r="AO511" s="43"/>
      <c r="AP511" s="108"/>
      <c r="AQ511" s="108"/>
      <c r="AR511" s="108"/>
      <c r="AS511" s="108"/>
      <c r="AT511" s="108"/>
      <c r="AU511" s="108"/>
      <c r="AV511" s="43"/>
      <c r="AW511" s="108"/>
      <c r="AX511" s="108"/>
      <c r="AY511" s="108"/>
      <c r="AZ511" s="108"/>
      <c r="BA511" s="108"/>
      <c r="BB511" s="108"/>
      <c r="BC511" s="43"/>
      <c r="BD511" s="108"/>
      <c r="BE511" s="108"/>
      <c r="BF511" s="108"/>
      <c r="BG511" s="108"/>
      <c r="BH511" s="108"/>
      <c r="BI511" s="108"/>
      <c r="BJ511" s="43"/>
      <c r="BK511" s="108"/>
      <c r="BL511" s="108"/>
      <c r="BM511" s="108"/>
      <c r="BN511" s="108"/>
      <c r="BO511" s="108"/>
      <c r="BP511" s="108"/>
      <c r="BQ511" s="43"/>
      <c r="BR511" s="108"/>
      <c r="BS511" s="108"/>
      <c r="BT511" s="108"/>
      <c r="BU511" s="108"/>
      <c r="BV511" s="108"/>
      <c r="BW511" s="108"/>
      <c r="BX511" s="43"/>
      <c r="BY511" s="108"/>
      <c r="BZ511" s="108"/>
      <c r="CA511" s="108"/>
      <c r="CB511" s="108"/>
      <c r="CC511" s="108"/>
      <c r="CD511" s="108"/>
      <c r="CE511" s="43"/>
      <c r="CF511" s="108"/>
      <c r="CG511" s="108"/>
      <c r="CH511" s="108"/>
      <c r="CI511" s="108"/>
      <c r="CJ511" s="108"/>
      <c r="CK511" s="108"/>
      <c r="CL511" s="43"/>
      <c r="CM511" s="108"/>
      <c r="CN511" s="108"/>
      <c r="CO511" s="108"/>
      <c r="CP511" s="108"/>
      <c r="CQ511" s="108"/>
      <c r="CR511" s="108"/>
      <c r="CS511" s="43"/>
      <c r="CT511" s="108"/>
      <c r="CU511" s="108"/>
      <c r="CV511" s="108"/>
      <c r="CW511" s="108"/>
      <c r="CX511" s="108"/>
      <c r="CY511" s="108"/>
      <c r="CZ511" s="43"/>
      <c r="DA511" s="108"/>
      <c r="DB511" s="108"/>
      <c r="DC511" s="108"/>
      <c r="DD511" s="108"/>
      <c r="DE511" s="108"/>
      <c r="DF511" s="108"/>
      <c r="DG511" s="43"/>
      <c r="DH511" s="108"/>
      <c r="DI511" s="108"/>
      <c r="DJ511" s="108"/>
      <c r="DK511" s="108"/>
      <c r="DL511" s="108"/>
      <c r="DM511" s="108"/>
      <c r="DN511" s="43"/>
      <c r="DO511" s="108"/>
      <c r="DP511" s="108"/>
      <c r="DQ511" s="108"/>
      <c r="DR511" s="108"/>
      <c r="DS511" s="108"/>
      <c r="DT511" s="108"/>
      <c r="DU511" s="43"/>
      <c r="DV511" s="108"/>
      <c r="DW511" s="108"/>
      <c r="DX511" s="108"/>
      <c r="DY511" s="108"/>
      <c r="DZ511" s="108"/>
      <c r="EA511" s="108"/>
      <c r="EB511" s="43"/>
      <c r="EC511" s="108"/>
      <c r="ED511" s="108"/>
      <c r="EE511" s="108"/>
      <c r="EF511" s="108"/>
      <c r="EG511" s="108"/>
      <c r="EH511" s="108"/>
      <c r="EI511" s="43"/>
      <c r="EJ511" s="47"/>
      <c r="EK511" s="47"/>
      <c r="EL511" s="47"/>
      <c r="EM511" s="47"/>
      <c r="EN511" s="47"/>
      <c r="EO511" s="47"/>
      <c r="EP511" s="47"/>
      <c r="EQ511" s="47"/>
      <c r="ER511" s="47"/>
      <c r="ES511" s="47"/>
      <c r="ET511" s="47"/>
      <c r="EU511" s="47"/>
      <c r="EV511" s="47"/>
      <c r="EW511" s="47"/>
      <c r="EX511" s="47"/>
      <c r="EY511" s="47"/>
      <c r="EZ511" s="47"/>
      <c r="FA511" s="47"/>
      <c r="FB511" s="47"/>
      <c r="FC511" s="47"/>
      <c r="FD511" s="47"/>
      <c r="FE511" s="47"/>
      <c r="FF511" s="47"/>
      <c r="FG511" s="47"/>
      <c r="FH511" s="47"/>
      <c r="FI511" s="47"/>
      <c r="FJ511" s="47"/>
      <c r="FK511" s="47"/>
      <c r="FL511" s="47"/>
      <c r="FM511" s="47"/>
      <c r="FN511" s="47"/>
      <c r="FO511" s="47"/>
      <c r="FP511" s="47"/>
      <c r="FQ511" s="47"/>
      <c r="FR511" s="47"/>
      <c r="FS511" s="47"/>
      <c r="FT511" s="47"/>
      <c r="FU511" s="47"/>
      <c r="FV511" s="47"/>
      <c r="FW511" s="47"/>
      <c r="FX511" s="47"/>
      <c r="FY511" s="47"/>
      <c r="FZ511" s="47"/>
      <c r="GA511" s="47"/>
      <c r="GB511" s="47"/>
      <c r="GC511" s="47"/>
      <c r="GD511" s="47"/>
      <c r="GE511" s="47"/>
    </row>
    <row r="512" spans="1:187" ht="10.5" customHeight="1">
      <c r="A512" s="43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43"/>
      <c r="U512" s="108"/>
      <c r="V512" s="108"/>
      <c r="W512" s="108"/>
      <c r="X512" s="108"/>
      <c r="Y512" s="108"/>
      <c r="Z512" s="108"/>
      <c r="AA512" s="43"/>
      <c r="AB512" s="108"/>
      <c r="AC512" s="108"/>
      <c r="AD512" s="108"/>
      <c r="AE512" s="108"/>
      <c r="AF512" s="108"/>
      <c r="AG512" s="108"/>
      <c r="AH512" s="43"/>
      <c r="AI512" s="108"/>
      <c r="AJ512" s="108"/>
      <c r="AK512" s="108"/>
      <c r="AL512" s="108"/>
      <c r="AM512" s="108"/>
      <c r="AN512" s="108"/>
      <c r="AO512" s="43"/>
      <c r="AP512" s="108"/>
      <c r="AQ512" s="108"/>
      <c r="AR512" s="108"/>
      <c r="AS512" s="108"/>
      <c r="AT512" s="108"/>
      <c r="AU512" s="108"/>
      <c r="AV512" s="43"/>
      <c r="AW512" s="108"/>
      <c r="AX512" s="108"/>
      <c r="AY512" s="108"/>
      <c r="AZ512" s="108"/>
      <c r="BA512" s="108"/>
      <c r="BB512" s="108"/>
      <c r="BC512" s="43"/>
      <c r="BD512" s="108"/>
      <c r="BE512" s="108"/>
      <c r="BF512" s="108"/>
      <c r="BG512" s="108"/>
      <c r="BH512" s="108"/>
      <c r="BI512" s="108"/>
      <c r="BJ512" s="43"/>
      <c r="BK512" s="108"/>
      <c r="BL512" s="108"/>
      <c r="BM512" s="108"/>
      <c r="BN512" s="108"/>
      <c r="BO512" s="108"/>
      <c r="BP512" s="108"/>
      <c r="BQ512" s="43"/>
      <c r="BR512" s="108"/>
      <c r="BS512" s="108"/>
      <c r="BT512" s="108"/>
      <c r="BU512" s="108"/>
      <c r="BV512" s="108"/>
      <c r="BW512" s="108"/>
      <c r="BX512" s="43"/>
      <c r="BY512" s="108"/>
      <c r="BZ512" s="108"/>
      <c r="CA512" s="108"/>
      <c r="CB512" s="108"/>
      <c r="CC512" s="108"/>
      <c r="CD512" s="108"/>
      <c r="CE512" s="43"/>
      <c r="CF512" s="108"/>
      <c r="CG512" s="108"/>
      <c r="CH512" s="108"/>
      <c r="CI512" s="108"/>
      <c r="CJ512" s="108"/>
      <c r="CK512" s="108"/>
      <c r="CL512" s="43"/>
      <c r="CM512" s="108"/>
      <c r="CN512" s="108"/>
      <c r="CO512" s="108"/>
      <c r="CP512" s="108"/>
      <c r="CQ512" s="108"/>
      <c r="CR512" s="108"/>
      <c r="CS512" s="43"/>
      <c r="CT512" s="108"/>
      <c r="CU512" s="108"/>
      <c r="CV512" s="108"/>
      <c r="CW512" s="108"/>
      <c r="CX512" s="108"/>
      <c r="CY512" s="108"/>
      <c r="CZ512" s="43"/>
      <c r="DA512" s="108"/>
      <c r="DB512" s="108"/>
      <c r="DC512" s="108"/>
      <c r="DD512" s="108"/>
      <c r="DE512" s="108"/>
      <c r="DF512" s="108"/>
      <c r="DG512" s="43"/>
      <c r="DH512" s="108"/>
      <c r="DI512" s="108"/>
      <c r="DJ512" s="108"/>
      <c r="DK512" s="108"/>
      <c r="DL512" s="108"/>
      <c r="DM512" s="108"/>
      <c r="DN512" s="43"/>
      <c r="DO512" s="108"/>
      <c r="DP512" s="108"/>
      <c r="DQ512" s="108"/>
      <c r="DR512" s="108"/>
      <c r="DS512" s="108"/>
      <c r="DT512" s="108"/>
      <c r="DU512" s="43"/>
      <c r="DV512" s="108"/>
      <c r="DW512" s="108"/>
      <c r="DX512" s="108"/>
      <c r="DY512" s="108"/>
      <c r="DZ512" s="108"/>
      <c r="EA512" s="108"/>
      <c r="EB512" s="43"/>
      <c r="EC512" s="108"/>
      <c r="ED512" s="108"/>
      <c r="EE512" s="108"/>
      <c r="EF512" s="108"/>
      <c r="EG512" s="108"/>
      <c r="EH512" s="108"/>
      <c r="EI512" s="43"/>
      <c r="EJ512" s="47"/>
      <c r="EK512" s="47"/>
      <c r="EL512" s="47"/>
      <c r="EM512" s="47"/>
      <c r="EN512" s="47"/>
      <c r="EO512" s="47"/>
      <c r="EP512" s="47"/>
      <c r="EQ512" s="47"/>
      <c r="ER512" s="47"/>
      <c r="ES512" s="47"/>
      <c r="ET512" s="47"/>
      <c r="EU512" s="47"/>
      <c r="EV512" s="47"/>
      <c r="EW512" s="47"/>
      <c r="EX512" s="47"/>
      <c r="EY512" s="47"/>
      <c r="EZ512" s="47"/>
      <c r="FA512" s="47"/>
      <c r="FB512" s="47"/>
      <c r="FC512" s="47"/>
      <c r="FD512" s="47"/>
      <c r="FE512" s="47"/>
      <c r="FF512" s="47"/>
      <c r="FG512" s="47"/>
      <c r="FH512" s="47"/>
      <c r="FI512" s="47"/>
      <c r="FJ512" s="47"/>
      <c r="FK512" s="47"/>
      <c r="FL512" s="47"/>
      <c r="FM512" s="47"/>
      <c r="FN512" s="47"/>
      <c r="FO512" s="47"/>
      <c r="FP512" s="47"/>
      <c r="FQ512" s="47"/>
      <c r="FR512" s="47"/>
      <c r="FS512" s="47"/>
      <c r="FT512" s="47"/>
      <c r="FU512" s="47"/>
      <c r="FV512" s="47"/>
      <c r="FW512" s="47"/>
      <c r="FX512" s="47"/>
      <c r="FY512" s="47"/>
      <c r="FZ512" s="47"/>
      <c r="GA512" s="47"/>
      <c r="GB512" s="47"/>
      <c r="GC512" s="47"/>
      <c r="GD512" s="47"/>
      <c r="GE512" s="47"/>
    </row>
    <row r="513" spans="1:187" ht="10.5" customHeight="1">
      <c r="A513" s="43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43"/>
      <c r="U513" s="108"/>
      <c r="V513" s="108"/>
      <c r="W513" s="108"/>
      <c r="X513" s="108"/>
      <c r="Y513" s="108"/>
      <c r="Z513" s="108"/>
      <c r="AA513" s="43"/>
      <c r="AB513" s="108"/>
      <c r="AC513" s="108"/>
      <c r="AD513" s="108"/>
      <c r="AE513" s="108"/>
      <c r="AF513" s="108"/>
      <c r="AG513" s="108"/>
      <c r="AH513" s="43"/>
      <c r="AI513" s="108"/>
      <c r="AJ513" s="108"/>
      <c r="AK513" s="108"/>
      <c r="AL513" s="108"/>
      <c r="AM513" s="108"/>
      <c r="AN513" s="108"/>
      <c r="AO513" s="43"/>
      <c r="AP513" s="108"/>
      <c r="AQ513" s="108"/>
      <c r="AR513" s="108"/>
      <c r="AS513" s="108"/>
      <c r="AT513" s="108"/>
      <c r="AU513" s="108"/>
      <c r="AV513" s="43"/>
      <c r="AW513" s="108"/>
      <c r="AX513" s="108"/>
      <c r="AY513" s="108"/>
      <c r="AZ513" s="108"/>
      <c r="BA513" s="108"/>
      <c r="BB513" s="108"/>
      <c r="BC513" s="43"/>
      <c r="BD513" s="108"/>
      <c r="BE513" s="108"/>
      <c r="BF513" s="108"/>
      <c r="BG513" s="108"/>
      <c r="BH513" s="108"/>
      <c r="BI513" s="108"/>
      <c r="BJ513" s="43"/>
      <c r="BK513" s="108"/>
      <c r="BL513" s="108"/>
      <c r="BM513" s="108"/>
      <c r="BN513" s="108"/>
      <c r="BO513" s="108"/>
      <c r="BP513" s="108"/>
      <c r="BQ513" s="43"/>
      <c r="BR513" s="108"/>
      <c r="BS513" s="108"/>
      <c r="BT513" s="108"/>
      <c r="BU513" s="108"/>
      <c r="BV513" s="108"/>
      <c r="BW513" s="108"/>
      <c r="BX513" s="43"/>
      <c r="BY513" s="108"/>
      <c r="BZ513" s="108"/>
      <c r="CA513" s="108"/>
      <c r="CB513" s="108"/>
      <c r="CC513" s="108"/>
      <c r="CD513" s="108"/>
      <c r="CE513" s="43"/>
      <c r="CF513" s="108"/>
      <c r="CG513" s="108"/>
      <c r="CH513" s="108"/>
      <c r="CI513" s="108"/>
      <c r="CJ513" s="108"/>
      <c r="CK513" s="108"/>
      <c r="CL513" s="43"/>
      <c r="CM513" s="108"/>
      <c r="CN513" s="108"/>
      <c r="CO513" s="108"/>
      <c r="CP513" s="108"/>
      <c r="CQ513" s="108"/>
      <c r="CR513" s="108"/>
      <c r="CS513" s="43"/>
      <c r="CT513" s="108"/>
      <c r="CU513" s="108"/>
      <c r="CV513" s="108"/>
      <c r="CW513" s="108"/>
      <c r="CX513" s="108"/>
      <c r="CY513" s="108"/>
      <c r="CZ513" s="43"/>
      <c r="DA513" s="108"/>
      <c r="DB513" s="108"/>
      <c r="DC513" s="108"/>
      <c r="DD513" s="108"/>
      <c r="DE513" s="108"/>
      <c r="DF513" s="108"/>
      <c r="DG513" s="43"/>
      <c r="DH513" s="108"/>
      <c r="DI513" s="108"/>
      <c r="DJ513" s="108"/>
      <c r="DK513" s="108"/>
      <c r="DL513" s="108"/>
      <c r="DM513" s="108"/>
      <c r="DN513" s="43"/>
      <c r="DO513" s="108"/>
      <c r="DP513" s="108"/>
      <c r="DQ513" s="108"/>
      <c r="DR513" s="108"/>
      <c r="DS513" s="108"/>
      <c r="DT513" s="108"/>
      <c r="DU513" s="43"/>
      <c r="DV513" s="108"/>
      <c r="DW513" s="108"/>
      <c r="DX513" s="108"/>
      <c r="DY513" s="108"/>
      <c r="DZ513" s="108"/>
      <c r="EA513" s="108"/>
      <c r="EB513" s="43"/>
      <c r="EC513" s="108"/>
      <c r="ED513" s="108"/>
      <c r="EE513" s="108"/>
      <c r="EF513" s="108"/>
      <c r="EG513" s="108"/>
      <c r="EH513" s="108"/>
      <c r="EI513" s="43"/>
      <c r="EJ513" s="47"/>
      <c r="EK513" s="47"/>
      <c r="EL513" s="47"/>
      <c r="EM513" s="47"/>
      <c r="EN513" s="47"/>
      <c r="EO513" s="47"/>
      <c r="EP513" s="47"/>
      <c r="EQ513" s="47"/>
      <c r="ER513" s="47"/>
      <c r="ES513" s="47"/>
      <c r="ET513" s="47"/>
      <c r="EU513" s="47"/>
      <c r="EV513" s="47"/>
      <c r="EW513" s="47"/>
      <c r="EX513" s="47"/>
      <c r="EY513" s="47"/>
      <c r="EZ513" s="47"/>
      <c r="FA513" s="47"/>
      <c r="FB513" s="47"/>
      <c r="FC513" s="47"/>
      <c r="FD513" s="47"/>
      <c r="FE513" s="47"/>
      <c r="FF513" s="47"/>
      <c r="FG513" s="47"/>
      <c r="FH513" s="47"/>
      <c r="FI513" s="47"/>
      <c r="FJ513" s="47"/>
      <c r="FK513" s="47"/>
      <c r="FL513" s="47"/>
      <c r="FM513" s="47"/>
      <c r="FN513" s="47"/>
      <c r="FO513" s="47"/>
      <c r="FP513" s="47"/>
      <c r="FQ513" s="47"/>
      <c r="FR513" s="47"/>
      <c r="FS513" s="47"/>
      <c r="FT513" s="47"/>
      <c r="FU513" s="47"/>
      <c r="FV513" s="47"/>
      <c r="FW513" s="47"/>
      <c r="FX513" s="47"/>
      <c r="FY513" s="47"/>
      <c r="FZ513" s="47"/>
      <c r="GA513" s="47"/>
      <c r="GB513" s="47"/>
      <c r="GC513" s="47"/>
      <c r="GD513" s="47"/>
      <c r="GE513" s="47"/>
    </row>
    <row r="514" spans="1:187" ht="10.5" customHeight="1">
      <c r="A514" s="43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43"/>
      <c r="U514" s="108"/>
      <c r="V514" s="108"/>
      <c r="W514" s="108"/>
      <c r="X514" s="108"/>
      <c r="Y514" s="108"/>
      <c r="Z514" s="108"/>
      <c r="AA514" s="43"/>
      <c r="AB514" s="108"/>
      <c r="AC514" s="108"/>
      <c r="AD514" s="108"/>
      <c r="AE514" s="108"/>
      <c r="AF514" s="108"/>
      <c r="AG514" s="108"/>
      <c r="AH514" s="43"/>
      <c r="AI514" s="108"/>
      <c r="AJ514" s="108"/>
      <c r="AK514" s="108"/>
      <c r="AL514" s="108"/>
      <c r="AM514" s="108"/>
      <c r="AN514" s="108"/>
      <c r="AO514" s="43"/>
      <c r="AP514" s="108"/>
      <c r="AQ514" s="108"/>
      <c r="AR514" s="108"/>
      <c r="AS514" s="108"/>
      <c r="AT514" s="108"/>
      <c r="AU514" s="108"/>
      <c r="AV514" s="43"/>
      <c r="AW514" s="108"/>
      <c r="AX514" s="108"/>
      <c r="AY514" s="108"/>
      <c r="AZ514" s="108"/>
      <c r="BA514" s="108"/>
      <c r="BB514" s="108"/>
      <c r="BC514" s="43"/>
      <c r="BD514" s="108"/>
      <c r="BE514" s="108"/>
      <c r="BF514" s="108"/>
      <c r="BG514" s="108"/>
      <c r="BH514" s="108"/>
      <c r="BI514" s="108"/>
      <c r="BJ514" s="43"/>
      <c r="BK514" s="108"/>
      <c r="BL514" s="108"/>
      <c r="BM514" s="108"/>
      <c r="BN514" s="108"/>
      <c r="BO514" s="108"/>
      <c r="BP514" s="108"/>
      <c r="BQ514" s="43"/>
      <c r="BR514" s="108"/>
      <c r="BS514" s="108"/>
      <c r="BT514" s="108"/>
      <c r="BU514" s="108"/>
      <c r="BV514" s="108"/>
      <c r="BW514" s="108"/>
      <c r="BX514" s="43"/>
      <c r="BY514" s="108"/>
      <c r="BZ514" s="108"/>
      <c r="CA514" s="108"/>
      <c r="CB514" s="108"/>
      <c r="CC514" s="108"/>
      <c r="CD514" s="108"/>
      <c r="CE514" s="43"/>
      <c r="CF514" s="108"/>
      <c r="CG514" s="108"/>
      <c r="CH514" s="108"/>
      <c r="CI514" s="108"/>
      <c r="CJ514" s="108"/>
      <c r="CK514" s="108"/>
      <c r="CL514" s="43"/>
      <c r="CM514" s="108"/>
      <c r="CN514" s="108"/>
      <c r="CO514" s="108"/>
      <c r="CP514" s="108"/>
      <c r="CQ514" s="108"/>
      <c r="CR514" s="108"/>
      <c r="CS514" s="43"/>
      <c r="CT514" s="108"/>
      <c r="CU514" s="108"/>
      <c r="CV514" s="108"/>
      <c r="CW514" s="108"/>
      <c r="CX514" s="108"/>
      <c r="CY514" s="108"/>
      <c r="CZ514" s="43"/>
      <c r="DA514" s="108"/>
      <c r="DB514" s="108"/>
      <c r="DC514" s="108"/>
      <c r="DD514" s="108"/>
      <c r="DE514" s="108"/>
      <c r="DF514" s="108"/>
      <c r="DG514" s="43"/>
      <c r="DH514" s="108"/>
      <c r="DI514" s="108"/>
      <c r="DJ514" s="108"/>
      <c r="DK514" s="108"/>
      <c r="DL514" s="108"/>
      <c r="DM514" s="108"/>
      <c r="DN514" s="43"/>
      <c r="DO514" s="108"/>
      <c r="DP514" s="108"/>
      <c r="DQ514" s="108"/>
      <c r="DR514" s="108"/>
      <c r="DS514" s="108"/>
      <c r="DT514" s="108"/>
      <c r="DU514" s="43"/>
      <c r="DV514" s="108"/>
      <c r="DW514" s="108"/>
      <c r="DX514" s="108"/>
      <c r="DY514" s="108"/>
      <c r="DZ514" s="108"/>
      <c r="EA514" s="108"/>
      <c r="EB514" s="43"/>
      <c r="EC514" s="108"/>
      <c r="ED514" s="108"/>
      <c r="EE514" s="108"/>
      <c r="EF514" s="108"/>
      <c r="EG514" s="108"/>
      <c r="EH514" s="108"/>
      <c r="EI514" s="43"/>
      <c r="EJ514" s="47"/>
      <c r="EK514" s="47"/>
      <c r="EL514" s="47"/>
      <c r="EM514" s="47"/>
      <c r="EN514" s="47"/>
      <c r="EO514" s="47"/>
      <c r="EP514" s="47"/>
      <c r="EQ514" s="47"/>
      <c r="ER514" s="47"/>
      <c r="ES514" s="47"/>
      <c r="ET514" s="47"/>
      <c r="EU514" s="47"/>
      <c r="EV514" s="47"/>
      <c r="EW514" s="47"/>
      <c r="EX514" s="47"/>
      <c r="EY514" s="47"/>
      <c r="EZ514" s="47"/>
      <c r="FA514" s="47"/>
      <c r="FB514" s="47"/>
      <c r="FC514" s="47"/>
      <c r="FD514" s="47"/>
      <c r="FE514" s="47"/>
      <c r="FF514" s="47"/>
      <c r="FG514" s="47"/>
      <c r="FH514" s="47"/>
      <c r="FI514" s="47"/>
      <c r="FJ514" s="47"/>
      <c r="FK514" s="47"/>
      <c r="FL514" s="47"/>
      <c r="FM514" s="47"/>
      <c r="FN514" s="47"/>
      <c r="FO514" s="47"/>
      <c r="FP514" s="47"/>
      <c r="FQ514" s="47"/>
      <c r="FR514" s="47"/>
      <c r="FS514" s="47"/>
      <c r="FT514" s="47"/>
      <c r="FU514" s="47"/>
      <c r="FV514" s="47"/>
      <c r="FW514" s="47"/>
      <c r="FX514" s="47"/>
      <c r="FY514" s="47"/>
      <c r="FZ514" s="47"/>
      <c r="GA514" s="47"/>
      <c r="GB514" s="47"/>
      <c r="GC514" s="47"/>
      <c r="GD514" s="47"/>
      <c r="GE514" s="47"/>
    </row>
    <row r="515" spans="1:187" ht="10.5" customHeight="1">
      <c r="A515" s="43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43"/>
      <c r="U515" s="108"/>
      <c r="V515" s="108"/>
      <c r="W515" s="108"/>
      <c r="X515" s="108"/>
      <c r="Y515" s="108"/>
      <c r="Z515" s="108"/>
      <c r="AA515" s="43"/>
      <c r="AB515" s="108"/>
      <c r="AC515" s="108"/>
      <c r="AD515" s="108"/>
      <c r="AE515" s="108"/>
      <c r="AF515" s="108"/>
      <c r="AG515" s="108"/>
      <c r="AH515" s="43"/>
      <c r="AI515" s="108"/>
      <c r="AJ515" s="108"/>
      <c r="AK515" s="108"/>
      <c r="AL515" s="108"/>
      <c r="AM515" s="108"/>
      <c r="AN515" s="108"/>
      <c r="AO515" s="43"/>
      <c r="AP515" s="108"/>
      <c r="AQ515" s="108"/>
      <c r="AR515" s="108"/>
      <c r="AS515" s="108"/>
      <c r="AT515" s="108"/>
      <c r="AU515" s="108"/>
      <c r="AV515" s="43"/>
      <c r="AW515" s="108"/>
      <c r="AX515" s="108"/>
      <c r="AY515" s="108"/>
      <c r="AZ515" s="108"/>
      <c r="BA515" s="108"/>
      <c r="BB515" s="108"/>
      <c r="BC515" s="43"/>
      <c r="BD515" s="108"/>
      <c r="BE515" s="108"/>
      <c r="BF515" s="108"/>
      <c r="BG515" s="108"/>
      <c r="BH515" s="108"/>
      <c r="BI515" s="108"/>
      <c r="BJ515" s="43"/>
      <c r="BK515" s="108"/>
      <c r="BL515" s="108"/>
      <c r="BM515" s="108"/>
      <c r="BN515" s="108"/>
      <c r="BO515" s="108"/>
      <c r="BP515" s="108"/>
      <c r="BQ515" s="43"/>
      <c r="BR515" s="108"/>
      <c r="BS515" s="108"/>
      <c r="BT515" s="108"/>
      <c r="BU515" s="108"/>
      <c r="BV515" s="108"/>
      <c r="BW515" s="108"/>
      <c r="BX515" s="43"/>
      <c r="BY515" s="108"/>
      <c r="BZ515" s="108"/>
      <c r="CA515" s="108"/>
      <c r="CB515" s="108"/>
      <c r="CC515" s="108"/>
      <c r="CD515" s="108"/>
      <c r="CE515" s="43"/>
      <c r="CF515" s="108"/>
      <c r="CG515" s="108"/>
      <c r="CH515" s="108"/>
      <c r="CI515" s="108"/>
      <c r="CJ515" s="108"/>
      <c r="CK515" s="108"/>
      <c r="CL515" s="43"/>
      <c r="CM515" s="108"/>
      <c r="CN515" s="108"/>
      <c r="CO515" s="108"/>
      <c r="CP515" s="108"/>
      <c r="CQ515" s="108"/>
      <c r="CR515" s="108"/>
      <c r="CS515" s="43"/>
      <c r="CT515" s="108"/>
      <c r="CU515" s="108"/>
      <c r="CV515" s="108"/>
      <c r="CW515" s="108"/>
      <c r="CX515" s="108"/>
      <c r="CY515" s="108"/>
      <c r="CZ515" s="43"/>
      <c r="DA515" s="108"/>
      <c r="DB515" s="108"/>
      <c r="DC515" s="108"/>
      <c r="DD515" s="108"/>
      <c r="DE515" s="108"/>
      <c r="DF515" s="108"/>
      <c r="DG515" s="43"/>
      <c r="DH515" s="108"/>
      <c r="DI515" s="108"/>
      <c r="DJ515" s="108"/>
      <c r="DK515" s="108"/>
      <c r="DL515" s="108"/>
      <c r="DM515" s="108"/>
      <c r="DN515" s="43"/>
      <c r="DO515" s="108"/>
      <c r="DP515" s="108"/>
      <c r="DQ515" s="108"/>
      <c r="DR515" s="108"/>
      <c r="DS515" s="108"/>
      <c r="DT515" s="108"/>
      <c r="DU515" s="43"/>
      <c r="DV515" s="108"/>
      <c r="DW515" s="108"/>
      <c r="DX515" s="108"/>
      <c r="DY515" s="108"/>
      <c r="DZ515" s="108"/>
      <c r="EA515" s="108"/>
      <c r="EB515" s="43"/>
      <c r="EC515" s="108"/>
      <c r="ED515" s="108"/>
      <c r="EE515" s="108"/>
      <c r="EF515" s="108"/>
      <c r="EG515" s="108"/>
      <c r="EH515" s="108"/>
      <c r="EI515" s="43"/>
      <c r="EJ515" s="47"/>
      <c r="EK515" s="47"/>
      <c r="EL515" s="47"/>
      <c r="EM515" s="47"/>
      <c r="EN515" s="47"/>
      <c r="EO515" s="47"/>
      <c r="EP515" s="47"/>
      <c r="EQ515" s="47"/>
      <c r="ER515" s="47"/>
      <c r="ES515" s="47"/>
      <c r="ET515" s="47"/>
      <c r="EU515" s="47"/>
      <c r="EV515" s="47"/>
      <c r="EW515" s="47"/>
      <c r="EX515" s="47"/>
      <c r="EY515" s="47"/>
      <c r="EZ515" s="47"/>
      <c r="FA515" s="47"/>
      <c r="FB515" s="47"/>
      <c r="FC515" s="47"/>
      <c r="FD515" s="47"/>
      <c r="FE515" s="47"/>
      <c r="FF515" s="47"/>
      <c r="FG515" s="47"/>
      <c r="FH515" s="47"/>
      <c r="FI515" s="47"/>
      <c r="FJ515" s="47"/>
      <c r="FK515" s="47"/>
      <c r="FL515" s="47"/>
      <c r="FM515" s="47"/>
      <c r="FN515" s="47"/>
      <c r="FO515" s="47"/>
      <c r="FP515" s="47"/>
      <c r="FQ515" s="47"/>
      <c r="FR515" s="47"/>
      <c r="FS515" s="47"/>
      <c r="FT515" s="47"/>
      <c r="FU515" s="47"/>
      <c r="FV515" s="47"/>
      <c r="FW515" s="47"/>
      <c r="FX515" s="47"/>
      <c r="FY515" s="47"/>
      <c r="FZ515" s="47"/>
      <c r="GA515" s="47"/>
      <c r="GB515" s="47"/>
      <c r="GC515" s="47"/>
      <c r="GD515" s="47"/>
      <c r="GE515" s="47"/>
    </row>
    <row r="516" spans="1:187" ht="10.5" customHeight="1">
      <c r="A516" s="43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43"/>
      <c r="U516" s="108"/>
      <c r="V516" s="108"/>
      <c r="W516" s="108"/>
      <c r="X516" s="108"/>
      <c r="Y516" s="108"/>
      <c r="Z516" s="108"/>
      <c r="AA516" s="43"/>
      <c r="AB516" s="108"/>
      <c r="AC516" s="108"/>
      <c r="AD516" s="108"/>
      <c r="AE516" s="108"/>
      <c r="AF516" s="108"/>
      <c r="AG516" s="108"/>
      <c r="AH516" s="43"/>
      <c r="AI516" s="108"/>
      <c r="AJ516" s="108"/>
      <c r="AK516" s="108"/>
      <c r="AL516" s="108"/>
      <c r="AM516" s="108"/>
      <c r="AN516" s="108"/>
      <c r="AO516" s="43"/>
      <c r="AP516" s="108"/>
      <c r="AQ516" s="108"/>
      <c r="AR516" s="108"/>
      <c r="AS516" s="108"/>
      <c r="AT516" s="108"/>
      <c r="AU516" s="108"/>
      <c r="AV516" s="43"/>
      <c r="AW516" s="108"/>
      <c r="AX516" s="108"/>
      <c r="AY516" s="108"/>
      <c r="AZ516" s="108"/>
      <c r="BA516" s="108"/>
      <c r="BB516" s="108"/>
      <c r="BC516" s="43"/>
      <c r="BD516" s="108"/>
      <c r="BE516" s="108"/>
      <c r="BF516" s="108"/>
      <c r="BG516" s="108"/>
      <c r="BH516" s="108"/>
      <c r="BI516" s="108"/>
      <c r="BJ516" s="43"/>
      <c r="BK516" s="108"/>
      <c r="BL516" s="108"/>
      <c r="BM516" s="108"/>
      <c r="BN516" s="108"/>
      <c r="BO516" s="108"/>
      <c r="BP516" s="108"/>
      <c r="BQ516" s="43"/>
      <c r="BR516" s="108"/>
      <c r="BS516" s="108"/>
      <c r="BT516" s="108"/>
      <c r="BU516" s="108"/>
      <c r="BV516" s="108"/>
      <c r="BW516" s="108"/>
      <c r="BX516" s="43"/>
      <c r="BY516" s="108"/>
      <c r="BZ516" s="108"/>
      <c r="CA516" s="108"/>
      <c r="CB516" s="108"/>
      <c r="CC516" s="108"/>
      <c r="CD516" s="108"/>
      <c r="CE516" s="43"/>
      <c r="CF516" s="108"/>
      <c r="CG516" s="108"/>
      <c r="CH516" s="108"/>
      <c r="CI516" s="108"/>
      <c r="CJ516" s="108"/>
      <c r="CK516" s="108"/>
      <c r="CL516" s="43"/>
      <c r="CM516" s="108"/>
      <c r="CN516" s="108"/>
      <c r="CO516" s="108"/>
      <c r="CP516" s="108"/>
      <c r="CQ516" s="108"/>
      <c r="CR516" s="108"/>
      <c r="CS516" s="43"/>
      <c r="CT516" s="108"/>
      <c r="CU516" s="108"/>
      <c r="CV516" s="108"/>
      <c r="CW516" s="108"/>
      <c r="CX516" s="108"/>
      <c r="CY516" s="108"/>
      <c r="CZ516" s="43"/>
      <c r="DA516" s="108"/>
      <c r="DB516" s="108"/>
      <c r="DC516" s="108"/>
      <c r="DD516" s="108"/>
      <c r="DE516" s="108"/>
      <c r="DF516" s="108"/>
      <c r="DG516" s="43"/>
      <c r="DH516" s="108"/>
      <c r="DI516" s="108"/>
      <c r="DJ516" s="108"/>
      <c r="DK516" s="108"/>
      <c r="DL516" s="108"/>
      <c r="DM516" s="108"/>
      <c r="DN516" s="43"/>
      <c r="DO516" s="108"/>
      <c r="DP516" s="108"/>
      <c r="DQ516" s="108"/>
      <c r="DR516" s="108"/>
      <c r="DS516" s="108"/>
      <c r="DT516" s="108"/>
      <c r="DU516" s="43"/>
      <c r="DV516" s="108"/>
      <c r="DW516" s="108"/>
      <c r="DX516" s="108"/>
      <c r="DY516" s="108"/>
      <c r="DZ516" s="108"/>
      <c r="EA516" s="108"/>
      <c r="EB516" s="43"/>
      <c r="EC516" s="108"/>
      <c r="ED516" s="108"/>
      <c r="EE516" s="108"/>
      <c r="EF516" s="108"/>
      <c r="EG516" s="108"/>
      <c r="EH516" s="108"/>
      <c r="EI516" s="43"/>
      <c r="EJ516" s="47"/>
      <c r="EK516" s="47"/>
      <c r="EL516" s="47"/>
      <c r="EM516" s="47"/>
      <c r="EN516" s="47"/>
      <c r="EO516" s="47"/>
      <c r="EP516" s="47"/>
      <c r="EQ516" s="47"/>
      <c r="ER516" s="47"/>
      <c r="ES516" s="47"/>
      <c r="ET516" s="47"/>
      <c r="EU516" s="47"/>
      <c r="EV516" s="47"/>
      <c r="EW516" s="47"/>
      <c r="EX516" s="47"/>
      <c r="EY516" s="47"/>
      <c r="EZ516" s="47"/>
      <c r="FA516" s="47"/>
      <c r="FB516" s="47"/>
      <c r="FC516" s="47"/>
      <c r="FD516" s="47"/>
      <c r="FE516" s="47"/>
      <c r="FF516" s="47"/>
      <c r="FG516" s="47"/>
      <c r="FH516" s="47"/>
      <c r="FI516" s="47"/>
      <c r="FJ516" s="47"/>
      <c r="FK516" s="47"/>
      <c r="FL516" s="47"/>
      <c r="FM516" s="47"/>
      <c r="FN516" s="47"/>
      <c r="FO516" s="47"/>
      <c r="FP516" s="47"/>
      <c r="FQ516" s="47"/>
      <c r="FR516" s="47"/>
      <c r="FS516" s="47"/>
      <c r="FT516" s="47"/>
      <c r="FU516" s="47"/>
      <c r="FV516" s="47"/>
      <c r="FW516" s="47"/>
      <c r="FX516" s="47"/>
      <c r="FY516" s="47"/>
      <c r="FZ516" s="47"/>
      <c r="GA516" s="47"/>
      <c r="GB516" s="47"/>
      <c r="GC516" s="47"/>
      <c r="GD516" s="47"/>
      <c r="GE516" s="47"/>
    </row>
    <row r="517" spans="1:187" ht="10.5" customHeight="1">
      <c r="A517" s="43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43"/>
      <c r="U517" s="108"/>
      <c r="V517" s="108"/>
      <c r="W517" s="108"/>
      <c r="X517" s="108"/>
      <c r="Y517" s="108"/>
      <c r="Z517" s="108"/>
      <c r="AA517" s="43"/>
      <c r="AB517" s="108"/>
      <c r="AC517" s="108"/>
      <c r="AD517" s="108"/>
      <c r="AE517" s="108"/>
      <c r="AF517" s="108"/>
      <c r="AG517" s="108"/>
      <c r="AH517" s="43"/>
      <c r="AI517" s="108"/>
      <c r="AJ517" s="108"/>
      <c r="AK517" s="108"/>
      <c r="AL517" s="108"/>
      <c r="AM517" s="108"/>
      <c r="AN517" s="108"/>
      <c r="AO517" s="43"/>
      <c r="AP517" s="108"/>
      <c r="AQ517" s="108"/>
      <c r="AR517" s="108"/>
      <c r="AS517" s="108"/>
      <c r="AT517" s="108"/>
      <c r="AU517" s="108"/>
      <c r="AV517" s="43"/>
      <c r="AW517" s="108"/>
      <c r="AX517" s="108"/>
      <c r="AY517" s="108"/>
      <c r="AZ517" s="108"/>
      <c r="BA517" s="108"/>
      <c r="BB517" s="108"/>
      <c r="BC517" s="43"/>
      <c r="BD517" s="108"/>
      <c r="BE517" s="108"/>
      <c r="BF517" s="108"/>
      <c r="BG517" s="108"/>
      <c r="BH517" s="108"/>
      <c r="BI517" s="108"/>
      <c r="BJ517" s="43"/>
      <c r="BK517" s="108"/>
      <c r="BL517" s="108"/>
      <c r="BM517" s="108"/>
      <c r="BN517" s="108"/>
      <c r="BO517" s="108"/>
      <c r="BP517" s="108"/>
      <c r="BQ517" s="43"/>
      <c r="BR517" s="108"/>
      <c r="BS517" s="108"/>
      <c r="BT517" s="108"/>
      <c r="BU517" s="108"/>
      <c r="BV517" s="108"/>
      <c r="BW517" s="108"/>
      <c r="BX517" s="43"/>
      <c r="BY517" s="108"/>
      <c r="BZ517" s="108"/>
      <c r="CA517" s="108"/>
      <c r="CB517" s="108"/>
      <c r="CC517" s="108"/>
      <c r="CD517" s="108"/>
      <c r="CE517" s="43"/>
      <c r="CF517" s="108"/>
      <c r="CG517" s="108"/>
      <c r="CH517" s="108"/>
      <c r="CI517" s="108"/>
      <c r="CJ517" s="108"/>
      <c r="CK517" s="108"/>
      <c r="CL517" s="43"/>
      <c r="CM517" s="108"/>
      <c r="CN517" s="108"/>
      <c r="CO517" s="108"/>
      <c r="CP517" s="108"/>
      <c r="CQ517" s="108"/>
      <c r="CR517" s="108"/>
      <c r="CS517" s="43"/>
      <c r="CT517" s="108"/>
      <c r="CU517" s="108"/>
      <c r="CV517" s="108"/>
      <c r="CW517" s="108"/>
      <c r="CX517" s="108"/>
      <c r="CY517" s="108"/>
      <c r="CZ517" s="43"/>
      <c r="DA517" s="108"/>
      <c r="DB517" s="108"/>
      <c r="DC517" s="108"/>
      <c r="DD517" s="108"/>
      <c r="DE517" s="108"/>
      <c r="DF517" s="108"/>
      <c r="DG517" s="43"/>
      <c r="DH517" s="108"/>
      <c r="DI517" s="108"/>
      <c r="DJ517" s="108"/>
      <c r="DK517" s="108"/>
      <c r="DL517" s="108"/>
      <c r="DM517" s="108"/>
      <c r="DN517" s="43"/>
      <c r="DO517" s="108"/>
      <c r="DP517" s="108"/>
      <c r="DQ517" s="108"/>
      <c r="DR517" s="108"/>
      <c r="DS517" s="108"/>
      <c r="DT517" s="108"/>
      <c r="DU517" s="43"/>
      <c r="DV517" s="108"/>
      <c r="DW517" s="108"/>
      <c r="DX517" s="108"/>
      <c r="DY517" s="108"/>
      <c r="DZ517" s="108"/>
      <c r="EA517" s="108"/>
      <c r="EB517" s="43"/>
      <c r="EC517" s="108"/>
      <c r="ED517" s="108"/>
      <c r="EE517" s="108"/>
      <c r="EF517" s="108"/>
      <c r="EG517" s="108"/>
      <c r="EH517" s="108"/>
      <c r="EI517" s="43"/>
      <c r="EJ517" s="47"/>
      <c r="EK517" s="47"/>
      <c r="EL517" s="47"/>
      <c r="EM517" s="47"/>
      <c r="EN517" s="47"/>
      <c r="EO517" s="47"/>
      <c r="EP517" s="47"/>
      <c r="EQ517" s="47"/>
      <c r="ER517" s="47"/>
      <c r="ES517" s="47"/>
      <c r="ET517" s="47"/>
      <c r="EU517" s="47"/>
      <c r="EV517" s="47"/>
      <c r="EW517" s="47"/>
      <c r="EX517" s="47"/>
      <c r="EY517" s="47"/>
      <c r="EZ517" s="47"/>
      <c r="FA517" s="47"/>
      <c r="FB517" s="47"/>
      <c r="FC517" s="47"/>
      <c r="FD517" s="47"/>
      <c r="FE517" s="47"/>
      <c r="FF517" s="47"/>
      <c r="FG517" s="47"/>
      <c r="FH517" s="47"/>
      <c r="FI517" s="47"/>
      <c r="FJ517" s="47"/>
      <c r="FK517" s="47"/>
      <c r="FL517" s="47"/>
      <c r="FM517" s="47"/>
      <c r="FN517" s="47"/>
      <c r="FO517" s="47"/>
      <c r="FP517" s="47"/>
      <c r="FQ517" s="47"/>
      <c r="FR517" s="47"/>
      <c r="FS517" s="47"/>
      <c r="FT517" s="47"/>
      <c r="FU517" s="47"/>
      <c r="FV517" s="47"/>
      <c r="FW517" s="47"/>
      <c r="FX517" s="47"/>
      <c r="FY517" s="47"/>
      <c r="FZ517" s="47"/>
      <c r="GA517" s="47"/>
      <c r="GB517" s="47"/>
      <c r="GC517" s="47"/>
      <c r="GD517" s="47"/>
      <c r="GE517" s="47"/>
    </row>
    <row r="518" spans="1:187" ht="10.5" customHeight="1">
      <c r="A518" s="43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43"/>
      <c r="U518" s="108"/>
      <c r="V518" s="108"/>
      <c r="W518" s="108"/>
      <c r="X518" s="108"/>
      <c r="Y518" s="108"/>
      <c r="Z518" s="108"/>
      <c r="AA518" s="43"/>
      <c r="AB518" s="108"/>
      <c r="AC518" s="108"/>
      <c r="AD518" s="108"/>
      <c r="AE518" s="108"/>
      <c r="AF518" s="108"/>
      <c r="AG518" s="108"/>
      <c r="AH518" s="43"/>
      <c r="AI518" s="108"/>
      <c r="AJ518" s="108"/>
      <c r="AK518" s="108"/>
      <c r="AL518" s="108"/>
      <c r="AM518" s="108"/>
      <c r="AN518" s="108"/>
      <c r="AO518" s="43"/>
      <c r="AP518" s="108"/>
      <c r="AQ518" s="108"/>
      <c r="AR518" s="108"/>
      <c r="AS518" s="108"/>
      <c r="AT518" s="108"/>
      <c r="AU518" s="108"/>
      <c r="AV518" s="43"/>
      <c r="AW518" s="108"/>
      <c r="AX518" s="108"/>
      <c r="AY518" s="108"/>
      <c r="AZ518" s="108"/>
      <c r="BA518" s="108"/>
      <c r="BB518" s="108"/>
      <c r="BC518" s="43"/>
      <c r="BD518" s="108"/>
      <c r="BE518" s="108"/>
      <c r="BF518" s="108"/>
      <c r="BG518" s="108"/>
      <c r="BH518" s="108"/>
      <c r="BI518" s="108"/>
      <c r="BJ518" s="43"/>
      <c r="BK518" s="108"/>
      <c r="BL518" s="108"/>
      <c r="BM518" s="108"/>
      <c r="BN518" s="108"/>
      <c r="BO518" s="108"/>
      <c r="BP518" s="108"/>
      <c r="BQ518" s="43"/>
      <c r="BR518" s="108"/>
      <c r="BS518" s="108"/>
      <c r="BT518" s="108"/>
      <c r="BU518" s="108"/>
      <c r="BV518" s="108"/>
      <c r="BW518" s="108"/>
      <c r="BX518" s="43"/>
      <c r="BY518" s="108"/>
      <c r="BZ518" s="108"/>
      <c r="CA518" s="108"/>
      <c r="CB518" s="108"/>
      <c r="CC518" s="108"/>
      <c r="CD518" s="108"/>
      <c r="CE518" s="43"/>
      <c r="CF518" s="108"/>
      <c r="CG518" s="108"/>
      <c r="CH518" s="108"/>
      <c r="CI518" s="108"/>
      <c r="CJ518" s="108"/>
      <c r="CK518" s="108"/>
      <c r="CL518" s="43"/>
      <c r="CM518" s="108"/>
      <c r="CN518" s="108"/>
      <c r="CO518" s="108"/>
      <c r="CP518" s="108"/>
      <c r="CQ518" s="108"/>
      <c r="CR518" s="108"/>
      <c r="CS518" s="43"/>
      <c r="CT518" s="108"/>
      <c r="CU518" s="108"/>
      <c r="CV518" s="108"/>
      <c r="CW518" s="108"/>
      <c r="CX518" s="108"/>
      <c r="CY518" s="108"/>
      <c r="CZ518" s="43"/>
      <c r="DA518" s="108"/>
      <c r="DB518" s="108"/>
      <c r="DC518" s="108"/>
      <c r="DD518" s="108"/>
      <c r="DE518" s="108"/>
      <c r="DF518" s="108"/>
      <c r="DG518" s="43"/>
      <c r="DH518" s="108"/>
      <c r="DI518" s="108"/>
      <c r="DJ518" s="108"/>
      <c r="DK518" s="108"/>
      <c r="DL518" s="108"/>
      <c r="DM518" s="108"/>
      <c r="DN518" s="43"/>
      <c r="DO518" s="108"/>
      <c r="DP518" s="108"/>
      <c r="DQ518" s="108"/>
      <c r="DR518" s="108"/>
      <c r="DS518" s="108"/>
      <c r="DT518" s="108"/>
      <c r="DU518" s="43"/>
      <c r="DV518" s="108"/>
      <c r="DW518" s="108"/>
      <c r="DX518" s="108"/>
      <c r="DY518" s="108"/>
      <c r="DZ518" s="108"/>
      <c r="EA518" s="108"/>
      <c r="EB518" s="43"/>
      <c r="EC518" s="108"/>
      <c r="ED518" s="108"/>
      <c r="EE518" s="108"/>
      <c r="EF518" s="108"/>
      <c r="EG518" s="108"/>
      <c r="EH518" s="108"/>
      <c r="EI518" s="43"/>
      <c r="EJ518" s="47"/>
      <c r="EK518" s="47"/>
      <c r="EL518" s="47"/>
      <c r="EM518" s="47"/>
      <c r="EN518" s="47"/>
      <c r="EO518" s="47"/>
      <c r="EP518" s="47"/>
      <c r="EQ518" s="47"/>
      <c r="ER518" s="47"/>
      <c r="ES518" s="47"/>
      <c r="ET518" s="47"/>
      <c r="EU518" s="47"/>
      <c r="EV518" s="47"/>
      <c r="EW518" s="47"/>
      <c r="EX518" s="47"/>
      <c r="EY518" s="47"/>
      <c r="EZ518" s="47"/>
      <c r="FA518" s="47"/>
      <c r="FB518" s="47"/>
      <c r="FC518" s="47"/>
      <c r="FD518" s="47"/>
      <c r="FE518" s="47"/>
      <c r="FF518" s="47"/>
      <c r="FG518" s="47"/>
      <c r="FH518" s="47"/>
      <c r="FI518" s="47"/>
      <c r="FJ518" s="47"/>
      <c r="FK518" s="47"/>
      <c r="FL518" s="47"/>
      <c r="FM518" s="47"/>
      <c r="FN518" s="47"/>
      <c r="FO518" s="47"/>
      <c r="FP518" s="47"/>
      <c r="FQ518" s="47"/>
      <c r="FR518" s="47"/>
      <c r="FS518" s="47"/>
      <c r="FT518" s="47"/>
      <c r="FU518" s="47"/>
      <c r="FV518" s="47"/>
      <c r="FW518" s="47"/>
      <c r="FX518" s="47"/>
      <c r="FY518" s="47"/>
      <c r="FZ518" s="47"/>
      <c r="GA518" s="47"/>
      <c r="GB518" s="47"/>
      <c r="GC518" s="47"/>
      <c r="GD518" s="47"/>
      <c r="GE518" s="47"/>
    </row>
    <row r="519" spans="1:187" ht="10.5" customHeight="1">
      <c r="A519" s="43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43"/>
      <c r="U519" s="108"/>
      <c r="V519" s="108"/>
      <c r="W519" s="108"/>
      <c r="X519" s="108"/>
      <c r="Y519" s="108"/>
      <c r="Z519" s="108"/>
      <c r="AA519" s="43"/>
      <c r="AB519" s="108"/>
      <c r="AC519" s="108"/>
      <c r="AD519" s="108"/>
      <c r="AE519" s="108"/>
      <c r="AF519" s="108"/>
      <c r="AG519" s="108"/>
      <c r="AH519" s="43"/>
      <c r="AI519" s="108"/>
      <c r="AJ519" s="108"/>
      <c r="AK519" s="108"/>
      <c r="AL519" s="108"/>
      <c r="AM519" s="108"/>
      <c r="AN519" s="108"/>
      <c r="AO519" s="43"/>
      <c r="AP519" s="108"/>
      <c r="AQ519" s="108"/>
      <c r="AR519" s="108"/>
      <c r="AS519" s="108"/>
      <c r="AT519" s="108"/>
      <c r="AU519" s="108"/>
      <c r="AV519" s="43"/>
      <c r="AW519" s="108"/>
      <c r="AX519" s="108"/>
      <c r="AY519" s="108"/>
      <c r="AZ519" s="108"/>
      <c r="BA519" s="108"/>
      <c r="BB519" s="108"/>
      <c r="BC519" s="43"/>
      <c r="BD519" s="108"/>
      <c r="BE519" s="108"/>
      <c r="BF519" s="108"/>
      <c r="BG519" s="108"/>
      <c r="BH519" s="108"/>
      <c r="BI519" s="108"/>
      <c r="BJ519" s="43"/>
      <c r="BK519" s="108"/>
      <c r="BL519" s="108"/>
      <c r="BM519" s="108"/>
      <c r="BN519" s="108"/>
      <c r="BO519" s="108"/>
      <c r="BP519" s="108"/>
      <c r="BQ519" s="43"/>
      <c r="BR519" s="108"/>
      <c r="BS519" s="108"/>
      <c r="BT519" s="108"/>
      <c r="BU519" s="108"/>
      <c r="BV519" s="108"/>
      <c r="BW519" s="108"/>
      <c r="BX519" s="43"/>
      <c r="BY519" s="108"/>
      <c r="BZ519" s="108"/>
      <c r="CA519" s="108"/>
      <c r="CB519" s="108"/>
      <c r="CC519" s="108"/>
      <c r="CD519" s="108"/>
      <c r="CE519" s="43"/>
      <c r="CF519" s="108"/>
      <c r="CG519" s="108"/>
      <c r="CH519" s="108"/>
      <c r="CI519" s="108"/>
      <c r="CJ519" s="108"/>
      <c r="CK519" s="108"/>
      <c r="CL519" s="43"/>
      <c r="CM519" s="108"/>
      <c r="CN519" s="108"/>
      <c r="CO519" s="108"/>
      <c r="CP519" s="108"/>
      <c r="CQ519" s="108"/>
      <c r="CR519" s="108"/>
      <c r="CS519" s="43"/>
      <c r="CT519" s="108"/>
      <c r="CU519" s="108"/>
      <c r="CV519" s="108"/>
      <c r="CW519" s="108"/>
      <c r="CX519" s="108"/>
      <c r="CY519" s="108"/>
      <c r="CZ519" s="43"/>
      <c r="DA519" s="108"/>
      <c r="DB519" s="108"/>
      <c r="DC519" s="108"/>
      <c r="DD519" s="108"/>
      <c r="DE519" s="108"/>
      <c r="DF519" s="108"/>
      <c r="DG519" s="43"/>
      <c r="DH519" s="108"/>
      <c r="DI519" s="108"/>
      <c r="DJ519" s="108"/>
      <c r="DK519" s="108"/>
      <c r="DL519" s="108"/>
      <c r="DM519" s="108"/>
      <c r="DN519" s="43"/>
      <c r="DO519" s="108"/>
      <c r="DP519" s="108"/>
      <c r="DQ519" s="108"/>
      <c r="DR519" s="108"/>
      <c r="DS519" s="108"/>
      <c r="DT519" s="108"/>
      <c r="DU519" s="43"/>
      <c r="DV519" s="108"/>
      <c r="DW519" s="108"/>
      <c r="DX519" s="108"/>
      <c r="DY519" s="108"/>
      <c r="DZ519" s="108"/>
      <c r="EA519" s="108"/>
      <c r="EB519" s="43"/>
      <c r="EC519" s="108"/>
      <c r="ED519" s="108"/>
      <c r="EE519" s="108"/>
      <c r="EF519" s="108"/>
      <c r="EG519" s="108"/>
      <c r="EH519" s="108"/>
      <c r="EI519" s="43"/>
      <c r="EJ519" s="47"/>
      <c r="EK519" s="47"/>
      <c r="EL519" s="47"/>
      <c r="EM519" s="47"/>
      <c r="EN519" s="47"/>
      <c r="EO519" s="47"/>
      <c r="EP519" s="47"/>
      <c r="EQ519" s="47"/>
      <c r="ER519" s="47"/>
      <c r="ES519" s="47"/>
      <c r="ET519" s="47"/>
      <c r="EU519" s="47"/>
      <c r="EV519" s="47"/>
      <c r="EW519" s="47"/>
      <c r="EX519" s="47"/>
      <c r="EY519" s="47"/>
      <c r="EZ519" s="47"/>
      <c r="FA519" s="47"/>
      <c r="FB519" s="47"/>
      <c r="FC519" s="47"/>
      <c r="FD519" s="47"/>
      <c r="FE519" s="47"/>
      <c r="FF519" s="47"/>
      <c r="FG519" s="47"/>
      <c r="FH519" s="47"/>
      <c r="FI519" s="47"/>
      <c r="FJ519" s="47"/>
      <c r="FK519" s="47"/>
      <c r="FL519" s="47"/>
      <c r="FM519" s="47"/>
      <c r="FN519" s="47"/>
      <c r="FO519" s="47"/>
      <c r="FP519" s="47"/>
      <c r="FQ519" s="47"/>
      <c r="FR519" s="47"/>
      <c r="FS519" s="47"/>
      <c r="FT519" s="47"/>
      <c r="FU519" s="47"/>
      <c r="FV519" s="47"/>
      <c r="FW519" s="47"/>
      <c r="FX519" s="47"/>
      <c r="FY519" s="47"/>
      <c r="FZ519" s="47"/>
      <c r="GA519" s="47"/>
      <c r="GB519" s="47"/>
      <c r="GC519" s="47"/>
      <c r="GD519" s="47"/>
      <c r="GE519" s="47"/>
    </row>
    <row r="520" spans="1:187" ht="10.5" customHeight="1">
      <c r="A520" s="43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43"/>
      <c r="U520" s="108"/>
      <c r="V520" s="108"/>
      <c r="W520" s="108"/>
      <c r="X520" s="108"/>
      <c r="Y520" s="108"/>
      <c r="Z520" s="108"/>
      <c r="AA520" s="43"/>
      <c r="AB520" s="108"/>
      <c r="AC520" s="108"/>
      <c r="AD520" s="108"/>
      <c r="AE520" s="108"/>
      <c r="AF520" s="108"/>
      <c r="AG520" s="108"/>
      <c r="AH520" s="43"/>
      <c r="AI520" s="108"/>
      <c r="AJ520" s="108"/>
      <c r="AK520" s="108"/>
      <c r="AL520" s="108"/>
      <c r="AM520" s="108"/>
      <c r="AN520" s="108"/>
      <c r="AO520" s="43"/>
      <c r="AP520" s="108"/>
      <c r="AQ520" s="108"/>
      <c r="AR520" s="108"/>
      <c r="AS520" s="108"/>
      <c r="AT520" s="108"/>
      <c r="AU520" s="108"/>
      <c r="AV520" s="43"/>
      <c r="AW520" s="108"/>
      <c r="AX520" s="108"/>
      <c r="AY520" s="108"/>
      <c r="AZ520" s="108"/>
      <c r="BA520" s="108"/>
      <c r="BB520" s="108"/>
      <c r="BC520" s="43"/>
      <c r="BD520" s="108"/>
      <c r="BE520" s="108"/>
      <c r="BF520" s="108"/>
      <c r="BG520" s="108"/>
      <c r="BH520" s="108"/>
      <c r="BI520" s="108"/>
      <c r="BJ520" s="43"/>
      <c r="BK520" s="108"/>
      <c r="BL520" s="108"/>
      <c r="BM520" s="108"/>
      <c r="BN520" s="108"/>
      <c r="BO520" s="108"/>
      <c r="BP520" s="108"/>
      <c r="BQ520" s="43"/>
      <c r="BR520" s="108"/>
      <c r="BS520" s="108"/>
      <c r="BT520" s="108"/>
      <c r="BU520" s="108"/>
      <c r="BV520" s="108"/>
      <c r="BW520" s="108"/>
      <c r="BX520" s="43"/>
      <c r="BY520" s="108"/>
      <c r="BZ520" s="108"/>
      <c r="CA520" s="108"/>
      <c r="CB520" s="108"/>
      <c r="CC520" s="108"/>
      <c r="CD520" s="108"/>
      <c r="CE520" s="43"/>
      <c r="CF520" s="108"/>
      <c r="CG520" s="108"/>
      <c r="CH520" s="108"/>
      <c r="CI520" s="108"/>
      <c r="CJ520" s="108"/>
      <c r="CK520" s="108"/>
      <c r="CL520" s="43"/>
      <c r="CM520" s="108"/>
      <c r="CN520" s="108"/>
      <c r="CO520" s="108"/>
      <c r="CP520" s="108"/>
      <c r="CQ520" s="108"/>
      <c r="CR520" s="108"/>
      <c r="CS520" s="43"/>
      <c r="CT520" s="108"/>
      <c r="CU520" s="108"/>
      <c r="CV520" s="108"/>
      <c r="CW520" s="108"/>
      <c r="CX520" s="108"/>
      <c r="CY520" s="108"/>
      <c r="CZ520" s="43"/>
      <c r="DA520" s="108"/>
      <c r="DB520" s="108"/>
      <c r="DC520" s="108"/>
      <c r="DD520" s="108"/>
      <c r="DE520" s="108"/>
      <c r="DF520" s="108"/>
      <c r="DG520" s="43"/>
      <c r="DH520" s="108"/>
      <c r="DI520" s="108"/>
      <c r="DJ520" s="108"/>
      <c r="DK520" s="108"/>
      <c r="DL520" s="108"/>
      <c r="DM520" s="108"/>
      <c r="DN520" s="43"/>
      <c r="DO520" s="108"/>
      <c r="DP520" s="108"/>
      <c r="DQ520" s="108"/>
      <c r="DR520" s="108"/>
      <c r="DS520" s="108"/>
      <c r="DT520" s="108"/>
      <c r="DU520" s="43"/>
      <c r="DV520" s="108"/>
      <c r="DW520" s="108"/>
      <c r="DX520" s="108"/>
      <c r="DY520" s="108"/>
      <c r="DZ520" s="108"/>
      <c r="EA520" s="108"/>
      <c r="EB520" s="43"/>
      <c r="EC520" s="108"/>
      <c r="ED520" s="108"/>
      <c r="EE520" s="108"/>
      <c r="EF520" s="108"/>
      <c r="EG520" s="108"/>
      <c r="EH520" s="108"/>
      <c r="EI520" s="43"/>
      <c r="EJ520" s="47"/>
      <c r="EK520" s="47"/>
      <c r="EL520" s="47"/>
      <c r="EM520" s="47"/>
      <c r="EN520" s="47"/>
      <c r="EO520" s="47"/>
      <c r="EP520" s="47"/>
      <c r="EQ520" s="47"/>
      <c r="ER520" s="47"/>
      <c r="ES520" s="47"/>
      <c r="ET520" s="47"/>
      <c r="EU520" s="47"/>
      <c r="EV520" s="47"/>
      <c r="EW520" s="47"/>
      <c r="EX520" s="47"/>
      <c r="EY520" s="47"/>
      <c r="EZ520" s="47"/>
      <c r="FA520" s="47"/>
      <c r="FB520" s="47"/>
      <c r="FC520" s="47"/>
      <c r="FD520" s="47"/>
      <c r="FE520" s="47"/>
      <c r="FF520" s="47"/>
      <c r="FG520" s="47"/>
      <c r="FH520" s="47"/>
      <c r="FI520" s="47"/>
      <c r="FJ520" s="47"/>
      <c r="FK520" s="47"/>
      <c r="FL520" s="47"/>
      <c r="FM520" s="47"/>
      <c r="FN520" s="47"/>
      <c r="FO520" s="47"/>
      <c r="FP520" s="47"/>
      <c r="FQ520" s="47"/>
      <c r="FR520" s="47"/>
      <c r="FS520" s="47"/>
      <c r="FT520" s="47"/>
      <c r="FU520" s="47"/>
      <c r="FV520" s="47"/>
      <c r="FW520" s="47"/>
      <c r="FX520" s="47"/>
      <c r="FY520" s="47"/>
      <c r="FZ520" s="47"/>
      <c r="GA520" s="47"/>
      <c r="GB520" s="47"/>
      <c r="GC520" s="47"/>
      <c r="GD520" s="47"/>
      <c r="GE520" s="47"/>
    </row>
    <row r="521" spans="1:187" ht="10.5" customHeight="1">
      <c r="A521" s="43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43"/>
      <c r="U521" s="108"/>
      <c r="V521" s="108"/>
      <c r="W521" s="108"/>
      <c r="X521" s="108"/>
      <c r="Y521" s="108"/>
      <c r="Z521" s="108"/>
      <c r="AA521" s="43"/>
      <c r="AB521" s="108"/>
      <c r="AC521" s="108"/>
      <c r="AD521" s="108"/>
      <c r="AE521" s="108"/>
      <c r="AF521" s="108"/>
      <c r="AG521" s="108"/>
      <c r="AH521" s="43"/>
      <c r="AI521" s="108"/>
      <c r="AJ521" s="108"/>
      <c r="AK521" s="108"/>
      <c r="AL521" s="108"/>
      <c r="AM521" s="108"/>
      <c r="AN521" s="108"/>
      <c r="AO521" s="43"/>
      <c r="AP521" s="108"/>
      <c r="AQ521" s="108"/>
      <c r="AR521" s="108"/>
      <c r="AS521" s="108"/>
      <c r="AT521" s="108"/>
      <c r="AU521" s="108"/>
      <c r="AV521" s="43"/>
      <c r="AW521" s="108"/>
      <c r="AX521" s="108"/>
      <c r="AY521" s="108"/>
      <c r="AZ521" s="108"/>
      <c r="BA521" s="108"/>
      <c r="BB521" s="108"/>
      <c r="BC521" s="43"/>
      <c r="BD521" s="108"/>
      <c r="BE521" s="108"/>
      <c r="BF521" s="108"/>
      <c r="BG521" s="108"/>
      <c r="BH521" s="108"/>
      <c r="BI521" s="108"/>
      <c r="BJ521" s="43"/>
      <c r="BK521" s="108"/>
      <c r="BL521" s="108"/>
      <c r="BM521" s="108"/>
      <c r="BN521" s="108"/>
      <c r="BO521" s="108"/>
      <c r="BP521" s="108"/>
      <c r="BQ521" s="43"/>
      <c r="BR521" s="108"/>
      <c r="BS521" s="108"/>
      <c r="BT521" s="108"/>
      <c r="BU521" s="108"/>
      <c r="BV521" s="108"/>
      <c r="BW521" s="108"/>
      <c r="BX521" s="43"/>
      <c r="BY521" s="108"/>
      <c r="BZ521" s="108"/>
      <c r="CA521" s="108"/>
      <c r="CB521" s="108"/>
      <c r="CC521" s="108"/>
      <c r="CD521" s="108"/>
      <c r="CE521" s="43"/>
      <c r="CF521" s="108"/>
      <c r="CG521" s="108"/>
      <c r="CH521" s="108"/>
      <c r="CI521" s="108"/>
      <c r="CJ521" s="108"/>
      <c r="CK521" s="108"/>
      <c r="CL521" s="43"/>
      <c r="CM521" s="108"/>
      <c r="CN521" s="108"/>
      <c r="CO521" s="108"/>
      <c r="CP521" s="108"/>
      <c r="CQ521" s="108"/>
      <c r="CR521" s="108"/>
      <c r="CS521" s="43"/>
      <c r="CT521" s="108"/>
      <c r="CU521" s="108"/>
      <c r="CV521" s="108"/>
      <c r="CW521" s="108"/>
      <c r="CX521" s="108"/>
      <c r="CY521" s="108"/>
      <c r="CZ521" s="43"/>
      <c r="DA521" s="108"/>
      <c r="DB521" s="108"/>
      <c r="DC521" s="108"/>
      <c r="DD521" s="108"/>
      <c r="DE521" s="108"/>
      <c r="DF521" s="108"/>
      <c r="DG521" s="43"/>
      <c r="DH521" s="108"/>
      <c r="DI521" s="108"/>
      <c r="DJ521" s="108"/>
      <c r="DK521" s="108"/>
      <c r="DL521" s="108"/>
      <c r="DM521" s="108"/>
      <c r="DN521" s="43"/>
      <c r="DO521" s="108"/>
      <c r="DP521" s="108"/>
      <c r="DQ521" s="108"/>
      <c r="DR521" s="108"/>
      <c r="DS521" s="108"/>
      <c r="DT521" s="108"/>
      <c r="DU521" s="43"/>
      <c r="DV521" s="108"/>
      <c r="DW521" s="108"/>
      <c r="DX521" s="108"/>
      <c r="DY521" s="108"/>
      <c r="DZ521" s="108"/>
      <c r="EA521" s="108"/>
      <c r="EB521" s="43"/>
      <c r="EC521" s="108"/>
      <c r="ED521" s="108"/>
      <c r="EE521" s="108"/>
      <c r="EF521" s="108"/>
      <c r="EG521" s="108"/>
      <c r="EH521" s="108"/>
      <c r="EI521" s="43"/>
      <c r="EJ521" s="47"/>
      <c r="EK521" s="47"/>
      <c r="EL521" s="47"/>
      <c r="EM521" s="47"/>
      <c r="EN521" s="47"/>
      <c r="EO521" s="47"/>
      <c r="EP521" s="47"/>
      <c r="EQ521" s="47"/>
      <c r="ER521" s="47"/>
      <c r="ES521" s="47"/>
      <c r="ET521" s="47"/>
      <c r="EU521" s="47"/>
      <c r="EV521" s="47"/>
      <c r="EW521" s="47"/>
      <c r="EX521" s="47"/>
      <c r="EY521" s="47"/>
      <c r="EZ521" s="47"/>
      <c r="FA521" s="47"/>
      <c r="FB521" s="47"/>
      <c r="FC521" s="47"/>
      <c r="FD521" s="47"/>
      <c r="FE521" s="47"/>
      <c r="FF521" s="47"/>
      <c r="FG521" s="47"/>
      <c r="FH521" s="47"/>
      <c r="FI521" s="47"/>
      <c r="FJ521" s="47"/>
      <c r="FK521" s="47"/>
      <c r="FL521" s="47"/>
      <c r="FM521" s="47"/>
      <c r="FN521" s="47"/>
      <c r="FO521" s="47"/>
      <c r="FP521" s="47"/>
      <c r="FQ521" s="47"/>
      <c r="FR521" s="47"/>
      <c r="FS521" s="47"/>
      <c r="FT521" s="47"/>
      <c r="FU521" s="47"/>
      <c r="FV521" s="47"/>
      <c r="FW521" s="47"/>
      <c r="FX521" s="47"/>
      <c r="FY521" s="47"/>
      <c r="FZ521" s="47"/>
      <c r="GA521" s="47"/>
      <c r="GB521" s="47"/>
      <c r="GC521" s="47"/>
      <c r="GD521" s="47"/>
      <c r="GE521" s="47"/>
    </row>
    <row r="522" spans="1:187" ht="10.5" customHeight="1">
      <c r="A522" s="43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43"/>
      <c r="U522" s="108"/>
      <c r="V522" s="108"/>
      <c r="W522" s="108"/>
      <c r="X522" s="108"/>
      <c r="Y522" s="108"/>
      <c r="Z522" s="108"/>
      <c r="AA522" s="43"/>
      <c r="AB522" s="108"/>
      <c r="AC522" s="108"/>
      <c r="AD522" s="108"/>
      <c r="AE522" s="108"/>
      <c r="AF522" s="108"/>
      <c r="AG522" s="108"/>
      <c r="AH522" s="43"/>
      <c r="AI522" s="108"/>
      <c r="AJ522" s="108"/>
      <c r="AK522" s="108"/>
      <c r="AL522" s="108"/>
      <c r="AM522" s="108"/>
      <c r="AN522" s="108"/>
      <c r="AO522" s="43"/>
      <c r="AP522" s="108"/>
      <c r="AQ522" s="108"/>
      <c r="AR522" s="108"/>
      <c r="AS522" s="108"/>
      <c r="AT522" s="108"/>
      <c r="AU522" s="108"/>
      <c r="AV522" s="43"/>
      <c r="AW522" s="108"/>
      <c r="AX522" s="108"/>
      <c r="AY522" s="108"/>
      <c r="AZ522" s="108"/>
      <c r="BA522" s="108"/>
      <c r="BB522" s="108"/>
      <c r="BC522" s="43"/>
      <c r="BD522" s="108"/>
      <c r="BE522" s="108"/>
      <c r="BF522" s="108"/>
      <c r="BG522" s="108"/>
      <c r="BH522" s="108"/>
      <c r="BI522" s="108"/>
      <c r="BJ522" s="43"/>
      <c r="BK522" s="108"/>
      <c r="BL522" s="108"/>
      <c r="BM522" s="108"/>
      <c r="BN522" s="108"/>
      <c r="BO522" s="108"/>
      <c r="BP522" s="108"/>
      <c r="BQ522" s="43"/>
      <c r="BR522" s="108"/>
      <c r="BS522" s="108"/>
      <c r="BT522" s="108"/>
      <c r="BU522" s="108"/>
      <c r="BV522" s="108"/>
      <c r="BW522" s="108"/>
      <c r="BX522" s="43"/>
      <c r="BY522" s="108"/>
      <c r="BZ522" s="108"/>
      <c r="CA522" s="108"/>
      <c r="CB522" s="108"/>
      <c r="CC522" s="108"/>
      <c r="CD522" s="108"/>
      <c r="CE522" s="43"/>
      <c r="CF522" s="108"/>
      <c r="CG522" s="108"/>
      <c r="CH522" s="108"/>
      <c r="CI522" s="108"/>
      <c r="CJ522" s="108"/>
      <c r="CK522" s="108"/>
      <c r="CL522" s="43"/>
      <c r="CM522" s="108"/>
      <c r="CN522" s="108"/>
      <c r="CO522" s="108"/>
      <c r="CP522" s="108"/>
      <c r="CQ522" s="108"/>
      <c r="CR522" s="108"/>
      <c r="CS522" s="43"/>
      <c r="CT522" s="108"/>
      <c r="CU522" s="108"/>
      <c r="CV522" s="108"/>
      <c r="CW522" s="108"/>
      <c r="CX522" s="108"/>
      <c r="CY522" s="108"/>
      <c r="CZ522" s="43"/>
      <c r="DA522" s="108"/>
      <c r="DB522" s="108"/>
      <c r="DC522" s="108"/>
      <c r="DD522" s="108"/>
      <c r="DE522" s="108"/>
      <c r="DF522" s="108"/>
      <c r="DG522" s="43"/>
      <c r="DH522" s="108"/>
      <c r="DI522" s="108"/>
      <c r="DJ522" s="108"/>
      <c r="DK522" s="108"/>
      <c r="DL522" s="108"/>
      <c r="DM522" s="108"/>
      <c r="DN522" s="43"/>
      <c r="DO522" s="108"/>
      <c r="DP522" s="108"/>
      <c r="DQ522" s="108"/>
      <c r="DR522" s="108"/>
      <c r="DS522" s="108"/>
      <c r="DT522" s="108"/>
      <c r="DU522" s="43"/>
      <c r="DV522" s="108"/>
      <c r="DW522" s="108"/>
      <c r="DX522" s="108"/>
      <c r="DY522" s="108"/>
      <c r="DZ522" s="108"/>
      <c r="EA522" s="108"/>
      <c r="EB522" s="43"/>
      <c r="EC522" s="108"/>
      <c r="ED522" s="108"/>
      <c r="EE522" s="108"/>
      <c r="EF522" s="108"/>
      <c r="EG522" s="108"/>
      <c r="EH522" s="108"/>
      <c r="EI522" s="43"/>
      <c r="EJ522" s="47"/>
      <c r="EK522" s="47"/>
      <c r="EL522" s="47"/>
      <c r="EM522" s="47"/>
      <c r="EN522" s="47"/>
      <c r="EO522" s="47"/>
      <c r="EP522" s="47"/>
      <c r="EQ522" s="47"/>
      <c r="ER522" s="47"/>
      <c r="ES522" s="47"/>
      <c r="ET522" s="47"/>
      <c r="EU522" s="47"/>
      <c r="EV522" s="47"/>
      <c r="EW522" s="47"/>
      <c r="EX522" s="47"/>
      <c r="EY522" s="47"/>
      <c r="EZ522" s="47"/>
      <c r="FA522" s="47"/>
      <c r="FB522" s="47"/>
      <c r="FC522" s="47"/>
      <c r="FD522" s="47"/>
      <c r="FE522" s="47"/>
      <c r="FF522" s="47"/>
      <c r="FG522" s="47"/>
      <c r="FH522" s="47"/>
      <c r="FI522" s="47"/>
      <c r="FJ522" s="47"/>
      <c r="FK522" s="47"/>
      <c r="FL522" s="47"/>
      <c r="FM522" s="47"/>
      <c r="FN522" s="47"/>
      <c r="FO522" s="47"/>
      <c r="FP522" s="47"/>
      <c r="FQ522" s="47"/>
      <c r="FR522" s="47"/>
      <c r="FS522" s="47"/>
      <c r="FT522" s="47"/>
      <c r="FU522" s="47"/>
      <c r="FV522" s="47"/>
      <c r="FW522" s="47"/>
      <c r="FX522" s="47"/>
      <c r="FY522" s="47"/>
      <c r="FZ522" s="47"/>
      <c r="GA522" s="47"/>
      <c r="GB522" s="47"/>
      <c r="GC522" s="47"/>
      <c r="GD522" s="47"/>
      <c r="GE522" s="47"/>
    </row>
    <row r="523" spans="1:187" ht="10.5" customHeight="1">
      <c r="A523" s="43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43"/>
      <c r="U523" s="108"/>
      <c r="V523" s="108"/>
      <c r="W523" s="108"/>
      <c r="X523" s="108"/>
      <c r="Y523" s="108"/>
      <c r="Z523" s="108"/>
      <c r="AA523" s="43"/>
      <c r="AB523" s="108"/>
      <c r="AC523" s="108"/>
      <c r="AD523" s="108"/>
      <c r="AE523" s="108"/>
      <c r="AF523" s="108"/>
      <c r="AG523" s="108"/>
      <c r="AH523" s="43"/>
      <c r="AI523" s="108"/>
      <c r="AJ523" s="108"/>
      <c r="AK523" s="108"/>
      <c r="AL523" s="108"/>
      <c r="AM523" s="108"/>
      <c r="AN523" s="108"/>
      <c r="AO523" s="43"/>
      <c r="AP523" s="108"/>
      <c r="AQ523" s="108"/>
      <c r="AR523" s="108"/>
      <c r="AS523" s="108"/>
      <c r="AT523" s="108"/>
      <c r="AU523" s="108"/>
      <c r="AV523" s="43"/>
      <c r="AW523" s="108"/>
      <c r="AX523" s="108"/>
      <c r="AY523" s="108"/>
      <c r="AZ523" s="108"/>
      <c r="BA523" s="108"/>
      <c r="BB523" s="108"/>
      <c r="BC523" s="43"/>
      <c r="BD523" s="108"/>
      <c r="BE523" s="108"/>
      <c r="BF523" s="108"/>
      <c r="BG523" s="108"/>
      <c r="BH523" s="108"/>
      <c r="BI523" s="108"/>
      <c r="BJ523" s="43"/>
      <c r="BK523" s="108"/>
      <c r="BL523" s="108"/>
      <c r="BM523" s="108"/>
      <c r="BN523" s="108"/>
      <c r="BO523" s="108"/>
      <c r="BP523" s="108"/>
      <c r="BQ523" s="43"/>
      <c r="BR523" s="108"/>
      <c r="BS523" s="108"/>
      <c r="BT523" s="108"/>
      <c r="BU523" s="108"/>
      <c r="BV523" s="108"/>
      <c r="BW523" s="108"/>
      <c r="BX523" s="43"/>
      <c r="BY523" s="108"/>
      <c r="BZ523" s="108"/>
      <c r="CA523" s="108"/>
      <c r="CB523" s="108"/>
      <c r="CC523" s="108"/>
      <c r="CD523" s="108"/>
      <c r="CE523" s="43"/>
      <c r="CF523" s="108"/>
      <c r="CG523" s="108"/>
      <c r="CH523" s="108"/>
      <c r="CI523" s="108"/>
      <c r="CJ523" s="108"/>
      <c r="CK523" s="108"/>
      <c r="CL523" s="43"/>
      <c r="CM523" s="108"/>
      <c r="CN523" s="108"/>
      <c r="CO523" s="108"/>
      <c r="CP523" s="108"/>
      <c r="CQ523" s="108"/>
      <c r="CR523" s="108"/>
      <c r="CS523" s="43"/>
      <c r="CT523" s="108"/>
      <c r="CU523" s="108"/>
      <c r="CV523" s="108"/>
      <c r="CW523" s="108"/>
      <c r="CX523" s="108"/>
      <c r="CY523" s="108"/>
      <c r="CZ523" s="43"/>
      <c r="DA523" s="108"/>
      <c r="DB523" s="108"/>
      <c r="DC523" s="108"/>
      <c r="DD523" s="108"/>
      <c r="DE523" s="108"/>
      <c r="DF523" s="108"/>
      <c r="DG523" s="43"/>
      <c r="DH523" s="108"/>
      <c r="DI523" s="108"/>
      <c r="DJ523" s="108"/>
      <c r="DK523" s="108"/>
      <c r="DL523" s="108"/>
      <c r="DM523" s="108"/>
      <c r="DN523" s="43"/>
      <c r="DO523" s="108"/>
      <c r="DP523" s="108"/>
      <c r="DQ523" s="108"/>
      <c r="DR523" s="108"/>
      <c r="DS523" s="108"/>
      <c r="DT523" s="108"/>
      <c r="DU523" s="43"/>
      <c r="DV523" s="108"/>
      <c r="DW523" s="108"/>
      <c r="DX523" s="108"/>
      <c r="DY523" s="108"/>
      <c r="DZ523" s="108"/>
      <c r="EA523" s="108"/>
      <c r="EB523" s="43"/>
      <c r="EC523" s="108"/>
      <c r="ED523" s="108"/>
      <c r="EE523" s="108"/>
      <c r="EF523" s="108"/>
      <c r="EG523" s="108"/>
      <c r="EH523" s="108"/>
      <c r="EI523" s="43"/>
      <c r="EJ523" s="47"/>
      <c r="EK523" s="47"/>
      <c r="EL523" s="47"/>
      <c r="EM523" s="47"/>
      <c r="EN523" s="47"/>
      <c r="EO523" s="47"/>
      <c r="EP523" s="47"/>
      <c r="EQ523" s="47"/>
      <c r="ER523" s="47"/>
      <c r="ES523" s="47"/>
      <c r="ET523" s="47"/>
      <c r="EU523" s="47"/>
      <c r="EV523" s="47"/>
      <c r="EW523" s="47"/>
      <c r="EX523" s="47"/>
      <c r="EY523" s="47"/>
      <c r="EZ523" s="47"/>
      <c r="FA523" s="47"/>
      <c r="FB523" s="47"/>
      <c r="FC523" s="47"/>
      <c r="FD523" s="47"/>
      <c r="FE523" s="47"/>
      <c r="FF523" s="47"/>
      <c r="FG523" s="47"/>
      <c r="FH523" s="47"/>
      <c r="FI523" s="47"/>
      <c r="FJ523" s="47"/>
      <c r="FK523" s="47"/>
      <c r="FL523" s="47"/>
      <c r="FM523" s="47"/>
      <c r="FN523" s="47"/>
      <c r="FO523" s="47"/>
      <c r="FP523" s="47"/>
      <c r="FQ523" s="47"/>
      <c r="FR523" s="47"/>
      <c r="FS523" s="47"/>
      <c r="FT523" s="47"/>
      <c r="FU523" s="47"/>
      <c r="FV523" s="47"/>
      <c r="FW523" s="47"/>
      <c r="FX523" s="47"/>
      <c r="FY523" s="47"/>
      <c r="FZ523" s="47"/>
      <c r="GA523" s="47"/>
      <c r="GB523" s="47"/>
      <c r="GC523" s="47"/>
      <c r="GD523" s="47"/>
      <c r="GE523" s="47"/>
    </row>
    <row r="524" spans="1:187" ht="10.5" customHeight="1">
      <c r="A524" s="43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43"/>
      <c r="U524" s="108"/>
      <c r="V524" s="108"/>
      <c r="W524" s="108"/>
      <c r="X524" s="108"/>
      <c r="Y524" s="108"/>
      <c r="Z524" s="108"/>
      <c r="AA524" s="43"/>
      <c r="AB524" s="108"/>
      <c r="AC524" s="108"/>
      <c r="AD524" s="108"/>
      <c r="AE524" s="108"/>
      <c r="AF524" s="108"/>
      <c r="AG524" s="108"/>
      <c r="AH524" s="43"/>
      <c r="AI524" s="108"/>
      <c r="AJ524" s="108"/>
      <c r="AK524" s="108"/>
      <c r="AL524" s="108"/>
      <c r="AM524" s="108"/>
      <c r="AN524" s="108"/>
      <c r="AO524" s="43"/>
      <c r="AP524" s="108"/>
      <c r="AQ524" s="108"/>
      <c r="AR524" s="108"/>
      <c r="AS524" s="108"/>
      <c r="AT524" s="108"/>
      <c r="AU524" s="108"/>
      <c r="AV524" s="43"/>
      <c r="AW524" s="108"/>
      <c r="AX524" s="108"/>
      <c r="AY524" s="108"/>
      <c r="AZ524" s="108"/>
      <c r="BA524" s="108"/>
      <c r="BB524" s="108"/>
      <c r="BC524" s="43"/>
      <c r="BD524" s="108"/>
      <c r="BE524" s="108"/>
      <c r="BF524" s="108"/>
      <c r="BG524" s="108"/>
      <c r="BH524" s="108"/>
      <c r="BI524" s="108"/>
      <c r="BJ524" s="43"/>
      <c r="BK524" s="108"/>
      <c r="BL524" s="108"/>
      <c r="BM524" s="108"/>
      <c r="BN524" s="108"/>
      <c r="BO524" s="108"/>
      <c r="BP524" s="108"/>
      <c r="BQ524" s="43"/>
      <c r="BR524" s="108"/>
      <c r="BS524" s="108"/>
      <c r="BT524" s="108"/>
      <c r="BU524" s="108"/>
      <c r="BV524" s="108"/>
      <c r="BW524" s="108"/>
      <c r="BX524" s="43"/>
      <c r="BY524" s="108"/>
      <c r="BZ524" s="108"/>
      <c r="CA524" s="108"/>
      <c r="CB524" s="108"/>
      <c r="CC524" s="108"/>
      <c r="CD524" s="108"/>
      <c r="CE524" s="43"/>
      <c r="CF524" s="108"/>
      <c r="CG524" s="108"/>
      <c r="CH524" s="108"/>
      <c r="CI524" s="108"/>
      <c r="CJ524" s="108"/>
      <c r="CK524" s="108"/>
      <c r="CL524" s="43"/>
      <c r="CM524" s="108"/>
      <c r="CN524" s="108"/>
      <c r="CO524" s="108"/>
      <c r="CP524" s="108"/>
      <c r="CQ524" s="108"/>
      <c r="CR524" s="108"/>
      <c r="CS524" s="43"/>
      <c r="CT524" s="108"/>
      <c r="CU524" s="108"/>
      <c r="CV524" s="108"/>
      <c r="CW524" s="108"/>
      <c r="CX524" s="108"/>
      <c r="CY524" s="108"/>
      <c r="CZ524" s="43"/>
      <c r="DA524" s="108"/>
      <c r="DB524" s="108"/>
      <c r="DC524" s="108"/>
      <c r="DD524" s="108"/>
      <c r="DE524" s="108"/>
      <c r="DF524" s="108"/>
      <c r="DG524" s="43"/>
      <c r="DH524" s="108"/>
      <c r="DI524" s="108"/>
      <c r="DJ524" s="108"/>
      <c r="DK524" s="108"/>
      <c r="DL524" s="108"/>
      <c r="DM524" s="108"/>
      <c r="DN524" s="43"/>
      <c r="DO524" s="108"/>
      <c r="DP524" s="108"/>
      <c r="DQ524" s="108"/>
      <c r="DR524" s="108"/>
      <c r="DS524" s="108"/>
      <c r="DT524" s="108"/>
      <c r="DU524" s="43"/>
      <c r="DV524" s="108"/>
      <c r="DW524" s="108"/>
      <c r="DX524" s="108"/>
      <c r="DY524" s="108"/>
      <c r="DZ524" s="108"/>
      <c r="EA524" s="108"/>
      <c r="EB524" s="43"/>
      <c r="EC524" s="108"/>
      <c r="ED524" s="108"/>
      <c r="EE524" s="108"/>
      <c r="EF524" s="108"/>
      <c r="EG524" s="108"/>
      <c r="EH524" s="108"/>
      <c r="EI524" s="43"/>
      <c r="EJ524" s="47"/>
      <c r="EK524" s="47"/>
      <c r="EL524" s="47"/>
      <c r="EM524" s="47"/>
      <c r="EN524" s="47"/>
      <c r="EO524" s="47"/>
      <c r="EP524" s="47"/>
      <c r="EQ524" s="47"/>
      <c r="ER524" s="47"/>
      <c r="ES524" s="47"/>
      <c r="ET524" s="47"/>
      <c r="EU524" s="47"/>
      <c r="EV524" s="47"/>
      <c r="EW524" s="47"/>
      <c r="EX524" s="47"/>
      <c r="EY524" s="47"/>
      <c r="EZ524" s="47"/>
      <c r="FA524" s="47"/>
      <c r="FB524" s="47"/>
      <c r="FC524" s="47"/>
      <c r="FD524" s="47"/>
      <c r="FE524" s="47"/>
      <c r="FF524" s="47"/>
      <c r="FG524" s="47"/>
      <c r="FH524" s="47"/>
      <c r="FI524" s="47"/>
      <c r="FJ524" s="47"/>
      <c r="FK524" s="47"/>
      <c r="FL524" s="47"/>
      <c r="FM524" s="47"/>
      <c r="FN524" s="47"/>
      <c r="FO524" s="47"/>
      <c r="FP524" s="47"/>
      <c r="FQ524" s="47"/>
      <c r="FR524" s="47"/>
      <c r="FS524" s="47"/>
      <c r="FT524" s="47"/>
      <c r="FU524" s="47"/>
      <c r="FV524" s="47"/>
      <c r="FW524" s="47"/>
      <c r="FX524" s="47"/>
      <c r="FY524" s="47"/>
      <c r="FZ524" s="47"/>
      <c r="GA524" s="47"/>
      <c r="GB524" s="47"/>
      <c r="GC524" s="47"/>
      <c r="GD524" s="47"/>
      <c r="GE524" s="47"/>
    </row>
    <row r="525" spans="1:187" ht="10.5" customHeight="1">
      <c r="A525" s="43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43"/>
      <c r="U525" s="108"/>
      <c r="V525" s="108"/>
      <c r="W525" s="108"/>
      <c r="X525" s="108"/>
      <c r="Y525" s="108"/>
      <c r="Z525" s="108"/>
      <c r="AA525" s="43"/>
      <c r="AB525" s="108"/>
      <c r="AC525" s="108"/>
      <c r="AD525" s="108"/>
      <c r="AE525" s="108"/>
      <c r="AF525" s="108"/>
      <c r="AG525" s="108"/>
      <c r="AH525" s="43"/>
      <c r="AI525" s="108"/>
      <c r="AJ525" s="108"/>
      <c r="AK525" s="108"/>
      <c r="AL525" s="108"/>
      <c r="AM525" s="108"/>
      <c r="AN525" s="108"/>
      <c r="AO525" s="43"/>
      <c r="AP525" s="108"/>
      <c r="AQ525" s="108"/>
      <c r="AR525" s="108"/>
      <c r="AS525" s="108"/>
      <c r="AT525" s="108"/>
      <c r="AU525" s="108"/>
      <c r="AV525" s="43"/>
      <c r="AW525" s="108"/>
      <c r="AX525" s="108"/>
      <c r="AY525" s="108"/>
      <c r="AZ525" s="108"/>
      <c r="BA525" s="108"/>
      <c r="BB525" s="108"/>
      <c r="BC525" s="43"/>
      <c r="BD525" s="108"/>
      <c r="BE525" s="108"/>
      <c r="BF525" s="108"/>
      <c r="BG525" s="108"/>
      <c r="BH525" s="108"/>
      <c r="BI525" s="108"/>
      <c r="BJ525" s="43"/>
      <c r="BK525" s="108"/>
      <c r="BL525" s="108"/>
      <c r="BM525" s="108"/>
      <c r="BN525" s="108"/>
      <c r="BO525" s="108"/>
      <c r="BP525" s="108"/>
      <c r="BQ525" s="43"/>
      <c r="BR525" s="108"/>
      <c r="BS525" s="108"/>
      <c r="BT525" s="108"/>
      <c r="BU525" s="108"/>
      <c r="BV525" s="108"/>
      <c r="BW525" s="108"/>
      <c r="BX525" s="43"/>
      <c r="BY525" s="108"/>
      <c r="BZ525" s="108"/>
      <c r="CA525" s="108"/>
      <c r="CB525" s="108"/>
      <c r="CC525" s="108"/>
      <c r="CD525" s="108"/>
      <c r="CE525" s="43"/>
      <c r="CF525" s="108"/>
      <c r="CG525" s="108"/>
      <c r="CH525" s="108"/>
      <c r="CI525" s="108"/>
      <c r="CJ525" s="108"/>
      <c r="CK525" s="108"/>
      <c r="CL525" s="43"/>
      <c r="CM525" s="108"/>
      <c r="CN525" s="108"/>
      <c r="CO525" s="108"/>
      <c r="CP525" s="108"/>
      <c r="CQ525" s="108"/>
      <c r="CR525" s="108"/>
      <c r="CS525" s="43"/>
      <c r="CT525" s="108"/>
      <c r="CU525" s="108"/>
      <c r="CV525" s="108"/>
      <c r="CW525" s="108"/>
      <c r="CX525" s="108"/>
      <c r="CY525" s="108"/>
      <c r="CZ525" s="43"/>
      <c r="DA525" s="108"/>
      <c r="DB525" s="108"/>
      <c r="DC525" s="108"/>
      <c r="DD525" s="108"/>
      <c r="DE525" s="108"/>
      <c r="DF525" s="108"/>
      <c r="DG525" s="43"/>
      <c r="DH525" s="108"/>
      <c r="DI525" s="108"/>
      <c r="DJ525" s="108"/>
      <c r="DK525" s="108"/>
      <c r="DL525" s="108"/>
      <c r="DM525" s="108"/>
      <c r="DN525" s="43"/>
      <c r="DO525" s="108"/>
      <c r="DP525" s="108"/>
      <c r="DQ525" s="108"/>
      <c r="DR525" s="108"/>
      <c r="DS525" s="108"/>
      <c r="DT525" s="108"/>
      <c r="DU525" s="43"/>
      <c r="DV525" s="108"/>
      <c r="DW525" s="108"/>
      <c r="DX525" s="108"/>
      <c r="DY525" s="108"/>
      <c r="DZ525" s="108"/>
      <c r="EA525" s="108"/>
      <c r="EB525" s="43"/>
      <c r="EC525" s="108"/>
      <c r="ED525" s="108"/>
      <c r="EE525" s="108"/>
      <c r="EF525" s="108"/>
      <c r="EG525" s="108"/>
      <c r="EH525" s="108"/>
      <c r="EI525" s="43"/>
      <c r="EJ525" s="47"/>
      <c r="EK525" s="47"/>
      <c r="EL525" s="47"/>
      <c r="EM525" s="47"/>
      <c r="EN525" s="47"/>
      <c r="EO525" s="47"/>
      <c r="EP525" s="47"/>
      <c r="EQ525" s="47"/>
      <c r="ER525" s="47"/>
      <c r="ES525" s="47"/>
      <c r="ET525" s="47"/>
      <c r="EU525" s="47"/>
      <c r="EV525" s="47"/>
      <c r="EW525" s="47"/>
      <c r="EX525" s="47"/>
      <c r="EY525" s="47"/>
      <c r="EZ525" s="47"/>
      <c r="FA525" s="47"/>
      <c r="FB525" s="47"/>
      <c r="FC525" s="47"/>
      <c r="FD525" s="47"/>
      <c r="FE525" s="47"/>
      <c r="FF525" s="47"/>
      <c r="FG525" s="47"/>
      <c r="FH525" s="47"/>
      <c r="FI525" s="47"/>
      <c r="FJ525" s="47"/>
      <c r="FK525" s="47"/>
      <c r="FL525" s="47"/>
      <c r="FM525" s="47"/>
      <c r="FN525" s="47"/>
      <c r="FO525" s="47"/>
      <c r="FP525" s="47"/>
      <c r="FQ525" s="47"/>
      <c r="FR525" s="47"/>
      <c r="FS525" s="47"/>
      <c r="FT525" s="47"/>
      <c r="FU525" s="47"/>
      <c r="FV525" s="47"/>
      <c r="FW525" s="47"/>
      <c r="FX525" s="47"/>
      <c r="FY525" s="47"/>
      <c r="FZ525" s="47"/>
      <c r="GA525" s="47"/>
      <c r="GB525" s="47"/>
      <c r="GC525" s="47"/>
      <c r="GD525" s="47"/>
      <c r="GE525" s="47"/>
    </row>
    <row r="526" spans="1:187" ht="10.5" customHeight="1">
      <c r="A526" s="43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43"/>
      <c r="U526" s="108"/>
      <c r="V526" s="108"/>
      <c r="W526" s="108"/>
      <c r="X526" s="108"/>
      <c r="Y526" s="108"/>
      <c r="Z526" s="108"/>
      <c r="AA526" s="43"/>
      <c r="AB526" s="108"/>
      <c r="AC526" s="108"/>
      <c r="AD526" s="108"/>
      <c r="AE526" s="108"/>
      <c r="AF526" s="108"/>
      <c r="AG526" s="108"/>
      <c r="AH526" s="43"/>
      <c r="AI526" s="108"/>
      <c r="AJ526" s="108"/>
      <c r="AK526" s="108"/>
      <c r="AL526" s="108"/>
      <c r="AM526" s="108"/>
      <c r="AN526" s="108"/>
      <c r="AO526" s="43"/>
      <c r="AP526" s="108"/>
      <c r="AQ526" s="108"/>
      <c r="AR526" s="108"/>
      <c r="AS526" s="108"/>
      <c r="AT526" s="108"/>
      <c r="AU526" s="108"/>
      <c r="AV526" s="43"/>
      <c r="AW526" s="108"/>
      <c r="AX526" s="108"/>
      <c r="AY526" s="108"/>
      <c r="AZ526" s="108"/>
      <c r="BA526" s="108"/>
      <c r="BB526" s="108"/>
      <c r="BC526" s="43"/>
      <c r="BD526" s="108"/>
      <c r="BE526" s="108"/>
      <c r="BF526" s="108"/>
      <c r="BG526" s="108"/>
      <c r="BH526" s="108"/>
      <c r="BI526" s="108"/>
      <c r="BJ526" s="43"/>
      <c r="BK526" s="108"/>
      <c r="BL526" s="108"/>
      <c r="BM526" s="108"/>
      <c r="BN526" s="108"/>
      <c r="BO526" s="108"/>
      <c r="BP526" s="108"/>
      <c r="BQ526" s="43"/>
      <c r="BR526" s="108"/>
      <c r="BS526" s="108"/>
      <c r="BT526" s="108"/>
      <c r="BU526" s="108"/>
      <c r="BV526" s="108"/>
      <c r="BW526" s="108"/>
      <c r="BX526" s="43"/>
      <c r="BY526" s="108"/>
      <c r="BZ526" s="108"/>
      <c r="CA526" s="108"/>
      <c r="CB526" s="108"/>
      <c r="CC526" s="108"/>
      <c r="CD526" s="108"/>
      <c r="CE526" s="43"/>
      <c r="CF526" s="108"/>
      <c r="CG526" s="108"/>
      <c r="CH526" s="108"/>
      <c r="CI526" s="108"/>
      <c r="CJ526" s="108"/>
      <c r="CK526" s="108"/>
      <c r="CL526" s="43"/>
      <c r="CM526" s="108"/>
      <c r="CN526" s="108"/>
      <c r="CO526" s="108"/>
      <c r="CP526" s="108"/>
      <c r="CQ526" s="108"/>
      <c r="CR526" s="108"/>
      <c r="CS526" s="43"/>
      <c r="CT526" s="108"/>
      <c r="CU526" s="108"/>
      <c r="CV526" s="108"/>
      <c r="CW526" s="108"/>
      <c r="CX526" s="108"/>
      <c r="CY526" s="108"/>
      <c r="CZ526" s="43"/>
      <c r="DA526" s="108"/>
      <c r="DB526" s="108"/>
      <c r="DC526" s="108"/>
      <c r="DD526" s="108"/>
      <c r="DE526" s="108"/>
      <c r="DF526" s="108"/>
      <c r="DG526" s="43"/>
      <c r="DH526" s="108"/>
      <c r="DI526" s="108"/>
      <c r="DJ526" s="108"/>
      <c r="DK526" s="108"/>
      <c r="DL526" s="108"/>
      <c r="DM526" s="108"/>
      <c r="DN526" s="43"/>
      <c r="DO526" s="108"/>
      <c r="DP526" s="108"/>
      <c r="DQ526" s="108"/>
      <c r="DR526" s="108"/>
      <c r="DS526" s="108"/>
      <c r="DT526" s="108"/>
      <c r="DU526" s="43"/>
      <c r="DV526" s="108"/>
      <c r="DW526" s="108"/>
      <c r="DX526" s="108"/>
      <c r="DY526" s="108"/>
      <c r="DZ526" s="108"/>
      <c r="EA526" s="108"/>
      <c r="EB526" s="43"/>
      <c r="EC526" s="108"/>
      <c r="ED526" s="108"/>
      <c r="EE526" s="108"/>
      <c r="EF526" s="108"/>
      <c r="EG526" s="108"/>
      <c r="EH526" s="108"/>
      <c r="EI526" s="43"/>
      <c r="EJ526" s="47"/>
      <c r="EK526" s="47"/>
      <c r="EL526" s="47"/>
      <c r="EM526" s="47"/>
      <c r="EN526" s="47"/>
      <c r="EO526" s="47"/>
      <c r="EP526" s="47"/>
      <c r="EQ526" s="47"/>
      <c r="ER526" s="47"/>
      <c r="ES526" s="47"/>
      <c r="ET526" s="47"/>
      <c r="EU526" s="47"/>
      <c r="EV526" s="47"/>
      <c r="EW526" s="47"/>
      <c r="EX526" s="47"/>
      <c r="EY526" s="47"/>
      <c r="EZ526" s="47"/>
      <c r="FA526" s="47"/>
      <c r="FB526" s="47"/>
      <c r="FC526" s="47"/>
      <c r="FD526" s="47"/>
      <c r="FE526" s="47"/>
      <c r="FF526" s="47"/>
      <c r="FG526" s="47"/>
      <c r="FH526" s="47"/>
      <c r="FI526" s="47"/>
      <c r="FJ526" s="47"/>
      <c r="FK526" s="47"/>
      <c r="FL526" s="47"/>
      <c r="FM526" s="47"/>
      <c r="FN526" s="47"/>
      <c r="FO526" s="47"/>
      <c r="FP526" s="47"/>
      <c r="FQ526" s="47"/>
      <c r="FR526" s="47"/>
      <c r="FS526" s="47"/>
      <c r="FT526" s="47"/>
      <c r="FU526" s="47"/>
      <c r="FV526" s="47"/>
      <c r="FW526" s="47"/>
      <c r="FX526" s="47"/>
      <c r="FY526" s="47"/>
      <c r="FZ526" s="47"/>
      <c r="GA526" s="47"/>
      <c r="GB526" s="47"/>
      <c r="GC526" s="47"/>
      <c r="GD526" s="47"/>
      <c r="GE526" s="47"/>
    </row>
    <row r="527" spans="1:187" ht="10.5" customHeight="1">
      <c r="A527" s="43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43"/>
      <c r="U527" s="108"/>
      <c r="V527" s="108"/>
      <c r="W527" s="108"/>
      <c r="X527" s="108"/>
      <c r="Y527" s="108"/>
      <c r="Z527" s="108"/>
      <c r="AA527" s="43"/>
      <c r="AB527" s="108"/>
      <c r="AC527" s="108"/>
      <c r="AD527" s="108"/>
      <c r="AE527" s="108"/>
      <c r="AF527" s="108"/>
      <c r="AG527" s="108"/>
      <c r="AH527" s="43"/>
      <c r="AI527" s="108"/>
      <c r="AJ527" s="108"/>
      <c r="AK527" s="108"/>
      <c r="AL527" s="108"/>
      <c r="AM527" s="108"/>
      <c r="AN527" s="108"/>
      <c r="AO527" s="43"/>
      <c r="AP527" s="108"/>
      <c r="AQ527" s="108"/>
      <c r="AR527" s="108"/>
      <c r="AS527" s="108"/>
      <c r="AT527" s="108"/>
      <c r="AU527" s="108"/>
      <c r="AV527" s="43"/>
      <c r="AW527" s="108"/>
      <c r="AX527" s="108"/>
      <c r="AY527" s="108"/>
      <c r="AZ527" s="108"/>
      <c r="BA527" s="108"/>
      <c r="BB527" s="108"/>
      <c r="BC527" s="43"/>
      <c r="BD527" s="108"/>
      <c r="BE527" s="108"/>
      <c r="BF527" s="108"/>
      <c r="BG527" s="108"/>
      <c r="BH527" s="108"/>
      <c r="BI527" s="108"/>
      <c r="BJ527" s="43"/>
      <c r="BK527" s="108"/>
      <c r="BL527" s="108"/>
      <c r="BM527" s="108"/>
      <c r="BN527" s="108"/>
      <c r="BO527" s="108"/>
      <c r="BP527" s="108"/>
      <c r="BQ527" s="43"/>
      <c r="BR527" s="108"/>
      <c r="BS527" s="108"/>
      <c r="BT527" s="108"/>
      <c r="BU527" s="108"/>
      <c r="BV527" s="108"/>
      <c r="BW527" s="108"/>
      <c r="BX527" s="43"/>
      <c r="BY527" s="108"/>
      <c r="BZ527" s="108"/>
      <c r="CA527" s="108"/>
      <c r="CB527" s="108"/>
      <c r="CC527" s="108"/>
      <c r="CD527" s="108"/>
      <c r="CE527" s="43"/>
      <c r="CF527" s="108"/>
      <c r="CG527" s="108"/>
      <c r="CH527" s="108"/>
      <c r="CI527" s="108"/>
      <c r="CJ527" s="108"/>
      <c r="CK527" s="108"/>
      <c r="CL527" s="43"/>
      <c r="CM527" s="108"/>
      <c r="CN527" s="108"/>
      <c r="CO527" s="108"/>
      <c r="CP527" s="108"/>
      <c r="CQ527" s="108"/>
      <c r="CR527" s="108"/>
      <c r="CS527" s="43"/>
      <c r="CT527" s="108"/>
      <c r="CU527" s="108"/>
      <c r="CV527" s="108"/>
      <c r="CW527" s="108"/>
      <c r="CX527" s="108"/>
      <c r="CY527" s="108"/>
      <c r="CZ527" s="43"/>
      <c r="DA527" s="108"/>
      <c r="DB527" s="108"/>
      <c r="DC527" s="108"/>
      <c r="DD527" s="108"/>
      <c r="DE527" s="108"/>
      <c r="DF527" s="108"/>
      <c r="DG527" s="43"/>
      <c r="DH527" s="108"/>
      <c r="DI527" s="108"/>
      <c r="DJ527" s="108"/>
      <c r="DK527" s="108"/>
      <c r="DL527" s="108"/>
      <c r="DM527" s="108"/>
      <c r="DN527" s="43"/>
      <c r="DO527" s="108"/>
      <c r="DP527" s="108"/>
      <c r="DQ527" s="108"/>
      <c r="DR527" s="108"/>
      <c r="DS527" s="108"/>
      <c r="DT527" s="108"/>
      <c r="DU527" s="43"/>
      <c r="DV527" s="108"/>
      <c r="DW527" s="108"/>
      <c r="DX527" s="108"/>
      <c r="DY527" s="108"/>
      <c r="DZ527" s="108"/>
      <c r="EA527" s="108"/>
      <c r="EB527" s="43"/>
      <c r="EC527" s="108"/>
      <c r="ED527" s="108"/>
      <c r="EE527" s="108"/>
      <c r="EF527" s="108"/>
      <c r="EG527" s="108"/>
      <c r="EH527" s="108"/>
      <c r="EI527" s="43"/>
      <c r="EJ527" s="47"/>
      <c r="EK527" s="47"/>
      <c r="EL527" s="47"/>
      <c r="EM527" s="47"/>
      <c r="EN527" s="47"/>
      <c r="EO527" s="47"/>
      <c r="EP527" s="47"/>
      <c r="EQ527" s="47"/>
      <c r="ER527" s="47"/>
      <c r="ES527" s="47"/>
      <c r="ET527" s="47"/>
      <c r="EU527" s="47"/>
      <c r="EV527" s="47"/>
      <c r="EW527" s="47"/>
      <c r="EX527" s="47"/>
      <c r="EY527" s="47"/>
      <c r="EZ527" s="47"/>
      <c r="FA527" s="47"/>
      <c r="FB527" s="47"/>
      <c r="FC527" s="47"/>
      <c r="FD527" s="47"/>
      <c r="FE527" s="47"/>
      <c r="FF527" s="47"/>
      <c r="FG527" s="47"/>
      <c r="FH527" s="47"/>
      <c r="FI527" s="47"/>
      <c r="FJ527" s="47"/>
      <c r="FK527" s="47"/>
      <c r="FL527" s="47"/>
      <c r="FM527" s="47"/>
      <c r="FN527" s="47"/>
      <c r="FO527" s="47"/>
      <c r="FP527" s="47"/>
      <c r="FQ527" s="47"/>
      <c r="FR527" s="47"/>
      <c r="FS527" s="47"/>
      <c r="FT527" s="47"/>
      <c r="FU527" s="47"/>
      <c r="FV527" s="47"/>
      <c r="FW527" s="47"/>
      <c r="FX527" s="47"/>
      <c r="FY527" s="47"/>
      <c r="FZ527" s="47"/>
      <c r="GA527" s="47"/>
      <c r="GB527" s="47"/>
      <c r="GC527" s="47"/>
      <c r="GD527" s="47"/>
      <c r="GE527" s="47"/>
    </row>
    <row r="528" spans="1:187" ht="10.5" customHeight="1">
      <c r="A528" s="43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43"/>
      <c r="U528" s="108"/>
      <c r="V528" s="108"/>
      <c r="W528" s="108"/>
      <c r="X528" s="108"/>
      <c r="Y528" s="108"/>
      <c r="Z528" s="108"/>
      <c r="AA528" s="43"/>
      <c r="AB528" s="108"/>
      <c r="AC528" s="108"/>
      <c r="AD528" s="108"/>
      <c r="AE528" s="108"/>
      <c r="AF528" s="108"/>
      <c r="AG528" s="108"/>
      <c r="AH528" s="43"/>
      <c r="AI528" s="108"/>
      <c r="AJ528" s="108"/>
      <c r="AK528" s="108"/>
      <c r="AL528" s="108"/>
      <c r="AM528" s="108"/>
      <c r="AN528" s="108"/>
      <c r="AO528" s="43"/>
      <c r="AP528" s="108"/>
      <c r="AQ528" s="108"/>
      <c r="AR528" s="108"/>
      <c r="AS528" s="108"/>
      <c r="AT528" s="108"/>
      <c r="AU528" s="108"/>
      <c r="AV528" s="43"/>
      <c r="AW528" s="108"/>
      <c r="AX528" s="108"/>
      <c r="AY528" s="108"/>
      <c r="AZ528" s="108"/>
      <c r="BA528" s="108"/>
      <c r="BB528" s="108"/>
      <c r="BC528" s="43"/>
      <c r="BD528" s="108"/>
      <c r="BE528" s="108"/>
      <c r="BF528" s="108"/>
      <c r="BG528" s="108"/>
      <c r="BH528" s="108"/>
      <c r="BI528" s="108"/>
      <c r="BJ528" s="43"/>
      <c r="BK528" s="108"/>
      <c r="BL528" s="108"/>
      <c r="BM528" s="108"/>
      <c r="BN528" s="108"/>
      <c r="BO528" s="108"/>
      <c r="BP528" s="108"/>
      <c r="BQ528" s="43"/>
      <c r="BR528" s="108"/>
      <c r="BS528" s="108"/>
      <c r="BT528" s="108"/>
      <c r="BU528" s="108"/>
      <c r="BV528" s="108"/>
      <c r="BW528" s="108"/>
      <c r="BX528" s="43"/>
      <c r="BY528" s="108"/>
      <c r="BZ528" s="108"/>
      <c r="CA528" s="108"/>
      <c r="CB528" s="108"/>
      <c r="CC528" s="108"/>
      <c r="CD528" s="108"/>
      <c r="CE528" s="43"/>
      <c r="CF528" s="108"/>
      <c r="CG528" s="108"/>
      <c r="CH528" s="108"/>
      <c r="CI528" s="108"/>
      <c r="CJ528" s="108"/>
      <c r="CK528" s="108"/>
      <c r="CL528" s="43"/>
      <c r="CM528" s="108"/>
      <c r="CN528" s="108"/>
      <c r="CO528" s="108"/>
      <c r="CP528" s="108"/>
      <c r="CQ528" s="108"/>
      <c r="CR528" s="108"/>
      <c r="CS528" s="43"/>
      <c r="CT528" s="108"/>
      <c r="CU528" s="108"/>
      <c r="CV528" s="108"/>
      <c r="CW528" s="108"/>
      <c r="CX528" s="108"/>
      <c r="CY528" s="108"/>
      <c r="CZ528" s="43"/>
      <c r="DA528" s="108"/>
      <c r="DB528" s="108"/>
      <c r="DC528" s="108"/>
      <c r="DD528" s="108"/>
      <c r="DE528" s="108"/>
      <c r="DF528" s="108"/>
      <c r="DG528" s="43"/>
      <c r="DH528" s="108"/>
      <c r="DI528" s="108"/>
      <c r="DJ528" s="108"/>
      <c r="DK528" s="108"/>
      <c r="DL528" s="108"/>
      <c r="DM528" s="108"/>
      <c r="DN528" s="43"/>
      <c r="DO528" s="108"/>
      <c r="DP528" s="108"/>
      <c r="DQ528" s="108"/>
      <c r="DR528" s="108"/>
      <c r="DS528" s="108"/>
      <c r="DT528" s="108"/>
      <c r="DU528" s="43"/>
      <c r="DV528" s="108"/>
      <c r="DW528" s="108"/>
      <c r="DX528" s="108"/>
      <c r="DY528" s="108"/>
      <c r="DZ528" s="108"/>
      <c r="EA528" s="108"/>
      <c r="EB528" s="43"/>
      <c r="EC528" s="108"/>
      <c r="ED528" s="108"/>
      <c r="EE528" s="108"/>
      <c r="EF528" s="108"/>
      <c r="EG528" s="108"/>
      <c r="EH528" s="108"/>
      <c r="EI528" s="43"/>
      <c r="EJ528" s="47"/>
      <c r="EK528" s="47"/>
      <c r="EL528" s="47"/>
      <c r="EM528" s="47"/>
      <c r="EN528" s="47"/>
      <c r="EO528" s="47"/>
      <c r="EP528" s="47"/>
      <c r="EQ528" s="47"/>
      <c r="ER528" s="47"/>
      <c r="ES528" s="47"/>
      <c r="ET528" s="47"/>
      <c r="EU528" s="47"/>
      <c r="EV528" s="47"/>
      <c r="EW528" s="47"/>
      <c r="EX528" s="47"/>
      <c r="EY528" s="47"/>
      <c r="EZ528" s="47"/>
      <c r="FA528" s="47"/>
      <c r="FB528" s="47"/>
      <c r="FC528" s="47"/>
      <c r="FD528" s="47"/>
      <c r="FE528" s="47"/>
      <c r="FF528" s="47"/>
      <c r="FG528" s="47"/>
      <c r="FH528" s="47"/>
      <c r="FI528" s="47"/>
      <c r="FJ528" s="47"/>
      <c r="FK528" s="47"/>
      <c r="FL528" s="47"/>
      <c r="FM528" s="47"/>
      <c r="FN528" s="47"/>
      <c r="FO528" s="47"/>
      <c r="FP528" s="47"/>
      <c r="FQ528" s="47"/>
      <c r="FR528" s="47"/>
      <c r="FS528" s="47"/>
      <c r="FT528" s="47"/>
      <c r="FU528" s="47"/>
      <c r="FV528" s="47"/>
      <c r="FW528" s="47"/>
      <c r="FX528" s="47"/>
      <c r="FY528" s="47"/>
      <c r="FZ528" s="47"/>
      <c r="GA528" s="47"/>
      <c r="GB528" s="47"/>
      <c r="GC528" s="47"/>
      <c r="GD528" s="47"/>
      <c r="GE528" s="47"/>
    </row>
    <row r="529" spans="1:187" ht="10.5" customHeight="1">
      <c r="A529" s="43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43"/>
      <c r="U529" s="108"/>
      <c r="V529" s="108"/>
      <c r="W529" s="108"/>
      <c r="X529" s="108"/>
      <c r="Y529" s="108"/>
      <c r="Z529" s="108"/>
      <c r="AA529" s="43"/>
      <c r="AB529" s="108"/>
      <c r="AC529" s="108"/>
      <c r="AD529" s="108"/>
      <c r="AE529" s="108"/>
      <c r="AF529" s="108"/>
      <c r="AG529" s="108"/>
      <c r="AH529" s="43"/>
      <c r="AI529" s="108"/>
      <c r="AJ529" s="108"/>
      <c r="AK529" s="108"/>
      <c r="AL529" s="108"/>
      <c r="AM529" s="108"/>
      <c r="AN529" s="108"/>
      <c r="AO529" s="43"/>
      <c r="AP529" s="108"/>
      <c r="AQ529" s="108"/>
      <c r="AR529" s="108"/>
      <c r="AS529" s="108"/>
      <c r="AT529" s="108"/>
      <c r="AU529" s="108"/>
      <c r="AV529" s="43"/>
      <c r="AW529" s="108"/>
      <c r="AX529" s="108"/>
      <c r="AY529" s="108"/>
      <c r="AZ529" s="108"/>
      <c r="BA529" s="108"/>
      <c r="BB529" s="108"/>
      <c r="BC529" s="43"/>
      <c r="BD529" s="108"/>
      <c r="BE529" s="108"/>
      <c r="BF529" s="108"/>
      <c r="BG529" s="108"/>
      <c r="BH529" s="108"/>
      <c r="BI529" s="108"/>
      <c r="BJ529" s="43"/>
      <c r="BK529" s="108"/>
      <c r="BL529" s="108"/>
      <c r="BM529" s="108"/>
      <c r="BN529" s="108"/>
      <c r="BO529" s="108"/>
      <c r="BP529" s="108"/>
      <c r="BQ529" s="43"/>
      <c r="BR529" s="108"/>
      <c r="BS529" s="108"/>
      <c r="BT529" s="108"/>
      <c r="BU529" s="108"/>
      <c r="BV529" s="108"/>
      <c r="BW529" s="108"/>
      <c r="BX529" s="43"/>
      <c r="BY529" s="108"/>
      <c r="BZ529" s="108"/>
      <c r="CA529" s="108"/>
      <c r="CB529" s="108"/>
      <c r="CC529" s="108"/>
      <c r="CD529" s="108"/>
      <c r="CE529" s="43"/>
      <c r="CF529" s="108"/>
      <c r="CG529" s="108"/>
      <c r="CH529" s="108"/>
      <c r="CI529" s="108"/>
      <c r="CJ529" s="108"/>
      <c r="CK529" s="108"/>
      <c r="CL529" s="43"/>
      <c r="CM529" s="108"/>
      <c r="CN529" s="108"/>
      <c r="CO529" s="108"/>
      <c r="CP529" s="108"/>
      <c r="CQ529" s="108"/>
      <c r="CR529" s="108"/>
      <c r="CS529" s="43"/>
      <c r="CT529" s="108"/>
      <c r="CU529" s="108"/>
      <c r="CV529" s="108"/>
      <c r="CW529" s="108"/>
      <c r="CX529" s="108"/>
      <c r="CY529" s="108"/>
      <c r="CZ529" s="43"/>
      <c r="DA529" s="108"/>
      <c r="DB529" s="108"/>
      <c r="DC529" s="108"/>
      <c r="DD529" s="108"/>
      <c r="DE529" s="108"/>
      <c r="DF529" s="108"/>
      <c r="DG529" s="43"/>
      <c r="DH529" s="108"/>
      <c r="DI529" s="108"/>
      <c r="DJ529" s="108"/>
      <c r="DK529" s="108"/>
      <c r="DL529" s="108"/>
      <c r="DM529" s="108"/>
      <c r="DN529" s="43"/>
      <c r="DO529" s="108"/>
      <c r="DP529" s="108"/>
      <c r="DQ529" s="108"/>
      <c r="DR529" s="108"/>
      <c r="DS529" s="108"/>
      <c r="DT529" s="108"/>
      <c r="DU529" s="43"/>
      <c r="DV529" s="108"/>
      <c r="DW529" s="108"/>
      <c r="DX529" s="108"/>
      <c r="DY529" s="108"/>
      <c r="DZ529" s="108"/>
      <c r="EA529" s="108"/>
      <c r="EB529" s="43"/>
      <c r="EC529" s="108"/>
      <c r="ED529" s="108"/>
      <c r="EE529" s="108"/>
      <c r="EF529" s="108"/>
      <c r="EG529" s="108"/>
      <c r="EH529" s="108"/>
      <c r="EI529" s="43"/>
      <c r="EJ529" s="47"/>
      <c r="EK529" s="47"/>
      <c r="EL529" s="47"/>
      <c r="EM529" s="47"/>
      <c r="EN529" s="47"/>
      <c r="EO529" s="47"/>
      <c r="EP529" s="47"/>
      <c r="EQ529" s="47"/>
      <c r="ER529" s="47"/>
      <c r="ES529" s="47"/>
      <c r="ET529" s="47"/>
      <c r="EU529" s="47"/>
      <c r="EV529" s="47"/>
      <c r="EW529" s="47"/>
      <c r="EX529" s="47"/>
      <c r="EY529" s="47"/>
      <c r="EZ529" s="47"/>
      <c r="FA529" s="47"/>
      <c r="FB529" s="47"/>
      <c r="FC529" s="47"/>
      <c r="FD529" s="47"/>
      <c r="FE529" s="47"/>
      <c r="FF529" s="47"/>
      <c r="FG529" s="47"/>
      <c r="FH529" s="47"/>
      <c r="FI529" s="47"/>
      <c r="FJ529" s="47"/>
      <c r="FK529" s="47"/>
      <c r="FL529" s="47"/>
      <c r="FM529" s="47"/>
      <c r="FN529" s="47"/>
      <c r="FO529" s="47"/>
      <c r="FP529" s="47"/>
      <c r="FQ529" s="47"/>
      <c r="FR529" s="47"/>
      <c r="FS529" s="47"/>
      <c r="FT529" s="47"/>
      <c r="FU529" s="47"/>
      <c r="FV529" s="47"/>
      <c r="FW529" s="47"/>
      <c r="FX529" s="47"/>
      <c r="FY529" s="47"/>
      <c r="FZ529" s="47"/>
      <c r="GA529" s="47"/>
      <c r="GB529" s="47"/>
      <c r="GC529" s="47"/>
      <c r="GD529" s="47"/>
      <c r="GE529" s="47"/>
    </row>
    <row r="530" spans="1:187" ht="10.5" customHeight="1">
      <c r="A530" s="43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43"/>
      <c r="U530" s="108"/>
      <c r="V530" s="108"/>
      <c r="W530" s="108"/>
      <c r="X530" s="108"/>
      <c r="Y530" s="108"/>
      <c r="Z530" s="108"/>
      <c r="AA530" s="43"/>
      <c r="AB530" s="108"/>
      <c r="AC530" s="108"/>
      <c r="AD530" s="108"/>
      <c r="AE530" s="108"/>
      <c r="AF530" s="108"/>
      <c r="AG530" s="108"/>
      <c r="AH530" s="43"/>
      <c r="AI530" s="108"/>
      <c r="AJ530" s="108"/>
      <c r="AK530" s="108"/>
      <c r="AL530" s="108"/>
      <c r="AM530" s="108"/>
      <c r="AN530" s="108"/>
      <c r="AO530" s="43"/>
      <c r="AP530" s="108"/>
      <c r="AQ530" s="108"/>
      <c r="AR530" s="108"/>
      <c r="AS530" s="108"/>
      <c r="AT530" s="108"/>
      <c r="AU530" s="108"/>
      <c r="AV530" s="43"/>
      <c r="AW530" s="108"/>
      <c r="AX530" s="108"/>
      <c r="AY530" s="108"/>
      <c r="AZ530" s="108"/>
      <c r="BA530" s="108"/>
      <c r="BB530" s="108"/>
      <c r="BC530" s="43"/>
      <c r="BD530" s="108"/>
      <c r="BE530" s="108"/>
      <c r="BF530" s="108"/>
      <c r="BG530" s="108"/>
      <c r="BH530" s="108"/>
      <c r="BI530" s="108"/>
      <c r="BJ530" s="43"/>
      <c r="BK530" s="108"/>
      <c r="BL530" s="108"/>
      <c r="BM530" s="108"/>
      <c r="BN530" s="108"/>
      <c r="BO530" s="108"/>
      <c r="BP530" s="108"/>
      <c r="BQ530" s="43"/>
      <c r="BR530" s="108"/>
      <c r="BS530" s="108"/>
      <c r="BT530" s="108"/>
      <c r="BU530" s="108"/>
      <c r="BV530" s="108"/>
      <c r="BW530" s="108"/>
      <c r="BX530" s="43"/>
      <c r="BY530" s="108"/>
      <c r="BZ530" s="108"/>
      <c r="CA530" s="108"/>
      <c r="CB530" s="108"/>
      <c r="CC530" s="108"/>
      <c r="CD530" s="108"/>
      <c r="CE530" s="43"/>
      <c r="CF530" s="108"/>
      <c r="CG530" s="108"/>
      <c r="CH530" s="108"/>
      <c r="CI530" s="108"/>
      <c r="CJ530" s="108"/>
      <c r="CK530" s="108"/>
      <c r="CL530" s="43"/>
      <c r="CM530" s="108"/>
      <c r="CN530" s="108"/>
      <c r="CO530" s="108"/>
      <c r="CP530" s="108"/>
      <c r="CQ530" s="108"/>
      <c r="CR530" s="108"/>
      <c r="CS530" s="43"/>
      <c r="CT530" s="108"/>
      <c r="CU530" s="108"/>
      <c r="CV530" s="108"/>
      <c r="CW530" s="108"/>
      <c r="CX530" s="108"/>
      <c r="CY530" s="108"/>
      <c r="CZ530" s="43"/>
      <c r="DA530" s="108"/>
      <c r="DB530" s="108"/>
      <c r="DC530" s="108"/>
      <c r="DD530" s="108"/>
      <c r="DE530" s="108"/>
      <c r="DF530" s="108"/>
      <c r="DG530" s="43"/>
      <c r="DH530" s="108"/>
      <c r="DI530" s="108"/>
      <c r="DJ530" s="108"/>
      <c r="DK530" s="108"/>
      <c r="DL530" s="108"/>
      <c r="DM530" s="108"/>
      <c r="DN530" s="43"/>
      <c r="DO530" s="108"/>
      <c r="DP530" s="108"/>
      <c r="DQ530" s="108"/>
      <c r="DR530" s="108"/>
      <c r="DS530" s="108"/>
      <c r="DT530" s="108"/>
      <c r="DU530" s="43"/>
      <c r="DV530" s="108"/>
      <c r="DW530" s="108"/>
      <c r="DX530" s="108"/>
      <c r="DY530" s="108"/>
      <c r="DZ530" s="108"/>
      <c r="EA530" s="108"/>
      <c r="EB530" s="43"/>
      <c r="EC530" s="108"/>
      <c r="ED530" s="108"/>
      <c r="EE530" s="108"/>
      <c r="EF530" s="108"/>
      <c r="EG530" s="108"/>
      <c r="EH530" s="108"/>
      <c r="EI530" s="43"/>
      <c r="EJ530" s="47"/>
      <c r="EK530" s="47"/>
      <c r="EL530" s="47"/>
      <c r="EM530" s="47"/>
      <c r="EN530" s="47"/>
      <c r="EO530" s="47"/>
      <c r="EP530" s="47"/>
      <c r="EQ530" s="47"/>
      <c r="ER530" s="47"/>
      <c r="ES530" s="47"/>
      <c r="ET530" s="47"/>
      <c r="EU530" s="47"/>
      <c r="EV530" s="47"/>
      <c r="EW530" s="47"/>
      <c r="EX530" s="47"/>
      <c r="EY530" s="47"/>
      <c r="EZ530" s="47"/>
      <c r="FA530" s="47"/>
      <c r="FB530" s="47"/>
      <c r="FC530" s="47"/>
      <c r="FD530" s="47"/>
      <c r="FE530" s="47"/>
      <c r="FF530" s="47"/>
      <c r="FG530" s="47"/>
      <c r="FH530" s="47"/>
      <c r="FI530" s="47"/>
      <c r="FJ530" s="47"/>
      <c r="FK530" s="47"/>
      <c r="FL530" s="47"/>
      <c r="FM530" s="47"/>
      <c r="FN530" s="47"/>
      <c r="FO530" s="47"/>
      <c r="FP530" s="47"/>
      <c r="FQ530" s="47"/>
      <c r="FR530" s="47"/>
      <c r="FS530" s="47"/>
      <c r="FT530" s="47"/>
      <c r="FU530" s="47"/>
      <c r="FV530" s="47"/>
      <c r="FW530" s="47"/>
      <c r="FX530" s="47"/>
      <c r="FY530" s="47"/>
      <c r="FZ530" s="47"/>
      <c r="GA530" s="47"/>
      <c r="GB530" s="47"/>
      <c r="GC530" s="47"/>
      <c r="GD530" s="47"/>
      <c r="GE530" s="47"/>
    </row>
    <row r="531" spans="1:187" ht="10.5" customHeight="1">
      <c r="A531" s="43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43"/>
      <c r="U531" s="108"/>
      <c r="V531" s="108"/>
      <c r="W531" s="108"/>
      <c r="X531" s="108"/>
      <c r="Y531" s="108"/>
      <c r="Z531" s="108"/>
      <c r="AA531" s="43"/>
      <c r="AB531" s="108"/>
      <c r="AC531" s="108"/>
      <c r="AD531" s="108"/>
      <c r="AE531" s="108"/>
      <c r="AF531" s="108"/>
      <c r="AG531" s="108"/>
      <c r="AH531" s="43"/>
      <c r="AI531" s="108"/>
      <c r="AJ531" s="108"/>
      <c r="AK531" s="108"/>
      <c r="AL531" s="108"/>
      <c r="AM531" s="108"/>
      <c r="AN531" s="108"/>
      <c r="AO531" s="43"/>
      <c r="AP531" s="108"/>
      <c r="AQ531" s="108"/>
      <c r="AR531" s="108"/>
      <c r="AS531" s="108"/>
      <c r="AT531" s="108"/>
      <c r="AU531" s="108"/>
      <c r="AV531" s="43"/>
      <c r="AW531" s="108"/>
      <c r="AX531" s="108"/>
      <c r="AY531" s="108"/>
      <c r="AZ531" s="108"/>
      <c r="BA531" s="108"/>
      <c r="BB531" s="108"/>
      <c r="BC531" s="43"/>
      <c r="BD531" s="108"/>
      <c r="BE531" s="108"/>
      <c r="BF531" s="108"/>
      <c r="BG531" s="108"/>
      <c r="BH531" s="108"/>
      <c r="BI531" s="108"/>
      <c r="BJ531" s="43"/>
      <c r="BK531" s="108"/>
      <c r="BL531" s="108"/>
      <c r="BM531" s="108"/>
      <c r="BN531" s="108"/>
      <c r="BO531" s="108"/>
      <c r="BP531" s="108"/>
      <c r="BQ531" s="43"/>
      <c r="BR531" s="108"/>
      <c r="BS531" s="108"/>
      <c r="BT531" s="108"/>
      <c r="BU531" s="108"/>
      <c r="BV531" s="108"/>
      <c r="BW531" s="108"/>
      <c r="BX531" s="43"/>
      <c r="BY531" s="108"/>
      <c r="BZ531" s="108"/>
      <c r="CA531" s="108"/>
      <c r="CB531" s="108"/>
      <c r="CC531" s="108"/>
      <c r="CD531" s="108"/>
      <c r="CE531" s="43"/>
      <c r="CF531" s="108"/>
      <c r="CG531" s="108"/>
      <c r="CH531" s="108"/>
      <c r="CI531" s="108"/>
      <c r="CJ531" s="108"/>
      <c r="CK531" s="108"/>
      <c r="CL531" s="43"/>
      <c r="CM531" s="108"/>
      <c r="CN531" s="108"/>
      <c r="CO531" s="108"/>
      <c r="CP531" s="108"/>
      <c r="CQ531" s="108"/>
      <c r="CR531" s="108"/>
      <c r="CS531" s="43"/>
      <c r="CT531" s="108"/>
      <c r="CU531" s="108"/>
      <c r="CV531" s="108"/>
      <c r="CW531" s="108"/>
      <c r="CX531" s="108"/>
      <c r="CY531" s="108"/>
      <c r="CZ531" s="43"/>
      <c r="DA531" s="108"/>
      <c r="DB531" s="108"/>
      <c r="DC531" s="108"/>
      <c r="DD531" s="108"/>
      <c r="DE531" s="108"/>
      <c r="DF531" s="108"/>
      <c r="DG531" s="43"/>
      <c r="DH531" s="108"/>
      <c r="DI531" s="108"/>
      <c r="DJ531" s="108"/>
      <c r="DK531" s="108"/>
      <c r="DL531" s="108"/>
      <c r="DM531" s="108"/>
      <c r="DN531" s="43"/>
      <c r="DO531" s="108"/>
      <c r="DP531" s="108"/>
      <c r="DQ531" s="108"/>
      <c r="DR531" s="108"/>
      <c r="DS531" s="108"/>
      <c r="DT531" s="108"/>
      <c r="DU531" s="43"/>
      <c r="DV531" s="108"/>
      <c r="DW531" s="108"/>
      <c r="DX531" s="108"/>
      <c r="DY531" s="108"/>
      <c r="DZ531" s="108"/>
      <c r="EA531" s="108"/>
      <c r="EB531" s="43"/>
      <c r="EC531" s="108"/>
      <c r="ED531" s="108"/>
      <c r="EE531" s="108"/>
      <c r="EF531" s="108"/>
      <c r="EG531" s="108"/>
      <c r="EH531" s="108"/>
      <c r="EI531" s="43"/>
      <c r="EJ531" s="47"/>
      <c r="EK531" s="47"/>
      <c r="EL531" s="47"/>
      <c r="EM531" s="47"/>
      <c r="EN531" s="47"/>
      <c r="EO531" s="47"/>
      <c r="EP531" s="47"/>
      <c r="EQ531" s="47"/>
      <c r="ER531" s="47"/>
      <c r="ES531" s="47"/>
      <c r="ET531" s="47"/>
      <c r="EU531" s="47"/>
      <c r="EV531" s="47"/>
      <c r="EW531" s="47"/>
      <c r="EX531" s="47"/>
      <c r="EY531" s="47"/>
      <c r="EZ531" s="47"/>
      <c r="FA531" s="47"/>
      <c r="FB531" s="47"/>
      <c r="FC531" s="47"/>
      <c r="FD531" s="47"/>
      <c r="FE531" s="47"/>
      <c r="FF531" s="47"/>
      <c r="FG531" s="47"/>
      <c r="FH531" s="47"/>
      <c r="FI531" s="47"/>
      <c r="FJ531" s="47"/>
      <c r="FK531" s="47"/>
      <c r="FL531" s="47"/>
      <c r="FM531" s="47"/>
      <c r="FN531" s="47"/>
      <c r="FO531" s="47"/>
      <c r="FP531" s="47"/>
      <c r="FQ531" s="47"/>
      <c r="FR531" s="47"/>
      <c r="FS531" s="47"/>
      <c r="FT531" s="47"/>
      <c r="FU531" s="47"/>
      <c r="FV531" s="47"/>
      <c r="FW531" s="47"/>
      <c r="FX531" s="47"/>
      <c r="FY531" s="47"/>
      <c r="FZ531" s="47"/>
      <c r="GA531" s="47"/>
      <c r="GB531" s="47"/>
      <c r="GC531" s="47"/>
      <c r="GD531" s="47"/>
      <c r="GE531" s="47"/>
    </row>
    <row r="532" spans="1:187" ht="10.5" customHeight="1">
      <c r="A532" s="43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43"/>
      <c r="U532" s="108"/>
      <c r="V532" s="108"/>
      <c r="W532" s="108"/>
      <c r="X532" s="108"/>
      <c r="Y532" s="108"/>
      <c r="Z532" s="108"/>
      <c r="AA532" s="43"/>
      <c r="AB532" s="108"/>
      <c r="AC532" s="108"/>
      <c r="AD532" s="108"/>
      <c r="AE532" s="108"/>
      <c r="AF532" s="108"/>
      <c r="AG532" s="108"/>
      <c r="AH532" s="43"/>
      <c r="AI532" s="108"/>
      <c r="AJ532" s="108"/>
      <c r="AK532" s="108"/>
      <c r="AL532" s="108"/>
      <c r="AM532" s="108"/>
      <c r="AN532" s="108"/>
      <c r="AO532" s="43"/>
      <c r="AP532" s="108"/>
      <c r="AQ532" s="108"/>
      <c r="AR532" s="108"/>
      <c r="AS532" s="108"/>
      <c r="AT532" s="108"/>
      <c r="AU532" s="108"/>
      <c r="AV532" s="43"/>
      <c r="AW532" s="108"/>
      <c r="AX532" s="108"/>
      <c r="AY532" s="108"/>
      <c r="AZ532" s="108"/>
      <c r="BA532" s="108"/>
      <c r="BB532" s="108"/>
      <c r="BC532" s="43"/>
      <c r="BD532" s="108"/>
      <c r="BE532" s="108"/>
      <c r="BF532" s="108"/>
      <c r="BG532" s="108"/>
      <c r="BH532" s="108"/>
      <c r="BI532" s="108"/>
      <c r="BJ532" s="43"/>
      <c r="BK532" s="108"/>
      <c r="BL532" s="108"/>
      <c r="BM532" s="108"/>
      <c r="BN532" s="108"/>
      <c r="BO532" s="108"/>
      <c r="BP532" s="108"/>
      <c r="BQ532" s="43"/>
      <c r="BR532" s="108"/>
      <c r="BS532" s="108"/>
      <c r="BT532" s="108"/>
      <c r="BU532" s="108"/>
      <c r="BV532" s="108"/>
      <c r="BW532" s="108"/>
      <c r="BX532" s="43"/>
      <c r="BY532" s="108"/>
      <c r="BZ532" s="108"/>
      <c r="CA532" s="108"/>
      <c r="CB532" s="108"/>
      <c r="CC532" s="108"/>
      <c r="CD532" s="108"/>
      <c r="CE532" s="43"/>
      <c r="CF532" s="108"/>
      <c r="CG532" s="108"/>
      <c r="CH532" s="108"/>
      <c r="CI532" s="108"/>
      <c r="CJ532" s="108"/>
      <c r="CK532" s="108"/>
      <c r="CL532" s="43"/>
      <c r="CM532" s="108"/>
      <c r="CN532" s="108"/>
      <c r="CO532" s="108"/>
      <c r="CP532" s="108"/>
      <c r="CQ532" s="108"/>
      <c r="CR532" s="108"/>
      <c r="CS532" s="43"/>
      <c r="CT532" s="108"/>
      <c r="CU532" s="108"/>
      <c r="CV532" s="108"/>
      <c r="CW532" s="108"/>
      <c r="CX532" s="108"/>
      <c r="CY532" s="108"/>
      <c r="CZ532" s="43"/>
      <c r="DA532" s="108"/>
      <c r="DB532" s="108"/>
      <c r="DC532" s="108"/>
      <c r="DD532" s="108"/>
      <c r="DE532" s="108"/>
      <c r="DF532" s="108"/>
      <c r="DG532" s="43"/>
      <c r="DH532" s="108"/>
      <c r="DI532" s="108"/>
      <c r="DJ532" s="108"/>
      <c r="DK532" s="108"/>
      <c r="DL532" s="108"/>
      <c r="DM532" s="108"/>
      <c r="DN532" s="43"/>
      <c r="DO532" s="108"/>
      <c r="DP532" s="108"/>
      <c r="DQ532" s="108"/>
      <c r="DR532" s="108"/>
      <c r="DS532" s="108"/>
      <c r="DT532" s="108"/>
      <c r="DU532" s="43"/>
      <c r="DV532" s="108"/>
      <c r="DW532" s="108"/>
      <c r="DX532" s="108"/>
      <c r="DY532" s="108"/>
      <c r="DZ532" s="108"/>
      <c r="EA532" s="108"/>
      <c r="EB532" s="43"/>
      <c r="EC532" s="108"/>
      <c r="ED532" s="108"/>
      <c r="EE532" s="108"/>
      <c r="EF532" s="108"/>
      <c r="EG532" s="108"/>
      <c r="EH532" s="108"/>
      <c r="EI532" s="43"/>
      <c r="EJ532" s="47"/>
      <c r="EK532" s="47"/>
      <c r="EL532" s="47"/>
      <c r="EM532" s="47"/>
      <c r="EN532" s="47"/>
      <c r="EO532" s="47"/>
      <c r="EP532" s="47"/>
      <c r="EQ532" s="47"/>
      <c r="ER532" s="47"/>
      <c r="ES532" s="47"/>
      <c r="ET532" s="47"/>
      <c r="EU532" s="47"/>
      <c r="EV532" s="47"/>
      <c r="EW532" s="47"/>
      <c r="EX532" s="47"/>
      <c r="EY532" s="47"/>
      <c r="EZ532" s="47"/>
      <c r="FA532" s="47"/>
      <c r="FB532" s="47"/>
      <c r="FC532" s="47"/>
      <c r="FD532" s="47"/>
      <c r="FE532" s="47"/>
      <c r="FF532" s="47"/>
      <c r="FG532" s="47"/>
      <c r="FH532" s="47"/>
      <c r="FI532" s="47"/>
      <c r="FJ532" s="47"/>
      <c r="FK532" s="47"/>
      <c r="FL532" s="47"/>
      <c r="FM532" s="47"/>
      <c r="FN532" s="47"/>
      <c r="FO532" s="47"/>
      <c r="FP532" s="47"/>
      <c r="FQ532" s="47"/>
      <c r="FR532" s="47"/>
      <c r="FS532" s="47"/>
      <c r="FT532" s="47"/>
      <c r="FU532" s="47"/>
      <c r="FV532" s="47"/>
      <c r="FW532" s="47"/>
      <c r="FX532" s="47"/>
      <c r="FY532" s="47"/>
      <c r="FZ532" s="47"/>
      <c r="GA532" s="47"/>
      <c r="GB532" s="47"/>
      <c r="GC532" s="47"/>
      <c r="GD532" s="47"/>
      <c r="GE532" s="47"/>
    </row>
    <row r="533" spans="1:187" ht="10.5" customHeight="1">
      <c r="A533" s="43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43"/>
      <c r="U533" s="108"/>
      <c r="V533" s="108"/>
      <c r="W533" s="108"/>
      <c r="X533" s="108"/>
      <c r="Y533" s="108"/>
      <c r="Z533" s="108"/>
      <c r="AA533" s="43"/>
      <c r="AB533" s="108"/>
      <c r="AC533" s="108"/>
      <c r="AD533" s="108"/>
      <c r="AE533" s="108"/>
      <c r="AF533" s="108"/>
      <c r="AG533" s="108"/>
      <c r="AH533" s="43"/>
      <c r="AI533" s="108"/>
      <c r="AJ533" s="108"/>
      <c r="AK533" s="108"/>
      <c r="AL533" s="108"/>
      <c r="AM533" s="108"/>
      <c r="AN533" s="108"/>
      <c r="AO533" s="43"/>
      <c r="AP533" s="108"/>
      <c r="AQ533" s="108"/>
      <c r="AR533" s="108"/>
      <c r="AS533" s="108"/>
      <c r="AT533" s="108"/>
      <c r="AU533" s="108"/>
      <c r="AV533" s="43"/>
      <c r="AW533" s="108"/>
      <c r="AX533" s="108"/>
      <c r="AY533" s="108"/>
      <c r="AZ533" s="108"/>
      <c r="BA533" s="108"/>
      <c r="BB533" s="108"/>
      <c r="BC533" s="43"/>
      <c r="BD533" s="108"/>
      <c r="BE533" s="108"/>
      <c r="BF533" s="108"/>
      <c r="BG533" s="108"/>
      <c r="BH533" s="108"/>
      <c r="BI533" s="108"/>
      <c r="BJ533" s="43"/>
      <c r="BK533" s="108"/>
      <c r="BL533" s="108"/>
      <c r="BM533" s="108"/>
      <c r="BN533" s="108"/>
      <c r="BO533" s="108"/>
      <c r="BP533" s="108"/>
      <c r="BQ533" s="43"/>
      <c r="BR533" s="108"/>
      <c r="BS533" s="108"/>
      <c r="BT533" s="108"/>
      <c r="BU533" s="108"/>
      <c r="BV533" s="108"/>
      <c r="BW533" s="108"/>
      <c r="BX533" s="43"/>
      <c r="BY533" s="108"/>
      <c r="BZ533" s="108"/>
      <c r="CA533" s="108"/>
      <c r="CB533" s="108"/>
      <c r="CC533" s="108"/>
      <c r="CD533" s="108"/>
      <c r="CE533" s="43"/>
      <c r="CF533" s="108"/>
      <c r="CG533" s="108"/>
      <c r="CH533" s="108"/>
      <c r="CI533" s="108"/>
      <c r="CJ533" s="108"/>
      <c r="CK533" s="108"/>
      <c r="CL533" s="43"/>
      <c r="CM533" s="108"/>
      <c r="CN533" s="108"/>
      <c r="CO533" s="108"/>
      <c r="CP533" s="108"/>
      <c r="CQ533" s="108"/>
      <c r="CR533" s="108"/>
      <c r="CS533" s="43"/>
      <c r="CT533" s="108"/>
      <c r="CU533" s="108"/>
      <c r="CV533" s="108"/>
      <c r="CW533" s="108"/>
      <c r="CX533" s="108"/>
      <c r="CY533" s="108"/>
      <c r="CZ533" s="43"/>
      <c r="DA533" s="108"/>
      <c r="DB533" s="108"/>
      <c r="DC533" s="108"/>
      <c r="DD533" s="108"/>
      <c r="DE533" s="108"/>
      <c r="DF533" s="108"/>
      <c r="DG533" s="43"/>
      <c r="DH533" s="108"/>
      <c r="DI533" s="108"/>
      <c r="DJ533" s="108"/>
      <c r="DK533" s="108"/>
      <c r="DL533" s="108"/>
      <c r="DM533" s="108"/>
      <c r="DN533" s="43"/>
      <c r="DO533" s="108"/>
      <c r="DP533" s="108"/>
      <c r="DQ533" s="108"/>
      <c r="DR533" s="108"/>
      <c r="DS533" s="108"/>
      <c r="DT533" s="108"/>
      <c r="DU533" s="43"/>
      <c r="DV533" s="108"/>
      <c r="DW533" s="108"/>
      <c r="DX533" s="108"/>
      <c r="DY533" s="108"/>
      <c r="DZ533" s="108"/>
      <c r="EA533" s="108"/>
      <c r="EB533" s="43"/>
      <c r="EC533" s="108"/>
      <c r="ED533" s="108"/>
      <c r="EE533" s="108"/>
      <c r="EF533" s="108"/>
      <c r="EG533" s="108"/>
      <c r="EH533" s="108"/>
      <c r="EI533" s="43"/>
      <c r="EJ533" s="47"/>
      <c r="EK533" s="47"/>
      <c r="EL533" s="47"/>
      <c r="EM533" s="47"/>
      <c r="EN533" s="47"/>
      <c r="EO533" s="47"/>
      <c r="EP533" s="47"/>
      <c r="EQ533" s="47"/>
      <c r="ER533" s="47"/>
      <c r="ES533" s="47"/>
      <c r="ET533" s="47"/>
      <c r="EU533" s="47"/>
      <c r="EV533" s="47"/>
      <c r="EW533" s="47"/>
      <c r="EX533" s="47"/>
      <c r="EY533" s="47"/>
      <c r="EZ533" s="47"/>
      <c r="FA533" s="47"/>
      <c r="FB533" s="47"/>
      <c r="FC533" s="47"/>
      <c r="FD533" s="47"/>
      <c r="FE533" s="47"/>
      <c r="FF533" s="47"/>
      <c r="FG533" s="47"/>
      <c r="FH533" s="47"/>
      <c r="FI533" s="47"/>
      <c r="FJ533" s="47"/>
      <c r="FK533" s="47"/>
      <c r="FL533" s="47"/>
      <c r="FM533" s="47"/>
      <c r="FN533" s="47"/>
      <c r="FO533" s="47"/>
      <c r="FP533" s="47"/>
      <c r="FQ533" s="47"/>
      <c r="FR533" s="47"/>
      <c r="FS533" s="47"/>
      <c r="FT533" s="47"/>
      <c r="FU533" s="47"/>
      <c r="FV533" s="47"/>
      <c r="FW533" s="47"/>
      <c r="FX533" s="47"/>
      <c r="FY533" s="47"/>
      <c r="FZ533" s="47"/>
      <c r="GA533" s="47"/>
      <c r="GB533" s="47"/>
      <c r="GC533" s="47"/>
      <c r="GD533" s="47"/>
      <c r="GE533" s="47"/>
    </row>
    <row r="534" spans="1:187" ht="10.5" customHeight="1">
      <c r="A534" s="43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43"/>
      <c r="U534" s="108"/>
      <c r="V534" s="108"/>
      <c r="W534" s="108"/>
      <c r="X534" s="108"/>
      <c r="Y534" s="108"/>
      <c r="Z534" s="108"/>
      <c r="AA534" s="43"/>
      <c r="AB534" s="108"/>
      <c r="AC534" s="108"/>
      <c r="AD534" s="108"/>
      <c r="AE534" s="108"/>
      <c r="AF534" s="108"/>
      <c r="AG534" s="108"/>
      <c r="AH534" s="43"/>
      <c r="AI534" s="108"/>
      <c r="AJ534" s="108"/>
      <c r="AK534" s="108"/>
      <c r="AL534" s="108"/>
      <c r="AM534" s="108"/>
      <c r="AN534" s="108"/>
      <c r="AO534" s="43"/>
      <c r="AP534" s="108"/>
      <c r="AQ534" s="108"/>
      <c r="AR534" s="108"/>
      <c r="AS534" s="108"/>
      <c r="AT534" s="108"/>
      <c r="AU534" s="108"/>
      <c r="AV534" s="43"/>
      <c r="AW534" s="108"/>
      <c r="AX534" s="108"/>
      <c r="AY534" s="108"/>
      <c r="AZ534" s="108"/>
      <c r="BA534" s="108"/>
      <c r="BB534" s="108"/>
      <c r="BC534" s="43"/>
      <c r="BD534" s="108"/>
      <c r="BE534" s="108"/>
      <c r="BF534" s="108"/>
      <c r="BG534" s="108"/>
      <c r="BH534" s="108"/>
      <c r="BI534" s="108"/>
      <c r="BJ534" s="43"/>
      <c r="BK534" s="108"/>
      <c r="BL534" s="108"/>
      <c r="BM534" s="108"/>
      <c r="BN534" s="108"/>
      <c r="BO534" s="108"/>
      <c r="BP534" s="108"/>
      <c r="BQ534" s="43"/>
      <c r="BR534" s="108"/>
      <c r="BS534" s="108"/>
      <c r="BT534" s="108"/>
      <c r="BU534" s="108"/>
      <c r="BV534" s="108"/>
      <c r="BW534" s="108"/>
      <c r="BX534" s="43"/>
      <c r="BY534" s="108"/>
      <c r="BZ534" s="108"/>
      <c r="CA534" s="108"/>
      <c r="CB534" s="108"/>
      <c r="CC534" s="108"/>
      <c r="CD534" s="108"/>
      <c r="CE534" s="43"/>
      <c r="CF534" s="108"/>
      <c r="CG534" s="108"/>
      <c r="CH534" s="108"/>
      <c r="CI534" s="108"/>
      <c r="CJ534" s="108"/>
      <c r="CK534" s="108"/>
      <c r="CL534" s="43"/>
      <c r="CM534" s="108"/>
      <c r="CN534" s="108"/>
      <c r="CO534" s="108"/>
      <c r="CP534" s="108"/>
      <c r="CQ534" s="108"/>
      <c r="CR534" s="108"/>
      <c r="CS534" s="43"/>
      <c r="CT534" s="108"/>
      <c r="CU534" s="108"/>
      <c r="CV534" s="108"/>
      <c r="CW534" s="108"/>
      <c r="CX534" s="108"/>
      <c r="CY534" s="108"/>
      <c r="CZ534" s="43"/>
      <c r="DA534" s="108"/>
      <c r="DB534" s="108"/>
      <c r="DC534" s="108"/>
      <c r="DD534" s="108"/>
      <c r="DE534" s="108"/>
      <c r="DF534" s="108"/>
      <c r="DG534" s="43"/>
      <c r="DH534" s="108"/>
      <c r="DI534" s="108"/>
      <c r="DJ534" s="108"/>
      <c r="DK534" s="108"/>
      <c r="DL534" s="108"/>
      <c r="DM534" s="108"/>
      <c r="DN534" s="43"/>
      <c r="DO534" s="108"/>
      <c r="DP534" s="108"/>
      <c r="DQ534" s="108"/>
      <c r="DR534" s="108"/>
      <c r="DS534" s="108"/>
      <c r="DT534" s="108"/>
      <c r="DU534" s="43"/>
      <c r="DV534" s="108"/>
      <c r="DW534" s="108"/>
      <c r="DX534" s="108"/>
      <c r="DY534" s="108"/>
      <c r="DZ534" s="108"/>
      <c r="EA534" s="108"/>
      <c r="EB534" s="43"/>
      <c r="EC534" s="108"/>
      <c r="ED534" s="108"/>
      <c r="EE534" s="108"/>
      <c r="EF534" s="108"/>
      <c r="EG534" s="108"/>
      <c r="EH534" s="108"/>
      <c r="EI534" s="43"/>
      <c r="EJ534" s="47"/>
      <c r="EK534" s="47"/>
      <c r="EL534" s="47"/>
      <c r="EM534" s="47"/>
      <c r="EN534" s="47"/>
      <c r="EO534" s="47"/>
      <c r="EP534" s="47"/>
      <c r="EQ534" s="47"/>
      <c r="ER534" s="47"/>
      <c r="ES534" s="47"/>
      <c r="ET534" s="47"/>
      <c r="EU534" s="47"/>
      <c r="EV534" s="47"/>
      <c r="EW534" s="47"/>
      <c r="EX534" s="47"/>
      <c r="EY534" s="47"/>
      <c r="EZ534" s="47"/>
      <c r="FA534" s="47"/>
      <c r="FB534" s="47"/>
      <c r="FC534" s="47"/>
      <c r="FD534" s="47"/>
      <c r="FE534" s="47"/>
      <c r="FF534" s="47"/>
      <c r="FG534" s="47"/>
      <c r="FH534" s="47"/>
      <c r="FI534" s="47"/>
      <c r="FJ534" s="47"/>
      <c r="FK534" s="47"/>
      <c r="FL534" s="47"/>
      <c r="FM534" s="47"/>
      <c r="FN534" s="47"/>
      <c r="FO534" s="47"/>
      <c r="FP534" s="47"/>
      <c r="FQ534" s="47"/>
      <c r="FR534" s="47"/>
      <c r="FS534" s="47"/>
      <c r="FT534" s="47"/>
      <c r="FU534" s="47"/>
      <c r="FV534" s="47"/>
      <c r="FW534" s="47"/>
      <c r="FX534" s="47"/>
      <c r="FY534" s="47"/>
      <c r="FZ534" s="47"/>
      <c r="GA534" s="47"/>
      <c r="GB534" s="47"/>
      <c r="GC534" s="47"/>
      <c r="GD534" s="47"/>
      <c r="GE534" s="47"/>
    </row>
    <row r="535" spans="1:187" ht="10.5" customHeight="1">
      <c r="A535" s="43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43"/>
      <c r="U535" s="108"/>
      <c r="V535" s="108"/>
      <c r="W535" s="108"/>
      <c r="X535" s="108"/>
      <c r="Y535" s="108"/>
      <c r="Z535" s="108"/>
      <c r="AA535" s="43"/>
      <c r="AB535" s="108"/>
      <c r="AC535" s="108"/>
      <c r="AD535" s="108"/>
      <c r="AE535" s="108"/>
      <c r="AF535" s="108"/>
      <c r="AG535" s="108"/>
      <c r="AH535" s="43"/>
      <c r="AI535" s="108"/>
      <c r="AJ535" s="108"/>
      <c r="AK535" s="108"/>
      <c r="AL535" s="108"/>
      <c r="AM535" s="108"/>
      <c r="AN535" s="108"/>
      <c r="AO535" s="43"/>
      <c r="AP535" s="108"/>
      <c r="AQ535" s="108"/>
      <c r="AR535" s="108"/>
      <c r="AS535" s="108"/>
      <c r="AT535" s="108"/>
      <c r="AU535" s="108"/>
      <c r="AV535" s="43"/>
      <c r="AW535" s="108"/>
      <c r="AX535" s="108"/>
      <c r="AY535" s="108"/>
      <c r="AZ535" s="108"/>
      <c r="BA535" s="108"/>
      <c r="BB535" s="108"/>
      <c r="BC535" s="43"/>
      <c r="BD535" s="108"/>
      <c r="BE535" s="108"/>
      <c r="BF535" s="108"/>
      <c r="BG535" s="108"/>
      <c r="BH535" s="108"/>
      <c r="BI535" s="108"/>
      <c r="BJ535" s="43"/>
      <c r="BK535" s="108"/>
      <c r="BL535" s="108"/>
      <c r="BM535" s="108"/>
      <c r="BN535" s="108"/>
      <c r="BO535" s="108"/>
      <c r="BP535" s="108"/>
      <c r="BQ535" s="43"/>
      <c r="BR535" s="108"/>
      <c r="BS535" s="108"/>
      <c r="BT535" s="108"/>
      <c r="BU535" s="108"/>
      <c r="BV535" s="108"/>
      <c r="BW535" s="108"/>
      <c r="BX535" s="43"/>
      <c r="BY535" s="108"/>
      <c r="BZ535" s="108"/>
      <c r="CA535" s="108"/>
      <c r="CB535" s="108"/>
      <c r="CC535" s="108"/>
      <c r="CD535" s="108"/>
      <c r="CE535" s="43"/>
      <c r="CF535" s="108"/>
      <c r="CG535" s="108"/>
      <c r="CH535" s="108"/>
      <c r="CI535" s="108"/>
      <c r="CJ535" s="108"/>
      <c r="CK535" s="108"/>
      <c r="CL535" s="43"/>
      <c r="CM535" s="108"/>
      <c r="CN535" s="108"/>
      <c r="CO535" s="108"/>
      <c r="CP535" s="108"/>
      <c r="CQ535" s="108"/>
      <c r="CR535" s="108"/>
      <c r="CS535" s="43"/>
      <c r="CT535" s="108"/>
      <c r="CU535" s="108"/>
      <c r="CV535" s="108"/>
      <c r="CW535" s="108"/>
      <c r="CX535" s="108"/>
      <c r="CY535" s="108"/>
      <c r="CZ535" s="43"/>
      <c r="DA535" s="108"/>
      <c r="DB535" s="108"/>
      <c r="DC535" s="108"/>
      <c r="DD535" s="108"/>
      <c r="DE535" s="108"/>
      <c r="DF535" s="108"/>
      <c r="DG535" s="43"/>
      <c r="DH535" s="108"/>
      <c r="DI535" s="108"/>
      <c r="DJ535" s="108"/>
      <c r="DK535" s="108"/>
      <c r="DL535" s="108"/>
      <c r="DM535" s="108"/>
      <c r="DN535" s="43"/>
      <c r="DO535" s="108"/>
      <c r="DP535" s="108"/>
      <c r="DQ535" s="108"/>
      <c r="DR535" s="108"/>
      <c r="DS535" s="108"/>
      <c r="DT535" s="108"/>
      <c r="DU535" s="43"/>
      <c r="DV535" s="108"/>
      <c r="DW535" s="108"/>
      <c r="DX535" s="108"/>
      <c r="DY535" s="108"/>
      <c r="DZ535" s="108"/>
      <c r="EA535" s="108"/>
      <c r="EB535" s="43"/>
      <c r="EC535" s="108"/>
      <c r="ED535" s="108"/>
      <c r="EE535" s="108"/>
      <c r="EF535" s="108"/>
      <c r="EG535" s="108"/>
      <c r="EH535" s="108"/>
      <c r="EI535" s="43"/>
      <c r="EJ535" s="47"/>
      <c r="EK535" s="47"/>
      <c r="EL535" s="47"/>
      <c r="EM535" s="47"/>
      <c r="EN535" s="47"/>
      <c r="EO535" s="47"/>
      <c r="EP535" s="47"/>
      <c r="EQ535" s="47"/>
      <c r="ER535" s="47"/>
      <c r="ES535" s="47"/>
      <c r="ET535" s="47"/>
      <c r="EU535" s="47"/>
      <c r="EV535" s="47"/>
      <c r="EW535" s="47"/>
      <c r="EX535" s="47"/>
      <c r="EY535" s="47"/>
      <c r="EZ535" s="47"/>
      <c r="FA535" s="47"/>
      <c r="FB535" s="47"/>
      <c r="FC535" s="47"/>
      <c r="FD535" s="47"/>
      <c r="FE535" s="47"/>
      <c r="FF535" s="47"/>
      <c r="FG535" s="47"/>
      <c r="FH535" s="47"/>
      <c r="FI535" s="47"/>
      <c r="FJ535" s="47"/>
      <c r="FK535" s="47"/>
      <c r="FL535" s="47"/>
      <c r="FM535" s="47"/>
      <c r="FN535" s="47"/>
      <c r="FO535" s="47"/>
      <c r="FP535" s="47"/>
      <c r="FQ535" s="47"/>
      <c r="FR535" s="47"/>
      <c r="FS535" s="47"/>
      <c r="FT535" s="47"/>
      <c r="FU535" s="47"/>
      <c r="FV535" s="47"/>
      <c r="FW535" s="47"/>
      <c r="FX535" s="47"/>
      <c r="FY535" s="47"/>
      <c r="FZ535" s="47"/>
      <c r="GA535" s="47"/>
      <c r="GB535" s="47"/>
      <c r="GC535" s="47"/>
      <c r="GD535" s="47"/>
      <c r="GE535" s="47"/>
    </row>
    <row r="536" spans="1:187" ht="10.5" customHeight="1">
      <c r="A536" s="43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43"/>
      <c r="U536" s="108"/>
      <c r="V536" s="108"/>
      <c r="W536" s="108"/>
      <c r="X536" s="108"/>
      <c r="Y536" s="108"/>
      <c r="Z536" s="108"/>
      <c r="AA536" s="43"/>
      <c r="AB536" s="108"/>
      <c r="AC536" s="108"/>
      <c r="AD536" s="108"/>
      <c r="AE536" s="108"/>
      <c r="AF536" s="108"/>
      <c r="AG536" s="108"/>
      <c r="AH536" s="43"/>
      <c r="AI536" s="108"/>
      <c r="AJ536" s="108"/>
      <c r="AK536" s="108"/>
      <c r="AL536" s="108"/>
      <c r="AM536" s="108"/>
      <c r="AN536" s="108"/>
      <c r="AO536" s="43"/>
      <c r="AP536" s="108"/>
      <c r="AQ536" s="108"/>
      <c r="AR536" s="108"/>
      <c r="AS536" s="108"/>
      <c r="AT536" s="108"/>
      <c r="AU536" s="108"/>
      <c r="AV536" s="43"/>
      <c r="AW536" s="108"/>
      <c r="AX536" s="108"/>
      <c r="AY536" s="108"/>
      <c r="AZ536" s="108"/>
      <c r="BA536" s="108"/>
      <c r="BB536" s="108"/>
      <c r="BC536" s="43"/>
      <c r="BD536" s="108"/>
      <c r="BE536" s="108"/>
      <c r="BF536" s="108"/>
      <c r="BG536" s="108"/>
      <c r="BH536" s="108"/>
      <c r="BI536" s="108"/>
      <c r="BJ536" s="43"/>
      <c r="BK536" s="108"/>
      <c r="BL536" s="108"/>
      <c r="BM536" s="108"/>
      <c r="BN536" s="108"/>
      <c r="BO536" s="108"/>
      <c r="BP536" s="108"/>
      <c r="BQ536" s="43"/>
      <c r="BR536" s="108"/>
      <c r="BS536" s="108"/>
      <c r="BT536" s="108"/>
      <c r="BU536" s="108"/>
      <c r="BV536" s="108"/>
      <c r="BW536" s="108"/>
      <c r="BX536" s="43"/>
      <c r="BY536" s="108"/>
      <c r="BZ536" s="108"/>
      <c r="CA536" s="108"/>
      <c r="CB536" s="108"/>
      <c r="CC536" s="108"/>
      <c r="CD536" s="108"/>
      <c r="CE536" s="43"/>
      <c r="CF536" s="108"/>
      <c r="CG536" s="108"/>
      <c r="CH536" s="108"/>
      <c r="CI536" s="108"/>
      <c r="CJ536" s="108"/>
      <c r="CK536" s="108"/>
      <c r="CL536" s="43"/>
      <c r="CM536" s="108"/>
      <c r="CN536" s="108"/>
      <c r="CO536" s="108"/>
      <c r="CP536" s="108"/>
      <c r="CQ536" s="108"/>
      <c r="CR536" s="108"/>
      <c r="CS536" s="43"/>
      <c r="CT536" s="108"/>
      <c r="CU536" s="108"/>
      <c r="CV536" s="108"/>
      <c r="CW536" s="108"/>
      <c r="CX536" s="108"/>
      <c r="CY536" s="108"/>
      <c r="CZ536" s="43"/>
      <c r="DA536" s="108"/>
      <c r="DB536" s="108"/>
      <c r="DC536" s="108"/>
      <c r="DD536" s="108"/>
      <c r="DE536" s="108"/>
      <c r="DF536" s="108"/>
      <c r="DG536" s="43"/>
      <c r="DH536" s="108"/>
      <c r="DI536" s="108"/>
      <c r="DJ536" s="108"/>
      <c r="DK536" s="108"/>
      <c r="DL536" s="108"/>
      <c r="DM536" s="108"/>
      <c r="DN536" s="43"/>
      <c r="DO536" s="108"/>
      <c r="DP536" s="108"/>
      <c r="DQ536" s="108"/>
      <c r="DR536" s="108"/>
      <c r="DS536" s="108"/>
      <c r="DT536" s="108"/>
      <c r="DU536" s="43"/>
      <c r="DV536" s="108"/>
      <c r="DW536" s="108"/>
      <c r="DX536" s="108"/>
      <c r="DY536" s="108"/>
      <c r="DZ536" s="108"/>
      <c r="EA536" s="108"/>
      <c r="EB536" s="43"/>
      <c r="EC536" s="108"/>
      <c r="ED536" s="108"/>
      <c r="EE536" s="108"/>
      <c r="EF536" s="108"/>
      <c r="EG536" s="108"/>
      <c r="EH536" s="108"/>
      <c r="EI536" s="43"/>
      <c r="EJ536" s="47"/>
      <c r="EK536" s="47"/>
      <c r="EL536" s="47"/>
      <c r="EM536" s="47"/>
      <c r="EN536" s="47"/>
      <c r="EO536" s="47"/>
      <c r="EP536" s="47"/>
      <c r="EQ536" s="47"/>
      <c r="ER536" s="47"/>
      <c r="ES536" s="47"/>
      <c r="ET536" s="47"/>
      <c r="EU536" s="47"/>
      <c r="EV536" s="47"/>
      <c r="EW536" s="47"/>
      <c r="EX536" s="47"/>
      <c r="EY536" s="47"/>
      <c r="EZ536" s="47"/>
      <c r="FA536" s="47"/>
      <c r="FB536" s="47"/>
      <c r="FC536" s="47"/>
      <c r="FD536" s="47"/>
      <c r="FE536" s="47"/>
      <c r="FF536" s="47"/>
      <c r="FG536" s="47"/>
      <c r="FH536" s="47"/>
      <c r="FI536" s="47"/>
      <c r="FJ536" s="47"/>
      <c r="FK536" s="47"/>
      <c r="FL536" s="47"/>
      <c r="FM536" s="47"/>
      <c r="FN536" s="47"/>
      <c r="FO536" s="47"/>
      <c r="FP536" s="47"/>
      <c r="FQ536" s="47"/>
      <c r="FR536" s="47"/>
      <c r="FS536" s="47"/>
      <c r="FT536" s="47"/>
      <c r="FU536" s="47"/>
      <c r="FV536" s="47"/>
      <c r="FW536" s="47"/>
      <c r="FX536" s="47"/>
      <c r="FY536" s="47"/>
      <c r="FZ536" s="47"/>
      <c r="GA536" s="47"/>
      <c r="GB536" s="47"/>
      <c r="GC536" s="47"/>
      <c r="GD536" s="47"/>
      <c r="GE536" s="47"/>
    </row>
    <row r="537" spans="1:187" ht="10.5" customHeight="1">
      <c r="A537" s="43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43"/>
      <c r="U537" s="108"/>
      <c r="V537" s="108"/>
      <c r="W537" s="108"/>
      <c r="X537" s="108"/>
      <c r="Y537" s="108"/>
      <c r="Z537" s="108"/>
      <c r="AA537" s="43"/>
      <c r="AB537" s="108"/>
      <c r="AC537" s="108"/>
      <c r="AD537" s="108"/>
      <c r="AE537" s="108"/>
      <c r="AF537" s="108"/>
      <c r="AG537" s="108"/>
      <c r="AH537" s="43"/>
      <c r="AI537" s="108"/>
      <c r="AJ537" s="108"/>
      <c r="AK537" s="108"/>
      <c r="AL537" s="108"/>
      <c r="AM537" s="108"/>
      <c r="AN537" s="108"/>
      <c r="AO537" s="43"/>
      <c r="AP537" s="108"/>
      <c r="AQ537" s="108"/>
      <c r="AR537" s="108"/>
      <c r="AS537" s="108"/>
      <c r="AT537" s="108"/>
      <c r="AU537" s="108"/>
      <c r="AV537" s="43"/>
      <c r="AW537" s="108"/>
      <c r="AX537" s="108"/>
      <c r="AY537" s="108"/>
      <c r="AZ537" s="108"/>
      <c r="BA537" s="108"/>
      <c r="BB537" s="108"/>
      <c r="BC537" s="43"/>
      <c r="BD537" s="108"/>
      <c r="BE537" s="108"/>
      <c r="BF537" s="108"/>
      <c r="BG537" s="108"/>
      <c r="BH537" s="108"/>
      <c r="BI537" s="108"/>
      <c r="BJ537" s="43"/>
      <c r="BK537" s="108"/>
      <c r="BL537" s="108"/>
      <c r="BM537" s="108"/>
      <c r="BN537" s="108"/>
      <c r="BO537" s="108"/>
      <c r="BP537" s="108"/>
      <c r="BQ537" s="43"/>
      <c r="BR537" s="108"/>
      <c r="BS537" s="108"/>
      <c r="BT537" s="108"/>
      <c r="BU537" s="108"/>
      <c r="BV537" s="108"/>
      <c r="BW537" s="108"/>
      <c r="BX537" s="43"/>
      <c r="BY537" s="108"/>
      <c r="BZ537" s="108"/>
      <c r="CA537" s="108"/>
      <c r="CB537" s="108"/>
      <c r="CC537" s="108"/>
      <c r="CD537" s="108"/>
      <c r="CE537" s="43"/>
      <c r="CF537" s="108"/>
      <c r="CG537" s="108"/>
      <c r="CH537" s="108"/>
      <c r="CI537" s="108"/>
      <c r="CJ537" s="108"/>
      <c r="CK537" s="108"/>
      <c r="CL537" s="43"/>
      <c r="CM537" s="108"/>
      <c r="CN537" s="108"/>
      <c r="CO537" s="108"/>
      <c r="CP537" s="108"/>
      <c r="CQ537" s="108"/>
      <c r="CR537" s="108"/>
      <c r="CS537" s="43"/>
      <c r="CT537" s="108"/>
      <c r="CU537" s="108"/>
      <c r="CV537" s="108"/>
      <c r="CW537" s="108"/>
      <c r="CX537" s="108"/>
      <c r="CY537" s="108"/>
      <c r="CZ537" s="43"/>
      <c r="DA537" s="108"/>
      <c r="DB537" s="108"/>
      <c r="DC537" s="108"/>
      <c r="DD537" s="108"/>
      <c r="DE537" s="108"/>
      <c r="DF537" s="108"/>
      <c r="DG537" s="43"/>
      <c r="DH537" s="108"/>
      <c r="DI537" s="108"/>
      <c r="DJ537" s="108"/>
      <c r="DK537" s="108"/>
      <c r="DL537" s="108"/>
      <c r="DM537" s="108"/>
      <c r="DN537" s="43"/>
      <c r="DO537" s="108"/>
      <c r="DP537" s="108"/>
      <c r="DQ537" s="108"/>
      <c r="DR537" s="108"/>
      <c r="DS537" s="108"/>
      <c r="DT537" s="108"/>
      <c r="DU537" s="43"/>
      <c r="DV537" s="108"/>
      <c r="DW537" s="108"/>
      <c r="DX537" s="108"/>
      <c r="DY537" s="108"/>
      <c r="DZ537" s="108"/>
      <c r="EA537" s="108"/>
      <c r="EB537" s="43"/>
      <c r="EC537" s="108"/>
      <c r="ED537" s="108"/>
      <c r="EE537" s="108"/>
      <c r="EF537" s="108"/>
      <c r="EG537" s="108"/>
      <c r="EH537" s="108"/>
      <c r="EI537" s="43"/>
      <c r="EJ537" s="47"/>
      <c r="EK537" s="47"/>
      <c r="EL537" s="47"/>
      <c r="EM537" s="47"/>
      <c r="EN537" s="47"/>
      <c r="EO537" s="47"/>
      <c r="EP537" s="47"/>
      <c r="EQ537" s="47"/>
      <c r="ER537" s="47"/>
      <c r="ES537" s="47"/>
      <c r="ET537" s="47"/>
      <c r="EU537" s="47"/>
      <c r="EV537" s="47"/>
      <c r="EW537" s="47"/>
      <c r="EX537" s="47"/>
      <c r="EY537" s="47"/>
      <c r="EZ537" s="47"/>
      <c r="FA537" s="47"/>
      <c r="FB537" s="47"/>
      <c r="FC537" s="47"/>
      <c r="FD537" s="47"/>
      <c r="FE537" s="47"/>
      <c r="FF537" s="47"/>
      <c r="FG537" s="47"/>
      <c r="FH537" s="47"/>
      <c r="FI537" s="47"/>
      <c r="FJ537" s="47"/>
      <c r="FK537" s="47"/>
      <c r="FL537" s="47"/>
      <c r="FM537" s="47"/>
      <c r="FN537" s="47"/>
      <c r="FO537" s="47"/>
      <c r="FP537" s="47"/>
      <c r="FQ537" s="47"/>
      <c r="FR537" s="47"/>
      <c r="FS537" s="47"/>
      <c r="FT537" s="47"/>
      <c r="FU537" s="47"/>
      <c r="FV537" s="47"/>
      <c r="FW537" s="47"/>
      <c r="FX537" s="47"/>
      <c r="FY537" s="47"/>
      <c r="FZ537" s="47"/>
      <c r="GA537" s="47"/>
      <c r="GB537" s="47"/>
      <c r="GC537" s="47"/>
      <c r="GD537" s="47"/>
      <c r="GE537" s="47"/>
    </row>
    <row r="538" spans="1:187" ht="10.5" customHeight="1">
      <c r="A538" s="43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43"/>
      <c r="U538" s="108"/>
      <c r="V538" s="108"/>
      <c r="W538" s="108"/>
      <c r="X538" s="108"/>
      <c r="Y538" s="108"/>
      <c r="Z538" s="108"/>
      <c r="AA538" s="43"/>
      <c r="AB538" s="108"/>
      <c r="AC538" s="108"/>
      <c r="AD538" s="108"/>
      <c r="AE538" s="108"/>
      <c r="AF538" s="108"/>
      <c r="AG538" s="108"/>
      <c r="AH538" s="43"/>
      <c r="AI538" s="108"/>
      <c r="AJ538" s="108"/>
      <c r="AK538" s="108"/>
      <c r="AL538" s="108"/>
      <c r="AM538" s="108"/>
      <c r="AN538" s="108"/>
      <c r="AO538" s="43"/>
      <c r="AP538" s="108"/>
      <c r="AQ538" s="108"/>
      <c r="AR538" s="108"/>
      <c r="AS538" s="108"/>
      <c r="AT538" s="108"/>
      <c r="AU538" s="108"/>
      <c r="AV538" s="43"/>
      <c r="AW538" s="108"/>
      <c r="AX538" s="108"/>
      <c r="AY538" s="108"/>
      <c r="AZ538" s="108"/>
      <c r="BA538" s="108"/>
      <c r="BB538" s="108"/>
      <c r="BC538" s="43"/>
      <c r="BD538" s="108"/>
      <c r="BE538" s="108"/>
      <c r="BF538" s="108"/>
      <c r="BG538" s="108"/>
      <c r="BH538" s="108"/>
      <c r="BI538" s="108"/>
      <c r="BJ538" s="43"/>
      <c r="BK538" s="108"/>
      <c r="BL538" s="108"/>
      <c r="BM538" s="108"/>
      <c r="BN538" s="108"/>
      <c r="BO538" s="108"/>
      <c r="BP538" s="108"/>
      <c r="BQ538" s="43"/>
      <c r="BR538" s="108"/>
      <c r="BS538" s="108"/>
      <c r="BT538" s="108"/>
      <c r="BU538" s="108"/>
      <c r="BV538" s="108"/>
      <c r="BW538" s="108"/>
      <c r="BX538" s="43"/>
      <c r="BY538" s="108"/>
      <c r="BZ538" s="108"/>
      <c r="CA538" s="108"/>
      <c r="CB538" s="108"/>
      <c r="CC538" s="108"/>
      <c r="CD538" s="108"/>
      <c r="CE538" s="43"/>
      <c r="CF538" s="108"/>
      <c r="CG538" s="108"/>
      <c r="CH538" s="108"/>
      <c r="CI538" s="108"/>
      <c r="CJ538" s="108"/>
      <c r="CK538" s="108"/>
      <c r="CL538" s="43"/>
      <c r="CM538" s="108"/>
      <c r="CN538" s="108"/>
      <c r="CO538" s="108"/>
      <c r="CP538" s="108"/>
      <c r="CQ538" s="108"/>
      <c r="CR538" s="108"/>
      <c r="CS538" s="43"/>
      <c r="CT538" s="108"/>
      <c r="CU538" s="108"/>
      <c r="CV538" s="108"/>
      <c r="CW538" s="108"/>
      <c r="CX538" s="108"/>
      <c r="CY538" s="108"/>
      <c r="CZ538" s="43"/>
      <c r="DA538" s="108"/>
      <c r="DB538" s="108"/>
      <c r="DC538" s="108"/>
      <c r="DD538" s="108"/>
      <c r="DE538" s="108"/>
      <c r="DF538" s="108"/>
      <c r="DG538" s="43"/>
      <c r="DH538" s="108"/>
      <c r="DI538" s="108"/>
      <c r="DJ538" s="108"/>
      <c r="DK538" s="108"/>
      <c r="DL538" s="108"/>
      <c r="DM538" s="108"/>
      <c r="DN538" s="43"/>
      <c r="DO538" s="108"/>
      <c r="DP538" s="108"/>
      <c r="DQ538" s="108"/>
      <c r="DR538" s="108"/>
      <c r="DS538" s="108"/>
      <c r="DT538" s="108"/>
      <c r="DU538" s="43"/>
      <c r="DV538" s="108"/>
      <c r="DW538" s="108"/>
      <c r="DX538" s="108"/>
      <c r="DY538" s="108"/>
      <c r="DZ538" s="108"/>
      <c r="EA538" s="108"/>
      <c r="EB538" s="43"/>
      <c r="EC538" s="108"/>
      <c r="ED538" s="108"/>
      <c r="EE538" s="108"/>
      <c r="EF538" s="108"/>
      <c r="EG538" s="108"/>
      <c r="EH538" s="108"/>
      <c r="EI538" s="43"/>
      <c r="EJ538" s="47"/>
      <c r="EK538" s="47"/>
      <c r="EL538" s="47"/>
      <c r="EM538" s="47"/>
      <c r="EN538" s="47"/>
      <c r="EO538" s="47"/>
      <c r="EP538" s="47"/>
      <c r="EQ538" s="47"/>
      <c r="ER538" s="47"/>
      <c r="ES538" s="47"/>
      <c r="ET538" s="47"/>
      <c r="EU538" s="47"/>
      <c r="EV538" s="47"/>
      <c r="EW538" s="47"/>
      <c r="EX538" s="47"/>
      <c r="EY538" s="47"/>
      <c r="EZ538" s="47"/>
      <c r="FA538" s="47"/>
      <c r="FB538" s="47"/>
      <c r="FC538" s="47"/>
      <c r="FD538" s="47"/>
      <c r="FE538" s="47"/>
      <c r="FF538" s="47"/>
      <c r="FG538" s="47"/>
      <c r="FH538" s="47"/>
      <c r="FI538" s="47"/>
      <c r="FJ538" s="47"/>
      <c r="FK538" s="47"/>
      <c r="FL538" s="47"/>
      <c r="FM538" s="47"/>
      <c r="FN538" s="47"/>
      <c r="FO538" s="47"/>
      <c r="FP538" s="47"/>
      <c r="FQ538" s="47"/>
      <c r="FR538" s="47"/>
      <c r="FS538" s="47"/>
      <c r="FT538" s="47"/>
      <c r="FU538" s="47"/>
      <c r="FV538" s="47"/>
      <c r="FW538" s="47"/>
      <c r="FX538" s="47"/>
      <c r="FY538" s="47"/>
      <c r="FZ538" s="47"/>
      <c r="GA538" s="47"/>
      <c r="GB538" s="47"/>
      <c r="GC538" s="47"/>
      <c r="GD538" s="47"/>
      <c r="GE538" s="47"/>
    </row>
    <row r="539" spans="1:187" ht="10.5" customHeight="1">
      <c r="A539" s="43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43"/>
      <c r="U539" s="108"/>
      <c r="V539" s="108"/>
      <c r="W539" s="108"/>
      <c r="X539" s="108"/>
      <c r="Y539" s="108"/>
      <c r="Z539" s="108"/>
      <c r="AA539" s="43"/>
      <c r="AB539" s="108"/>
      <c r="AC539" s="108"/>
      <c r="AD539" s="108"/>
      <c r="AE539" s="108"/>
      <c r="AF539" s="108"/>
      <c r="AG539" s="108"/>
      <c r="AH539" s="43"/>
      <c r="AI539" s="108"/>
      <c r="AJ539" s="108"/>
      <c r="AK539" s="108"/>
      <c r="AL539" s="108"/>
      <c r="AM539" s="108"/>
      <c r="AN539" s="108"/>
      <c r="AO539" s="43"/>
      <c r="AP539" s="108"/>
      <c r="AQ539" s="108"/>
      <c r="AR539" s="108"/>
      <c r="AS539" s="108"/>
      <c r="AT539" s="108"/>
      <c r="AU539" s="108"/>
      <c r="AV539" s="43"/>
      <c r="AW539" s="108"/>
      <c r="AX539" s="108"/>
      <c r="AY539" s="108"/>
      <c r="AZ539" s="108"/>
      <c r="BA539" s="108"/>
      <c r="BB539" s="108"/>
      <c r="BC539" s="43"/>
      <c r="BD539" s="108"/>
      <c r="BE539" s="108"/>
      <c r="BF539" s="108"/>
      <c r="BG539" s="108"/>
      <c r="BH539" s="108"/>
      <c r="BI539" s="108"/>
      <c r="BJ539" s="43"/>
      <c r="BK539" s="108"/>
      <c r="BL539" s="108"/>
      <c r="BM539" s="108"/>
      <c r="BN539" s="108"/>
      <c r="BO539" s="108"/>
      <c r="BP539" s="108"/>
      <c r="BQ539" s="43"/>
      <c r="BR539" s="108"/>
      <c r="BS539" s="108"/>
      <c r="BT539" s="108"/>
      <c r="BU539" s="108"/>
      <c r="BV539" s="108"/>
      <c r="BW539" s="108"/>
      <c r="BX539" s="43"/>
      <c r="BY539" s="108"/>
      <c r="BZ539" s="108"/>
      <c r="CA539" s="108"/>
      <c r="CB539" s="108"/>
      <c r="CC539" s="108"/>
      <c r="CD539" s="108"/>
      <c r="CE539" s="43"/>
      <c r="CF539" s="108"/>
      <c r="CG539" s="108"/>
      <c r="CH539" s="108"/>
      <c r="CI539" s="108"/>
      <c r="CJ539" s="108"/>
      <c r="CK539" s="108"/>
      <c r="CL539" s="43"/>
      <c r="CM539" s="108"/>
      <c r="CN539" s="108"/>
      <c r="CO539" s="108"/>
      <c r="CP539" s="108"/>
      <c r="CQ539" s="108"/>
      <c r="CR539" s="108"/>
      <c r="CS539" s="43"/>
      <c r="CT539" s="108"/>
      <c r="CU539" s="108"/>
      <c r="CV539" s="108"/>
      <c r="CW539" s="108"/>
      <c r="CX539" s="108"/>
      <c r="CY539" s="108"/>
      <c r="CZ539" s="43"/>
      <c r="DA539" s="108"/>
      <c r="DB539" s="108"/>
      <c r="DC539" s="108"/>
      <c r="DD539" s="108"/>
      <c r="DE539" s="108"/>
      <c r="DF539" s="108"/>
      <c r="DG539" s="43"/>
      <c r="DH539" s="108"/>
      <c r="DI539" s="108"/>
      <c r="DJ539" s="108"/>
      <c r="DK539" s="108"/>
      <c r="DL539" s="108"/>
      <c r="DM539" s="108"/>
      <c r="DN539" s="43"/>
      <c r="DO539" s="108"/>
      <c r="DP539" s="108"/>
      <c r="DQ539" s="108"/>
      <c r="DR539" s="108"/>
      <c r="DS539" s="108"/>
      <c r="DT539" s="108"/>
      <c r="DU539" s="43"/>
      <c r="DV539" s="108"/>
      <c r="DW539" s="108"/>
      <c r="DX539" s="108"/>
      <c r="DY539" s="108"/>
      <c r="DZ539" s="108"/>
      <c r="EA539" s="108"/>
      <c r="EB539" s="43"/>
      <c r="EC539" s="108"/>
      <c r="ED539" s="108"/>
      <c r="EE539" s="108"/>
      <c r="EF539" s="108"/>
      <c r="EG539" s="108"/>
      <c r="EH539" s="108"/>
      <c r="EI539" s="43"/>
      <c r="EJ539" s="47"/>
      <c r="EK539" s="47"/>
      <c r="EL539" s="47"/>
      <c r="EM539" s="47"/>
      <c r="EN539" s="47"/>
      <c r="EO539" s="47"/>
      <c r="EP539" s="47"/>
      <c r="EQ539" s="47"/>
      <c r="ER539" s="47"/>
      <c r="ES539" s="47"/>
      <c r="ET539" s="47"/>
      <c r="EU539" s="47"/>
      <c r="EV539" s="47"/>
      <c r="EW539" s="47"/>
      <c r="EX539" s="47"/>
      <c r="EY539" s="47"/>
      <c r="EZ539" s="47"/>
      <c r="FA539" s="47"/>
      <c r="FB539" s="47"/>
      <c r="FC539" s="47"/>
      <c r="FD539" s="47"/>
      <c r="FE539" s="47"/>
      <c r="FF539" s="47"/>
      <c r="FG539" s="47"/>
      <c r="FH539" s="47"/>
      <c r="FI539" s="47"/>
      <c r="FJ539" s="47"/>
      <c r="FK539" s="47"/>
      <c r="FL539" s="47"/>
      <c r="FM539" s="47"/>
      <c r="FN539" s="47"/>
      <c r="FO539" s="47"/>
      <c r="FP539" s="47"/>
      <c r="FQ539" s="47"/>
      <c r="FR539" s="47"/>
      <c r="FS539" s="47"/>
      <c r="FT539" s="47"/>
      <c r="FU539" s="47"/>
      <c r="FV539" s="47"/>
      <c r="FW539" s="47"/>
      <c r="FX539" s="47"/>
      <c r="FY539" s="47"/>
      <c r="FZ539" s="47"/>
      <c r="GA539" s="47"/>
      <c r="GB539" s="47"/>
      <c r="GC539" s="47"/>
      <c r="GD539" s="47"/>
      <c r="GE539" s="47"/>
    </row>
    <row r="540" spans="1:187" ht="10.5" customHeight="1">
      <c r="A540" s="43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43"/>
      <c r="U540" s="108"/>
      <c r="V540" s="108"/>
      <c r="W540" s="108"/>
      <c r="X540" s="108"/>
      <c r="Y540" s="108"/>
      <c r="Z540" s="108"/>
      <c r="AA540" s="43"/>
      <c r="AB540" s="108"/>
      <c r="AC540" s="108"/>
      <c r="AD540" s="108"/>
      <c r="AE540" s="108"/>
      <c r="AF540" s="108"/>
      <c r="AG540" s="108"/>
      <c r="AH540" s="43"/>
      <c r="AI540" s="108"/>
      <c r="AJ540" s="108"/>
      <c r="AK540" s="108"/>
      <c r="AL540" s="108"/>
      <c r="AM540" s="108"/>
      <c r="AN540" s="108"/>
      <c r="AO540" s="43"/>
      <c r="AP540" s="108"/>
      <c r="AQ540" s="108"/>
      <c r="AR540" s="108"/>
      <c r="AS540" s="108"/>
      <c r="AT540" s="108"/>
      <c r="AU540" s="108"/>
      <c r="AV540" s="43"/>
      <c r="AW540" s="108"/>
      <c r="AX540" s="108"/>
      <c r="AY540" s="108"/>
      <c r="AZ540" s="108"/>
      <c r="BA540" s="108"/>
      <c r="BB540" s="108"/>
      <c r="BC540" s="43"/>
      <c r="BD540" s="108"/>
      <c r="BE540" s="108"/>
      <c r="BF540" s="108"/>
      <c r="BG540" s="108"/>
      <c r="BH540" s="108"/>
      <c r="BI540" s="108"/>
      <c r="BJ540" s="43"/>
      <c r="BK540" s="108"/>
      <c r="BL540" s="108"/>
      <c r="BM540" s="108"/>
      <c r="BN540" s="108"/>
      <c r="BO540" s="108"/>
      <c r="BP540" s="108"/>
      <c r="BQ540" s="43"/>
      <c r="BR540" s="108"/>
      <c r="BS540" s="108"/>
      <c r="BT540" s="108"/>
      <c r="BU540" s="108"/>
      <c r="BV540" s="108"/>
      <c r="BW540" s="108"/>
      <c r="BX540" s="43"/>
      <c r="BY540" s="108"/>
      <c r="BZ540" s="108"/>
      <c r="CA540" s="108"/>
      <c r="CB540" s="108"/>
      <c r="CC540" s="108"/>
      <c r="CD540" s="108"/>
      <c r="CE540" s="43"/>
      <c r="CF540" s="108"/>
      <c r="CG540" s="108"/>
      <c r="CH540" s="108"/>
      <c r="CI540" s="108"/>
      <c r="CJ540" s="108"/>
      <c r="CK540" s="108"/>
      <c r="CL540" s="43"/>
      <c r="CM540" s="108"/>
      <c r="CN540" s="108"/>
      <c r="CO540" s="108"/>
      <c r="CP540" s="108"/>
      <c r="CQ540" s="108"/>
      <c r="CR540" s="108"/>
      <c r="CS540" s="43"/>
      <c r="CT540" s="108"/>
      <c r="CU540" s="108"/>
      <c r="CV540" s="108"/>
      <c r="CW540" s="108"/>
      <c r="CX540" s="108"/>
      <c r="CY540" s="108"/>
      <c r="CZ540" s="43"/>
      <c r="DA540" s="108"/>
      <c r="DB540" s="108"/>
      <c r="DC540" s="108"/>
      <c r="DD540" s="108"/>
      <c r="DE540" s="108"/>
      <c r="DF540" s="108"/>
      <c r="DG540" s="43"/>
      <c r="DH540" s="108"/>
      <c r="DI540" s="108"/>
      <c r="DJ540" s="108"/>
      <c r="DK540" s="108"/>
      <c r="DL540" s="108"/>
      <c r="DM540" s="108"/>
      <c r="DN540" s="43"/>
      <c r="DO540" s="108"/>
      <c r="DP540" s="108"/>
      <c r="DQ540" s="108"/>
      <c r="DR540" s="108"/>
      <c r="DS540" s="108"/>
      <c r="DT540" s="108"/>
      <c r="DU540" s="43"/>
      <c r="DV540" s="108"/>
      <c r="DW540" s="108"/>
      <c r="DX540" s="108"/>
      <c r="DY540" s="108"/>
      <c r="DZ540" s="108"/>
      <c r="EA540" s="108"/>
      <c r="EB540" s="43"/>
      <c r="EC540" s="108"/>
      <c r="ED540" s="108"/>
      <c r="EE540" s="108"/>
      <c r="EF540" s="108"/>
      <c r="EG540" s="108"/>
      <c r="EH540" s="108"/>
      <c r="EI540" s="43"/>
      <c r="EJ540" s="47"/>
      <c r="EK540" s="47"/>
      <c r="EL540" s="47"/>
      <c r="EM540" s="47"/>
      <c r="EN540" s="47"/>
      <c r="EO540" s="47"/>
      <c r="EP540" s="47"/>
      <c r="EQ540" s="47"/>
      <c r="ER540" s="47"/>
      <c r="ES540" s="47"/>
      <c r="ET540" s="47"/>
      <c r="EU540" s="47"/>
      <c r="EV540" s="47"/>
      <c r="EW540" s="47"/>
      <c r="EX540" s="47"/>
      <c r="EY540" s="47"/>
      <c r="EZ540" s="47"/>
      <c r="FA540" s="47"/>
      <c r="FB540" s="47"/>
      <c r="FC540" s="47"/>
      <c r="FD540" s="47"/>
      <c r="FE540" s="47"/>
      <c r="FF540" s="47"/>
      <c r="FG540" s="47"/>
      <c r="FH540" s="47"/>
      <c r="FI540" s="47"/>
      <c r="FJ540" s="47"/>
      <c r="FK540" s="47"/>
      <c r="FL540" s="47"/>
      <c r="FM540" s="47"/>
      <c r="FN540" s="47"/>
      <c r="FO540" s="47"/>
      <c r="FP540" s="47"/>
      <c r="FQ540" s="47"/>
      <c r="FR540" s="47"/>
      <c r="FS540" s="47"/>
      <c r="FT540" s="47"/>
      <c r="FU540" s="47"/>
      <c r="FV540" s="47"/>
      <c r="FW540" s="47"/>
      <c r="FX540" s="47"/>
      <c r="FY540" s="47"/>
      <c r="FZ540" s="47"/>
      <c r="GA540" s="47"/>
      <c r="GB540" s="47"/>
      <c r="GC540" s="47"/>
      <c r="GD540" s="47"/>
      <c r="GE540" s="47"/>
    </row>
    <row r="541" spans="1:187" ht="10.5" customHeight="1">
      <c r="A541" s="43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43"/>
      <c r="U541" s="108"/>
      <c r="V541" s="108"/>
      <c r="W541" s="108"/>
      <c r="X541" s="108"/>
      <c r="Y541" s="108"/>
      <c r="Z541" s="108"/>
      <c r="AA541" s="43"/>
      <c r="AB541" s="108"/>
      <c r="AC541" s="108"/>
      <c r="AD541" s="108"/>
      <c r="AE541" s="108"/>
      <c r="AF541" s="108"/>
      <c r="AG541" s="108"/>
      <c r="AH541" s="43"/>
      <c r="AI541" s="108"/>
      <c r="AJ541" s="108"/>
      <c r="AK541" s="108"/>
      <c r="AL541" s="108"/>
      <c r="AM541" s="108"/>
      <c r="AN541" s="108"/>
      <c r="AO541" s="43"/>
      <c r="AP541" s="108"/>
      <c r="AQ541" s="108"/>
      <c r="AR541" s="108"/>
      <c r="AS541" s="108"/>
      <c r="AT541" s="108"/>
      <c r="AU541" s="108"/>
      <c r="AV541" s="43"/>
      <c r="AW541" s="108"/>
      <c r="AX541" s="108"/>
      <c r="AY541" s="108"/>
      <c r="AZ541" s="108"/>
      <c r="BA541" s="108"/>
      <c r="BB541" s="108"/>
      <c r="BC541" s="43"/>
      <c r="BD541" s="108"/>
      <c r="BE541" s="108"/>
      <c r="BF541" s="108"/>
      <c r="BG541" s="108"/>
      <c r="BH541" s="108"/>
      <c r="BI541" s="108"/>
      <c r="BJ541" s="43"/>
      <c r="BK541" s="108"/>
      <c r="BL541" s="108"/>
      <c r="BM541" s="108"/>
      <c r="BN541" s="108"/>
      <c r="BO541" s="108"/>
      <c r="BP541" s="108"/>
      <c r="BQ541" s="43"/>
      <c r="BR541" s="108"/>
      <c r="BS541" s="108"/>
      <c r="BT541" s="108"/>
      <c r="BU541" s="108"/>
      <c r="BV541" s="108"/>
      <c r="BW541" s="108"/>
      <c r="BX541" s="43"/>
      <c r="BY541" s="108"/>
      <c r="BZ541" s="108"/>
      <c r="CA541" s="108"/>
      <c r="CB541" s="108"/>
      <c r="CC541" s="108"/>
      <c r="CD541" s="108"/>
      <c r="CE541" s="43"/>
      <c r="CF541" s="108"/>
      <c r="CG541" s="108"/>
      <c r="CH541" s="108"/>
      <c r="CI541" s="108"/>
      <c r="CJ541" s="108"/>
      <c r="CK541" s="108"/>
      <c r="CL541" s="43"/>
      <c r="CM541" s="108"/>
      <c r="CN541" s="108"/>
      <c r="CO541" s="108"/>
      <c r="CP541" s="108"/>
      <c r="CQ541" s="108"/>
      <c r="CR541" s="108"/>
      <c r="CS541" s="43"/>
      <c r="CT541" s="108"/>
      <c r="CU541" s="108"/>
      <c r="CV541" s="108"/>
      <c r="CW541" s="108"/>
      <c r="CX541" s="108"/>
      <c r="CY541" s="108"/>
      <c r="CZ541" s="43"/>
      <c r="DA541" s="108"/>
      <c r="DB541" s="108"/>
      <c r="DC541" s="108"/>
      <c r="DD541" s="108"/>
      <c r="DE541" s="108"/>
      <c r="DF541" s="108"/>
      <c r="DG541" s="43"/>
      <c r="DH541" s="108"/>
      <c r="DI541" s="108"/>
      <c r="DJ541" s="108"/>
      <c r="DK541" s="108"/>
      <c r="DL541" s="108"/>
      <c r="DM541" s="108"/>
      <c r="DN541" s="43"/>
      <c r="DO541" s="108"/>
      <c r="DP541" s="108"/>
      <c r="DQ541" s="108"/>
      <c r="DR541" s="108"/>
      <c r="DS541" s="108"/>
      <c r="DT541" s="108"/>
      <c r="DU541" s="43"/>
      <c r="DV541" s="108"/>
      <c r="DW541" s="108"/>
      <c r="DX541" s="108"/>
      <c r="DY541" s="108"/>
      <c r="DZ541" s="108"/>
      <c r="EA541" s="108"/>
      <c r="EB541" s="43"/>
      <c r="EC541" s="108"/>
      <c r="ED541" s="108"/>
      <c r="EE541" s="108"/>
      <c r="EF541" s="108"/>
      <c r="EG541" s="108"/>
      <c r="EH541" s="108"/>
      <c r="EI541" s="43"/>
      <c r="EJ541" s="47"/>
      <c r="EK541" s="47"/>
      <c r="EL541" s="47"/>
      <c r="EM541" s="47"/>
      <c r="EN541" s="47"/>
      <c r="EO541" s="47"/>
      <c r="EP541" s="47"/>
      <c r="EQ541" s="47"/>
      <c r="ER541" s="47"/>
      <c r="ES541" s="47"/>
      <c r="ET541" s="47"/>
      <c r="EU541" s="47"/>
      <c r="EV541" s="47"/>
      <c r="EW541" s="47"/>
      <c r="EX541" s="47"/>
      <c r="EY541" s="47"/>
      <c r="EZ541" s="47"/>
      <c r="FA541" s="47"/>
      <c r="FB541" s="47"/>
      <c r="FC541" s="47"/>
      <c r="FD541" s="47"/>
      <c r="FE541" s="47"/>
      <c r="FF541" s="47"/>
      <c r="FG541" s="47"/>
      <c r="FH541" s="47"/>
      <c r="FI541" s="47"/>
      <c r="FJ541" s="47"/>
      <c r="FK541" s="47"/>
      <c r="FL541" s="47"/>
      <c r="FM541" s="47"/>
      <c r="FN541" s="47"/>
      <c r="FO541" s="47"/>
      <c r="FP541" s="47"/>
      <c r="FQ541" s="47"/>
      <c r="FR541" s="47"/>
      <c r="FS541" s="47"/>
      <c r="FT541" s="47"/>
      <c r="FU541" s="47"/>
      <c r="FV541" s="47"/>
      <c r="FW541" s="47"/>
      <c r="FX541" s="47"/>
      <c r="FY541" s="47"/>
      <c r="FZ541" s="47"/>
      <c r="GA541" s="47"/>
      <c r="GB541" s="47"/>
      <c r="GC541" s="47"/>
      <c r="GD541" s="47"/>
      <c r="GE541" s="47"/>
    </row>
    <row r="542" spans="1:187" ht="10.5" customHeight="1">
      <c r="A542" s="43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43"/>
      <c r="U542" s="108"/>
      <c r="V542" s="108"/>
      <c r="W542" s="108"/>
      <c r="X542" s="108"/>
      <c r="Y542" s="108"/>
      <c r="Z542" s="108"/>
      <c r="AA542" s="43"/>
      <c r="AB542" s="108"/>
      <c r="AC542" s="108"/>
      <c r="AD542" s="108"/>
      <c r="AE542" s="108"/>
      <c r="AF542" s="108"/>
      <c r="AG542" s="108"/>
      <c r="AH542" s="43"/>
      <c r="AI542" s="108"/>
      <c r="AJ542" s="108"/>
      <c r="AK542" s="108"/>
      <c r="AL542" s="108"/>
      <c r="AM542" s="108"/>
      <c r="AN542" s="108"/>
      <c r="AO542" s="43"/>
      <c r="AP542" s="108"/>
      <c r="AQ542" s="108"/>
      <c r="AR542" s="108"/>
      <c r="AS542" s="108"/>
      <c r="AT542" s="108"/>
      <c r="AU542" s="108"/>
      <c r="AV542" s="43"/>
      <c r="AW542" s="108"/>
      <c r="AX542" s="108"/>
      <c r="AY542" s="108"/>
      <c r="AZ542" s="108"/>
      <c r="BA542" s="108"/>
      <c r="BB542" s="108"/>
      <c r="BC542" s="43"/>
      <c r="BD542" s="108"/>
      <c r="BE542" s="108"/>
      <c r="BF542" s="108"/>
      <c r="BG542" s="108"/>
      <c r="BH542" s="108"/>
      <c r="BI542" s="108"/>
      <c r="BJ542" s="43"/>
      <c r="BK542" s="108"/>
      <c r="BL542" s="108"/>
      <c r="BM542" s="108"/>
      <c r="BN542" s="108"/>
      <c r="BO542" s="108"/>
      <c r="BP542" s="108"/>
      <c r="BQ542" s="43"/>
      <c r="BR542" s="108"/>
      <c r="BS542" s="108"/>
      <c r="BT542" s="108"/>
      <c r="BU542" s="108"/>
      <c r="BV542" s="108"/>
      <c r="BW542" s="108"/>
      <c r="BX542" s="43"/>
      <c r="BY542" s="108"/>
      <c r="BZ542" s="108"/>
      <c r="CA542" s="108"/>
      <c r="CB542" s="108"/>
      <c r="CC542" s="108"/>
      <c r="CD542" s="108"/>
      <c r="CE542" s="43"/>
      <c r="CF542" s="108"/>
      <c r="CG542" s="108"/>
      <c r="CH542" s="108"/>
      <c r="CI542" s="108"/>
      <c r="CJ542" s="108"/>
      <c r="CK542" s="108"/>
      <c r="CL542" s="43"/>
      <c r="CM542" s="108"/>
      <c r="CN542" s="108"/>
      <c r="CO542" s="108"/>
      <c r="CP542" s="108"/>
      <c r="CQ542" s="108"/>
      <c r="CR542" s="108"/>
      <c r="CS542" s="43"/>
      <c r="CT542" s="108"/>
      <c r="CU542" s="108"/>
      <c r="CV542" s="108"/>
      <c r="CW542" s="108"/>
      <c r="CX542" s="108"/>
      <c r="CY542" s="108"/>
      <c r="CZ542" s="43"/>
      <c r="DA542" s="108"/>
      <c r="DB542" s="108"/>
      <c r="DC542" s="108"/>
      <c r="DD542" s="108"/>
      <c r="DE542" s="108"/>
      <c r="DF542" s="108"/>
      <c r="DG542" s="43"/>
      <c r="DH542" s="108"/>
      <c r="DI542" s="108"/>
      <c r="DJ542" s="108"/>
      <c r="DK542" s="108"/>
      <c r="DL542" s="108"/>
      <c r="DM542" s="108"/>
      <c r="DN542" s="43"/>
      <c r="DO542" s="108"/>
      <c r="DP542" s="108"/>
      <c r="DQ542" s="108"/>
      <c r="DR542" s="108"/>
      <c r="DS542" s="108"/>
      <c r="DT542" s="108"/>
      <c r="DU542" s="43"/>
      <c r="DV542" s="108"/>
      <c r="DW542" s="108"/>
      <c r="DX542" s="108"/>
      <c r="DY542" s="108"/>
      <c r="DZ542" s="108"/>
      <c r="EA542" s="108"/>
      <c r="EB542" s="43"/>
      <c r="EC542" s="108"/>
      <c r="ED542" s="108"/>
      <c r="EE542" s="108"/>
      <c r="EF542" s="108"/>
      <c r="EG542" s="108"/>
      <c r="EH542" s="108"/>
      <c r="EI542" s="43"/>
      <c r="EJ542" s="47"/>
      <c r="EK542" s="47"/>
      <c r="EL542" s="47"/>
      <c r="EM542" s="47"/>
      <c r="EN542" s="47"/>
      <c r="EO542" s="47"/>
      <c r="EP542" s="47"/>
      <c r="EQ542" s="47"/>
      <c r="ER542" s="47"/>
      <c r="ES542" s="47"/>
      <c r="ET542" s="47"/>
      <c r="EU542" s="47"/>
      <c r="EV542" s="47"/>
      <c r="EW542" s="47"/>
      <c r="EX542" s="47"/>
      <c r="EY542" s="47"/>
      <c r="EZ542" s="47"/>
      <c r="FA542" s="47"/>
      <c r="FB542" s="47"/>
      <c r="FC542" s="47"/>
      <c r="FD542" s="47"/>
      <c r="FE542" s="47"/>
      <c r="FF542" s="47"/>
      <c r="FG542" s="47"/>
      <c r="FH542" s="47"/>
      <c r="FI542" s="47"/>
      <c r="FJ542" s="47"/>
      <c r="FK542" s="47"/>
      <c r="FL542" s="47"/>
      <c r="FM542" s="47"/>
      <c r="FN542" s="47"/>
      <c r="FO542" s="47"/>
      <c r="FP542" s="47"/>
      <c r="FQ542" s="47"/>
      <c r="FR542" s="47"/>
      <c r="FS542" s="47"/>
      <c r="FT542" s="47"/>
      <c r="FU542" s="47"/>
      <c r="FV542" s="47"/>
      <c r="FW542" s="47"/>
      <c r="FX542" s="47"/>
      <c r="FY542" s="47"/>
      <c r="FZ542" s="47"/>
      <c r="GA542" s="47"/>
      <c r="GB542" s="47"/>
      <c r="GC542" s="47"/>
      <c r="GD542" s="47"/>
      <c r="GE542" s="47"/>
    </row>
    <row r="543" spans="1:187" ht="10.5" customHeight="1">
      <c r="A543" s="43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43"/>
      <c r="U543" s="108"/>
      <c r="V543" s="108"/>
      <c r="W543" s="108"/>
      <c r="X543" s="108"/>
      <c r="Y543" s="108"/>
      <c r="Z543" s="108"/>
      <c r="AA543" s="43"/>
      <c r="AB543" s="108"/>
      <c r="AC543" s="108"/>
      <c r="AD543" s="108"/>
      <c r="AE543" s="108"/>
      <c r="AF543" s="108"/>
      <c r="AG543" s="108"/>
      <c r="AH543" s="43"/>
      <c r="AI543" s="108"/>
      <c r="AJ543" s="108"/>
      <c r="AK543" s="108"/>
      <c r="AL543" s="108"/>
      <c r="AM543" s="108"/>
      <c r="AN543" s="108"/>
      <c r="AO543" s="43"/>
      <c r="AP543" s="108"/>
      <c r="AQ543" s="108"/>
      <c r="AR543" s="108"/>
      <c r="AS543" s="108"/>
      <c r="AT543" s="108"/>
      <c r="AU543" s="108"/>
      <c r="AV543" s="43"/>
      <c r="AW543" s="108"/>
      <c r="AX543" s="108"/>
      <c r="AY543" s="108"/>
      <c r="AZ543" s="108"/>
      <c r="BA543" s="108"/>
      <c r="BB543" s="108"/>
      <c r="BC543" s="43"/>
      <c r="BD543" s="108"/>
      <c r="BE543" s="108"/>
      <c r="BF543" s="108"/>
      <c r="BG543" s="108"/>
      <c r="BH543" s="108"/>
      <c r="BI543" s="108"/>
      <c r="BJ543" s="43"/>
      <c r="BK543" s="108"/>
      <c r="BL543" s="108"/>
      <c r="BM543" s="108"/>
      <c r="BN543" s="108"/>
      <c r="BO543" s="108"/>
      <c r="BP543" s="108"/>
      <c r="BQ543" s="43"/>
      <c r="BR543" s="108"/>
      <c r="BS543" s="108"/>
      <c r="BT543" s="108"/>
      <c r="BU543" s="108"/>
      <c r="BV543" s="108"/>
      <c r="BW543" s="108"/>
      <c r="BX543" s="43"/>
      <c r="BY543" s="108"/>
      <c r="BZ543" s="108"/>
      <c r="CA543" s="108"/>
      <c r="CB543" s="108"/>
      <c r="CC543" s="108"/>
      <c r="CD543" s="108"/>
      <c r="CE543" s="43"/>
      <c r="CF543" s="108"/>
      <c r="CG543" s="108"/>
      <c r="CH543" s="108"/>
      <c r="CI543" s="108"/>
      <c r="CJ543" s="108"/>
      <c r="CK543" s="108"/>
      <c r="CL543" s="43"/>
      <c r="CM543" s="108"/>
      <c r="CN543" s="108"/>
      <c r="CO543" s="108"/>
      <c r="CP543" s="108"/>
      <c r="CQ543" s="108"/>
      <c r="CR543" s="108"/>
      <c r="CS543" s="43"/>
      <c r="CT543" s="108"/>
      <c r="CU543" s="108"/>
      <c r="CV543" s="108"/>
      <c r="CW543" s="108"/>
      <c r="CX543" s="108"/>
      <c r="CY543" s="108"/>
      <c r="CZ543" s="43"/>
      <c r="DA543" s="108"/>
      <c r="DB543" s="108"/>
      <c r="DC543" s="108"/>
      <c r="DD543" s="108"/>
      <c r="DE543" s="108"/>
      <c r="DF543" s="108"/>
      <c r="DG543" s="43"/>
      <c r="DH543" s="108"/>
      <c r="DI543" s="108"/>
      <c r="DJ543" s="108"/>
      <c r="DK543" s="108"/>
      <c r="DL543" s="108"/>
      <c r="DM543" s="108"/>
      <c r="DN543" s="43"/>
      <c r="DO543" s="108"/>
      <c r="DP543" s="108"/>
      <c r="DQ543" s="108"/>
      <c r="DR543" s="108"/>
      <c r="DS543" s="108"/>
      <c r="DT543" s="108"/>
      <c r="DU543" s="43"/>
      <c r="DV543" s="108"/>
      <c r="DW543" s="108"/>
      <c r="DX543" s="108"/>
      <c r="DY543" s="108"/>
      <c r="DZ543" s="108"/>
      <c r="EA543" s="108"/>
      <c r="EB543" s="43"/>
      <c r="EC543" s="108"/>
      <c r="ED543" s="108"/>
      <c r="EE543" s="108"/>
      <c r="EF543" s="108"/>
      <c r="EG543" s="108"/>
      <c r="EH543" s="108"/>
      <c r="EI543" s="43"/>
      <c r="EJ543" s="47"/>
      <c r="EK543" s="47"/>
      <c r="EL543" s="47"/>
      <c r="EM543" s="47"/>
      <c r="EN543" s="47"/>
      <c r="EO543" s="47"/>
      <c r="EP543" s="47"/>
      <c r="EQ543" s="47"/>
      <c r="ER543" s="47"/>
      <c r="ES543" s="47"/>
      <c r="ET543" s="47"/>
      <c r="EU543" s="47"/>
      <c r="EV543" s="47"/>
      <c r="EW543" s="47"/>
      <c r="EX543" s="47"/>
      <c r="EY543" s="47"/>
      <c r="EZ543" s="47"/>
      <c r="FA543" s="47"/>
      <c r="FB543" s="47"/>
      <c r="FC543" s="47"/>
      <c r="FD543" s="47"/>
      <c r="FE543" s="47"/>
      <c r="FF543" s="47"/>
      <c r="FG543" s="47"/>
      <c r="FH543" s="47"/>
      <c r="FI543" s="47"/>
      <c r="FJ543" s="47"/>
      <c r="FK543" s="47"/>
      <c r="FL543" s="47"/>
      <c r="FM543" s="47"/>
      <c r="FN543" s="47"/>
      <c r="FO543" s="47"/>
      <c r="FP543" s="47"/>
      <c r="FQ543" s="47"/>
      <c r="FR543" s="47"/>
      <c r="FS543" s="47"/>
      <c r="FT543" s="47"/>
      <c r="FU543" s="47"/>
      <c r="FV543" s="47"/>
      <c r="FW543" s="47"/>
      <c r="FX543" s="47"/>
      <c r="FY543" s="47"/>
      <c r="FZ543" s="47"/>
      <c r="GA543" s="47"/>
      <c r="GB543" s="47"/>
      <c r="GC543" s="47"/>
      <c r="GD543" s="47"/>
      <c r="GE543" s="47"/>
    </row>
    <row r="544" spans="1:187" ht="10.5" customHeight="1">
      <c r="A544" s="43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43"/>
      <c r="U544" s="108"/>
      <c r="V544" s="108"/>
      <c r="W544" s="108"/>
      <c r="X544" s="108"/>
      <c r="Y544" s="108"/>
      <c r="Z544" s="108"/>
      <c r="AA544" s="43"/>
      <c r="AB544" s="108"/>
      <c r="AC544" s="108"/>
      <c r="AD544" s="108"/>
      <c r="AE544" s="108"/>
      <c r="AF544" s="108"/>
      <c r="AG544" s="108"/>
      <c r="AH544" s="43"/>
      <c r="AI544" s="108"/>
      <c r="AJ544" s="108"/>
      <c r="AK544" s="108"/>
      <c r="AL544" s="108"/>
      <c r="AM544" s="108"/>
      <c r="AN544" s="108"/>
      <c r="AO544" s="43"/>
      <c r="AP544" s="108"/>
      <c r="AQ544" s="108"/>
      <c r="AR544" s="108"/>
      <c r="AS544" s="108"/>
      <c r="AT544" s="108"/>
      <c r="AU544" s="108"/>
      <c r="AV544" s="43"/>
      <c r="AW544" s="108"/>
      <c r="AX544" s="108"/>
      <c r="AY544" s="108"/>
      <c r="AZ544" s="108"/>
      <c r="BA544" s="108"/>
      <c r="BB544" s="108"/>
      <c r="BC544" s="43"/>
      <c r="BD544" s="108"/>
      <c r="BE544" s="108"/>
      <c r="BF544" s="108"/>
      <c r="BG544" s="108"/>
      <c r="BH544" s="108"/>
      <c r="BI544" s="108"/>
      <c r="BJ544" s="43"/>
      <c r="BK544" s="108"/>
      <c r="BL544" s="108"/>
      <c r="BM544" s="108"/>
      <c r="BN544" s="108"/>
      <c r="BO544" s="108"/>
      <c r="BP544" s="108"/>
      <c r="BQ544" s="43"/>
      <c r="BR544" s="108"/>
      <c r="BS544" s="108"/>
      <c r="BT544" s="108"/>
      <c r="BU544" s="108"/>
      <c r="BV544" s="108"/>
      <c r="BW544" s="108"/>
      <c r="BX544" s="43"/>
      <c r="BY544" s="108"/>
      <c r="BZ544" s="108"/>
      <c r="CA544" s="108"/>
      <c r="CB544" s="108"/>
      <c r="CC544" s="108"/>
      <c r="CD544" s="108"/>
      <c r="CE544" s="43"/>
      <c r="CF544" s="108"/>
      <c r="CG544" s="108"/>
      <c r="CH544" s="108"/>
      <c r="CI544" s="108"/>
      <c r="CJ544" s="108"/>
      <c r="CK544" s="108"/>
      <c r="CL544" s="43"/>
      <c r="CM544" s="108"/>
      <c r="CN544" s="108"/>
      <c r="CO544" s="108"/>
      <c r="CP544" s="108"/>
      <c r="CQ544" s="108"/>
      <c r="CR544" s="108"/>
      <c r="CS544" s="43"/>
      <c r="CT544" s="108"/>
      <c r="CU544" s="108"/>
      <c r="CV544" s="108"/>
      <c r="CW544" s="108"/>
      <c r="CX544" s="108"/>
      <c r="CY544" s="108"/>
      <c r="CZ544" s="43"/>
      <c r="DA544" s="108"/>
      <c r="DB544" s="108"/>
      <c r="DC544" s="108"/>
      <c r="DD544" s="108"/>
      <c r="DE544" s="108"/>
      <c r="DF544" s="108"/>
      <c r="DG544" s="43"/>
      <c r="DH544" s="108"/>
      <c r="DI544" s="108"/>
      <c r="DJ544" s="108"/>
      <c r="DK544" s="108"/>
      <c r="DL544" s="108"/>
      <c r="DM544" s="108"/>
      <c r="DN544" s="43"/>
      <c r="DO544" s="108"/>
      <c r="DP544" s="108"/>
      <c r="DQ544" s="108"/>
      <c r="DR544" s="108"/>
      <c r="DS544" s="108"/>
      <c r="DT544" s="108"/>
      <c r="DU544" s="43"/>
      <c r="DV544" s="108"/>
      <c r="DW544" s="108"/>
      <c r="DX544" s="108"/>
      <c r="DY544" s="108"/>
      <c r="DZ544" s="108"/>
      <c r="EA544" s="108"/>
      <c r="EB544" s="43"/>
      <c r="EC544" s="108"/>
      <c r="ED544" s="108"/>
      <c r="EE544" s="108"/>
      <c r="EF544" s="108"/>
      <c r="EG544" s="108"/>
      <c r="EH544" s="108"/>
      <c r="EI544" s="43"/>
      <c r="EJ544" s="47"/>
      <c r="EK544" s="47"/>
      <c r="EL544" s="47"/>
      <c r="EM544" s="47"/>
      <c r="EN544" s="47"/>
      <c r="EO544" s="47"/>
      <c r="EP544" s="47"/>
      <c r="EQ544" s="47"/>
      <c r="ER544" s="47"/>
      <c r="ES544" s="47"/>
      <c r="ET544" s="47"/>
      <c r="EU544" s="47"/>
      <c r="EV544" s="47"/>
      <c r="EW544" s="47"/>
      <c r="EX544" s="47"/>
      <c r="EY544" s="47"/>
      <c r="EZ544" s="47"/>
      <c r="FA544" s="47"/>
      <c r="FB544" s="47"/>
      <c r="FC544" s="47"/>
      <c r="FD544" s="47"/>
      <c r="FE544" s="47"/>
      <c r="FF544" s="47"/>
      <c r="FG544" s="47"/>
      <c r="FH544" s="47"/>
      <c r="FI544" s="47"/>
      <c r="FJ544" s="47"/>
      <c r="FK544" s="47"/>
      <c r="FL544" s="47"/>
      <c r="FM544" s="47"/>
      <c r="FN544" s="47"/>
      <c r="FO544" s="47"/>
      <c r="FP544" s="47"/>
      <c r="FQ544" s="47"/>
      <c r="FR544" s="47"/>
      <c r="FS544" s="47"/>
      <c r="FT544" s="47"/>
      <c r="FU544" s="47"/>
      <c r="FV544" s="47"/>
      <c r="FW544" s="47"/>
      <c r="FX544" s="47"/>
      <c r="FY544" s="47"/>
      <c r="FZ544" s="47"/>
      <c r="GA544" s="47"/>
      <c r="GB544" s="47"/>
      <c r="GC544" s="47"/>
      <c r="GD544" s="47"/>
      <c r="GE544" s="47"/>
    </row>
    <row r="545" spans="1:187" ht="10.5" customHeight="1">
      <c r="A545" s="43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43"/>
      <c r="U545" s="108"/>
      <c r="V545" s="108"/>
      <c r="W545" s="108"/>
      <c r="X545" s="108"/>
      <c r="Y545" s="108"/>
      <c r="Z545" s="108"/>
      <c r="AA545" s="43"/>
      <c r="AB545" s="108"/>
      <c r="AC545" s="108"/>
      <c r="AD545" s="108"/>
      <c r="AE545" s="108"/>
      <c r="AF545" s="108"/>
      <c r="AG545" s="108"/>
      <c r="AH545" s="43"/>
      <c r="AI545" s="108"/>
      <c r="AJ545" s="108"/>
      <c r="AK545" s="108"/>
      <c r="AL545" s="108"/>
      <c r="AM545" s="108"/>
      <c r="AN545" s="108"/>
      <c r="AO545" s="43"/>
      <c r="AP545" s="108"/>
      <c r="AQ545" s="108"/>
      <c r="AR545" s="108"/>
      <c r="AS545" s="108"/>
      <c r="AT545" s="108"/>
      <c r="AU545" s="108"/>
      <c r="AV545" s="43"/>
      <c r="AW545" s="108"/>
      <c r="AX545" s="108"/>
      <c r="AY545" s="108"/>
      <c r="AZ545" s="108"/>
      <c r="BA545" s="108"/>
      <c r="BB545" s="108"/>
      <c r="BC545" s="43"/>
      <c r="BD545" s="108"/>
      <c r="BE545" s="108"/>
      <c r="BF545" s="108"/>
      <c r="BG545" s="108"/>
      <c r="BH545" s="108"/>
      <c r="BI545" s="108"/>
      <c r="BJ545" s="43"/>
      <c r="BK545" s="108"/>
      <c r="BL545" s="108"/>
      <c r="BM545" s="108"/>
      <c r="BN545" s="108"/>
      <c r="BO545" s="108"/>
      <c r="BP545" s="108"/>
      <c r="BQ545" s="43"/>
      <c r="BR545" s="108"/>
      <c r="BS545" s="108"/>
      <c r="BT545" s="108"/>
      <c r="BU545" s="108"/>
      <c r="BV545" s="108"/>
      <c r="BW545" s="108"/>
      <c r="BX545" s="43"/>
      <c r="BY545" s="108"/>
      <c r="BZ545" s="108"/>
      <c r="CA545" s="108"/>
      <c r="CB545" s="108"/>
      <c r="CC545" s="108"/>
      <c r="CD545" s="108"/>
      <c r="CE545" s="43"/>
      <c r="CF545" s="108"/>
      <c r="CG545" s="108"/>
      <c r="CH545" s="108"/>
      <c r="CI545" s="108"/>
      <c r="CJ545" s="108"/>
      <c r="CK545" s="108"/>
      <c r="CL545" s="43"/>
      <c r="CM545" s="108"/>
      <c r="CN545" s="108"/>
      <c r="CO545" s="108"/>
      <c r="CP545" s="108"/>
      <c r="CQ545" s="108"/>
      <c r="CR545" s="108"/>
      <c r="CS545" s="43"/>
      <c r="CT545" s="108"/>
      <c r="CU545" s="108"/>
      <c r="CV545" s="108"/>
      <c r="CW545" s="108"/>
      <c r="CX545" s="108"/>
      <c r="CY545" s="108"/>
      <c r="CZ545" s="43"/>
      <c r="DA545" s="108"/>
      <c r="DB545" s="108"/>
      <c r="DC545" s="108"/>
      <c r="DD545" s="108"/>
      <c r="DE545" s="108"/>
      <c r="DF545" s="108"/>
      <c r="DG545" s="43"/>
      <c r="DH545" s="108"/>
      <c r="DI545" s="108"/>
      <c r="DJ545" s="108"/>
      <c r="DK545" s="108"/>
      <c r="DL545" s="108"/>
      <c r="DM545" s="108"/>
      <c r="DN545" s="43"/>
      <c r="DO545" s="108"/>
      <c r="DP545" s="108"/>
      <c r="DQ545" s="108"/>
      <c r="DR545" s="108"/>
      <c r="DS545" s="108"/>
      <c r="DT545" s="108"/>
      <c r="DU545" s="43"/>
      <c r="DV545" s="108"/>
      <c r="DW545" s="108"/>
      <c r="DX545" s="108"/>
      <c r="DY545" s="108"/>
      <c r="DZ545" s="108"/>
      <c r="EA545" s="108"/>
      <c r="EB545" s="43"/>
      <c r="EC545" s="108"/>
      <c r="ED545" s="108"/>
      <c r="EE545" s="108"/>
      <c r="EF545" s="108"/>
      <c r="EG545" s="108"/>
      <c r="EH545" s="108"/>
      <c r="EI545" s="43"/>
      <c r="EJ545" s="47"/>
      <c r="EK545" s="47"/>
      <c r="EL545" s="47"/>
      <c r="EM545" s="47"/>
      <c r="EN545" s="47"/>
      <c r="EO545" s="47"/>
      <c r="EP545" s="47"/>
      <c r="EQ545" s="47"/>
      <c r="ER545" s="47"/>
      <c r="ES545" s="47"/>
      <c r="ET545" s="47"/>
      <c r="EU545" s="47"/>
      <c r="EV545" s="47"/>
      <c r="EW545" s="47"/>
      <c r="EX545" s="47"/>
      <c r="EY545" s="47"/>
      <c r="EZ545" s="47"/>
      <c r="FA545" s="47"/>
      <c r="FB545" s="47"/>
      <c r="FC545" s="47"/>
      <c r="FD545" s="47"/>
      <c r="FE545" s="47"/>
      <c r="FF545" s="47"/>
      <c r="FG545" s="47"/>
      <c r="FH545" s="47"/>
      <c r="FI545" s="47"/>
      <c r="FJ545" s="47"/>
      <c r="FK545" s="47"/>
      <c r="FL545" s="47"/>
      <c r="FM545" s="47"/>
      <c r="FN545" s="47"/>
      <c r="FO545" s="47"/>
      <c r="FP545" s="47"/>
      <c r="FQ545" s="47"/>
      <c r="FR545" s="47"/>
      <c r="FS545" s="47"/>
      <c r="FT545" s="47"/>
      <c r="FU545" s="47"/>
      <c r="FV545" s="47"/>
      <c r="FW545" s="47"/>
      <c r="FX545" s="47"/>
      <c r="FY545" s="47"/>
      <c r="FZ545" s="47"/>
      <c r="GA545" s="47"/>
      <c r="GB545" s="47"/>
      <c r="GC545" s="47"/>
      <c r="GD545" s="47"/>
      <c r="GE545" s="47"/>
    </row>
    <row r="546" spans="1:187" ht="10.5" customHeight="1">
      <c r="A546" s="43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43"/>
      <c r="U546" s="108"/>
      <c r="V546" s="108"/>
      <c r="W546" s="108"/>
      <c r="X546" s="108"/>
      <c r="Y546" s="108"/>
      <c r="Z546" s="108"/>
      <c r="AA546" s="43"/>
      <c r="AB546" s="108"/>
      <c r="AC546" s="108"/>
      <c r="AD546" s="108"/>
      <c r="AE546" s="108"/>
      <c r="AF546" s="108"/>
      <c r="AG546" s="108"/>
      <c r="AH546" s="43"/>
      <c r="AI546" s="108"/>
      <c r="AJ546" s="108"/>
      <c r="AK546" s="108"/>
      <c r="AL546" s="108"/>
      <c r="AM546" s="108"/>
      <c r="AN546" s="108"/>
      <c r="AO546" s="43"/>
      <c r="AP546" s="108"/>
      <c r="AQ546" s="108"/>
      <c r="AR546" s="108"/>
      <c r="AS546" s="108"/>
      <c r="AT546" s="108"/>
      <c r="AU546" s="108"/>
      <c r="AV546" s="43"/>
      <c r="AW546" s="108"/>
      <c r="AX546" s="108"/>
      <c r="AY546" s="108"/>
      <c r="AZ546" s="108"/>
      <c r="BA546" s="108"/>
      <c r="BB546" s="108"/>
      <c r="BC546" s="43"/>
      <c r="BD546" s="108"/>
      <c r="BE546" s="108"/>
      <c r="BF546" s="108"/>
      <c r="BG546" s="108"/>
      <c r="BH546" s="108"/>
      <c r="BI546" s="108"/>
      <c r="BJ546" s="43"/>
      <c r="BK546" s="108"/>
      <c r="BL546" s="108"/>
      <c r="BM546" s="108"/>
      <c r="BN546" s="108"/>
      <c r="BO546" s="108"/>
      <c r="BP546" s="108"/>
      <c r="BQ546" s="43"/>
      <c r="BR546" s="108"/>
      <c r="BS546" s="108"/>
      <c r="BT546" s="108"/>
      <c r="BU546" s="108"/>
      <c r="BV546" s="108"/>
      <c r="BW546" s="108"/>
      <c r="BX546" s="43"/>
      <c r="BY546" s="108"/>
      <c r="BZ546" s="108"/>
      <c r="CA546" s="108"/>
      <c r="CB546" s="108"/>
      <c r="CC546" s="108"/>
      <c r="CD546" s="108"/>
      <c r="CE546" s="43"/>
      <c r="CF546" s="108"/>
      <c r="CG546" s="108"/>
      <c r="CH546" s="108"/>
      <c r="CI546" s="108"/>
      <c r="CJ546" s="108"/>
      <c r="CK546" s="108"/>
      <c r="CL546" s="43"/>
      <c r="CM546" s="108"/>
      <c r="CN546" s="108"/>
      <c r="CO546" s="108"/>
      <c r="CP546" s="108"/>
      <c r="CQ546" s="108"/>
      <c r="CR546" s="108"/>
      <c r="CS546" s="43"/>
      <c r="CT546" s="108"/>
      <c r="CU546" s="108"/>
      <c r="CV546" s="108"/>
      <c r="CW546" s="108"/>
      <c r="CX546" s="108"/>
      <c r="CY546" s="108"/>
      <c r="CZ546" s="43"/>
      <c r="DA546" s="108"/>
      <c r="DB546" s="108"/>
      <c r="DC546" s="108"/>
      <c r="DD546" s="108"/>
      <c r="DE546" s="108"/>
      <c r="DF546" s="108"/>
      <c r="DG546" s="43"/>
      <c r="DH546" s="108"/>
      <c r="DI546" s="108"/>
      <c r="DJ546" s="108"/>
      <c r="DK546" s="108"/>
      <c r="DL546" s="108"/>
      <c r="DM546" s="108"/>
      <c r="DN546" s="43"/>
      <c r="DO546" s="108"/>
      <c r="DP546" s="108"/>
      <c r="DQ546" s="108"/>
      <c r="DR546" s="108"/>
      <c r="DS546" s="108"/>
      <c r="DT546" s="108"/>
      <c r="DU546" s="43"/>
      <c r="DV546" s="108"/>
      <c r="DW546" s="108"/>
      <c r="DX546" s="108"/>
      <c r="DY546" s="108"/>
      <c r="DZ546" s="108"/>
      <c r="EA546" s="108"/>
      <c r="EB546" s="43"/>
      <c r="EC546" s="108"/>
      <c r="ED546" s="108"/>
      <c r="EE546" s="108"/>
      <c r="EF546" s="108"/>
      <c r="EG546" s="108"/>
      <c r="EH546" s="108"/>
      <c r="EI546" s="43"/>
      <c r="EJ546" s="47"/>
      <c r="EK546" s="47"/>
      <c r="EL546" s="47"/>
      <c r="EM546" s="47"/>
      <c r="EN546" s="47"/>
      <c r="EO546" s="47"/>
      <c r="EP546" s="47"/>
      <c r="EQ546" s="47"/>
      <c r="ER546" s="47"/>
      <c r="ES546" s="47"/>
      <c r="ET546" s="47"/>
      <c r="EU546" s="47"/>
      <c r="EV546" s="47"/>
      <c r="EW546" s="47"/>
      <c r="EX546" s="47"/>
      <c r="EY546" s="47"/>
      <c r="EZ546" s="47"/>
      <c r="FA546" s="47"/>
      <c r="FB546" s="47"/>
      <c r="FC546" s="47"/>
      <c r="FD546" s="47"/>
      <c r="FE546" s="47"/>
      <c r="FF546" s="47"/>
      <c r="FG546" s="47"/>
      <c r="FH546" s="47"/>
      <c r="FI546" s="47"/>
      <c r="FJ546" s="47"/>
      <c r="FK546" s="47"/>
      <c r="FL546" s="47"/>
      <c r="FM546" s="47"/>
      <c r="FN546" s="47"/>
      <c r="FO546" s="47"/>
      <c r="FP546" s="47"/>
      <c r="FQ546" s="47"/>
      <c r="FR546" s="47"/>
      <c r="FS546" s="47"/>
      <c r="FT546" s="47"/>
      <c r="FU546" s="47"/>
      <c r="FV546" s="47"/>
      <c r="FW546" s="47"/>
      <c r="FX546" s="47"/>
      <c r="FY546" s="47"/>
      <c r="FZ546" s="47"/>
      <c r="GA546" s="47"/>
      <c r="GB546" s="47"/>
      <c r="GC546" s="47"/>
      <c r="GD546" s="47"/>
      <c r="GE546" s="47"/>
    </row>
    <row r="547" spans="1:187" ht="10.5" customHeight="1">
      <c r="A547" s="43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43"/>
      <c r="U547" s="108"/>
      <c r="V547" s="108"/>
      <c r="W547" s="108"/>
      <c r="X547" s="108"/>
      <c r="Y547" s="108"/>
      <c r="Z547" s="108"/>
      <c r="AA547" s="43"/>
      <c r="AB547" s="108"/>
      <c r="AC547" s="108"/>
      <c r="AD547" s="108"/>
      <c r="AE547" s="108"/>
      <c r="AF547" s="108"/>
      <c r="AG547" s="108"/>
      <c r="AH547" s="43"/>
      <c r="AI547" s="108"/>
      <c r="AJ547" s="108"/>
      <c r="AK547" s="108"/>
      <c r="AL547" s="108"/>
      <c r="AM547" s="108"/>
      <c r="AN547" s="108"/>
      <c r="AO547" s="43"/>
      <c r="AP547" s="108"/>
      <c r="AQ547" s="108"/>
      <c r="AR547" s="108"/>
      <c r="AS547" s="108"/>
      <c r="AT547" s="108"/>
      <c r="AU547" s="108"/>
      <c r="AV547" s="43"/>
      <c r="AW547" s="108"/>
      <c r="AX547" s="108"/>
      <c r="AY547" s="108"/>
      <c r="AZ547" s="108"/>
      <c r="BA547" s="108"/>
      <c r="BB547" s="108"/>
      <c r="BC547" s="43"/>
      <c r="BD547" s="108"/>
      <c r="BE547" s="108"/>
      <c r="BF547" s="108"/>
      <c r="BG547" s="108"/>
      <c r="BH547" s="108"/>
      <c r="BI547" s="108"/>
      <c r="BJ547" s="43"/>
      <c r="BK547" s="108"/>
      <c r="BL547" s="108"/>
      <c r="BM547" s="108"/>
      <c r="BN547" s="108"/>
      <c r="BO547" s="108"/>
      <c r="BP547" s="108"/>
      <c r="BQ547" s="43"/>
      <c r="BR547" s="108"/>
      <c r="BS547" s="108"/>
      <c r="BT547" s="108"/>
      <c r="BU547" s="108"/>
      <c r="BV547" s="108"/>
      <c r="BW547" s="108"/>
      <c r="BX547" s="43"/>
      <c r="BY547" s="108"/>
      <c r="BZ547" s="108"/>
      <c r="CA547" s="108"/>
      <c r="CB547" s="108"/>
      <c r="CC547" s="108"/>
      <c r="CD547" s="108"/>
      <c r="CE547" s="43"/>
      <c r="CF547" s="108"/>
      <c r="CG547" s="108"/>
      <c r="CH547" s="108"/>
      <c r="CI547" s="108"/>
      <c r="CJ547" s="108"/>
      <c r="CK547" s="108"/>
      <c r="CL547" s="43"/>
      <c r="CM547" s="108"/>
      <c r="CN547" s="108"/>
      <c r="CO547" s="108"/>
      <c r="CP547" s="108"/>
      <c r="CQ547" s="108"/>
      <c r="CR547" s="108"/>
      <c r="CS547" s="43"/>
      <c r="CT547" s="108"/>
      <c r="CU547" s="108"/>
      <c r="CV547" s="108"/>
      <c r="CW547" s="108"/>
      <c r="CX547" s="108"/>
      <c r="CY547" s="108"/>
      <c r="CZ547" s="43"/>
      <c r="DA547" s="108"/>
      <c r="DB547" s="108"/>
      <c r="DC547" s="108"/>
      <c r="DD547" s="108"/>
      <c r="DE547" s="108"/>
      <c r="DF547" s="108"/>
      <c r="DG547" s="43"/>
      <c r="DH547" s="108"/>
      <c r="DI547" s="108"/>
      <c r="DJ547" s="108"/>
      <c r="DK547" s="108"/>
      <c r="DL547" s="108"/>
      <c r="DM547" s="108"/>
      <c r="DN547" s="43"/>
      <c r="DO547" s="108"/>
      <c r="DP547" s="108"/>
      <c r="DQ547" s="108"/>
      <c r="DR547" s="108"/>
      <c r="DS547" s="108"/>
      <c r="DT547" s="108"/>
      <c r="DU547" s="43"/>
      <c r="DV547" s="108"/>
      <c r="DW547" s="108"/>
      <c r="DX547" s="108"/>
      <c r="DY547" s="108"/>
      <c r="DZ547" s="108"/>
      <c r="EA547" s="108"/>
      <c r="EB547" s="43"/>
      <c r="EC547" s="108"/>
      <c r="ED547" s="108"/>
      <c r="EE547" s="108"/>
      <c r="EF547" s="108"/>
      <c r="EG547" s="108"/>
      <c r="EH547" s="108"/>
      <c r="EI547" s="43"/>
      <c r="EJ547" s="47"/>
      <c r="EK547" s="47"/>
      <c r="EL547" s="47"/>
      <c r="EM547" s="47"/>
      <c r="EN547" s="47"/>
      <c r="EO547" s="47"/>
      <c r="EP547" s="47"/>
      <c r="EQ547" s="47"/>
      <c r="ER547" s="47"/>
      <c r="ES547" s="47"/>
      <c r="ET547" s="47"/>
      <c r="EU547" s="47"/>
      <c r="EV547" s="47"/>
      <c r="EW547" s="47"/>
      <c r="EX547" s="47"/>
      <c r="EY547" s="47"/>
      <c r="EZ547" s="47"/>
      <c r="FA547" s="47"/>
      <c r="FB547" s="47"/>
      <c r="FC547" s="47"/>
      <c r="FD547" s="47"/>
      <c r="FE547" s="47"/>
      <c r="FF547" s="47"/>
      <c r="FG547" s="47"/>
      <c r="FH547" s="47"/>
      <c r="FI547" s="47"/>
      <c r="FJ547" s="47"/>
      <c r="FK547" s="47"/>
      <c r="FL547" s="47"/>
      <c r="FM547" s="47"/>
      <c r="FN547" s="47"/>
      <c r="FO547" s="47"/>
      <c r="FP547" s="47"/>
      <c r="FQ547" s="47"/>
      <c r="FR547" s="47"/>
      <c r="FS547" s="47"/>
      <c r="FT547" s="47"/>
      <c r="FU547" s="47"/>
      <c r="FV547" s="47"/>
      <c r="FW547" s="47"/>
      <c r="FX547" s="47"/>
      <c r="FY547" s="47"/>
      <c r="FZ547" s="47"/>
      <c r="GA547" s="47"/>
      <c r="GB547" s="47"/>
      <c r="GC547" s="47"/>
      <c r="GD547" s="47"/>
      <c r="GE547" s="47"/>
    </row>
    <row r="548" spans="1:187" ht="10.5" customHeight="1">
      <c r="A548" s="43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43"/>
      <c r="U548" s="108"/>
      <c r="V548" s="108"/>
      <c r="W548" s="108"/>
      <c r="X548" s="108"/>
      <c r="Y548" s="108"/>
      <c r="Z548" s="108"/>
      <c r="AA548" s="43"/>
      <c r="AB548" s="108"/>
      <c r="AC548" s="108"/>
      <c r="AD548" s="108"/>
      <c r="AE548" s="108"/>
      <c r="AF548" s="108"/>
      <c r="AG548" s="108"/>
      <c r="AH548" s="43"/>
      <c r="AI548" s="108"/>
      <c r="AJ548" s="108"/>
      <c r="AK548" s="108"/>
      <c r="AL548" s="108"/>
      <c r="AM548" s="108"/>
      <c r="AN548" s="108"/>
      <c r="AO548" s="43"/>
      <c r="AP548" s="108"/>
      <c r="AQ548" s="108"/>
      <c r="AR548" s="108"/>
      <c r="AS548" s="108"/>
      <c r="AT548" s="108"/>
      <c r="AU548" s="108"/>
      <c r="AV548" s="43"/>
      <c r="AW548" s="108"/>
      <c r="AX548" s="108"/>
      <c r="AY548" s="108"/>
      <c r="AZ548" s="108"/>
      <c r="BA548" s="108"/>
      <c r="BB548" s="108"/>
      <c r="BC548" s="43"/>
      <c r="BD548" s="108"/>
      <c r="BE548" s="108"/>
      <c r="BF548" s="108"/>
      <c r="BG548" s="108"/>
      <c r="BH548" s="108"/>
      <c r="BI548" s="108"/>
      <c r="BJ548" s="43"/>
      <c r="BK548" s="108"/>
      <c r="BL548" s="108"/>
      <c r="BM548" s="108"/>
      <c r="BN548" s="108"/>
      <c r="BO548" s="108"/>
      <c r="BP548" s="108"/>
      <c r="BQ548" s="43"/>
      <c r="BR548" s="108"/>
      <c r="BS548" s="108"/>
      <c r="BT548" s="108"/>
      <c r="BU548" s="108"/>
      <c r="BV548" s="108"/>
      <c r="BW548" s="108"/>
      <c r="BX548" s="43"/>
      <c r="BY548" s="108"/>
      <c r="BZ548" s="108"/>
      <c r="CA548" s="108"/>
      <c r="CB548" s="108"/>
      <c r="CC548" s="108"/>
      <c r="CD548" s="108"/>
      <c r="CE548" s="43"/>
      <c r="CF548" s="108"/>
      <c r="CG548" s="108"/>
      <c r="CH548" s="108"/>
      <c r="CI548" s="108"/>
      <c r="CJ548" s="108"/>
      <c r="CK548" s="108"/>
      <c r="CL548" s="43"/>
      <c r="CM548" s="108"/>
      <c r="CN548" s="108"/>
      <c r="CO548" s="108"/>
      <c r="CP548" s="108"/>
      <c r="CQ548" s="108"/>
      <c r="CR548" s="108"/>
      <c r="CS548" s="43"/>
      <c r="CT548" s="108"/>
      <c r="CU548" s="108"/>
      <c r="CV548" s="108"/>
      <c r="CW548" s="108"/>
      <c r="CX548" s="108"/>
      <c r="CY548" s="108"/>
      <c r="CZ548" s="43"/>
      <c r="DA548" s="108"/>
      <c r="DB548" s="108"/>
      <c r="DC548" s="108"/>
      <c r="DD548" s="108"/>
      <c r="DE548" s="108"/>
      <c r="DF548" s="108"/>
      <c r="DG548" s="43"/>
      <c r="DH548" s="108"/>
      <c r="DI548" s="108"/>
      <c r="DJ548" s="108"/>
      <c r="DK548" s="108"/>
      <c r="DL548" s="108"/>
      <c r="DM548" s="108"/>
      <c r="DN548" s="43"/>
      <c r="DO548" s="108"/>
      <c r="DP548" s="108"/>
      <c r="DQ548" s="108"/>
      <c r="DR548" s="108"/>
      <c r="DS548" s="108"/>
      <c r="DT548" s="108"/>
      <c r="DU548" s="43"/>
      <c r="DV548" s="108"/>
      <c r="DW548" s="108"/>
      <c r="DX548" s="108"/>
      <c r="DY548" s="108"/>
      <c r="DZ548" s="108"/>
      <c r="EA548" s="108"/>
      <c r="EB548" s="43"/>
      <c r="EC548" s="108"/>
      <c r="ED548" s="108"/>
      <c r="EE548" s="108"/>
      <c r="EF548" s="108"/>
      <c r="EG548" s="108"/>
      <c r="EH548" s="108"/>
      <c r="EI548" s="43"/>
      <c r="EJ548" s="47"/>
      <c r="EK548" s="47"/>
      <c r="EL548" s="47"/>
      <c r="EM548" s="47"/>
      <c r="EN548" s="47"/>
      <c r="EO548" s="47"/>
      <c r="EP548" s="47"/>
      <c r="EQ548" s="47"/>
      <c r="ER548" s="47"/>
      <c r="ES548" s="47"/>
      <c r="ET548" s="47"/>
      <c r="EU548" s="47"/>
      <c r="EV548" s="47"/>
      <c r="EW548" s="47"/>
      <c r="EX548" s="47"/>
      <c r="EY548" s="47"/>
      <c r="EZ548" s="47"/>
      <c r="FA548" s="47"/>
      <c r="FB548" s="47"/>
      <c r="FC548" s="47"/>
      <c r="FD548" s="47"/>
      <c r="FE548" s="47"/>
      <c r="FF548" s="47"/>
      <c r="FG548" s="47"/>
      <c r="FH548" s="47"/>
      <c r="FI548" s="47"/>
      <c r="FJ548" s="47"/>
      <c r="FK548" s="47"/>
      <c r="FL548" s="47"/>
      <c r="FM548" s="47"/>
      <c r="FN548" s="47"/>
      <c r="FO548" s="47"/>
      <c r="FP548" s="47"/>
      <c r="FQ548" s="47"/>
      <c r="FR548" s="47"/>
      <c r="FS548" s="47"/>
      <c r="FT548" s="47"/>
      <c r="FU548" s="47"/>
      <c r="FV548" s="47"/>
      <c r="FW548" s="47"/>
      <c r="FX548" s="47"/>
      <c r="FY548" s="47"/>
      <c r="FZ548" s="47"/>
      <c r="GA548" s="47"/>
      <c r="GB548" s="47"/>
      <c r="GC548" s="47"/>
      <c r="GD548" s="47"/>
      <c r="GE548" s="47"/>
    </row>
    <row r="549" spans="1:187" ht="10.5" customHeight="1">
      <c r="A549" s="43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43"/>
      <c r="U549" s="108"/>
      <c r="V549" s="108"/>
      <c r="W549" s="108"/>
      <c r="X549" s="108"/>
      <c r="Y549" s="108"/>
      <c r="Z549" s="108"/>
      <c r="AA549" s="43"/>
      <c r="AB549" s="108"/>
      <c r="AC549" s="108"/>
      <c r="AD549" s="108"/>
      <c r="AE549" s="108"/>
      <c r="AF549" s="108"/>
      <c r="AG549" s="108"/>
      <c r="AH549" s="43"/>
      <c r="AI549" s="108"/>
      <c r="AJ549" s="108"/>
      <c r="AK549" s="108"/>
      <c r="AL549" s="108"/>
      <c r="AM549" s="108"/>
      <c r="AN549" s="108"/>
      <c r="AO549" s="43"/>
      <c r="AP549" s="108"/>
      <c r="AQ549" s="108"/>
      <c r="AR549" s="108"/>
      <c r="AS549" s="108"/>
      <c r="AT549" s="108"/>
      <c r="AU549" s="108"/>
      <c r="AV549" s="43"/>
      <c r="AW549" s="108"/>
      <c r="AX549" s="108"/>
      <c r="AY549" s="108"/>
      <c r="AZ549" s="108"/>
      <c r="BA549" s="108"/>
      <c r="BB549" s="108"/>
      <c r="BC549" s="43"/>
      <c r="BD549" s="108"/>
      <c r="BE549" s="108"/>
      <c r="BF549" s="108"/>
      <c r="BG549" s="108"/>
      <c r="BH549" s="108"/>
      <c r="BI549" s="108"/>
      <c r="BJ549" s="43"/>
      <c r="BK549" s="108"/>
      <c r="BL549" s="108"/>
      <c r="BM549" s="108"/>
      <c r="BN549" s="108"/>
      <c r="BO549" s="108"/>
      <c r="BP549" s="108"/>
      <c r="BQ549" s="43"/>
      <c r="BR549" s="108"/>
      <c r="BS549" s="108"/>
      <c r="BT549" s="108"/>
      <c r="BU549" s="108"/>
      <c r="BV549" s="108"/>
      <c r="BW549" s="108"/>
      <c r="BX549" s="43"/>
      <c r="BY549" s="108"/>
      <c r="BZ549" s="108"/>
      <c r="CA549" s="108"/>
      <c r="CB549" s="108"/>
      <c r="CC549" s="108"/>
      <c r="CD549" s="108"/>
      <c r="CE549" s="43"/>
      <c r="CF549" s="108"/>
      <c r="CG549" s="108"/>
      <c r="CH549" s="108"/>
      <c r="CI549" s="108"/>
      <c r="CJ549" s="108"/>
      <c r="CK549" s="108"/>
      <c r="CL549" s="43"/>
      <c r="CM549" s="108"/>
      <c r="CN549" s="108"/>
      <c r="CO549" s="108"/>
      <c r="CP549" s="108"/>
      <c r="CQ549" s="108"/>
      <c r="CR549" s="108"/>
      <c r="CS549" s="43"/>
      <c r="CT549" s="108"/>
      <c r="CU549" s="108"/>
      <c r="CV549" s="108"/>
      <c r="CW549" s="108"/>
      <c r="CX549" s="108"/>
      <c r="CY549" s="108"/>
      <c r="CZ549" s="43"/>
      <c r="DA549" s="108"/>
      <c r="DB549" s="108"/>
      <c r="DC549" s="108"/>
      <c r="DD549" s="108"/>
      <c r="DE549" s="108"/>
      <c r="DF549" s="108"/>
      <c r="DG549" s="43"/>
      <c r="DH549" s="108"/>
      <c r="DI549" s="108"/>
      <c r="DJ549" s="108"/>
      <c r="DK549" s="108"/>
      <c r="DL549" s="108"/>
      <c r="DM549" s="108"/>
      <c r="DN549" s="43"/>
      <c r="DO549" s="108"/>
      <c r="DP549" s="108"/>
      <c r="DQ549" s="108"/>
      <c r="DR549" s="108"/>
      <c r="DS549" s="108"/>
      <c r="DT549" s="108"/>
      <c r="DU549" s="43"/>
      <c r="DV549" s="108"/>
      <c r="DW549" s="108"/>
      <c r="DX549" s="108"/>
      <c r="DY549" s="108"/>
      <c r="DZ549" s="108"/>
      <c r="EA549" s="108"/>
      <c r="EB549" s="43"/>
      <c r="EC549" s="108"/>
      <c r="ED549" s="108"/>
      <c r="EE549" s="108"/>
      <c r="EF549" s="108"/>
      <c r="EG549" s="108"/>
      <c r="EH549" s="108"/>
      <c r="EI549" s="43"/>
      <c r="EJ549" s="47"/>
      <c r="EK549" s="47"/>
      <c r="EL549" s="47"/>
      <c r="EM549" s="47"/>
      <c r="EN549" s="47"/>
      <c r="EO549" s="47"/>
      <c r="EP549" s="47"/>
      <c r="EQ549" s="47"/>
      <c r="ER549" s="47"/>
      <c r="ES549" s="47"/>
      <c r="ET549" s="47"/>
      <c r="EU549" s="47"/>
      <c r="EV549" s="47"/>
      <c r="EW549" s="47"/>
      <c r="EX549" s="47"/>
      <c r="EY549" s="47"/>
      <c r="EZ549" s="47"/>
      <c r="FA549" s="47"/>
      <c r="FB549" s="47"/>
      <c r="FC549" s="47"/>
      <c r="FD549" s="47"/>
      <c r="FE549" s="47"/>
      <c r="FF549" s="47"/>
      <c r="FG549" s="47"/>
      <c r="FH549" s="47"/>
      <c r="FI549" s="47"/>
      <c r="FJ549" s="47"/>
      <c r="FK549" s="47"/>
      <c r="FL549" s="47"/>
      <c r="FM549" s="47"/>
      <c r="FN549" s="47"/>
      <c r="FO549" s="47"/>
      <c r="FP549" s="47"/>
      <c r="FQ549" s="47"/>
      <c r="FR549" s="47"/>
      <c r="FS549" s="47"/>
      <c r="FT549" s="47"/>
      <c r="FU549" s="47"/>
      <c r="FV549" s="47"/>
      <c r="FW549" s="47"/>
      <c r="FX549" s="47"/>
      <c r="FY549" s="47"/>
      <c r="FZ549" s="47"/>
      <c r="GA549" s="47"/>
      <c r="GB549" s="47"/>
      <c r="GC549" s="47"/>
      <c r="GD549" s="47"/>
      <c r="GE549" s="47"/>
    </row>
    <row r="550" spans="1:187" ht="10.5" customHeight="1">
      <c r="A550" s="43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43"/>
      <c r="U550" s="108"/>
      <c r="V550" s="108"/>
      <c r="W550" s="108"/>
      <c r="X550" s="108"/>
      <c r="Y550" s="108"/>
      <c r="Z550" s="108"/>
      <c r="AA550" s="43"/>
      <c r="AB550" s="108"/>
      <c r="AC550" s="108"/>
      <c r="AD550" s="108"/>
      <c r="AE550" s="108"/>
      <c r="AF550" s="108"/>
      <c r="AG550" s="108"/>
      <c r="AH550" s="43"/>
      <c r="AI550" s="108"/>
      <c r="AJ550" s="108"/>
      <c r="AK550" s="108"/>
      <c r="AL550" s="108"/>
      <c r="AM550" s="108"/>
      <c r="AN550" s="108"/>
      <c r="AO550" s="43"/>
      <c r="AP550" s="108"/>
      <c r="AQ550" s="108"/>
      <c r="AR550" s="108"/>
      <c r="AS550" s="108"/>
      <c r="AT550" s="108"/>
      <c r="AU550" s="108"/>
      <c r="AV550" s="43"/>
      <c r="AW550" s="108"/>
      <c r="AX550" s="108"/>
      <c r="AY550" s="108"/>
      <c r="AZ550" s="108"/>
      <c r="BA550" s="108"/>
      <c r="BB550" s="108"/>
      <c r="BC550" s="43"/>
      <c r="BD550" s="108"/>
      <c r="BE550" s="108"/>
      <c r="BF550" s="108"/>
      <c r="BG550" s="108"/>
      <c r="BH550" s="108"/>
      <c r="BI550" s="108"/>
      <c r="BJ550" s="43"/>
      <c r="BK550" s="108"/>
      <c r="BL550" s="108"/>
      <c r="BM550" s="108"/>
      <c r="BN550" s="108"/>
      <c r="BO550" s="108"/>
      <c r="BP550" s="108"/>
      <c r="BQ550" s="43"/>
      <c r="BR550" s="108"/>
      <c r="BS550" s="108"/>
      <c r="BT550" s="108"/>
      <c r="BU550" s="108"/>
      <c r="BV550" s="108"/>
      <c r="BW550" s="108"/>
      <c r="BX550" s="43"/>
      <c r="BY550" s="108"/>
      <c r="BZ550" s="108"/>
      <c r="CA550" s="108"/>
      <c r="CB550" s="108"/>
      <c r="CC550" s="108"/>
      <c r="CD550" s="108"/>
      <c r="CE550" s="43"/>
      <c r="CF550" s="108"/>
      <c r="CG550" s="108"/>
      <c r="CH550" s="108"/>
      <c r="CI550" s="108"/>
      <c r="CJ550" s="108"/>
      <c r="CK550" s="108"/>
      <c r="CL550" s="43"/>
      <c r="CM550" s="108"/>
      <c r="CN550" s="108"/>
      <c r="CO550" s="108"/>
      <c r="CP550" s="108"/>
      <c r="CQ550" s="108"/>
      <c r="CR550" s="108"/>
      <c r="CS550" s="43"/>
      <c r="CT550" s="108"/>
      <c r="CU550" s="108"/>
      <c r="CV550" s="108"/>
      <c r="CW550" s="108"/>
      <c r="CX550" s="108"/>
      <c r="CY550" s="108"/>
      <c r="CZ550" s="43"/>
      <c r="DA550" s="108"/>
      <c r="DB550" s="108"/>
      <c r="DC550" s="108"/>
      <c r="DD550" s="108"/>
      <c r="DE550" s="108"/>
      <c r="DF550" s="108"/>
      <c r="DG550" s="43"/>
      <c r="DH550" s="108"/>
      <c r="DI550" s="108"/>
      <c r="DJ550" s="108"/>
      <c r="DK550" s="108"/>
      <c r="DL550" s="108"/>
      <c r="DM550" s="108"/>
      <c r="DN550" s="43"/>
      <c r="DO550" s="108"/>
      <c r="DP550" s="108"/>
      <c r="DQ550" s="108"/>
      <c r="DR550" s="108"/>
      <c r="DS550" s="108"/>
      <c r="DT550" s="108"/>
      <c r="DU550" s="43"/>
      <c r="DV550" s="108"/>
      <c r="DW550" s="108"/>
      <c r="DX550" s="108"/>
      <c r="DY550" s="108"/>
      <c r="DZ550" s="108"/>
      <c r="EA550" s="108"/>
      <c r="EB550" s="43"/>
      <c r="EC550" s="108"/>
      <c r="ED550" s="108"/>
      <c r="EE550" s="108"/>
      <c r="EF550" s="108"/>
      <c r="EG550" s="108"/>
      <c r="EH550" s="108"/>
      <c r="EI550" s="43"/>
      <c r="EJ550" s="47"/>
      <c r="EK550" s="47"/>
      <c r="EL550" s="47"/>
      <c r="EM550" s="47"/>
      <c r="EN550" s="47"/>
      <c r="EO550" s="47"/>
      <c r="EP550" s="47"/>
      <c r="EQ550" s="47"/>
      <c r="ER550" s="47"/>
      <c r="ES550" s="47"/>
      <c r="ET550" s="47"/>
      <c r="EU550" s="47"/>
      <c r="EV550" s="47"/>
      <c r="EW550" s="47"/>
      <c r="EX550" s="47"/>
      <c r="EY550" s="47"/>
      <c r="EZ550" s="47"/>
      <c r="FA550" s="47"/>
      <c r="FB550" s="47"/>
      <c r="FC550" s="47"/>
      <c r="FD550" s="47"/>
      <c r="FE550" s="47"/>
      <c r="FF550" s="47"/>
      <c r="FG550" s="47"/>
      <c r="FH550" s="47"/>
      <c r="FI550" s="47"/>
      <c r="FJ550" s="47"/>
      <c r="FK550" s="47"/>
      <c r="FL550" s="47"/>
      <c r="FM550" s="47"/>
      <c r="FN550" s="47"/>
      <c r="FO550" s="47"/>
      <c r="FP550" s="47"/>
      <c r="FQ550" s="47"/>
      <c r="FR550" s="47"/>
      <c r="FS550" s="47"/>
      <c r="FT550" s="47"/>
      <c r="FU550" s="47"/>
      <c r="FV550" s="47"/>
      <c r="FW550" s="47"/>
      <c r="FX550" s="47"/>
      <c r="FY550" s="47"/>
      <c r="FZ550" s="47"/>
      <c r="GA550" s="47"/>
      <c r="GB550" s="47"/>
      <c r="GC550" s="47"/>
      <c r="GD550" s="47"/>
      <c r="GE550" s="47"/>
    </row>
    <row r="551" spans="1:187" ht="10.5" customHeight="1">
      <c r="A551" s="43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43"/>
      <c r="U551" s="108"/>
      <c r="V551" s="108"/>
      <c r="W551" s="108"/>
      <c r="X551" s="108"/>
      <c r="Y551" s="108"/>
      <c r="Z551" s="108"/>
      <c r="AA551" s="43"/>
      <c r="AB551" s="108"/>
      <c r="AC551" s="108"/>
      <c r="AD551" s="108"/>
      <c r="AE551" s="108"/>
      <c r="AF551" s="108"/>
      <c r="AG551" s="108"/>
      <c r="AH551" s="43"/>
      <c r="AI551" s="108"/>
      <c r="AJ551" s="108"/>
      <c r="AK551" s="108"/>
      <c r="AL551" s="108"/>
      <c r="AM551" s="108"/>
      <c r="AN551" s="108"/>
      <c r="AO551" s="43"/>
      <c r="AP551" s="108"/>
      <c r="AQ551" s="108"/>
      <c r="AR551" s="108"/>
      <c r="AS551" s="108"/>
      <c r="AT551" s="108"/>
      <c r="AU551" s="108"/>
      <c r="AV551" s="43"/>
      <c r="AW551" s="108"/>
      <c r="AX551" s="108"/>
      <c r="AY551" s="108"/>
      <c r="AZ551" s="108"/>
      <c r="BA551" s="108"/>
      <c r="BB551" s="108"/>
      <c r="BC551" s="43"/>
      <c r="BD551" s="108"/>
      <c r="BE551" s="108"/>
      <c r="BF551" s="108"/>
      <c r="BG551" s="108"/>
      <c r="BH551" s="108"/>
      <c r="BI551" s="108"/>
      <c r="BJ551" s="43"/>
      <c r="BK551" s="108"/>
      <c r="BL551" s="108"/>
      <c r="BM551" s="108"/>
      <c r="BN551" s="108"/>
      <c r="BO551" s="108"/>
      <c r="BP551" s="108"/>
      <c r="BQ551" s="43"/>
      <c r="BR551" s="108"/>
      <c r="BS551" s="108"/>
      <c r="BT551" s="108"/>
      <c r="BU551" s="108"/>
      <c r="BV551" s="108"/>
      <c r="BW551" s="108"/>
      <c r="BX551" s="43"/>
      <c r="BY551" s="108"/>
      <c r="BZ551" s="108"/>
      <c r="CA551" s="108"/>
      <c r="CB551" s="108"/>
      <c r="CC551" s="108"/>
      <c r="CD551" s="108"/>
      <c r="CE551" s="43"/>
      <c r="CF551" s="108"/>
      <c r="CG551" s="108"/>
      <c r="CH551" s="108"/>
      <c r="CI551" s="108"/>
      <c r="CJ551" s="108"/>
      <c r="CK551" s="108"/>
      <c r="CL551" s="43"/>
      <c r="CM551" s="108"/>
      <c r="CN551" s="108"/>
      <c r="CO551" s="108"/>
      <c r="CP551" s="108"/>
      <c r="CQ551" s="108"/>
      <c r="CR551" s="108"/>
      <c r="CS551" s="43"/>
      <c r="CT551" s="108"/>
      <c r="CU551" s="108"/>
      <c r="CV551" s="108"/>
      <c r="CW551" s="108"/>
      <c r="CX551" s="108"/>
      <c r="CY551" s="108"/>
      <c r="CZ551" s="43"/>
      <c r="DA551" s="108"/>
      <c r="DB551" s="108"/>
      <c r="DC551" s="108"/>
      <c r="DD551" s="108"/>
      <c r="DE551" s="108"/>
      <c r="DF551" s="108"/>
      <c r="DG551" s="43"/>
      <c r="DH551" s="108"/>
      <c r="DI551" s="108"/>
      <c r="DJ551" s="108"/>
      <c r="DK551" s="108"/>
      <c r="DL551" s="108"/>
      <c r="DM551" s="108"/>
      <c r="DN551" s="43"/>
      <c r="DO551" s="108"/>
      <c r="DP551" s="108"/>
      <c r="DQ551" s="108"/>
      <c r="DR551" s="108"/>
      <c r="DS551" s="108"/>
      <c r="DT551" s="108"/>
      <c r="DU551" s="43"/>
      <c r="DV551" s="108"/>
      <c r="DW551" s="108"/>
      <c r="DX551" s="108"/>
      <c r="DY551" s="108"/>
      <c r="DZ551" s="108"/>
      <c r="EA551" s="108"/>
      <c r="EB551" s="43"/>
      <c r="EC551" s="108"/>
      <c r="ED551" s="108"/>
      <c r="EE551" s="108"/>
      <c r="EF551" s="108"/>
      <c r="EG551" s="108"/>
      <c r="EH551" s="108"/>
      <c r="EI551" s="43"/>
      <c r="EJ551" s="47"/>
      <c r="EK551" s="47"/>
      <c r="EL551" s="47"/>
      <c r="EM551" s="47"/>
      <c r="EN551" s="47"/>
      <c r="EO551" s="47"/>
      <c r="EP551" s="47"/>
      <c r="EQ551" s="47"/>
      <c r="ER551" s="47"/>
      <c r="ES551" s="47"/>
      <c r="ET551" s="47"/>
      <c r="EU551" s="47"/>
      <c r="EV551" s="47"/>
      <c r="EW551" s="47"/>
      <c r="EX551" s="47"/>
      <c r="EY551" s="47"/>
      <c r="EZ551" s="47"/>
      <c r="FA551" s="47"/>
      <c r="FB551" s="47"/>
      <c r="FC551" s="47"/>
      <c r="FD551" s="47"/>
      <c r="FE551" s="47"/>
      <c r="FF551" s="47"/>
      <c r="FG551" s="47"/>
      <c r="FH551" s="47"/>
      <c r="FI551" s="47"/>
      <c r="FJ551" s="47"/>
      <c r="FK551" s="47"/>
      <c r="FL551" s="47"/>
      <c r="FM551" s="47"/>
      <c r="FN551" s="47"/>
      <c r="FO551" s="47"/>
      <c r="FP551" s="47"/>
      <c r="FQ551" s="47"/>
      <c r="FR551" s="47"/>
      <c r="FS551" s="47"/>
      <c r="FT551" s="47"/>
      <c r="FU551" s="47"/>
      <c r="FV551" s="47"/>
      <c r="FW551" s="47"/>
      <c r="FX551" s="47"/>
      <c r="FY551" s="47"/>
      <c r="FZ551" s="47"/>
      <c r="GA551" s="47"/>
      <c r="GB551" s="47"/>
      <c r="GC551" s="47"/>
      <c r="GD551" s="47"/>
      <c r="GE551" s="47"/>
    </row>
    <row r="552" spans="1:187" ht="10.5" customHeight="1">
      <c r="A552" s="43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43"/>
      <c r="U552" s="108"/>
      <c r="V552" s="108"/>
      <c r="W552" s="108"/>
      <c r="X552" s="108"/>
      <c r="Y552" s="108"/>
      <c r="Z552" s="108"/>
      <c r="AA552" s="43"/>
      <c r="AB552" s="108"/>
      <c r="AC552" s="108"/>
      <c r="AD552" s="108"/>
      <c r="AE552" s="108"/>
      <c r="AF552" s="108"/>
      <c r="AG552" s="108"/>
      <c r="AH552" s="43"/>
      <c r="AI552" s="108"/>
      <c r="AJ552" s="108"/>
      <c r="AK552" s="108"/>
      <c r="AL552" s="108"/>
      <c r="AM552" s="108"/>
      <c r="AN552" s="108"/>
      <c r="AO552" s="43"/>
      <c r="AP552" s="108"/>
      <c r="AQ552" s="108"/>
      <c r="AR552" s="108"/>
      <c r="AS552" s="108"/>
      <c r="AT552" s="108"/>
      <c r="AU552" s="108"/>
      <c r="AV552" s="43"/>
      <c r="AW552" s="108"/>
      <c r="AX552" s="108"/>
      <c r="AY552" s="108"/>
      <c r="AZ552" s="108"/>
      <c r="BA552" s="108"/>
      <c r="BB552" s="108"/>
      <c r="BC552" s="43"/>
      <c r="BD552" s="108"/>
      <c r="BE552" s="108"/>
      <c r="BF552" s="108"/>
      <c r="BG552" s="108"/>
      <c r="BH552" s="108"/>
      <c r="BI552" s="108"/>
      <c r="BJ552" s="43"/>
      <c r="BK552" s="108"/>
      <c r="BL552" s="108"/>
      <c r="BM552" s="108"/>
      <c r="BN552" s="108"/>
      <c r="BO552" s="108"/>
      <c r="BP552" s="108"/>
      <c r="BQ552" s="43"/>
      <c r="BR552" s="108"/>
      <c r="BS552" s="108"/>
      <c r="BT552" s="108"/>
      <c r="BU552" s="108"/>
      <c r="BV552" s="108"/>
      <c r="BW552" s="108"/>
      <c r="BX552" s="43"/>
      <c r="BY552" s="108"/>
      <c r="BZ552" s="108"/>
      <c r="CA552" s="108"/>
      <c r="CB552" s="108"/>
      <c r="CC552" s="108"/>
      <c r="CD552" s="108"/>
      <c r="CE552" s="43"/>
      <c r="CF552" s="108"/>
      <c r="CG552" s="108"/>
      <c r="CH552" s="108"/>
      <c r="CI552" s="108"/>
      <c r="CJ552" s="108"/>
      <c r="CK552" s="108"/>
      <c r="CL552" s="43"/>
      <c r="CM552" s="108"/>
      <c r="CN552" s="108"/>
      <c r="CO552" s="108"/>
      <c r="CP552" s="108"/>
      <c r="CQ552" s="108"/>
      <c r="CR552" s="108"/>
      <c r="CS552" s="43"/>
      <c r="CT552" s="108"/>
      <c r="CU552" s="108"/>
      <c r="CV552" s="108"/>
      <c r="CW552" s="108"/>
      <c r="CX552" s="108"/>
      <c r="CY552" s="108"/>
      <c r="CZ552" s="43"/>
      <c r="DA552" s="108"/>
      <c r="DB552" s="108"/>
      <c r="DC552" s="108"/>
      <c r="DD552" s="108"/>
      <c r="DE552" s="108"/>
      <c r="DF552" s="108"/>
      <c r="DG552" s="43"/>
      <c r="DH552" s="108"/>
      <c r="DI552" s="108"/>
      <c r="DJ552" s="108"/>
      <c r="DK552" s="108"/>
      <c r="DL552" s="108"/>
      <c r="DM552" s="108"/>
      <c r="DN552" s="43"/>
      <c r="DO552" s="108"/>
      <c r="DP552" s="108"/>
      <c r="DQ552" s="108"/>
      <c r="DR552" s="108"/>
      <c r="DS552" s="108"/>
      <c r="DT552" s="108"/>
      <c r="DU552" s="43"/>
      <c r="DV552" s="108"/>
      <c r="DW552" s="108"/>
      <c r="DX552" s="108"/>
      <c r="DY552" s="108"/>
      <c r="DZ552" s="108"/>
      <c r="EA552" s="108"/>
      <c r="EB552" s="43"/>
      <c r="EC552" s="108"/>
      <c r="ED552" s="108"/>
      <c r="EE552" s="108"/>
      <c r="EF552" s="108"/>
      <c r="EG552" s="108"/>
      <c r="EH552" s="108"/>
      <c r="EI552" s="43"/>
      <c r="EJ552" s="47"/>
      <c r="EK552" s="47"/>
      <c r="EL552" s="47"/>
      <c r="EM552" s="47"/>
      <c r="EN552" s="47"/>
      <c r="EO552" s="47"/>
      <c r="EP552" s="47"/>
      <c r="EQ552" s="47"/>
      <c r="ER552" s="47"/>
      <c r="ES552" s="47"/>
      <c r="ET552" s="47"/>
      <c r="EU552" s="47"/>
      <c r="EV552" s="47"/>
      <c r="EW552" s="47"/>
      <c r="EX552" s="47"/>
      <c r="EY552" s="47"/>
      <c r="EZ552" s="47"/>
      <c r="FA552" s="47"/>
      <c r="FB552" s="47"/>
      <c r="FC552" s="47"/>
      <c r="FD552" s="47"/>
      <c r="FE552" s="47"/>
      <c r="FF552" s="47"/>
      <c r="FG552" s="47"/>
      <c r="FH552" s="47"/>
      <c r="FI552" s="47"/>
      <c r="FJ552" s="47"/>
      <c r="FK552" s="47"/>
      <c r="FL552" s="47"/>
      <c r="FM552" s="47"/>
      <c r="FN552" s="47"/>
      <c r="FO552" s="47"/>
      <c r="FP552" s="47"/>
      <c r="FQ552" s="47"/>
      <c r="FR552" s="47"/>
      <c r="FS552" s="47"/>
      <c r="FT552" s="47"/>
      <c r="FU552" s="47"/>
      <c r="FV552" s="47"/>
      <c r="FW552" s="47"/>
      <c r="FX552" s="47"/>
      <c r="FY552" s="47"/>
      <c r="FZ552" s="47"/>
      <c r="GA552" s="47"/>
      <c r="GB552" s="47"/>
      <c r="GC552" s="47"/>
      <c r="GD552" s="47"/>
      <c r="GE552" s="47"/>
    </row>
    <row r="553" spans="1:187" ht="10.5" customHeight="1">
      <c r="A553" s="43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43"/>
      <c r="U553" s="108"/>
      <c r="V553" s="108"/>
      <c r="W553" s="108"/>
      <c r="X553" s="108"/>
      <c r="Y553" s="108"/>
      <c r="Z553" s="108"/>
      <c r="AA553" s="43"/>
      <c r="AB553" s="108"/>
      <c r="AC553" s="108"/>
      <c r="AD553" s="108"/>
      <c r="AE553" s="108"/>
      <c r="AF553" s="108"/>
      <c r="AG553" s="108"/>
      <c r="AH553" s="43"/>
      <c r="AI553" s="108"/>
      <c r="AJ553" s="108"/>
      <c r="AK553" s="108"/>
      <c r="AL553" s="108"/>
      <c r="AM553" s="108"/>
      <c r="AN553" s="108"/>
      <c r="AO553" s="43"/>
      <c r="AP553" s="108"/>
      <c r="AQ553" s="108"/>
      <c r="AR553" s="108"/>
      <c r="AS553" s="108"/>
      <c r="AT553" s="108"/>
      <c r="AU553" s="108"/>
      <c r="AV553" s="43"/>
      <c r="AW553" s="108"/>
      <c r="AX553" s="108"/>
      <c r="AY553" s="108"/>
      <c r="AZ553" s="108"/>
      <c r="BA553" s="108"/>
      <c r="BB553" s="108"/>
      <c r="BC553" s="43"/>
      <c r="BD553" s="108"/>
      <c r="BE553" s="108"/>
      <c r="BF553" s="108"/>
      <c r="BG553" s="108"/>
      <c r="BH553" s="108"/>
      <c r="BI553" s="108"/>
      <c r="BJ553" s="43"/>
      <c r="BK553" s="108"/>
      <c r="BL553" s="108"/>
      <c r="BM553" s="108"/>
      <c r="BN553" s="108"/>
      <c r="BO553" s="108"/>
      <c r="BP553" s="108"/>
      <c r="BQ553" s="43"/>
      <c r="BR553" s="108"/>
      <c r="BS553" s="108"/>
      <c r="BT553" s="108"/>
      <c r="BU553" s="108"/>
      <c r="BV553" s="108"/>
      <c r="BW553" s="108"/>
      <c r="BX553" s="43"/>
      <c r="BY553" s="108"/>
      <c r="BZ553" s="108"/>
      <c r="CA553" s="108"/>
      <c r="CB553" s="108"/>
      <c r="CC553" s="108"/>
      <c r="CD553" s="108"/>
      <c r="CE553" s="43"/>
      <c r="CF553" s="108"/>
      <c r="CG553" s="108"/>
      <c r="CH553" s="108"/>
      <c r="CI553" s="108"/>
      <c r="CJ553" s="108"/>
      <c r="CK553" s="108"/>
      <c r="CL553" s="43"/>
      <c r="CM553" s="108"/>
      <c r="CN553" s="108"/>
      <c r="CO553" s="108"/>
      <c r="CP553" s="108"/>
      <c r="CQ553" s="108"/>
      <c r="CR553" s="108"/>
      <c r="CS553" s="43"/>
      <c r="CT553" s="108"/>
      <c r="CU553" s="108"/>
      <c r="CV553" s="108"/>
      <c r="CW553" s="108"/>
      <c r="CX553" s="108"/>
      <c r="CY553" s="108"/>
      <c r="CZ553" s="43"/>
      <c r="DA553" s="108"/>
      <c r="DB553" s="108"/>
      <c r="DC553" s="108"/>
      <c r="DD553" s="108"/>
      <c r="DE553" s="108"/>
      <c r="DF553" s="108"/>
      <c r="DG553" s="43"/>
      <c r="DH553" s="108"/>
      <c r="DI553" s="108"/>
      <c r="DJ553" s="108"/>
      <c r="DK553" s="108"/>
      <c r="DL553" s="108"/>
      <c r="DM553" s="108"/>
      <c r="DN553" s="43"/>
      <c r="DO553" s="108"/>
      <c r="DP553" s="108"/>
      <c r="DQ553" s="108"/>
      <c r="DR553" s="108"/>
      <c r="DS553" s="108"/>
      <c r="DT553" s="108"/>
      <c r="DU553" s="43"/>
      <c r="DV553" s="108"/>
      <c r="DW553" s="108"/>
      <c r="DX553" s="108"/>
      <c r="DY553" s="108"/>
      <c r="DZ553" s="108"/>
      <c r="EA553" s="108"/>
      <c r="EB553" s="43"/>
      <c r="EC553" s="108"/>
      <c r="ED553" s="108"/>
      <c r="EE553" s="108"/>
      <c r="EF553" s="108"/>
      <c r="EG553" s="108"/>
      <c r="EH553" s="108"/>
      <c r="EI553" s="43"/>
      <c r="EJ553" s="47"/>
      <c r="EK553" s="47"/>
      <c r="EL553" s="47"/>
      <c r="EM553" s="47"/>
      <c r="EN553" s="47"/>
      <c r="EO553" s="47"/>
      <c r="EP553" s="47"/>
      <c r="EQ553" s="47"/>
      <c r="ER553" s="47"/>
      <c r="ES553" s="47"/>
      <c r="ET553" s="47"/>
      <c r="EU553" s="47"/>
      <c r="EV553" s="47"/>
      <c r="EW553" s="47"/>
      <c r="EX553" s="47"/>
      <c r="EY553" s="47"/>
      <c r="EZ553" s="47"/>
      <c r="FA553" s="47"/>
      <c r="FB553" s="47"/>
      <c r="FC553" s="47"/>
      <c r="FD553" s="47"/>
      <c r="FE553" s="47"/>
      <c r="FF553" s="47"/>
      <c r="FG553" s="47"/>
      <c r="FH553" s="47"/>
      <c r="FI553" s="47"/>
      <c r="FJ553" s="47"/>
      <c r="FK553" s="47"/>
      <c r="FL553" s="47"/>
      <c r="FM553" s="47"/>
      <c r="FN553" s="47"/>
      <c r="FO553" s="47"/>
      <c r="FP553" s="47"/>
      <c r="FQ553" s="47"/>
      <c r="FR553" s="47"/>
      <c r="FS553" s="47"/>
      <c r="FT553" s="47"/>
      <c r="FU553" s="47"/>
      <c r="FV553" s="47"/>
      <c r="FW553" s="47"/>
      <c r="FX553" s="47"/>
      <c r="FY553" s="47"/>
      <c r="FZ553" s="47"/>
      <c r="GA553" s="47"/>
      <c r="GB553" s="47"/>
      <c r="GC553" s="47"/>
      <c r="GD553" s="47"/>
      <c r="GE553" s="47"/>
    </row>
    <row r="554" spans="1:187" ht="10.5" customHeight="1">
      <c r="A554" s="43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43"/>
      <c r="U554" s="108"/>
      <c r="V554" s="108"/>
      <c r="W554" s="108"/>
      <c r="X554" s="108"/>
      <c r="Y554" s="108"/>
      <c r="Z554" s="108"/>
      <c r="AA554" s="43"/>
      <c r="AB554" s="108"/>
      <c r="AC554" s="108"/>
      <c r="AD554" s="108"/>
      <c r="AE554" s="108"/>
      <c r="AF554" s="108"/>
      <c r="AG554" s="108"/>
      <c r="AH554" s="43"/>
      <c r="AI554" s="108"/>
      <c r="AJ554" s="108"/>
      <c r="AK554" s="108"/>
      <c r="AL554" s="108"/>
      <c r="AM554" s="108"/>
      <c r="AN554" s="108"/>
      <c r="AO554" s="43"/>
      <c r="AP554" s="108"/>
      <c r="AQ554" s="108"/>
      <c r="AR554" s="108"/>
      <c r="AS554" s="108"/>
      <c r="AT554" s="108"/>
      <c r="AU554" s="108"/>
      <c r="AV554" s="43"/>
      <c r="AW554" s="108"/>
      <c r="AX554" s="108"/>
      <c r="AY554" s="108"/>
      <c r="AZ554" s="108"/>
      <c r="BA554" s="108"/>
      <c r="BB554" s="108"/>
      <c r="BC554" s="43"/>
      <c r="BD554" s="108"/>
      <c r="BE554" s="108"/>
      <c r="BF554" s="108"/>
      <c r="BG554" s="108"/>
      <c r="BH554" s="108"/>
      <c r="BI554" s="108"/>
      <c r="BJ554" s="43"/>
      <c r="BK554" s="108"/>
      <c r="BL554" s="108"/>
      <c r="BM554" s="108"/>
      <c r="BN554" s="108"/>
      <c r="BO554" s="108"/>
      <c r="BP554" s="108"/>
      <c r="BQ554" s="43"/>
      <c r="BR554" s="108"/>
      <c r="BS554" s="108"/>
      <c r="BT554" s="108"/>
      <c r="BU554" s="108"/>
      <c r="BV554" s="108"/>
      <c r="BW554" s="108"/>
      <c r="BX554" s="43"/>
      <c r="BY554" s="108"/>
      <c r="BZ554" s="108"/>
      <c r="CA554" s="108"/>
      <c r="CB554" s="108"/>
      <c r="CC554" s="108"/>
      <c r="CD554" s="108"/>
      <c r="CE554" s="43"/>
      <c r="CF554" s="108"/>
      <c r="CG554" s="108"/>
      <c r="CH554" s="108"/>
      <c r="CI554" s="108"/>
      <c r="CJ554" s="108"/>
      <c r="CK554" s="108"/>
      <c r="CL554" s="43"/>
      <c r="CM554" s="108"/>
      <c r="CN554" s="108"/>
      <c r="CO554" s="108"/>
      <c r="CP554" s="108"/>
      <c r="CQ554" s="108"/>
      <c r="CR554" s="108"/>
      <c r="CS554" s="43"/>
      <c r="CT554" s="108"/>
      <c r="CU554" s="108"/>
      <c r="CV554" s="108"/>
      <c r="CW554" s="108"/>
      <c r="CX554" s="108"/>
      <c r="CY554" s="108"/>
      <c r="CZ554" s="43"/>
      <c r="DA554" s="108"/>
      <c r="DB554" s="108"/>
      <c r="DC554" s="108"/>
      <c r="DD554" s="108"/>
      <c r="DE554" s="108"/>
      <c r="DF554" s="108"/>
      <c r="DG554" s="43"/>
      <c r="DH554" s="108"/>
      <c r="DI554" s="108"/>
      <c r="DJ554" s="108"/>
      <c r="DK554" s="108"/>
      <c r="DL554" s="108"/>
      <c r="DM554" s="108"/>
      <c r="DN554" s="43"/>
      <c r="DO554" s="108"/>
      <c r="DP554" s="108"/>
      <c r="DQ554" s="108"/>
      <c r="DR554" s="108"/>
      <c r="DS554" s="108"/>
      <c r="DT554" s="108"/>
      <c r="DU554" s="43"/>
      <c r="DV554" s="108"/>
      <c r="DW554" s="108"/>
      <c r="DX554" s="108"/>
      <c r="DY554" s="108"/>
      <c r="DZ554" s="108"/>
      <c r="EA554" s="108"/>
      <c r="EB554" s="43"/>
      <c r="EC554" s="108"/>
      <c r="ED554" s="108"/>
      <c r="EE554" s="108"/>
      <c r="EF554" s="108"/>
      <c r="EG554" s="108"/>
      <c r="EH554" s="108"/>
      <c r="EI554" s="43"/>
      <c r="EJ554" s="47"/>
      <c r="EK554" s="47"/>
      <c r="EL554" s="47"/>
      <c r="EM554" s="47"/>
      <c r="EN554" s="47"/>
      <c r="EO554" s="47"/>
      <c r="EP554" s="47"/>
      <c r="EQ554" s="47"/>
      <c r="ER554" s="47"/>
      <c r="ES554" s="47"/>
      <c r="ET554" s="47"/>
      <c r="EU554" s="47"/>
      <c r="EV554" s="47"/>
      <c r="EW554" s="47"/>
      <c r="EX554" s="47"/>
      <c r="EY554" s="47"/>
      <c r="EZ554" s="47"/>
      <c r="FA554" s="47"/>
      <c r="FB554" s="47"/>
      <c r="FC554" s="47"/>
      <c r="FD554" s="47"/>
      <c r="FE554" s="47"/>
      <c r="FF554" s="47"/>
      <c r="FG554" s="47"/>
      <c r="FH554" s="47"/>
      <c r="FI554" s="47"/>
      <c r="FJ554" s="47"/>
      <c r="FK554" s="47"/>
      <c r="FL554" s="47"/>
      <c r="FM554" s="47"/>
      <c r="FN554" s="47"/>
      <c r="FO554" s="47"/>
      <c r="FP554" s="47"/>
      <c r="FQ554" s="47"/>
      <c r="FR554" s="47"/>
      <c r="FS554" s="47"/>
      <c r="FT554" s="47"/>
      <c r="FU554" s="47"/>
      <c r="FV554" s="47"/>
      <c r="FW554" s="47"/>
      <c r="FX554" s="47"/>
      <c r="FY554" s="47"/>
      <c r="FZ554" s="47"/>
      <c r="GA554" s="47"/>
      <c r="GB554" s="47"/>
      <c r="GC554" s="47"/>
      <c r="GD554" s="47"/>
      <c r="GE554" s="47"/>
    </row>
    <row r="555" spans="1:187" ht="10.5" customHeight="1">
      <c r="A555" s="43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43"/>
      <c r="U555" s="108"/>
      <c r="V555" s="108"/>
      <c r="W555" s="108"/>
      <c r="X555" s="108"/>
      <c r="Y555" s="108"/>
      <c r="Z555" s="108"/>
      <c r="AA555" s="43"/>
      <c r="AB555" s="108"/>
      <c r="AC555" s="108"/>
      <c r="AD555" s="108"/>
      <c r="AE555" s="108"/>
      <c r="AF555" s="108"/>
      <c r="AG555" s="108"/>
      <c r="AH555" s="43"/>
      <c r="AI555" s="108"/>
      <c r="AJ555" s="108"/>
      <c r="AK555" s="108"/>
      <c r="AL555" s="108"/>
      <c r="AM555" s="108"/>
      <c r="AN555" s="108"/>
      <c r="AO555" s="43"/>
      <c r="AP555" s="108"/>
      <c r="AQ555" s="108"/>
      <c r="AR555" s="108"/>
      <c r="AS555" s="108"/>
      <c r="AT555" s="108"/>
      <c r="AU555" s="108"/>
      <c r="AV555" s="43"/>
      <c r="AW555" s="108"/>
      <c r="AX555" s="108"/>
      <c r="AY555" s="108"/>
      <c r="AZ555" s="108"/>
      <c r="BA555" s="108"/>
      <c r="BB555" s="108"/>
      <c r="BC555" s="43"/>
      <c r="BD555" s="108"/>
      <c r="BE555" s="108"/>
      <c r="BF555" s="108"/>
      <c r="BG555" s="108"/>
      <c r="BH555" s="108"/>
      <c r="BI555" s="108"/>
      <c r="BJ555" s="43"/>
      <c r="BK555" s="108"/>
      <c r="BL555" s="108"/>
      <c r="BM555" s="108"/>
      <c r="BN555" s="108"/>
      <c r="BO555" s="108"/>
      <c r="BP555" s="108"/>
      <c r="BQ555" s="43"/>
      <c r="BR555" s="108"/>
      <c r="BS555" s="108"/>
      <c r="BT555" s="108"/>
      <c r="BU555" s="108"/>
      <c r="BV555" s="108"/>
      <c r="BW555" s="108"/>
      <c r="BX555" s="43"/>
      <c r="BY555" s="108"/>
      <c r="BZ555" s="108"/>
      <c r="CA555" s="108"/>
      <c r="CB555" s="108"/>
      <c r="CC555" s="108"/>
      <c r="CD555" s="108"/>
      <c r="CE555" s="43"/>
      <c r="CF555" s="108"/>
      <c r="CG555" s="108"/>
      <c r="CH555" s="108"/>
      <c r="CI555" s="108"/>
      <c r="CJ555" s="108"/>
      <c r="CK555" s="108"/>
      <c r="CL555" s="43"/>
      <c r="CM555" s="108"/>
      <c r="CN555" s="108"/>
      <c r="CO555" s="108"/>
      <c r="CP555" s="108"/>
      <c r="CQ555" s="108"/>
      <c r="CR555" s="108"/>
      <c r="CS555" s="43"/>
      <c r="CT555" s="108"/>
      <c r="CU555" s="108"/>
      <c r="CV555" s="108"/>
      <c r="CW555" s="108"/>
      <c r="CX555" s="108"/>
      <c r="CY555" s="108"/>
      <c r="CZ555" s="43"/>
      <c r="DA555" s="108"/>
      <c r="DB555" s="108"/>
      <c r="DC555" s="108"/>
      <c r="DD555" s="108"/>
      <c r="DE555" s="108"/>
      <c r="DF555" s="108"/>
      <c r="DG555" s="43"/>
      <c r="DH555" s="108"/>
      <c r="DI555" s="108"/>
      <c r="DJ555" s="108"/>
      <c r="DK555" s="108"/>
      <c r="DL555" s="108"/>
      <c r="DM555" s="108"/>
      <c r="DN555" s="43"/>
      <c r="DO555" s="108"/>
      <c r="DP555" s="108"/>
      <c r="DQ555" s="108"/>
      <c r="DR555" s="108"/>
      <c r="DS555" s="108"/>
      <c r="DT555" s="108"/>
      <c r="DU555" s="43"/>
      <c r="DV555" s="108"/>
      <c r="DW555" s="108"/>
      <c r="DX555" s="108"/>
      <c r="DY555" s="108"/>
      <c r="DZ555" s="108"/>
      <c r="EA555" s="108"/>
      <c r="EB555" s="43"/>
      <c r="EC555" s="108"/>
      <c r="ED555" s="108"/>
      <c r="EE555" s="108"/>
      <c r="EF555" s="108"/>
      <c r="EG555" s="108"/>
      <c r="EH555" s="108"/>
      <c r="EI555" s="43"/>
      <c r="EJ555" s="47"/>
      <c r="EK555" s="47"/>
      <c r="EL555" s="47"/>
      <c r="EM555" s="47"/>
      <c r="EN555" s="47"/>
      <c r="EO555" s="47"/>
      <c r="EP555" s="47"/>
      <c r="EQ555" s="47"/>
      <c r="ER555" s="47"/>
      <c r="ES555" s="47"/>
      <c r="ET555" s="47"/>
      <c r="EU555" s="47"/>
      <c r="EV555" s="47"/>
      <c r="EW555" s="47"/>
      <c r="EX555" s="47"/>
      <c r="EY555" s="47"/>
      <c r="EZ555" s="47"/>
      <c r="FA555" s="47"/>
      <c r="FB555" s="47"/>
      <c r="FC555" s="47"/>
      <c r="FD555" s="47"/>
      <c r="FE555" s="47"/>
      <c r="FF555" s="47"/>
      <c r="FG555" s="47"/>
      <c r="FH555" s="47"/>
      <c r="FI555" s="47"/>
      <c r="FJ555" s="47"/>
      <c r="FK555" s="47"/>
      <c r="FL555" s="47"/>
      <c r="FM555" s="47"/>
      <c r="FN555" s="47"/>
      <c r="FO555" s="47"/>
      <c r="FP555" s="47"/>
      <c r="FQ555" s="47"/>
      <c r="FR555" s="47"/>
      <c r="FS555" s="47"/>
      <c r="FT555" s="47"/>
      <c r="FU555" s="47"/>
      <c r="FV555" s="47"/>
      <c r="FW555" s="47"/>
      <c r="FX555" s="47"/>
      <c r="FY555" s="47"/>
      <c r="FZ555" s="47"/>
      <c r="GA555" s="47"/>
      <c r="GB555" s="47"/>
      <c r="GC555" s="47"/>
      <c r="GD555" s="47"/>
      <c r="GE555" s="47"/>
    </row>
    <row r="556" spans="1:187" ht="10.5" customHeight="1">
      <c r="A556" s="43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43"/>
      <c r="U556" s="108"/>
      <c r="V556" s="108"/>
      <c r="W556" s="108"/>
      <c r="X556" s="108"/>
      <c r="Y556" s="108"/>
      <c r="Z556" s="108"/>
      <c r="AA556" s="43"/>
      <c r="AB556" s="108"/>
      <c r="AC556" s="108"/>
      <c r="AD556" s="108"/>
      <c r="AE556" s="108"/>
      <c r="AF556" s="108"/>
      <c r="AG556" s="108"/>
      <c r="AH556" s="43"/>
      <c r="AI556" s="108"/>
      <c r="AJ556" s="108"/>
      <c r="AK556" s="108"/>
      <c r="AL556" s="108"/>
      <c r="AM556" s="108"/>
      <c r="AN556" s="108"/>
      <c r="AO556" s="43"/>
      <c r="AP556" s="108"/>
      <c r="AQ556" s="108"/>
      <c r="AR556" s="108"/>
      <c r="AS556" s="108"/>
      <c r="AT556" s="108"/>
      <c r="AU556" s="108"/>
      <c r="AV556" s="43"/>
      <c r="AW556" s="108"/>
      <c r="AX556" s="108"/>
      <c r="AY556" s="108"/>
      <c r="AZ556" s="108"/>
      <c r="BA556" s="108"/>
      <c r="BB556" s="108"/>
      <c r="BC556" s="43"/>
      <c r="BD556" s="108"/>
      <c r="BE556" s="108"/>
      <c r="BF556" s="108"/>
      <c r="BG556" s="108"/>
      <c r="BH556" s="108"/>
      <c r="BI556" s="108"/>
      <c r="BJ556" s="43"/>
      <c r="BK556" s="108"/>
      <c r="BL556" s="108"/>
      <c r="BM556" s="108"/>
      <c r="BN556" s="108"/>
      <c r="BO556" s="108"/>
      <c r="BP556" s="108"/>
      <c r="BQ556" s="43"/>
      <c r="BR556" s="108"/>
      <c r="BS556" s="108"/>
      <c r="BT556" s="108"/>
      <c r="BU556" s="108"/>
      <c r="BV556" s="108"/>
      <c r="BW556" s="108"/>
      <c r="BX556" s="43"/>
      <c r="BY556" s="108"/>
      <c r="BZ556" s="108"/>
      <c r="CA556" s="108"/>
      <c r="CB556" s="108"/>
      <c r="CC556" s="108"/>
      <c r="CD556" s="108"/>
      <c r="CE556" s="43"/>
      <c r="CF556" s="108"/>
      <c r="CG556" s="108"/>
      <c r="CH556" s="108"/>
      <c r="CI556" s="108"/>
      <c r="CJ556" s="108"/>
      <c r="CK556" s="108"/>
      <c r="CL556" s="43"/>
      <c r="CM556" s="108"/>
      <c r="CN556" s="108"/>
      <c r="CO556" s="108"/>
      <c r="CP556" s="108"/>
      <c r="CQ556" s="108"/>
      <c r="CR556" s="108"/>
      <c r="CS556" s="43"/>
      <c r="CT556" s="108"/>
      <c r="CU556" s="108"/>
      <c r="CV556" s="108"/>
      <c r="CW556" s="108"/>
      <c r="CX556" s="108"/>
      <c r="CY556" s="108"/>
      <c r="CZ556" s="43"/>
      <c r="DA556" s="108"/>
      <c r="DB556" s="108"/>
      <c r="DC556" s="108"/>
      <c r="DD556" s="108"/>
      <c r="DE556" s="108"/>
      <c r="DF556" s="108"/>
      <c r="DG556" s="43"/>
      <c r="DH556" s="108"/>
      <c r="DI556" s="108"/>
      <c r="DJ556" s="108"/>
      <c r="DK556" s="108"/>
      <c r="DL556" s="108"/>
      <c r="DM556" s="108"/>
      <c r="DN556" s="43"/>
      <c r="DO556" s="108"/>
      <c r="DP556" s="108"/>
      <c r="DQ556" s="108"/>
      <c r="DR556" s="108"/>
      <c r="DS556" s="108"/>
      <c r="DT556" s="108"/>
      <c r="DU556" s="43"/>
      <c r="DV556" s="108"/>
      <c r="DW556" s="108"/>
      <c r="DX556" s="108"/>
      <c r="DY556" s="108"/>
      <c r="DZ556" s="108"/>
      <c r="EA556" s="108"/>
      <c r="EB556" s="43"/>
      <c r="EC556" s="108"/>
      <c r="ED556" s="108"/>
      <c r="EE556" s="108"/>
      <c r="EF556" s="108"/>
      <c r="EG556" s="108"/>
      <c r="EH556" s="108"/>
      <c r="EI556" s="43"/>
      <c r="EJ556" s="47"/>
      <c r="EK556" s="47"/>
      <c r="EL556" s="47"/>
      <c r="EM556" s="47"/>
      <c r="EN556" s="47"/>
      <c r="EO556" s="47"/>
      <c r="EP556" s="47"/>
      <c r="EQ556" s="47"/>
      <c r="ER556" s="47"/>
      <c r="ES556" s="47"/>
      <c r="ET556" s="47"/>
      <c r="EU556" s="47"/>
      <c r="EV556" s="47"/>
      <c r="EW556" s="47"/>
      <c r="EX556" s="47"/>
      <c r="EY556" s="47"/>
      <c r="EZ556" s="47"/>
      <c r="FA556" s="47"/>
      <c r="FB556" s="47"/>
      <c r="FC556" s="47"/>
      <c r="FD556" s="47"/>
      <c r="FE556" s="47"/>
      <c r="FF556" s="47"/>
      <c r="FG556" s="47"/>
      <c r="FH556" s="47"/>
      <c r="FI556" s="47"/>
      <c r="FJ556" s="47"/>
      <c r="FK556" s="47"/>
      <c r="FL556" s="47"/>
      <c r="FM556" s="47"/>
      <c r="FN556" s="47"/>
      <c r="FO556" s="47"/>
      <c r="FP556" s="47"/>
      <c r="FQ556" s="47"/>
      <c r="FR556" s="47"/>
      <c r="FS556" s="47"/>
      <c r="FT556" s="47"/>
      <c r="FU556" s="47"/>
      <c r="FV556" s="47"/>
      <c r="FW556" s="47"/>
      <c r="FX556" s="47"/>
      <c r="FY556" s="47"/>
      <c r="FZ556" s="47"/>
      <c r="GA556" s="47"/>
      <c r="GB556" s="47"/>
      <c r="GC556" s="47"/>
      <c r="GD556" s="47"/>
      <c r="GE556" s="47"/>
    </row>
    <row r="557" spans="1:187" ht="10.5" customHeight="1">
      <c r="A557" s="43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43"/>
      <c r="U557" s="108"/>
      <c r="V557" s="108"/>
      <c r="W557" s="108"/>
      <c r="X557" s="108"/>
      <c r="Y557" s="108"/>
      <c r="Z557" s="108"/>
      <c r="AA557" s="43"/>
      <c r="AB557" s="108"/>
      <c r="AC557" s="108"/>
      <c r="AD557" s="108"/>
      <c r="AE557" s="108"/>
      <c r="AF557" s="108"/>
      <c r="AG557" s="108"/>
      <c r="AH557" s="43"/>
      <c r="AI557" s="108"/>
      <c r="AJ557" s="108"/>
      <c r="AK557" s="108"/>
      <c r="AL557" s="108"/>
      <c r="AM557" s="108"/>
      <c r="AN557" s="108"/>
      <c r="AO557" s="43"/>
      <c r="AP557" s="108"/>
      <c r="AQ557" s="108"/>
      <c r="AR557" s="108"/>
      <c r="AS557" s="108"/>
      <c r="AT557" s="108"/>
      <c r="AU557" s="108"/>
      <c r="AV557" s="43"/>
      <c r="AW557" s="108"/>
      <c r="AX557" s="108"/>
      <c r="AY557" s="108"/>
      <c r="AZ557" s="108"/>
      <c r="BA557" s="108"/>
      <c r="BB557" s="108"/>
      <c r="BC557" s="43"/>
      <c r="BD557" s="108"/>
      <c r="BE557" s="108"/>
      <c r="BF557" s="108"/>
      <c r="BG557" s="108"/>
      <c r="BH557" s="108"/>
      <c r="BI557" s="108"/>
      <c r="BJ557" s="43"/>
      <c r="BK557" s="108"/>
      <c r="BL557" s="108"/>
      <c r="BM557" s="108"/>
      <c r="BN557" s="108"/>
      <c r="BO557" s="108"/>
      <c r="BP557" s="108"/>
      <c r="BQ557" s="43"/>
      <c r="BR557" s="108"/>
      <c r="BS557" s="108"/>
      <c r="BT557" s="108"/>
      <c r="BU557" s="108"/>
      <c r="BV557" s="108"/>
      <c r="BW557" s="108"/>
      <c r="BX557" s="43"/>
      <c r="BY557" s="108"/>
      <c r="BZ557" s="108"/>
      <c r="CA557" s="108"/>
      <c r="CB557" s="108"/>
      <c r="CC557" s="108"/>
      <c r="CD557" s="108"/>
      <c r="CE557" s="43"/>
      <c r="CF557" s="108"/>
      <c r="CG557" s="108"/>
      <c r="CH557" s="108"/>
      <c r="CI557" s="108"/>
      <c r="CJ557" s="108"/>
      <c r="CK557" s="108"/>
      <c r="CL557" s="43"/>
      <c r="CM557" s="108"/>
      <c r="CN557" s="108"/>
      <c r="CO557" s="108"/>
      <c r="CP557" s="108"/>
      <c r="CQ557" s="108"/>
      <c r="CR557" s="108"/>
      <c r="CS557" s="43"/>
      <c r="CT557" s="108"/>
      <c r="CU557" s="108"/>
      <c r="CV557" s="108"/>
      <c r="CW557" s="108"/>
      <c r="CX557" s="108"/>
      <c r="CY557" s="108"/>
      <c r="CZ557" s="43"/>
      <c r="DA557" s="108"/>
      <c r="DB557" s="108"/>
      <c r="DC557" s="108"/>
      <c r="DD557" s="108"/>
      <c r="DE557" s="108"/>
      <c r="DF557" s="108"/>
      <c r="DG557" s="43"/>
      <c r="DH557" s="108"/>
      <c r="DI557" s="108"/>
      <c r="DJ557" s="108"/>
      <c r="DK557" s="108"/>
      <c r="DL557" s="108"/>
      <c r="DM557" s="108"/>
      <c r="DN557" s="43"/>
      <c r="DO557" s="108"/>
      <c r="DP557" s="108"/>
      <c r="DQ557" s="108"/>
      <c r="DR557" s="108"/>
      <c r="DS557" s="108"/>
      <c r="DT557" s="108"/>
      <c r="DU557" s="43"/>
      <c r="DV557" s="108"/>
      <c r="DW557" s="108"/>
      <c r="DX557" s="108"/>
      <c r="DY557" s="108"/>
      <c r="DZ557" s="108"/>
      <c r="EA557" s="108"/>
      <c r="EB557" s="43"/>
      <c r="EC557" s="108"/>
      <c r="ED557" s="108"/>
      <c r="EE557" s="108"/>
      <c r="EF557" s="108"/>
      <c r="EG557" s="108"/>
      <c r="EH557" s="108"/>
      <c r="EI557" s="43"/>
      <c r="EJ557" s="47"/>
      <c r="EK557" s="47"/>
      <c r="EL557" s="47"/>
      <c r="EM557" s="47"/>
      <c r="EN557" s="47"/>
      <c r="EO557" s="47"/>
      <c r="EP557" s="47"/>
      <c r="EQ557" s="47"/>
      <c r="ER557" s="47"/>
      <c r="ES557" s="47"/>
      <c r="ET557" s="47"/>
      <c r="EU557" s="47"/>
      <c r="EV557" s="47"/>
      <c r="EW557" s="47"/>
      <c r="EX557" s="47"/>
      <c r="EY557" s="47"/>
      <c r="EZ557" s="47"/>
      <c r="FA557" s="47"/>
      <c r="FB557" s="47"/>
      <c r="FC557" s="47"/>
      <c r="FD557" s="47"/>
      <c r="FE557" s="47"/>
      <c r="FF557" s="47"/>
      <c r="FG557" s="47"/>
      <c r="FH557" s="47"/>
      <c r="FI557" s="47"/>
      <c r="FJ557" s="47"/>
      <c r="FK557" s="47"/>
      <c r="FL557" s="47"/>
      <c r="FM557" s="47"/>
      <c r="FN557" s="47"/>
      <c r="FO557" s="47"/>
      <c r="FP557" s="47"/>
      <c r="FQ557" s="47"/>
      <c r="FR557" s="47"/>
      <c r="FS557" s="47"/>
      <c r="FT557" s="47"/>
      <c r="FU557" s="47"/>
      <c r="FV557" s="47"/>
      <c r="FW557" s="47"/>
      <c r="FX557" s="47"/>
      <c r="FY557" s="47"/>
      <c r="FZ557" s="47"/>
      <c r="GA557" s="47"/>
      <c r="GB557" s="47"/>
      <c r="GC557" s="47"/>
      <c r="GD557" s="47"/>
      <c r="GE557" s="47"/>
    </row>
    <row r="558" spans="1:187" ht="10.5" customHeight="1">
      <c r="A558" s="43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43"/>
      <c r="U558" s="108"/>
      <c r="V558" s="108"/>
      <c r="W558" s="108"/>
      <c r="X558" s="108"/>
      <c r="Y558" s="108"/>
      <c r="Z558" s="108"/>
      <c r="AA558" s="43"/>
      <c r="AB558" s="108"/>
      <c r="AC558" s="108"/>
      <c r="AD558" s="108"/>
      <c r="AE558" s="108"/>
      <c r="AF558" s="108"/>
      <c r="AG558" s="108"/>
      <c r="AH558" s="43"/>
      <c r="AI558" s="108"/>
      <c r="AJ558" s="108"/>
      <c r="AK558" s="108"/>
      <c r="AL558" s="108"/>
      <c r="AM558" s="108"/>
      <c r="AN558" s="108"/>
      <c r="AO558" s="43"/>
      <c r="AP558" s="108"/>
      <c r="AQ558" s="108"/>
      <c r="AR558" s="108"/>
      <c r="AS558" s="108"/>
      <c r="AT558" s="108"/>
      <c r="AU558" s="108"/>
      <c r="AV558" s="43"/>
      <c r="AW558" s="108"/>
      <c r="AX558" s="108"/>
      <c r="AY558" s="108"/>
      <c r="AZ558" s="108"/>
      <c r="BA558" s="108"/>
      <c r="BB558" s="108"/>
      <c r="BC558" s="43"/>
      <c r="BD558" s="108"/>
      <c r="BE558" s="108"/>
      <c r="BF558" s="108"/>
      <c r="BG558" s="108"/>
      <c r="BH558" s="108"/>
      <c r="BI558" s="108"/>
      <c r="BJ558" s="43"/>
      <c r="BK558" s="108"/>
      <c r="BL558" s="108"/>
      <c r="BM558" s="108"/>
      <c r="BN558" s="108"/>
      <c r="BO558" s="108"/>
      <c r="BP558" s="108"/>
      <c r="BQ558" s="43"/>
      <c r="BR558" s="108"/>
      <c r="BS558" s="108"/>
      <c r="BT558" s="108"/>
      <c r="BU558" s="108"/>
      <c r="BV558" s="108"/>
      <c r="BW558" s="108"/>
      <c r="BX558" s="43"/>
      <c r="BY558" s="108"/>
      <c r="BZ558" s="108"/>
      <c r="CA558" s="108"/>
      <c r="CB558" s="108"/>
      <c r="CC558" s="108"/>
      <c r="CD558" s="108"/>
      <c r="CE558" s="43"/>
      <c r="CF558" s="108"/>
      <c r="CG558" s="108"/>
      <c r="CH558" s="108"/>
      <c r="CI558" s="108"/>
      <c r="CJ558" s="108"/>
      <c r="CK558" s="108"/>
      <c r="CL558" s="43"/>
      <c r="CM558" s="108"/>
      <c r="CN558" s="108"/>
      <c r="CO558" s="108"/>
      <c r="CP558" s="108"/>
      <c r="CQ558" s="108"/>
      <c r="CR558" s="108"/>
      <c r="CS558" s="43"/>
      <c r="CT558" s="108"/>
      <c r="CU558" s="108"/>
      <c r="CV558" s="108"/>
      <c r="CW558" s="108"/>
      <c r="CX558" s="108"/>
      <c r="CY558" s="108"/>
      <c r="CZ558" s="43"/>
      <c r="DA558" s="108"/>
      <c r="DB558" s="108"/>
      <c r="DC558" s="108"/>
      <c r="DD558" s="108"/>
      <c r="DE558" s="108"/>
      <c r="DF558" s="108"/>
      <c r="DG558" s="43"/>
      <c r="DH558" s="108"/>
      <c r="DI558" s="108"/>
      <c r="DJ558" s="108"/>
      <c r="DK558" s="108"/>
      <c r="DL558" s="108"/>
      <c r="DM558" s="108"/>
      <c r="DN558" s="43"/>
      <c r="DO558" s="108"/>
      <c r="DP558" s="108"/>
      <c r="DQ558" s="108"/>
      <c r="DR558" s="108"/>
      <c r="DS558" s="108"/>
      <c r="DT558" s="108"/>
      <c r="DU558" s="43"/>
      <c r="DV558" s="108"/>
      <c r="DW558" s="108"/>
      <c r="DX558" s="108"/>
      <c r="DY558" s="108"/>
      <c r="DZ558" s="108"/>
      <c r="EA558" s="108"/>
      <c r="EB558" s="43"/>
      <c r="EC558" s="108"/>
      <c r="ED558" s="108"/>
      <c r="EE558" s="108"/>
      <c r="EF558" s="108"/>
      <c r="EG558" s="108"/>
      <c r="EH558" s="108"/>
      <c r="EI558" s="43"/>
      <c r="EJ558" s="47"/>
      <c r="EK558" s="47"/>
      <c r="EL558" s="47"/>
      <c r="EM558" s="47"/>
      <c r="EN558" s="47"/>
      <c r="EO558" s="47"/>
      <c r="EP558" s="47"/>
      <c r="EQ558" s="47"/>
      <c r="ER558" s="47"/>
      <c r="ES558" s="47"/>
      <c r="ET558" s="47"/>
      <c r="EU558" s="47"/>
      <c r="EV558" s="47"/>
      <c r="EW558" s="47"/>
      <c r="EX558" s="47"/>
      <c r="EY558" s="47"/>
      <c r="EZ558" s="47"/>
      <c r="FA558" s="47"/>
      <c r="FB558" s="47"/>
      <c r="FC558" s="47"/>
      <c r="FD558" s="47"/>
      <c r="FE558" s="47"/>
      <c r="FF558" s="47"/>
      <c r="FG558" s="47"/>
      <c r="FH558" s="47"/>
      <c r="FI558" s="47"/>
      <c r="FJ558" s="47"/>
      <c r="FK558" s="47"/>
      <c r="FL558" s="47"/>
      <c r="FM558" s="47"/>
      <c r="FN558" s="47"/>
      <c r="FO558" s="47"/>
      <c r="FP558" s="47"/>
      <c r="FQ558" s="47"/>
      <c r="FR558" s="47"/>
      <c r="FS558" s="47"/>
      <c r="FT558" s="47"/>
      <c r="FU558" s="47"/>
      <c r="FV558" s="47"/>
      <c r="FW558" s="47"/>
      <c r="FX558" s="47"/>
      <c r="FY558" s="47"/>
      <c r="FZ558" s="47"/>
      <c r="GA558" s="47"/>
      <c r="GB558" s="47"/>
      <c r="GC558" s="47"/>
      <c r="GD558" s="47"/>
      <c r="GE558" s="47"/>
    </row>
    <row r="559" spans="1:187" ht="10.5" customHeight="1">
      <c r="A559" s="43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43"/>
      <c r="U559" s="108"/>
      <c r="V559" s="108"/>
      <c r="W559" s="108"/>
      <c r="X559" s="108"/>
      <c r="Y559" s="108"/>
      <c r="Z559" s="108"/>
      <c r="AA559" s="43"/>
      <c r="AB559" s="108"/>
      <c r="AC559" s="108"/>
      <c r="AD559" s="108"/>
      <c r="AE559" s="108"/>
      <c r="AF559" s="108"/>
      <c r="AG559" s="108"/>
      <c r="AH559" s="43"/>
      <c r="AI559" s="108"/>
      <c r="AJ559" s="108"/>
      <c r="AK559" s="108"/>
      <c r="AL559" s="108"/>
      <c r="AM559" s="108"/>
      <c r="AN559" s="108"/>
      <c r="AO559" s="43"/>
      <c r="AP559" s="108"/>
      <c r="AQ559" s="108"/>
      <c r="AR559" s="108"/>
      <c r="AS559" s="108"/>
      <c r="AT559" s="108"/>
      <c r="AU559" s="108"/>
      <c r="AV559" s="43"/>
      <c r="AW559" s="108"/>
      <c r="AX559" s="108"/>
      <c r="AY559" s="108"/>
      <c r="AZ559" s="108"/>
      <c r="BA559" s="108"/>
      <c r="BB559" s="108"/>
      <c r="BC559" s="43"/>
      <c r="BD559" s="108"/>
      <c r="BE559" s="108"/>
      <c r="BF559" s="108"/>
      <c r="BG559" s="108"/>
      <c r="BH559" s="108"/>
      <c r="BI559" s="108"/>
      <c r="BJ559" s="43"/>
      <c r="BK559" s="108"/>
      <c r="BL559" s="108"/>
      <c r="BM559" s="108"/>
      <c r="BN559" s="108"/>
      <c r="BO559" s="108"/>
      <c r="BP559" s="108"/>
      <c r="BQ559" s="43"/>
      <c r="BR559" s="108"/>
      <c r="BS559" s="108"/>
      <c r="BT559" s="108"/>
      <c r="BU559" s="108"/>
      <c r="BV559" s="108"/>
      <c r="BW559" s="108"/>
      <c r="BX559" s="43"/>
      <c r="BY559" s="108"/>
      <c r="BZ559" s="108"/>
      <c r="CA559" s="108"/>
      <c r="CB559" s="108"/>
      <c r="CC559" s="108"/>
      <c r="CD559" s="108"/>
      <c r="CE559" s="43"/>
      <c r="CF559" s="108"/>
      <c r="CG559" s="108"/>
      <c r="CH559" s="108"/>
      <c r="CI559" s="108"/>
      <c r="CJ559" s="108"/>
      <c r="CK559" s="108"/>
      <c r="CL559" s="43"/>
      <c r="CM559" s="108"/>
      <c r="CN559" s="108"/>
      <c r="CO559" s="108"/>
      <c r="CP559" s="108"/>
      <c r="CQ559" s="108"/>
      <c r="CR559" s="108"/>
      <c r="CS559" s="43"/>
      <c r="CT559" s="108"/>
      <c r="CU559" s="108"/>
      <c r="CV559" s="108"/>
      <c r="CW559" s="108"/>
      <c r="CX559" s="108"/>
      <c r="CY559" s="108"/>
      <c r="CZ559" s="43"/>
      <c r="DA559" s="108"/>
      <c r="DB559" s="108"/>
      <c r="DC559" s="108"/>
      <c r="DD559" s="108"/>
      <c r="DE559" s="108"/>
      <c r="DF559" s="108"/>
      <c r="DG559" s="43"/>
      <c r="DH559" s="108"/>
      <c r="DI559" s="108"/>
      <c r="DJ559" s="108"/>
      <c r="DK559" s="108"/>
      <c r="DL559" s="108"/>
      <c r="DM559" s="108"/>
      <c r="DN559" s="43"/>
      <c r="DO559" s="108"/>
      <c r="DP559" s="108"/>
      <c r="DQ559" s="108"/>
      <c r="DR559" s="108"/>
      <c r="DS559" s="108"/>
      <c r="DT559" s="108"/>
      <c r="DU559" s="43"/>
      <c r="DV559" s="108"/>
      <c r="DW559" s="108"/>
      <c r="DX559" s="108"/>
      <c r="DY559" s="108"/>
      <c r="DZ559" s="108"/>
      <c r="EA559" s="108"/>
      <c r="EB559" s="43"/>
      <c r="EC559" s="108"/>
      <c r="ED559" s="108"/>
      <c r="EE559" s="108"/>
      <c r="EF559" s="108"/>
      <c r="EG559" s="108"/>
      <c r="EH559" s="108"/>
      <c r="EI559" s="43"/>
      <c r="EJ559" s="47"/>
      <c r="EK559" s="47"/>
      <c r="EL559" s="47"/>
      <c r="EM559" s="47"/>
      <c r="EN559" s="47"/>
      <c r="EO559" s="47"/>
      <c r="EP559" s="47"/>
      <c r="EQ559" s="47"/>
      <c r="ER559" s="47"/>
      <c r="ES559" s="47"/>
      <c r="ET559" s="47"/>
      <c r="EU559" s="47"/>
      <c r="EV559" s="47"/>
      <c r="EW559" s="47"/>
      <c r="EX559" s="47"/>
      <c r="EY559" s="47"/>
      <c r="EZ559" s="47"/>
      <c r="FA559" s="47"/>
      <c r="FB559" s="47"/>
      <c r="FC559" s="47"/>
      <c r="FD559" s="47"/>
      <c r="FE559" s="47"/>
      <c r="FF559" s="47"/>
      <c r="FG559" s="47"/>
      <c r="FH559" s="47"/>
      <c r="FI559" s="47"/>
      <c r="FJ559" s="47"/>
      <c r="FK559" s="47"/>
      <c r="FL559" s="47"/>
      <c r="FM559" s="47"/>
      <c r="FN559" s="47"/>
      <c r="FO559" s="47"/>
      <c r="FP559" s="47"/>
      <c r="FQ559" s="47"/>
      <c r="FR559" s="47"/>
      <c r="FS559" s="47"/>
      <c r="FT559" s="47"/>
      <c r="FU559" s="47"/>
      <c r="FV559" s="47"/>
      <c r="FW559" s="47"/>
      <c r="FX559" s="47"/>
      <c r="FY559" s="47"/>
      <c r="FZ559" s="47"/>
      <c r="GA559" s="47"/>
      <c r="GB559" s="47"/>
      <c r="GC559" s="47"/>
      <c r="GD559" s="47"/>
      <c r="GE559" s="47"/>
    </row>
    <row r="560" spans="1:187" ht="10.5" customHeight="1">
      <c r="A560" s="43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43"/>
      <c r="U560" s="108"/>
      <c r="V560" s="108"/>
      <c r="W560" s="108"/>
      <c r="X560" s="108"/>
      <c r="Y560" s="108"/>
      <c r="Z560" s="108"/>
      <c r="AA560" s="43"/>
      <c r="AB560" s="108"/>
      <c r="AC560" s="108"/>
      <c r="AD560" s="108"/>
      <c r="AE560" s="108"/>
      <c r="AF560" s="108"/>
      <c r="AG560" s="108"/>
      <c r="AH560" s="43"/>
      <c r="AI560" s="108"/>
      <c r="AJ560" s="108"/>
      <c r="AK560" s="108"/>
      <c r="AL560" s="108"/>
      <c r="AM560" s="108"/>
      <c r="AN560" s="108"/>
      <c r="AO560" s="43"/>
      <c r="AP560" s="108"/>
      <c r="AQ560" s="108"/>
      <c r="AR560" s="108"/>
      <c r="AS560" s="108"/>
      <c r="AT560" s="108"/>
      <c r="AU560" s="108"/>
      <c r="AV560" s="43"/>
      <c r="AW560" s="108"/>
      <c r="AX560" s="108"/>
      <c r="AY560" s="108"/>
      <c r="AZ560" s="108"/>
      <c r="BA560" s="108"/>
      <c r="BB560" s="108"/>
      <c r="BC560" s="43"/>
      <c r="BD560" s="108"/>
      <c r="BE560" s="108"/>
      <c r="BF560" s="108"/>
      <c r="BG560" s="108"/>
      <c r="BH560" s="108"/>
      <c r="BI560" s="108"/>
      <c r="BJ560" s="43"/>
      <c r="BK560" s="108"/>
      <c r="BL560" s="108"/>
      <c r="BM560" s="108"/>
      <c r="BN560" s="108"/>
      <c r="BO560" s="108"/>
      <c r="BP560" s="108"/>
      <c r="BQ560" s="43"/>
      <c r="BR560" s="108"/>
      <c r="BS560" s="108"/>
      <c r="BT560" s="108"/>
      <c r="BU560" s="108"/>
      <c r="BV560" s="108"/>
      <c r="BW560" s="108"/>
      <c r="BX560" s="43"/>
      <c r="BY560" s="108"/>
      <c r="BZ560" s="108"/>
      <c r="CA560" s="108"/>
      <c r="CB560" s="108"/>
      <c r="CC560" s="108"/>
      <c r="CD560" s="108"/>
      <c r="CE560" s="43"/>
      <c r="CF560" s="108"/>
      <c r="CG560" s="108"/>
      <c r="CH560" s="108"/>
      <c r="CI560" s="108"/>
      <c r="CJ560" s="108"/>
      <c r="CK560" s="108"/>
      <c r="CL560" s="43"/>
      <c r="CM560" s="108"/>
      <c r="CN560" s="108"/>
      <c r="CO560" s="108"/>
      <c r="CP560" s="108"/>
      <c r="CQ560" s="108"/>
      <c r="CR560" s="108"/>
      <c r="CS560" s="43"/>
      <c r="CT560" s="108"/>
      <c r="CU560" s="108"/>
      <c r="CV560" s="108"/>
      <c r="CW560" s="108"/>
      <c r="CX560" s="108"/>
      <c r="CY560" s="108"/>
      <c r="CZ560" s="43"/>
      <c r="DA560" s="108"/>
      <c r="DB560" s="108"/>
      <c r="DC560" s="108"/>
      <c r="DD560" s="108"/>
      <c r="DE560" s="108"/>
      <c r="DF560" s="108"/>
      <c r="DG560" s="43"/>
      <c r="DH560" s="108"/>
      <c r="DI560" s="108"/>
      <c r="DJ560" s="108"/>
      <c r="DK560" s="108"/>
      <c r="DL560" s="108"/>
      <c r="DM560" s="108"/>
      <c r="DN560" s="43"/>
      <c r="DO560" s="108"/>
      <c r="DP560" s="108"/>
      <c r="DQ560" s="108"/>
      <c r="DR560" s="108"/>
      <c r="DS560" s="108"/>
      <c r="DT560" s="108"/>
      <c r="DU560" s="43"/>
      <c r="DV560" s="108"/>
      <c r="DW560" s="108"/>
      <c r="DX560" s="108"/>
      <c r="DY560" s="108"/>
      <c r="DZ560" s="108"/>
      <c r="EA560" s="108"/>
      <c r="EB560" s="43"/>
      <c r="EC560" s="108"/>
      <c r="ED560" s="108"/>
      <c r="EE560" s="108"/>
      <c r="EF560" s="108"/>
      <c r="EG560" s="108"/>
      <c r="EH560" s="108"/>
      <c r="EI560" s="43"/>
      <c r="EJ560" s="47"/>
      <c r="EK560" s="47"/>
      <c r="EL560" s="47"/>
      <c r="EM560" s="47"/>
      <c r="EN560" s="47"/>
      <c r="EO560" s="47"/>
      <c r="EP560" s="47"/>
      <c r="EQ560" s="47"/>
      <c r="ER560" s="47"/>
      <c r="ES560" s="47"/>
      <c r="ET560" s="47"/>
      <c r="EU560" s="47"/>
      <c r="EV560" s="47"/>
      <c r="EW560" s="47"/>
      <c r="EX560" s="47"/>
      <c r="EY560" s="47"/>
      <c r="EZ560" s="47"/>
      <c r="FA560" s="47"/>
      <c r="FB560" s="47"/>
      <c r="FC560" s="47"/>
      <c r="FD560" s="47"/>
      <c r="FE560" s="47"/>
      <c r="FF560" s="47"/>
      <c r="FG560" s="47"/>
      <c r="FH560" s="47"/>
      <c r="FI560" s="47"/>
      <c r="FJ560" s="47"/>
      <c r="FK560" s="47"/>
      <c r="FL560" s="47"/>
      <c r="FM560" s="47"/>
      <c r="FN560" s="47"/>
      <c r="FO560" s="47"/>
      <c r="FP560" s="47"/>
      <c r="FQ560" s="47"/>
      <c r="FR560" s="47"/>
      <c r="FS560" s="47"/>
      <c r="FT560" s="47"/>
      <c r="FU560" s="47"/>
      <c r="FV560" s="47"/>
      <c r="FW560" s="47"/>
      <c r="FX560" s="47"/>
      <c r="FY560" s="47"/>
      <c r="FZ560" s="47"/>
      <c r="GA560" s="47"/>
      <c r="GB560" s="47"/>
      <c r="GC560" s="47"/>
      <c r="GD560" s="47"/>
      <c r="GE560" s="47"/>
    </row>
    <row r="561" spans="1:187" ht="10.5" customHeight="1">
      <c r="A561" s="43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43"/>
      <c r="U561" s="108"/>
      <c r="V561" s="108"/>
      <c r="W561" s="108"/>
      <c r="X561" s="108"/>
      <c r="Y561" s="108"/>
      <c r="Z561" s="108"/>
      <c r="AA561" s="43"/>
      <c r="AB561" s="108"/>
      <c r="AC561" s="108"/>
      <c r="AD561" s="108"/>
      <c r="AE561" s="108"/>
      <c r="AF561" s="108"/>
      <c r="AG561" s="108"/>
      <c r="AH561" s="43"/>
      <c r="AI561" s="108"/>
      <c r="AJ561" s="108"/>
      <c r="AK561" s="108"/>
      <c r="AL561" s="108"/>
      <c r="AM561" s="108"/>
      <c r="AN561" s="108"/>
      <c r="AO561" s="43"/>
      <c r="AP561" s="108"/>
      <c r="AQ561" s="108"/>
      <c r="AR561" s="108"/>
      <c r="AS561" s="108"/>
      <c r="AT561" s="108"/>
      <c r="AU561" s="108"/>
      <c r="AV561" s="43"/>
      <c r="AW561" s="108"/>
      <c r="AX561" s="108"/>
      <c r="AY561" s="108"/>
      <c r="AZ561" s="108"/>
      <c r="BA561" s="108"/>
      <c r="BB561" s="108"/>
      <c r="BC561" s="43"/>
      <c r="BD561" s="108"/>
      <c r="BE561" s="108"/>
      <c r="BF561" s="108"/>
      <c r="BG561" s="108"/>
      <c r="BH561" s="108"/>
      <c r="BI561" s="108"/>
      <c r="BJ561" s="43"/>
      <c r="BK561" s="108"/>
      <c r="BL561" s="108"/>
      <c r="BM561" s="108"/>
      <c r="BN561" s="108"/>
      <c r="BO561" s="108"/>
      <c r="BP561" s="108"/>
      <c r="BQ561" s="43"/>
      <c r="BR561" s="108"/>
      <c r="BS561" s="108"/>
      <c r="BT561" s="108"/>
      <c r="BU561" s="108"/>
      <c r="BV561" s="108"/>
      <c r="BW561" s="108"/>
      <c r="BX561" s="43"/>
      <c r="BY561" s="108"/>
      <c r="BZ561" s="108"/>
      <c r="CA561" s="108"/>
      <c r="CB561" s="108"/>
      <c r="CC561" s="108"/>
      <c r="CD561" s="108"/>
      <c r="CE561" s="43"/>
      <c r="CF561" s="108"/>
      <c r="CG561" s="108"/>
      <c r="CH561" s="108"/>
      <c r="CI561" s="108"/>
      <c r="CJ561" s="108"/>
      <c r="CK561" s="108"/>
      <c r="CL561" s="43"/>
      <c r="CM561" s="108"/>
      <c r="CN561" s="108"/>
      <c r="CO561" s="108"/>
      <c r="CP561" s="108"/>
      <c r="CQ561" s="108"/>
      <c r="CR561" s="108"/>
      <c r="CS561" s="43"/>
      <c r="CT561" s="108"/>
      <c r="CU561" s="108"/>
      <c r="CV561" s="108"/>
      <c r="CW561" s="108"/>
      <c r="CX561" s="108"/>
      <c r="CY561" s="108"/>
      <c r="CZ561" s="43"/>
      <c r="DA561" s="108"/>
      <c r="DB561" s="108"/>
      <c r="DC561" s="108"/>
      <c r="DD561" s="108"/>
      <c r="DE561" s="108"/>
      <c r="DF561" s="108"/>
      <c r="DG561" s="43"/>
      <c r="DH561" s="108"/>
      <c r="DI561" s="108"/>
      <c r="DJ561" s="108"/>
      <c r="DK561" s="108"/>
      <c r="DL561" s="108"/>
      <c r="DM561" s="108"/>
      <c r="DN561" s="43"/>
      <c r="DO561" s="108"/>
      <c r="DP561" s="108"/>
      <c r="DQ561" s="108"/>
      <c r="DR561" s="108"/>
      <c r="DS561" s="108"/>
      <c r="DT561" s="108"/>
      <c r="DU561" s="43"/>
      <c r="DV561" s="108"/>
      <c r="DW561" s="108"/>
      <c r="DX561" s="108"/>
      <c r="DY561" s="108"/>
      <c r="DZ561" s="108"/>
      <c r="EA561" s="108"/>
      <c r="EB561" s="43"/>
      <c r="EC561" s="108"/>
      <c r="ED561" s="108"/>
      <c r="EE561" s="108"/>
      <c r="EF561" s="108"/>
      <c r="EG561" s="108"/>
      <c r="EH561" s="108"/>
      <c r="EI561" s="43"/>
      <c r="EJ561" s="47"/>
      <c r="EK561" s="47"/>
      <c r="EL561" s="47"/>
      <c r="EM561" s="47"/>
      <c r="EN561" s="47"/>
      <c r="EO561" s="47"/>
      <c r="EP561" s="47"/>
      <c r="EQ561" s="47"/>
      <c r="ER561" s="47"/>
      <c r="ES561" s="47"/>
      <c r="ET561" s="47"/>
      <c r="EU561" s="47"/>
      <c r="EV561" s="47"/>
      <c r="EW561" s="47"/>
      <c r="EX561" s="47"/>
      <c r="EY561" s="47"/>
      <c r="EZ561" s="47"/>
      <c r="FA561" s="47"/>
      <c r="FB561" s="47"/>
      <c r="FC561" s="47"/>
      <c r="FD561" s="47"/>
      <c r="FE561" s="47"/>
      <c r="FF561" s="47"/>
      <c r="FG561" s="47"/>
      <c r="FH561" s="47"/>
      <c r="FI561" s="47"/>
      <c r="FJ561" s="47"/>
      <c r="FK561" s="47"/>
      <c r="FL561" s="47"/>
      <c r="FM561" s="47"/>
      <c r="FN561" s="47"/>
      <c r="FO561" s="47"/>
      <c r="FP561" s="47"/>
      <c r="FQ561" s="47"/>
      <c r="FR561" s="47"/>
      <c r="FS561" s="47"/>
      <c r="FT561" s="47"/>
      <c r="FU561" s="47"/>
      <c r="FV561" s="47"/>
      <c r="FW561" s="47"/>
      <c r="FX561" s="47"/>
      <c r="FY561" s="47"/>
      <c r="FZ561" s="47"/>
      <c r="GA561" s="47"/>
      <c r="GB561" s="47"/>
      <c r="GC561" s="47"/>
      <c r="GD561" s="47"/>
      <c r="GE561" s="47"/>
    </row>
    <row r="562" spans="1:187" ht="10.5" customHeight="1">
      <c r="A562" s="43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43"/>
      <c r="U562" s="108"/>
      <c r="V562" s="108"/>
      <c r="W562" s="108"/>
      <c r="X562" s="108"/>
      <c r="Y562" s="108"/>
      <c r="Z562" s="108"/>
      <c r="AA562" s="43"/>
      <c r="AB562" s="108"/>
      <c r="AC562" s="108"/>
      <c r="AD562" s="108"/>
      <c r="AE562" s="108"/>
      <c r="AF562" s="108"/>
      <c r="AG562" s="108"/>
      <c r="AH562" s="43"/>
      <c r="AI562" s="108"/>
      <c r="AJ562" s="108"/>
      <c r="AK562" s="108"/>
      <c r="AL562" s="108"/>
      <c r="AM562" s="108"/>
      <c r="AN562" s="108"/>
      <c r="AO562" s="43"/>
      <c r="AP562" s="108"/>
      <c r="AQ562" s="108"/>
      <c r="AR562" s="108"/>
      <c r="AS562" s="108"/>
      <c r="AT562" s="108"/>
      <c r="AU562" s="108"/>
      <c r="AV562" s="43"/>
      <c r="AW562" s="108"/>
      <c r="AX562" s="108"/>
      <c r="AY562" s="108"/>
      <c r="AZ562" s="108"/>
      <c r="BA562" s="108"/>
      <c r="BB562" s="108"/>
      <c r="BC562" s="43"/>
      <c r="BD562" s="108"/>
      <c r="BE562" s="108"/>
      <c r="BF562" s="108"/>
      <c r="BG562" s="108"/>
      <c r="BH562" s="108"/>
      <c r="BI562" s="108"/>
      <c r="BJ562" s="43"/>
      <c r="BK562" s="108"/>
      <c r="BL562" s="108"/>
      <c r="BM562" s="108"/>
      <c r="BN562" s="108"/>
      <c r="BO562" s="108"/>
      <c r="BP562" s="108"/>
      <c r="BQ562" s="43"/>
      <c r="BR562" s="108"/>
      <c r="BS562" s="108"/>
      <c r="BT562" s="108"/>
      <c r="BU562" s="108"/>
      <c r="BV562" s="108"/>
      <c r="BW562" s="108"/>
      <c r="BX562" s="43"/>
      <c r="BY562" s="108"/>
      <c r="BZ562" s="108"/>
      <c r="CA562" s="108"/>
      <c r="CB562" s="108"/>
      <c r="CC562" s="108"/>
      <c r="CD562" s="108"/>
      <c r="CE562" s="43"/>
      <c r="CF562" s="108"/>
      <c r="CG562" s="108"/>
      <c r="CH562" s="108"/>
      <c r="CI562" s="108"/>
      <c r="CJ562" s="108"/>
      <c r="CK562" s="108"/>
      <c r="CL562" s="43"/>
      <c r="CM562" s="108"/>
      <c r="CN562" s="108"/>
      <c r="CO562" s="108"/>
      <c r="CP562" s="108"/>
      <c r="CQ562" s="108"/>
      <c r="CR562" s="108"/>
      <c r="CS562" s="43"/>
      <c r="CT562" s="108"/>
      <c r="CU562" s="108"/>
      <c r="CV562" s="108"/>
      <c r="CW562" s="108"/>
      <c r="CX562" s="108"/>
      <c r="CY562" s="108"/>
      <c r="CZ562" s="43"/>
      <c r="DA562" s="108"/>
      <c r="DB562" s="108"/>
      <c r="DC562" s="108"/>
      <c r="DD562" s="108"/>
      <c r="DE562" s="108"/>
      <c r="DF562" s="108"/>
      <c r="DG562" s="43"/>
      <c r="DH562" s="108"/>
      <c r="DI562" s="108"/>
      <c r="DJ562" s="108"/>
      <c r="DK562" s="108"/>
      <c r="DL562" s="108"/>
      <c r="DM562" s="108"/>
      <c r="DN562" s="43"/>
      <c r="DO562" s="108"/>
      <c r="DP562" s="108"/>
      <c r="DQ562" s="108"/>
      <c r="DR562" s="108"/>
      <c r="DS562" s="108"/>
      <c r="DT562" s="108"/>
      <c r="DU562" s="43"/>
      <c r="DV562" s="108"/>
      <c r="DW562" s="108"/>
      <c r="DX562" s="108"/>
      <c r="DY562" s="108"/>
      <c r="DZ562" s="108"/>
      <c r="EA562" s="108"/>
      <c r="EB562" s="43"/>
      <c r="EC562" s="108"/>
      <c r="ED562" s="108"/>
      <c r="EE562" s="108"/>
      <c r="EF562" s="108"/>
      <c r="EG562" s="108"/>
      <c r="EH562" s="108"/>
      <c r="EI562" s="43"/>
      <c r="EJ562" s="47"/>
      <c r="EK562" s="47"/>
      <c r="EL562" s="47"/>
      <c r="EM562" s="47"/>
      <c r="EN562" s="47"/>
      <c r="EO562" s="47"/>
      <c r="EP562" s="47"/>
      <c r="EQ562" s="47"/>
      <c r="ER562" s="47"/>
      <c r="ES562" s="47"/>
      <c r="ET562" s="47"/>
      <c r="EU562" s="47"/>
      <c r="EV562" s="47"/>
      <c r="EW562" s="47"/>
      <c r="EX562" s="47"/>
      <c r="EY562" s="47"/>
      <c r="EZ562" s="47"/>
      <c r="FA562" s="47"/>
      <c r="FB562" s="47"/>
      <c r="FC562" s="47"/>
      <c r="FD562" s="47"/>
      <c r="FE562" s="47"/>
      <c r="FF562" s="47"/>
      <c r="FG562" s="47"/>
      <c r="FH562" s="47"/>
      <c r="FI562" s="47"/>
      <c r="FJ562" s="47"/>
      <c r="FK562" s="47"/>
      <c r="FL562" s="47"/>
      <c r="FM562" s="47"/>
      <c r="FN562" s="47"/>
      <c r="FO562" s="47"/>
      <c r="FP562" s="47"/>
      <c r="FQ562" s="47"/>
      <c r="FR562" s="47"/>
      <c r="FS562" s="47"/>
      <c r="FT562" s="47"/>
      <c r="FU562" s="47"/>
      <c r="FV562" s="47"/>
      <c r="FW562" s="47"/>
      <c r="FX562" s="47"/>
      <c r="FY562" s="47"/>
      <c r="FZ562" s="47"/>
      <c r="GA562" s="47"/>
      <c r="GB562" s="47"/>
      <c r="GC562" s="47"/>
      <c r="GD562" s="47"/>
      <c r="GE562" s="47"/>
    </row>
    <row r="563" spans="1:187" ht="10.5" customHeight="1">
      <c r="A563" s="43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43"/>
      <c r="U563" s="108"/>
      <c r="V563" s="108"/>
      <c r="W563" s="108"/>
      <c r="X563" s="108"/>
      <c r="Y563" s="108"/>
      <c r="Z563" s="108"/>
      <c r="AA563" s="43"/>
      <c r="AB563" s="108"/>
      <c r="AC563" s="108"/>
      <c r="AD563" s="108"/>
      <c r="AE563" s="108"/>
      <c r="AF563" s="108"/>
      <c r="AG563" s="108"/>
      <c r="AH563" s="43"/>
      <c r="AI563" s="108"/>
      <c r="AJ563" s="108"/>
      <c r="AK563" s="108"/>
      <c r="AL563" s="108"/>
      <c r="AM563" s="108"/>
      <c r="AN563" s="108"/>
      <c r="AO563" s="43"/>
      <c r="AP563" s="108"/>
      <c r="AQ563" s="108"/>
      <c r="AR563" s="108"/>
      <c r="AS563" s="108"/>
      <c r="AT563" s="108"/>
      <c r="AU563" s="108"/>
      <c r="AV563" s="43"/>
      <c r="AW563" s="108"/>
      <c r="AX563" s="108"/>
      <c r="AY563" s="108"/>
      <c r="AZ563" s="108"/>
      <c r="BA563" s="108"/>
      <c r="BB563" s="108"/>
      <c r="BC563" s="43"/>
      <c r="BD563" s="108"/>
      <c r="BE563" s="108"/>
      <c r="BF563" s="108"/>
      <c r="BG563" s="108"/>
      <c r="BH563" s="108"/>
      <c r="BI563" s="108"/>
      <c r="BJ563" s="43"/>
      <c r="BK563" s="108"/>
      <c r="BL563" s="108"/>
      <c r="BM563" s="108"/>
      <c r="BN563" s="108"/>
      <c r="BO563" s="108"/>
      <c r="BP563" s="108"/>
      <c r="BQ563" s="43"/>
      <c r="BR563" s="108"/>
      <c r="BS563" s="108"/>
      <c r="BT563" s="108"/>
      <c r="BU563" s="108"/>
      <c r="BV563" s="108"/>
      <c r="BW563" s="108"/>
      <c r="BX563" s="43"/>
      <c r="BY563" s="108"/>
      <c r="BZ563" s="108"/>
      <c r="CA563" s="108"/>
      <c r="CB563" s="108"/>
      <c r="CC563" s="108"/>
      <c r="CD563" s="108"/>
      <c r="CE563" s="43"/>
      <c r="CF563" s="108"/>
      <c r="CG563" s="108"/>
      <c r="CH563" s="108"/>
      <c r="CI563" s="108"/>
      <c r="CJ563" s="108"/>
      <c r="CK563" s="108"/>
      <c r="CL563" s="43"/>
      <c r="CM563" s="108"/>
      <c r="CN563" s="108"/>
      <c r="CO563" s="108"/>
      <c r="CP563" s="108"/>
      <c r="CQ563" s="108"/>
      <c r="CR563" s="108"/>
      <c r="CS563" s="43"/>
      <c r="CT563" s="108"/>
      <c r="CU563" s="108"/>
      <c r="CV563" s="108"/>
      <c r="CW563" s="108"/>
      <c r="CX563" s="108"/>
      <c r="CY563" s="108"/>
      <c r="CZ563" s="43"/>
      <c r="DA563" s="108"/>
      <c r="DB563" s="108"/>
      <c r="DC563" s="108"/>
      <c r="DD563" s="108"/>
      <c r="DE563" s="108"/>
      <c r="DF563" s="108"/>
      <c r="DG563" s="43"/>
      <c r="DH563" s="108"/>
      <c r="DI563" s="108"/>
      <c r="DJ563" s="108"/>
      <c r="DK563" s="108"/>
      <c r="DL563" s="108"/>
      <c r="DM563" s="108"/>
      <c r="DN563" s="43"/>
      <c r="DO563" s="108"/>
      <c r="DP563" s="108"/>
      <c r="DQ563" s="108"/>
      <c r="DR563" s="108"/>
      <c r="DS563" s="108"/>
      <c r="DT563" s="108"/>
      <c r="DU563" s="43"/>
      <c r="DV563" s="108"/>
      <c r="DW563" s="108"/>
      <c r="DX563" s="108"/>
      <c r="DY563" s="108"/>
      <c r="DZ563" s="108"/>
      <c r="EA563" s="108"/>
      <c r="EB563" s="43"/>
      <c r="EC563" s="108"/>
      <c r="ED563" s="108"/>
      <c r="EE563" s="108"/>
      <c r="EF563" s="108"/>
      <c r="EG563" s="108"/>
      <c r="EH563" s="108"/>
      <c r="EI563" s="43"/>
      <c r="EJ563" s="47"/>
      <c r="EK563" s="47"/>
      <c r="EL563" s="47"/>
      <c r="EM563" s="47"/>
      <c r="EN563" s="47"/>
      <c r="EO563" s="47"/>
      <c r="EP563" s="47"/>
      <c r="EQ563" s="47"/>
      <c r="ER563" s="47"/>
      <c r="ES563" s="47"/>
      <c r="ET563" s="47"/>
      <c r="EU563" s="47"/>
      <c r="EV563" s="47"/>
      <c r="EW563" s="47"/>
      <c r="EX563" s="47"/>
      <c r="EY563" s="47"/>
      <c r="EZ563" s="47"/>
      <c r="FA563" s="47"/>
      <c r="FB563" s="47"/>
      <c r="FC563" s="47"/>
      <c r="FD563" s="47"/>
      <c r="FE563" s="47"/>
      <c r="FF563" s="47"/>
      <c r="FG563" s="47"/>
      <c r="FH563" s="47"/>
      <c r="FI563" s="47"/>
      <c r="FJ563" s="47"/>
      <c r="FK563" s="47"/>
      <c r="FL563" s="47"/>
      <c r="FM563" s="47"/>
      <c r="FN563" s="47"/>
      <c r="FO563" s="47"/>
      <c r="FP563" s="47"/>
      <c r="FQ563" s="47"/>
      <c r="FR563" s="47"/>
      <c r="FS563" s="47"/>
      <c r="FT563" s="47"/>
      <c r="FU563" s="47"/>
      <c r="FV563" s="47"/>
      <c r="FW563" s="47"/>
      <c r="FX563" s="47"/>
      <c r="FY563" s="47"/>
      <c r="FZ563" s="47"/>
      <c r="GA563" s="47"/>
      <c r="GB563" s="47"/>
      <c r="GC563" s="47"/>
      <c r="GD563" s="47"/>
      <c r="GE563" s="47"/>
    </row>
    <row r="564" spans="1:187" ht="10.5" customHeight="1">
      <c r="A564" s="43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43"/>
      <c r="U564" s="108"/>
      <c r="V564" s="108"/>
      <c r="W564" s="108"/>
      <c r="X564" s="108"/>
      <c r="Y564" s="108"/>
      <c r="Z564" s="108"/>
      <c r="AA564" s="43"/>
      <c r="AB564" s="108"/>
      <c r="AC564" s="108"/>
      <c r="AD564" s="108"/>
      <c r="AE564" s="108"/>
      <c r="AF564" s="108"/>
      <c r="AG564" s="108"/>
      <c r="AH564" s="43"/>
      <c r="AI564" s="108"/>
      <c r="AJ564" s="108"/>
      <c r="AK564" s="108"/>
      <c r="AL564" s="108"/>
      <c r="AM564" s="108"/>
      <c r="AN564" s="108"/>
      <c r="AO564" s="43"/>
      <c r="AP564" s="108"/>
      <c r="AQ564" s="108"/>
      <c r="AR564" s="108"/>
      <c r="AS564" s="108"/>
      <c r="AT564" s="108"/>
      <c r="AU564" s="108"/>
      <c r="AV564" s="43"/>
      <c r="AW564" s="108"/>
      <c r="AX564" s="108"/>
      <c r="AY564" s="108"/>
      <c r="AZ564" s="108"/>
      <c r="BA564" s="108"/>
      <c r="BB564" s="108"/>
      <c r="BC564" s="43"/>
      <c r="BD564" s="108"/>
      <c r="BE564" s="108"/>
      <c r="BF564" s="108"/>
      <c r="BG564" s="108"/>
      <c r="BH564" s="108"/>
      <c r="BI564" s="108"/>
      <c r="BJ564" s="43"/>
      <c r="BK564" s="108"/>
      <c r="BL564" s="108"/>
      <c r="BM564" s="108"/>
      <c r="BN564" s="108"/>
      <c r="BO564" s="108"/>
      <c r="BP564" s="108"/>
      <c r="BQ564" s="43"/>
      <c r="BR564" s="108"/>
      <c r="BS564" s="108"/>
      <c r="BT564" s="108"/>
      <c r="BU564" s="108"/>
      <c r="BV564" s="108"/>
      <c r="BW564" s="108"/>
      <c r="BX564" s="43"/>
      <c r="BY564" s="108"/>
      <c r="BZ564" s="108"/>
      <c r="CA564" s="108"/>
      <c r="CB564" s="108"/>
      <c r="CC564" s="108"/>
      <c r="CD564" s="108"/>
      <c r="CE564" s="43"/>
      <c r="CF564" s="108"/>
      <c r="CG564" s="108"/>
      <c r="CH564" s="108"/>
      <c r="CI564" s="108"/>
      <c r="CJ564" s="108"/>
      <c r="CK564" s="108"/>
      <c r="CL564" s="43"/>
      <c r="CM564" s="108"/>
      <c r="CN564" s="108"/>
      <c r="CO564" s="108"/>
      <c r="CP564" s="108"/>
      <c r="CQ564" s="108"/>
      <c r="CR564" s="108"/>
      <c r="CS564" s="43"/>
      <c r="CT564" s="108"/>
      <c r="CU564" s="108"/>
      <c r="CV564" s="108"/>
      <c r="CW564" s="108"/>
      <c r="CX564" s="108"/>
      <c r="CY564" s="108"/>
      <c r="CZ564" s="43"/>
      <c r="DA564" s="108"/>
      <c r="DB564" s="108"/>
      <c r="DC564" s="108"/>
      <c r="DD564" s="108"/>
      <c r="DE564" s="108"/>
      <c r="DF564" s="108"/>
      <c r="DG564" s="43"/>
      <c r="DH564" s="108"/>
      <c r="DI564" s="108"/>
      <c r="DJ564" s="108"/>
      <c r="DK564" s="108"/>
      <c r="DL564" s="108"/>
      <c r="DM564" s="108"/>
      <c r="DN564" s="43"/>
      <c r="DO564" s="108"/>
      <c r="DP564" s="108"/>
      <c r="DQ564" s="108"/>
      <c r="DR564" s="108"/>
      <c r="DS564" s="108"/>
      <c r="DT564" s="108"/>
      <c r="DU564" s="43"/>
      <c r="DV564" s="108"/>
      <c r="DW564" s="108"/>
      <c r="DX564" s="108"/>
      <c r="DY564" s="108"/>
      <c r="DZ564" s="108"/>
      <c r="EA564" s="108"/>
      <c r="EB564" s="43"/>
      <c r="EC564" s="108"/>
      <c r="ED564" s="108"/>
      <c r="EE564" s="108"/>
      <c r="EF564" s="108"/>
      <c r="EG564" s="108"/>
      <c r="EH564" s="108"/>
      <c r="EI564" s="43"/>
      <c r="EJ564" s="47"/>
      <c r="EK564" s="47"/>
      <c r="EL564" s="47"/>
      <c r="EM564" s="47"/>
      <c r="EN564" s="47"/>
      <c r="EO564" s="47"/>
      <c r="EP564" s="47"/>
      <c r="EQ564" s="47"/>
      <c r="ER564" s="47"/>
      <c r="ES564" s="47"/>
      <c r="ET564" s="47"/>
      <c r="EU564" s="47"/>
      <c r="EV564" s="47"/>
      <c r="EW564" s="47"/>
      <c r="EX564" s="47"/>
      <c r="EY564" s="47"/>
      <c r="EZ564" s="47"/>
      <c r="FA564" s="47"/>
      <c r="FB564" s="47"/>
      <c r="FC564" s="47"/>
      <c r="FD564" s="47"/>
      <c r="FE564" s="47"/>
      <c r="FF564" s="47"/>
      <c r="FG564" s="47"/>
      <c r="FH564" s="47"/>
      <c r="FI564" s="47"/>
      <c r="FJ564" s="47"/>
      <c r="FK564" s="47"/>
      <c r="FL564" s="47"/>
      <c r="FM564" s="47"/>
      <c r="FN564" s="47"/>
      <c r="FO564" s="47"/>
      <c r="FP564" s="47"/>
      <c r="FQ564" s="47"/>
      <c r="FR564" s="47"/>
      <c r="FS564" s="47"/>
      <c r="FT564" s="47"/>
      <c r="FU564" s="47"/>
      <c r="FV564" s="47"/>
      <c r="FW564" s="47"/>
      <c r="FX564" s="47"/>
      <c r="FY564" s="47"/>
      <c r="FZ564" s="47"/>
      <c r="GA564" s="47"/>
      <c r="GB564" s="47"/>
      <c r="GC564" s="47"/>
      <c r="GD564" s="47"/>
      <c r="GE564" s="47"/>
    </row>
    <row r="565" spans="1:187" ht="10.5" customHeight="1">
      <c r="A565" s="43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43"/>
      <c r="U565" s="108"/>
      <c r="V565" s="108"/>
      <c r="W565" s="108"/>
      <c r="X565" s="108"/>
      <c r="Y565" s="108"/>
      <c r="Z565" s="108"/>
      <c r="AA565" s="43"/>
      <c r="AB565" s="108"/>
      <c r="AC565" s="108"/>
      <c r="AD565" s="108"/>
      <c r="AE565" s="108"/>
      <c r="AF565" s="108"/>
      <c r="AG565" s="108"/>
      <c r="AH565" s="43"/>
      <c r="AI565" s="108"/>
      <c r="AJ565" s="108"/>
      <c r="AK565" s="108"/>
      <c r="AL565" s="108"/>
      <c r="AM565" s="108"/>
      <c r="AN565" s="108"/>
      <c r="AO565" s="43"/>
      <c r="AP565" s="108"/>
      <c r="AQ565" s="108"/>
      <c r="AR565" s="108"/>
      <c r="AS565" s="108"/>
      <c r="AT565" s="108"/>
      <c r="AU565" s="108"/>
      <c r="AV565" s="43"/>
      <c r="AW565" s="108"/>
      <c r="AX565" s="108"/>
      <c r="AY565" s="108"/>
      <c r="AZ565" s="108"/>
      <c r="BA565" s="108"/>
      <c r="BB565" s="108"/>
      <c r="BC565" s="43"/>
      <c r="BD565" s="108"/>
      <c r="BE565" s="108"/>
      <c r="BF565" s="108"/>
      <c r="BG565" s="108"/>
      <c r="BH565" s="108"/>
      <c r="BI565" s="108"/>
      <c r="BJ565" s="43"/>
      <c r="BK565" s="108"/>
      <c r="BL565" s="108"/>
      <c r="BM565" s="108"/>
      <c r="BN565" s="108"/>
      <c r="BO565" s="108"/>
      <c r="BP565" s="108"/>
      <c r="BQ565" s="43"/>
      <c r="BR565" s="108"/>
      <c r="BS565" s="108"/>
      <c r="BT565" s="108"/>
      <c r="BU565" s="108"/>
      <c r="BV565" s="108"/>
      <c r="BW565" s="108"/>
      <c r="BX565" s="43"/>
      <c r="BY565" s="108"/>
      <c r="BZ565" s="108"/>
      <c r="CA565" s="108"/>
      <c r="CB565" s="108"/>
      <c r="CC565" s="108"/>
      <c r="CD565" s="108"/>
      <c r="CE565" s="43"/>
      <c r="CF565" s="108"/>
      <c r="CG565" s="108"/>
      <c r="CH565" s="108"/>
      <c r="CI565" s="108"/>
      <c r="CJ565" s="108"/>
      <c r="CK565" s="108"/>
      <c r="CL565" s="43"/>
      <c r="CM565" s="108"/>
      <c r="CN565" s="108"/>
      <c r="CO565" s="108"/>
      <c r="CP565" s="108"/>
      <c r="CQ565" s="108"/>
      <c r="CR565" s="108"/>
      <c r="CS565" s="43"/>
      <c r="CT565" s="108"/>
      <c r="CU565" s="108"/>
      <c r="CV565" s="108"/>
      <c r="CW565" s="108"/>
      <c r="CX565" s="108"/>
      <c r="CY565" s="108"/>
      <c r="CZ565" s="43"/>
      <c r="DA565" s="108"/>
      <c r="DB565" s="108"/>
      <c r="DC565" s="108"/>
      <c r="DD565" s="108"/>
      <c r="DE565" s="108"/>
      <c r="DF565" s="108"/>
      <c r="DG565" s="43"/>
      <c r="DH565" s="108"/>
      <c r="DI565" s="108"/>
      <c r="DJ565" s="108"/>
      <c r="DK565" s="108"/>
      <c r="DL565" s="108"/>
      <c r="DM565" s="108"/>
      <c r="DN565" s="43"/>
      <c r="DO565" s="108"/>
      <c r="DP565" s="108"/>
      <c r="DQ565" s="108"/>
      <c r="DR565" s="108"/>
      <c r="DS565" s="108"/>
      <c r="DT565" s="108"/>
      <c r="DU565" s="43"/>
      <c r="DV565" s="108"/>
      <c r="DW565" s="108"/>
      <c r="DX565" s="108"/>
      <c r="DY565" s="108"/>
      <c r="DZ565" s="108"/>
      <c r="EA565" s="108"/>
      <c r="EB565" s="43"/>
      <c r="EC565" s="108"/>
      <c r="ED565" s="108"/>
      <c r="EE565" s="108"/>
      <c r="EF565" s="108"/>
      <c r="EG565" s="108"/>
      <c r="EH565" s="108"/>
      <c r="EI565" s="43"/>
      <c r="EJ565" s="47"/>
      <c r="EK565" s="47"/>
      <c r="EL565" s="47"/>
      <c r="EM565" s="47"/>
      <c r="EN565" s="47"/>
      <c r="EO565" s="47"/>
      <c r="EP565" s="47"/>
      <c r="EQ565" s="47"/>
      <c r="ER565" s="47"/>
      <c r="ES565" s="47"/>
      <c r="ET565" s="47"/>
      <c r="EU565" s="47"/>
      <c r="EV565" s="47"/>
      <c r="EW565" s="47"/>
      <c r="EX565" s="47"/>
      <c r="EY565" s="47"/>
      <c r="EZ565" s="47"/>
      <c r="FA565" s="47"/>
      <c r="FB565" s="47"/>
      <c r="FC565" s="47"/>
      <c r="FD565" s="47"/>
      <c r="FE565" s="47"/>
      <c r="FF565" s="47"/>
      <c r="FG565" s="47"/>
      <c r="FH565" s="47"/>
      <c r="FI565" s="47"/>
      <c r="FJ565" s="47"/>
      <c r="FK565" s="47"/>
      <c r="FL565" s="47"/>
      <c r="FM565" s="47"/>
      <c r="FN565" s="47"/>
      <c r="FO565" s="47"/>
      <c r="FP565" s="47"/>
      <c r="FQ565" s="47"/>
      <c r="FR565" s="47"/>
      <c r="FS565" s="47"/>
      <c r="FT565" s="47"/>
      <c r="FU565" s="47"/>
      <c r="FV565" s="47"/>
      <c r="FW565" s="47"/>
      <c r="FX565" s="47"/>
      <c r="FY565" s="47"/>
      <c r="FZ565" s="47"/>
      <c r="GA565" s="47"/>
      <c r="GB565" s="47"/>
      <c r="GC565" s="47"/>
      <c r="GD565" s="47"/>
      <c r="GE565" s="47"/>
    </row>
    <row r="566" spans="1:187" ht="10.5" customHeight="1">
      <c r="A566" s="43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43"/>
      <c r="U566" s="108"/>
      <c r="V566" s="108"/>
      <c r="W566" s="108"/>
      <c r="X566" s="108"/>
      <c r="Y566" s="108"/>
      <c r="Z566" s="108"/>
      <c r="AA566" s="43"/>
      <c r="AB566" s="108"/>
      <c r="AC566" s="108"/>
      <c r="AD566" s="108"/>
      <c r="AE566" s="108"/>
      <c r="AF566" s="108"/>
      <c r="AG566" s="108"/>
      <c r="AH566" s="43"/>
      <c r="AI566" s="108"/>
      <c r="AJ566" s="108"/>
      <c r="AK566" s="108"/>
      <c r="AL566" s="108"/>
      <c r="AM566" s="108"/>
      <c r="AN566" s="108"/>
      <c r="AO566" s="43"/>
      <c r="AP566" s="108"/>
      <c r="AQ566" s="108"/>
      <c r="AR566" s="108"/>
      <c r="AS566" s="108"/>
      <c r="AT566" s="108"/>
      <c r="AU566" s="108"/>
      <c r="AV566" s="43"/>
      <c r="AW566" s="108"/>
      <c r="AX566" s="108"/>
      <c r="AY566" s="108"/>
      <c r="AZ566" s="108"/>
      <c r="BA566" s="108"/>
      <c r="BB566" s="108"/>
      <c r="BC566" s="43"/>
      <c r="BD566" s="108"/>
      <c r="BE566" s="108"/>
      <c r="BF566" s="108"/>
      <c r="BG566" s="108"/>
      <c r="BH566" s="108"/>
      <c r="BI566" s="108"/>
      <c r="BJ566" s="43"/>
      <c r="BK566" s="108"/>
      <c r="BL566" s="108"/>
      <c r="BM566" s="108"/>
      <c r="BN566" s="108"/>
      <c r="BO566" s="108"/>
      <c r="BP566" s="108"/>
      <c r="BQ566" s="43"/>
      <c r="BR566" s="108"/>
      <c r="BS566" s="108"/>
      <c r="BT566" s="108"/>
      <c r="BU566" s="108"/>
      <c r="BV566" s="108"/>
      <c r="BW566" s="108"/>
      <c r="BX566" s="43"/>
      <c r="BY566" s="108"/>
      <c r="BZ566" s="108"/>
      <c r="CA566" s="108"/>
      <c r="CB566" s="108"/>
      <c r="CC566" s="108"/>
      <c r="CD566" s="108"/>
      <c r="CE566" s="43"/>
      <c r="CF566" s="108"/>
      <c r="CG566" s="108"/>
      <c r="CH566" s="108"/>
      <c r="CI566" s="108"/>
      <c r="CJ566" s="108"/>
      <c r="CK566" s="108"/>
      <c r="CL566" s="43"/>
      <c r="CM566" s="108"/>
      <c r="CN566" s="108"/>
      <c r="CO566" s="108"/>
      <c r="CP566" s="108"/>
      <c r="CQ566" s="108"/>
      <c r="CR566" s="108"/>
      <c r="CS566" s="43"/>
      <c r="CT566" s="108"/>
      <c r="CU566" s="108"/>
      <c r="CV566" s="108"/>
      <c r="CW566" s="108"/>
      <c r="CX566" s="108"/>
      <c r="CY566" s="108"/>
      <c r="CZ566" s="43"/>
      <c r="DA566" s="108"/>
      <c r="DB566" s="108"/>
      <c r="DC566" s="108"/>
      <c r="DD566" s="108"/>
      <c r="DE566" s="108"/>
      <c r="DF566" s="108"/>
      <c r="DG566" s="43"/>
      <c r="DH566" s="108"/>
      <c r="DI566" s="108"/>
      <c r="DJ566" s="108"/>
      <c r="DK566" s="108"/>
      <c r="DL566" s="108"/>
      <c r="DM566" s="108"/>
      <c r="DN566" s="43"/>
      <c r="DO566" s="108"/>
      <c r="DP566" s="108"/>
      <c r="DQ566" s="108"/>
      <c r="DR566" s="108"/>
      <c r="DS566" s="108"/>
      <c r="DT566" s="108"/>
      <c r="DU566" s="43"/>
      <c r="DV566" s="108"/>
      <c r="DW566" s="108"/>
      <c r="DX566" s="108"/>
      <c r="DY566" s="108"/>
      <c r="DZ566" s="108"/>
      <c r="EA566" s="108"/>
      <c r="EB566" s="43"/>
      <c r="EC566" s="108"/>
      <c r="ED566" s="108"/>
      <c r="EE566" s="108"/>
      <c r="EF566" s="108"/>
      <c r="EG566" s="108"/>
      <c r="EH566" s="108"/>
      <c r="EI566" s="43"/>
      <c r="EJ566" s="47"/>
      <c r="EK566" s="47"/>
      <c r="EL566" s="47"/>
      <c r="EM566" s="47"/>
      <c r="EN566" s="47"/>
      <c r="EO566" s="47"/>
      <c r="EP566" s="47"/>
      <c r="EQ566" s="47"/>
      <c r="ER566" s="47"/>
      <c r="ES566" s="47"/>
      <c r="ET566" s="47"/>
      <c r="EU566" s="47"/>
      <c r="EV566" s="47"/>
      <c r="EW566" s="47"/>
      <c r="EX566" s="47"/>
      <c r="EY566" s="47"/>
      <c r="EZ566" s="47"/>
      <c r="FA566" s="47"/>
      <c r="FB566" s="47"/>
      <c r="FC566" s="47"/>
      <c r="FD566" s="47"/>
      <c r="FE566" s="47"/>
      <c r="FF566" s="47"/>
      <c r="FG566" s="47"/>
      <c r="FH566" s="47"/>
      <c r="FI566" s="47"/>
      <c r="FJ566" s="47"/>
      <c r="FK566" s="47"/>
      <c r="FL566" s="47"/>
      <c r="FM566" s="47"/>
      <c r="FN566" s="47"/>
      <c r="FO566" s="47"/>
      <c r="FP566" s="47"/>
      <c r="FQ566" s="47"/>
      <c r="FR566" s="47"/>
      <c r="FS566" s="47"/>
      <c r="FT566" s="47"/>
      <c r="FU566" s="47"/>
      <c r="FV566" s="47"/>
      <c r="FW566" s="47"/>
      <c r="FX566" s="47"/>
      <c r="FY566" s="47"/>
      <c r="FZ566" s="47"/>
      <c r="GA566" s="47"/>
      <c r="GB566" s="47"/>
      <c r="GC566" s="47"/>
      <c r="GD566" s="47"/>
      <c r="GE566" s="47"/>
    </row>
    <row r="567" spans="1:187" ht="10.5" customHeight="1">
      <c r="A567" s="43"/>
      <c r="B567" s="108"/>
      <c r="C567" s="108"/>
      <c r="D567" s="134" t="s">
        <v>233</v>
      </c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43"/>
      <c r="U567" s="108"/>
      <c r="V567" s="108"/>
      <c r="W567" s="108"/>
      <c r="X567" s="108"/>
      <c r="Y567" s="108"/>
      <c r="Z567" s="108"/>
      <c r="AA567" s="43"/>
      <c r="AB567" s="108"/>
      <c r="AC567" s="108"/>
      <c r="AD567" s="108"/>
      <c r="AE567" s="108"/>
      <c r="AF567" s="108"/>
      <c r="AG567" s="108"/>
      <c r="AH567" s="43"/>
      <c r="AI567" s="108"/>
      <c r="AJ567" s="108"/>
      <c r="AK567" s="108"/>
      <c r="AL567" s="108"/>
      <c r="AM567" s="108"/>
      <c r="AN567" s="108"/>
      <c r="AO567" s="43"/>
      <c r="AP567" s="108"/>
      <c r="AQ567" s="108"/>
      <c r="AR567" s="108"/>
      <c r="AS567" s="108"/>
      <c r="AT567" s="108"/>
      <c r="AU567" s="108"/>
      <c r="AV567" s="43"/>
      <c r="AW567" s="108"/>
      <c r="AX567" s="108"/>
      <c r="AY567" s="108"/>
      <c r="AZ567" s="108"/>
      <c r="BA567" s="108"/>
      <c r="BB567" s="108"/>
      <c r="BC567" s="43"/>
      <c r="BD567" s="108"/>
      <c r="BE567" s="108"/>
      <c r="BF567" s="108"/>
      <c r="BG567" s="108"/>
      <c r="BH567" s="108"/>
      <c r="BI567" s="108"/>
      <c r="BJ567" s="43"/>
      <c r="BK567" s="108"/>
      <c r="BL567" s="108"/>
      <c r="BM567" s="108"/>
      <c r="BN567" s="108"/>
      <c r="BO567" s="108"/>
      <c r="BP567" s="108"/>
      <c r="BQ567" s="43"/>
      <c r="BR567" s="108"/>
      <c r="BS567" s="108"/>
      <c r="BT567" s="108"/>
      <c r="BU567" s="108"/>
      <c r="BV567" s="108"/>
      <c r="BW567" s="108"/>
      <c r="BX567" s="43"/>
      <c r="BY567" s="108"/>
      <c r="BZ567" s="108"/>
      <c r="CA567" s="108"/>
      <c r="CB567" s="108"/>
      <c r="CC567" s="108"/>
      <c r="CD567" s="108"/>
      <c r="CE567" s="43"/>
      <c r="CF567" s="108"/>
      <c r="CG567" s="108"/>
      <c r="CH567" s="108"/>
      <c r="CI567" s="108"/>
      <c r="CJ567" s="108"/>
      <c r="CK567" s="108"/>
      <c r="CL567" s="43"/>
      <c r="CM567" s="108"/>
      <c r="CN567" s="108"/>
      <c r="CO567" s="108"/>
      <c r="CP567" s="108"/>
      <c r="CQ567" s="108"/>
      <c r="CR567" s="108"/>
      <c r="CS567" s="43"/>
      <c r="CT567" s="108"/>
      <c r="CU567" s="108"/>
      <c r="CV567" s="108"/>
      <c r="CW567" s="108"/>
      <c r="CX567" s="108"/>
      <c r="CY567" s="108"/>
      <c r="CZ567" s="43"/>
      <c r="DA567" s="108"/>
      <c r="DB567" s="108"/>
      <c r="DC567" s="108"/>
      <c r="DD567" s="108"/>
      <c r="DE567" s="108"/>
      <c r="DF567" s="108"/>
      <c r="DG567" s="43"/>
      <c r="DH567" s="108"/>
      <c r="DI567" s="108"/>
      <c r="DJ567" s="108"/>
      <c r="DK567" s="108"/>
      <c r="DL567" s="108"/>
      <c r="DM567" s="108"/>
      <c r="DN567" s="43"/>
      <c r="DO567" s="108"/>
      <c r="DP567" s="108"/>
      <c r="DQ567" s="108"/>
      <c r="DR567" s="108"/>
      <c r="DS567" s="108"/>
      <c r="DT567" s="108"/>
      <c r="DU567" s="43"/>
      <c r="DV567" s="108"/>
      <c r="DW567" s="108"/>
      <c r="DX567" s="108"/>
      <c r="DY567" s="108"/>
      <c r="DZ567" s="108"/>
      <c r="EA567" s="108"/>
      <c r="EB567" s="43"/>
      <c r="EC567" s="108"/>
      <c r="ED567" s="108"/>
      <c r="EE567" s="108"/>
      <c r="EF567" s="108"/>
      <c r="EG567" s="108"/>
      <c r="EH567" s="108"/>
      <c r="EI567" s="43"/>
      <c r="EJ567" s="47"/>
      <c r="EK567" s="47"/>
      <c r="EL567" s="47"/>
      <c r="EM567" s="47"/>
      <c r="EN567" s="47"/>
      <c r="EO567" s="47"/>
      <c r="EP567" s="47"/>
      <c r="EQ567" s="47"/>
      <c r="ER567" s="47"/>
      <c r="ES567" s="47"/>
      <c r="ET567" s="47"/>
      <c r="EU567" s="47"/>
      <c r="EV567" s="47"/>
      <c r="EW567" s="47"/>
      <c r="EX567" s="47"/>
      <c r="EY567" s="47"/>
      <c r="EZ567" s="47"/>
      <c r="FA567" s="47"/>
      <c r="FB567" s="47"/>
      <c r="FC567" s="47"/>
      <c r="FD567" s="47"/>
      <c r="FE567" s="47"/>
      <c r="FF567" s="47"/>
      <c r="FG567" s="47"/>
      <c r="FH567" s="47"/>
      <c r="FI567" s="47"/>
      <c r="FJ567" s="47"/>
      <c r="FK567" s="47"/>
      <c r="FL567" s="47"/>
      <c r="FM567" s="47"/>
      <c r="FN567" s="47"/>
      <c r="FO567" s="47"/>
      <c r="FP567" s="47"/>
      <c r="FQ567" s="47"/>
      <c r="FR567" s="47"/>
      <c r="FS567" s="47"/>
      <c r="FT567" s="47"/>
      <c r="FU567" s="47"/>
      <c r="FV567" s="47"/>
      <c r="FW567" s="47"/>
      <c r="FX567" s="47"/>
      <c r="FY567" s="47"/>
      <c r="FZ567" s="47"/>
      <c r="GA567" s="47"/>
      <c r="GB567" s="47"/>
      <c r="GC567" s="47"/>
      <c r="GD567" s="47"/>
      <c r="GE567" s="47"/>
    </row>
    <row r="568" spans="1:187" ht="10.5" customHeight="1">
      <c r="A568" s="43" t="s">
        <v>234</v>
      </c>
      <c r="B568" s="108"/>
      <c r="C568" s="108"/>
      <c r="D568" s="226">
        <v>81</v>
      </c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43"/>
      <c r="U568" s="108"/>
      <c r="V568" s="108"/>
      <c r="W568" s="108"/>
      <c r="X568" s="108"/>
      <c r="Y568" s="108"/>
      <c r="Z568" s="108"/>
      <c r="AA568" s="43"/>
      <c r="AB568" s="108"/>
      <c r="AC568" s="108"/>
      <c r="AD568" s="108"/>
      <c r="AE568" s="108"/>
      <c r="AF568" s="108"/>
      <c r="AG568" s="108"/>
      <c r="AH568" s="43"/>
      <c r="AI568" s="108"/>
      <c r="AJ568" s="108"/>
      <c r="AK568" s="108"/>
      <c r="AL568" s="108"/>
      <c r="AM568" s="108"/>
      <c r="AN568" s="108"/>
      <c r="AO568" s="43"/>
      <c r="AP568" s="108"/>
      <c r="AQ568" s="108"/>
      <c r="AR568" s="108"/>
      <c r="AS568" s="108"/>
      <c r="AT568" s="108"/>
      <c r="AU568" s="108"/>
      <c r="AV568" s="43"/>
      <c r="AW568" s="108"/>
      <c r="AX568" s="108"/>
      <c r="AY568" s="108"/>
      <c r="AZ568" s="108"/>
      <c r="BA568" s="108"/>
      <c r="BB568" s="108"/>
      <c r="BC568" s="43"/>
      <c r="BD568" s="108"/>
      <c r="BE568" s="108"/>
      <c r="BF568" s="108"/>
      <c r="BG568" s="108"/>
      <c r="BH568" s="108"/>
      <c r="BI568" s="108"/>
      <c r="BJ568" s="43"/>
      <c r="BK568" s="108"/>
      <c r="BL568" s="108"/>
      <c r="BM568" s="108"/>
      <c r="BN568" s="108"/>
      <c r="BO568" s="108"/>
      <c r="BP568" s="108"/>
      <c r="BQ568" s="43"/>
      <c r="BR568" s="108"/>
      <c r="BS568" s="108"/>
      <c r="BT568" s="108"/>
      <c r="BU568" s="108"/>
      <c r="BV568" s="108"/>
      <c r="BW568" s="108"/>
      <c r="BX568" s="43"/>
      <c r="BY568" s="108"/>
      <c r="BZ568" s="108"/>
      <c r="CA568" s="108"/>
      <c r="CB568" s="108"/>
      <c r="CC568" s="108"/>
      <c r="CD568" s="108"/>
      <c r="CE568" s="43"/>
      <c r="CF568" s="108"/>
      <c r="CG568" s="108"/>
      <c r="CH568" s="108"/>
      <c r="CI568" s="108"/>
      <c r="CJ568" s="108"/>
      <c r="CK568" s="108"/>
      <c r="CL568" s="43"/>
      <c r="CM568" s="108"/>
      <c r="CN568" s="108"/>
      <c r="CO568" s="108"/>
      <c r="CP568" s="108"/>
      <c r="CQ568" s="108"/>
      <c r="CR568" s="108"/>
      <c r="CS568" s="43"/>
      <c r="CT568" s="108"/>
      <c r="CU568" s="108"/>
      <c r="CV568" s="108"/>
      <c r="CW568" s="108"/>
      <c r="CX568" s="108"/>
      <c r="CY568" s="108"/>
      <c r="CZ568" s="43"/>
      <c r="DA568" s="108"/>
      <c r="DB568" s="108"/>
      <c r="DC568" s="108"/>
      <c r="DD568" s="108"/>
      <c r="DE568" s="108"/>
      <c r="DF568" s="108"/>
      <c r="DG568" s="43"/>
      <c r="DH568" s="108"/>
      <c r="DI568" s="108"/>
      <c r="DJ568" s="108"/>
      <c r="DK568" s="108"/>
      <c r="DL568" s="108"/>
      <c r="DM568" s="108"/>
      <c r="DN568" s="43"/>
      <c r="DO568" s="108"/>
      <c r="DP568" s="108"/>
      <c r="DQ568" s="108"/>
      <c r="DR568" s="108"/>
      <c r="DS568" s="108"/>
      <c r="DT568" s="108"/>
      <c r="DU568" s="43"/>
      <c r="DV568" s="108"/>
      <c r="DW568" s="108"/>
      <c r="DX568" s="108"/>
      <c r="DY568" s="108"/>
      <c r="DZ568" s="108"/>
      <c r="EA568" s="108"/>
      <c r="EB568" s="43"/>
      <c r="EC568" s="108"/>
      <c r="ED568" s="108"/>
      <c r="EE568" s="108"/>
      <c r="EF568" s="108"/>
      <c r="EG568" s="108"/>
      <c r="EH568" s="108"/>
      <c r="EI568" s="43"/>
      <c r="EJ568" s="47"/>
      <c r="EK568" s="47"/>
      <c r="EL568" s="47"/>
      <c r="EM568" s="47"/>
      <c r="EN568" s="47"/>
      <c r="EO568" s="47"/>
      <c r="EP568" s="47"/>
      <c r="EQ568" s="47"/>
      <c r="ER568" s="47"/>
      <c r="ES568" s="47"/>
      <c r="ET568" s="47"/>
      <c r="EU568" s="47"/>
      <c r="EV568" s="47"/>
      <c r="EW568" s="47"/>
      <c r="EX568" s="47"/>
      <c r="EY568" s="47"/>
      <c r="EZ568" s="47"/>
      <c r="FA568" s="47"/>
      <c r="FB568" s="47"/>
      <c r="FC568" s="47"/>
      <c r="FD568" s="47"/>
      <c r="FE568" s="47"/>
      <c r="FF568" s="47"/>
      <c r="FG568" s="47"/>
      <c r="FH568" s="47"/>
      <c r="FI568" s="47"/>
      <c r="FJ568" s="47"/>
      <c r="FK568" s="47"/>
      <c r="FL568" s="47"/>
      <c r="FM568" s="47"/>
      <c r="FN568" s="47"/>
      <c r="FO568" s="47"/>
      <c r="FP568" s="47"/>
      <c r="FQ568" s="47"/>
      <c r="FR568" s="47"/>
      <c r="FS568" s="47"/>
      <c r="FT568" s="47"/>
      <c r="FU568" s="47"/>
      <c r="FV568" s="47"/>
      <c r="FW568" s="47"/>
      <c r="FX568" s="47"/>
      <c r="FY568" s="47"/>
      <c r="FZ568" s="47"/>
      <c r="GA568" s="47"/>
      <c r="GB568" s="47"/>
      <c r="GC568" s="47"/>
      <c r="GD568" s="47"/>
      <c r="GE568" s="47"/>
    </row>
    <row r="569" spans="1:187" ht="10.5" customHeight="1">
      <c r="A569" s="43" t="s">
        <v>235</v>
      </c>
      <c r="B569" s="108"/>
      <c r="C569" s="108"/>
      <c r="D569" s="226">
        <v>71</v>
      </c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43"/>
      <c r="U569" s="108"/>
      <c r="V569" s="108"/>
      <c r="W569" s="108"/>
      <c r="X569" s="108"/>
      <c r="Y569" s="108"/>
      <c r="Z569" s="108"/>
      <c r="AA569" s="43"/>
      <c r="AB569" s="108"/>
      <c r="AC569" s="108"/>
      <c r="AD569" s="108"/>
      <c r="AE569" s="108"/>
      <c r="AF569" s="108"/>
      <c r="AG569" s="108"/>
      <c r="AH569" s="43"/>
      <c r="AI569" s="108"/>
      <c r="AJ569" s="108"/>
      <c r="AK569" s="108"/>
      <c r="AL569" s="108"/>
      <c r="AM569" s="108"/>
      <c r="AN569" s="108"/>
      <c r="AO569" s="43"/>
      <c r="AP569" s="108"/>
      <c r="AQ569" s="108"/>
      <c r="AR569" s="108"/>
      <c r="AS569" s="108"/>
      <c r="AT569" s="108"/>
      <c r="AU569" s="108"/>
      <c r="AV569" s="43"/>
      <c r="AW569" s="108"/>
      <c r="AX569" s="108"/>
      <c r="AY569" s="108"/>
      <c r="AZ569" s="108"/>
      <c r="BA569" s="108"/>
      <c r="BB569" s="108"/>
      <c r="BC569" s="43"/>
      <c r="BD569" s="108"/>
      <c r="BE569" s="108"/>
      <c r="BF569" s="108"/>
      <c r="BG569" s="108"/>
      <c r="BH569" s="108"/>
      <c r="BI569" s="108"/>
      <c r="BJ569" s="43"/>
      <c r="BK569" s="108"/>
      <c r="BL569" s="108"/>
      <c r="BM569" s="108"/>
      <c r="BN569" s="108"/>
      <c r="BO569" s="108"/>
      <c r="BP569" s="108"/>
      <c r="BQ569" s="43"/>
      <c r="BR569" s="108"/>
      <c r="BS569" s="108"/>
      <c r="BT569" s="108"/>
      <c r="BU569" s="108"/>
      <c r="BV569" s="108"/>
      <c r="BW569" s="108"/>
      <c r="BX569" s="43"/>
      <c r="BY569" s="108"/>
      <c r="BZ569" s="108"/>
      <c r="CA569" s="108"/>
      <c r="CB569" s="108"/>
      <c r="CC569" s="108"/>
      <c r="CD569" s="108"/>
      <c r="CE569" s="43"/>
      <c r="CF569" s="108"/>
      <c r="CG569" s="108"/>
      <c r="CH569" s="108"/>
      <c r="CI569" s="108"/>
      <c r="CJ569" s="108"/>
      <c r="CK569" s="108"/>
      <c r="CL569" s="43"/>
      <c r="CM569" s="108"/>
      <c r="CN569" s="108"/>
      <c r="CO569" s="108"/>
      <c r="CP569" s="108"/>
      <c r="CQ569" s="108"/>
      <c r="CR569" s="108"/>
      <c r="CS569" s="43"/>
      <c r="CT569" s="108"/>
      <c r="CU569" s="108"/>
      <c r="CV569" s="108"/>
      <c r="CW569" s="108"/>
      <c r="CX569" s="108"/>
      <c r="CY569" s="108"/>
      <c r="CZ569" s="43"/>
      <c r="DA569" s="108"/>
      <c r="DB569" s="108"/>
      <c r="DC569" s="108"/>
      <c r="DD569" s="108"/>
      <c r="DE569" s="108"/>
      <c r="DF569" s="108"/>
      <c r="DG569" s="43"/>
      <c r="DH569" s="108"/>
      <c r="DI569" s="108"/>
      <c r="DJ569" s="108"/>
      <c r="DK569" s="108"/>
      <c r="DL569" s="108"/>
      <c r="DM569" s="108"/>
      <c r="DN569" s="43"/>
      <c r="DO569" s="108"/>
      <c r="DP569" s="108"/>
      <c r="DQ569" s="108"/>
      <c r="DR569" s="108"/>
      <c r="DS569" s="108"/>
      <c r="DT569" s="108"/>
      <c r="DU569" s="43"/>
      <c r="DV569" s="108"/>
      <c r="DW569" s="108"/>
      <c r="DX569" s="108"/>
      <c r="DY569" s="108"/>
      <c r="DZ569" s="108"/>
      <c r="EA569" s="108"/>
      <c r="EB569" s="43"/>
      <c r="EC569" s="108"/>
      <c r="ED569" s="108"/>
      <c r="EE569" s="108"/>
      <c r="EF569" s="108"/>
      <c r="EG569" s="108"/>
      <c r="EH569" s="108"/>
      <c r="EI569" s="43"/>
      <c r="EJ569" s="47"/>
      <c r="EK569" s="47"/>
      <c r="EL569" s="47"/>
      <c r="EM569" s="47"/>
      <c r="EN569" s="47"/>
      <c r="EO569" s="47"/>
      <c r="EP569" s="47"/>
      <c r="EQ569" s="47"/>
      <c r="ER569" s="47"/>
      <c r="ES569" s="47"/>
      <c r="ET569" s="47"/>
      <c r="EU569" s="47"/>
      <c r="EV569" s="47"/>
      <c r="EW569" s="47"/>
      <c r="EX569" s="47"/>
      <c r="EY569" s="47"/>
      <c r="EZ569" s="47"/>
      <c r="FA569" s="47"/>
      <c r="FB569" s="47"/>
      <c r="FC569" s="47"/>
      <c r="FD569" s="47"/>
      <c r="FE569" s="47"/>
      <c r="FF569" s="47"/>
      <c r="FG569" s="47"/>
      <c r="FH569" s="47"/>
      <c r="FI569" s="47"/>
      <c r="FJ569" s="47"/>
      <c r="FK569" s="47"/>
      <c r="FL569" s="47"/>
      <c r="FM569" s="47"/>
      <c r="FN569" s="47"/>
      <c r="FO569" s="47"/>
      <c r="FP569" s="47"/>
      <c r="FQ569" s="47"/>
      <c r="FR569" s="47"/>
      <c r="FS569" s="47"/>
      <c r="FT569" s="47"/>
      <c r="FU569" s="47"/>
      <c r="FV569" s="47"/>
      <c r="FW569" s="47"/>
      <c r="FX569" s="47"/>
      <c r="FY569" s="47"/>
      <c r="FZ569" s="47"/>
      <c r="GA569" s="47"/>
      <c r="GB569" s="47"/>
      <c r="GC569" s="47"/>
      <c r="GD569" s="47"/>
      <c r="GE569" s="47"/>
    </row>
    <row r="570" spans="1:187" ht="10.5" customHeight="1">
      <c r="A570" s="43" t="s">
        <v>237</v>
      </c>
      <c r="B570" s="108"/>
      <c r="C570" s="108"/>
      <c r="D570" s="226">
        <v>191</v>
      </c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43"/>
      <c r="U570" s="108"/>
      <c r="V570" s="108"/>
      <c r="W570" s="108"/>
      <c r="X570" s="108"/>
      <c r="Y570" s="108"/>
      <c r="Z570" s="108"/>
      <c r="AA570" s="43"/>
      <c r="AB570" s="108"/>
      <c r="AC570" s="108"/>
      <c r="AD570" s="108"/>
      <c r="AE570" s="108"/>
      <c r="AF570" s="108"/>
      <c r="AG570" s="108"/>
      <c r="AH570" s="43"/>
      <c r="AI570" s="108"/>
      <c r="AJ570" s="108"/>
      <c r="AK570" s="108"/>
      <c r="AL570" s="108"/>
      <c r="AM570" s="108"/>
      <c r="AN570" s="108"/>
      <c r="AO570" s="43"/>
      <c r="AP570" s="108"/>
      <c r="AQ570" s="108"/>
      <c r="AR570" s="108"/>
      <c r="AS570" s="108"/>
      <c r="AT570" s="108"/>
      <c r="AU570" s="108"/>
      <c r="AV570" s="43"/>
      <c r="AW570" s="108"/>
      <c r="AX570" s="108"/>
      <c r="AY570" s="108"/>
      <c r="AZ570" s="108"/>
      <c r="BA570" s="108"/>
      <c r="BB570" s="108"/>
      <c r="BC570" s="43"/>
      <c r="BD570" s="108"/>
      <c r="BE570" s="108"/>
      <c r="BF570" s="108"/>
      <c r="BG570" s="108"/>
      <c r="BH570" s="108"/>
      <c r="BI570" s="108"/>
      <c r="BJ570" s="43"/>
      <c r="BK570" s="108"/>
      <c r="BL570" s="108"/>
      <c r="BM570" s="108"/>
      <c r="BN570" s="108"/>
      <c r="BO570" s="108"/>
      <c r="BP570" s="108"/>
      <c r="BQ570" s="43"/>
      <c r="BR570" s="108"/>
      <c r="BS570" s="108"/>
      <c r="BT570" s="108"/>
      <c r="BU570" s="108"/>
      <c r="BV570" s="108"/>
      <c r="BW570" s="108"/>
      <c r="BX570" s="43"/>
      <c r="BY570" s="108"/>
      <c r="BZ570" s="108"/>
      <c r="CA570" s="108"/>
      <c r="CB570" s="108"/>
      <c r="CC570" s="108"/>
      <c r="CD570" s="108"/>
      <c r="CE570" s="43"/>
      <c r="CF570" s="108"/>
      <c r="CG570" s="108"/>
      <c r="CH570" s="108"/>
      <c r="CI570" s="108"/>
      <c r="CJ570" s="108"/>
      <c r="CK570" s="108"/>
      <c r="CL570" s="43"/>
      <c r="CM570" s="108"/>
      <c r="CN570" s="108"/>
      <c r="CO570" s="108"/>
      <c r="CP570" s="108"/>
      <c r="CQ570" s="108"/>
      <c r="CR570" s="108"/>
      <c r="CS570" s="43"/>
      <c r="CT570" s="108"/>
      <c r="CU570" s="108"/>
      <c r="CV570" s="108"/>
      <c r="CW570" s="108"/>
      <c r="CX570" s="108"/>
      <c r="CY570" s="108"/>
      <c r="CZ570" s="43"/>
      <c r="DA570" s="108"/>
      <c r="DB570" s="108"/>
      <c r="DC570" s="108"/>
      <c r="DD570" s="108"/>
      <c r="DE570" s="108"/>
      <c r="DF570" s="108"/>
      <c r="DG570" s="43"/>
      <c r="DH570" s="108"/>
      <c r="DI570" s="108"/>
      <c r="DJ570" s="108"/>
      <c r="DK570" s="108"/>
      <c r="DL570" s="108"/>
      <c r="DM570" s="108"/>
      <c r="DN570" s="43"/>
      <c r="DO570" s="108"/>
      <c r="DP570" s="108"/>
      <c r="DQ570" s="108"/>
      <c r="DR570" s="108"/>
      <c r="DS570" s="108"/>
      <c r="DT570" s="108"/>
      <c r="DU570" s="43"/>
      <c r="DV570" s="108"/>
      <c r="DW570" s="108"/>
      <c r="DX570" s="108"/>
      <c r="DY570" s="108"/>
      <c r="DZ570" s="108"/>
      <c r="EA570" s="108"/>
      <c r="EB570" s="43"/>
      <c r="EC570" s="108"/>
      <c r="ED570" s="108"/>
      <c r="EE570" s="108"/>
      <c r="EF570" s="108"/>
      <c r="EG570" s="108"/>
      <c r="EH570" s="108"/>
      <c r="EI570" s="43"/>
      <c r="EJ570" s="47"/>
      <c r="EK570" s="47"/>
      <c r="EL570" s="47"/>
      <c r="EM570" s="47"/>
      <c r="EN570" s="47"/>
      <c r="EO570" s="47"/>
      <c r="EP570" s="47"/>
      <c r="EQ570" s="47"/>
      <c r="ER570" s="47"/>
      <c r="ES570" s="47"/>
      <c r="ET570" s="47"/>
      <c r="EU570" s="47"/>
      <c r="EV570" s="47"/>
      <c r="EW570" s="47"/>
      <c r="EX570" s="47"/>
      <c r="EY570" s="47"/>
      <c r="EZ570" s="47"/>
      <c r="FA570" s="47"/>
      <c r="FB570" s="47"/>
      <c r="FC570" s="47"/>
      <c r="FD570" s="47"/>
      <c r="FE570" s="47"/>
      <c r="FF570" s="47"/>
      <c r="FG570" s="47"/>
      <c r="FH570" s="47"/>
      <c r="FI570" s="47"/>
      <c r="FJ570" s="47"/>
      <c r="FK570" s="47"/>
      <c r="FL570" s="47"/>
      <c r="FM570" s="47"/>
      <c r="FN570" s="47"/>
      <c r="FO570" s="47"/>
      <c r="FP570" s="47"/>
      <c r="FQ570" s="47"/>
      <c r="FR570" s="47"/>
      <c r="FS570" s="47"/>
      <c r="FT570" s="47"/>
      <c r="FU570" s="47"/>
      <c r="FV570" s="47"/>
      <c r="FW570" s="47"/>
      <c r="FX570" s="47"/>
      <c r="FY570" s="47"/>
      <c r="FZ570" s="47"/>
      <c r="GA570" s="47"/>
      <c r="GB570" s="47"/>
      <c r="GC570" s="47"/>
      <c r="GD570" s="47"/>
      <c r="GE570" s="47"/>
    </row>
    <row r="571" spans="1:187" ht="10.5" customHeight="1">
      <c r="A571" s="43" t="s">
        <v>311</v>
      </c>
      <c r="B571" s="108"/>
      <c r="C571" s="108"/>
      <c r="D571" s="226">
        <v>135</v>
      </c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43"/>
      <c r="U571" s="108"/>
      <c r="V571" s="108"/>
      <c r="W571" s="108"/>
      <c r="X571" s="108"/>
      <c r="Y571" s="108"/>
      <c r="Z571" s="108"/>
      <c r="AA571" s="43"/>
      <c r="AB571" s="108"/>
      <c r="AC571" s="108"/>
      <c r="AD571" s="108"/>
      <c r="AE571" s="108"/>
      <c r="AF571" s="108"/>
      <c r="AG571" s="108"/>
      <c r="AH571" s="43"/>
      <c r="AI571" s="108"/>
      <c r="AJ571" s="108"/>
      <c r="AK571" s="108"/>
      <c r="AL571" s="108"/>
      <c r="AM571" s="108"/>
      <c r="AN571" s="108"/>
      <c r="AO571" s="43"/>
      <c r="AP571" s="108"/>
      <c r="AQ571" s="108"/>
      <c r="AR571" s="108"/>
      <c r="AS571" s="108"/>
      <c r="AT571" s="108"/>
      <c r="AU571" s="108"/>
      <c r="AV571" s="43"/>
      <c r="AW571" s="108"/>
      <c r="AX571" s="108"/>
      <c r="AY571" s="108"/>
      <c r="AZ571" s="108"/>
      <c r="BA571" s="108"/>
      <c r="BB571" s="108"/>
      <c r="BC571" s="43"/>
      <c r="BD571" s="108"/>
      <c r="BE571" s="108"/>
      <c r="BF571" s="108"/>
      <c r="BG571" s="108"/>
      <c r="BH571" s="108"/>
      <c r="BI571" s="108"/>
      <c r="BJ571" s="43"/>
      <c r="BK571" s="108"/>
      <c r="BL571" s="108"/>
      <c r="BM571" s="108"/>
      <c r="BN571" s="108"/>
      <c r="BO571" s="108"/>
      <c r="BP571" s="108"/>
      <c r="BQ571" s="43"/>
      <c r="BR571" s="108"/>
      <c r="BS571" s="108"/>
      <c r="BT571" s="108"/>
      <c r="BU571" s="108"/>
      <c r="BV571" s="108"/>
      <c r="BW571" s="108"/>
      <c r="BX571" s="43"/>
      <c r="BY571" s="108"/>
      <c r="BZ571" s="108"/>
      <c r="CA571" s="108"/>
      <c r="CB571" s="108"/>
      <c r="CC571" s="108"/>
      <c r="CD571" s="108"/>
      <c r="CE571" s="43"/>
      <c r="CF571" s="108"/>
      <c r="CG571" s="108"/>
      <c r="CH571" s="108"/>
      <c r="CI571" s="108"/>
      <c r="CJ571" s="108"/>
      <c r="CK571" s="108"/>
      <c r="CL571" s="43"/>
      <c r="CM571" s="108"/>
      <c r="CN571" s="108"/>
      <c r="CO571" s="108"/>
      <c r="CP571" s="108"/>
      <c r="CQ571" s="108"/>
      <c r="CR571" s="108"/>
      <c r="CS571" s="43"/>
      <c r="CT571" s="108"/>
      <c r="CU571" s="108"/>
      <c r="CV571" s="108"/>
      <c r="CW571" s="108"/>
      <c r="CX571" s="108"/>
      <c r="CY571" s="108"/>
      <c r="CZ571" s="43"/>
      <c r="DA571" s="108"/>
      <c r="DB571" s="108"/>
      <c r="DC571" s="108"/>
      <c r="DD571" s="108"/>
      <c r="DE571" s="108"/>
      <c r="DF571" s="108"/>
      <c r="DG571" s="43"/>
      <c r="DH571" s="108"/>
      <c r="DI571" s="108"/>
      <c r="DJ571" s="108"/>
      <c r="DK571" s="108"/>
      <c r="DL571" s="108"/>
      <c r="DM571" s="108"/>
      <c r="DN571" s="43"/>
      <c r="DO571" s="108"/>
      <c r="DP571" s="108"/>
      <c r="DQ571" s="108"/>
      <c r="DR571" s="108"/>
      <c r="DS571" s="108"/>
      <c r="DT571" s="108"/>
      <c r="DU571" s="43"/>
      <c r="DV571" s="108"/>
      <c r="DW571" s="108"/>
      <c r="DX571" s="108"/>
      <c r="DY571" s="108"/>
      <c r="DZ571" s="108"/>
      <c r="EA571" s="108"/>
      <c r="EB571" s="43"/>
      <c r="EC571" s="108"/>
      <c r="ED571" s="108"/>
      <c r="EE571" s="108"/>
      <c r="EF571" s="108"/>
      <c r="EG571" s="108"/>
      <c r="EH571" s="108"/>
      <c r="EI571" s="43"/>
      <c r="EJ571" s="47"/>
      <c r="EK571" s="47"/>
      <c r="EL571" s="47"/>
      <c r="EM571" s="47"/>
      <c r="EN571" s="47"/>
      <c r="EO571" s="47"/>
      <c r="EP571" s="47"/>
      <c r="EQ571" s="47"/>
      <c r="ER571" s="47"/>
      <c r="ES571" s="47"/>
      <c r="ET571" s="47"/>
      <c r="EU571" s="47"/>
      <c r="EV571" s="47"/>
      <c r="EW571" s="47"/>
      <c r="EX571" s="47"/>
      <c r="EY571" s="47"/>
      <c r="EZ571" s="47"/>
      <c r="FA571" s="47"/>
      <c r="FB571" s="47"/>
      <c r="FC571" s="47"/>
      <c r="FD571" s="47"/>
      <c r="FE571" s="47"/>
      <c r="FF571" s="47"/>
      <c r="FG571" s="47"/>
      <c r="FH571" s="47"/>
      <c r="FI571" s="47"/>
      <c r="FJ571" s="47"/>
      <c r="FK571" s="47"/>
      <c r="FL571" s="47"/>
      <c r="FM571" s="47"/>
      <c r="FN571" s="47"/>
      <c r="FO571" s="47"/>
      <c r="FP571" s="47"/>
      <c r="FQ571" s="47"/>
      <c r="FR571" s="47"/>
      <c r="FS571" s="47"/>
      <c r="FT571" s="47"/>
      <c r="FU571" s="47"/>
      <c r="FV571" s="47"/>
      <c r="FW571" s="47"/>
      <c r="FX571" s="47"/>
      <c r="FY571" s="47"/>
      <c r="FZ571" s="47"/>
      <c r="GA571" s="47"/>
      <c r="GB571" s="47"/>
      <c r="GC571" s="47"/>
      <c r="GD571" s="47"/>
      <c r="GE571" s="47"/>
    </row>
    <row r="572" spans="1:187" ht="10.5" customHeight="1">
      <c r="A572" s="43" t="s">
        <v>75</v>
      </c>
      <c r="B572" s="108"/>
      <c r="C572" s="108"/>
      <c r="D572" s="226">
        <v>97</v>
      </c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43"/>
      <c r="U572" s="108"/>
      <c r="V572" s="108"/>
      <c r="W572" s="108"/>
      <c r="X572" s="108"/>
      <c r="Y572" s="108"/>
      <c r="Z572" s="108"/>
      <c r="AA572" s="43"/>
      <c r="AB572" s="108"/>
      <c r="AC572" s="108"/>
      <c r="AD572" s="108"/>
      <c r="AE572" s="108"/>
      <c r="AF572" s="108"/>
      <c r="AG572" s="108"/>
      <c r="AH572" s="43"/>
      <c r="AI572" s="108"/>
      <c r="AJ572" s="108"/>
      <c r="AK572" s="108"/>
      <c r="AL572" s="108"/>
      <c r="AM572" s="108"/>
      <c r="AN572" s="108"/>
      <c r="AO572" s="43"/>
      <c r="AP572" s="108"/>
      <c r="AQ572" s="108"/>
      <c r="AR572" s="108"/>
      <c r="AS572" s="108"/>
      <c r="AT572" s="108"/>
      <c r="AU572" s="108"/>
      <c r="AV572" s="43"/>
      <c r="AW572" s="108"/>
      <c r="AX572" s="108"/>
      <c r="AY572" s="108"/>
      <c r="AZ572" s="108"/>
      <c r="BA572" s="108"/>
      <c r="BB572" s="108"/>
      <c r="BC572" s="43"/>
      <c r="BD572" s="108"/>
      <c r="BE572" s="108"/>
      <c r="BF572" s="108"/>
      <c r="BG572" s="108"/>
      <c r="BH572" s="108"/>
      <c r="BI572" s="108"/>
      <c r="BJ572" s="43"/>
      <c r="BK572" s="108"/>
      <c r="BL572" s="108"/>
      <c r="BM572" s="108"/>
      <c r="BN572" s="108"/>
      <c r="BO572" s="108"/>
      <c r="BP572" s="108"/>
      <c r="BQ572" s="43"/>
      <c r="BR572" s="108"/>
      <c r="BS572" s="108"/>
      <c r="BT572" s="108"/>
      <c r="BU572" s="108"/>
      <c r="BV572" s="108"/>
      <c r="BW572" s="108"/>
      <c r="BX572" s="43"/>
      <c r="BY572" s="108"/>
      <c r="BZ572" s="108"/>
      <c r="CA572" s="108"/>
      <c r="CB572" s="108"/>
      <c r="CC572" s="108"/>
      <c r="CD572" s="108"/>
      <c r="CE572" s="43"/>
      <c r="CF572" s="108"/>
      <c r="CG572" s="108"/>
      <c r="CH572" s="108"/>
      <c r="CI572" s="108"/>
      <c r="CJ572" s="108"/>
      <c r="CK572" s="108"/>
      <c r="CL572" s="43"/>
      <c r="CM572" s="108"/>
      <c r="CN572" s="108"/>
      <c r="CO572" s="108"/>
      <c r="CP572" s="108"/>
      <c r="CQ572" s="108"/>
      <c r="CR572" s="108"/>
      <c r="CS572" s="43"/>
      <c r="CT572" s="108"/>
      <c r="CU572" s="108"/>
      <c r="CV572" s="108"/>
      <c r="CW572" s="108"/>
      <c r="CX572" s="108"/>
      <c r="CY572" s="108"/>
      <c r="CZ572" s="43"/>
      <c r="DA572" s="108"/>
      <c r="DB572" s="108"/>
      <c r="DC572" s="108"/>
      <c r="DD572" s="108"/>
      <c r="DE572" s="108"/>
      <c r="DF572" s="108"/>
      <c r="DG572" s="43"/>
      <c r="DH572" s="108"/>
      <c r="DI572" s="108"/>
      <c r="DJ572" s="108"/>
      <c r="DK572" s="108"/>
      <c r="DL572" s="108"/>
      <c r="DM572" s="108"/>
      <c r="DN572" s="43"/>
      <c r="DO572" s="108"/>
      <c r="DP572" s="108"/>
      <c r="DQ572" s="108"/>
      <c r="DR572" s="108"/>
      <c r="DS572" s="108"/>
      <c r="DT572" s="108"/>
      <c r="DU572" s="43"/>
      <c r="DV572" s="108"/>
      <c r="DW572" s="108"/>
      <c r="DX572" s="108"/>
      <c r="DY572" s="108"/>
      <c r="DZ572" s="108"/>
      <c r="EA572" s="108"/>
      <c r="EB572" s="43"/>
      <c r="EC572" s="108"/>
      <c r="ED572" s="108"/>
      <c r="EE572" s="108"/>
      <c r="EF572" s="108"/>
      <c r="EG572" s="108"/>
      <c r="EH572" s="108"/>
      <c r="EI572" s="43"/>
      <c r="EJ572" s="47"/>
      <c r="EK572" s="47"/>
      <c r="EL572" s="47"/>
      <c r="EM572" s="47"/>
      <c r="EN572" s="47"/>
      <c r="EO572" s="47"/>
      <c r="EP572" s="47"/>
      <c r="EQ572" s="47"/>
      <c r="ER572" s="47"/>
      <c r="ES572" s="47"/>
      <c r="ET572" s="47"/>
      <c r="EU572" s="47"/>
      <c r="EV572" s="47"/>
      <c r="EW572" s="47"/>
      <c r="EX572" s="47"/>
      <c r="EY572" s="47"/>
      <c r="EZ572" s="47"/>
      <c r="FA572" s="47"/>
      <c r="FB572" s="47"/>
      <c r="FC572" s="47"/>
      <c r="FD572" s="47"/>
      <c r="FE572" s="47"/>
      <c r="FF572" s="47"/>
      <c r="FG572" s="47"/>
      <c r="FH572" s="47"/>
      <c r="FI572" s="47"/>
      <c r="FJ572" s="47"/>
      <c r="FK572" s="47"/>
      <c r="FL572" s="47"/>
      <c r="FM572" s="47"/>
      <c r="FN572" s="47"/>
      <c r="FO572" s="47"/>
      <c r="FP572" s="47"/>
      <c r="FQ572" s="47"/>
      <c r="FR572" s="47"/>
      <c r="FS572" s="47"/>
      <c r="FT572" s="47"/>
      <c r="FU572" s="47"/>
      <c r="FV572" s="47"/>
      <c r="FW572" s="47"/>
      <c r="FX572" s="47"/>
      <c r="FY572" s="47"/>
      <c r="FZ572" s="47"/>
      <c r="GA572" s="47"/>
      <c r="GB572" s="47"/>
      <c r="GC572" s="47"/>
      <c r="GD572" s="47"/>
      <c r="GE572" s="47"/>
    </row>
    <row r="573" spans="1:187" ht="10.5" customHeight="1">
      <c r="A573" s="43" t="s">
        <v>140</v>
      </c>
      <c r="B573" s="108"/>
      <c r="C573" s="108"/>
      <c r="D573" s="226">
        <v>45</v>
      </c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43"/>
      <c r="U573" s="108"/>
      <c r="V573" s="108"/>
      <c r="W573" s="108"/>
      <c r="X573" s="108"/>
      <c r="Y573" s="108"/>
      <c r="Z573" s="108"/>
      <c r="AA573" s="43"/>
      <c r="AB573" s="108"/>
      <c r="AC573" s="108"/>
      <c r="AD573" s="108"/>
      <c r="AE573" s="108"/>
      <c r="AF573" s="108"/>
      <c r="AG573" s="108"/>
      <c r="AH573" s="43"/>
      <c r="AI573" s="108"/>
      <c r="AJ573" s="108"/>
      <c r="AK573" s="108"/>
      <c r="AL573" s="108"/>
      <c r="AM573" s="108"/>
      <c r="AN573" s="108"/>
      <c r="AO573" s="43"/>
      <c r="AP573" s="108"/>
      <c r="AQ573" s="108"/>
      <c r="AR573" s="108"/>
      <c r="AS573" s="108"/>
      <c r="AT573" s="108"/>
      <c r="AU573" s="108"/>
      <c r="AV573" s="43"/>
      <c r="AW573" s="108"/>
      <c r="AX573" s="108"/>
      <c r="AY573" s="108"/>
      <c r="AZ573" s="108"/>
      <c r="BA573" s="108"/>
      <c r="BB573" s="108"/>
      <c r="BC573" s="43"/>
      <c r="BD573" s="108"/>
      <c r="BE573" s="108"/>
      <c r="BF573" s="108"/>
      <c r="BG573" s="108"/>
      <c r="BH573" s="108"/>
      <c r="BI573" s="108"/>
      <c r="BJ573" s="43"/>
      <c r="BK573" s="108"/>
      <c r="BL573" s="108"/>
      <c r="BM573" s="108"/>
      <c r="BN573" s="108"/>
      <c r="BO573" s="108"/>
      <c r="BP573" s="108"/>
      <c r="BQ573" s="43"/>
      <c r="BR573" s="108"/>
      <c r="BS573" s="108"/>
      <c r="BT573" s="108"/>
      <c r="BU573" s="108"/>
      <c r="BV573" s="108"/>
      <c r="BW573" s="108"/>
      <c r="BX573" s="43"/>
      <c r="BY573" s="108"/>
      <c r="BZ573" s="108"/>
      <c r="CA573" s="108"/>
      <c r="CB573" s="108"/>
      <c r="CC573" s="108"/>
      <c r="CD573" s="108"/>
      <c r="CE573" s="43"/>
      <c r="CF573" s="108"/>
      <c r="CG573" s="108"/>
      <c r="CH573" s="108"/>
      <c r="CI573" s="108"/>
      <c r="CJ573" s="108"/>
      <c r="CK573" s="108"/>
      <c r="CL573" s="43"/>
      <c r="CM573" s="108"/>
      <c r="CN573" s="108"/>
      <c r="CO573" s="108"/>
      <c r="CP573" s="108"/>
      <c r="CQ573" s="108"/>
      <c r="CR573" s="108"/>
      <c r="CS573" s="43"/>
      <c r="CT573" s="108"/>
      <c r="CU573" s="108"/>
      <c r="CV573" s="108"/>
      <c r="CW573" s="108"/>
      <c r="CX573" s="108"/>
      <c r="CY573" s="108"/>
      <c r="CZ573" s="43"/>
      <c r="DA573" s="108"/>
      <c r="DB573" s="108"/>
      <c r="DC573" s="108"/>
      <c r="DD573" s="108"/>
      <c r="DE573" s="108"/>
      <c r="DF573" s="108"/>
      <c r="DG573" s="43"/>
      <c r="DH573" s="108"/>
      <c r="DI573" s="108"/>
      <c r="DJ573" s="108"/>
      <c r="DK573" s="108"/>
      <c r="DL573" s="108"/>
      <c r="DM573" s="108"/>
      <c r="DN573" s="43"/>
      <c r="DO573" s="108"/>
      <c r="DP573" s="108"/>
      <c r="DQ573" s="108"/>
      <c r="DR573" s="108"/>
      <c r="DS573" s="108"/>
      <c r="DT573" s="108"/>
      <c r="DU573" s="43"/>
      <c r="DV573" s="108"/>
      <c r="DW573" s="108"/>
      <c r="DX573" s="108"/>
      <c r="DY573" s="108"/>
      <c r="DZ573" s="108"/>
      <c r="EA573" s="108"/>
      <c r="EB573" s="43"/>
      <c r="EC573" s="108"/>
      <c r="ED573" s="108"/>
      <c r="EE573" s="108"/>
      <c r="EF573" s="108"/>
      <c r="EG573" s="108"/>
      <c r="EH573" s="108"/>
      <c r="EI573" s="43"/>
      <c r="EJ573" s="47"/>
      <c r="EK573" s="47"/>
      <c r="EL573" s="47"/>
      <c r="EM573" s="47"/>
      <c r="EN573" s="47"/>
      <c r="EO573" s="47"/>
      <c r="EP573" s="47"/>
      <c r="EQ573" s="47"/>
      <c r="ER573" s="47"/>
      <c r="ES573" s="47"/>
      <c r="ET573" s="47"/>
      <c r="EU573" s="47"/>
      <c r="EV573" s="47"/>
      <c r="EW573" s="47"/>
      <c r="EX573" s="47"/>
      <c r="EY573" s="47"/>
      <c r="EZ573" s="47"/>
      <c r="FA573" s="47"/>
      <c r="FB573" s="47"/>
      <c r="FC573" s="47"/>
      <c r="FD573" s="47"/>
      <c r="FE573" s="47"/>
      <c r="FF573" s="47"/>
      <c r="FG573" s="47"/>
      <c r="FH573" s="47"/>
      <c r="FI573" s="47"/>
      <c r="FJ573" s="47"/>
      <c r="FK573" s="47"/>
      <c r="FL573" s="47"/>
      <c r="FM573" s="47"/>
      <c r="FN573" s="47"/>
      <c r="FO573" s="47"/>
      <c r="FP573" s="47"/>
      <c r="FQ573" s="47"/>
      <c r="FR573" s="47"/>
      <c r="FS573" s="47"/>
      <c r="FT573" s="47"/>
      <c r="FU573" s="47"/>
      <c r="FV573" s="47"/>
      <c r="FW573" s="47"/>
      <c r="FX573" s="47"/>
      <c r="FY573" s="47"/>
      <c r="FZ573" s="47"/>
      <c r="GA573" s="47"/>
      <c r="GB573" s="47"/>
      <c r="GC573" s="47"/>
      <c r="GD573" s="47"/>
      <c r="GE573" s="47"/>
    </row>
    <row r="574" spans="1:187" ht="10.5" customHeight="1">
      <c r="A574" s="43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43"/>
      <c r="U574" s="108"/>
      <c r="V574" s="108"/>
      <c r="W574" s="108"/>
      <c r="X574" s="108"/>
      <c r="Y574" s="108"/>
      <c r="Z574" s="108"/>
      <c r="AA574" s="43"/>
      <c r="AB574" s="108"/>
      <c r="AC574" s="108"/>
      <c r="AD574" s="108"/>
      <c r="AE574" s="108"/>
      <c r="AF574" s="108"/>
      <c r="AG574" s="108"/>
      <c r="AH574" s="43"/>
      <c r="AI574" s="108"/>
      <c r="AJ574" s="108"/>
      <c r="AK574" s="108"/>
      <c r="AL574" s="108"/>
      <c r="AM574" s="108"/>
      <c r="AN574" s="108"/>
      <c r="AO574" s="43"/>
      <c r="AP574" s="108"/>
      <c r="AQ574" s="108"/>
      <c r="AR574" s="108"/>
      <c r="AS574" s="108"/>
      <c r="AT574" s="108"/>
      <c r="AU574" s="108"/>
      <c r="AV574" s="43"/>
      <c r="AW574" s="108"/>
      <c r="AX574" s="108"/>
      <c r="AY574" s="108"/>
      <c r="AZ574" s="108"/>
      <c r="BA574" s="108"/>
      <c r="BB574" s="108"/>
      <c r="BC574" s="43"/>
      <c r="BD574" s="108"/>
      <c r="BE574" s="108"/>
      <c r="BF574" s="108"/>
      <c r="BG574" s="108"/>
      <c r="BH574" s="108"/>
      <c r="BI574" s="108"/>
      <c r="BJ574" s="43"/>
      <c r="BK574" s="108"/>
      <c r="BL574" s="108"/>
      <c r="BM574" s="108"/>
      <c r="BN574" s="108"/>
      <c r="BO574" s="108"/>
      <c r="BP574" s="108"/>
      <c r="BQ574" s="43"/>
      <c r="BR574" s="108"/>
      <c r="BS574" s="108"/>
      <c r="BT574" s="108"/>
      <c r="BU574" s="108"/>
      <c r="BV574" s="108"/>
      <c r="BW574" s="108"/>
      <c r="BX574" s="43"/>
      <c r="BY574" s="108"/>
      <c r="BZ574" s="108"/>
      <c r="CA574" s="108"/>
      <c r="CB574" s="108"/>
      <c r="CC574" s="108"/>
      <c r="CD574" s="108"/>
      <c r="CE574" s="43"/>
      <c r="CF574" s="108"/>
      <c r="CG574" s="108"/>
      <c r="CH574" s="108"/>
      <c r="CI574" s="108"/>
      <c r="CJ574" s="108"/>
      <c r="CK574" s="108"/>
      <c r="CL574" s="43"/>
      <c r="CM574" s="108"/>
      <c r="CN574" s="108"/>
      <c r="CO574" s="108"/>
      <c r="CP574" s="108"/>
      <c r="CQ574" s="108"/>
      <c r="CR574" s="108"/>
      <c r="CS574" s="43"/>
      <c r="CT574" s="108"/>
      <c r="CU574" s="108"/>
      <c r="CV574" s="108"/>
      <c r="CW574" s="108"/>
      <c r="CX574" s="108"/>
      <c r="CY574" s="108"/>
      <c r="CZ574" s="43"/>
      <c r="DA574" s="108"/>
      <c r="DB574" s="108"/>
      <c r="DC574" s="108"/>
      <c r="DD574" s="108"/>
      <c r="DE574" s="108"/>
      <c r="DF574" s="108"/>
      <c r="DG574" s="43"/>
      <c r="DH574" s="108"/>
      <c r="DI574" s="108"/>
      <c r="DJ574" s="108"/>
      <c r="DK574" s="108"/>
      <c r="DL574" s="108"/>
      <c r="DM574" s="108"/>
      <c r="DN574" s="43"/>
      <c r="DO574" s="108"/>
      <c r="DP574" s="108"/>
      <c r="DQ574" s="108"/>
      <c r="DR574" s="108"/>
      <c r="DS574" s="108"/>
      <c r="DT574" s="108"/>
      <c r="DU574" s="43"/>
      <c r="DV574" s="108"/>
      <c r="DW574" s="108"/>
      <c r="DX574" s="108"/>
      <c r="DY574" s="108"/>
      <c r="DZ574" s="108"/>
      <c r="EA574" s="108"/>
      <c r="EB574" s="43"/>
      <c r="EC574" s="108"/>
      <c r="ED574" s="108"/>
      <c r="EE574" s="108"/>
      <c r="EF574" s="108"/>
      <c r="EG574" s="108"/>
      <c r="EH574" s="108"/>
      <c r="EI574" s="43"/>
      <c r="EJ574" s="47"/>
      <c r="EK574" s="47"/>
      <c r="EL574" s="47"/>
      <c r="EM574" s="47"/>
      <c r="EN574" s="47"/>
      <c r="EO574" s="47"/>
      <c r="EP574" s="47"/>
      <c r="EQ574" s="47"/>
      <c r="ER574" s="47"/>
      <c r="ES574" s="47"/>
      <c r="ET574" s="47"/>
      <c r="EU574" s="47"/>
      <c r="EV574" s="47"/>
      <c r="EW574" s="47"/>
      <c r="EX574" s="47"/>
      <c r="EY574" s="47"/>
      <c r="EZ574" s="47"/>
      <c r="FA574" s="47"/>
      <c r="FB574" s="47"/>
      <c r="FC574" s="47"/>
      <c r="FD574" s="47"/>
      <c r="FE574" s="47"/>
      <c r="FF574" s="47"/>
      <c r="FG574" s="47"/>
      <c r="FH574" s="47"/>
      <c r="FI574" s="47"/>
      <c r="FJ574" s="47"/>
      <c r="FK574" s="47"/>
      <c r="FL574" s="47"/>
      <c r="FM574" s="47"/>
      <c r="FN574" s="47"/>
      <c r="FO574" s="47"/>
      <c r="FP574" s="47"/>
      <c r="FQ574" s="47"/>
      <c r="FR574" s="47"/>
      <c r="FS574" s="47"/>
      <c r="FT574" s="47"/>
      <c r="FU574" s="47"/>
      <c r="FV574" s="47"/>
      <c r="FW574" s="47"/>
      <c r="FX574" s="47"/>
      <c r="FY574" s="47"/>
      <c r="FZ574" s="47"/>
      <c r="GA574" s="47"/>
      <c r="GB574" s="47"/>
      <c r="GC574" s="47"/>
      <c r="GD574" s="47"/>
      <c r="GE574" s="47"/>
    </row>
    <row r="575" spans="1:187" ht="10.5" customHeight="1">
      <c r="A575" s="43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43"/>
      <c r="U575" s="108"/>
      <c r="V575" s="108"/>
      <c r="W575" s="108"/>
      <c r="X575" s="108"/>
      <c r="Y575" s="108"/>
      <c r="Z575" s="108"/>
      <c r="AA575" s="43"/>
      <c r="AB575" s="108"/>
      <c r="AC575" s="108"/>
      <c r="AD575" s="108"/>
      <c r="AE575" s="108"/>
      <c r="AF575" s="108"/>
      <c r="AG575" s="108"/>
      <c r="AH575" s="43"/>
      <c r="AI575" s="108"/>
      <c r="AJ575" s="108"/>
      <c r="AK575" s="108"/>
      <c r="AL575" s="108"/>
      <c r="AM575" s="108"/>
      <c r="AN575" s="108"/>
      <c r="AO575" s="43"/>
      <c r="AP575" s="108"/>
      <c r="AQ575" s="108"/>
      <c r="AR575" s="108"/>
      <c r="AS575" s="108"/>
      <c r="AT575" s="108"/>
      <c r="AU575" s="108"/>
      <c r="AV575" s="43"/>
      <c r="AW575" s="108"/>
      <c r="AX575" s="108"/>
      <c r="AY575" s="108"/>
      <c r="AZ575" s="108"/>
      <c r="BA575" s="108"/>
      <c r="BB575" s="108"/>
      <c r="BC575" s="43"/>
      <c r="BD575" s="108"/>
      <c r="BE575" s="108"/>
      <c r="BF575" s="108"/>
      <c r="BG575" s="108"/>
      <c r="BH575" s="108"/>
      <c r="BI575" s="108"/>
      <c r="BJ575" s="43"/>
      <c r="BK575" s="108"/>
      <c r="BL575" s="108"/>
      <c r="BM575" s="108"/>
      <c r="BN575" s="108"/>
      <c r="BO575" s="108"/>
      <c r="BP575" s="108"/>
      <c r="BQ575" s="43"/>
      <c r="BR575" s="108"/>
      <c r="BS575" s="108"/>
      <c r="BT575" s="108"/>
      <c r="BU575" s="108"/>
      <c r="BV575" s="108"/>
      <c r="BW575" s="108"/>
      <c r="BX575" s="43"/>
      <c r="BY575" s="108"/>
      <c r="BZ575" s="108"/>
      <c r="CA575" s="108"/>
      <c r="CB575" s="108"/>
      <c r="CC575" s="108"/>
      <c r="CD575" s="108"/>
      <c r="CE575" s="43"/>
      <c r="CF575" s="108"/>
      <c r="CG575" s="108"/>
      <c r="CH575" s="108"/>
      <c r="CI575" s="108"/>
      <c r="CJ575" s="108"/>
      <c r="CK575" s="108"/>
      <c r="CL575" s="43"/>
      <c r="CM575" s="108"/>
      <c r="CN575" s="108"/>
      <c r="CO575" s="108"/>
      <c r="CP575" s="108"/>
      <c r="CQ575" s="108"/>
      <c r="CR575" s="108"/>
      <c r="CS575" s="43"/>
      <c r="CT575" s="108"/>
      <c r="CU575" s="108"/>
      <c r="CV575" s="108"/>
      <c r="CW575" s="108"/>
      <c r="CX575" s="108"/>
      <c r="CY575" s="108"/>
      <c r="CZ575" s="43"/>
      <c r="DA575" s="108"/>
      <c r="DB575" s="108"/>
      <c r="DC575" s="108"/>
      <c r="DD575" s="108"/>
      <c r="DE575" s="108"/>
      <c r="DF575" s="108"/>
      <c r="DG575" s="43"/>
      <c r="DH575" s="108"/>
      <c r="DI575" s="108"/>
      <c r="DJ575" s="108"/>
      <c r="DK575" s="108"/>
      <c r="DL575" s="108"/>
      <c r="DM575" s="108"/>
      <c r="DN575" s="43"/>
      <c r="DO575" s="108"/>
      <c r="DP575" s="108"/>
      <c r="DQ575" s="108"/>
      <c r="DR575" s="108"/>
      <c r="DS575" s="108"/>
      <c r="DT575" s="108"/>
      <c r="DU575" s="43"/>
      <c r="DV575" s="108"/>
      <c r="DW575" s="108"/>
      <c r="DX575" s="108"/>
      <c r="DY575" s="108"/>
      <c r="DZ575" s="108"/>
      <c r="EA575" s="108"/>
      <c r="EB575" s="43"/>
      <c r="EC575" s="108"/>
      <c r="ED575" s="108"/>
      <c r="EE575" s="108"/>
      <c r="EF575" s="108"/>
      <c r="EG575" s="108"/>
      <c r="EH575" s="108"/>
      <c r="EI575" s="43"/>
      <c r="EJ575" s="47"/>
      <c r="EK575" s="47"/>
      <c r="EL575" s="47"/>
      <c r="EM575" s="47"/>
      <c r="EN575" s="47"/>
      <c r="EO575" s="47"/>
      <c r="EP575" s="47"/>
      <c r="EQ575" s="47"/>
      <c r="ER575" s="47"/>
      <c r="ES575" s="47"/>
      <c r="ET575" s="47"/>
      <c r="EU575" s="47"/>
      <c r="EV575" s="47"/>
      <c r="EW575" s="47"/>
      <c r="EX575" s="47"/>
      <c r="EY575" s="47"/>
      <c r="EZ575" s="47"/>
      <c r="FA575" s="47"/>
      <c r="FB575" s="47"/>
      <c r="FC575" s="47"/>
      <c r="FD575" s="47"/>
      <c r="FE575" s="47"/>
      <c r="FF575" s="47"/>
      <c r="FG575" s="47"/>
      <c r="FH575" s="47"/>
      <c r="FI575" s="47"/>
      <c r="FJ575" s="47"/>
      <c r="FK575" s="47"/>
      <c r="FL575" s="47"/>
      <c r="FM575" s="47"/>
      <c r="FN575" s="47"/>
      <c r="FO575" s="47"/>
      <c r="FP575" s="47"/>
      <c r="FQ575" s="47"/>
      <c r="FR575" s="47"/>
      <c r="FS575" s="47"/>
      <c r="FT575" s="47"/>
      <c r="FU575" s="47"/>
      <c r="FV575" s="47"/>
      <c r="FW575" s="47"/>
      <c r="FX575" s="47"/>
      <c r="FY575" s="47"/>
      <c r="FZ575" s="47"/>
      <c r="GA575" s="47"/>
      <c r="GB575" s="47"/>
      <c r="GC575" s="47"/>
      <c r="GD575" s="47"/>
      <c r="GE575" s="47"/>
    </row>
    <row r="576" spans="1:187" ht="10.5" customHeight="1">
      <c r="A576" s="43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43"/>
      <c r="U576" s="108"/>
      <c r="V576" s="108"/>
      <c r="W576" s="108"/>
      <c r="X576" s="108"/>
      <c r="Y576" s="108"/>
      <c r="Z576" s="108"/>
      <c r="AA576" s="43"/>
      <c r="AB576" s="108"/>
      <c r="AC576" s="108"/>
      <c r="AD576" s="108"/>
      <c r="AE576" s="108"/>
      <c r="AF576" s="108"/>
      <c r="AG576" s="108"/>
      <c r="AH576" s="43"/>
      <c r="AI576" s="108"/>
      <c r="AJ576" s="108"/>
      <c r="AK576" s="108"/>
      <c r="AL576" s="108"/>
      <c r="AM576" s="108"/>
      <c r="AN576" s="108"/>
      <c r="AO576" s="43"/>
      <c r="AP576" s="108"/>
      <c r="AQ576" s="108"/>
      <c r="AR576" s="108"/>
      <c r="AS576" s="108"/>
      <c r="AT576" s="108"/>
      <c r="AU576" s="108"/>
      <c r="AV576" s="43"/>
      <c r="AW576" s="108"/>
      <c r="AX576" s="108"/>
      <c r="AY576" s="108"/>
      <c r="AZ576" s="108"/>
      <c r="BA576" s="108"/>
      <c r="BB576" s="108"/>
      <c r="BC576" s="43"/>
      <c r="BD576" s="108"/>
      <c r="BE576" s="108"/>
      <c r="BF576" s="108"/>
      <c r="BG576" s="108"/>
      <c r="BH576" s="108"/>
      <c r="BI576" s="108"/>
      <c r="BJ576" s="43"/>
      <c r="BK576" s="108"/>
      <c r="BL576" s="108"/>
      <c r="BM576" s="108"/>
      <c r="BN576" s="108"/>
      <c r="BO576" s="108"/>
      <c r="BP576" s="108"/>
      <c r="BQ576" s="43"/>
      <c r="BR576" s="108"/>
      <c r="BS576" s="108"/>
      <c r="BT576" s="108"/>
      <c r="BU576" s="108"/>
      <c r="BV576" s="108"/>
      <c r="BW576" s="108"/>
      <c r="BX576" s="43"/>
      <c r="BY576" s="108"/>
      <c r="BZ576" s="108"/>
      <c r="CA576" s="108"/>
      <c r="CB576" s="108"/>
      <c r="CC576" s="108"/>
      <c r="CD576" s="108"/>
      <c r="CE576" s="43"/>
      <c r="CF576" s="108"/>
      <c r="CG576" s="108"/>
      <c r="CH576" s="108"/>
      <c r="CI576" s="108"/>
      <c r="CJ576" s="108"/>
      <c r="CK576" s="108"/>
      <c r="CL576" s="43"/>
      <c r="CM576" s="108"/>
      <c r="CN576" s="108"/>
      <c r="CO576" s="108"/>
      <c r="CP576" s="108"/>
      <c r="CQ576" s="108"/>
      <c r="CR576" s="108"/>
      <c r="CS576" s="43"/>
      <c r="CT576" s="108"/>
      <c r="CU576" s="108"/>
      <c r="CV576" s="108"/>
      <c r="CW576" s="108"/>
      <c r="CX576" s="108"/>
      <c r="CY576" s="108"/>
      <c r="CZ576" s="43"/>
      <c r="DA576" s="108"/>
      <c r="DB576" s="108"/>
      <c r="DC576" s="108"/>
      <c r="DD576" s="108"/>
      <c r="DE576" s="108"/>
      <c r="DF576" s="108"/>
      <c r="DG576" s="43"/>
      <c r="DH576" s="108"/>
      <c r="DI576" s="108"/>
      <c r="DJ576" s="108"/>
      <c r="DK576" s="108"/>
      <c r="DL576" s="108"/>
      <c r="DM576" s="108"/>
      <c r="DN576" s="43"/>
      <c r="DO576" s="108"/>
      <c r="DP576" s="108"/>
      <c r="DQ576" s="108"/>
      <c r="DR576" s="108"/>
      <c r="DS576" s="108"/>
      <c r="DT576" s="108"/>
      <c r="DU576" s="43"/>
      <c r="DV576" s="108"/>
      <c r="DW576" s="108"/>
      <c r="DX576" s="108"/>
      <c r="DY576" s="108"/>
      <c r="DZ576" s="108"/>
      <c r="EA576" s="108"/>
      <c r="EB576" s="43"/>
      <c r="EC576" s="108"/>
      <c r="ED576" s="108"/>
      <c r="EE576" s="108"/>
      <c r="EF576" s="108"/>
      <c r="EG576" s="108"/>
      <c r="EH576" s="108"/>
      <c r="EI576" s="43"/>
      <c r="EJ576" s="47"/>
      <c r="EK576" s="47"/>
      <c r="EL576" s="47"/>
      <c r="EM576" s="47"/>
      <c r="EN576" s="47"/>
      <c r="EO576" s="47"/>
      <c r="EP576" s="47"/>
      <c r="EQ576" s="47"/>
      <c r="ER576" s="47"/>
      <c r="ES576" s="47"/>
      <c r="ET576" s="47"/>
      <c r="EU576" s="47"/>
      <c r="EV576" s="47"/>
      <c r="EW576" s="47"/>
      <c r="EX576" s="47"/>
      <c r="EY576" s="47"/>
      <c r="EZ576" s="47"/>
      <c r="FA576" s="47"/>
      <c r="FB576" s="47"/>
      <c r="FC576" s="47"/>
      <c r="FD576" s="47"/>
      <c r="FE576" s="47"/>
      <c r="FF576" s="47"/>
      <c r="FG576" s="47"/>
      <c r="FH576" s="47"/>
      <c r="FI576" s="47"/>
      <c r="FJ576" s="47"/>
      <c r="FK576" s="47"/>
      <c r="FL576" s="47"/>
      <c r="FM576" s="47"/>
      <c r="FN576" s="47"/>
      <c r="FO576" s="47"/>
      <c r="FP576" s="47"/>
      <c r="FQ576" s="47"/>
      <c r="FR576" s="47"/>
      <c r="FS576" s="47"/>
      <c r="FT576" s="47"/>
      <c r="FU576" s="47"/>
      <c r="FV576" s="47"/>
      <c r="FW576" s="47"/>
      <c r="FX576" s="47"/>
      <c r="FY576" s="47"/>
      <c r="FZ576" s="47"/>
      <c r="GA576" s="47"/>
      <c r="GB576" s="47"/>
      <c r="GC576" s="47"/>
      <c r="GD576" s="47"/>
      <c r="GE576" s="47"/>
    </row>
    <row r="577" spans="1:187" ht="10.5" customHeight="1">
      <c r="A577" s="43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43"/>
      <c r="U577" s="108"/>
      <c r="V577" s="108"/>
      <c r="W577" s="108"/>
      <c r="X577" s="108"/>
      <c r="Y577" s="108"/>
      <c r="Z577" s="108"/>
      <c r="AA577" s="43"/>
      <c r="AB577" s="108"/>
      <c r="AC577" s="108"/>
      <c r="AD577" s="108"/>
      <c r="AE577" s="108"/>
      <c r="AF577" s="108"/>
      <c r="AG577" s="108"/>
      <c r="AH577" s="43"/>
      <c r="AI577" s="108"/>
      <c r="AJ577" s="108"/>
      <c r="AK577" s="108"/>
      <c r="AL577" s="108"/>
      <c r="AM577" s="108"/>
      <c r="AN577" s="108"/>
      <c r="AO577" s="43"/>
      <c r="AP577" s="108"/>
      <c r="AQ577" s="108"/>
      <c r="AR577" s="108"/>
      <c r="AS577" s="108"/>
      <c r="AT577" s="108"/>
      <c r="AU577" s="108"/>
      <c r="AV577" s="43"/>
      <c r="AW577" s="108"/>
      <c r="AX577" s="108"/>
      <c r="AY577" s="108"/>
      <c r="AZ577" s="108"/>
      <c r="BA577" s="108"/>
      <c r="BB577" s="108"/>
      <c r="BC577" s="43"/>
      <c r="BD577" s="108"/>
      <c r="BE577" s="108"/>
      <c r="BF577" s="108"/>
      <c r="BG577" s="108"/>
      <c r="BH577" s="108"/>
      <c r="BI577" s="108"/>
      <c r="BJ577" s="43"/>
      <c r="BK577" s="108"/>
      <c r="BL577" s="108"/>
      <c r="BM577" s="108"/>
      <c r="BN577" s="108"/>
      <c r="BO577" s="108"/>
      <c r="BP577" s="108"/>
      <c r="BQ577" s="43"/>
      <c r="BR577" s="108"/>
      <c r="BS577" s="108"/>
      <c r="BT577" s="108"/>
      <c r="BU577" s="108"/>
      <c r="BV577" s="108"/>
      <c r="BW577" s="108"/>
      <c r="BX577" s="43"/>
      <c r="BY577" s="108"/>
      <c r="BZ577" s="108"/>
      <c r="CA577" s="108"/>
      <c r="CB577" s="108"/>
      <c r="CC577" s="108"/>
      <c r="CD577" s="108"/>
      <c r="CE577" s="43"/>
      <c r="CF577" s="108"/>
      <c r="CG577" s="108"/>
      <c r="CH577" s="108"/>
      <c r="CI577" s="108"/>
      <c r="CJ577" s="108"/>
      <c r="CK577" s="108"/>
      <c r="CL577" s="43"/>
      <c r="CM577" s="108"/>
      <c r="CN577" s="108"/>
      <c r="CO577" s="108"/>
      <c r="CP577" s="108"/>
      <c r="CQ577" s="108"/>
      <c r="CR577" s="108"/>
      <c r="CS577" s="43"/>
      <c r="CT577" s="108"/>
      <c r="CU577" s="108"/>
      <c r="CV577" s="108"/>
      <c r="CW577" s="108"/>
      <c r="CX577" s="108"/>
      <c r="CY577" s="108"/>
      <c r="CZ577" s="43"/>
      <c r="DA577" s="108"/>
      <c r="DB577" s="108"/>
      <c r="DC577" s="108"/>
      <c r="DD577" s="108"/>
      <c r="DE577" s="108"/>
      <c r="DF577" s="108"/>
      <c r="DG577" s="43"/>
      <c r="DH577" s="108"/>
      <c r="DI577" s="108"/>
      <c r="DJ577" s="108"/>
      <c r="DK577" s="108"/>
      <c r="DL577" s="108"/>
      <c r="DM577" s="108"/>
      <c r="DN577" s="43"/>
      <c r="DO577" s="108"/>
      <c r="DP577" s="108"/>
      <c r="DQ577" s="108"/>
      <c r="DR577" s="108"/>
      <c r="DS577" s="108"/>
      <c r="DT577" s="108"/>
      <c r="DU577" s="43"/>
      <c r="DV577" s="108"/>
      <c r="DW577" s="108"/>
      <c r="DX577" s="108"/>
      <c r="DY577" s="108"/>
      <c r="DZ577" s="108"/>
      <c r="EA577" s="108"/>
      <c r="EB577" s="43"/>
      <c r="EC577" s="108"/>
      <c r="ED577" s="108"/>
      <c r="EE577" s="108"/>
      <c r="EF577" s="108"/>
      <c r="EG577" s="108"/>
      <c r="EH577" s="108"/>
      <c r="EI577" s="43"/>
      <c r="EJ577" s="47"/>
      <c r="EK577" s="47"/>
      <c r="EL577" s="47"/>
      <c r="EM577" s="47"/>
      <c r="EN577" s="47"/>
      <c r="EO577" s="47"/>
      <c r="EP577" s="47"/>
      <c r="EQ577" s="47"/>
      <c r="ER577" s="47"/>
      <c r="ES577" s="47"/>
      <c r="ET577" s="47"/>
      <c r="EU577" s="47"/>
      <c r="EV577" s="47"/>
      <c r="EW577" s="47"/>
      <c r="EX577" s="47"/>
      <c r="EY577" s="47"/>
      <c r="EZ577" s="47"/>
      <c r="FA577" s="47"/>
      <c r="FB577" s="47"/>
      <c r="FC577" s="47"/>
      <c r="FD577" s="47"/>
      <c r="FE577" s="47"/>
      <c r="FF577" s="47"/>
      <c r="FG577" s="47"/>
      <c r="FH577" s="47"/>
      <c r="FI577" s="47"/>
      <c r="FJ577" s="47"/>
      <c r="FK577" s="47"/>
      <c r="FL577" s="47"/>
      <c r="FM577" s="47"/>
      <c r="FN577" s="47"/>
      <c r="FO577" s="47"/>
      <c r="FP577" s="47"/>
      <c r="FQ577" s="47"/>
      <c r="FR577" s="47"/>
      <c r="FS577" s="47"/>
      <c r="FT577" s="47"/>
      <c r="FU577" s="47"/>
      <c r="FV577" s="47"/>
      <c r="FW577" s="47"/>
      <c r="FX577" s="47"/>
      <c r="FY577" s="47"/>
      <c r="FZ577" s="47"/>
      <c r="GA577" s="47"/>
      <c r="GB577" s="47"/>
      <c r="GC577" s="47"/>
      <c r="GD577" s="47"/>
      <c r="GE577" s="47"/>
    </row>
    <row r="578" spans="1:187" ht="10.5" customHeight="1">
      <c r="A578" s="43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43"/>
      <c r="U578" s="108"/>
      <c r="V578" s="108"/>
      <c r="W578" s="108"/>
      <c r="X578" s="108"/>
      <c r="Y578" s="108"/>
      <c r="Z578" s="108"/>
      <c r="AA578" s="43"/>
      <c r="AB578" s="108"/>
      <c r="AC578" s="108"/>
      <c r="AD578" s="108"/>
      <c r="AE578" s="108"/>
      <c r="AF578" s="108"/>
      <c r="AG578" s="108"/>
      <c r="AH578" s="43"/>
      <c r="AI578" s="108"/>
      <c r="AJ578" s="108"/>
      <c r="AK578" s="108"/>
      <c r="AL578" s="108"/>
      <c r="AM578" s="108"/>
      <c r="AN578" s="108"/>
      <c r="AO578" s="43"/>
      <c r="AP578" s="108"/>
      <c r="AQ578" s="108"/>
      <c r="AR578" s="108"/>
      <c r="AS578" s="108"/>
      <c r="AT578" s="108"/>
      <c r="AU578" s="108"/>
      <c r="AV578" s="43"/>
      <c r="AW578" s="108"/>
      <c r="AX578" s="108"/>
      <c r="AY578" s="108"/>
      <c r="AZ578" s="108"/>
      <c r="BA578" s="108"/>
      <c r="BB578" s="108"/>
      <c r="BC578" s="43"/>
      <c r="BD578" s="108"/>
      <c r="BE578" s="108"/>
      <c r="BF578" s="108"/>
      <c r="BG578" s="108"/>
      <c r="BH578" s="108"/>
      <c r="BI578" s="108"/>
      <c r="BJ578" s="43"/>
      <c r="BK578" s="108"/>
      <c r="BL578" s="108"/>
      <c r="BM578" s="108"/>
      <c r="BN578" s="108"/>
      <c r="BO578" s="108"/>
      <c r="BP578" s="108"/>
      <c r="BQ578" s="43"/>
      <c r="BR578" s="108"/>
      <c r="BS578" s="108"/>
      <c r="BT578" s="108"/>
      <c r="BU578" s="108"/>
      <c r="BV578" s="108"/>
      <c r="BW578" s="108"/>
      <c r="BX578" s="43"/>
      <c r="BY578" s="108"/>
      <c r="BZ578" s="108"/>
      <c r="CA578" s="108"/>
      <c r="CB578" s="108"/>
      <c r="CC578" s="108"/>
      <c r="CD578" s="108"/>
      <c r="CE578" s="43"/>
      <c r="CF578" s="108"/>
      <c r="CG578" s="108"/>
      <c r="CH578" s="108"/>
      <c r="CI578" s="108"/>
      <c r="CJ578" s="108"/>
      <c r="CK578" s="108"/>
      <c r="CL578" s="43"/>
      <c r="CM578" s="108"/>
      <c r="CN578" s="108"/>
      <c r="CO578" s="108"/>
      <c r="CP578" s="108"/>
      <c r="CQ578" s="108"/>
      <c r="CR578" s="108"/>
      <c r="CS578" s="43"/>
      <c r="CT578" s="108"/>
      <c r="CU578" s="108"/>
      <c r="CV578" s="108"/>
      <c r="CW578" s="108"/>
      <c r="CX578" s="108"/>
      <c r="CY578" s="108"/>
      <c r="CZ578" s="43"/>
      <c r="DA578" s="108"/>
      <c r="DB578" s="108"/>
      <c r="DC578" s="108"/>
      <c r="DD578" s="108"/>
      <c r="DE578" s="108"/>
      <c r="DF578" s="108"/>
      <c r="DG578" s="43"/>
      <c r="DH578" s="108"/>
      <c r="DI578" s="108"/>
      <c r="DJ578" s="108"/>
      <c r="DK578" s="108"/>
      <c r="DL578" s="108"/>
      <c r="DM578" s="108"/>
      <c r="DN578" s="43"/>
      <c r="DO578" s="108"/>
      <c r="DP578" s="108"/>
      <c r="DQ578" s="108"/>
      <c r="DR578" s="108"/>
      <c r="DS578" s="108"/>
      <c r="DT578" s="108"/>
      <c r="DU578" s="43"/>
      <c r="DV578" s="108"/>
      <c r="DW578" s="108"/>
      <c r="DX578" s="108"/>
      <c r="DY578" s="108"/>
      <c r="DZ578" s="108"/>
      <c r="EA578" s="108"/>
      <c r="EB578" s="43"/>
      <c r="EC578" s="108"/>
      <c r="ED578" s="108"/>
      <c r="EE578" s="108"/>
      <c r="EF578" s="108"/>
      <c r="EG578" s="108"/>
      <c r="EH578" s="108"/>
      <c r="EI578" s="43"/>
      <c r="EJ578" s="47"/>
      <c r="EK578" s="47"/>
      <c r="EL578" s="47"/>
      <c r="EM578" s="47"/>
      <c r="EN578" s="47"/>
      <c r="EO578" s="47"/>
      <c r="EP578" s="47"/>
      <c r="EQ578" s="47"/>
      <c r="ER578" s="47"/>
      <c r="ES578" s="47"/>
      <c r="ET578" s="47"/>
      <c r="EU578" s="47"/>
      <c r="EV578" s="47"/>
      <c r="EW578" s="47"/>
      <c r="EX578" s="47"/>
      <c r="EY578" s="47"/>
      <c r="EZ578" s="47"/>
      <c r="FA578" s="47"/>
      <c r="FB578" s="47"/>
      <c r="FC578" s="47"/>
      <c r="FD578" s="47"/>
      <c r="FE578" s="47"/>
      <c r="FF578" s="47"/>
      <c r="FG578" s="47"/>
      <c r="FH578" s="47"/>
      <c r="FI578" s="47"/>
      <c r="FJ578" s="47"/>
      <c r="FK578" s="47"/>
      <c r="FL578" s="47"/>
      <c r="FM578" s="47"/>
      <c r="FN578" s="47"/>
      <c r="FO578" s="47"/>
      <c r="FP578" s="47"/>
      <c r="FQ578" s="47"/>
      <c r="FR578" s="47"/>
      <c r="FS578" s="47"/>
      <c r="FT578" s="47"/>
      <c r="FU578" s="47"/>
      <c r="FV578" s="47"/>
      <c r="FW578" s="47"/>
      <c r="FX578" s="47"/>
      <c r="FY578" s="47"/>
      <c r="FZ578" s="47"/>
      <c r="GA578" s="47"/>
      <c r="GB578" s="47"/>
      <c r="GC578" s="47"/>
      <c r="GD578" s="47"/>
      <c r="GE578" s="47"/>
    </row>
    <row r="579" spans="1:187" ht="10.5" customHeight="1">
      <c r="A579" s="43">
        <v>4910</v>
      </c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43"/>
      <c r="U579" s="108"/>
      <c r="V579" s="108"/>
      <c r="W579" s="108"/>
      <c r="X579" s="108"/>
      <c r="Y579" s="108"/>
      <c r="Z579" s="108"/>
      <c r="AA579" s="43"/>
      <c r="AB579" s="108"/>
      <c r="AC579" s="108"/>
      <c r="AD579" s="108"/>
      <c r="AE579" s="108"/>
      <c r="AF579" s="108"/>
      <c r="AG579" s="108"/>
      <c r="AH579" s="43"/>
      <c r="AI579" s="108"/>
      <c r="AJ579" s="108"/>
      <c r="AK579" s="108"/>
      <c r="AL579" s="108"/>
      <c r="AM579" s="108"/>
      <c r="AN579" s="108"/>
      <c r="AO579" s="43"/>
      <c r="AP579" s="108"/>
      <c r="AQ579" s="108"/>
      <c r="AR579" s="108"/>
      <c r="AS579" s="108"/>
      <c r="AT579" s="108"/>
      <c r="AU579" s="108"/>
      <c r="AV579" s="43"/>
      <c r="AW579" s="108"/>
      <c r="AX579" s="108"/>
      <c r="AY579" s="108"/>
      <c r="AZ579" s="108"/>
      <c r="BA579" s="108"/>
      <c r="BB579" s="108"/>
      <c r="BC579" s="43"/>
      <c r="BD579" s="108"/>
      <c r="BE579" s="108"/>
      <c r="BF579" s="108"/>
      <c r="BG579" s="108"/>
      <c r="BH579" s="108"/>
      <c r="BI579" s="108"/>
      <c r="BJ579" s="43"/>
      <c r="BK579" s="108"/>
      <c r="BL579" s="108"/>
      <c r="BM579" s="108"/>
      <c r="BN579" s="108"/>
      <c r="BO579" s="108"/>
      <c r="BP579" s="108"/>
      <c r="BQ579" s="43"/>
      <c r="BR579" s="108"/>
      <c r="BS579" s="108"/>
      <c r="BT579" s="108"/>
      <c r="BU579" s="108"/>
      <c r="BV579" s="108"/>
      <c r="BW579" s="108"/>
      <c r="BX579" s="43"/>
      <c r="BY579" s="108"/>
      <c r="BZ579" s="108"/>
      <c r="CA579" s="108"/>
      <c r="CB579" s="108"/>
      <c r="CC579" s="108"/>
      <c r="CD579" s="108"/>
      <c r="CE579" s="43"/>
      <c r="CF579" s="108"/>
      <c r="CG579" s="108"/>
      <c r="CH579" s="108"/>
      <c r="CI579" s="108"/>
      <c r="CJ579" s="108"/>
      <c r="CK579" s="108"/>
      <c r="CL579" s="43"/>
      <c r="CM579" s="108"/>
      <c r="CN579" s="108"/>
      <c r="CO579" s="108"/>
      <c r="CP579" s="108"/>
      <c r="CQ579" s="108"/>
      <c r="CR579" s="108"/>
      <c r="CS579" s="43"/>
      <c r="CT579" s="108"/>
      <c r="CU579" s="108"/>
      <c r="CV579" s="108"/>
      <c r="CW579" s="108"/>
      <c r="CX579" s="108"/>
      <c r="CY579" s="108"/>
      <c r="CZ579" s="43"/>
      <c r="DA579" s="108"/>
      <c r="DB579" s="108"/>
      <c r="DC579" s="108"/>
      <c r="DD579" s="108"/>
      <c r="DE579" s="108"/>
      <c r="DF579" s="108"/>
      <c r="DG579" s="43"/>
      <c r="DH579" s="108"/>
      <c r="DI579" s="108"/>
      <c r="DJ579" s="108"/>
      <c r="DK579" s="108"/>
      <c r="DL579" s="108"/>
      <c r="DM579" s="108"/>
      <c r="DN579" s="43"/>
      <c r="DO579" s="108"/>
      <c r="DP579" s="108"/>
      <c r="DQ579" s="108"/>
      <c r="DR579" s="108"/>
      <c r="DS579" s="108"/>
      <c r="DT579" s="108"/>
      <c r="DU579" s="43"/>
      <c r="DV579" s="108"/>
      <c r="DW579" s="108"/>
      <c r="DX579" s="108"/>
      <c r="DY579" s="108"/>
      <c r="DZ579" s="108"/>
      <c r="EA579" s="108"/>
      <c r="EB579" s="43"/>
      <c r="EC579" s="108"/>
      <c r="ED579" s="108"/>
      <c r="EE579" s="108"/>
      <c r="EF579" s="108"/>
      <c r="EG579" s="108"/>
      <c r="EH579" s="108"/>
      <c r="EI579" s="43"/>
      <c r="EJ579" s="47"/>
      <c r="EK579" s="47"/>
      <c r="EL579" s="47"/>
      <c r="EM579" s="47"/>
      <c r="EN579" s="47"/>
      <c r="EO579" s="47"/>
      <c r="EP579" s="47"/>
      <c r="EQ579" s="47"/>
      <c r="ER579" s="47"/>
      <c r="ES579" s="47"/>
      <c r="ET579" s="47"/>
      <c r="EU579" s="47"/>
      <c r="EV579" s="47"/>
      <c r="EW579" s="47"/>
      <c r="EX579" s="47"/>
      <c r="EY579" s="47"/>
      <c r="EZ579" s="47"/>
      <c r="FA579" s="47"/>
      <c r="FB579" s="47"/>
      <c r="FC579" s="47"/>
      <c r="FD579" s="47"/>
      <c r="FE579" s="47"/>
      <c r="FF579" s="47"/>
      <c r="FG579" s="47"/>
      <c r="FH579" s="47"/>
      <c r="FI579" s="47"/>
      <c r="FJ579" s="47"/>
      <c r="FK579" s="47"/>
      <c r="FL579" s="47"/>
      <c r="FM579" s="47"/>
      <c r="FN579" s="47"/>
      <c r="FO579" s="47"/>
      <c r="FP579" s="47"/>
      <c r="FQ579" s="47"/>
      <c r="FR579" s="47"/>
      <c r="FS579" s="47"/>
      <c r="FT579" s="47"/>
      <c r="FU579" s="47"/>
      <c r="FV579" s="47"/>
      <c r="FW579" s="47"/>
      <c r="FX579" s="47"/>
      <c r="FY579" s="47"/>
      <c r="FZ579" s="47"/>
      <c r="GA579" s="47"/>
      <c r="GB579" s="47"/>
      <c r="GC579" s="47"/>
      <c r="GD579" s="47"/>
      <c r="GE579" s="47"/>
    </row>
    <row r="580" spans="1:187" ht="10.5" customHeight="1">
      <c r="A580" s="43">
        <v>1350</v>
      </c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43"/>
      <c r="U580" s="108"/>
      <c r="V580" s="108"/>
      <c r="W580" s="108"/>
      <c r="X580" s="108"/>
      <c r="Y580" s="108"/>
      <c r="Z580" s="108"/>
      <c r="AA580" s="43"/>
      <c r="AB580" s="108"/>
      <c r="AC580" s="108"/>
      <c r="AD580" s="108"/>
      <c r="AE580" s="108"/>
      <c r="AF580" s="108"/>
      <c r="AG580" s="108"/>
      <c r="AH580" s="43"/>
      <c r="AI580" s="108"/>
      <c r="AJ580" s="108"/>
      <c r="AK580" s="108"/>
      <c r="AL580" s="108"/>
      <c r="AM580" s="108"/>
      <c r="AN580" s="108"/>
      <c r="AO580" s="43"/>
      <c r="AP580" s="108"/>
      <c r="AQ580" s="108"/>
      <c r="AR580" s="108"/>
      <c r="AS580" s="108"/>
      <c r="AT580" s="108"/>
      <c r="AU580" s="108"/>
      <c r="AV580" s="43"/>
      <c r="AW580" s="108"/>
      <c r="AX580" s="108"/>
      <c r="AY580" s="108"/>
      <c r="AZ580" s="108"/>
      <c r="BA580" s="108"/>
      <c r="BB580" s="108"/>
      <c r="BC580" s="43"/>
      <c r="BD580" s="108"/>
      <c r="BE580" s="108"/>
      <c r="BF580" s="108"/>
      <c r="BG580" s="108"/>
      <c r="BH580" s="108"/>
      <c r="BI580" s="108"/>
      <c r="BJ580" s="43"/>
      <c r="BK580" s="108"/>
      <c r="BL580" s="108"/>
      <c r="BM580" s="108"/>
      <c r="BN580" s="108"/>
      <c r="BO580" s="108"/>
      <c r="BP580" s="108"/>
      <c r="BQ580" s="43"/>
      <c r="BR580" s="108"/>
      <c r="BS580" s="108"/>
      <c r="BT580" s="108"/>
      <c r="BU580" s="108"/>
      <c r="BV580" s="108"/>
      <c r="BW580" s="108"/>
      <c r="BX580" s="43"/>
      <c r="BY580" s="108"/>
      <c r="BZ580" s="108"/>
      <c r="CA580" s="108"/>
      <c r="CB580" s="108"/>
      <c r="CC580" s="108"/>
      <c r="CD580" s="108"/>
      <c r="CE580" s="43"/>
      <c r="CF580" s="108"/>
      <c r="CG580" s="108"/>
      <c r="CH580" s="108"/>
      <c r="CI580" s="108"/>
      <c r="CJ580" s="108"/>
      <c r="CK580" s="108"/>
      <c r="CL580" s="43"/>
      <c r="CM580" s="108"/>
      <c r="CN580" s="108"/>
      <c r="CO580" s="108"/>
      <c r="CP580" s="108"/>
      <c r="CQ580" s="108"/>
      <c r="CR580" s="108"/>
      <c r="CS580" s="43"/>
      <c r="CT580" s="108"/>
      <c r="CU580" s="108"/>
      <c r="CV580" s="108"/>
      <c r="CW580" s="108"/>
      <c r="CX580" s="108"/>
      <c r="CY580" s="108"/>
      <c r="CZ580" s="43"/>
      <c r="DA580" s="108"/>
      <c r="DB580" s="108"/>
      <c r="DC580" s="108"/>
      <c r="DD580" s="108"/>
      <c r="DE580" s="108"/>
      <c r="DF580" s="108"/>
      <c r="DG580" s="43"/>
      <c r="DH580" s="108"/>
      <c r="DI580" s="108"/>
      <c r="DJ580" s="108"/>
      <c r="DK580" s="108"/>
      <c r="DL580" s="108"/>
      <c r="DM580" s="108"/>
      <c r="DN580" s="43"/>
      <c r="DO580" s="108"/>
      <c r="DP580" s="108"/>
      <c r="DQ580" s="108"/>
      <c r="DR580" s="108"/>
      <c r="DS580" s="108"/>
      <c r="DT580" s="108"/>
      <c r="DU580" s="43"/>
      <c r="DV580" s="108"/>
      <c r="DW580" s="108"/>
      <c r="DX580" s="108"/>
      <c r="DY580" s="108"/>
      <c r="DZ580" s="108"/>
      <c r="EA580" s="108"/>
      <c r="EB580" s="43"/>
      <c r="EC580" s="108"/>
      <c r="ED580" s="108"/>
      <c r="EE580" s="108"/>
      <c r="EF580" s="108"/>
      <c r="EG580" s="108"/>
      <c r="EH580" s="108"/>
      <c r="EI580" s="43"/>
      <c r="EJ580" s="47"/>
      <c r="EK580" s="47"/>
      <c r="EL580" s="47"/>
      <c r="EM580" s="47"/>
      <c r="EN580" s="47"/>
      <c r="EO580" s="47"/>
      <c r="EP580" s="47"/>
      <c r="EQ580" s="47"/>
      <c r="ER580" s="47"/>
      <c r="ES580" s="47"/>
      <c r="ET580" s="47"/>
      <c r="EU580" s="47"/>
      <c r="EV580" s="47"/>
      <c r="EW580" s="47"/>
      <c r="EX580" s="47"/>
      <c r="EY580" s="47"/>
      <c r="EZ580" s="47"/>
      <c r="FA580" s="47"/>
      <c r="FB580" s="47"/>
      <c r="FC580" s="47"/>
      <c r="FD580" s="47"/>
      <c r="FE580" s="47"/>
      <c r="FF580" s="47"/>
      <c r="FG580" s="47"/>
      <c r="FH580" s="47"/>
      <c r="FI580" s="47"/>
      <c r="FJ580" s="47"/>
      <c r="FK580" s="47"/>
      <c r="FL580" s="47"/>
      <c r="FM580" s="47"/>
      <c r="FN580" s="47"/>
      <c r="FO580" s="47"/>
      <c r="FP580" s="47"/>
      <c r="FQ580" s="47"/>
      <c r="FR580" s="47"/>
      <c r="FS580" s="47"/>
      <c r="FT580" s="47"/>
      <c r="FU580" s="47"/>
      <c r="FV580" s="47"/>
      <c r="FW580" s="47"/>
      <c r="FX580" s="47"/>
      <c r="FY580" s="47"/>
      <c r="FZ580" s="47"/>
      <c r="GA580" s="47"/>
      <c r="GB580" s="47"/>
      <c r="GC580" s="47"/>
      <c r="GD580" s="47"/>
      <c r="GE580" s="47"/>
    </row>
    <row r="581" spans="1:187" ht="10.5" customHeight="1">
      <c r="A581" s="43">
        <f>1290*0.6</f>
        <v>774</v>
      </c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43"/>
      <c r="U581" s="108"/>
      <c r="V581" s="108"/>
      <c r="W581" s="108"/>
      <c r="X581" s="108"/>
      <c r="Y581" s="108"/>
      <c r="Z581" s="108"/>
      <c r="AA581" s="43"/>
      <c r="AB581" s="108"/>
      <c r="AC581" s="108"/>
      <c r="AD581" s="108"/>
      <c r="AE581" s="108"/>
      <c r="AF581" s="108"/>
      <c r="AG581" s="108"/>
      <c r="AH581" s="43"/>
      <c r="AI581" s="108"/>
      <c r="AJ581" s="108"/>
      <c r="AK581" s="108"/>
      <c r="AL581" s="108"/>
      <c r="AM581" s="108"/>
      <c r="AN581" s="108"/>
      <c r="AO581" s="43"/>
      <c r="AP581" s="108"/>
      <c r="AQ581" s="108"/>
      <c r="AR581" s="108"/>
      <c r="AS581" s="108"/>
      <c r="AT581" s="108"/>
      <c r="AU581" s="108"/>
      <c r="AV581" s="43"/>
      <c r="AW581" s="108"/>
      <c r="AX581" s="108"/>
      <c r="AY581" s="108"/>
      <c r="AZ581" s="108"/>
      <c r="BA581" s="108"/>
      <c r="BB581" s="108"/>
      <c r="BC581" s="43"/>
      <c r="BD581" s="108"/>
      <c r="BE581" s="108"/>
      <c r="BF581" s="108"/>
      <c r="BG581" s="108"/>
      <c r="BH581" s="108"/>
      <c r="BI581" s="108"/>
      <c r="BJ581" s="43"/>
      <c r="BK581" s="108"/>
      <c r="BL581" s="108"/>
      <c r="BM581" s="108"/>
      <c r="BN581" s="108"/>
      <c r="BO581" s="108"/>
      <c r="BP581" s="108"/>
      <c r="BQ581" s="43"/>
      <c r="BR581" s="108"/>
      <c r="BS581" s="108"/>
      <c r="BT581" s="108"/>
      <c r="BU581" s="108"/>
      <c r="BV581" s="108"/>
      <c r="BW581" s="108"/>
      <c r="BX581" s="43"/>
      <c r="BY581" s="108"/>
      <c r="BZ581" s="108"/>
      <c r="CA581" s="108"/>
      <c r="CB581" s="108"/>
      <c r="CC581" s="108"/>
      <c r="CD581" s="108"/>
      <c r="CE581" s="43"/>
      <c r="CF581" s="108"/>
      <c r="CG581" s="108"/>
      <c r="CH581" s="108"/>
      <c r="CI581" s="108"/>
      <c r="CJ581" s="108"/>
      <c r="CK581" s="108"/>
      <c r="CL581" s="43"/>
      <c r="CM581" s="108"/>
      <c r="CN581" s="108"/>
      <c r="CO581" s="108"/>
      <c r="CP581" s="108"/>
      <c r="CQ581" s="108"/>
      <c r="CR581" s="108"/>
      <c r="CS581" s="43"/>
      <c r="CT581" s="108"/>
      <c r="CU581" s="108"/>
      <c r="CV581" s="108"/>
      <c r="CW581" s="108"/>
      <c r="CX581" s="108"/>
      <c r="CY581" s="108"/>
      <c r="CZ581" s="43"/>
      <c r="DA581" s="108"/>
      <c r="DB581" s="108"/>
      <c r="DC581" s="108"/>
      <c r="DD581" s="108"/>
      <c r="DE581" s="108"/>
      <c r="DF581" s="108"/>
      <c r="DG581" s="43"/>
      <c r="DH581" s="108"/>
      <c r="DI581" s="108"/>
      <c r="DJ581" s="108"/>
      <c r="DK581" s="108"/>
      <c r="DL581" s="108"/>
      <c r="DM581" s="108"/>
      <c r="DN581" s="43"/>
      <c r="DO581" s="108"/>
      <c r="DP581" s="108"/>
      <c r="DQ581" s="108"/>
      <c r="DR581" s="108"/>
      <c r="DS581" s="108"/>
      <c r="DT581" s="108"/>
      <c r="DU581" s="43"/>
      <c r="DV581" s="108"/>
      <c r="DW581" s="108"/>
      <c r="DX581" s="108"/>
      <c r="DY581" s="108"/>
      <c r="DZ581" s="108"/>
      <c r="EA581" s="108"/>
      <c r="EB581" s="43"/>
      <c r="EC581" s="108"/>
      <c r="ED581" s="108"/>
      <c r="EE581" s="108"/>
      <c r="EF581" s="108"/>
      <c r="EG581" s="108"/>
      <c r="EH581" s="108"/>
      <c r="EI581" s="43"/>
      <c r="EJ581" s="47"/>
      <c r="EK581" s="47"/>
      <c r="EL581" s="47"/>
      <c r="EM581" s="47"/>
      <c r="EN581" s="47"/>
      <c r="EO581" s="47"/>
      <c r="EP581" s="47"/>
      <c r="EQ581" s="47"/>
      <c r="ER581" s="47"/>
      <c r="ES581" s="47"/>
      <c r="ET581" s="47"/>
      <c r="EU581" s="47"/>
      <c r="EV581" s="47"/>
      <c r="EW581" s="47"/>
      <c r="EX581" s="47"/>
      <c r="EY581" s="47"/>
      <c r="EZ581" s="47"/>
      <c r="FA581" s="47"/>
      <c r="FB581" s="47"/>
      <c r="FC581" s="47"/>
      <c r="FD581" s="47"/>
      <c r="FE581" s="47"/>
      <c r="FF581" s="47"/>
      <c r="FG581" s="47"/>
      <c r="FH581" s="47"/>
      <c r="FI581" s="47"/>
      <c r="FJ581" s="47"/>
      <c r="FK581" s="47"/>
      <c r="FL581" s="47"/>
      <c r="FM581" s="47"/>
      <c r="FN581" s="47"/>
      <c r="FO581" s="47"/>
      <c r="FP581" s="47"/>
      <c r="FQ581" s="47"/>
      <c r="FR581" s="47"/>
      <c r="FS581" s="47"/>
      <c r="FT581" s="47"/>
      <c r="FU581" s="47"/>
      <c r="FV581" s="47"/>
      <c r="FW581" s="47"/>
      <c r="FX581" s="47"/>
      <c r="FY581" s="47"/>
      <c r="FZ581" s="47"/>
      <c r="GA581" s="47"/>
      <c r="GB581" s="47"/>
      <c r="GC581" s="47"/>
      <c r="GD581" s="47"/>
      <c r="GE581" s="47"/>
    </row>
    <row r="582" spans="1:187" ht="10.5" customHeight="1">
      <c r="A582" s="43">
        <f>+A580-A581</f>
        <v>576</v>
      </c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43"/>
      <c r="U582" s="108"/>
      <c r="V582" s="108"/>
      <c r="W582" s="108"/>
      <c r="X582" s="108"/>
      <c r="Y582" s="108"/>
      <c r="Z582" s="108"/>
      <c r="AA582" s="43"/>
      <c r="AB582" s="108"/>
      <c r="AC582" s="108"/>
      <c r="AD582" s="108"/>
      <c r="AE582" s="108"/>
      <c r="AF582" s="108"/>
      <c r="AG582" s="108"/>
      <c r="AH582" s="43"/>
      <c r="AI582" s="108"/>
      <c r="AJ582" s="108"/>
      <c r="AK582" s="108"/>
      <c r="AL582" s="108"/>
      <c r="AM582" s="108"/>
      <c r="AN582" s="108"/>
      <c r="AO582" s="43"/>
      <c r="AP582" s="108"/>
      <c r="AQ582" s="108"/>
      <c r="AR582" s="108"/>
      <c r="AS582" s="108"/>
      <c r="AT582" s="108"/>
      <c r="AU582" s="108"/>
      <c r="AV582" s="43"/>
      <c r="AW582" s="108"/>
      <c r="AX582" s="108"/>
      <c r="AY582" s="108"/>
      <c r="AZ582" s="108"/>
      <c r="BA582" s="108"/>
      <c r="BB582" s="108"/>
      <c r="BC582" s="43"/>
      <c r="BD582" s="108"/>
      <c r="BE582" s="108"/>
      <c r="BF582" s="108"/>
      <c r="BG582" s="108"/>
      <c r="BH582" s="108"/>
      <c r="BI582" s="108"/>
      <c r="BJ582" s="43"/>
      <c r="BK582" s="108"/>
      <c r="BL582" s="108"/>
      <c r="BM582" s="108"/>
      <c r="BN582" s="108"/>
      <c r="BO582" s="108"/>
      <c r="BP582" s="108"/>
      <c r="BQ582" s="43"/>
      <c r="BR582" s="108"/>
      <c r="BS582" s="108"/>
      <c r="BT582" s="108"/>
      <c r="BU582" s="108"/>
      <c r="BV582" s="108"/>
      <c r="BW582" s="108"/>
      <c r="BX582" s="43"/>
      <c r="BY582" s="108"/>
      <c r="BZ582" s="108"/>
      <c r="CA582" s="108"/>
      <c r="CB582" s="108"/>
      <c r="CC582" s="108"/>
      <c r="CD582" s="108"/>
      <c r="CE582" s="43"/>
      <c r="CF582" s="108"/>
      <c r="CG582" s="108"/>
      <c r="CH582" s="108"/>
      <c r="CI582" s="108"/>
      <c r="CJ582" s="108"/>
      <c r="CK582" s="108"/>
      <c r="CL582" s="43"/>
      <c r="CM582" s="108"/>
      <c r="CN582" s="108"/>
      <c r="CO582" s="108"/>
      <c r="CP582" s="108"/>
      <c r="CQ582" s="108"/>
      <c r="CR582" s="108"/>
      <c r="CS582" s="43"/>
      <c r="CT582" s="108"/>
      <c r="CU582" s="108"/>
      <c r="CV582" s="108"/>
      <c r="CW582" s="108"/>
      <c r="CX582" s="108"/>
      <c r="CY582" s="108"/>
      <c r="CZ582" s="43"/>
      <c r="DA582" s="108"/>
      <c r="DB582" s="108"/>
      <c r="DC582" s="108"/>
      <c r="DD582" s="108"/>
      <c r="DE582" s="108"/>
      <c r="DF582" s="108"/>
      <c r="DG582" s="43"/>
      <c r="DH582" s="108"/>
      <c r="DI582" s="108"/>
      <c r="DJ582" s="108"/>
      <c r="DK582" s="108"/>
      <c r="DL582" s="108"/>
      <c r="DM582" s="108"/>
      <c r="DN582" s="43"/>
      <c r="DO582" s="108"/>
      <c r="DP582" s="108"/>
      <c r="DQ582" s="108"/>
      <c r="DR582" s="108"/>
      <c r="DS582" s="108"/>
      <c r="DT582" s="108"/>
      <c r="DU582" s="43"/>
      <c r="DV582" s="108"/>
      <c r="DW582" s="108"/>
      <c r="DX582" s="108"/>
      <c r="DY582" s="108"/>
      <c r="DZ582" s="108"/>
      <c r="EA582" s="108"/>
      <c r="EB582" s="43"/>
      <c r="EC582" s="108"/>
      <c r="ED582" s="108"/>
      <c r="EE582" s="108"/>
      <c r="EF582" s="108"/>
      <c r="EG582" s="108"/>
      <c r="EH582" s="108"/>
      <c r="EI582" s="43"/>
      <c r="EJ582" s="47"/>
      <c r="EK582" s="47"/>
      <c r="EL582" s="47"/>
      <c r="EM582" s="47"/>
      <c r="EN582" s="47"/>
      <c r="EO582" s="47"/>
      <c r="EP582" s="47"/>
      <c r="EQ582" s="47"/>
      <c r="ER582" s="47"/>
      <c r="ES582" s="47"/>
      <c r="ET582" s="47"/>
      <c r="EU582" s="47"/>
      <c r="EV582" s="47"/>
      <c r="EW582" s="47"/>
      <c r="EX582" s="47"/>
      <c r="EY582" s="47"/>
      <c r="EZ582" s="47"/>
      <c r="FA582" s="47"/>
      <c r="FB582" s="47"/>
      <c r="FC582" s="47"/>
      <c r="FD582" s="47"/>
      <c r="FE582" s="47"/>
      <c r="FF582" s="47"/>
      <c r="FG582" s="47"/>
      <c r="FH582" s="47"/>
      <c r="FI582" s="47"/>
      <c r="FJ582" s="47"/>
      <c r="FK582" s="47"/>
      <c r="FL582" s="47"/>
      <c r="FM582" s="47"/>
      <c r="FN582" s="47"/>
      <c r="FO582" s="47"/>
      <c r="FP582" s="47"/>
      <c r="FQ582" s="47"/>
      <c r="FR582" s="47"/>
      <c r="FS582" s="47"/>
      <c r="FT582" s="47"/>
      <c r="FU582" s="47"/>
      <c r="FV582" s="47"/>
      <c r="FW582" s="47"/>
      <c r="FX582" s="47"/>
      <c r="FY582" s="47"/>
      <c r="FZ582" s="47"/>
      <c r="GA582" s="47"/>
      <c r="GB582" s="47"/>
      <c r="GC582" s="47"/>
      <c r="GD582" s="47"/>
      <c r="GE582" s="47"/>
    </row>
    <row r="583" spans="1:187" ht="10.5" customHeight="1">
      <c r="A583" s="43">
        <f>+A582/A579</f>
        <v>0.11731160896130347</v>
      </c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43"/>
      <c r="U583" s="108"/>
      <c r="V583" s="108"/>
      <c r="W583" s="108"/>
      <c r="X583" s="108"/>
      <c r="Y583" s="108"/>
      <c r="Z583" s="108"/>
      <c r="AA583" s="43"/>
      <c r="AB583" s="108"/>
      <c r="AC583" s="108"/>
      <c r="AD583" s="108"/>
      <c r="AE583" s="108"/>
      <c r="AF583" s="108"/>
      <c r="AG583" s="108"/>
      <c r="AH583" s="43"/>
      <c r="AI583" s="108"/>
      <c r="AJ583" s="108"/>
      <c r="AK583" s="108"/>
      <c r="AL583" s="108"/>
      <c r="AM583" s="108"/>
      <c r="AN583" s="108"/>
      <c r="AO583" s="43"/>
      <c r="AP583" s="108"/>
      <c r="AQ583" s="108"/>
      <c r="AR583" s="108"/>
      <c r="AS583" s="108"/>
      <c r="AT583" s="108"/>
      <c r="AU583" s="108"/>
      <c r="AV583" s="43"/>
      <c r="AW583" s="108"/>
      <c r="AX583" s="108"/>
      <c r="AY583" s="108"/>
      <c r="AZ583" s="108"/>
      <c r="BA583" s="108"/>
      <c r="BB583" s="108"/>
      <c r="BC583" s="43"/>
      <c r="BD583" s="108"/>
      <c r="BE583" s="108"/>
      <c r="BF583" s="108"/>
      <c r="BG583" s="108"/>
      <c r="BH583" s="108"/>
      <c r="BI583" s="108"/>
      <c r="BJ583" s="43"/>
      <c r="BK583" s="108"/>
      <c r="BL583" s="108"/>
      <c r="BM583" s="108"/>
      <c r="BN583" s="108"/>
      <c r="BO583" s="108"/>
      <c r="BP583" s="108"/>
      <c r="BQ583" s="43"/>
      <c r="BR583" s="108"/>
      <c r="BS583" s="108"/>
      <c r="BT583" s="108"/>
      <c r="BU583" s="108"/>
      <c r="BV583" s="108"/>
      <c r="BW583" s="108"/>
      <c r="BX583" s="43"/>
      <c r="BY583" s="108"/>
      <c r="BZ583" s="108"/>
      <c r="CA583" s="108"/>
      <c r="CB583" s="108"/>
      <c r="CC583" s="108"/>
      <c r="CD583" s="108"/>
      <c r="CE583" s="43"/>
      <c r="CF583" s="108"/>
      <c r="CG583" s="108"/>
      <c r="CH583" s="108"/>
      <c r="CI583" s="108"/>
      <c r="CJ583" s="108"/>
      <c r="CK583" s="108"/>
      <c r="CL583" s="43"/>
      <c r="CM583" s="108"/>
      <c r="CN583" s="108"/>
      <c r="CO583" s="108"/>
      <c r="CP583" s="108"/>
      <c r="CQ583" s="108"/>
      <c r="CR583" s="108"/>
      <c r="CS583" s="43"/>
      <c r="CT583" s="108"/>
      <c r="CU583" s="108"/>
      <c r="CV583" s="108"/>
      <c r="CW583" s="108"/>
      <c r="CX583" s="108"/>
      <c r="CY583" s="108"/>
      <c r="CZ583" s="43"/>
      <c r="DA583" s="108"/>
      <c r="DB583" s="108"/>
      <c r="DC583" s="108"/>
      <c r="DD583" s="108"/>
      <c r="DE583" s="108"/>
      <c r="DF583" s="108"/>
      <c r="DG583" s="43"/>
      <c r="DH583" s="108"/>
      <c r="DI583" s="108"/>
      <c r="DJ583" s="108"/>
      <c r="DK583" s="108"/>
      <c r="DL583" s="108"/>
      <c r="DM583" s="108"/>
      <c r="DN583" s="43"/>
      <c r="DO583" s="108"/>
      <c r="DP583" s="108"/>
      <c r="DQ583" s="108"/>
      <c r="DR583" s="108"/>
      <c r="DS583" s="108"/>
      <c r="DT583" s="108"/>
      <c r="DU583" s="43"/>
      <c r="DV583" s="108"/>
      <c r="DW583" s="108"/>
      <c r="DX583" s="108"/>
      <c r="DY583" s="108"/>
      <c r="DZ583" s="108"/>
      <c r="EA583" s="108"/>
      <c r="EB583" s="43"/>
      <c r="EC583" s="108"/>
      <c r="ED583" s="108"/>
      <c r="EE583" s="108"/>
      <c r="EF583" s="108"/>
      <c r="EG583" s="108"/>
      <c r="EH583" s="108"/>
      <c r="EI583" s="43"/>
      <c r="EJ583" s="47"/>
      <c r="EK583" s="47"/>
      <c r="EL583" s="47"/>
      <c r="EM583" s="47"/>
      <c r="EN583" s="47"/>
      <c r="EO583" s="47"/>
      <c r="EP583" s="47"/>
      <c r="EQ583" s="47"/>
      <c r="ER583" s="47"/>
      <c r="ES583" s="47"/>
      <c r="ET583" s="47"/>
      <c r="EU583" s="47"/>
      <c r="EV583" s="47"/>
      <c r="EW583" s="47"/>
      <c r="EX583" s="47"/>
      <c r="EY583" s="47"/>
      <c r="EZ583" s="47"/>
      <c r="FA583" s="47"/>
      <c r="FB583" s="47"/>
      <c r="FC583" s="47"/>
      <c r="FD583" s="47"/>
      <c r="FE583" s="47"/>
      <c r="FF583" s="47"/>
      <c r="FG583" s="47"/>
      <c r="FH583" s="47"/>
      <c r="FI583" s="47"/>
      <c r="FJ583" s="47"/>
      <c r="FK583" s="47"/>
      <c r="FL583" s="47"/>
      <c r="FM583" s="47"/>
      <c r="FN583" s="47"/>
      <c r="FO583" s="47"/>
      <c r="FP583" s="47"/>
      <c r="FQ583" s="47"/>
      <c r="FR583" s="47"/>
      <c r="FS583" s="47"/>
      <c r="FT583" s="47"/>
      <c r="FU583" s="47"/>
      <c r="FV583" s="47"/>
      <c r="FW583" s="47"/>
      <c r="FX583" s="47"/>
      <c r="FY583" s="47"/>
      <c r="FZ583" s="47"/>
      <c r="GA583" s="47"/>
      <c r="GB583" s="47"/>
      <c r="GC583" s="47"/>
      <c r="GD583" s="47"/>
      <c r="GE583" s="47"/>
    </row>
    <row r="584" spans="1:187" ht="10.5" customHeight="1">
      <c r="A584" s="47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47"/>
      <c r="U584" s="299"/>
      <c r="V584" s="299"/>
      <c r="W584" s="299"/>
      <c r="X584" s="299"/>
      <c r="Y584" s="299"/>
      <c r="Z584" s="299"/>
      <c r="AA584" s="47"/>
      <c r="AB584" s="299"/>
      <c r="AC584" s="299"/>
      <c r="AD584" s="299"/>
      <c r="AE584" s="299"/>
      <c r="AF584" s="299"/>
      <c r="AG584" s="299"/>
      <c r="AH584" s="47"/>
      <c r="AI584" s="299"/>
      <c r="AJ584" s="299"/>
      <c r="AK584" s="299"/>
      <c r="AL584" s="299"/>
      <c r="AM584" s="299"/>
      <c r="AN584" s="299"/>
      <c r="AO584" s="47"/>
      <c r="AP584" s="299"/>
      <c r="AQ584" s="299"/>
      <c r="AR584" s="299"/>
      <c r="AS584" s="299"/>
      <c r="AT584" s="299"/>
      <c r="AU584" s="299"/>
      <c r="AV584" s="47"/>
      <c r="AW584" s="299"/>
      <c r="AX584" s="299"/>
      <c r="AY584" s="299"/>
      <c r="AZ584" s="299"/>
      <c r="BA584" s="299"/>
      <c r="BB584" s="299"/>
      <c r="BC584" s="47"/>
      <c r="BD584" s="299"/>
      <c r="BE584" s="299"/>
      <c r="BF584" s="299"/>
      <c r="BG584" s="299"/>
      <c r="BH584" s="299"/>
      <c r="BI584" s="299"/>
      <c r="BJ584" s="47"/>
      <c r="BK584" s="299"/>
      <c r="BL584" s="299"/>
      <c r="BM584" s="299"/>
      <c r="BN584" s="299"/>
      <c r="BO584" s="299"/>
      <c r="BP584" s="299"/>
      <c r="BQ584" s="47"/>
      <c r="BR584" s="299"/>
      <c r="BS584" s="299"/>
      <c r="BT584" s="299"/>
      <c r="BU584" s="299"/>
      <c r="BV584" s="299"/>
      <c r="BW584" s="299"/>
      <c r="BX584" s="47"/>
      <c r="BY584" s="299"/>
      <c r="BZ584" s="299"/>
      <c r="CA584" s="299"/>
      <c r="CB584" s="299"/>
      <c r="CC584" s="299"/>
      <c r="CD584" s="299"/>
      <c r="CE584" s="47"/>
      <c r="CF584" s="299"/>
      <c r="CG584" s="299"/>
      <c r="CH584" s="299"/>
      <c r="CI584" s="299"/>
      <c r="CJ584" s="299"/>
      <c r="CK584" s="299"/>
      <c r="CL584" s="47"/>
      <c r="CM584" s="299"/>
      <c r="CN584" s="299"/>
      <c r="CO584" s="299"/>
      <c r="CP584" s="299"/>
      <c r="CQ584" s="299"/>
      <c r="CR584" s="299"/>
      <c r="CS584" s="47"/>
      <c r="CT584" s="299"/>
      <c r="CU584" s="299"/>
      <c r="CV584" s="299"/>
      <c r="CW584" s="299"/>
      <c r="CX584" s="299"/>
      <c r="CY584" s="299"/>
      <c r="CZ584" s="47"/>
      <c r="DA584" s="299"/>
      <c r="DB584" s="299"/>
      <c r="DC584" s="299"/>
      <c r="DD584" s="299"/>
      <c r="DE584" s="299"/>
      <c r="DF584" s="299"/>
      <c r="DG584" s="47"/>
      <c r="DH584" s="299"/>
      <c r="DI584" s="299"/>
      <c r="DJ584" s="299"/>
      <c r="DK584" s="299"/>
      <c r="DL584" s="299"/>
      <c r="DM584" s="299"/>
      <c r="DN584" s="47"/>
      <c r="DO584" s="299"/>
      <c r="DP584" s="299"/>
      <c r="DQ584" s="299"/>
      <c r="DR584" s="299"/>
      <c r="DS584" s="299"/>
      <c r="DT584" s="299"/>
      <c r="DU584" s="47"/>
      <c r="DV584" s="299"/>
      <c r="DW584" s="299"/>
      <c r="DX584" s="299"/>
      <c r="DY584" s="299"/>
      <c r="DZ584" s="299"/>
      <c r="EA584" s="299"/>
      <c r="EB584" s="47"/>
      <c r="EC584" s="299"/>
      <c r="ED584" s="299"/>
      <c r="EE584" s="299"/>
      <c r="EF584" s="299"/>
      <c r="EG584" s="299"/>
      <c r="EH584" s="299"/>
      <c r="EI584" s="47"/>
      <c r="EJ584" s="47"/>
      <c r="EK584" s="47"/>
      <c r="EL584" s="47"/>
      <c r="EM584" s="47"/>
      <c r="EN584" s="47"/>
      <c r="EO584" s="47"/>
      <c r="EP584" s="47"/>
      <c r="EQ584" s="47"/>
      <c r="ER584" s="47"/>
      <c r="ES584" s="47"/>
      <c r="ET584" s="47"/>
      <c r="EU584" s="47"/>
      <c r="EV584" s="47"/>
      <c r="EW584" s="47"/>
      <c r="EX584" s="47"/>
      <c r="EY584" s="47"/>
      <c r="EZ584" s="47"/>
      <c r="FA584" s="47"/>
      <c r="FB584" s="47"/>
      <c r="FC584" s="47"/>
      <c r="FD584" s="47"/>
      <c r="FE584" s="47"/>
      <c r="FF584" s="47"/>
      <c r="FG584" s="47"/>
      <c r="FH584" s="47"/>
      <c r="FI584" s="47"/>
      <c r="FJ584" s="47"/>
      <c r="FK584" s="47"/>
      <c r="FL584" s="47"/>
      <c r="FM584" s="47"/>
      <c r="FN584" s="47"/>
      <c r="FO584" s="47"/>
      <c r="FP584" s="47"/>
      <c r="FQ584" s="47"/>
      <c r="FR584" s="47"/>
      <c r="FS584" s="47"/>
      <c r="FT584" s="47"/>
      <c r="FU584" s="47"/>
      <c r="FV584" s="47"/>
      <c r="FW584" s="47"/>
      <c r="FX584" s="47"/>
      <c r="FY584" s="47"/>
      <c r="FZ584" s="47"/>
      <c r="GA584" s="47"/>
      <c r="GB584" s="47"/>
      <c r="GC584" s="47"/>
      <c r="GD584" s="47"/>
      <c r="GE584" s="47"/>
    </row>
    <row r="585" spans="1:187" ht="10.5" customHeight="1">
      <c r="A585" s="47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47"/>
      <c r="U585" s="299"/>
      <c r="V585" s="299"/>
      <c r="W585" s="299"/>
      <c r="X585" s="299"/>
      <c r="Y585" s="299"/>
      <c r="Z585" s="299"/>
      <c r="AA585" s="47"/>
      <c r="AB585" s="299"/>
      <c r="AC585" s="299"/>
      <c r="AD585" s="299"/>
      <c r="AE585" s="299"/>
      <c r="AF585" s="299"/>
      <c r="AG585" s="299"/>
      <c r="AH585" s="47"/>
      <c r="AI585" s="299"/>
      <c r="AJ585" s="299"/>
      <c r="AK585" s="299"/>
      <c r="AL585" s="299"/>
      <c r="AM585" s="299"/>
      <c r="AN585" s="299"/>
      <c r="AO585" s="47"/>
      <c r="AP585" s="299"/>
      <c r="AQ585" s="299"/>
      <c r="AR585" s="299"/>
      <c r="AS585" s="299"/>
      <c r="AT585" s="299"/>
      <c r="AU585" s="299"/>
      <c r="AV585" s="47"/>
      <c r="AW585" s="299"/>
      <c r="AX585" s="299"/>
      <c r="AY585" s="299"/>
      <c r="AZ585" s="299"/>
      <c r="BA585" s="299"/>
      <c r="BB585" s="299"/>
      <c r="BC585" s="47"/>
      <c r="BD585" s="299"/>
      <c r="BE585" s="299"/>
      <c r="BF585" s="299"/>
      <c r="BG585" s="299"/>
      <c r="BH585" s="299"/>
      <c r="BI585" s="299"/>
      <c r="BJ585" s="47"/>
      <c r="BK585" s="299"/>
      <c r="BL585" s="299"/>
      <c r="BM585" s="299"/>
      <c r="BN585" s="299"/>
      <c r="BO585" s="299"/>
      <c r="BP585" s="299"/>
      <c r="BQ585" s="47"/>
      <c r="BR585" s="299"/>
      <c r="BS585" s="299"/>
      <c r="BT585" s="299"/>
      <c r="BU585" s="299"/>
      <c r="BV585" s="299"/>
      <c r="BW585" s="299"/>
      <c r="BX585" s="47"/>
      <c r="BY585" s="299"/>
      <c r="BZ585" s="299"/>
      <c r="CA585" s="299"/>
      <c r="CB585" s="299"/>
      <c r="CC585" s="299"/>
      <c r="CD585" s="299"/>
      <c r="CE585" s="47"/>
      <c r="CF585" s="299"/>
      <c r="CG585" s="299"/>
      <c r="CH585" s="299"/>
      <c r="CI585" s="299"/>
      <c r="CJ585" s="299"/>
      <c r="CK585" s="299"/>
      <c r="CL585" s="47"/>
      <c r="CM585" s="299"/>
      <c r="CN585" s="299"/>
      <c r="CO585" s="299"/>
      <c r="CP585" s="299"/>
      <c r="CQ585" s="299"/>
      <c r="CR585" s="299"/>
      <c r="CS585" s="47"/>
      <c r="CT585" s="299"/>
      <c r="CU585" s="299"/>
      <c r="CV585" s="299"/>
      <c r="CW585" s="299"/>
      <c r="CX585" s="299"/>
      <c r="CY585" s="299"/>
      <c r="CZ585" s="47"/>
      <c r="DA585" s="299"/>
      <c r="DB585" s="299"/>
      <c r="DC585" s="299"/>
      <c r="DD585" s="299"/>
      <c r="DE585" s="299"/>
      <c r="DF585" s="299"/>
      <c r="DG585" s="47"/>
      <c r="DH585" s="299"/>
      <c r="DI585" s="299"/>
      <c r="DJ585" s="299"/>
      <c r="DK585" s="299"/>
      <c r="DL585" s="299"/>
      <c r="DM585" s="299"/>
      <c r="DN585" s="47"/>
      <c r="DO585" s="299"/>
      <c r="DP585" s="299"/>
      <c r="DQ585" s="299"/>
      <c r="DR585" s="299"/>
      <c r="DS585" s="299"/>
      <c r="DT585" s="299"/>
      <c r="DU585" s="47"/>
      <c r="DV585" s="299"/>
      <c r="DW585" s="299"/>
      <c r="DX585" s="299"/>
      <c r="DY585" s="299"/>
      <c r="DZ585" s="299"/>
      <c r="EA585" s="299"/>
      <c r="EB585" s="47"/>
      <c r="EC585" s="299"/>
      <c r="ED585" s="299"/>
      <c r="EE585" s="299"/>
      <c r="EF585" s="299"/>
      <c r="EG585" s="299"/>
      <c r="EH585" s="299"/>
      <c r="EI585" s="47"/>
      <c r="EJ585" s="47"/>
      <c r="EK585" s="47"/>
      <c r="EL585" s="47"/>
      <c r="EM585" s="47"/>
      <c r="EN585" s="47"/>
      <c r="EO585" s="47"/>
      <c r="EP585" s="47"/>
      <c r="EQ585" s="47"/>
      <c r="ER585" s="47"/>
      <c r="ES585" s="47"/>
      <c r="ET585" s="47"/>
      <c r="EU585" s="47"/>
      <c r="EV585" s="47"/>
      <c r="EW585" s="47"/>
      <c r="EX585" s="47"/>
      <c r="EY585" s="47"/>
      <c r="EZ585" s="47"/>
      <c r="FA585" s="47"/>
      <c r="FB585" s="47"/>
      <c r="FC585" s="47"/>
      <c r="FD585" s="47"/>
      <c r="FE585" s="47"/>
      <c r="FF585" s="47"/>
      <c r="FG585" s="47"/>
      <c r="FH585" s="47"/>
      <c r="FI585" s="47"/>
      <c r="FJ585" s="47"/>
      <c r="FK585" s="47"/>
      <c r="FL585" s="47"/>
      <c r="FM585" s="47"/>
      <c r="FN585" s="47"/>
      <c r="FO585" s="47"/>
      <c r="FP585" s="47"/>
      <c r="FQ585" s="47"/>
      <c r="FR585" s="47"/>
      <c r="FS585" s="47"/>
      <c r="FT585" s="47"/>
      <c r="FU585" s="47"/>
      <c r="FV585" s="47"/>
      <c r="FW585" s="47"/>
      <c r="FX585" s="47"/>
      <c r="FY585" s="47"/>
      <c r="FZ585" s="47"/>
      <c r="GA585" s="47"/>
      <c r="GB585" s="47"/>
      <c r="GC585" s="47"/>
      <c r="GD585" s="47"/>
      <c r="GE585" s="47"/>
    </row>
    <row r="586" spans="1:187" ht="10.5" customHeight="1">
      <c r="A586" s="47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47"/>
      <c r="U586" s="299"/>
      <c r="V586" s="299"/>
      <c r="W586" s="299"/>
      <c r="X586" s="299"/>
      <c r="Y586" s="299"/>
      <c r="Z586" s="299"/>
      <c r="AA586" s="47"/>
      <c r="AB586" s="299"/>
      <c r="AC586" s="299"/>
      <c r="AD586" s="299"/>
      <c r="AE586" s="299"/>
      <c r="AF586" s="299"/>
      <c r="AG586" s="299"/>
      <c r="AH586" s="47"/>
      <c r="AI586" s="299"/>
      <c r="AJ586" s="299"/>
      <c r="AK586" s="299"/>
      <c r="AL586" s="299"/>
      <c r="AM586" s="299"/>
      <c r="AN586" s="299"/>
      <c r="AO586" s="47"/>
      <c r="AP586" s="299"/>
      <c r="AQ586" s="299"/>
      <c r="AR586" s="299"/>
      <c r="AS586" s="299"/>
      <c r="AT586" s="299"/>
      <c r="AU586" s="299"/>
      <c r="AV586" s="47"/>
      <c r="AW586" s="299"/>
      <c r="AX586" s="299"/>
      <c r="AY586" s="299"/>
      <c r="AZ586" s="299"/>
      <c r="BA586" s="299"/>
      <c r="BB586" s="299"/>
      <c r="BC586" s="47"/>
      <c r="BD586" s="299"/>
      <c r="BE586" s="299"/>
      <c r="BF586" s="299"/>
      <c r="BG586" s="299"/>
      <c r="BH586" s="299"/>
      <c r="BI586" s="299"/>
      <c r="BJ586" s="47"/>
      <c r="BK586" s="299"/>
      <c r="BL586" s="299"/>
      <c r="BM586" s="299"/>
      <c r="BN586" s="299"/>
      <c r="BO586" s="299"/>
      <c r="BP586" s="299"/>
      <c r="BQ586" s="47"/>
      <c r="BR586" s="299"/>
      <c r="BS586" s="299"/>
      <c r="BT586" s="299"/>
      <c r="BU586" s="299"/>
      <c r="BV586" s="299"/>
      <c r="BW586" s="299"/>
      <c r="BX586" s="47"/>
      <c r="BY586" s="299"/>
      <c r="BZ586" s="299"/>
      <c r="CA586" s="299"/>
      <c r="CB586" s="299"/>
      <c r="CC586" s="299"/>
      <c r="CD586" s="299"/>
      <c r="CE586" s="47"/>
      <c r="CF586" s="299"/>
      <c r="CG586" s="299"/>
      <c r="CH586" s="299"/>
      <c r="CI586" s="299"/>
      <c r="CJ586" s="299"/>
      <c r="CK586" s="299"/>
      <c r="CL586" s="47"/>
      <c r="CM586" s="299"/>
      <c r="CN586" s="299"/>
      <c r="CO586" s="299"/>
      <c r="CP586" s="299"/>
      <c r="CQ586" s="299"/>
      <c r="CR586" s="299"/>
      <c r="CS586" s="47"/>
      <c r="CT586" s="299"/>
      <c r="CU586" s="299"/>
      <c r="CV586" s="299"/>
      <c r="CW586" s="299"/>
      <c r="CX586" s="299"/>
      <c r="CY586" s="299"/>
      <c r="CZ586" s="47"/>
      <c r="DA586" s="299"/>
      <c r="DB586" s="299"/>
      <c r="DC586" s="299"/>
      <c r="DD586" s="299"/>
      <c r="DE586" s="299"/>
      <c r="DF586" s="299"/>
      <c r="DG586" s="47"/>
      <c r="DH586" s="299"/>
      <c r="DI586" s="299"/>
      <c r="DJ586" s="299"/>
      <c r="DK586" s="299"/>
      <c r="DL586" s="299"/>
      <c r="DM586" s="299"/>
      <c r="DN586" s="47"/>
      <c r="DO586" s="299"/>
      <c r="DP586" s="299"/>
      <c r="DQ586" s="299"/>
      <c r="DR586" s="299"/>
      <c r="DS586" s="299"/>
      <c r="DT586" s="299"/>
      <c r="DU586" s="47"/>
      <c r="DV586" s="299"/>
      <c r="DW586" s="299"/>
      <c r="DX586" s="299"/>
      <c r="DY586" s="299"/>
      <c r="DZ586" s="299"/>
      <c r="EA586" s="299"/>
      <c r="EB586" s="47"/>
      <c r="EC586" s="299"/>
      <c r="ED586" s="299"/>
      <c r="EE586" s="299"/>
      <c r="EF586" s="299"/>
      <c r="EG586" s="299"/>
      <c r="EH586" s="299"/>
      <c r="EI586" s="47"/>
      <c r="EJ586" s="47"/>
      <c r="EK586" s="47"/>
      <c r="EL586" s="47"/>
      <c r="EM586" s="47"/>
      <c r="EN586" s="47"/>
      <c r="EO586" s="47"/>
      <c r="EP586" s="47"/>
      <c r="EQ586" s="47"/>
      <c r="ER586" s="47"/>
      <c r="ES586" s="47"/>
      <c r="ET586" s="47"/>
      <c r="EU586" s="47"/>
      <c r="EV586" s="47"/>
      <c r="EW586" s="47"/>
      <c r="EX586" s="47"/>
      <c r="EY586" s="47"/>
      <c r="EZ586" s="47"/>
      <c r="FA586" s="47"/>
      <c r="FB586" s="47"/>
      <c r="FC586" s="47"/>
      <c r="FD586" s="47"/>
      <c r="FE586" s="47"/>
      <c r="FF586" s="47"/>
      <c r="FG586" s="47"/>
      <c r="FH586" s="47"/>
      <c r="FI586" s="47"/>
      <c r="FJ586" s="47"/>
      <c r="FK586" s="47"/>
      <c r="FL586" s="47"/>
      <c r="FM586" s="47"/>
      <c r="FN586" s="47"/>
      <c r="FO586" s="47"/>
      <c r="FP586" s="47"/>
      <c r="FQ586" s="47"/>
      <c r="FR586" s="47"/>
      <c r="FS586" s="47"/>
      <c r="FT586" s="47"/>
      <c r="FU586" s="47"/>
      <c r="FV586" s="47"/>
      <c r="FW586" s="47"/>
      <c r="FX586" s="47"/>
      <c r="FY586" s="47"/>
      <c r="FZ586" s="47"/>
      <c r="GA586" s="47"/>
      <c r="GB586" s="47"/>
      <c r="GC586" s="47"/>
      <c r="GD586" s="47"/>
      <c r="GE586" s="47"/>
    </row>
    <row r="587" spans="1:187" ht="10.5" customHeight="1">
      <c r="A587" s="47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47"/>
      <c r="U587" s="299"/>
      <c r="V587" s="299"/>
      <c r="W587" s="299"/>
      <c r="X587" s="299"/>
      <c r="Y587" s="299"/>
      <c r="Z587" s="299"/>
      <c r="AA587" s="47"/>
      <c r="AB587" s="299"/>
      <c r="AC587" s="299"/>
      <c r="AD587" s="299"/>
      <c r="AE587" s="299"/>
      <c r="AF587" s="299"/>
      <c r="AG587" s="299"/>
      <c r="AH587" s="47"/>
      <c r="AI587" s="299"/>
      <c r="AJ587" s="299"/>
      <c r="AK587" s="299"/>
      <c r="AL587" s="299"/>
      <c r="AM587" s="299"/>
      <c r="AN587" s="299"/>
      <c r="AO587" s="47"/>
      <c r="AP587" s="299"/>
      <c r="AQ587" s="299"/>
      <c r="AR587" s="299"/>
      <c r="AS587" s="299"/>
      <c r="AT587" s="299"/>
      <c r="AU587" s="299"/>
      <c r="AV587" s="47"/>
      <c r="AW587" s="299"/>
      <c r="AX587" s="299"/>
      <c r="AY587" s="299"/>
      <c r="AZ587" s="299"/>
      <c r="BA587" s="299"/>
      <c r="BB587" s="299"/>
      <c r="BC587" s="47"/>
      <c r="BD587" s="299"/>
      <c r="BE587" s="299"/>
      <c r="BF587" s="299"/>
      <c r="BG587" s="299"/>
      <c r="BH587" s="299"/>
      <c r="BI587" s="299"/>
      <c r="BJ587" s="47"/>
      <c r="BK587" s="299"/>
      <c r="BL587" s="299"/>
      <c r="BM587" s="299"/>
      <c r="BN587" s="299"/>
      <c r="BO587" s="299"/>
      <c r="BP587" s="299"/>
      <c r="BQ587" s="47"/>
      <c r="BR587" s="299"/>
      <c r="BS587" s="299"/>
      <c r="BT587" s="299"/>
      <c r="BU587" s="299"/>
      <c r="BV587" s="299"/>
      <c r="BW587" s="299"/>
      <c r="BX587" s="47"/>
      <c r="BY587" s="299"/>
      <c r="BZ587" s="299"/>
      <c r="CA587" s="299"/>
      <c r="CB587" s="299"/>
      <c r="CC587" s="299"/>
      <c r="CD587" s="299"/>
      <c r="CE587" s="47"/>
      <c r="CF587" s="299"/>
      <c r="CG587" s="299"/>
      <c r="CH587" s="299"/>
      <c r="CI587" s="299"/>
      <c r="CJ587" s="299"/>
      <c r="CK587" s="299"/>
      <c r="CL587" s="47"/>
      <c r="CM587" s="299"/>
      <c r="CN587" s="299"/>
      <c r="CO587" s="299"/>
      <c r="CP587" s="299"/>
      <c r="CQ587" s="299"/>
      <c r="CR587" s="299"/>
      <c r="CS587" s="47"/>
      <c r="CT587" s="299"/>
      <c r="CU587" s="299"/>
      <c r="CV587" s="299"/>
      <c r="CW587" s="299"/>
      <c r="CX587" s="299"/>
      <c r="CY587" s="299"/>
      <c r="CZ587" s="47"/>
      <c r="DA587" s="299"/>
      <c r="DB587" s="299"/>
      <c r="DC587" s="299"/>
      <c r="DD587" s="299"/>
      <c r="DE587" s="299"/>
      <c r="DF587" s="299"/>
      <c r="DG587" s="47"/>
      <c r="DH587" s="299"/>
      <c r="DI587" s="299"/>
      <c r="DJ587" s="299"/>
      <c r="DK587" s="299"/>
      <c r="DL587" s="299"/>
      <c r="DM587" s="299"/>
      <c r="DN587" s="47"/>
      <c r="DO587" s="299"/>
      <c r="DP587" s="299"/>
      <c r="DQ587" s="299"/>
      <c r="DR587" s="299"/>
      <c r="DS587" s="299"/>
      <c r="DT587" s="299"/>
      <c r="DU587" s="47"/>
      <c r="DV587" s="299"/>
      <c r="DW587" s="299"/>
      <c r="DX587" s="299"/>
      <c r="DY587" s="299"/>
      <c r="DZ587" s="299"/>
      <c r="EA587" s="299"/>
      <c r="EB587" s="47"/>
      <c r="EC587" s="299"/>
      <c r="ED587" s="299"/>
      <c r="EE587" s="299"/>
      <c r="EF587" s="299"/>
      <c r="EG587" s="299"/>
      <c r="EH587" s="299"/>
      <c r="EI587" s="47"/>
      <c r="EJ587" s="47"/>
      <c r="EK587" s="47"/>
      <c r="EL587" s="47"/>
      <c r="EM587" s="47"/>
      <c r="EN587" s="47"/>
      <c r="EO587" s="47"/>
      <c r="EP587" s="47"/>
      <c r="EQ587" s="47"/>
      <c r="ER587" s="47"/>
      <c r="ES587" s="47"/>
      <c r="ET587" s="47"/>
      <c r="EU587" s="47"/>
      <c r="EV587" s="47"/>
      <c r="EW587" s="47"/>
      <c r="EX587" s="47"/>
      <c r="EY587" s="47"/>
      <c r="EZ587" s="47"/>
      <c r="FA587" s="47"/>
      <c r="FB587" s="47"/>
      <c r="FC587" s="47"/>
      <c r="FD587" s="47"/>
      <c r="FE587" s="47"/>
      <c r="FF587" s="47"/>
      <c r="FG587" s="47"/>
      <c r="FH587" s="47"/>
      <c r="FI587" s="47"/>
      <c r="FJ587" s="47"/>
      <c r="FK587" s="47"/>
      <c r="FL587" s="47"/>
      <c r="FM587" s="47"/>
      <c r="FN587" s="47"/>
      <c r="FO587" s="47"/>
      <c r="FP587" s="47"/>
      <c r="FQ587" s="47"/>
      <c r="FR587" s="47"/>
      <c r="FS587" s="47"/>
      <c r="FT587" s="47"/>
      <c r="FU587" s="47"/>
      <c r="FV587" s="47"/>
      <c r="FW587" s="47"/>
      <c r="FX587" s="47"/>
      <c r="FY587" s="47"/>
      <c r="FZ587" s="47"/>
      <c r="GA587" s="47"/>
      <c r="GB587" s="47"/>
      <c r="GC587" s="47"/>
      <c r="GD587" s="47"/>
      <c r="GE587" s="47"/>
    </row>
    <row r="588" spans="1:187" ht="10.5" customHeight="1">
      <c r="A588" s="47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47"/>
      <c r="U588" s="299"/>
      <c r="V588" s="299"/>
      <c r="W588" s="299"/>
      <c r="X588" s="299"/>
      <c r="Y588" s="299"/>
      <c r="Z588" s="299"/>
      <c r="AA588" s="47"/>
      <c r="AB588" s="299"/>
      <c r="AC588" s="299"/>
      <c r="AD588" s="299"/>
      <c r="AE588" s="299"/>
      <c r="AF588" s="299"/>
      <c r="AG588" s="299"/>
      <c r="AH588" s="47"/>
      <c r="AI588" s="299"/>
      <c r="AJ588" s="299"/>
      <c r="AK588" s="299"/>
      <c r="AL588" s="299"/>
      <c r="AM588" s="299"/>
      <c r="AN588" s="299"/>
      <c r="AO588" s="47"/>
      <c r="AP588" s="299"/>
      <c r="AQ588" s="299"/>
      <c r="AR588" s="299"/>
      <c r="AS588" s="299"/>
      <c r="AT588" s="299"/>
      <c r="AU588" s="299"/>
      <c r="AV588" s="47"/>
      <c r="AW588" s="299"/>
      <c r="AX588" s="299"/>
      <c r="AY588" s="299"/>
      <c r="AZ588" s="299"/>
      <c r="BA588" s="299"/>
      <c r="BB588" s="299"/>
      <c r="BC588" s="47"/>
      <c r="BD588" s="299"/>
      <c r="BE588" s="299"/>
      <c r="BF588" s="299"/>
      <c r="BG588" s="299"/>
      <c r="BH588" s="299"/>
      <c r="BI588" s="299"/>
      <c r="BJ588" s="47"/>
      <c r="BK588" s="299"/>
      <c r="BL588" s="299"/>
      <c r="BM588" s="299"/>
      <c r="BN588" s="299"/>
      <c r="BO588" s="299"/>
      <c r="BP588" s="299"/>
      <c r="BQ588" s="47"/>
      <c r="BR588" s="299"/>
      <c r="BS588" s="299"/>
      <c r="BT588" s="299"/>
      <c r="BU588" s="299"/>
      <c r="BV588" s="299"/>
      <c r="BW588" s="299"/>
      <c r="BX588" s="47"/>
      <c r="BY588" s="299"/>
      <c r="BZ588" s="299"/>
      <c r="CA588" s="299"/>
      <c r="CB588" s="299"/>
      <c r="CC588" s="299"/>
      <c r="CD588" s="299"/>
      <c r="CE588" s="47"/>
      <c r="CF588" s="299"/>
      <c r="CG588" s="299"/>
      <c r="CH588" s="299"/>
      <c r="CI588" s="299"/>
      <c r="CJ588" s="299"/>
      <c r="CK588" s="299"/>
      <c r="CL588" s="47"/>
      <c r="CM588" s="299"/>
      <c r="CN588" s="299"/>
      <c r="CO588" s="299"/>
      <c r="CP588" s="299"/>
      <c r="CQ588" s="299"/>
      <c r="CR588" s="299"/>
      <c r="CS588" s="47"/>
      <c r="CT588" s="299"/>
      <c r="CU588" s="299"/>
      <c r="CV588" s="299"/>
      <c r="CW588" s="299"/>
      <c r="CX588" s="299"/>
      <c r="CY588" s="299"/>
      <c r="CZ588" s="47"/>
      <c r="DA588" s="299"/>
      <c r="DB588" s="299"/>
      <c r="DC588" s="299"/>
      <c r="DD588" s="299"/>
      <c r="DE588" s="299"/>
      <c r="DF588" s="299"/>
      <c r="DG588" s="47"/>
      <c r="DH588" s="299"/>
      <c r="DI588" s="299"/>
      <c r="DJ588" s="299"/>
      <c r="DK588" s="299"/>
      <c r="DL588" s="299"/>
      <c r="DM588" s="299"/>
      <c r="DN588" s="47"/>
      <c r="DO588" s="299"/>
      <c r="DP588" s="299"/>
      <c r="DQ588" s="299"/>
      <c r="DR588" s="299"/>
      <c r="DS588" s="299"/>
      <c r="DT588" s="299"/>
      <c r="DU588" s="47"/>
      <c r="DV588" s="299"/>
      <c r="DW588" s="299"/>
      <c r="DX588" s="299"/>
      <c r="DY588" s="299"/>
      <c r="DZ588" s="299"/>
      <c r="EA588" s="299"/>
      <c r="EB588" s="47"/>
      <c r="EC588" s="299"/>
      <c r="ED588" s="299"/>
      <c r="EE588" s="299"/>
      <c r="EF588" s="299"/>
      <c r="EG588" s="299"/>
      <c r="EH588" s="299"/>
      <c r="EI588" s="47"/>
      <c r="EJ588" s="47"/>
      <c r="EK588" s="47"/>
      <c r="EL588" s="47"/>
      <c r="EM588" s="47"/>
      <c r="EN588" s="47"/>
      <c r="EO588" s="47"/>
      <c r="EP588" s="47"/>
      <c r="EQ588" s="47"/>
      <c r="ER588" s="47"/>
      <c r="ES588" s="47"/>
      <c r="ET588" s="47"/>
      <c r="EU588" s="47"/>
      <c r="EV588" s="47"/>
      <c r="EW588" s="47"/>
      <c r="EX588" s="47"/>
      <c r="EY588" s="47"/>
      <c r="EZ588" s="47"/>
      <c r="FA588" s="47"/>
      <c r="FB588" s="47"/>
      <c r="FC588" s="47"/>
      <c r="FD588" s="47"/>
      <c r="FE588" s="47"/>
      <c r="FF588" s="47"/>
      <c r="FG588" s="47"/>
      <c r="FH588" s="47"/>
      <c r="FI588" s="47"/>
      <c r="FJ588" s="47"/>
      <c r="FK588" s="47"/>
      <c r="FL588" s="47"/>
      <c r="FM588" s="47"/>
      <c r="FN588" s="47"/>
      <c r="FO588" s="47"/>
      <c r="FP588" s="47"/>
      <c r="FQ588" s="47"/>
      <c r="FR588" s="47"/>
      <c r="FS588" s="47"/>
      <c r="FT588" s="47"/>
      <c r="FU588" s="47"/>
      <c r="FV588" s="47"/>
      <c r="FW588" s="47"/>
      <c r="FX588" s="47"/>
      <c r="FY588" s="47"/>
      <c r="FZ588" s="47"/>
      <c r="GA588" s="47"/>
      <c r="GB588" s="47"/>
      <c r="GC588" s="47"/>
      <c r="GD588" s="47"/>
      <c r="GE588" s="47"/>
    </row>
    <row r="589" spans="1:187" ht="10.5" customHeight="1">
      <c r="A589" s="47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47"/>
      <c r="U589" s="299"/>
      <c r="V589" s="299"/>
      <c r="W589" s="299"/>
      <c r="X589" s="299"/>
      <c r="Y589" s="299"/>
      <c r="Z589" s="299"/>
      <c r="AA589" s="47"/>
      <c r="AB589" s="299"/>
      <c r="AC589" s="299"/>
      <c r="AD589" s="299"/>
      <c r="AE589" s="299"/>
      <c r="AF589" s="299"/>
      <c r="AG589" s="299"/>
      <c r="AH589" s="47"/>
      <c r="AI589" s="299"/>
      <c r="AJ589" s="299"/>
      <c r="AK589" s="299"/>
      <c r="AL589" s="299"/>
      <c r="AM589" s="299"/>
      <c r="AN589" s="299"/>
      <c r="AO589" s="47"/>
      <c r="AP589" s="299"/>
      <c r="AQ589" s="299"/>
      <c r="AR589" s="299"/>
      <c r="AS589" s="299"/>
      <c r="AT589" s="299"/>
      <c r="AU589" s="299"/>
      <c r="AV589" s="47"/>
      <c r="AW589" s="299"/>
      <c r="AX589" s="299"/>
      <c r="AY589" s="299"/>
      <c r="AZ589" s="299"/>
      <c r="BA589" s="299"/>
      <c r="BB589" s="299"/>
      <c r="BC589" s="47"/>
      <c r="BD589" s="299"/>
      <c r="BE589" s="299"/>
      <c r="BF589" s="299"/>
      <c r="BG589" s="299"/>
      <c r="BH589" s="299"/>
      <c r="BI589" s="299"/>
      <c r="BJ589" s="47"/>
      <c r="BK589" s="299"/>
      <c r="BL589" s="299"/>
      <c r="BM589" s="299"/>
      <c r="BN589" s="299"/>
      <c r="BO589" s="299"/>
      <c r="BP589" s="299"/>
      <c r="BQ589" s="47"/>
      <c r="BR589" s="299"/>
      <c r="BS589" s="299"/>
      <c r="BT589" s="299"/>
      <c r="BU589" s="299"/>
      <c r="BV589" s="299"/>
      <c r="BW589" s="299"/>
      <c r="BX589" s="47"/>
      <c r="BY589" s="299"/>
      <c r="BZ589" s="299"/>
      <c r="CA589" s="299"/>
      <c r="CB589" s="299"/>
      <c r="CC589" s="299"/>
      <c r="CD589" s="299"/>
      <c r="CE589" s="47"/>
      <c r="CF589" s="299"/>
      <c r="CG589" s="299"/>
      <c r="CH589" s="299"/>
      <c r="CI589" s="299"/>
      <c r="CJ589" s="299"/>
      <c r="CK589" s="299"/>
      <c r="CL589" s="47"/>
      <c r="CM589" s="299"/>
      <c r="CN589" s="299"/>
      <c r="CO589" s="299"/>
      <c r="CP589" s="299"/>
      <c r="CQ589" s="299"/>
      <c r="CR589" s="299"/>
      <c r="CS589" s="47"/>
      <c r="CT589" s="299"/>
      <c r="CU589" s="299"/>
      <c r="CV589" s="299"/>
      <c r="CW589" s="299"/>
      <c r="CX589" s="299"/>
      <c r="CY589" s="299"/>
      <c r="CZ589" s="47"/>
      <c r="DA589" s="299"/>
      <c r="DB589" s="299"/>
      <c r="DC589" s="299"/>
      <c r="DD589" s="299"/>
      <c r="DE589" s="299"/>
      <c r="DF589" s="299"/>
      <c r="DG589" s="47"/>
      <c r="DH589" s="299"/>
      <c r="DI589" s="299"/>
      <c r="DJ589" s="299"/>
      <c r="DK589" s="299"/>
      <c r="DL589" s="299"/>
      <c r="DM589" s="299"/>
      <c r="DN589" s="47"/>
      <c r="DO589" s="299"/>
      <c r="DP589" s="299"/>
      <c r="DQ589" s="299"/>
      <c r="DR589" s="299"/>
      <c r="DS589" s="299"/>
      <c r="DT589" s="299"/>
      <c r="DU589" s="47"/>
      <c r="DV589" s="299"/>
      <c r="DW589" s="299"/>
      <c r="DX589" s="299"/>
      <c r="DY589" s="299"/>
      <c r="DZ589" s="299"/>
      <c r="EA589" s="299"/>
      <c r="EB589" s="47"/>
      <c r="EC589" s="299"/>
      <c r="ED589" s="299"/>
      <c r="EE589" s="299"/>
      <c r="EF589" s="299"/>
      <c r="EG589" s="299"/>
      <c r="EH589" s="299"/>
      <c r="EI589" s="47"/>
      <c r="EJ589" s="47"/>
      <c r="EK589" s="47"/>
      <c r="EL589" s="47"/>
      <c r="EM589" s="47"/>
      <c r="EN589" s="47"/>
      <c r="EO589" s="47"/>
      <c r="EP589" s="47"/>
      <c r="EQ589" s="47"/>
      <c r="ER589" s="47"/>
      <c r="ES589" s="47"/>
      <c r="ET589" s="47"/>
      <c r="EU589" s="47"/>
      <c r="EV589" s="47"/>
      <c r="EW589" s="47"/>
      <c r="EX589" s="47"/>
      <c r="EY589" s="47"/>
      <c r="EZ589" s="47"/>
      <c r="FA589" s="47"/>
      <c r="FB589" s="47"/>
      <c r="FC589" s="47"/>
      <c r="FD589" s="47"/>
      <c r="FE589" s="47"/>
      <c r="FF589" s="47"/>
      <c r="FG589" s="47"/>
      <c r="FH589" s="47"/>
      <c r="FI589" s="47"/>
      <c r="FJ589" s="47"/>
      <c r="FK589" s="47"/>
      <c r="FL589" s="47"/>
      <c r="FM589" s="47"/>
      <c r="FN589" s="47"/>
      <c r="FO589" s="47"/>
      <c r="FP589" s="47"/>
      <c r="FQ589" s="47"/>
      <c r="FR589" s="47"/>
      <c r="FS589" s="47"/>
      <c r="FT589" s="47"/>
      <c r="FU589" s="47"/>
      <c r="FV589" s="47"/>
      <c r="FW589" s="47"/>
      <c r="FX589" s="47"/>
      <c r="FY589" s="47"/>
      <c r="FZ589" s="47"/>
      <c r="GA589" s="47"/>
      <c r="GB589" s="47"/>
      <c r="GC589" s="47"/>
      <c r="GD589" s="47"/>
      <c r="GE589" s="47"/>
    </row>
    <row r="590" spans="1:187" ht="10.5" customHeight="1">
      <c r="A590" s="47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47"/>
      <c r="U590" s="299"/>
      <c r="V590" s="299"/>
      <c r="W590" s="299"/>
      <c r="X590" s="299"/>
      <c r="Y590" s="299"/>
      <c r="Z590" s="299"/>
      <c r="AA590" s="47"/>
      <c r="AB590" s="299"/>
      <c r="AC590" s="299"/>
      <c r="AD590" s="299"/>
      <c r="AE590" s="299"/>
      <c r="AF590" s="299"/>
      <c r="AG590" s="299"/>
      <c r="AH590" s="47"/>
      <c r="AI590" s="299"/>
      <c r="AJ590" s="299"/>
      <c r="AK590" s="299"/>
      <c r="AL590" s="299"/>
      <c r="AM590" s="299"/>
      <c r="AN590" s="299"/>
      <c r="AO590" s="47"/>
      <c r="AP590" s="299"/>
      <c r="AQ590" s="299"/>
      <c r="AR590" s="299"/>
      <c r="AS590" s="299"/>
      <c r="AT590" s="299"/>
      <c r="AU590" s="299"/>
      <c r="AV590" s="47"/>
      <c r="AW590" s="299"/>
      <c r="AX590" s="299"/>
      <c r="AY590" s="299"/>
      <c r="AZ590" s="299"/>
      <c r="BA590" s="299"/>
      <c r="BB590" s="299"/>
      <c r="BC590" s="47"/>
      <c r="BD590" s="299"/>
      <c r="BE590" s="299"/>
      <c r="BF590" s="299"/>
      <c r="BG590" s="299"/>
      <c r="BH590" s="299"/>
      <c r="BI590" s="299"/>
      <c r="BJ590" s="47"/>
      <c r="BK590" s="299"/>
      <c r="BL590" s="299"/>
      <c r="BM590" s="299"/>
      <c r="BN590" s="299"/>
      <c r="BO590" s="299"/>
      <c r="BP590" s="299"/>
      <c r="BQ590" s="47"/>
      <c r="BR590" s="299"/>
      <c r="BS590" s="299"/>
      <c r="BT590" s="299"/>
      <c r="BU590" s="299"/>
      <c r="BV590" s="299"/>
      <c r="BW590" s="299"/>
      <c r="BX590" s="47"/>
      <c r="BY590" s="299"/>
      <c r="BZ590" s="299"/>
      <c r="CA590" s="299"/>
      <c r="CB590" s="299"/>
      <c r="CC590" s="299"/>
      <c r="CD590" s="299"/>
      <c r="CE590" s="47"/>
      <c r="CF590" s="299"/>
      <c r="CG590" s="299"/>
      <c r="CH590" s="299"/>
      <c r="CI590" s="299"/>
      <c r="CJ590" s="299"/>
      <c r="CK590" s="299"/>
      <c r="CL590" s="47"/>
      <c r="CM590" s="299"/>
      <c r="CN590" s="299"/>
      <c r="CO590" s="299"/>
      <c r="CP590" s="299"/>
      <c r="CQ590" s="299"/>
      <c r="CR590" s="299"/>
      <c r="CS590" s="47"/>
      <c r="CT590" s="299"/>
      <c r="CU590" s="299"/>
      <c r="CV590" s="299"/>
      <c r="CW590" s="299"/>
      <c r="CX590" s="299"/>
      <c r="CY590" s="299"/>
      <c r="CZ590" s="47"/>
      <c r="DA590" s="299"/>
      <c r="DB590" s="299"/>
      <c r="DC590" s="299"/>
      <c r="DD590" s="299"/>
      <c r="DE590" s="299"/>
      <c r="DF590" s="299"/>
      <c r="DG590" s="47"/>
      <c r="DH590" s="299"/>
      <c r="DI590" s="299"/>
      <c r="DJ590" s="299"/>
      <c r="DK590" s="299"/>
      <c r="DL590" s="299"/>
      <c r="DM590" s="299"/>
      <c r="DN590" s="47"/>
      <c r="DO590" s="299"/>
      <c r="DP590" s="299"/>
      <c r="DQ590" s="299"/>
      <c r="DR590" s="299"/>
      <c r="DS590" s="299"/>
      <c r="DT590" s="299"/>
      <c r="DU590" s="47"/>
      <c r="DV590" s="299"/>
      <c r="DW590" s="299"/>
      <c r="DX590" s="299"/>
      <c r="DY590" s="299"/>
      <c r="DZ590" s="299"/>
      <c r="EA590" s="299"/>
      <c r="EB590" s="47"/>
      <c r="EC590" s="299"/>
      <c r="ED590" s="299"/>
      <c r="EE590" s="299"/>
      <c r="EF590" s="299"/>
      <c r="EG590" s="299"/>
      <c r="EH590" s="299"/>
      <c r="EI590" s="47"/>
      <c r="EJ590" s="47"/>
      <c r="EK590" s="47"/>
      <c r="EL590" s="47"/>
      <c r="EM590" s="47"/>
      <c r="EN590" s="47"/>
      <c r="EO590" s="47"/>
      <c r="EP590" s="47"/>
      <c r="EQ590" s="47"/>
      <c r="ER590" s="47"/>
      <c r="ES590" s="47"/>
      <c r="ET590" s="47"/>
      <c r="EU590" s="47"/>
      <c r="EV590" s="47"/>
      <c r="EW590" s="47"/>
      <c r="EX590" s="47"/>
      <c r="EY590" s="47"/>
      <c r="EZ590" s="47"/>
      <c r="FA590" s="47"/>
      <c r="FB590" s="47"/>
      <c r="FC590" s="47"/>
      <c r="FD590" s="47"/>
      <c r="FE590" s="47"/>
      <c r="FF590" s="47"/>
      <c r="FG590" s="47"/>
      <c r="FH590" s="47"/>
      <c r="FI590" s="47"/>
      <c r="FJ590" s="47"/>
      <c r="FK590" s="47"/>
      <c r="FL590" s="47"/>
      <c r="FM590" s="47"/>
      <c r="FN590" s="47"/>
      <c r="FO590" s="47"/>
      <c r="FP590" s="47"/>
      <c r="FQ590" s="47"/>
      <c r="FR590" s="47"/>
      <c r="FS590" s="47"/>
      <c r="FT590" s="47"/>
      <c r="FU590" s="47"/>
      <c r="FV590" s="47"/>
      <c r="FW590" s="47"/>
      <c r="FX590" s="47"/>
      <c r="FY590" s="47"/>
      <c r="FZ590" s="47"/>
      <c r="GA590" s="47"/>
      <c r="GB590" s="47"/>
      <c r="GC590" s="47"/>
      <c r="GD590" s="47"/>
      <c r="GE590" s="47"/>
    </row>
    <row r="591" spans="1:187" ht="10.5" customHeight="1">
      <c r="A591" s="47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47"/>
      <c r="U591" s="299"/>
      <c r="V591" s="299"/>
      <c r="W591" s="299"/>
      <c r="X591" s="299"/>
      <c r="Y591" s="299"/>
      <c r="Z591" s="299"/>
      <c r="AA591" s="47"/>
      <c r="AB591" s="299"/>
      <c r="AC591" s="299"/>
      <c r="AD591" s="299"/>
      <c r="AE591" s="299"/>
      <c r="AF591" s="299"/>
      <c r="AG591" s="299"/>
      <c r="AH591" s="47"/>
      <c r="AI591" s="299"/>
      <c r="AJ591" s="299"/>
      <c r="AK591" s="299"/>
      <c r="AL591" s="299"/>
      <c r="AM591" s="299"/>
      <c r="AN591" s="299"/>
      <c r="AO591" s="47"/>
      <c r="AP591" s="299"/>
      <c r="AQ591" s="299"/>
      <c r="AR591" s="299"/>
      <c r="AS591" s="299"/>
      <c r="AT591" s="299"/>
      <c r="AU591" s="299"/>
      <c r="AV591" s="47"/>
      <c r="AW591" s="299"/>
      <c r="AX591" s="299"/>
      <c r="AY591" s="299"/>
      <c r="AZ591" s="299"/>
      <c r="BA591" s="299"/>
      <c r="BB591" s="299"/>
      <c r="BC591" s="47"/>
      <c r="BD591" s="299"/>
      <c r="BE591" s="299"/>
      <c r="BF591" s="299"/>
      <c r="BG591" s="299"/>
      <c r="BH591" s="299"/>
      <c r="BI591" s="299"/>
      <c r="BJ591" s="47"/>
      <c r="BK591" s="299"/>
      <c r="BL591" s="299"/>
      <c r="BM591" s="299"/>
      <c r="BN591" s="299"/>
      <c r="BO591" s="299"/>
      <c r="BP591" s="299"/>
      <c r="BQ591" s="47"/>
      <c r="BR591" s="299"/>
      <c r="BS591" s="299"/>
      <c r="BT591" s="299"/>
      <c r="BU591" s="299"/>
      <c r="BV591" s="299"/>
      <c r="BW591" s="299"/>
      <c r="BX591" s="47"/>
      <c r="BY591" s="299"/>
      <c r="BZ591" s="299"/>
      <c r="CA591" s="299"/>
      <c r="CB591" s="299"/>
      <c r="CC591" s="299"/>
      <c r="CD591" s="299"/>
      <c r="CE591" s="47"/>
      <c r="CF591" s="299"/>
      <c r="CG591" s="299"/>
      <c r="CH591" s="299"/>
      <c r="CI591" s="299"/>
      <c r="CJ591" s="299"/>
      <c r="CK591" s="299"/>
      <c r="CL591" s="47"/>
      <c r="CM591" s="299"/>
      <c r="CN591" s="299"/>
      <c r="CO591" s="299"/>
      <c r="CP591" s="299"/>
      <c r="CQ591" s="299"/>
      <c r="CR591" s="299"/>
      <c r="CS591" s="47"/>
      <c r="CT591" s="299"/>
      <c r="CU591" s="299"/>
      <c r="CV591" s="299"/>
      <c r="CW591" s="299"/>
      <c r="CX591" s="299"/>
      <c r="CY591" s="299"/>
      <c r="CZ591" s="47"/>
      <c r="DA591" s="299"/>
      <c r="DB591" s="299"/>
      <c r="DC591" s="299"/>
      <c r="DD591" s="299"/>
      <c r="DE591" s="299"/>
      <c r="DF591" s="299"/>
      <c r="DG591" s="47"/>
      <c r="DH591" s="299"/>
      <c r="DI591" s="299"/>
      <c r="DJ591" s="299"/>
      <c r="DK591" s="299"/>
      <c r="DL591" s="299"/>
      <c r="DM591" s="299"/>
      <c r="DN591" s="47"/>
      <c r="DO591" s="299"/>
      <c r="DP591" s="299"/>
      <c r="DQ591" s="299"/>
      <c r="DR591" s="299"/>
      <c r="DS591" s="299"/>
      <c r="DT591" s="299"/>
      <c r="DU591" s="47"/>
      <c r="DV591" s="299"/>
      <c r="DW591" s="299"/>
      <c r="DX591" s="299"/>
      <c r="DY591" s="299"/>
      <c r="DZ591" s="299"/>
      <c r="EA591" s="299"/>
      <c r="EB591" s="47"/>
      <c r="EC591" s="299"/>
      <c r="ED591" s="299"/>
      <c r="EE591" s="299"/>
      <c r="EF591" s="299"/>
      <c r="EG591" s="299"/>
      <c r="EH591" s="299"/>
      <c r="EI591" s="47"/>
      <c r="EJ591" s="47"/>
      <c r="EK591" s="47"/>
      <c r="EL591" s="47"/>
      <c r="EM591" s="47"/>
      <c r="EN591" s="47"/>
      <c r="EO591" s="47"/>
      <c r="EP591" s="47"/>
      <c r="EQ591" s="47"/>
      <c r="ER591" s="47"/>
      <c r="ES591" s="47"/>
      <c r="ET591" s="47"/>
      <c r="EU591" s="47"/>
      <c r="EV591" s="47"/>
      <c r="EW591" s="47"/>
      <c r="EX591" s="47"/>
      <c r="EY591" s="47"/>
      <c r="EZ591" s="47"/>
      <c r="FA591" s="47"/>
      <c r="FB591" s="47"/>
      <c r="FC591" s="47"/>
      <c r="FD591" s="47"/>
      <c r="FE591" s="47"/>
      <c r="FF591" s="47"/>
      <c r="FG591" s="47"/>
      <c r="FH591" s="47"/>
      <c r="FI591" s="47"/>
      <c r="FJ591" s="47"/>
      <c r="FK591" s="47"/>
      <c r="FL591" s="47"/>
      <c r="FM591" s="47"/>
      <c r="FN591" s="47"/>
      <c r="FO591" s="47"/>
      <c r="FP591" s="47"/>
      <c r="FQ591" s="47"/>
      <c r="FR591" s="47"/>
      <c r="FS591" s="47"/>
      <c r="FT591" s="47"/>
      <c r="FU591" s="47"/>
      <c r="FV591" s="47"/>
      <c r="FW591" s="47"/>
      <c r="FX591" s="47"/>
      <c r="FY591" s="47"/>
      <c r="FZ591" s="47"/>
      <c r="GA591" s="47"/>
      <c r="GB591" s="47"/>
      <c r="GC591" s="47"/>
      <c r="GD591" s="47"/>
      <c r="GE591" s="47"/>
    </row>
    <row r="592" spans="1:187" ht="10.5" customHeight="1">
      <c r="A592" s="47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47"/>
      <c r="U592" s="299"/>
      <c r="V592" s="299"/>
      <c r="W592" s="299"/>
      <c r="X592" s="299"/>
      <c r="Y592" s="299"/>
      <c r="Z592" s="299"/>
      <c r="AA592" s="47"/>
      <c r="AB592" s="299"/>
      <c r="AC592" s="299"/>
      <c r="AD592" s="299"/>
      <c r="AE592" s="299"/>
      <c r="AF592" s="299"/>
      <c r="AG592" s="299"/>
      <c r="AH592" s="47"/>
      <c r="AI592" s="299"/>
      <c r="AJ592" s="299"/>
      <c r="AK592" s="299"/>
      <c r="AL592" s="299"/>
      <c r="AM592" s="299"/>
      <c r="AN592" s="299"/>
      <c r="AO592" s="47"/>
      <c r="AP592" s="299"/>
      <c r="AQ592" s="299"/>
      <c r="AR592" s="299"/>
      <c r="AS592" s="299"/>
      <c r="AT592" s="299"/>
      <c r="AU592" s="299"/>
      <c r="AV592" s="47"/>
      <c r="AW592" s="299"/>
      <c r="AX592" s="299"/>
      <c r="AY592" s="299"/>
      <c r="AZ592" s="299"/>
      <c r="BA592" s="299"/>
      <c r="BB592" s="299"/>
      <c r="BC592" s="47"/>
      <c r="BD592" s="299"/>
      <c r="BE592" s="299"/>
      <c r="BF592" s="299"/>
      <c r="BG592" s="299"/>
      <c r="BH592" s="299"/>
      <c r="BI592" s="299"/>
      <c r="BJ592" s="47"/>
      <c r="BK592" s="299"/>
      <c r="BL592" s="299"/>
      <c r="BM592" s="299"/>
      <c r="BN592" s="299"/>
      <c r="BO592" s="299"/>
      <c r="BP592" s="299"/>
      <c r="BQ592" s="47"/>
      <c r="BR592" s="299"/>
      <c r="BS592" s="299"/>
      <c r="BT592" s="299"/>
      <c r="BU592" s="299"/>
      <c r="BV592" s="299"/>
      <c r="BW592" s="299"/>
      <c r="BX592" s="47"/>
      <c r="BY592" s="299"/>
      <c r="BZ592" s="299"/>
      <c r="CA592" s="299"/>
      <c r="CB592" s="299"/>
      <c r="CC592" s="299"/>
      <c r="CD592" s="299"/>
      <c r="CE592" s="47"/>
      <c r="CF592" s="299"/>
      <c r="CG592" s="299"/>
      <c r="CH592" s="299"/>
      <c r="CI592" s="299"/>
      <c r="CJ592" s="299"/>
      <c r="CK592" s="299"/>
      <c r="CL592" s="47"/>
      <c r="CM592" s="299"/>
      <c r="CN592" s="299"/>
      <c r="CO592" s="299"/>
      <c r="CP592" s="299"/>
      <c r="CQ592" s="299"/>
      <c r="CR592" s="299"/>
      <c r="CS592" s="47"/>
      <c r="CT592" s="299"/>
      <c r="CU592" s="299"/>
      <c r="CV592" s="299"/>
      <c r="CW592" s="299"/>
      <c r="CX592" s="299"/>
      <c r="CY592" s="299"/>
      <c r="CZ592" s="47"/>
      <c r="DA592" s="299"/>
      <c r="DB592" s="299"/>
      <c r="DC592" s="299"/>
      <c r="DD592" s="299"/>
      <c r="DE592" s="299"/>
      <c r="DF592" s="299"/>
      <c r="DG592" s="47"/>
      <c r="DH592" s="299"/>
      <c r="DI592" s="299"/>
      <c r="DJ592" s="299"/>
      <c r="DK592" s="299"/>
      <c r="DL592" s="299"/>
      <c r="DM592" s="299"/>
      <c r="DN592" s="47"/>
      <c r="DO592" s="299"/>
      <c r="DP592" s="299"/>
      <c r="DQ592" s="299"/>
      <c r="DR592" s="299"/>
      <c r="DS592" s="299"/>
      <c r="DT592" s="299"/>
      <c r="DU592" s="47"/>
      <c r="DV592" s="299"/>
      <c r="DW592" s="299"/>
      <c r="DX592" s="299"/>
      <c r="DY592" s="299"/>
      <c r="DZ592" s="299"/>
      <c r="EA592" s="299"/>
      <c r="EB592" s="47"/>
      <c r="EC592" s="299"/>
      <c r="ED592" s="299"/>
      <c r="EE592" s="299"/>
      <c r="EF592" s="299"/>
      <c r="EG592" s="299"/>
      <c r="EH592" s="299"/>
      <c r="EI592" s="47"/>
      <c r="EJ592" s="47"/>
      <c r="EK592" s="47"/>
      <c r="EL592" s="47"/>
      <c r="EM592" s="47"/>
      <c r="EN592" s="47"/>
      <c r="EO592" s="47"/>
      <c r="EP592" s="47"/>
      <c r="EQ592" s="47"/>
      <c r="ER592" s="47"/>
      <c r="ES592" s="47"/>
      <c r="ET592" s="47"/>
      <c r="EU592" s="47"/>
      <c r="EV592" s="47"/>
      <c r="EW592" s="47"/>
      <c r="EX592" s="47"/>
      <c r="EY592" s="47"/>
      <c r="EZ592" s="47"/>
      <c r="FA592" s="47"/>
      <c r="FB592" s="47"/>
      <c r="FC592" s="47"/>
      <c r="FD592" s="47"/>
      <c r="FE592" s="47"/>
      <c r="FF592" s="47"/>
      <c r="FG592" s="47"/>
      <c r="FH592" s="47"/>
      <c r="FI592" s="47"/>
      <c r="FJ592" s="47"/>
      <c r="FK592" s="47"/>
      <c r="FL592" s="47"/>
      <c r="FM592" s="47"/>
      <c r="FN592" s="47"/>
      <c r="FO592" s="47"/>
      <c r="FP592" s="47"/>
      <c r="FQ592" s="47"/>
      <c r="FR592" s="47"/>
      <c r="FS592" s="47"/>
      <c r="FT592" s="47"/>
      <c r="FU592" s="47"/>
      <c r="FV592" s="47"/>
      <c r="FW592" s="47"/>
      <c r="FX592" s="47"/>
      <c r="FY592" s="47"/>
      <c r="FZ592" s="47"/>
      <c r="GA592" s="47"/>
      <c r="GB592" s="47"/>
      <c r="GC592" s="47"/>
      <c r="GD592" s="47"/>
      <c r="GE592" s="47"/>
    </row>
    <row r="593" spans="1:187" ht="10.5" customHeight="1">
      <c r="A593" s="47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47"/>
      <c r="U593" s="299"/>
      <c r="V593" s="299"/>
      <c r="W593" s="299"/>
      <c r="X593" s="299"/>
      <c r="Y593" s="299"/>
      <c r="Z593" s="299"/>
      <c r="AA593" s="47"/>
      <c r="AB593" s="299"/>
      <c r="AC593" s="299"/>
      <c r="AD593" s="299"/>
      <c r="AE593" s="299"/>
      <c r="AF593" s="299"/>
      <c r="AG593" s="299"/>
      <c r="AH593" s="47"/>
      <c r="AI593" s="299"/>
      <c r="AJ593" s="299"/>
      <c r="AK593" s="299"/>
      <c r="AL593" s="299"/>
      <c r="AM593" s="299"/>
      <c r="AN593" s="299"/>
      <c r="AO593" s="47"/>
      <c r="AP593" s="299"/>
      <c r="AQ593" s="299"/>
      <c r="AR593" s="299"/>
      <c r="AS593" s="299"/>
      <c r="AT593" s="299"/>
      <c r="AU593" s="299"/>
      <c r="AV593" s="47"/>
      <c r="AW593" s="299"/>
      <c r="AX593" s="299"/>
      <c r="AY593" s="299"/>
      <c r="AZ593" s="299"/>
      <c r="BA593" s="299"/>
      <c r="BB593" s="299"/>
      <c r="BC593" s="47"/>
      <c r="BD593" s="299"/>
      <c r="BE593" s="299"/>
      <c r="BF593" s="299"/>
      <c r="BG593" s="299"/>
      <c r="BH593" s="299"/>
      <c r="BI593" s="299"/>
      <c r="BJ593" s="47"/>
      <c r="BK593" s="299"/>
      <c r="BL593" s="299"/>
      <c r="BM593" s="299"/>
      <c r="BN593" s="299"/>
      <c r="BO593" s="299"/>
      <c r="BP593" s="299"/>
      <c r="BQ593" s="47"/>
      <c r="BR593" s="299"/>
      <c r="BS593" s="299"/>
      <c r="BT593" s="299"/>
      <c r="BU593" s="299"/>
      <c r="BV593" s="299"/>
      <c r="BW593" s="299"/>
      <c r="BX593" s="47"/>
      <c r="BY593" s="299"/>
      <c r="BZ593" s="299"/>
      <c r="CA593" s="299"/>
      <c r="CB593" s="299"/>
      <c r="CC593" s="299"/>
      <c r="CD593" s="299"/>
      <c r="CE593" s="47"/>
      <c r="CF593" s="299"/>
      <c r="CG593" s="299"/>
      <c r="CH593" s="299"/>
      <c r="CI593" s="299"/>
      <c r="CJ593" s="299"/>
      <c r="CK593" s="299"/>
      <c r="CL593" s="47"/>
      <c r="CM593" s="299"/>
      <c r="CN593" s="299"/>
      <c r="CO593" s="299"/>
      <c r="CP593" s="299"/>
      <c r="CQ593" s="299"/>
      <c r="CR593" s="299"/>
      <c r="CS593" s="47"/>
      <c r="CT593" s="299"/>
      <c r="CU593" s="299"/>
      <c r="CV593" s="299"/>
      <c r="CW593" s="299"/>
      <c r="CX593" s="299"/>
      <c r="CY593" s="299"/>
      <c r="CZ593" s="47"/>
      <c r="DA593" s="299"/>
      <c r="DB593" s="299"/>
      <c r="DC593" s="299"/>
      <c r="DD593" s="299"/>
      <c r="DE593" s="299"/>
      <c r="DF593" s="299"/>
      <c r="DG593" s="47"/>
      <c r="DH593" s="299"/>
      <c r="DI593" s="299"/>
      <c r="DJ593" s="299"/>
      <c r="DK593" s="299"/>
      <c r="DL593" s="299"/>
      <c r="DM593" s="299"/>
      <c r="DN593" s="47"/>
      <c r="DO593" s="299"/>
      <c r="DP593" s="299"/>
      <c r="DQ593" s="299"/>
      <c r="DR593" s="299"/>
      <c r="DS593" s="299"/>
      <c r="DT593" s="299"/>
      <c r="DU593" s="47"/>
      <c r="DV593" s="299"/>
      <c r="DW593" s="299"/>
      <c r="DX593" s="299"/>
      <c r="DY593" s="299"/>
      <c r="DZ593" s="299"/>
      <c r="EA593" s="299"/>
      <c r="EB593" s="47"/>
      <c r="EC593" s="299"/>
      <c r="ED593" s="299"/>
      <c r="EE593" s="299"/>
      <c r="EF593" s="299"/>
      <c r="EG593" s="299"/>
      <c r="EH593" s="299"/>
      <c r="EI593" s="47"/>
      <c r="EJ593" s="47"/>
      <c r="EK593" s="47"/>
      <c r="EL593" s="47"/>
      <c r="EM593" s="47"/>
      <c r="EN593" s="47"/>
      <c r="EO593" s="47"/>
      <c r="EP593" s="47"/>
      <c r="EQ593" s="47"/>
      <c r="ER593" s="47"/>
      <c r="ES593" s="47"/>
      <c r="ET593" s="47"/>
      <c r="EU593" s="47"/>
      <c r="EV593" s="47"/>
      <c r="EW593" s="47"/>
      <c r="EX593" s="47"/>
      <c r="EY593" s="47"/>
      <c r="EZ593" s="47"/>
      <c r="FA593" s="47"/>
      <c r="FB593" s="47"/>
      <c r="FC593" s="47"/>
      <c r="FD593" s="47"/>
      <c r="FE593" s="47"/>
      <c r="FF593" s="47"/>
      <c r="FG593" s="47"/>
      <c r="FH593" s="47"/>
      <c r="FI593" s="47"/>
      <c r="FJ593" s="47"/>
      <c r="FK593" s="47"/>
      <c r="FL593" s="47"/>
      <c r="FM593" s="47"/>
      <c r="FN593" s="47"/>
      <c r="FO593" s="47"/>
      <c r="FP593" s="47"/>
      <c r="FQ593" s="47"/>
      <c r="FR593" s="47"/>
      <c r="FS593" s="47"/>
      <c r="FT593" s="47"/>
      <c r="FU593" s="47"/>
      <c r="FV593" s="47"/>
      <c r="FW593" s="47"/>
      <c r="FX593" s="47"/>
      <c r="FY593" s="47"/>
      <c r="FZ593" s="47"/>
      <c r="GA593" s="47"/>
      <c r="GB593" s="47"/>
      <c r="GC593" s="47"/>
      <c r="GD593" s="47"/>
      <c r="GE593" s="47"/>
    </row>
  </sheetData>
  <phoneticPr fontId="6" type="noConversion"/>
  <pageMargins left="0.75" right="0.75" top="1" bottom="1" header="0.5" footer="0.5"/>
  <pageSetup paperSize="9" scale="75" fitToHeight="0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AB79-27E0-4D86-97FD-07DFE4E1DC31}">
  <sheetPr codeName="Sheet30">
    <tabColor theme="5"/>
  </sheetPr>
  <dimension ref="A1:I44"/>
  <sheetViews>
    <sheetView showGridLines="0" zoomScale="90" zoomScaleNormal="90" workbookViewId="0">
      <pane xSplit="2" ySplit="3" topLeftCell="C27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2" customHeight="1" outlineLevelRow="1"/>
  <cols>
    <col min="1" max="1" width="3.44140625" customWidth="1"/>
    <col min="2" max="2" width="34.88671875" customWidth="1"/>
    <col min="3" max="6" width="12.33203125" customWidth="1"/>
  </cols>
  <sheetData>
    <row r="1" spans="1:6">
      <c r="A1" s="1124"/>
      <c r="B1" s="1124"/>
      <c r="C1" s="1997"/>
      <c r="D1" s="1124"/>
      <c r="E1" s="1124"/>
      <c r="F1" s="1124"/>
    </row>
    <row r="2" spans="1:6" ht="15.6">
      <c r="A2" s="1124"/>
      <c r="B2" s="1125" t="s">
        <v>810</v>
      </c>
      <c r="C2" s="1126"/>
      <c r="D2" s="1127" t="s">
        <v>543</v>
      </c>
      <c r="E2" s="1127" t="s">
        <v>542</v>
      </c>
      <c r="F2" s="1128" t="s">
        <v>541</v>
      </c>
    </row>
    <row r="3" spans="1:6" ht="15.6">
      <c r="A3" s="1124"/>
      <c r="B3" s="1129" t="s">
        <v>811</v>
      </c>
      <c r="C3" s="1130">
        <v>2025</v>
      </c>
      <c r="D3" s="2111" t="s">
        <v>706</v>
      </c>
      <c r="E3" s="2111"/>
      <c r="F3" s="2112"/>
    </row>
    <row r="4" spans="1:6" ht="15">
      <c r="A4" s="1124"/>
      <c r="B4" s="1131" t="s">
        <v>323</v>
      </c>
      <c r="C4" s="1132">
        <f>Divisional!DN4</f>
        <v>52577</v>
      </c>
      <c r="D4" s="1133">
        <f>C4*((1+D5)^3)</f>
        <v>69979.987000000023</v>
      </c>
      <c r="E4" s="1132">
        <f>Divisional!EI4</f>
        <v>73145.490542642801</v>
      </c>
      <c r="F4" s="1134">
        <f>C4*((1+F5)^3)</f>
        <v>77895.138888000016</v>
      </c>
    </row>
    <row r="5" spans="1:6" ht="15.6">
      <c r="A5" s="1124"/>
      <c r="B5" s="1135" t="s">
        <v>948</v>
      </c>
      <c r="C5" s="1132"/>
      <c r="D5" s="1136">
        <v>0.1</v>
      </c>
      <c r="E5" s="1137">
        <f>(E4/C4)^(1/3)-1</f>
        <v>0.11634196696135168</v>
      </c>
      <c r="F5" s="1138">
        <v>0.14000000000000001</v>
      </c>
    </row>
    <row r="6" spans="1:6" ht="15">
      <c r="A6" s="1124"/>
      <c r="B6" s="1139" t="s">
        <v>812</v>
      </c>
      <c r="C6" s="1132">
        <f>Divisional!DN5</f>
        <v>8972</v>
      </c>
      <c r="D6" s="1133">
        <f>C6*((1+D7)^3)</f>
        <v>9521.158175999999</v>
      </c>
      <c r="E6" s="1132">
        <f>Divisional!EI5</f>
        <v>10225.310603612868</v>
      </c>
      <c r="F6" s="1134">
        <f>C6*((1+F7)^3)</f>
        <v>10685.795552000003</v>
      </c>
    </row>
    <row r="7" spans="1:6" ht="15.6">
      <c r="A7" s="1124"/>
      <c r="B7" s="1135" t="s">
        <v>948</v>
      </c>
      <c r="C7" s="1132"/>
      <c r="D7" s="1136">
        <v>0.02</v>
      </c>
      <c r="E7" s="1137">
        <f>(E6/C6)^(1/3)-1</f>
        <v>4.4549634303884034E-2</v>
      </c>
      <c r="F7" s="1138">
        <v>0.06</v>
      </c>
    </row>
    <row r="8" spans="1:6" ht="15">
      <c r="A8" s="1124"/>
      <c r="B8" s="1139" t="s">
        <v>804</v>
      </c>
      <c r="C8" s="1132">
        <f>Divisional!DN6</f>
        <v>13405</v>
      </c>
      <c r="D8" s="1133">
        <f>C8*((1+D9)^3)</f>
        <v>15517.963125000002</v>
      </c>
      <c r="E8" s="1132">
        <f>Divisional!EI6</f>
        <v>16283.656725000004</v>
      </c>
      <c r="F8" s="1134">
        <f>C8*((1+F9)^3)</f>
        <v>17359.863745000002</v>
      </c>
    </row>
    <row r="9" spans="1:6" ht="15.6">
      <c r="A9" s="1124"/>
      <c r="B9" s="1135" t="s">
        <v>948</v>
      </c>
      <c r="C9" s="1132"/>
      <c r="D9" s="1136">
        <v>0.05</v>
      </c>
      <c r="E9" s="1137">
        <f>(E8/C8)^(1/3)-1</f>
        <v>6.6993335276791521E-2</v>
      </c>
      <c r="F9" s="1138">
        <v>0.09</v>
      </c>
    </row>
    <row r="10" spans="1:6" ht="15" hidden="1" outlineLevel="1">
      <c r="A10" s="1124"/>
      <c r="B10" s="1139" t="s">
        <v>326</v>
      </c>
      <c r="C10" s="1132">
        <f>Divisional!DN12</f>
        <v>-1534</v>
      </c>
      <c r="D10" s="1133">
        <f>E10</f>
        <v>-2039.5167485992233</v>
      </c>
      <c r="E10" s="1132">
        <f>Divisional!EI12</f>
        <v>-2039.5167485992233</v>
      </c>
      <c r="F10" s="1134">
        <f>E10</f>
        <v>-2039.5167485992233</v>
      </c>
    </row>
    <row r="11" spans="1:6" ht="15.6" hidden="1" outlineLevel="1">
      <c r="A11" s="1124"/>
      <c r="B11" s="1140" t="s">
        <v>948</v>
      </c>
      <c r="C11" s="1141"/>
      <c r="D11" s="1241">
        <f>(D10/C10)^(1/3)-1</f>
        <v>9.9598078260178191E-2</v>
      </c>
      <c r="E11" s="1242">
        <f>(E10/C10)^(1/3)-1</f>
        <v>9.9598078260178191E-2</v>
      </c>
      <c r="F11" s="1243">
        <f>(F10/C10)^(1/3)-1</f>
        <v>9.9598078260178191E-2</v>
      </c>
    </row>
    <row r="12" spans="1:6" ht="15.6" collapsed="1">
      <c r="A12" s="1142"/>
      <c r="B12" s="1143" t="s">
        <v>813</v>
      </c>
      <c r="C12" s="1144">
        <f>C4+C6+C8+C10</f>
        <v>73420</v>
      </c>
      <c r="D12" s="1145">
        <f>D4+D6+D8+D10</f>
        <v>92979.591552400801</v>
      </c>
      <c r="E12" s="1144">
        <f>E4+E6+E8+E10</f>
        <v>97614.941122656455</v>
      </c>
      <c r="F12" s="1146">
        <f>F4+F6+F8+F10</f>
        <v>103901.28143640079</v>
      </c>
    </row>
    <row r="13" spans="1:6" ht="15">
      <c r="A13" s="1124"/>
      <c r="B13" s="1201" t="s">
        <v>948</v>
      </c>
      <c r="C13" s="1147"/>
      <c r="D13" s="1202">
        <f>(D12/C12)^(1/3)-1</f>
        <v>8.1909874616888922E-2</v>
      </c>
      <c r="E13" s="1203">
        <f>(E12/C12)^(1/3)-1</f>
        <v>9.9598078260178191E-2</v>
      </c>
      <c r="F13" s="1204">
        <f>(F12/C12)^(1/3)-1</f>
        <v>0.12271323217358643</v>
      </c>
    </row>
    <row r="14" spans="1:6" ht="15">
      <c r="A14" s="1124"/>
      <c r="B14" s="1139"/>
      <c r="C14" s="1147"/>
      <c r="D14" s="1148"/>
      <c r="E14" s="1147"/>
      <c r="F14" s="1149"/>
    </row>
    <row r="15" spans="1:6" ht="15">
      <c r="A15" s="1124"/>
      <c r="B15" s="1131" t="s">
        <v>323</v>
      </c>
      <c r="C15" s="1147">
        <f>Divisional!DN26</f>
        <v>5470</v>
      </c>
      <c r="D15" s="1148">
        <f>D4*D16</f>
        <v>7697.7985700000027</v>
      </c>
      <c r="E15" s="1147">
        <f>Divisional!EI26</f>
        <v>9368.1627072406627</v>
      </c>
      <c r="F15" s="1149">
        <f>F4*F16</f>
        <v>11684.270833200002</v>
      </c>
    </row>
    <row r="16" spans="1:6" ht="15">
      <c r="A16" s="1150"/>
      <c r="B16" s="1151" t="s">
        <v>137</v>
      </c>
      <c r="C16" s="1152">
        <f>C15/C4</f>
        <v>0.10403788728911882</v>
      </c>
      <c r="D16" s="1153">
        <v>0.11</v>
      </c>
      <c r="E16" s="1152">
        <f>E15/E4</f>
        <v>0.12807573833658487</v>
      </c>
      <c r="F16" s="1154">
        <v>0.15</v>
      </c>
    </row>
    <row r="17" spans="1:7" ht="15">
      <c r="A17" s="1124"/>
      <c r="B17" s="1139" t="s">
        <v>513</v>
      </c>
      <c r="C17" s="1147">
        <f>Divisional!DN27</f>
        <v>925</v>
      </c>
      <c r="D17" s="1148">
        <f>D6*D18</f>
        <v>904.51002671999993</v>
      </c>
      <c r="E17" s="1147">
        <f>Divisional!EI27</f>
        <v>1153.5803646904799</v>
      </c>
      <c r="F17" s="1149">
        <f>F6*F18</f>
        <v>1442.5823995200005</v>
      </c>
    </row>
    <row r="18" spans="1:7" ht="15">
      <c r="A18" s="1150"/>
      <c r="B18" s="1151" t="s">
        <v>137</v>
      </c>
      <c r="C18" s="1152">
        <f>C17/C6</f>
        <v>0.10309852875613018</v>
      </c>
      <c r="D18" s="1153">
        <v>9.5000000000000001E-2</v>
      </c>
      <c r="E18" s="1152">
        <f>E17/E6</f>
        <v>0.11281616856537247</v>
      </c>
      <c r="F18" s="1154">
        <v>0.13500000000000001</v>
      </c>
    </row>
    <row r="19" spans="1:7" ht="15">
      <c r="A19" s="1124"/>
      <c r="B19" s="1139" t="s">
        <v>804</v>
      </c>
      <c r="C19" s="1147">
        <f>Divisional!DN28</f>
        <v>798</v>
      </c>
      <c r="D19" s="1148">
        <f>D8*D20</f>
        <v>931.07778750000011</v>
      </c>
      <c r="E19" s="1147">
        <f>Divisional!EI28</f>
        <v>1302.6925380000002</v>
      </c>
      <c r="F19" s="1149">
        <f>F8*F20</f>
        <v>1735.9863745000002</v>
      </c>
    </row>
    <row r="20" spans="1:7" ht="15">
      <c r="A20" s="1150"/>
      <c r="B20" s="1151" t="s">
        <v>137</v>
      </c>
      <c r="C20" s="1152">
        <f>C19/C8</f>
        <v>5.9530026109660572E-2</v>
      </c>
      <c r="D20" s="1153">
        <v>0.06</v>
      </c>
      <c r="E20" s="1152">
        <f>E19/E8</f>
        <v>7.9999999999999988E-2</v>
      </c>
      <c r="F20" s="1154">
        <v>0.1</v>
      </c>
    </row>
    <row r="21" spans="1:7" ht="15" hidden="1" outlineLevel="1">
      <c r="A21" s="1150"/>
      <c r="B21" s="1139" t="s">
        <v>326</v>
      </c>
      <c r="C21" s="1147">
        <f>Divisional!DN30</f>
        <v>-65</v>
      </c>
      <c r="D21" s="1148">
        <f>E21</f>
        <v>0</v>
      </c>
      <c r="E21" s="1147">
        <f>Divisional!EI30</f>
        <v>0</v>
      </c>
      <c r="F21" s="1149">
        <f>E21</f>
        <v>0</v>
      </c>
    </row>
    <row r="22" spans="1:7" ht="15" hidden="1" outlineLevel="1">
      <c r="A22" s="1150"/>
      <c r="B22" s="1155" t="s">
        <v>137</v>
      </c>
      <c r="C22" s="1156">
        <f>C21/C10</f>
        <v>4.2372881355932202E-2</v>
      </c>
      <c r="D22" s="1244">
        <f>D21/D10</f>
        <v>0</v>
      </c>
      <c r="E22" s="1156">
        <f>E21/E10</f>
        <v>0</v>
      </c>
      <c r="F22" s="1245">
        <f>F21/F10</f>
        <v>0</v>
      </c>
    </row>
    <row r="23" spans="1:7" ht="15.6" collapsed="1">
      <c r="A23" s="1124"/>
      <c r="B23" s="1157" t="s">
        <v>544</v>
      </c>
      <c r="C23" s="1158">
        <f>C15+C17+C19+C21</f>
        <v>7128</v>
      </c>
      <c r="D23" s="1159">
        <f>D15+D17+D19+D21</f>
        <v>9533.3863842200026</v>
      </c>
      <c r="E23" s="1158">
        <f>E15+E17+E19+E21</f>
        <v>11824.435609931144</v>
      </c>
      <c r="F23" s="1160">
        <f>F15+F17+F19+F21</f>
        <v>14862.839607220003</v>
      </c>
    </row>
    <row r="24" spans="1:7" ht="15">
      <c r="A24" s="1150"/>
      <c r="B24" s="1161" t="s">
        <v>137</v>
      </c>
      <c r="C24" s="1152">
        <f>C23/C12</f>
        <v>9.7085262871152281E-2</v>
      </c>
      <c r="D24" s="1162">
        <f>D23/D12</f>
        <v>0.10253203122372549</v>
      </c>
      <c r="E24" s="1152">
        <f>E23/E12</f>
        <v>0.1211334604512371</v>
      </c>
      <c r="F24" s="1163">
        <f>F23/F12</f>
        <v>0.14304770260526309</v>
      </c>
      <c r="G24" s="1400"/>
    </row>
    <row r="25" spans="1:7" ht="15">
      <c r="A25" s="1150"/>
      <c r="B25" s="1161"/>
      <c r="C25" s="1152"/>
      <c r="D25" s="1162">
        <f>D24-C24</f>
        <v>5.4467683525732113E-3</v>
      </c>
      <c r="E25" s="1152">
        <f>E24-C24</f>
        <v>2.4048197580084821E-2</v>
      </c>
      <c r="F25" s="1163">
        <f>F24-C24</f>
        <v>4.5962439734110808E-2</v>
      </c>
    </row>
    <row r="26" spans="1:7" ht="15.6">
      <c r="A26" s="1150"/>
      <c r="B26" s="1164" t="s">
        <v>814</v>
      </c>
      <c r="C26" s="1152"/>
      <c r="D26" s="1162"/>
      <c r="E26" s="1152"/>
      <c r="F26" s="1163"/>
    </row>
    <row r="27" spans="1:7" ht="15">
      <c r="A27" s="1150"/>
      <c r="B27" s="1161" t="s">
        <v>806</v>
      </c>
      <c r="C27" s="1152"/>
      <c r="D27" s="1148">
        <f>D23*D28</f>
        <v>114400.63661064004</v>
      </c>
      <c r="E27" s="1147">
        <v>204168.32973268916</v>
      </c>
      <c r="F27" s="1149">
        <f>F23*F28</f>
        <v>312119.63175162004</v>
      </c>
    </row>
    <row r="28" spans="1:7" ht="15">
      <c r="A28" s="1150"/>
      <c r="B28" s="1161" t="s">
        <v>201</v>
      </c>
      <c r="C28" s="1152"/>
      <c r="D28" s="1165">
        <v>12</v>
      </c>
      <c r="E28" s="1166">
        <f>E27/E23</f>
        <v>17.266644808079601</v>
      </c>
      <c r="F28" s="1167">
        <v>21</v>
      </c>
    </row>
    <row r="29" spans="1:7" ht="15">
      <c r="A29" s="1150"/>
      <c r="B29" s="1168" t="s">
        <v>815</v>
      </c>
      <c r="C29" s="1152"/>
      <c r="D29" s="1148">
        <f>E29</f>
        <v>1506</v>
      </c>
      <c r="E29" s="1147">
        <v>1506</v>
      </c>
      <c r="F29" s="1149">
        <f>E29</f>
        <v>1506</v>
      </c>
    </row>
    <row r="30" spans="1:7" ht="15.6">
      <c r="A30" s="1150"/>
      <c r="B30" s="1169" t="s">
        <v>816</v>
      </c>
      <c r="C30" s="1170"/>
      <c r="D30" s="1171">
        <f>D27+D29</f>
        <v>115906.63661064004</v>
      </c>
      <c r="E30" s="1172">
        <f>E27+E29</f>
        <v>205674.32973268916</v>
      </c>
      <c r="F30" s="1173">
        <f>F27+F29</f>
        <v>313625.63175162004</v>
      </c>
    </row>
    <row r="31" spans="1:7" ht="15.6">
      <c r="A31" s="1150"/>
      <c r="B31" s="1174" t="s">
        <v>817</v>
      </c>
      <c r="C31" s="1175"/>
      <c r="D31" s="1176">
        <f>D30/D38</f>
        <v>146.796566426374</v>
      </c>
      <c r="E31" s="1177">
        <f>E30/E38</f>
        <v>260.48797799411813</v>
      </c>
      <c r="F31" s="1178">
        <f>F30/F38</f>
        <v>397.20905748561665</v>
      </c>
    </row>
    <row r="32" spans="1:7" ht="15.6">
      <c r="A32" s="1150"/>
      <c r="B32" s="1179"/>
      <c r="C32" s="1152"/>
      <c r="D32" s="1180"/>
      <c r="E32" s="1181"/>
      <c r="F32" s="1182"/>
    </row>
    <row r="33" spans="1:9" ht="15">
      <c r="A33" s="1124"/>
      <c r="B33" s="1131" t="s">
        <v>818</v>
      </c>
      <c r="C33" s="1147">
        <f>C34-C23</f>
        <v>208</v>
      </c>
      <c r="D33" s="1148">
        <f>E33</f>
        <v>-106.19338911962586</v>
      </c>
      <c r="E33" s="1147">
        <f>E34-E23</f>
        <v>-106.19338911962586</v>
      </c>
      <c r="F33" s="1149">
        <f>E33</f>
        <v>-106.19338911962586</v>
      </c>
    </row>
    <row r="34" spans="1:9" ht="15.6">
      <c r="A34" s="1124"/>
      <c r="B34" s="1183" t="s">
        <v>819</v>
      </c>
      <c r="C34" s="1181">
        <f>Divisional!DN31+IS!DG31+IS!DG35+IS!DG55</f>
        <v>7336</v>
      </c>
      <c r="D34" s="1180">
        <f>D23+D33</f>
        <v>9427.1929951003767</v>
      </c>
      <c r="E34" s="1181">
        <f>Divisional!EI31+IS!EB31+IS!EB35+IS!EB55</f>
        <v>11718.242220811519</v>
      </c>
      <c r="F34" s="1182">
        <f>F23+F33</f>
        <v>14756.646218100377</v>
      </c>
    </row>
    <row r="35" spans="1:9" ht="15">
      <c r="A35" s="1124"/>
      <c r="B35" s="1131" t="s">
        <v>820</v>
      </c>
      <c r="C35" s="1147">
        <f>C37-C34</f>
        <v>-1899</v>
      </c>
      <c r="D35" s="1148">
        <f>-D34*D36</f>
        <v>-2262.5263188240901</v>
      </c>
      <c r="E35" s="1147">
        <f>E37-E34</f>
        <v>-2679.5605552028774</v>
      </c>
      <c r="F35" s="1149">
        <f>-F34*F36</f>
        <v>-3246.462167982083</v>
      </c>
    </row>
    <row r="36" spans="1:9" ht="15">
      <c r="A36" s="1124"/>
      <c r="B36" s="1131" t="s">
        <v>589</v>
      </c>
      <c r="C36" s="1152">
        <f>-C35/C34</f>
        <v>0.25886041439476554</v>
      </c>
      <c r="D36" s="1153">
        <v>0.24</v>
      </c>
      <c r="E36" s="1152">
        <f>-E35/E34</f>
        <v>0.22866574224280806</v>
      </c>
      <c r="F36" s="1154">
        <v>0.22</v>
      </c>
    </row>
    <row r="37" spans="1:9" ht="15.6">
      <c r="A37" s="1124"/>
      <c r="B37" s="1183" t="s">
        <v>783</v>
      </c>
      <c r="C37" s="1181">
        <f>IS!DG57</f>
        <v>5437</v>
      </c>
      <c r="D37" s="1180">
        <f>D34+D35</f>
        <v>7164.666676276287</v>
      </c>
      <c r="E37" s="1181">
        <f>IS!EB57</f>
        <v>9038.6816656086412</v>
      </c>
      <c r="F37" s="1182">
        <f>F34+F35</f>
        <v>11510.184050118294</v>
      </c>
    </row>
    <row r="38" spans="1:9" ht="15">
      <c r="A38" s="1124"/>
      <c r="B38" s="1131" t="s">
        <v>115</v>
      </c>
      <c r="C38" s="1147">
        <f>IS!DG70</f>
        <v>789.57321300000001</v>
      </c>
      <c r="D38" s="1148">
        <f>E38</f>
        <v>789.57321300000001</v>
      </c>
      <c r="E38" s="1147">
        <f>IS!DG70</f>
        <v>789.57321300000001</v>
      </c>
      <c r="F38" s="1149">
        <f>E38</f>
        <v>789.57321300000001</v>
      </c>
    </row>
    <row r="39" spans="1:9" ht="15.6">
      <c r="A39" s="1124"/>
      <c r="B39" s="1183" t="s">
        <v>821</v>
      </c>
      <c r="C39" s="1184">
        <f>C37/C38</f>
        <v>6.8859985502066419</v>
      </c>
      <c r="D39" s="1185">
        <f>D37/D38</f>
        <v>9.0741004865831059</v>
      </c>
      <c r="E39" s="1184">
        <f>E37/E38</f>
        <v>11.447553585646581</v>
      </c>
      <c r="F39" s="1186">
        <f>F37/F38</f>
        <v>14.577728652147542</v>
      </c>
    </row>
    <row r="40" spans="1:9" ht="15">
      <c r="A40" s="1124"/>
      <c r="B40" s="1187" t="s">
        <v>822</v>
      </c>
      <c r="C40" s="1188"/>
      <c r="D40" s="1189">
        <v>17</v>
      </c>
      <c r="E40" s="1190">
        <f>E41/E39</f>
        <v>22.003831488763073</v>
      </c>
      <c r="F40" s="1191">
        <v>26</v>
      </c>
    </row>
    <row r="41" spans="1:9" ht="15.6">
      <c r="A41" s="1124"/>
      <c r="B41" s="1174" t="s">
        <v>823</v>
      </c>
      <c r="C41" s="1192"/>
      <c r="D41" s="1144">
        <f>D39*D40</f>
        <v>154.25970827191281</v>
      </c>
      <c r="E41" s="1144">
        <v>251.89004005715287</v>
      </c>
      <c r="F41" s="1146">
        <f>F39*F40</f>
        <v>379.02094495583606</v>
      </c>
    </row>
    <row r="42" spans="1:9" ht="15.6">
      <c r="A42" s="1124"/>
      <c r="B42" s="1143" t="s">
        <v>831</v>
      </c>
      <c r="C42" s="1240"/>
      <c r="D42" s="1144">
        <f>AVERAGE(D31,D41)</f>
        <v>150.52813734914341</v>
      </c>
      <c r="E42" s="1144">
        <f>AVERAGE(E31,E41)</f>
        <v>256.18900902563553</v>
      </c>
      <c r="F42" s="1146">
        <f>AVERAGE(F31,F41)</f>
        <v>388.11500122072636</v>
      </c>
    </row>
    <row r="43" spans="1:9" ht="15.6">
      <c r="A43" s="1124"/>
      <c r="B43" s="1143" t="s">
        <v>830</v>
      </c>
      <c r="C43" s="1240"/>
      <c r="D43" s="1144">
        <v>164.3384451772024</v>
      </c>
      <c r="E43" s="1144">
        <v>253.72272432861482</v>
      </c>
      <c r="F43" s="1146">
        <v>364.52150882805824</v>
      </c>
    </row>
    <row r="44" spans="1:9" ht="15.6">
      <c r="A44" s="1124"/>
      <c r="B44" s="1193" t="s">
        <v>824</v>
      </c>
      <c r="C44" s="1194"/>
      <c r="D44" s="1195">
        <f>AVERAGE(D42:D43)</f>
        <v>157.43329126317292</v>
      </c>
      <c r="E44" s="1195">
        <f>AVERAGE(E42:E43)</f>
        <v>254.95586667712519</v>
      </c>
      <c r="F44" s="1196">
        <f>AVERAGE(F42:F43)</f>
        <v>376.31825502439233</v>
      </c>
      <c r="I44" s="275" t="b">
        <v>1</v>
      </c>
    </row>
  </sheetData>
  <mergeCells count="1">
    <mergeCell ref="D3:F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8F58-FF8A-45AA-B7B7-68ED5CAB954E}">
  <dimension ref="A1:B44"/>
  <sheetViews>
    <sheetView workbookViewId="0"/>
  </sheetViews>
  <sheetFormatPr defaultRowHeight="13.2"/>
  <cols>
    <col min="1" max="1" width="29" customWidth="1"/>
  </cols>
  <sheetData>
    <row r="1" spans="1:2">
      <c r="A1" s="2072" t="s">
        <v>1286</v>
      </c>
      <c r="B1" s="2078" t="s">
        <v>1287</v>
      </c>
    </row>
    <row r="2" spans="1:2">
      <c r="A2" s="2072" t="s">
        <v>1288</v>
      </c>
      <c r="B2" s="2072" t="s">
        <v>1289</v>
      </c>
    </row>
    <row r="3" spans="1:2">
      <c r="A3" s="2072" t="s">
        <v>1290</v>
      </c>
      <c r="B3" s="2072" t="s">
        <v>1291</v>
      </c>
    </row>
    <row r="4" spans="1:2">
      <c r="A4" s="2072" t="s">
        <v>1292</v>
      </c>
      <c r="B4" s="2072" t="s">
        <v>1293</v>
      </c>
    </row>
    <row r="5" spans="1:2">
      <c r="A5" s="2072" t="s">
        <v>1294</v>
      </c>
      <c r="B5" s="2072" t="s">
        <v>1295</v>
      </c>
    </row>
    <row r="6" spans="1:2">
      <c r="A6" s="2072" t="s">
        <v>1296</v>
      </c>
      <c r="B6" s="2072"/>
    </row>
    <row r="7" spans="1:2">
      <c r="A7" s="2072" t="s">
        <v>1297</v>
      </c>
      <c r="B7" s="2072" t="s">
        <v>829</v>
      </c>
    </row>
    <row r="8" spans="1:2">
      <c r="A8" s="2072" t="s">
        <v>1298</v>
      </c>
      <c r="B8" s="2072" t="s">
        <v>1299</v>
      </c>
    </row>
    <row r="9" spans="1:2">
      <c r="A9" s="2072" t="s">
        <v>1300</v>
      </c>
      <c r="B9" s="2072" t="s">
        <v>1301</v>
      </c>
    </row>
    <row r="10" spans="1:2">
      <c r="A10" s="2072" t="s">
        <v>1302</v>
      </c>
      <c r="B10" s="2072"/>
    </row>
    <row r="11" spans="1:2">
      <c r="A11" s="2072" t="s">
        <v>1303</v>
      </c>
      <c r="B11" s="2072"/>
    </row>
    <row r="12" spans="1:2">
      <c r="A12" s="2072" t="s">
        <v>1304</v>
      </c>
      <c r="B12" s="2072"/>
    </row>
    <row r="13" spans="1:2">
      <c r="A13" s="2072" t="s">
        <v>1305</v>
      </c>
      <c r="B13" s="2072"/>
    </row>
    <row r="14" spans="1:2">
      <c r="A14" s="2072" t="s">
        <v>1306</v>
      </c>
      <c r="B14" s="2072"/>
    </row>
    <row r="15" spans="1:2">
      <c r="A15" s="2072" t="s">
        <v>1307</v>
      </c>
      <c r="B15" s="2072"/>
    </row>
    <row r="16" spans="1:2">
      <c r="A16" s="2072" t="s">
        <v>1308</v>
      </c>
      <c r="B16" s="2072"/>
    </row>
    <row r="17" spans="1:2">
      <c r="A17" s="2072" t="s">
        <v>1309</v>
      </c>
      <c r="B17" s="2072" t="s">
        <v>1310</v>
      </c>
    </row>
    <row r="18" spans="1:2">
      <c r="A18" s="2072" t="s">
        <v>1311</v>
      </c>
      <c r="B18" s="2072" t="s">
        <v>1312</v>
      </c>
    </row>
    <row r="19" spans="1:2">
      <c r="A19" s="2072" t="s">
        <v>1313</v>
      </c>
      <c r="B19" s="2072" t="s">
        <v>186</v>
      </c>
    </row>
    <row r="20" spans="1:2">
      <c r="A20" s="2072" t="s">
        <v>1314</v>
      </c>
      <c r="B20" s="2072"/>
    </row>
    <row r="21" spans="1:2">
      <c r="A21" s="2072" t="s">
        <v>1315</v>
      </c>
      <c r="B21" s="2072" t="s">
        <v>186</v>
      </c>
    </row>
    <row r="22" spans="1:2">
      <c r="A22" s="2072" t="s">
        <v>1316</v>
      </c>
      <c r="B22" s="2072" t="s">
        <v>170</v>
      </c>
    </row>
    <row r="23" spans="1:2">
      <c r="A23" s="2072" t="s">
        <v>1317</v>
      </c>
      <c r="B23" s="2078" t="s">
        <v>1318</v>
      </c>
    </row>
    <row r="24" spans="1:2">
      <c r="A24" s="2072" t="s">
        <v>805</v>
      </c>
      <c r="B24" s="2072" t="s">
        <v>6</v>
      </c>
    </row>
    <row r="25" spans="1:2">
      <c r="A25" s="2072" t="s">
        <v>1319</v>
      </c>
      <c r="B25" s="2072" t="s">
        <v>1320</v>
      </c>
    </row>
    <row r="26" spans="1:2">
      <c r="A26" s="2072" t="s">
        <v>1321</v>
      </c>
      <c r="B26" s="2072" t="s">
        <v>1322</v>
      </c>
    </row>
    <row r="27" spans="1:2">
      <c r="A27" s="2072" t="s">
        <v>1323</v>
      </c>
      <c r="B27" s="2072" t="s">
        <v>1324</v>
      </c>
    </row>
    <row r="28" spans="1:2">
      <c r="A28" s="2072" t="s">
        <v>1325</v>
      </c>
      <c r="B28" s="2072" t="s">
        <v>1326</v>
      </c>
    </row>
    <row r="29" spans="1:2">
      <c r="A29" s="2072" t="s">
        <v>1327</v>
      </c>
      <c r="B29" s="2072"/>
    </row>
    <row r="30" spans="1:2">
      <c r="A30" s="2072" t="s">
        <v>1328</v>
      </c>
      <c r="B30" s="2072"/>
    </row>
    <row r="31" spans="1:2">
      <c r="A31" s="2072" t="s">
        <v>1329</v>
      </c>
      <c r="B31" s="2072"/>
    </row>
    <row r="32" spans="1:2">
      <c r="A32" s="2072" t="s">
        <v>1330</v>
      </c>
      <c r="B32" s="2072"/>
    </row>
    <row r="33" spans="1:2">
      <c r="A33" s="2072" t="s">
        <v>1331</v>
      </c>
      <c r="B33" s="2072"/>
    </row>
    <row r="34" spans="1:2">
      <c r="A34" s="2072" t="s">
        <v>1332</v>
      </c>
      <c r="B34" s="2072"/>
    </row>
    <row r="35" spans="1:2">
      <c r="A35" s="2072" t="s">
        <v>1333</v>
      </c>
      <c r="B35" s="2072" t="s">
        <v>1334</v>
      </c>
    </row>
    <row r="36" spans="1:2">
      <c r="A36" s="2072" t="s">
        <v>1335</v>
      </c>
      <c r="B36" s="2072" t="s">
        <v>660</v>
      </c>
    </row>
    <row r="37" spans="1:2">
      <c r="A37" s="2072" t="s">
        <v>1336</v>
      </c>
      <c r="B37" s="2072" t="s">
        <v>1337</v>
      </c>
    </row>
    <row r="38" spans="1:2">
      <c r="A38" s="2072" t="s">
        <v>1338</v>
      </c>
      <c r="B38" s="2072" t="s">
        <v>1339</v>
      </c>
    </row>
    <row r="39" spans="1:2">
      <c r="A39" s="2072" t="s">
        <v>1340</v>
      </c>
      <c r="B39" s="2072" t="s">
        <v>1341</v>
      </c>
    </row>
    <row r="40" spans="1:2">
      <c r="A40" s="2072" t="s">
        <v>1342</v>
      </c>
      <c r="B40" s="2072" t="s">
        <v>1343</v>
      </c>
    </row>
    <row r="41" spans="1:2">
      <c r="A41" s="2072" t="s">
        <v>1344</v>
      </c>
      <c r="B41" s="2072" t="s">
        <v>1345</v>
      </c>
    </row>
    <row r="42" spans="1:2">
      <c r="A42" s="2072" t="s">
        <v>1346</v>
      </c>
      <c r="B42" s="2072"/>
    </row>
    <row r="43" spans="1:2">
      <c r="A43" s="2072" t="s">
        <v>1347</v>
      </c>
      <c r="B43" s="2072"/>
    </row>
    <row r="44" spans="1:2">
      <c r="A44" s="2072" t="s">
        <v>1348</v>
      </c>
      <c r="B44" s="2072" t="s">
        <v>1349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C391-022F-4150-A529-D62B4C718740}">
  <dimension ref="A1:A13"/>
  <sheetViews>
    <sheetView workbookViewId="0">
      <selection activeCell="Z1" sqref="Z1"/>
    </sheetView>
  </sheetViews>
  <sheetFormatPr defaultRowHeight="13.2"/>
  <cols>
    <col min="1" max="1" width="25.88671875" bestFit="1" customWidth="1"/>
  </cols>
  <sheetData>
    <row r="1" spans="1:1">
      <c r="A1" s="2072" t="s">
        <v>1350</v>
      </c>
    </row>
    <row r="2" spans="1:1">
      <c r="A2" s="2072" t="s">
        <v>1351</v>
      </c>
    </row>
    <row r="3" spans="1:1">
      <c r="A3" s="2072" t="s">
        <v>1352</v>
      </c>
    </row>
    <row r="4" spans="1:1">
      <c r="A4" s="2072" t="s">
        <v>1353</v>
      </c>
    </row>
    <row r="5" spans="1:1">
      <c r="A5" s="2072" t="s">
        <v>1354</v>
      </c>
    </row>
    <row r="6" spans="1:1">
      <c r="A6" s="2072" t="s">
        <v>1355</v>
      </c>
    </row>
    <row r="7" spans="1:1">
      <c r="A7" s="2072" t="s">
        <v>1356</v>
      </c>
    </row>
    <row r="8" spans="1:1">
      <c r="A8" s="2072" t="s">
        <v>1357</v>
      </c>
    </row>
    <row r="9" spans="1:1">
      <c r="A9" s="2072" t="s">
        <v>1358</v>
      </c>
    </row>
    <row r="10" spans="1:1">
      <c r="A10" s="2072" t="s">
        <v>1359</v>
      </c>
    </row>
    <row r="11" spans="1:1">
      <c r="A11" s="2072" t="s">
        <v>1360</v>
      </c>
    </row>
    <row r="12" spans="1:1">
      <c r="A12" s="2072" t="s">
        <v>1361</v>
      </c>
    </row>
    <row r="13" spans="1:1">
      <c r="A13" s="2072" t="s">
        <v>1362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lk:Links xmlns:lk="thomsonreuters.linking.metadata">
  <Link>
    <GUID>5db05af0-bff5-40c1-985d-25c08ea23e54</GUID>
    <SOURCE_ALTADDRESS>$C$2:$J$28</SOURCE_ALTADDRESS>
    <SOURCETYPE>Table</SOURCETYPE>
    <SOURCE_OBJECTNAME>Linking_Range_45</SOURCE_OBJECTNAME>
    <OBJECTTYPE>Native</OBJECTTYPE>
    <SOURCE_SHEETCODE>Sheet9</SOURCE_SHEETCODE>
    <SOURCE_SHEETNAME>Backup</SOURCE_SHEETNAME>
    <SOURCEAPPLICATION>EXCEL_SOURCE</SOURCEAPPLICATION>
    <UPDATEDAT>3/25/2015 7:15:55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/MSResearch/Content/ExternalAssets/2015-03/Sections/20150325_031551_Linking_Range_45.xml</TARGET_STORYFULLNAME>
    <TARGET_UUID>5a43fc56-d323-11e4-85cd-32a6e52d529f</TARGET_UUID>
  </Link>
  <Link>
    <GUID>32743b4f-1576-4313-bef6-67bbcfcff876</GUID>
    <SOURCE_ALTADDRESS>$C$31:$J$54</SOURCE_ALTADDRESS>
    <SOURCETYPE>Table</SOURCETYPE>
    <SOURCE_OBJECTNAME>Linking_Range_46</SOURCE_OBJECTNAME>
    <OBJECTTYPE>Native</OBJECTTYPE>
    <SOURCE_SHEETCODE>Sheet9</SOURCE_SHEETCODE>
    <SOURCE_SHEETNAME>Backup</SOURCE_SHEETNAME>
    <SOURCEAPPLICATION>EXCEL_SOURCE</SOURCEAPPLICATION>
    <UPDATEDAT>3/25/2015 7:16:14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/MSResearch/Content/ExternalAssets/2015-03/Sections/20150325_031611_Linking_Range_46.xml</TARGET_STORYFULLNAME>
    <TARGET_UUID>65bcedcc-d323-11e4-85cd-32a6e52d529f</TARGET_UUID>
  </Link>
  <Link>
    <GUID>8f7fd16d-1cd9-44a2-afac-a60c25787b12</GUID>
    <SOURCE_ALTADDRESS>$A$1:$R$61</SOURCE_ALTADDRESS>
    <SOURCETYPE>Table</SOURCETYPE>
    <SOURCE_OBJECTNAME>Linking_Range_44</SOURCE_OBJECTNAME>
    <OBJECTTYPE>Native</OBJECTTYPE>
    <SOURCE_SHEETCODE>Sheet4</SOURCE_SHEETCODE>
    <SOURCE_SHEETNAME>Ratios</SOURCE_SHEETNAME>
    <SOURCEAPPLICATION>EXCEL_SOURCE</SOURCEAPPLICATION>
    <UPDATEDAT>3/26/2015 9:06:37 AM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/MSResearch/Content/ExternalAssets/2015-03/Sections/20150325_024317_Linking_Range_44.xml</TARGET_STORYFULLNAME>
    <TARGET_UUID>cd388a7e-d31e-11e4-85cd-32a6e52d529f</TARGET_UUID>
    <LINKSTATUS>Unknown</LINKSTATUS>
  </Link>
  <Link>
    <GUID>f93a57b6-fcd4-4f37-b64d-2e94d7e7c467</GUID>
    <SOURCE_ALTADDRESS>$C$57:$J$85</SOURCE_ALTADDRESS>
    <SOURCETYPE>Table</SOURCETYPE>
    <SOURCE_OBJECTNAME>Linking_Range_47</SOURCE_OBJECTNAME>
    <OBJECTTYPE>Native</OBJECTTYPE>
    <SOURCE_SHEETCODE>Sheet9</SOURCE_SHEETCODE>
    <SOURCE_SHEETNAME>Backup</SOURCE_SHEETNAME>
    <SOURCEAPPLICATION>EXCEL_SOURCE</SOURCEAPPLICATION>
    <UPDATEDAT>3/26/2015 9:10:21 AM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/MSResearch/Content/ExternalAssets/2015-03/Sections/20150326_051016_Linking_Range_47.xml</TARGET_STORYFULLNAME>
    <TARGET_UUID>eb29a8f0-d397-11e4-85cd-32a6e52d529f</TARGET_UUID>
  </Link>
  <Link>
    <GUID>5f632768-ece1-46b8-af20-ca08696baa52</GUID>
    <SOURCE_ALTADDRESS>$C$89:$J$115</SOURCE_ALTADDRESS>
    <SOURCETYPE>Table</SOURCETYPE>
    <SOURCE_OBJECTNAME>Linking_Range_48</SOURCE_OBJECTNAME>
    <OBJECTTYPE>Native</OBJECTTYPE>
    <SOURCE_SHEETCODE>Sheet9</SOURCE_SHEETCODE>
    <SOURCE_SHEETNAME>Backup</SOURCE_SHEETNAME>
    <SOURCEAPPLICATION>EXCEL_SOURCE</SOURCEAPPLICATION>
    <UPDATEDAT>3/26/2015 9:15:20 AM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/MSResearch/Content/ExternalAssets/2015-03/Sections/20150326_051515_Linking_Range_48.xml</TARGET_STORYFULLNAME>
    <TARGET_UUID>9d5df83c-d398-11e4-85cd-32a6e52d529f</TARGET_UUID>
  </Link>
  <Link>
    <GUID>7b202512-7b4b-40e2-871a-961c775f726b</GUID>
    <SOURCETYPE>Chart</SOURCETYPE>
    <SOURCE_OBJECTNAME>MWA_Risk_Reward</SOURCE_OBJECTNAME>
    <SOURCE_SHEETCODE>MWRSSData</SOURCE_SHEETCODE>
    <SOURCE_SHEETNAME>MWA RR</SOURCE_SHEETNAME>
    <OBJECTTYPE>Native</OBJECTTYPE>
    <SOURCEAPPLICATION>EXCEL_SOURCE</SOURCEAPPLICATION>
    <UPDATEDAT>3/26/2015 2:28:55 PM</UPDATEDAT>
    <SOURCE_ISOUTOFDATE>False</SOURCE_ISOUTOFDATE>
    <SOURCE_WORKBOOKNAME>Airbus internal WIP.xls</SOURCE_WORKBOOKNAME>
    <SOURCE_WORKBOOKPATH>\\MSAD\ROOT\EU\LN\LIB\EQR\aerospace\JBR AEROSPACE\A&amp;D\Airbus\Models</SOURCE_WORKBOOKPATH>
    <TRANSPARENTBACKGROUND>False</TRANSPARENTBACKGROUND>
    <TRANSPARENTPLOTAREA>False</TRANSPARENTPLOTAREA>
    <TARGETTYPE>Picture</TARGETTYPE>
    <TARGETAPPLICATION>METHODE_TARGET</TARGETAPPLICATION>
    <TABLEBACKGROUND>Existing</TABLEBACKGROUND>
    <EXTRACTSOURCEMODE>CopyToClipboard</EXTRACTSOURCEMODE>
    <TARGET_BINARYFULLNAME>/MSResearch/Content/ExternalAssets/2015-03/Images/xAKDPO-_7EWmjzvFXmzgSQ--.png</TARGET_BINARYFULLNAME>
    <TARGET_STORYFULLNAME>/MSResearch/Content/ExternalAssets/2015-03/Sections/20150325_070456_MWA_Risk_Reward.xml</TARGET_STORYFULLNAME>
    <TARGET_UUID>c59257b8-d2de-11e4-85cd-32a6e52d529f</TARGET_UUID>
    <LINKSTATUS>Unknown</LINKSTATUS>
  </Link>
  <Link>
    <GUID>cff95cd5-f6ea-4e4d-aab7-1173eafdaa8b</GUID>
    <SOURCE_ALTADDRESS>$G$56:$M$62</SOURCE_ALTADDRESS>
    <SOURCETYPE>Table</SOURCETYPE>
    <SOURCE_OBJECTNAME>Linking_Range_39</SOURCE_OBJECTNAME>
    <OBJECTTYPE>Native</OBJECTTYPE>
    <SOURCE_SHEETCODE>Sheet8</SOURCE_SHEETCODE>
    <SOURCE_SHEETNAME>Group DCF</SOURCE_SHEETNAME>
    <SOURCEAPPLICATION>EXCEL_SOURCE</SOURCEAPPLICATION>
    <UPDATEDAT>3/26/2015 2:50:42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/MSResearch/Content/ExternalAssets/2015-03/Sections/20150325_023811_Linking_Range_39.xml</TARGET_STORYFULLNAME>
    <TARGET_UUID>16e0347a-d31e-11e4-85cd-32a6e52d529f</TARGET_UUID>
    <LINKSTATUS>Unknown</LINKSTATUS>
  </Link>
  <Link>
    <GUID>f3a32c59-8df3-4da0-be64-2917eeee5922</GUID>
    <SOURCE_ALTADDRESS>$G$74:$M$80</SOURCE_ALTADDRESS>
    <SOURCETYPE>Table</SOURCETYPE>
    <SOURCE_OBJECTNAME>Linking_Range_41</SOURCE_OBJECTNAME>
    <OBJECTTYPE>Native</OBJECTTYPE>
    <SOURCE_SHEETCODE>Sheet8</SOURCE_SHEETCODE>
    <SOURCE_SHEETNAME>Group DCF</SOURCE_SHEETNAME>
    <SOURCEAPPLICATION>EXCEL_SOURCE</SOURCEAPPLICATION>
    <UPDATEDAT>3/26/2015 2:50:42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/MSResearch/Content/ExternalAssets/2015-03/Sections/20150325_023839_Linking_Range_41.xml</TARGET_STORYFULLNAME>
    <TARGET_UUID>278e06b2-d31e-11e4-85cd-32a6e52d529f</TARGET_UUID>
    <LINKSTATUS>Unknown</LINKSTATUS>
  </Link>
  <Link>
    <GUID>ae2099b6-bdc4-4f14-b655-df4ad36506a6</GUID>
    <SOURCE_ALTADDRESS>$G$66:$M$71</SOURCE_ALTADDRESS>
    <SOURCETYPE>Table</SOURCETYPE>
    <SOURCE_OBJECTNAME>Linking_Range_43</SOURCE_OBJECTNAME>
    <OBJECTTYPE>Native</OBJECTTYPE>
    <SOURCE_SHEETCODE>Sheet8</SOURCE_SHEETCODE>
    <SOURCE_SHEETNAME>Group DCF</SOURCE_SHEETNAME>
    <SOURCEAPPLICATION>EXCEL_SOURCE</SOURCEAPPLICATION>
    <UPDATEDAT>3/26/2015 2:51:38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/MSResearch/Content/ExternalAssets/2015-03/Sections/20150325_023825_Linking_Range_43.xml</TARGET_STORYFULLNAME>
    <TARGET_UUID>1f7bc824-d31e-11e4-85cd-32a6e52d529f</TARGET_UUID>
    <LINKSTATUS>Unknown</LINKSTATUS>
  </Link>
  <Link>
    <GUID>0b13ff07-02ce-49cd-b944-232b9cfed7e8</GUID>
    <SOURCE_ALTADDRESS>$G$65:$M$71</SOURCE_ALTADDRESS>
    <SOURCETYPE>Table</SOURCETYPE>
    <SOURCE_OBJECTNAME>Linking_Range_40</SOURCE_OBJECTNAME>
    <OBJECTTYPE>Native</OBJECTTYPE>
    <SOURCE_SHEETCODE>Sheet8</SOURCE_SHEETCODE>
    <SOURCE_SHEETNAME>Group DCF</SOURCE_SHEETNAME>
    <SOURCEAPPLICATION>EXCEL_SOURCE</SOURCEAPPLICATION>
    <UPDATEDAT>3/26/2015 2:51:38 PM</UPDATEDAT>
    <SOURCE_ISOUTOFDATE>False</SOURCE_ISOUTOFDATE>
    <SOURCE_WORKBOOKNAME>Airbus internal WIP.xls</SOURCE_WORKBOOKNAME>
    <SOURCE_WORKBOOKPATH>\\MSAD\ROOT\EU\LN\LIB\EQR\aerospace\JBR AEROSPACE\A&amp;D\Airbus\Models</SOURCE_WORKBOOKPATH>
    <IMPORTEXPORTINBLACKANDWHITE>False</IMPORTEXPORTINBLACKANDWHITE>
    <IMPORTEXPORTTABLETEXTINBLACKANDWHITE>False</IMPORTEXPORTTABLETEXTINBLACKANDWHITE>
    <TABLEBACKGROUND>Existing</TABLEBACKGROUND>
    <HIDEGRIDLINES>True</HIDEGRIDLINES>
    <TARGETTYPE>HtmlTable</TARGETTYPE>
    <TARGETAPPLICATION>METHODE_TARGET</TARGETAPPLICATION>
    <EXTRACTSOURCEMODE>CopyToClipboard</EXTRACTSOURCEMODE>
    <TARGET_BINARYFULLNAME/>
    <TARGET_STORYFULLNAME>/MSResearch/Content/ExternalAssets/2015-03/Sections/20150325_023926_Linking_Range_4.xml</TARGET_STORYFULLNAME>
    <TARGET_UUID>439bea36-d31e-11e4-85cd-32a6e52d529f</TARGET_UUID>
    <LINKSTATUS>Unknown</LINKSTATUS>
  </Link>
</lk:Links>
</file>

<file path=customXml/item2.xml><?xml version="1.0" encoding="utf-8"?>
<lkmtd:Metadata xmlns:lkmtd="thomsonreuters.linking.metadatachange">
  <MetadataChanged>0</MetadataChanged>
</lkmtd:Metadata>
</file>

<file path=customXml/itemProps1.xml><?xml version="1.0" encoding="utf-8"?>
<ds:datastoreItem xmlns:ds="http://schemas.openxmlformats.org/officeDocument/2006/customXml" ds:itemID="{E2BB4940-9144-4D36-B855-C317C3C006C7}">
  <ds:schemaRefs>
    <ds:schemaRef ds:uri="thomsonreuters.linking.metadata"/>
  </ds:schemaRefs>
</ds:datastoreItem>
</file>

<file path=customXml/itemProps2.xml><?xml version="1.0" encoding="utf-8"?>
<ds:datastoreItem xmlns:ds="http://schemas.openxmlformats.org/officeDocument/2006/customXml" ds:itemID="{F6733AA4-2C1C-499A-AC67-179558BD23BA}">
  <ds:schemaRefs>
    <ds:schemaRef ds:uri="thomsonreuters.linking.metadatachang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ImportantDisclosures</vt:lpstr>
      <vt:lpstr>Valuation Summary</vt:lpstr>
      <vt:lpstr>Divisional</vt:lpstr>
      <vt:lpstr>IS</vt:lpstr>
      <vt:lpstr>CFS</vt:lpstr>
      <vt:lpstr>BS</vt:lpstr>
      <vt:lpstr>Airbus</vt:lpstr>
      <vt:lpstr>Defence &amp; Space</vt:lpstr>
      <vt:lpstr>Helicopters</vt:lpstr>
      <vt:lpstr>Bull Bear Base</vt:lpstr>
      <vt:lpstr>IndexInformation</vt:lpstr>
      <vt:lpstr>ModPubIndex</vt:lpstr>
      <vt:lpstr>_AnnualCashFlowStatement</vt:lpstr>
      <vt:lpstr>_AnnualIncomeStatement</vt:lpstr>
      <vt:lpstr>_AnnualSegmentIncomeStatement</vt:lpstr>
      <vt:lpstr>_EADSKeyPerformanceMeasures</vt:lpstr>
      <vt:lpstr>_QuarterlyIncomeStatement</vt:lpstr>
      <vt:lpstr>_QuarterlySegmentIncomeStatement</vt:lpstr>
      <vt:lpstr>Linking_121</vt:lpstr>
      <vt:lpstr>Linking_53</vt:lpstr>
      <vt:lpstr>Linking_Range_1</vt:lpstr>
      <vt:lpstr>Linking_Range_11</vt:lpstr>
      <vt:lpstr>Linking_Range_12</vt:lpstr>
      <vt:lpstr>Linking_Range_14</vt:lpstr>
      <vt:lpstr>Linking_Range_15</vt:lpstr>
      <vt:lpstr>Linking_Range_16</vt:lpstr>
      <vt:lpstr>Linking_Range_17</vt:lpstr>
      <vt:lpstr>Linking_Range_18</vt:lpstr>
      <vt:lpstr>Linking_Range_19</vt:lpstr>
      <vt:lpstr>Linking_Range_2</vt:lpstr>
      <vt:lpstr>Linking_Range_20</vt:lpstr>
      <vt:lpstr>Linking_Range_21</vt:lpstr>
      <vt:lpstr>Linking_Range_24</vt:lpstr>
      <vt:lpstr>Linking_Range_26</vt:lpstr>
      <vt:lpstr>Linking_Range_27</vt:lpstr>
      <vt:lpstr>Linking_Range_29</vt:lpstr>
      <vt:lpstr>Linking_Range_30</vt:lpstr>
      <vt:lpstr>Linking_Range_33</vt:lpstr>
      <vt:lpstr>Linking_Range_34</vt:lpstr>
      <vt:lpstr>Linking_Range_42</vt:lpstr>
      <vt:lpstr>Linking_Range_44</vt:lpstr>
      <vt:lpstr>Linking_Range_49</vt:lpstr>
      <vt:lpstr>Linking_Range_7</vt:lpstr>
      <vt:lpstr>Airbus!Print_Area</vt:lpstr>
      <vt:lpstr>'Defence &amp; Space'!Print_Area</vt:lpstr>
      <vt:lpstr>Divisional!Print_Area</vt:lpstr>
      <vt:lpstr>Helicopters!Print_Area</vt:lpstr>
      <vt:lpstr>IS!Print_Area</vt:lpstr>
      <vt:lpstr>'Valuation Summary'!Print_Area</vt:lpstr>
    </vt:vector>
  </TitlesOfParts>
  <Company>Morgan Stanley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babka</dc:creator>
  <cp:lastModifiedBy>Perry, Dan (Research)</cp:lastModifiedBy>
  <cp:lastPrinted>2026-08-13T11:40:43Z</cp:lastPrinted>
  <dcterms:created xsi:type="dcterms:W3CDTF">2004-07-23T14:31:15Z</dcterms:created>
  <dcterms:modified xsi:type="dcterms:W3CDTF">2026-08-14T05:53:09Z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wareExpressVersionNumber">
    <vt:lpwstr>3.00</vt:lpwstr>
  </property>
  <property fmtid="{D5CDD505-2E9C-101B-9397-08002B2CF9AE}" pid="3" name="MSIP_Label_07f119e6-c6cd-44b0-a5ee-ac1aff68c56e_Enabled">
    <vt:lpwstr>true</vt:lpwstr>
  </property>
  <property fmtid="{D5CDD505-2E9C-101B-9397-08002B2CF9AE}" pid="4" name="MSIP_Label_07f119e6-c6cd-44b0-a5ee-ac1aff68c56e_SetDate">
    <vt:lpwstr>2022-06-20T10:32:36Z</vt:lpwstr>
  </property>
  <property fmtid="{D5CDD505-2E9C-101B-9397-08002B2CF9AE}" pid="5" name="MSIP_Label_07f119e6-c6cd-44b0-a5ee-ac1aff68c56e_Method">
    <vt:lpwstr>Standard</vt:lpwstr>
  </property>
  <property fmtid="{D5CDD505-2E9C-101B-9397-08002B2CF9AE}" pid="6" name="MSIP_Label_07f119e6-c6cd-44b0-a5ee-ac1aff68c56e_Name">
    <vt:lpwstr>Confidential v1</vt:lpwstr>
  </property>
  <property fmtid="{D5CDD505-2E9C-101B-9397-08002B2CF9AE}" pid="7" name="MSIP_Label_07f119e6-c6cd-44b0-a5ee-ac1aff68c56e_SiteId">
    <vt:lpwstr>e29b8111-49f8-418d-ac2a-935335a52614</vt:lpwstr>
  </property>
  <property fmtid="{D5CDD505-2E9C-101B-9397-08002B2CF9AE}" pid="8" name="MSIP_Label_07f119e6-c6cd-44b0-a5ee-ac1aff68c56e_ActionId">
    <vt:lpwstr>c9de22e1-b174-4e5f-bb7d-93150d71c957</vt:lpwstr>
  </property>
  <property fmtid="{D5CDD505-2E9C-101B-9397-08002B2CF9AE}" pid="9" name="MSIP_Label_07f119e6-c6cd-44b0-a5ee-ac1aff68c56e_ContentBits">
    <vt:lpwstr>0</vt:lpwstr>
  </property>
  <property fmtid="{D5CDD505-2E9C-101B-9397-08002B2CF9AE}" pid="10" name="LinkingAutoNameNumberLinking_Range_">
    <vt:lpwstr>49</vt:lpwstr>
  </property>
  <property fmtid="{D5CDD505-2E9C-101B-9397-08002B2CF9AE}" pid="11" name="PowerlinkCOMAddIn.COMAddIn.WebAddinBridge.Options">
    <vt:lpwstr>{"port":50152,"version":"1.24.159"}</vt:lpwstr>
  </property>
  <property fmtid="{D5CDD505-2E9C-101B-9397-08002B2CF9AE}" pid="12" name="ERModPubTicket">
    <vt:lpwstr>NA</vt:lpwstr>
  </property>
  <property fmtid="{D5CDD505-2E9C-101B-9397-08002B2CF9AE}" pid="13" name="ERModPubConfirmEmail">
    <vt:bool>false</vt:bool>
  </property>
  <property fmtid="{D5CDD505-2E9C-101B-9397-08002B2CF9AE}" pid="14" name="ERModPubUserEmail">
    <vt:lpwstr>giridhak@ms.com</vt:lpwstr>
  </property>
  <property fmtid="{D5CDD505-2E9C-101B-9397-08002B2CF9AE}" pid="15" name="ERModPubGCIMTagged">
    <vt:bool>true</vt:bool>
  </property>
  <property fmtid="{D5CDD505-2E9C-101B-9397-08002B2CF9AE}" pid="16" name="ERCompanyUploadState">
    <vt:lpwstr>P</vt:lpwstr>
  </property>
  <property fmtid="{D5CDD505-2E9C-101B-9397-08002B2CF9AE}" pid="17" name="ERModPubCurrentYear">
    <vt:i4>2026</vt:i4>
  </property>
  <property fmtid="{D5CDD505-2E9C-101B-9397-08002B2CF9AE}" pid="18" name="ModelId">
    <vt:lpwstr>9856453</vt:lpwstr>
  </property>
  <property fmtid="{D5CDD505-2E9C-101B-9397-08002B2CF9AE}" pid="19" name="ERModPubCompanyName">
    <vt:lpwstr>Airbus SE</vt:lpwstr>
  </property>
</Properties>
</file>